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10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pivotTables/pivotTable33.xml" ContentType="application/vnd.openxmlformats-officedocument.spreadsheetml.pivotTable+xml"/>
  <Override PartName="/xl/drawings/drawing12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3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uccireland.sharepoint.com/sites/CAMG2-VeraPhDChannel/Shared Documents/Vera PhD Channel/IPTEM/"/>
    </mc:Choice>
  </mc:AlternateContent>
  <xr:revisionPtr revIDLastSave="0" documentId="14_{D245DAFD-B171-45CB-9FA6-1FB0D3B4A5CF}" xr6:coauthVersionLast="44" xr6:coauthVersionMax="44" xr10:uidLastSave="{00000000-0000-0000-0000-000000000000}"/>
  <bookViews>
    <workbookView xWindow="-120" yWindow="-120" windowWidth="24240" windowHeight="13140" activeTab="22" xr2:uid="{01C72B42-2C84-49FA-9A07-6A0213B701CC}"/>
  </bookViews>
  <sheets>
    <sheet name="readme" sheetId="42" r:id="rId1"/>
    <sheet name="BaU" sheetId="43" state="hidden" r:id="rId2"/>
    <sheet name="Urban Ambition" sheetId="44" state="hidden" r:id="rId3"/>
    <sheet name="Smarter Travel" sheetId="45" state="hidden" r:id="rId4"/>
    <sheet name="Bus Connects" sheetId="46" state="hidden" r:id="rId5"/>
    <sheet name="Netherlands Cycling" sheetId="47" state="hidden" r:id="rId6"/>
    <sheet name="Short trip, active modes" sheetId="48" state="hidden" r:id="rId7"/>
    <sheet name="Remote Working" sheetId="49" state="hidden" r:id="rId8"/>
    <sheet name="School Bussing" sheetId="50" state="hidden" r:id="rId9"/>
    <sheet name="Combi" sheetId="51" state="hidden" r:id="rId10"/>
    <sheet name="PKM display" sheetId="59" r:id="rId11"/>
    <sheet name="PKM by purpose" sheetId="60" r:id="rId12"/>
    <sheet name="PKM by purpose and mode" sheetId="61" r:id="rId13"/>
    <sheet name="PKM by purpose and mode pivot" sheetId="74" r:id="rId14"/>
    <sheet name="PKM by mode" sheetId="54" r:id="rId15"/>
    <sheet name="PKM calculation Assumptions" sheetId="55" r:id="rId16"/>
    <sheet name="Occup., Energy Cons., Emission" sheetId="66" r:id="rId17"/>
    <sheet name="Irish Car Stock Model V 2.4" sheetId="68" r:id="rId18"/>
    <sheet name="Pivot Tables Emissions calc." sheetId="69" r:id="rId19"/>
    <sheet name="Emissions calculator" sheetId="67" r:id="rId20"/>
    <sheet name="CSO Tables" sheetId="53" r:id="rId21"/>
    <sheet name="Manuscript Figures" sheetId="75" r:id="rId22"/>
    <sheet name="Manuscript Figures 2" sheetId="76" r:id="rId23"/>
    <sheet name="Graphs for Manuscripts" sheetId="73" r:id="rId24"/>
    <sheet name="Cycling Scenarios" sheetId="41" state="hidden" r:id="rId25"/>
  </sheets>
  <externalReferences>
    <externalReference r:id="rId26"/>
  </externalReferences>
  <definedNames>
    <definedName name="_xlnm._FilterDatabase" localSheetId="19" hidden="1">'Emissions calculator'!$C$2:$M$3</definedName>
    <definedName name="_xlnm._FilterDatabase" localSheetId="18" hidden="1">'Pivot Tables Emissions calc.'!$A$280:$B$280</definedName>
  </definedNames>
  <calcPr calcId="191029"/>
  <pivotCaches>
    <pivotCache cacheId="40" r:id="rId27"/>
    <pivotCache cacheId="41" r:id="rId28"/>
    <pivotCache cacheId="42" r:id="rId29"/>
    <pivotCache cacheId="43" r:id="rId30"/>
    <pivotCache cacheId="44" r:id="rId31"/>
    <pivotCache cacheId="45" r:id="rId32"/>
    <pivotCache cacheId="46" r:id="rId33"/>
    <pivotCache cacheId="47" r:id="rId34"/>
    <pivotCache cacheId="48" r:id="rId35"/>
    <pivotCache cacheId="53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3" i="73" l="1"/>
  <c r="B33" i="73"/>
  <c r="C33" i="73"/>
  <c r="D33" i="73"/>
  <c r="E33" i="73"/>
  <c r="F33" i="73"/>
  <c r="G33" i="73"/>
  <c r="H33" i="73"/>
  <c r="I33" i="73"/>
  <c r="J33" i="73"/>
  <c r="A34" i="73"/>
  <c r="B34" i="73"/>
  <c r="C34" i="73"/>
  <c r="D34" i="73"/>
  <c r="E34" i="73"/>
  <c r="F34" i="73"/>
  <c r="G34" i="73"/>
  <c r="H34" i="73"/>
  <c r="I34" i="73"/>
  <c r="J34" i="73"/>
  <c r="A35" i="73"/>
  <c r="B35" i="73"/>
  <c r="C35" i="73"/>
  <c r="D35" i="73"/>
  <c r="E35" i="73"/>
  <c r="F35" i="73"/>
  <c r="G35" i="73"/>
  <c r="H35" i="73"/>
  <c r="I35" i="73"/>
  <c r="J35" i="73"/>
  <c r="A36" i="73"/>
  <c r="B36" i="73"/>
  <c r="C36" i="73"/>
  <c r="D36" i="73"/>
  <c r="E36" i="73"/>
  <c r="F36" i="73"/>
  <c r="G36" i="73"/>
  <c r="H36" i="73"/>
  <c r="I36" i="73"/>
  <c r="J36" i="73"/>
  <c r="A37" i="73"/>
  <c r="B37" i="73"/>
  <c r="C37" i="73"/>
  <c r="D37" i="73"/>
  <c r="E37" i="73"/>
  <c r="F37" i="73"/>
  <c r="G37" i="73"/>
  <c r="H37" i="73"/>
  <c r="I37" i="73"/>
  <c r="J37" i="73"/>
  <c r="A38" i="73"/>
  <c r="B38" i="73"/>
  <c r="C38" i="73"/>
  <c r="D38" i="73"/>
  <c r="E38" i="73"/>
  <c r="F38" i="73"/>
  <c r="G38" i="73"/>
  <c r="H38" i="73"/>
  <c r="I38" i="73"/>
  <c r="J38" i="73"/>
  <c r="A39" i="73"/>
  <c r="B39" i="73"/>
  <c r="C39" i="73"/>
  <c r="D39" i="73"/>
  <c r="E39" i="73"/>
  <c r="F39" i="73"/>
  <c r="G39" i="73"/>
  <c r="H39" i="73"/>
  <c r="I39" i="73"/>
  <c r="J39" i="73"/>
  <c r="A40" i="73"/>
  <c r="B40" i="73"/>
  <c r="C40" i="73"/>
  <c r="D40" i="73"/>
  <c r="E40" i="73"/>
  <c r="F40" i="73"/>
  <c r="G40" i="73"/>
  <c r="H40" i="73"/>
  <c r="I40" i="73"/>
  <c r="J40" i="73"/>
  <c r="E4" i="67"/>
  <c r="B2" i="75" l="1"/>
  <c r="B3" i="75"/>
  <c r="B4" i="75"/>
  <c r="B5" i="75"/>
  <c r="B6" i="75"/>
  <c r="B7" i="75"/>
  <c r="B8" i="75"/>
  <c r="B9" i="75"/>
  <c r="C2" i="75"/>
  <c r="D2" i="75"/>
  <c r="E2" i="75"/>
  <c r="F2" i="75"/>
  <c r="G2" i="75"/>
  <c r="H2" i="75"/>
  <c r="I2" i="75"/>
  <c r="J2" i="75"/>
  <c r="K2" i="75"/>
  <c r="L2" i="75"/>
  <c r="C3" i="75"/>
  <c r="D3" i="75"/>
  <c r="E3" i="75"/>
  <c r="F3" i="75"/>
  <c r="G3" i="75"/>
  <c r="H3" i="75"/>
  <c r="I3" i="75"/>
  <c r="J3" i="75"/>
  <c r="K3" i="75"/>
  <c r="L3" i="75"/>
  <c r="C4" i="75"/>
  <c r="D4" i="75"/>
  <c r="E4" i="75"/>
  <c r="F4" i="75"/>
  <c r="G4" i="75"/>
  <c r="H4" i="75"/>
  <c r="I4" i="75"/>
  <c r="J4" i="75"/>
  <c r="K4" i="75"/>
  <c r="L4" i="75"/>
  <c r="C5" i="75"/>
  <c r="D5" i="75"/>
  <c r="E5" i="75"/>
  <c r="F5" i="75"/>
  <c r="G5" i="75"/>
  <c r="H5" i="75"/>
  <c r="I5" i="75"/>
  <c r="J5" i="75"/>
  <c r="K5" i="75"/>
  <c r="L5" i="75"/>
  <c r="C6" i="75"/>
  <c r="D6" i="75"/>
  <c r="E6" i="75"/>
  <c r="F6" i="75"/>
  <c r="G6" i="75"/>
  <c r="H6" i="75"/>
  <c r="I6" i="75"/>
  <c r="J6" i="75"/>
  <c r="K6" i="75"/>
  <c r="L6" i="75"/>
  <c r="C7" i="75"/>
  <c r="D7" i="75"/>
  <c r="E7" i="75"/>
  <c r="F7" i="75"/>
  <c r="G7" i="75"/>
  <c r="H7" i="75"/>
  <c r="I7" i="75"/>
  <c r="J7" i="75"/>
  <c r="K7" i="75"/>
  <c r="L7" i="75"/>
  <c r="C8" i="75"/>
  <c r="D8" i="75"/>
  <c r="E8" i="75"/>
  <c r="F8" i="75"/>
  <c r="G8" i="75"/>
  <c r="H8" i="75"/>
  <c r="I8" i="75"/>
  <c r="J8" i="75"/>
  <c r="K8" i="75"/>
  <c r="L8" i="75"/>
  <c r="C9" i="75"/>
  <c r="D9" i="75"/>
  <c r="E9" i="75"/>
  <c r="F9" i="75"/>
  <c r="G9" i="75"/>
  <c r="H9" i="75"/>
  <c r="I9" i="75"/>
  <c r="J9" i="75"/>
  <c r="K9" i="75"/>
  <c r="L9" i="75"/>
  <c r="AC2" i="75"/>
  <c r="AD2" i="75"/>
  <c r="AE2" i="75"/>
  <c r="AE7" i="75" s="1"/>
  <c r="AF2" i="75"/>
  <c r="AG2" i="75"/>
  <c r="AH2" i="75"/>
  <c r="AI2" i="75"/>
  <c r="AI7" i="75" s="1"/>
  <c r="AJ2" i="75"/>
  <c r="AK2" i="75"/>
  <c r="AL2" i="75"/>
  <c r="AL7" i="75" s="1"/>
  <c r="AC3" i="75"/>
  <c r="AD3" i="75"/>
  <c r="AE3" i="75"/>
  <c r="AF3" i="75"/>
  <c r="AG3" i="75"/>
  <c r="AH3" i="75"/>
  <c r="AI3" i="75"/>
  <c r="AJ3" i="75"/>
  <c r="AK3" i="75"/>
  <c r="AL3" i="75"/>
  <c r="AC4" i="75"/>
  <c r="AD4" i="75"/>
  <c r="AE4" i="75"/>
  <c r="AF4" i="75"/>
  <c r="AG4" i="75"/>
  <c r="AH4" i="75"/>
  <c r="AI4" i="75"/>
  <c r="AJ4" i="75"/>
  <c r="AK4" i="75"/>
  <c r="AL4" i="75"/>
  <c r="AC5" i="75"/>
  <c r="AD5" i="75"/>
  <c r="AE5" i="75"/>
  <c r="AF5" i="75"/>
  <c r="AF7" i="75" s="1"/>
  <c r="AG5" i="75"/>
  <c r="AG7" i="75" s="1"/>
  <c r="AH5" i="75"/>
  <c r="AI5" i="75"/>
  <c r="AJ5" i="75"/>
  <c r="AK5" i="75"/>
  <c r="AL5" i="75"/>
  <c r="AC6" i="75"/>
  <c r="AD6" i="75"/>
  <c r="AE6" i="75"/>
  <c r="AF6" i="75"/>
  <c r="AG6" i="75"/>
  <c r="AH6" i="75"/>
  <c r="AI6" i="75"/>
  <c r="AJ6" i="75"/>
  <c r="AK6" i="75"/>
  <c r="AL6" i="75"/>
  <c r="AB3" i="75"/>
  <c r="AB7" i="75" s="1"/>
  <c r="AB4" i="75"/>
  <c r="AB5" i="75"/>
  <c r="AB6" i="75"/>
  <c r="AB2" i="75"/>
  <c r="AA3" i="75"/>
  <c r="AA4" i="75"/>
  <c r="AA5" i="75"/>
  <c r="AA6" i="75"/>
  <c r="AA2" i="75"/>
  <c r="P2" i="75"/>
  <c r="Q2" i="75"/>
  <c r="R2" i="75"/>
  <c r="S2" i="75"/>
  <c r="T2" i="75"/>
  <c r="U2" i="75"/>
  <c r="V2" i="75"/>
  <c r="W2" i="75"/>
  <c r="X2" i="75"/>
  <c r="Y2" i="75"/>
  <c r="Y11" i="75" s="1"/>
  <c r="P3" i="75"/>
  <c r="Q3" i="75"/>
  <c r="R3" i="75"/>
  <c r="S3" i="75"/>
  <c r="T3" i="75"/>
  <c r="U3" i="75"/>
  <c r="V3" i="75"/>
  <c r="W3" i="75"/>
  <c r="X3" i="75"/>
  <c r="Y3" i="75"/>
  <c r="P4" i="75"/>
  <c r="Q4" i="75"/>
  <c r="R4" i="75"/>
  <c r="R11" i="75" s="1"/>
  <c r="S4" i="75"/>
  <c r="T4" i="75"/>
  <c r="U4" i="75"/>
  <c r="V4" i="75"/>
  <c r="W4" i="75"/>
  <c r="X4" i="75"/>
  <c r="Y4" i="75"/>
  <c r="P5" i="75"/>
  <c r="Q5" i="75"/>
  <c r="R5" i="75"/>
  <c r="S5" i="75"/>
  <c r="S11" i="75" s="1"/>
  <c r="T5" i="75"/>
  <c r="U5" i="75"/>
  <c r="V5" i="75"/>
  <c r="W5" i="75"/>
  <c r="X5" i="75"/>
  <c r="Y5" i="75"/>
  <c r="P6" i="75"/>
  <c r="Q6" i="75"/>
  <c r="R6" i="75"/>
  <c r="S6" i="75"/>
  <c r="T6" i="75"/>
  <c r="U6" i="75"/>
  <c r="V6" i="75"/>
  <c r="V11" i="75" s="1"/>
  <c r="W6" i="75"/>
  <c r="X6" i="75"/>
  <c r="Y6" i="75"/>
  <c r="P7" i="75"/>
  <c r="Q7" i="75"/>
  <c r="R7" i="75"/>
  <c r="S7" i="75"/>
  <c r="T7" i="75"/>
  <c r="U7" i="75"/>
  <c r="V7" i="75"/>
  <c r="W7" i="75"/>
  <c r="X7" i="75"/>
  <c r="Y7" i="75"/>
  <c r="P8" i="75"/>
  <c r="Q8" i="75"/>
  <c r="R8" i="75"/>
  <c r="S8" i="75"/>
  <c r="T8" i="75"/>
  <c r="U8" i="75"/>
  <c r="V8" i="75"/>
  <c r="W8" i="75"/>
  <c r="X8" i="75"/>
  <c r="Y8" i="75"/>
  <c r="P9" i="75"/>
  <c r="Q9" i="75"/>
  <c r="R9" i="75"/>
  <c r="S9" i="75"/>
  <c r="T9" i="75"/>
  <c r="U9" i="75"/>
  <c r="V9" i="75"/>
  <c r="W9" i="75"/>
  <c r="X9" i="75"/>
  <c r="Y9" i="75"/>
  <c r="P10" i="75"/>
  <c r="Q10" i="75"/>
  <c r="R10" i="75"/>
  <c r="S10" i="75"/>
  <c r="T10" i="75"/>
  <c r="U10" i="75"/>
  <c r="V10" i="75"/>
  <c r="W10" i="75"/>
  <c r="X10" i="75"/>
  <c r="Y10" i="75"/>
  <c r="O3" i="75"/>
  <c r="O4" i="75"/>
  <c r="O5" i="75"/>
  <c r="O6" i="75"/>
  <c r="O7" i="75"/>
  <c r="O8" i="75"/>
  <c r="O9" i="75"/>
  <c r="O10" i="75"/>
  <c r="O2" i="75"/>
  <c r="N3" i="75"/>
  <c r="N4" i="75"/>
  <c r="N5" i="75"/>
  <c r="N6" i="75"/>
  <c r="N7" i="75"/>
  <c r="N8" i="75"/>
  <c r="N9" i="75"/>
  <c r="N10" i="75"/>
  <c r="N2" i="75"/>
  <c r="T11" i="75"/>
  <c r="C10" i="75"/>
  <c r="D10" i="75"/>
  <c r="E10" i="75"/>
  <c r="F10" i="75"/>
  <c r="G10" i="75"/>
  <c r="H10" i="75"/>
  <c r="I10" i="75"/>
  <c r="J10" i="75"/>
  <c r="K10" i="75"/>
  <c r="L10" i="75"/>
  <c r="B10" i="75"/>
  <c r="A3" i="75"/>
  <c r="A4" i="75"/>
  <c r="A5" i="75"/>
  <c r="A6" i="75"/>
  <c r="A7" i="75"/>
  <c r="A8" i="75"/>
  <c r="A9" i="75"/>
  <c r="A2" i="75"/>
  <c r="AH7" i="75" l="1"/>
  <c r="O11" i="75"/>
  <c r="Q11" i="75"/>
  <c r="W11" i="75"/>
  <c r="X11" i="75"/>
  <c r="P11" i="75"/>
  <c r="U11" i="75"/>
  <c r="C300" i="74"/>
  <c r="C293" i="74"/>
  <c r="C294" i="74"/>
  <c r="C295" i="74"/>
  <c r="C296" i="74"/>
  <c r="C297" i="74"/>
  <c r="C298" i="74"/>
  <c r="C299" i="74"/>
  <c r="C292" i="74"/>
  <c r="C108" i="55"/>
  <c r="D108" i="55"/>
  <c r="E108" i="55"/>
  <c r="F108" i="55"/>
  <c r="G108" i="55"/>
  <c r="B108" i="55"/>
  <c r="G107" i="55"/>
  <c r="C107" i="55"/>
  <c r="D107" i="55"/>
  <c r="E107" i="55"/>
  <c r="F107" i="55"/>
  <c r="B107" i="55"/>
  <c r="B82" i="55"/>
  <c r="B81" i="55"/>
  <c r="C106" i="55"/>
  <c r="D106" i="55"/>
  <c r="E106" i="55"/>
  <c r="F106" i="55"/>
  <c r="G106" i="55"/>
  <c r="B106" i="55"/>
  <c r="C105" i="55"/>
  <c r="D105" i="55"/>
  <c r="E105" i="55"/>
  <c r="F105" i="55"/>
  <c r="G105" i="55"/>
  <c r="B105" i="55"/>
  <c r="C104" i="55"/>
  <c r="D104" i="55"/>
  <c r="E104" i="55"/>
  <c r="F104" i="55"/>
  <c r="G104" i="55"/>
  <c r="B104" i="55"/>
  <c r="C103" i="55"/>
  <c r="D103" i="55"/>
  <c r="E103" i="55"/>
  <c r="F103" i="55"/>
  <c r="G103" i="55"/>
  <c r="B103" i="55"/>
  <c r="C102" i="55"/>
  <c r="D102" i="55"/>
  <c r="E102" i="55"/>
  <c r="F102" i="55"/>
  <c r="G102" i="55"/>
  <c r="B102" i="55"/>
  <c r="C101" i="55"/>
  <c r="D101" i="55"/>
  <c r="E101" i="55"/>
  <c r="F101" i="55"/>
  <c r="G101" i="55"/>
  <c r="B100" i="55"/>
  <c r="B101" i="55"/>
  <c r="C100" i="55"/>
  <c r="D100" i="55"/>
  <c r="E100" i="55"/>
  <c r="F100" i="55"/>
  <c r="G100" i="55"/>
  <c r="N287" i="74"/>
  <c r="L287" i="74"/>
  <c r="K287" i="74"/>
  <c r="J287" i="74"/>
  <c r="I287" i="74"/>
  <c r="H287" i="74"/>
  <c r="G287" i="74"/>
  <c r="F287" i="74"/>
  <c r="E287" i="74"/>
  <c r="D287" i="74"/>
  <c r="M287" i="74" s="1"/>
  <c r="N286" i="74"/>
  <c r="L286" i="74"/>
  <c r="K286" i="74"/>
  <c r="J286" i="74"/>
  <c r="I286" i="74"/>
  <c r="H286" i="74"/>
  <c r="G286" i="74"/>
  <c r="F286" i="74"/>
  <c r="E286" i="74"/>
  <c r="D286" i="74"/>
  <c r="M286" i="74" s="1"/>
  <c r="N285" i="74"/>
  <c r="L285" i="74"/>
  <c r="K285" i="74"/>
  <c r="J285" i="74"/>
  <c r="I285" i="74"/>
  <c r="H285" i="74"/>
  <c r="G285" i="74"/>
  <c r="F285" i="74"/>
  <c r="E285" i="74"/>
  <c r="D285" i="74"/>
  <c r="M285" i="74" s="1"/>
  <c r="N284" i="74"/>
  <c r="L284" i="74"/>
  <c r="K284" i="74"/>
  <c r="J284" i="74"/>
  <c r="I284" i="74"/>
  <c r="H284" i="74"/>
  <c r="G284" i="74"/>
  <c r="F284" i="74"/>
  <c r="E284" i="74"/>
  <c r="D284" i="74"/>
  <c r="M284" i="74" s="1"/>
  <c r="N283" i="74"/>
  <c r="L283" i="74"/>
  <c r="K283" i="74"/>
  <c r="J283" i="74"/>
  <c r="M283" i="74" s="1"/>
  <c r="I283" i="74"/>
  <c r="H283" i="74"/>
  <c r="G283" i="74"/>
  <c r="F283" i="74"/>
  <c r="E283" i="74"/>
  <c r="D283" i="74"/>
  <c r="N282" i="74"/>
  <c r="L282" i="74"/>
  <c r="K282" i="74"/>
  <c r="J282" i="74"/>
  <c r="I282" i="74"/>
  <c r="H282" i="74"/>
  <c r="G282" i="74"/>
  <c r="F282" i="74"/>
  <c r="E282" i="74"/>
  <c r="M282" i="74" s="1"/>
  <c r="D282" i="74"/>
  <c r="N281" i="74"/>
  <c r="L281" i="74"/>
  <c r="K281" i="74"/>
  <c r="J281" i="74"/>
  <c r="I281" i="74"/>
  <c r="H281" i="74"/>
  <c r="G281" i="74"/>
  <c r="F281" i="74"/>
  <c r="E281" i="74"/>
  <c r="M281" i="74" s="1"/>
  <c r="D281" i="74"/>
  <c r="N280" i="74"/>
  <c r="L280" i="74"/>
  <c r="K280" i="74"/>
  <c r="J280" i="74"/>
  <c r="M280" i="74" s="1"/>
  <c r="I280" i="74"/>
  <c r="H280" i="74"/>
  <c r="G280" i="74"/>
  <c r="F280" i="74"/>
  <c r="E280" i="74"/>
  <c r="D280" i="74"/>
  <c r="N279" i="74"/>
  <c r="L279" i="74"/>
  <c r="K279" i="74"/>
  <c r="J279" i="74"/>
  <c r="I279" i="74"/>
  <c r="H279" i="74"/>
  <c r="G279" i="74"/>
  <c r="F279" i="74"/>
  <c r="E279" i="74"/>
  <c r="M279" i="74" s="1"/>
  <c r="D279" i="74"/>
  <c r="N278" i="74"/>
  <c r="L278" i="74"/>
  <c r="K278" i="74"/>
  <c r="J278" i="74"/>
  <c r="I278" i="74"/>
  <c r="H278" i="74"/>
  <c r="G278" i="74"/>
  <c r="F278" i="74"/>
  <c r="E278" i="74"/>
  <c r="D278" i="74"/>
  <c r="M278" i="74" s="1"/>
  <c r="N277" i="74"/>
  <c r="L277" i="74"/>
  <c r="K277" i="74"/>
  <c r="J277" i="74"/>
  <c r="I277" i="74"/>
  <c r="H277" i="74"/>
  <c r="G277" i="74"/>
  <c r="F277" i="74"/>
  <c r="E277" i="74"/>
  <c r="D277" i="74"/>
  <c r="M277" i="74" s="1"/>
  <c r="N276" i="74"/>
  <c r="L276" i="74"/>
  <c r="K276" i="74"/>
  <c r="J276" i="74"/>
  <c r="I276" i="74"/>
  <c r="H276" i="74"/>
  <c r="G276" i="74"/>
  <c r="F276" i="74"/>
  <c r="E276" i="74"/>
  <c r="D276" i="74"/>
  <c r="M276" i="74" s="1"/>
  <c r="N275" i="74"/>
  <c r="L275" i="74"/>
  <c r="K275" i="74"/>
  <c r="J275" i="74"/>
  <c r="M275" i="74" s="1"/>
  <c r="I275" i="74"/>
  <c r="H275" i="74"/>
  <c r="G275" i="74"/>
  <c r="F275" i="74"/>
  <c r="E275" i="74"/>
  <c r="D275" i="74"/>
  <c r="N274" i="74"/>
  <c r="L274" i="74"/>
  <c r="K274" i="74"/>
  <c r="J274" i="74"/>
  <c r="I274" i="74"/>
  <c r="H274" i="74"/>
  <c r="G274" i="74"/>
  <c r="F274" i="74"/>
  <c r="E274" i="74"/>
  <c r="M274" i="74" s="1"/>
  <c r="D274" i="74"/>
  <c r="N273" i="74"/>
  <c r="L273" i="74"/>
  <c r="K273" i="74"/>
  <c r="J273" i="74"/>
  <c r="I273" i="74"/>
  <c r="H273" i="74"/>
  <c r="G273" i="74"/>
  <c r="F273" i="74"/>
  <c r="E273" i="74"/>
  <c r="M273" i="74" s="1"/>
  <c r="D273" i="74"/>
  <c r="N272" i="74"/>
  <c r="L272" i="74"/>
  <c r="K272" i="74"/>
  <c r="J272" i="74"/>
  <c r="M272" i="74" s="1"/>
  <c r="I272" i="74"/>
  <c r="H272" i="74"/>
  <c r="G272" i="74"/>
  <c r="F272" i="74"/>
  <c r="E272" i="74"/>
  <c r="D272" i="74"/>
  <c r="N271" i="74"/>
  <c r="L271" i="74"/>
  <c r="K271" i="74"/>
  <c r="J271" i="74"/>
  <c r="I271" i="74"/>
  <c r="H271" i="74"/>
  <c r="G271" i="74"/>
  <c r="F271" i="74"/>
  <c r="E271" i="74"/>
  <c r="M271" i="74" s="1"/>
  <c r="D271" i="74"/>
  <c r="N270" i="74"/>
  <c r="L270" i="74"/>
  <c r="K270" i="74"/>
  <c r="J270" i="74"/>
  <c r="I270" i="74"/>
  <c r="H270" i="74"/>
  <c r="G270" i="74"/>
  <c r="F270" i="74"/>
  <c r="E270" i="74"/>
  <c r="D270" i="74"/>
  <c r="M270" i="74" s="1"/>
  <c r="N269" i="74"/>
  <c r="L269" i="74"/>
  <c r="K269" i="74"/>
  <c r="J269" i="74"/>
  <c r="I269" i="74"/>
  <c r="H269" i="74"/>
  <c r="G269" i="74"/>
  <c r="F269" i="74"/>
  <c r="E269" i="74"/>
  <c r="D269" i="74"/>
  <c r="M269" i="74" s="1"/>
  <c r="N268" i="74"/>
  <c r="L268" i="74"/>
  <c r="K268" i="74"/>
  <c r="J268" i="74"/>
  <c r="I268" i="74"/>
  <c r="H268" i="74"/>
  <c r="G268" i="74"/>
  <c r="F268" i="74"/>
  <c r="E268" i="74"/>
  <c r="D268" i="74"/>
  <c r="M268" i="74" s="1"/>
  <c r="N267" i="74"/>
  <c r="L267" i="74"/>
  <c r="K267" i="74"/>
  <c r="J267" i="74"/>
  <c r="M267" i="74" s="1"/>
  <c r="I267" i="74"/>
  <c r="H267" i="74"/>
  <c r="G267" i="74"/>
  <c r="F267" i="74"/>
  <c r="E267" i="74"/>
  <c r="D267" i="74"/>
  <c r="N266" i="74"/>
  <c r="L266" i="74"/>
  <c r="K266" i="74"/>
  <c r="J266" i="74"/>
  <c r="I266" i="74"/>
  <c r="H266" i="74"/>
  <c r="G266" i="74"/>
  <c r="F266" i="74"/>
  <c r="E266" i="74"/>
  <c r="M266" i="74" s="1"/>
  <c r="D266" i="74"/>
  <c r="N265" i="74"/>
  <c r="L265" i="74"/>
  <c r="K265" i="74"/>
  <c r="J265" i="74"/>
  <c r="I265" i="74"/>
  <c r="H265" i="74"/>
  <c r="G265" i="74"/>
  <c r="F265" i="74"/>
  <c r="E265" i="74"/>
  <c r="M265" i="74" s="1"/>
  <c r="D265" i="74"/>
  <c r="N264" i="74"/>
  <c r="L264" i="74"/>
  <c r="K264" i="74"/>
  <c r="J264" i="74"/>
  <c r="I264" i="74"/>
  <c r="H264" i="74"/>
  <c r="G264" i="74"/>
  <c r="F264" i="74"/>
  <c r="E264" i="74"/>
  <c r="D264" i="74"/>
  <c r="M264" i="74" s="1"/>
  <c r="N263" i="74"/>
  <c r="L263" i="74"/>
  <c r="K263" i="74"/>
  <c r="J263" i="74"/>
  <c r="I263" i="74"/>
  <c r="H263" i="74"/>
  <c r="G263" i="74"/>
  <c r="F263" i="74"/>
  <c r="E263" i="74"/>
  <c r="M263" i="74" s="1"/>
  <c r="D263" i="74"/>
  <c r="N262" i="74"/>
  <c r="L262" i="74"/>
  <c r="K262" i="74"/>
  <c r="J262" i="74"/>
  <c r="I262" i="74"/>
  <c r="H262" i="74"/>
  <c r="G262" i="74"/>
  <c r="F262" i="74"/>
  <c r="E262" i="74"/>
  <c r="D262" i="74"/>
  <c r="M262" i="74" s="1"/>
  <c r="N261" i="74"/>
  <c r="L261" i="74"/>
  <c r="K261" i="74"/>
  <c r="J261" i="74"/>
  <c r="I261" i="74"/>
  <c r="H261" i="74"/>
  <c r="G261" i="74"/>
  <c r="F261" i="74"/>
  <c r="E261" i="74"/>
  <c r="D261" i="74"/>
  <c r="M261" i="74" s="1"/>
  <c r="N260" i="74"/>
  <c r="L260" i="74"/>
  <c r="K260" i="74"/>
  <c r="J260" i="74"/>
  <c r="I260" i="74"/>
  <c r="H260" i="74"/>
  <c r="G260" i="74"/>
  <c r="F260" i="74"/>
  <c r="E260" i="74"/>
  <c r="D260" i="74"/>
  <c r="M260" i="74" s="1"/>
  <c r="N259" i="74"/>
  <c r="L259" i="74"/>
  <c r="K259" i="74"/>
  <c r="J259" i="74"/>
  <c r="M259" i="74" s="1"/>
  <c r="I259" i="74"/>
  <c r="H259" i="74"/>
  <c r="G259" i="74"/>
  <c r="F259" i="74"/>
  <c r="E259" i="74"/>
  <c r="D259" i="74"/>
  <c r="N258" i="74"/>
  <c r="L258" i="74"/>
  <c r="K258" i="74"/>
  <c r="J258" i="74"/>
  <c r="I258" i="74"/>
  <c r="H258" i="74"/>
  <c r="G258" i="74"/>
  <c r="F258" i="74"/>
  <c r="E258" i="74"/>
  <c r="M258" i="74" s="1"/>
  <c r="D258" i="74"/>
  <c r="N257" i="74"/>
  <c r="L257" i="74"/>
  <c r="K257" i="74"/>
  <c r="J257" i="74"/>
  <c r="I257" i="74"/>
  <c r="H257" i="74"/>
  <c r="G257" i="74"/>
  <c r="F257" i="74"/>
  <c r="E257" i="74"/>
  <c r="M257" i="74" s="1"/>
  <c r="D257" i="74"/>
  <c r="N256" i="74"/>
  <c r="L256" i="74"/>
  <c r="K256" i="74"/>
  <c r="J256" i="74"/>
  <c r="I256" i="74"/>
  <c r="H256" i="74"/>
  <c r="G256" i="74"/>
  <c r="F256" i="74"/>
  <c r="E256" i="74"/>
  <c r="D256" i="74"/>
  <c r="M256" i="74" s="1"/>
  <c r="N255" i="74"/>
  <c r="L255" i="74"/>
  <c r="K255" i="74"/>
  <c r="J255" i="74"/>
  <c r="M255" i="74" s="1"/>
  <c r="I255" i="74"/>
  <c r="H255" i="74"/>
  <c r="G255" i="74"/>
  <c r="F255" i="74"/>
  <c r="E255" i="74"/>
  <c r="D255" i="74"/>
  <c r="N254" i="74"/>
  <c r="L254" i="74"/>
  <c r="K254" i="74"/>
  <c r="J254" i="74"/>
  <c r="I254" i="74"/>
  <c r="H254" i="74"/>
  <c r="G254" i="74"/>
  <c r="F254" i="74"/>
  <c r="E254" i="74"/>
  <c r="D254" i="74"/>
  <c r="M254" i="74" s="1"/>
  <c r="N253" i="74"/>
  <c r="L253" i="74"/>
  <c r="K253" i="74"/>
  <c r="J253" i="74"/>
  <c r="I253" i="74"/>
  <c r="H253" i="74"/>
  <c r="G253" i="74"/>
  <c r="F253" i="74"/>
  <c r="E253" i="74"/>
  <c r="D253" i="74"/>
  <c r="M253" i="74" s="1"/>
  <c r="N252" i="74"/>
  <c r="L252" i="74"/>
  <c r="K252" i="74"/>
  <c r="J252" i="74"/>
  <c r="I252" i="74"/>
  <c r="H252" i="74"/>
  <c r="G252" i="74"/>
  <c r="F252" i="74"/>
  <c r="E252" i="74"/>
  <c r="D252" i="74"/>
  <c r="M252" i="74" s="1"/>
  <c r="N251" i="74"/>
  <c r="L251" i="74"/>
  <c r="K251" i="74"/>
  <c r="J251" i="74"/>
  <c r="M251" i="74" s="1"/>
  <c r="I251" i="74"/>
  <c r="H251" i="74"/>
  <c r="G251" i="74"/>
  <c r="F251" i="74"/>
  <c r="E251" i="74"/>
  <c r="D251" i="74"/>
  <c r="N250" i="74"/>
  <c r="L250" i="74"/>
  <c r="K250" i="74"/>
  <c r="J250" i="74"/>
  <c r="I250" i="74"/>
  <c r="H250" i="74"/>
  <c r="G250" i="74"/>
  <c r="F250" i="74"/>
  <c r="E250" i="74"/>
  <c r="M250" i="74" s="1"/>
  <c r="D250" i="74"/>
  <c r="N249" i="74"/>
  <c r="L249" i="74"/>
  <c r="K249" i="74"/>
  <c r="J249" i="74"/>
  <c r="I249" i="74"/>
  <c r="H249" i="74"/>
  <c r="G249" i="74"/>
  <c r="F249" i="74"/>
  <c r="E249" i="74"/>
  <c r="M249" i="74" s="1"/>
  <c r="D249" i="74"/>
  <c r="N248" i="74"/>
  <c r="L248" i="74"/>
  <c r="K248" i="74"/>
  <c r="J248" i="74"/>
  <c r="I248" i="74"/>
  <c r="H248" i="74"/>
  <c r="G248" i="74"/>
  <c r="F248" i="74"/>
  <c r="E248" i="74"/>
  <c r="D248" i="74"/>
  <c r="M248" i="74" s="1"/>
  <c r="N247" i="74"/>
  <c r="L247" i="74"/>
  <c r="K247" i="74"/>
  <c r="J247" i="74"/>
  <c r="M247" i="74" s="1"/>
  <c r="I247" i="74"/>
  <c r="H247" i="74"/>
  <c r="G247" i="74"/>
  <c r="F247" i="74"/>
  <c r="E247" i="74"/>
  <c r="D247" i="74"/>
  <c r="N246" i="74"/>
  <c r="L246" i="74"/>
  <c r="K246" i="74"/>
  <c r="J246" i="74"/>
  <c r="M246" i="74" s="1"/>
  <c r="I246" i="74"/>
  <c r="H246" i="74"/>
  <c r="G246" i="74"/>
  <c r="F246" i="74"/>
  <c r="E246" i="74"/>
  <c r="D246" i="74"/>
  <c r="N245" i="74"/>
  <c r="L245" i="74"/>
  <c r="K245" i="74"/>
  <c r="J245" i="74"/>
  <c r="I245" i="74"/>
  <c r="H245" i="74"/>
  <c r="G245" i="74"/>
  <c r="F245" i="74"/>
  <c r="E245" i="74"/>
  <c r="D245" i="74"/>
  <c r="M245" i="74" s="1"/>
  <c r="N244" i="74"/>
  <c r="L244" i="74"/>
  <c r="K244" i="74"/>
  <c r="J244" i="74"/>
  <c r="I244" i="74"/>
  <c r="H244" i="74"/>
  <c r="G244" i="74"/>
  <c r="F244" i="74"/>
  <c r="E244" i="74"/>
  <c r="D244" i="74"/>
  <c r="M244" i="74" s="1"/>
  <c r="N243" i="74"/>
  <c r="L243" i="74"/>
  <c r="K243" i="74"/>
  <c r="J243" i="74"/>
  <c r="M243" i="74" s="1"/>
  <c r="I243" i="74"/>
  <c r="H243" i="74"/>
  <c r="G243" i="74"/>
  <c r="F243" i="74"/>
  <c r="E243" i="74"/>
  <c r="D243" i="74"/>
  <c r="N242" i="74"/>
  <c r="L242" i="74"/>
  <c r="K242" i="74"/>
  <c r="J242" i="74"/>
  <c r="I242" i="74"/>
  <c r="H242" i="74"/>
  <c r="G242" i="74"/>
  <c r="F242" i="74"/>
  <c r="E242" i="74"/>
  <c r="M242" i="74" s="1"/>
  <c r="D242" i="74"/>
  <c r="N241" i="74"/>
  <c r="L241" i="74"/>
  <c r="K241" i="74"/>
  <c r="J241" i="74"/>
  <c r="I241" i="74"/>
  <c r="H241" i="74"/>
  <c r="G241" i="74"/>
  <c r="F241" i="74"/>
  <c r="E241" i="74"/>
  <c r="M241" i="74" s="1"/>
  <c r="D241" i="74"/>
  <c r="N240" i="74"/>
  <c r="L240" i="74"/>
  <c r="K240" i="74"/>
  <c r="J240" i="74"/>
  <c r="I240" i="74"/>
  <c r="H240" i="74"/>
  <c r="G240" i="74"/>
  <c r="F240" i="74"/>
  <c r="E240" i="74"/>
  <c r="D240" i="74"/>
  <c r="M240" i="74" s="1"/>
  <c r="N239" i="74"/>
  <c r="L239" i="74"/>
  <c r="K239" i="74"/>
  <c r="J239" i="74"/>
  <c r="I239" i="74"/>
  <c r="H239" i="74"/>
  <c r="G239" i="74"/>
  <c r="F239" i="74"/>
  <c r="E239" i="74"/>
  <c r="M239" i="74" s="1"/>
  <c r="D239" i="74"/>
  <c r="N238" i="74"/>
  <c r="L238" i="74"/>
  <c r="K238" i="74"/>
  <c r="J238" i="74"/>
  <c r="I238" i="74"/>
  <c r="H238" i="74"/>
  <c r="G238" i="74"/>
  <c r="F238" i="74"/>
  <c r="E238" i="74"/>
  <c r="D238" i="74"/>
  <c r="M238" i="74" s="1"/>
  <c r="N237" i="74"/>
  <c r="L237" i="74"/>
  <c r="K237" i="74"/>
  <c r="J237" i="74"/>
  <c r="I237" i="74"/>
  <c r="H237" i="74"/>
  <c r="G237" i="74"/>
  <c r="F237" i="74"/>
  <c r="E237" i="74"/>
  <c r="D237" i="74"/>
  <c r="M237" i="74" s="1"/>
  <c r="N236" i="74"/>
  <c r="L236" i="74"/>
  <c r="K236" i="74"/>
  <c r="J236" i="74"/>
  <c r="I236" i="74"/>
  <c r="H236" i="74"/>
  <c r="G236" i="74"/>
  <c r="F236" i="74"/>
  <c r="E236" i="74"/>
  <c r="D236" i="74"/>
  <c r="M236" i="74" s="1"/>
  <c r="N235" i="74"/>
  <c r="L235" i="74"/>
  <c r="K235" i="74"/>
  <c r="J235" i="74"/>
  <c r="M235" i="74" s="1"/>
  <c r="I235" i="74"/>
  <c r="H235" i="74"/>
  <c r="G235" i="74"/>
  <c r="F235" i="74"/>
  <c r="E235" i="74"/>
  <c r="D235" i="74"/>
  <c r="N234" i="74"/>
  <c r="L234" i="74"/>
  <c r="K234" i="74"/>
  <c r="J234" i="74"/>
  <c r="I234" i="74"/>
  <c r="H234" i="74"/>
  <c r="G234" i="74"/>
  <c r="F234" i="74"/>
  <c r="E234" i="74"/>
  <c r="M234" i="74" s="1"/>
  <c r="D234" i="74"/>
  <c r="N233" i="74"/>
  <c r="L233" i="74"/>
  <c r="K233" i="74"/>
  <c r="J233" i="74"/>
  <c r="I233" i="74"/>
  <c r="H233" i="74"/>
  <c r="G233" i="74"/>
  <c r="F233" i="74"/>
  <c r="E233" i="74"/>
  <c r="M233" i="74" s="1"/>
  <c r="D233" i="74"/>
  <c r="N232" i="74"/>
  <c r="L232" i="74"/>
  <c r="K232" i="74"/>
  <c r="J232" i="74"/>
  <c r="I232" i="74"/>
  <c r="H232" i="74"/>
  <c r="G232" i="74"/>
  <c r="F232" i="74"/>
  <c r="E232" i="74"/>
  <c r="D232" i="74"/>
  <c r="M232" i="74" s="1"/>
  <c r="N231" i="74"/>
  <c r="L231" i="74"/>
  <c r="K231" i="74"/>
  <c r="J231" i="74"/>
  <c r="I231" i="74"/>
  <c r="H231" i="74"/>
  <c r="G231" i="74"/>
  <c r="F231" i="74"/>
  <c r="E231" i="74"/>
  <c r="M231" i="74" s="1"/>
  <c r="D231" i="74"/>
  <c r="N230" i="74"/>
  <c r="L230" i="74"/>
  <c r="K230" i="74"/>
  <c r="J230" i="74"/>
  <c r="I230" i="74"/>
  <c r="H230" i="74"/>
  <c r="G230" i="74"/>
  <c r="F230" i="74"/>
  <c r="E230" i="74"/>
  <c r="D230" i="74"/>
  <c r="M230" i="74" s="1"/>
  <c r="N229" i="74"/>
  <c r="L229" i="74"/>
  <c r="K229" i="74"/>
  <c r="J229" i="74"/>
  <c r="I229" i="74"/>
  <c r="H229" i="74"/>
  <c r="G229" i="74"/>
  <c r="F229" i="74"/>
  <c r="E229" i="74"/>
  <c r="D229" i="74"/>
  <c r="M229" i="74" s="1"/>
  <c r="N228" i="74"/>
  <c r="L228" i="74"/>
  <c r="K228" i="74"/>
  <c r="J228" i="74"/>
  <c r="I228" i="74"/>
  <c r="H228" i="74"/>
  <c r="G228" i="74"/>
  <c r="F228" i="74"/>
  <c r="E228" i="74"/>
  <c r="D228" i="74"/>
  <c r="M228" i="74" s="1"/>
  <c r="N227" i="74"/>
  <c r="L227" i="74"/>
  <c r="K227" i="74"/>
  <c r="J227" i="74"/>
  <c r="M227" i="74" s="1"/>
  <c r="I227" i="74"/>
  <c r="H227" i="74"/>
  <c r="G227" i="74"/>
  <c r="F227" i="74"/>
  <c r="E227" i="74"/>
  <c r="D227" i="74"/>
  <c r="N226" i="74"/>
  <c r="L226" i="74"/>
  <c r="K226" i="74"/>
  <c r="J226" i="74"/>
  <c r="I226" i="74"/>
  <c r="H226" i="74"/>
  <c r="G226" i="74"/>
  <c r="F226" i="74"/>
  <c r="E226" i="74"/>
  <c r="M226" i="74" s="1"/>
  <c r="D226" i="74"/>
  <c r="N225" i="74"/>
  <c r="L225" i="74"/>
  <c r="K225" i="74"/>
  <c r="J225" i="74"/>
  <c r="I225" i="74"/>
  <c r="H225" i="74"/>
  <c r="G225" i="74"/>
  <c r="F225" i="74"/>
  <c r="E225" i="74"/>
  <c r="M225" i="74" s="1"/>
  <c r="D225" i="74"/>
  <c r="N224" i="74"/>
  <c r="L224" i="74"/>
  <c r="K224" i="74"/>
  <c r="J224" i="74"/>
  <c r="I224" i="74"/>
  <c r="H224" i="74"/>
  <c r="G224" i="74"/>
  <c r="F224" i="74"/>
  <c r="E224" i="74"/>
  <c r="D224" i="74"/>
  <c r="M224" i="74" s="1"/>
  <c r="N223" i="74"/>
  <c r="L223" i="74"/>
  <c r="K223" i="74"/>
  <c r="J223" i="74"/>
  <c r="I223" i="74"/>
  <c r="H223" i="74"/>
  <c r="G223" i="74"/>
  <c r="F223" i="74"/>
  <c r="E223" i="74"/>
  <c r="M223" i="74" s="1"/>
  <c r="D223" i="74"/>
  <c r="N222" i="74"/>
  <c r="L222" i="74"/>
  <c r="K222" i="74"/>
  <c r="J222" i="74"/>
  <c r="I222" i="74"/>
  <c r="H222" i="74"/>
  <c r="G222" i="74"/>
  <c r="F222" i="74"/>
  <c r="E222" i="74"/>
  <c r="D222" i="74"/>
  <c r="M222" i="74" s="1"/>
  <c r="N221" i="74"/>
  <c r="L221" i="74"/>
  <c r="K221" i="74"/>
  <c r="J221" i="74"/>
  <c r="I221" i="74"/>
  <c r="H221" i="74"/>
  <c r="G221" i="74"/>
  <c r="F221" i="74"/>
  <c r="E221" i="74"/>
  <c r="D221" i="74"/>
  <c r="M221" i="74" s="1"/>
  <c r="N220" i="74"/>
  <c r="L220" i="74"/>
  <c r="K220" i="74"/>
  <c r="J220" i="74"/>
  <c r="I220" i="74"/>
  <c r="H220" i="74"/>
  <c r="G220" i="74"/>
  <c r="F220" i="74"/>
  <c r="E220" i="74"/>
  <c r="D220" i="74"/>
  <c r="M220" i="74" s="1"/>
  <c r="N219" i="74"/>
  <c r="L219" i="74"/>
  <c r="K219" i="74"/>
  <c r="J219" i="74"/>
  <c r="M219" i="74" s="1"/>
  <c r="I219" i="74"/>
  <c r="H219" i="74"/>
  <c r="G219" i="74"/>
  <c r="F219" i="74"/>
  <c r="E219" i="74"/>
  <c r="D219" i="74"/>
  <c r="N218" i="74"/>
  <c r="L218" i="74"/>
  <c r="K218" i="74"/>
  <c r="J218" i="74"/>
  <c r="I218" i="74"/>
  <c r="H218" i="74"/>
  <c r="G218" i="74"/>
  <c r="F218" i="74"/>
  <c r="E218" i="74"/>
  <c r="M218" i="74" s="1"/>
  <c r="D218" i="74"/>
  <c r="N217" i="74"/>
  <c r="L217" i="74"/>
  <c r="K217" i="74"/>
  <c r="J217" i="74"/>
  <c r="I217" i="74"/>
  <c r="H217" i="74"/>
  <c r="G217" i="74"/>
  <c r="F217" i="74"/>
  <c r="E217" i="74"/>
  <c r="M217" i="74" s="1"/>
  <c r="D217" i="74"/>
  <c r="N216" i="74"/>
  <c r="L216" i="74"/>
  <c r="K216" i="74"/>
  <c r="J216" i="74"/>
  <c r="I216" i="74"/>
  <c r="H216" i="74"/>
  <c r="G216" i="74"/>
  <c r="F216" i="74"/>
  <c r="E216" i="74"/>
  <c r="D216" i="74"/>
  <c r="M216" i="74" s="1"/>
  <c r="N215" i="74"/>
  <c r="L215" i="74"/>
  <c r="K215" i="74"/>
  <c r="J215" i="74"/>
  <c r="I215" i="74"/>
  <c r="H215" i="74"/>
  <c r="G215" i="74"/>
  <c r="F215" i="74"/>
  <c r="E215" i="74"/>
  <c r="M215" i="74" s="1"/>
  <c r="D215" i="74"/>
  <c r="N214" i="74"/>
  <c r="L214" i="74"/>
  <c r="K214" i="74"/>
  <c r="J214" i="74"/>
  <c r="I214" i="74"/>
  <c r="H214" i="74"/>
  <c r="G214" i="74"/>
  <c r="F214" i="74"/>
  <c r="E214" i="74"/>
  <c r="D214" i="74"/>
  <c r="M214" i="74" s="1"/>
  <c r="N213" i="74"/>
  <c r="L213" i="74"/>
  <c r="K213" i="74"/>
  <c r="J213" i="74"/>
  <c r="I213" i="74"/>
  <c r="H213" i="74"/>
  <c r="G213" i="74"/>
  <c r="F213" i="74"/>
  <c r="E213" i="74"/>
  <c r="D213" i="74"/>
  <c r="M213" i="74" s="1"/>
  <c r="N212" i="74"/>
  <c r="L212" i="74"/>
  <c r="K212" i="74"/>
  <c r="J212" i="74"/>
  <c r="I212" i="74"/>
  <c r="H212" i="74"/>
  <c r="G212" i="74"/>
  <c r="F212" i="74"/>
  <c r="E212" i="74"/>
  <c r="D212" i="74"/>
  <c r="M212" i="74" s="1"/>
  <c r="N211" i="74"/>
  <c r="L211" i="74"/>
  <c r="K211" i="74"/>
  <c r="J211" i="74"/>
  <c r="M211" i="74" s="1"/>
  <c r="I211" i="74"/>
  <c r="H211" i="74"/>
  <c r="G211" i="74"/>
  <c r="F211" i="74"/>
  <c r="E211" i="74"/>
  <c r="D211" i="74"/>
  <c r="N210" i="74"/>
  <c r="L210" i="74"/>
  <c r="K210" i="74"/>
  <c r="J210" i="74"/>
  <c r="I210" i="74"/>
  <c r="H210" i="74"/>
  <c r="G210" i="74"/>
  <c r="F210" i="74"/>
  <c r="E210" i="74"/>
  <c r="M210" i="74" s="1"/>
  <c r="D210" i="74"/>
  <c r="N209" i="74"/>
  <c r="L209" i="74"/>
  <c r="K209" i="74"/>
  <c r="J209" i="74"/>
  <c r="I209" i="74"/>
  <c r="H209" i="74"/>
  <c r="G209" i="74"/>
  <c r="F209" i="74"/>
  <c r="E209" i="74"/>
  <c r="M209" i="74" s="1"/>
  <c r="D209" i="74"/>
  <c r="N208" i="74"/>
  <c r="L208" i="74"/>
  <c r="K208" i="74"/>
  <c r="J208" i="74"/>
  <c r="I208" i="74"/>
  <c r="H208" i="74"/>
  <c r="G208" i="74"/>
  <c r="F208" i="74"/>
  <c r="E208" i="74"/>
  <c r="D208" i="74"/>
  <c r="M208" i="74" s="1"/>
  <c r="N207" i="74"/>
  <c r="L207" i="74"/>
  <c r="K207" i="74"/>
  <c r="J207" i="74"/>
  <c r="I207" i="74"/>
  <c r="H207" i="74"/>
  <c r="G207" i="74"/>
  <c r="F207" i="74"/>
  <c r="E207" i="74"/>
  <c r="M207" i="74" s="1"/>
  <c r="D207" i="74"/>
  <c r="N206" i="74"/>
  <c r="L206" i="74"/>
  <c r="K206" i="74"/>
  <c r="J206" i="74"/>
  <c r="I206" i="74"/>
  <c r="H206" i="74"/>
  <c r="G206" i="74"/>
  <c r="F206" i="74"/>
  <c r="E206" i="74"/>
  <c r="D206" i="74"/>
  <c r="M206" i="74" s="1"/>
  <c r="N205" i="74"/>
  <c r="L205" i="74"/>
  <c r="K205" i="74"/>
  <c r="J205" i="74"/>
  <c r="I205" i="74"/>
  <c r="H205" i="74"/>
  <c r="G205" i="74"/>
  <c r="F205" i="74"/>
  <c r="E205" i="74"/>
  <c r="D205" i="74"/>
  <c r="M205" i="74" s="1"/>
  <c r="N204" i="74"/>
  <c r="L204" i="74"/>
  <c r="K204" i="74"/>
  <c r="J204" i="74"/>
  <c r="I204" i="74"/>
  <c r="H204" i="74"/>
  <c r="G204" i="74"/>
  <c r="F204" i="74"/>
  <c r="E204" i="74"/>
  <c r="D204" i="74"/>
  <c r="M204" i="74" s="1"/>
  <c r="N203" i="74"/>
  <c r="L203" i="74"/>
  <c r="K203" i="74"/>
  <c r="J203" i="74"/>
  <c r="M203" i="74" s="1"/>
  <c r="I203" i="74"/>
  <c r="H203" i="74"/>
  <c r="G203" i="74"/>
  <c r="F203" i="74"/>
  <c r="E203" i="74"/>
  <c r="D203" i="74"/>
  <c r="N202" i="74"/>
  <c r="L202" i="74"/>
  <c r="K202" i="74"/>
  <c r="J202" i="74"/>
  <c r="I202" i="74"/>
  <c r="H202" i="74"/>
  <c r="G202" i="74"/>
  <c r="F202" i="74"/>
  <c r="E202" i="74"/>
  <c r="M202" i="74" s="1"/>
  <c r="D202" i="74"/>
  <c r="N201" i="74"/>
  <c r="L201" i="74"/>
  <c r="K201" i="74"/>
  <c r="J201" i="74"/>
  <c r="I201" i="74"/>
  <c r="H201" i="74"/>
  <c r="G201" i="74"/>
  <c r="F201" i="74"/>
  <c r="E201" i="74"/>
  <c r="M201" i="74" s="1"/>
  <c r="D201" i="74"/>
  <c r="N200" i="74"/>
  <c r="L200" i="74"/>
  <c r="K200" i="74"/>
  <c r="J200" i="74"/>
  <c r="I200" i="74"/>
  <c r="H200" i="74"/>
  <c r="G200" i="74"/>
  <c r="F200" i="74"/>
  <c r="E200" i="74"/>
  <c r="D200" i="74"/>
  <c r="M200" i="74" s="1"/>
  <c r="N199" i="74"/>
  <c r="L199" i="74"/>
  <c r="K199" i="74"/>
  <c r="J199" i="74"/>
  <c r="I199" i="74"/>
  <c r="H199" i="74"/>
  <c r="G199" i="74"/>
  <c r="F199" i="74"/>
  <c r="E199" i="74"/>
  <c r="M199" i="74" s="1"/>
  <c r="D199" i="74"/>
  <c r="N198" i="74"/>
  <c r="L198" i="74"/>
  <c r="K198" i="74"/>
  <c r="J198" i="74"/>
  <c r="I198" i="74"/>
  <c r="H198" i="74"/>
  <c r="G198" i="74"/>
  <c r="F198" i="74"/>
  <c r="E198" i="74"/>
  <c r="D198" i="74"/>
  <c r="M198" i="74" s="1"/>
  <c r="N197" i="74"/>
  <c r="L197" i="74"/>
  <c r="K197" i="74"/>
  <c r="J197" i="74"/>
  <c r="I197" i="74"/>
  <c r="H197" i="74"/>
  <c r="G197" i="74"/>
  <c r="F197" i="74"/>
  <c r="E197" i="74"/>
  <c r="D197" i="74"/>
  <c r="M197" i="74" s="1"/>
  <c r="N196" i="74"/>
  <c r="L196" i="74"/>
  <c r="K196" i="74"/>
  <c r="J196" i="74"/>
  <c r="I196" i="74"/>
  <c r="H196" i="74"/>
  <c r="G196" i="74"/>
  <c r="F196" i="74"/>
  <c r="E196" i="74"/>
  <c r="D196" i="74"/>
  <c r="M196" i="74" s="1"/>
  <c r="N195" i="74"/>
  <c r="L195" i="74"/>
  <c r="K195" i="74"/>
  <c r="J195" i="74"/>
  <c r="M195" i="74" s="1"/>
  <c r="I195" i="74"/>
  <c r="H195" i="74"/>
  <c r="G195" i="74"/>
  <c r="F195" i="74"/>
  <c r="E195" i="74"/>
  <c r="D195" i="74"/>
  <c r="N194" i="74"/>
  <c r="L194" i="74"/>
  <c r="K194" i="74"/>
  <c r="J194" i="74"/>
  <c r="I194" i="74"/>
  <c r="H194" i="74"/>
  <c r="G194" i="74"/>
  <c r="F194" i="74"/>
  <c r="E194" i="74"/>
  <c r="M194" i="74" s="1"/>
  <c r="D194" i="74"/>
  <c r="N193" i="74"/>
  <c r="L193" i="74"/>
  <c r="K193" i="74"/>
  <c r="J193" i="74"/>
  <c r="I193" i="74"/>
  <c r="H193" i="74"/>
  <c r="G193" i="74"/>
  <c r="F193" i="74"/>
  <c r="E193" i="74"/>
  <c r="M193" i="74" s="1"/>
  <c r="D193" i="74"/>
  <c r="N192" i="74"/>
  <c r="L192" i="74"/>
  <c r="K192" i="74"/>
  <c r="J192" i="74"/>
  <c r="I192" i="74"/>
  <c r="H192" i="74"/>
  <c r="G192" i="74"/>
  <c r="F192" i="74"/>
  <c r="E192" i="74"/>
  <c r="D192" i="74"/>
  <c r="M192" i="74" s="1"/>
  <c r="N191" i="74"/>
  <c r="L191" i="74"/>
  <c r="K191" i="74"/>
  <c r="J191" i="74"/>
  <c r="I191" i="74"/>
  <c r="H191" i="74"/>
  <c r="G191" i="74"/>
  <c r="F191" i="74"/>
  <c r="E191" i="74"/>
  <c r="M191" i="74" s="1"/>
  <c r="D191" i="74"/>
  <c r="N190" i="74"/>
  <c r="L190" i="74"/>
  <c r="K190" i="74"/>
  <c r="J190" i="74"/>
  <c r="I190" i="74"/>
  <c r="H190" i="74"/>
  <c r="G190" i="74"/>
  <c r="F190" i="74"/>
  <c r="E190" i="74"/>
  <c r="D190" i="74"/>
  <c r="M190" i="74" s="1"/>
  <c r="N189" i="74"/>
  <c r="L189" i="74"/>
  <c r="K189" i="74"/>
  <c r="J189" i="74"/>
  <c r="I189" i="74"/>
  <c r="H189" i="74"/>
  <c r="G189" i="74"/>
  <c r="F189" i="74"/>
  <c r="E189" i="74"/>
  <c r="D189" i="74"/>
  <c r="M189" i="74" s="1"/>
  <c r="N188" i="74"/>
  <c r="L188" i="74"/>
  <c r="K188" i="74"/>
  <c r="J188" i="74"/>
  <c r="I188" i="74"/>
  <c r="H188" i="74"/>
  <c r="G188" i="74"/>
  <c r="F188" i="74"/>
  <c r="E188" i="74"/>
  <c r="D188" i="74"/>
  <c r="M188" i="74" s="1"/>
  <c r="N187" i="74"/>
  <c r="L187" i="74"/>
  <c r="K187" i="74"/>
  <c r="J187" i="74"/>
  <c r="M187" i="74" s="1"/>
  <c r="I187" i="74"/>
  <c r="H187" i="74"/>
  <c r="G187" i="74"/>
  <c r="F187" i="74"/>
  <c r="E187" i="74"/>
  <c r="D187" i="74"/>
  <c r="N186" i="74"/>
  <c r="L186" i="74"/>
  <c r="K186" i="74"/>
  <c r="J186" i="74"/>
  <c r="I186" i="74"/>
  <c r="H186" i="74"/>
  <c r="G186" i="74"/>
  <c r="F186" i="74"/>
  <c r="E186" i="74"/>
  <c r="M186" i="74" s="1"/>
  <c r="D186" i="74"/>
  <c r="N185" i="74"/>
  <c r="L185" i="74"/>
  <c r="K185" i="74"/>
  <c r="J185" i="74"/>
  <c r="I185" i="74"/>
  <c r="H185" i="74"/>
  <c r="G185" i="74"/>
  <c r="F185" i="74"/>
  <c r="E185" i="74"/>
  <c r="M185" i="74" s="1"/>
  <c r="D185" i="74"/>
  <c r="N184" i="74"/>
  <c r="L184" i="74"/>
  <c r="K184" i="74"/>
  <c r="J184" i="74"/>
  <c r="I184" i="74"/>
  <c r="H184" i="74"/>
  <c r="G184" i="74"/>
  <c r="F184" i="74"/>
  <c r="E184" i="74"/>
  <c r="D184" i="74"/>
  <c r="M184" i="74" s="1"/>
  <c r="N183" i="74"/>
  <c r="L183" i="74"/>
  <c r="K183" i="74"/>
  <c r="J183" i="74"/>
  <c r="I183" i="74"/>
  <c r="H183" i="74"/>
  <c r="G183" i="74"/>
  <c r="F183" i="74"/>
  <c r="E183" i="74"/>
  <c r="M183" i="74" s="1"/>
  <c r="D183" i="74"/>
  <c r="N182" i="74"/>
  <c r="L182" i="74"/>
  <c r="K182" i="74"/>
  <c r="J182" i="74"/>
  <c r="I182" i="74"/>
  <c r="H182" i="74"/>
  <c r="G182" i="74"/>
  <c r="F182" i="74"/>
  <c r="E182" i="74"/>
  <c r="D182" i="74"/>
  <c r="M182" i="74" s="1"/>
  <c r="N181" i="74"/>
  <c r="L181" i="74"/>
  <c r="K181" i="74"/>
  <c r="J181" i="74"/>
  <c r="I181" i="74"/>
  <c r="H181" i="74"/>
  <c r="G181" i="74"/>
  <c r="F181" i="74"/>
  <c r="E181" i="74"/>
  <c r="D181" i="74"/>
  <c r="M181" i="74" s="1"/>
  <c r="N180" i="74"/>
  <c r="L180" i="74"/>
  <c r="K180" i="74"/>
  <c r="J180" i="74"/>
  <c r="I180" i="74"/>
  <c r="H180" i="74"/>
  <c r="G180" i="74"/>
  <c r="F180" i="74"/>
  <c r="E180" i="74"/>
  <c r="D180" i="74"/>
  <c r="M180" i="74" s="1"/>
  <c r="N179" i="74"/>
  <c r="L179" i="74"/>
  <c r="K179" i="74"/>
  <c r="J179" i="74"/>
  <c r="M179" i="74" s="1"/>
  <c r="I179" i="74"/>
  <c r="H179" i="74"/>
  <c r="G179" i="74"/>
  <c r="F179" i="74"/>
  <c r="E179" i="74"/>
  <c r="D179" i="74"/>
  <c r="N178" i="74"/>
  <c r="L178" i="74"/>
  <c r="K178" i="74"/>
  <c r="J178" i="74"/>
  <c r="I178" i="74"/>
  <c r="H178" i="74"/>
  <c r="G178" i="74"/>
  <c r="F178" i="74"/>
  <c r="E178" i="74"/>
  <c r="M178" i="74" s="1"/>
  <c r="D178" i="74"/>
  <c r="N177" i="74"/>
  <c r="L177" i="74"/>
  <c r="K177" i="74"/>
  <c r="J177" i="74"/>
  <c r="I177" i="74"/>
  <c r="H177" i="74"/>
  <c r="G177" i="74"/>
  <c r="F177" i="74"/>
  <c r="E177" i="74"/>
  <c r="M177" i="74" s="1"/>
  <c r="D177" i="74"/>
  <c r="N176" i="74"/>
  <c r="L176" i="74"/>
  <c r="K176" i="74"/>
  <c r="J176" i="74"/>
  <c r="I176" i="74"/>
  <c r="H176" i="74"/>
  <c r="G176" i="74"/>
  <c r="F176" i="74"/>
  <c r="E176" i="74"/>
  <c r="D176" i="74"/>
  <c r="M176" i="74" s="1"/>
  <c r="N175" i="74"/>
  <c r="L175" i="74"/>
  <c r="K175" i="74"/>
  <c r="J175" i="74"/>
  <c r="I175" i="74"/>
  <c r="H175" i="74"/>
  <c r="G175" i="74"/>
  <c r="F175" i="74"/>
  <c r="E175" i="74"/>
  <c r="M175" i="74" s="1"/>
  <c r="D175" i="74"/>
  <c r="N174" i="74"/>
  <c r="L174" i="74"/>
  <c r="K174" i="74"/>
  <c r="J174" i="74"/>
  <c r="I174" i="74"/>
  <c r="H174" i="74"/>
  <c r="G174" i="74"/>
  <c r="F174" i="74"/>
  <c r="E174" i="74"/>
  <c r="D174" i="74"/>
  <c r="M174" i="74" s="1"/>
  <c r="N173" i="74"/>
  <c r="L173" i="74"/>
  <c r="K173" i="74"/>
  <c r="J173" i="74"/>
  <c r="I173" i="74"/>
  <c r="H173" i="74"/>
  <c r="G173" i="74"/>
  <c r="F173" i="74"/>
  <c r="E173" i="74"/>
  <c r="D173" i="74"/>
  <c r="M173" i="74" s="1"/>
  <c r="N172" i="74"/>
  <c r="L172" i="74"/>
  <c r="K172" i="74"/>
  <c r="J172" i="74"/>
  <c r="I172" i="74"/>
  <c r="H172" i="74"/>
  <c r="G172" i="74"/>
  <c r="F172" i="74"/>
  <c r="E172" i="74"/>
  <c r="D172" i="74"/>
  <c r="M172" i="74" s="1"/>
  <c r="N171" i="74"/>
  <c r="L171" i="74"/>
  <c r="K171" i="74"/>
  <c r="J171" i="74"/>
  <c r="M171" i="74" s="1"/>
  <c r="I171" i="74"/>
  <c r="H171" i="74"/>
  <c r="G171" i="74"/>
  <c r="F171" i="74"/>
  <c r="E171" i="74"/>
  <c r="D171" i="74"/>
  <c r="N170" i="74"/>
  <c r="L170" i="74"/>
  <c r="K170" i="74"/>
  <c r="J170" i="74"/>
  <c r="I170" i="74"/>
  <c r="H170" i="74"/>
  <c r="G170" i="74"/>
  <c r="F170" i="74"/>
  <c r="E170" i="74"/>
  <c r="M170" i="74" s="1"/>
  <c r="D170" i="74"/>
  <c r="N169" i="74"/>
  <c r="L169" i="74"/>
  <c r="K169" i="74"/>
  <c r="J169" i="74"/>
  <c r="I169" i="74"/>
  <c r="H169" i="74"/>
  <c r="G169" i="74"/>
  <c r="F169" i="74"/>
  <c r="E169" i="74"/>
  <c r="M169" i="74" s="1"/>
  <c r="D169" i="74"/>
  <c r="N168" i="74"/>
  <c r="L168" i="74"/>
  <c r="K168" i="74"/>
  <c r="J168" i="74"/>
  <c r="I168" i="74"/>
  <c r="H168" i="74"/>
  <c r="G168" i="74"/>
  <c r="F168" i="74"/>
  <c r="E168" i="74"/>
  <c r="D168" i="74"/>
  <c r="M168" i="74" s="1"/>
  <c r="N167" i="74"/>
  <c r="L167" i="74"/>
  <c r="K167" i="74"/>
  <c r="J167" i="74"/>
  <c r="I167" i="74"/>
  <c r="H167" i="74"/>
  <c r="G167" i="74"/>
  <c r="F167" i="74"/>
  <c r="E167" i="74"/>
  <c r="M167" i="74" s="1"/>
  <c r="D167" i="74"/>
  <c r="N166" i="74"/>
  <c r="L166" i="74"/>
  <c r="K166" i="74"/>
  <c r="J166" i="74"/>
  <c r="I166" i="74"/>
  <c r="H166" i="74"/>
  <c r="G166" i="74"/>
  <c r="F166" i="74"/>
  <c r="E166" i="74"/>
  <c r="D166" i="74"/>
  <c r="M166" i="74" s="1"/>
  <c r="N165" i="74"/>
  <c r="L165" i="74"/>
  <c r="K165" i="74"/>
  <c r="J165" i="74"/>
  <c r="I165" i="74"/>
  <c r="H165" i="74"/>
  <c r="G165" i="74"/>
  <c r="F165" i="74"/>
  <c r="E165" i="74"/>
  <c r="D165" i="74"/>
  <c r="M165" i="74" s="1"/>
  <c r="N164" i="74"/>
  <c r="L164" i="74"/>
  <c r="K164" i="74"/>
  <c r="J164" i="74"/>
  <c r="I164" i="74"/>
  <c r="H164" i="74"/>
  <c r="G164" i="74"/>
  <c r="F164" i="74"/>
  <c r="E164" i="74"/>
  <c r="D164" i="74"/>
  <c r="M164" i="74" s="1"/>
  <c r="N163" i="74"/>
  <c r="L163" i="74"/>
  <c r="K163" i="74"/>
  <c r="J163" i="74"/>
  <c r="M163" i="74" s="1"/>
  <c r="I163" i="74"/>
  <c r="H163" i="74"/>
  <c r="G163" i="74"/>
  <c r="F163" i="74"/>
  <c r="E163" i="74"/>
  <c r="D163" i="74"/>
  <c r="N162" i="74"/>
  <c r="L162" i="74"/>
  <c r="K162" i="74"/>
  <c r="J162" i="74"/>
  <c r="I162" i="74"/>
  <c r="H162" i="74"/>
  <c r="G162" i="74"/>
  <c r="F162" i="74"/>
  <c r="E162" i="74"/>
  <c r="M162" i="74" s="1"/>
  <c r="D162" i="74"/>
  <c r="N161" i="74"/>
  <c r="L161" i="74"/>
  <c r="K161" i="74"/>
  <c r="J161" i="74"/>
  <c r="I161" i="74"/>
  <c r="H161" i="74"/>
  <c r="G161" i="74"/>
  <c r="F161" i="74"/>
  <c r="E161" i="74"/>
  <c r="M161" i="74" s="1"/>
  <c r="D161" i="74"/>
  <c r="N160" i="74"/>
  <c r="L160" i="74"/>
  <c r="K160" i="74"/>
  <c r="J160" i="74"/>
  <c r="I160" i="74"/>
  <c r="H160" i="74"/>
  <c r="G160" i="74"/>
  <c r="F160" i="74"/>
  <c r="E160" i="74"/>
  <c r="D160" i="74"/>
  <c r="M160" i="74" s="1"/>
  <c r="N159" i="74"/>
  <c r="L159" i="74"/>
  <c r="K159" i="74"/>
  <c r="J159" i="74"/>
  <c r="I159" i="74"/>
  <c r="H159" i="74"/>
  <c r="G159" i="74"/>
  <c r="F159" i="74"/>
  <c r="E159" i="74"/>
  <c r="M159" i="74" s="1"/>
  <c r="D159" i="74"/>
  <c r="N158" i="74"/>
  <c r="L158" i="74"/>
  <c r="K158" i="74"/>
  <c r="J158" i="74"/>
  <c r="I158" i="74"/>
  <c r="H158" i="74"/>
  <c r="G158" i="74"/>
  <c r="F158" i="74"/>
  <c r="E158" i="74"/>
  <c r="D158" i="74"/>
  <c r="M158" i="74" s="1"/>
  <c r="N157" i="74"/>
  <c r="L157" i="74"/>
  <c r="K157" i="74"/>
  <c r="J157" i="74"/>
  <c r="I157" i="74"/>
  <c r="H157" i="74"/>
  <c r="G157" i="74"/>
  <c r="F157" i="74"/>
  <c r="E157" i="74"/>
  <c r="D157" i="74"/>
  <c r="M157" i="74" s="1"/>
  <c r="N156" i="74"/>
  <c r="L156" i="74"/>
  <c r="K156" i="74"/>
  <c r="J156" i="74"/>
  <c r="I156" i="74"/>
  <c r="H156" i="74"/>
  <c r="G156" i="74"/>
  <c r="F156" i="74"/>
  <c r="E156" i="74"/>
  <c r="D156" i="74"/>
  <c r="M156" i="74" s="1"/>
  <c r="N155" i="74"/>
  <c r="L155" i="74"/>
  <c r="K155" i="74"/>
  <c r="J155" i="74"/>
  <c r="M155" i="74" s="1"/>
  <c r="I155" i="74"/>
  <c r="H155" i="74"/>
  <c r="G155" i="74"/>
  <c r="F155" i="74"/>
  <c r="E155" i="74"/>
  <c r="D155" i="74"/>
  <c r="N154" i="74"/>
  <c r="L154" i="74"/>
  <c r="K154" i="74"/>
  <c r="J154" i="74"/>
  <c r="I154" i="74"/>
  <c r="H154" i="74"/>
  <c r="G154" i="74"/>
  <c r="F154" i="74"/>
  <c r="E154" i="74"/>
  <c r="M154" i="74" s="1"/>
  <c r="D154" i="74"/>
  <c r="N153" i="74"/>
  <c r="L153" i="74"/>
  <c r="K153" i="74"/>
  <c r="J153" i="74"/>
  <c r="I153" i="74"/>
  <c r="H153" i="74"/>
  <c r="G153" i="74"/>
  <c r="F153" i="74"/>
  <c r="E153" i="74"/>
  <c r="M153" i="74" s="1"/>
  <c r="D153" i="74"/>
  <c r="N152" i="74"/>
  <c r="L152" i="74"/>
  <c r="K152" i="74"/>
  <c r="J152" i="74"/>
  <c r="I152" i="74"/>
  <c r="H152" i="74"/>
  <c r="G152" i="74"/>
  <c r="F152" i="74"/>
  <c r="E152" i="74"/>
  <c r="D152" i="74"/>
  <c r="M152" i="74" s="1"/>
  <c r="N151" i="74"/>
  <c r="L151" i="74"/>
  <c r="K151" i="74"/>
  <c r="J151" i="74"/>
  <c r="I151" i="74"/>
  <c r="H151" i="74"/>
  <c r="G151" i="74"/>
  <c r="F151" i="74"/>
  <c r="E151" i="74"/>
  <c r="M151" i="74" s="1"/>
  <c r="D151" i="74"/>
  <c r="N150" i="74"/>
  <c r="L150" i="74"/>
  <c r="K150" i="74"/>
  <c r="J150" i="74"/>
  <c r="I150" i="74"/>
  <c r="H150" i="74"/>
  <c r="G150" i="74"/>
  <c r="F150" i="74"/>
  <c r="E150" i="74"/>
  <c r="D150" i="74"/>
  <c r="M150" i="74" s="1"/>
  <c r="N149" i="74"/>
  <c r="L149" i="74"/>
  <c r="K149" i="74"/>
  <c r="J149" i="74"/>
  <c r="I149" i="74"/>
  <c r="H149" i="74"/>
  <c r="G149" i="74"/>
  <c r="F149" i="74"/>
  <c r="E149" i="74"/>
  <c r="D149" i="74"/>
  <c r="M149" i="74" s="1"/>
  <c r="N148" i="74"/>
  <c r="L148" i="74"/>
  <c r="K148" i="74"/>
  <c r="J148" i="74"/>
  <c r="I148" i="74"/>
  <c r="H148" i="74"/>
  <c r="G148" i="74"/>
  <c r="F148" i="74"/>
  <c r="E148" i="74"/>
  <c r="D148" i="74"/>
  <c r="M148" i="74" s="1"/>
  <c r="N147" i="74"/>
  <c r="L147" i="74"/>
  <c r="K147" i="74"/>
  <c r="J147" i="74"/>
  <c r="M147" i="74" s="1"/>
  <c r="I147" i="74"/>
  <c r="H147" i="74"/>
  <c r="G147" i="74"/>
  <c r="F147" i="74"/>
  <c r="E147" i="74"/>
  <c r="D147" i="74"/>
  <c r="N146" i="74"/>
  <c r="L146" i="74"/>
  <c r="K146" i="74"/>
  <c r="J146" i="74"/>
  <c r="I146" i="74"/>
  <c r="H146" i="74"/>
  <c r="G146" i="74"/>
  <c r="F146" i="74"/>
  <c r="E146" i="74"/>
  <c r="M146" i="74" s="1"/>
  <c r="D146" i="74"/>
  <c r="N145" i="74"/>
  <c r="L145" i="74"/>
  <c r="K145" i="74"/>
  <c r="J145" i="74"/>
  <c r="I145" i="74"/>
  <c r="H145" i="74"/>
  <c r="G145" i="74"/>
  <c r="F145" i="74"/>
  <c r="E145" i="74"/>
  <c r="M145" i="74" s="1"/>
  <c r="D145" i="74"/>
  <c r="N144" i="74"/>
  <c r="L144" i="74"/>
  <c r="K144" i="74"/>
  <c r="J144" i="74"/>
  <c r="I144" i="74"/>
  <c r="H144" i="74"/>
  <c r="G144" i="74"/>
  <c r="F144" i="74"/>
  <c r="E144" i="74"/>
  <c r="D144" i="74"/>
  <c r="M144" i="74" s="1"/>
  <c r="N143" i="74"/>
  <c r="L143" i="74"/>
  <c r="K143" i="74"/>
  <c r="J143" i="74"/>
  <c r="I143" i="74"/>
  <c r="H143" i="74"/>
  <c r="G143" i="74"/>
  <c r="F143" i="74"/>
  <c r="E143" i="74"/>
  <c r="M143" i="74" s="1"/>
  <c r="D143" i="74"/>
  <c r="N142" i="74"/>
  <c r="L142" i="74"/>
  <c r="K142" i="74"/>
  <c r="J142" i="74"/>
  <c r="I142" i="74"/>
  <c r="H142" i="74"/>
  <c r="G142" i="74"/>
  <c r="F142" i="74"/>
  <c r="E142" i="74"/>
  <c r="D142" i="74"/>
  <c r="M142" i="74" s="1"/>
  <c r="N141" i="74"/>
  <c r="L141" i="74"/>
  <c r="K141" i="74"/>
  <c r="J141" i="74"/>
  <c r="I141" i="74"/>
  <c r="H141" i="74"/>
  <c r="G141" i="74"/>
  <c r="F141" i="74"/>
  <c r="E141" i="74"/>
  <c r="D141" i="74"/>
  <c r="M141" i="74" s="1"/>
  <c r="N140" i="74"/>
  <c r="L140" i="74"/>
  <c r="K140" i="74"/>
  <c r="J140" i="74"/>
  <c r="I140" i="74"/>
  <c r="H140" i="74"/>
  <c r="G140" i="74"/>
  <c r="F140" i="74"/>
  <c r="E140" i="74"/>
  <c r="D140" i="74"/>
  <c r="M140" i="74" s="1"/>
  <c r="N139" i="74"/>
  <c r="L139" i="74"/>
  <c r="K139" i="74"/>
  <c r="J139" i="74"/>
  <c r="M139" i="74" s="1"/>
  <c r="I139" i="74"/>
  <c r="H139" i="74"/>
  <c r="G139" i="74"/>
  <c r="F139" i="74"/>
  <c r="E139" i="74"/>
  <c r="D139" i="74"/>
  <c r="N138" i="74"/>
  <c r="L138" i="74"/>
  <c r="K138" i="74"/>
  <c r="J138" i="74"/>
  <c r="I138" i="74"/>
  <c r="H138" i="74"/>
  <c r="G138" i="74"/>
  <c r="F138" i="74"/>
  <c r="E138" i="74"/>
  <c r="M138" i="74" s="1"/>
  <c r="D138" i="74"/>
  <c r="N137" i="74"/>
  <c r="L137" i="74"/>
  <c r="K137" i="74"/>
  <c r="J137" i="74"/>
  <c r="I137" i="74"/>
  <c r="H137" i="74"/>
  <c r="G137" i="74"/>
  <c r="F137" i="74"/>
  <c r="E137" i="74"/>
  <c r="M137" i="74" s="1"/>
  <c r="D137" i="74"/>
  <c r="N136" i="74"/>
  <c r="L136" i="74"/>
  <c r="K136" i="74"/>
  <c r="J136" i="74"/>
  <c r="I136" i="74"/>
  <c r="H136" i="74"/>
  <c r="G136" i="74"/>
  <c r="F136" i="74"/>
  <c r="E136" i="74"/>
  <c r="D136" i="74"/>
  <c r="M136" i="74" s="1"/>
  <c r="N135" i="74"/>
  <c r="L135" i="74"/>
  <c r="K135" i="74"/>
  <c r="J135" i="74"/>
  <c r="I135" i="74"/>
  <c r="H135" i="74"/>
  <c r="G135" i="74"/>
  <c r="F135" i="74"/>
  <c r="E135" i="74"/>
  <c r="M135" i="74" s="1"/>
  <c r="D135" i="74"/>
  <c r="N134" i="74"/>
  <c r="L134" i="74"/>
  <c r="K134" i="74"/>
  <c r="J134" i="74"/>
  <c r="I134" i="74"/>
  <c r="H134" i="74"/>
  <c r="G134" i="74"/>
  <c r="F134" i="74"/>
  <c r="E134" i="74"/>
  <c r="D134" i="74"/>
  <c r="M134" i="74" s="1"/>
  <c r="N133" i="74"/>
  <c r="L133" i="74"/>
  <c r="K133" i="74"/>
  <c r="J133" i="74"/>
  <c r="I133" i="74"/>
  <c r="H133" i="74"/>
  <c r="G133" i="74"/>
  <c r="F133" i="74"/>
  <c r="E133" i="74"/>
  <c r="D133" i="74"/>
  <c r="M133" i="74" s="1"/>
  <c r="N132" i="74"/>
  <c r="L132" i="74"/>
  <c r="K132" i="74"/>
  <c r="J132" i="74"/>
  <c r="I132" i="74"/>
  <c r="H132" i="74"/>
  <c r="G132" i="74"/>
  <c r="F132" i="74"/>
  <c r="E132" i="74"/>
  <c r="D132" i="74"/>
  <c r="M132" i="74" s="1"/>
  <c r="N131" i="74"/>
  <c r="L131" i="74"/>
  <c r="K131" i="74"/>
  <c r="J131" i="74"/>
  <c r="M131" i="74" s="1"/>
  <c r="I131" i="74"/>
  <c r="H131" i="74"/>
  <c r="G131" i="74"/>
  <c r="F131" i="74"/>
  <c r="E131" i="74"/>
  <c r="D131" i="74"/>
  <c r="N130" i="74"/>
  <c r="L130" i="74"/>
  <c r="K130" i="74"/>
  <c r="J130" i="74"/>
  <c r="I130" i="74"/>
  <c r="H130" i="74"/>
  <c r="G130" i="74"/>
  <c r="F130" i="74"/>
  <c r="E130" i="74"/>
  <c r="M130" i="74" s="1"/>
  <c r="D130" i="74"/>
  <c r="N129" i="74"/>
  <c r="L129" i="74"/>
  <c r="K129" i="74"/>
  <c r="J129" i="74"/>
  <c r="I129" i="74"/>
  <c r="H129" i="74"/>
  <c r="G129" i="74"/>
  <c r="F129" i="74"/>
  <c r="E129" i="74"/>
  <c r="M129" i="74" s="1"/>
  <c r="D129" i="74"/>
  <c r="N128" i="74"/>
  <c r="L128" i="74"/>
  <c r="K128" i="74"/>
  <c r="J128" i="74"/>
  <c r="I128" i="74"/>
  <c r="H128" i="74"/>
  <c r="G128" i="74"/>
  <c r="F128" i="74"/>
  <c r="E128" i="74"/>
  <c r="D128" i="74"/>
  <c r="M128" i="74" s="1"/>
  <c r="N127" i="74"/>
  <c r="L127" i="74"/>
  <c r="K127" i="74"/>
  <c r="J127" i="74"/>
  <c r="I127" i="74"/>
  <c r="H127" i="74"/>
  <c r="G127" i="74"/>
  <c r="F127" i="74"/>
  <c r="E127" i="74"/>
  <c r="M127" i="74" s="1"/>
  <c r="D127" i="74"/>
  <c r="N126" i="74"/>
  <c r="L126" i="74"/>
  <c r="K126" i="74"/>
  <c r="J126" i="74"/>
  <c r="I126" i="74"/>
  <c r="H126" i="74"/>
  <c r="G126" i="74"/>
  <c r="F126" i="74"/>
  <c r="E126" i="74"/>
  <c r="D126" i="74"/>
  <c r="M126" i="74" s="1"/>
  <c r="N125" i="74"/>
  <c r="L125" i="74"/>
  <c r="K125" i="74"/>
  <c r="J125" i="74"/>
  <c r="I125" i="74"/>
  <c r="H125" i="74"/>
  <c r="G125" i="74"/>
  <c r="F125" i="74"/>
  <c r="E125" i="74"/>
  <c r="D125" i="74"/>
  <c r="M125" i="74" s="1"/>
  <c r="N124" i="74"/>
  <c r="L124" i="74"/>
  <c r="K124" i="74"/>
  <c r="J124" i="74"/>
  <c r="I124" i="74"/>
  <c r="H124" i="74"/>
  <c r="G124" i="74"/>
  <c r="F124" i="74"/>
  <c r="E124" i="74"/>
  <c r="D124" i="74"/>
  <c r="M124" i="74" s="1"/>
  <c r="N123" i="74"/>
  <c r="L123" i="74"/>
  <c r="K123" i="74"/>
  <c r="J123" i="74"/>
  <c r="M123" i="74" s="1"/>
  <c r="I123" i="74"/>
  <c r="H123" i="74"/>
  <c r="G123" i="74"/>
  <c r="F123" i="74"/>
  <c r="E123" i="74"/>
  <c r="D123" i="74"/>
  <c r="N122" i="74"/>
  <c r="L122" i="74"/>
  <c r="K122" i="74"/>
  <c r="J122" i="74"/>
  <c r="I122" i="74"/>
  <c r="H122" i="74"/>
  <c r="G122" i="74"/>
  <c r="F122" i="74"/>
  <c r="E122" i="74"/>
  <c r="M122" i="74" s="1"/>
  <c r="D122" i="74"/>
  <c r="N121" i="74"/>
  <c r="L121" i="74"/>
  <c r="K121" i="74"/>
  <c r="J121" i="74"/>
  <c r="I121" i="74"/>
  <c r="H121" i="74"/>
  <c r="G121" i="74"/>
  <c r="F121" i="74"/>
  <c r="E121" i="74"/>
  <c r="M121" i="74" s="1"/>
  <c r="D121" i="74"/>
  <c r="N120" i="74"/>
  <c r="L120" i="74"/>
  <c r="K120" i="74"/>
  <c r="J120" i="74"/>
  <c r="I120" i="74"/>
  <c r="H120" i="74"/>
  <c r="G120" i="74"/>
  <c r="F120" i="74"/>
  <c r="E120" i="74"/>
  <c r="D120" i="74"/>
  <c r="M120" i="74" s="1"/>
  <c r="N119" i="74"/>
  <c r="L119" i="74"/>
  <c r="K119" i="74"/>
  <c r="J119" i="74"/>
  <c r="I119" i="74"/>
  <c r="H119" i="74"/>
  <c r="G119" i="74"/>
  <c r="F119" i="74"/>
  <c r="E119" i="74"/>
  <c r="M119" i="74" s="1"/>
  <c r="D119" i="74"/>
  <c r="N118" i="74"/>
  <c r="L118" i="74"/>
  <c r="K118" i="74"/>
  <c r="J118" i="74"/>
  <c r="I118" i="74"/>
  <c r="H118" i="74"/>
  <c r="G118" i="74"/>
  <c r="F118" i="74"/>
  <c r="E118" i="74"/>
  <c r="D118" i="74"/>
  <c r="M118" i="74" s="1"/>
  <c r="N117" i="74"/>
  <c r="L117" i="74"/>
  <c r="K117" i="74"/>
  <c r="J117" i="74"/>
  <c r="I117" i="74"/>
  <c r="H117" i="74"/>
  <c r="G117" i="74"/>
  <c r="F117" i="74"/>
  <c r="E117" i="74"/>
  <c r="D117" i="74"/>
  <c r="M117" i="74" s="1"/>
  <c r="N116" i="74"/>
  <c r="L116" i="74"/>
  <c r="K116" i="74"/>
  <c r="J116" i="74"/>
  <c r="I116" i="74"/>
  <c r="H116" i="74"/>
  <c r="G116" i="74"/>
  <c r="F116" i="74"/>
  <c r="E116" i="74"/>
  <c r="D116" i="74"/>
  <c r="M116" i="74" s="1"/>
  <c r="N115" i="74"/>
  <c r="L115" i="74"/>
  <c r="K115" i="74"/>
  <c r="J115" i="74"/>
  <c r="M115" i="74" s="1"/>
  <c r="I115" i="74"/>
  <c r="H115" i="74"/>
  <c r="G115" i="74"/>
  <c r="F115" i="74"/>
  <c r="E115" i="74"/>
  <c r="D115" i="74"/>
  <c r="N114" i="74"/>
  <c r="L114" i="74"/>
  <c r="K114" i="74"/>
  <c r="J114" i="74"/>
  <c r="I114" i="74"/>
  <c r="H114" i="74"/>
  <c r="G114" i="74"/>
  <c r="F114" i="74"/>
  <c r="E114" i="74"/>
  <c r="M114" i="74" s="1"/>
  <c r="D114" i="74"/>
  <c r="N113" i="74"/>
  <c r="L113" i="74"/>
  <c r="K113" i="74"/>
  <c r="J113" i="74"/>
  <c r="I113" i="74"/>
  <c r="H113" i="74"/>
  <c r="G113" i="74"/>
  <c r="F113" i="74"/>
  <c r="E113" i="74"/>
  <c r="M113" i="74" s="1"/>
  <c r="D113" i="74"/>
  <c r="N112" i="74"/>
  <c r="L112" i="74"/>
  <c r="K112" i="74"/>
  <c r="J112" i="74"/>
  <c r="I112" i="74"/>
  <c r="H112" i="74"/>
  <c r="G112" i="74"/>
  <c r="F112" i="74"/>
  <c r="E112" i="74"/>
  <c r="D112" i="74"/>
  <c r="M112" i="74" s="1"/>
  <c r="N111" i="74"/>
  <c r="L111" i="74"/>
  <c r="K111" i="74"/>
  <c r="J111" i="74"/>
  <c r="I111" i="74"/>
  <c r="H111" i="74"/>
  <c r="G111" i="74"/>
  <c r="F111" i="74"/>
  <c r="E111" i="74"/>
  <c r="M111" i="74" s="1"/>
  <c r="D111" i="74"/>
  <c r="N110" i="74"/>
  <c r="L110" i="74"/>
  <c r="K110" i="74"/>
  <c r="J110" i="74"/>
  <c r="I110" i="74"/>
  <c r="H110" i="74"/>
  <c r="G110" i="74"/>
  <c r="F110" i="74"/>
  <c r="E110" i="74"/>
  <c r="D110" i="74"/>
  <c r="M110" i="74" s="1"/>
  <c r="N109" i="74"/>
  <c r="L109" i="74"/>
  <c r="K109" i="74"/>
  <c r="J109" i="74"/>
  <c r="I109" i="74"/>
  <c r="H109" i="74"/>
  <c r="G109" i="74"/>
  <c r="F109" i="74"/>
  <c r="E109" i="74"/>
  <c r="D109" i="74"/>
  <c r="M109" i="74" s="1"/>
  <c r="N108" i="74"/>
  <c r="L108" i="74"/>
  <c r="K108" i="74"/>
  <c r="J108" i="74"/>
  <c r="I108" i="74"/>
  <c r="H108" i="74"/>
  <c r="G108" i="74"/>
  <c r="F108" i="74"/>
  <c r="E108" i="74"/>
  <c r="D108" i="74"/>
  <c r="M108" i="74" s="1"/>
  <c r="N107" i="74"/>
  <c r="L107" i="74"/>
  <c r="K107" i="74"/>
  <c r="J107" i="74"/>
  <c r="M107" i="74" s="1"/>
  <c r="I107" i="74"/>
  <c r="H107" i="74"/>
  <c r="G107" i="74"/>
  <c r="F107" i="74"/>
  <c r="E107" i="74"/>
  <c r="D107" i="74"/>
  <c r="N106" i="74"/>
  <c r="L106" i="74"/>
  <c r="K106" i="74"/>
  <c r="J106" i="74"/>
  <c r="I106" i="74"/>
  <c r="H106" i="74"/>
  <c r="G106" i="74"/>
  <c r="F106" i="74"/>
  <c r="E106" i="74"/>
  <c r="M106" i="74" s="1"/>
  <c r="D106" i="74"/>
  <c r="N105" i="74"/>
  <c r="L105" i="74"/>
  <c r="K105" i="74"/>
  <c r="J105" i="74"/>
  <c r="I105" i="74"/>
  <c r="H105" i="74"/>
  <c r="G105" i="74"/>
  <c r="F105" i="74"/>
  <c r="E105" i="74"/>
  <c r="M105" i="74" s="1"/>
  <c r="D105" i="74"/>
  <c r="N104" i="74"/>
  <c r="L104" i="74"/>
  <c r="K104" i="74"/>
  <c r="J104" i="74"/>
  <c r="I104" i="74"/>
  <c r="H104" i="74"/>
  <c r="G104" i="74"/>
  <c r="F104" i="74"/>
  <c r="E104" i="74"/>
  <c r="D104" i="74"/>
  <c r="M104" i="74" s="1"/>
  <c r="N103" i="74"/>
  <c r="L103" i="74"/>
  <c r="K103" i="74"/>
  <c r="J103" i="74"/>
  <c r="I103" i="74"/>
  <c r="H103" i="74"/>
  <c r="G103" i="74"/>
  <c r="F103" i="74"/>
  <c r="E103" i="74"/>
  <c r="M103" i="74" s="1"/>
  <c r="D103" i="74"/>
  <c r="N102" i="74"/>
  <c r="L102" i="74"/>
  <c r="K102" i="74"/>
  <c r="J102" i="74"/>
  <c r="I102" i="74"/>
  <c r="H102" i="74"/>
  <c r="G102" i="74"/>
  <c r="F102" i="74"/>
  <c r="E102" i="74"/>
  <c r="D102" i="74"/>
  <c r="M102" i="74" s="1"/>
  <c r="N101" i="74"/>
  <c r="L101" i="74"/>
  <c r="K101" i="74"/>
  <c r="J101" i="74"/>
  <c r="I101" i="74"/>
  <c r="H101" i="74"/>
  <c r="G101" i="74"/>
  <c r="F101" i="74"/>
  <c r="E101" i="74"/>
  <c r="D101" i="74"/>
  <c r="M101" i="74" s="1"/>
  <c r="N100" i="74"/>
  <c r="L100" i="74"/>
  <c r="K100" i="74"/>
  <c r="J100" i="74"/>
  <c r="I100" i="74"/>
  <c r="H100" i="74"/>
  <c r="G100" i="74"/>
  <c r="F100" i="74"/>
  <c r="E100" i="74"/>
  <c r="D100" i="74"/>
  <c r="M100" i="74" s="1"/>
  <c r="N99" i="74"/>
  <c r="L99" i="74"/>
  <c r="K99" i="74"/>
  <c r="J99" i="74"/>
  <c r="M99" i="74" s="1"/>
  <c r="I99" i="74"/>
  <c r="H99" i="74"/>
  <c r="G99" i="74"/>
  <c r="F99" i="74"/>
  <c r="E99" i="74"/>
  <c r="D99" i="74"/>
  <c r="N98" i="74"/>
  <c r="L98" i="74"/>
  <c r="K98" i="74"/>
  <c r="J98" i="74"/>
  <c r="I98" i="74"/>
  <c r="H98" i="74"/>
  <c r="G98" i="74"/>
  <c r="F98" i="74"/>
  <c r="E98" i="74"/>
  <c r="M98" i="74" s="1"/>
  <c r="D98" i="74"/>
  <c r="N97" i="74"/>
  <c r="L97" i="74"/>
  <c r="K97" i="74"/>
  <c r="J97" i="74"/>
  <c r="I97" i="74"/>
  <c r="H97" i="74"/>
  <c r="G97" i="74"/>
  <c r="F97" i="74"/>
  <c r="E97" i="74"/>
  <c r="M97" i="74" s="1"/>
  <c r="D97" i="74"/>
  <c r="N96" i="74"/>
  <c r="L96" i="74"/>
  <c r="K96" i="74"/>
  <c r="J96" i="74"/>
  <c r="I96" i="74"/>
  <c r="H96" i="74"/>
  <c r="G96" i="74"/>
  <c r="F96" i="74"/>
  <c r="E96" i="74"/>
  <c r="D96" i="74"/>
  <c r="M96" i="74" s="1"/>
  <c r="N95" i="74"/>
  <c r="L95" i="74"/>
  <c r="K95" i="74"/>
  <c r="J95" i="74"/>
  <c r="I95" i="74"/>
  <c r="H95" i="74"/>
  <c r="G95" i="74"/>
  <c r="F95" i="74"/>
  <c r="E95" i="74"/>
  <c r="M95" i="74" s="1"/>
  <c r="D95" i="74"/>
  <c r="N94" i="74"/>
  <c r="L94" i="74"/>
  <c r="K94" i="74"/>
  <c r="J94" i="74"/>
  <c r="M94" i="74" s="1"/>
  <c r="I94" i="74"/>
  <c r="H94" i="74"/>
  <c r="G94" i="74"/>
  <c r="F94" i="74"/>
  <c r="E94" i="74"/>
  <c r="D94" i="74"/>
  <c r="N93" i="74"/>
  <c r="L93" i="74"/>
  <c r="K93" i="74"/>
  <c r="J93" i="74"/>
  <c r="I93" i="74"/>
  <c r="H93" i="74"/>
  <c r="G93" i="74"/>
  <c r="F93" i="74"/>
  <c r="E93" i="74"/>
  <c r="D93" i="74"/>
  <c r="M93" i="74" s="1"/>
  <c r="N92" i="74"/>
  <c r="L92" i="74"/>
  <c r="K92" i="74"/>
  <c r="J92" i="74"/>
  <c r="I92" i="74"/>
  <c r="H92" i="74"/>
  <c r="G92" i="74"/>
  <c r="F92" i="74"/>
  <c r="E92" i="74"/>
  <c r="D92" i="74"/>
  <c r="M92" i="74" s="1"/>
  <c r="N91" i="74"/>
  <c r="L91" i="74"/>
  <c r="K91" i="74"/>
  <c r="J91" i="74"/>
  <c r="M91" i="74" s="1"/>
  <c r="I91" i="74"/>
  <c r="H91" i="74"/>
  <c r="G91" i="74"/>
  <c r="F91" i="74"/>
  <c r="E91" i="74"/>
  <c r="D91" i="74"/>
  <c r="N90" i="74"/>
  <c r="L90" i="74"/>
  <c r="K90" i="74"/>
  <c r="J90" i="74"/>
  <c r="I90" i="74"/>
  <c r="H90" i="74"/>
  <c r="G90" i="74"/>
  <c r="F90" i="74"/>
  <c r="E90" i="74"/>
  <c r="M90" i="74" s="1"/>
  <c r="D90" i="74"/>
  <c r="N89" i="74"/>
  <c r="L89" i="74"/>
  <c r="K89" i="74"/>
  <c r="J89" i="74"/>
  <c r="I89" i="74"/>
  <c r="H89" i="74"/>
  <c r="G89" i="74"/>
  <c r="F89" i="74"/>
  <c r="E89" i="74"/>
  <c r="M89" i="74" s="1"/>
  <c r="D89" i="74"/>
  <c r="N88" i="74"/>
  <c r="L88" i="74"/>
  <c r="K88" i="74"/>
  <c r="J88" i="74"/>
  <c r="I88" i="74"/>
  <c r="H88" i="74"/>
  <c r="G88" i="74"/>
  <c r="F88" i="74"/>
  <c r="E88" i="74"/>
  <c r="D88" i="74"/>
  <c r="M88" i="74" s="1"/>
  <c r="N87" i="74"/>
  <c r="L87" i="74"/>
  <c r="K87" i="74"/>
  <c r="J87" i="74"/>
  <c r="I87" i="74"/>
  <c r="H87" i="74"/>
  <c r="G87" i="74"/>
  <c r="F87" i="74"/>
  <c r="E87" i="74"/>
  <c r="M87" i="74" s="1"/>
  <c r="D87" i="74"/>
  <c r="N86" i="74"/>
  <c r="L86" i="74"/>
  <c r="K86" i="74"/>
  <c r="J86" i="74"/>
  <c r="M86" i="74" s="1"/>
  <c r="I86" i="74"/>
  <c r="H86" i="74"/>
  <c r="G86" i="74"/>
  <c r="F86" i="74"/>
  <c r="E86" i="74"/>
  <c r="D86" i="74"/>
  <c r="N85" i="74"/>
  <c r="L85" i="74"/>
  <c r="K85" i="74"/>
  <c r="J85" i="74"/>
  <c r="I85" i="74"/>
  <c r="H85" i="74"/>
  <c r="G85" i="74"/>
  <c r="F85" i="74"/>
  <c r="E85" i="74"/>
  <c r="D85" i="74"/>
  <c r="M85" i="74" s="1"/>
  <c r="N84" i="74"/>
  <c r="L84" i="74"/>
  <c r="K84" i="74"/>
  <c r="J84" i="74"/>
  <c r="I84" i="74"/>
  <c r="H84" i="74"/>
  <c r="G84" i="74"/>
  <c r="F84" i="74"/>
  <c r="E84" i="74"/>
  <c r="D84" i="74"/>
  <c r="M84" i="74" s="1"/>
  <c r="N83" i="74"/>
  <c r="L83" i="74"/>
  <c r="K83" i="74"/>
  <c r="J83" i="74"/>
  <c r="M83" i="74" s="1"/>
  <c r="I83" i="74"/>
  <c r="H83" i="74"/>
  <c r="G83" i="74"/>
  <c r="F83" i="74"/>
  <c r="E83" i="74"/>
  <c r="D83" i="74"/>
  <c r="N82" i="74"/>
  <c r="L82" i="74"/>
  <c r="K82" i="74"/>
  <c r="J82" i="74"/>
  <c r="I82" i="74"/>
  <c r="H82" i="74"/>
  <c r="G82" i="74"/>
  <c r="F82" i="74"/>
  <c r="E82" i="74"/>
  <c r="M82" i="74" s="1"/>
  <c r="D82" i="74"/>
  <c r="N81" i="74"/>
  <c r="L81" i="74"/>
  <c r="K81" i="74"/>
  <c r="J81" i="74"/>
  <c r="I81" i="74"/>
  <c r="H81" i="74"/>
  <c r="G81" i="74"/>
  <c r="F81" i="74"/>
  <c r="E81" i="74"/>
  <c r="M81" i="74" s="1"/>
  <c r="D81" i="74"/>
  <c r="N80" i="74"/>
  <c r="L80" i="74"/>
  <c r="K80" i="74"/>
  <c r="J80" i="74"/>
  <c r="I80" i="74"/>
  <c r="H80" i="74"/>
  <c r="G80" i="74"/>
  <c r="F80" i="74"/>
  <c r="E80" i="74"/>
  <c r="D80" i="74"/>
  <c r="M80" i="74" s="1"/>
  <c r="N79" i="74"/>
  <c r="L79" i="74"/>
  <c r="K79" i="74"/>
  <c r="J79" i="74"/>
  <c r="M79" i="74" s="1"/>
  <c r="I79" i="74"/>
  <c r="H79" i="74"/>
  <c r="G79" i="74"/>
  <c r="F79" i="74"/>
  <c r="E79" i="74"/>
  <c r="D79" i="74"/>
  <c r="N78" i="74"/>
  <c r="L78" i="74"/>
  <c r="K78" i="74"/>
  <c r="J78" i="74"/>
  <c r="I78" i="74"/>
  <c r="H78" i="74"/>
  <c r="G78" i="74"/>
  <c r="F78" i="74"/>
  <c r="E78" i="74"/>
  <c r="M78" i="74" s="1"/>
  <c r="D78" i="74"/>
  <c r="N77" i="74"/>
  <c r="L77" i="74"/>
  <c r="K77" i="74"/>
  <c r="J77" i="74"/>
  <c r="I77" i="74"/>
  <c r="H77" i="74"/>
  <c r="G77" i="74"/>
  <c r="F77" i="74"/>
  <c r="E77" i="74"/>
  <c r="D77" i="74"/>
  <c r="M77" i="74" s="1"/>
  <c r="N76" i="74"/>
  <c r="L76" i="74"/>
  <c r="K76" i="74"/>
  <c r="J76" i="74"/>
  <c r="I76" i="74"/>
  <c r="H76" i="74"/>
  <c r="G76" i="74"/>
  <c r="F76" i="74"/>
  <c r="E76" i="74"/>
  <c r="D76" i="74"/>
  <c r="M76" i="74" s="1"/>
  <c r="N75" i="74"/>
  <c r="L75" i="74"/>
  <c r="K75" i="74"/>
  <c r="J75" i="74"/>
  <c r="M75" i="74" s="1"/>
  <c r="I75" i="74"/>
  <c r="H75" i="74"/>
  <c r="G75" i="74"/>
  <c r="F75" i="74"/>
  <c r="E75" i="74"/>
  <c r="D75" i="74"/>
  <c r="N74" i="74"/>
  <c r="L74" i="74"/>
  <c r="K74" i="74"/>
  <c r="J74" i="74"/>
  <c r="I74" i="74"/>
  <c r="H74" i="74"/>
  <c r="G74" i="74"/>
  <c r="F74" i="74"/>
  <c r="E74" i="74"/>
  <c r="M74" i="74" s="1"/>
  <c r="D74" i="74"/>
  <c r="N73" i="74"/>
  <c r="L73" i="74"/>
  <c r="K73" i="74"/>
  <c r="J73" i="74"/>
  <c r="I73" i="74"/>
  <c r="H73" i="74"/>
  <c r="G73" i="74"/>
  <c r="F73" i="74"/>
  <c r="E73" i="74"/>
  <c r="M73" i="74" s="1"/>
  <c r="D73" i="74"/>
  <c r="N72" i="74"/>
  <c r="L72" i="74"/>
  <c r="K72" i="74"/>
  <c r="J72" i="74"/>
  <c r="I72" i="74"/>
  <c r="H72" i="74"/>
  <c r="G72" i="74"/>
  <c r="F72" i="74"/>
  <c r="E72" i="74"/>
  <c r="D72" i="74"/>
  <c r="M72" i="74" s="1"/>
  <c r="N71" i="74"/>
  <c r="L71" i="74"/>
  <c r="K71" i="74"/>
  <c r="J71" i="74"/>
  <c r="M71" i="74" s="1"/>
  <c r="I71" i="74"/>
  <c r="H71" i="74"/>
  <c r="G71" i="74"/>
  <c r="F71" i="74"/>
  <c r="E71" i="74"/>
  <c r="D71" i="74"/>
  <c r="N70" i="74"/>
  <c r="L70" i="74"/>
  <c r="K70" i="74"/>
  <c r="J70" i="74"/>
  <c r="M70" i="74" s="1"/>
  <c r="I70" i="74"/>
  <c r="H70" i="74"/>
  <c r="G70" i="74"/>
  <c r="F70" i="74"/>
  <c r="E70" i="74"/>
  <c r="D70" i="74"/>
  <c r="N69" i="74"/>
  <c r="L69" i="74"/>
  <c r="K69" i="74"/>
  <c r="J69" i="74"/>
  <c r="I69" i="74"/>
  <c r="H69" i="74"/>
  <c r="G69" i="74"/>
  <c r="F69" i="74"/>
  <c r="E69" i="74"/>
  <c r="D69" i="74"/>
  <c r="M69" i="74" s="1"/>
  <c r="N68" i="74"/>
  <c r="L68" i="74"/>
  <c r="K68" i="74"/>
  <c r="J68" i="74"/>
  <c r="I68" i="74"/>
  <c r="H68" i="74"/>
  <c r="G68" i="74"/>
  <c r="F68" i="74"/>
  <c r="E68" i="74"/>
  <c r="D68" i="74"/>
  <c r="M68" i="74" s="1"/>
  <c r="N67" i="74"/>
  <c r="L67" i="74"/>
  <c r="K67" i="74"/>
  <c r="J67" i="74"/>
  <c r="M67" i="74" s="1"/>
  <c r="I67" i="74"/>
  <c r="H67" i="74"/>
  <c r="G67" i="74"/>
  <c r="F67" i="74"/>
  <c r="E67" i="74"/>
  <c r="D67" i="74"/>
  <c r="N66" i="74"/>
  <c r="L66" i="74"/>
  <c r="K66" i="74"/>
  <c r="J66" i="74"/>
  <c r="I66" i="74"/>
  <c r="H66" i="74"/>
  <c r="G66" i="74"/>
  <c r="F66" i="74"/>
  <c r="E66" i="74"/>
  <c r="M66" i="74" s="1"/>
  <c r="D66" i="74"/>
  <c r="N65" i="74"/>
  <c r="L65" i="74"/>
  <c r="K65" i="74"/>
  <c r="J65" i="74"/>
  <c r="I65" i="74"/>
  <c r="H65" i="74"/>
  <c r="G65" i="74"/>
  <c r="F65" i="74"/>
  <c r="E65" i="74"/>
  <c r="M65" i="74" s="1"/>
  <c r="D65" i="74"/>
  <c r="N64" i="74"/>
  <c r="L64" i="74"/>
  <c r="K64" i="74"/>
  <c r="J64" i="74"/>
  <c r="I64" i="74"/>
  <c r="H64" i="74"/>
  <c r="G64" i="74"/>
  <c r="F64" i="74"/>
  <c r="E64" i="74"/>
  <c r="D64" i="74"/>
  <c r="M64" i="74" s="1"/>
  <c r="N63" i="74"/>
  <c r="L63" i="74"/>
  <c r="K63" i="74"/>
  <c r="J63" i="74"/>
  <c r="M63" i="74" s="1"/>
  <c r="I63" i="74"/>
  <c r="H63" i="74"/>
  <c r="G63" i="74"/>
  <c r="F63" i="74"/>
  <c r="E63" i="74"/>
  <c r="D63" i="74"/>
  <c r="N62" i="74"/>
  <c r="L62" i="74"/>
  <c r="K62" i="74"/>
  <c r="J62" i="74"/>
  <c r="M62" i="74" s="1"/>
  <c r="I62" i="74"/>
  <c r="H62" i="74"/>
  <c r="G62" i="74"/>
  <c r="F62" i="74"/>
  <c r="E62" i="74"/>
  <c r="D62" i="74"/>
  <c r="N61" i="74"/>
  <c r="L61" i="74"/>
  <c r="K61" i="74"/>
  <c r="J61" i="74"/>
  <c r="I61" i="74"/>
  <c r="H61" i="74"/>
  <c r="G61" i="74"/>
  <c r="F61" i="74"/>
  <c r="E61" i="74"/>
  <c r="D61" i="74"/>
  <c r="M61" i="74" s="1"/>
  <c r="N60" i="74"/>
  <c r="L60" i="74"/>
  <c r="K60" i="74"/>
  <c r="J60" i="74"/>
  <c r="I60" i="74"/>
  <c r="H60" i="74"/>
  <c r="G60" i="74"/>
  <c r="F60" i="74"/>
  <c r="E60" i="74"/>
  <c r="D60" i="74"/>
  <c r="M60" i="74" s="1"/>
  <c r="N59" i="74"/>
  <c r="L59" i="74"/>
  <c r="K59" i="74"/>
  <c r="J59" i="74"/>
  <c r="M59" i="74" s="1"/>
  <c r="I59" i="74"/>
  <c r="H59" i="74"/>
  <c r="G59" i="74"/>
  <c r="F59" i="74"/>
  <c r="E59" i="74"/>
  <c r="D59" i="74"/>
  <c r="N58" i="74"/>
  <c r="L58" i="74"/>
  <c r="K58" i="74"/>
  <c r="J58" i="74"/>
  <c r="I58" i="74"/>
  <c r="H58" i="74"/>
  <c r="G58" i="74"/>
  <c r="F58" i="74"/>
  <c r="E58" i="74"/>
  <c r="M58" i="74" s="1"/>
  <c r="D58" i="74"/>
  <c r="N57" i="74"/>
  <c r="L57" i="74"/>
  <c r="K57" i="74"/>
  <c r="J57" i="74"/>
  <c r="I57" i="74"/>
  <c r="H57" i="74"/>
  <c r="G57" i="74"/>
  <c r="F57" i="74"/>
  <c r="E57" i="74"/>
  <c r="M57" i="74" s="1"/>
  <c r="D57" i="74"/>
  <c r="N56" i="74"/>
  <c r="L56" i="74"/>
  <c r="K56" i="74"/>
  <c r="J56" i="74"/>
  <c r="I56" i="74"/>
  <c r="H56" i="74"/>
  <c r="G56" i="74"/>
  <c r="F56" i="74"/>
  <c r="E56" i="74"/>
  <c r="D56" i="74"/>
  <c r="M56" i="74" s="1"/>
  <c r="N55" i="74"/>
  <c r="L55" i="74"/>
  <c r="K55" i="74"/>
  <c r="J55" i="74"/>
  <c r="M55" i="74" s="1"/>
  <c r="I55" i="74"/>
  <c r="H55" i="74"/>
  <c r="G55" i="74"/>
  <c r="F55" i="74"/>
  <c r="E55" i="74"/>
  <c r="D55" i="74"/>
  <c r="N54" i="74"/>
  <c r="L54" i="74"/>
  <c r="K54" i="74"/>
  <c r="J54" i="74"/>
  <c r="I54" i="74"/>
  <c r="H54" i="74"/>
  <c r="G54" i="74"/>
  <c r="F54" i="74"/>
  <c r="E54" i="74"/>
  <c r="M54" i="74" s="1"/>
  <c r="D54" i="74"/>
  <c r="N53" i="74"/>
  <c r="L53" i="74"/>
  <c r="K53" i="74"/>
  <c r="J53" i="74"/>
  <c r="I53" i="74"/>
  <c r="H53" i="74"/>
  <c r="G53" i="74"/>
  <c r="F53" i="74"/>
  <c r="E53" i="74"/>
  <c r="D53" i="74"/>
  <c r="M53" i="74" s="1"/>
  <c r="N52" i="74"/>
  <c r="L52" i="74"/>
  <c r="K52" i="74"/>
  <c r="J52" i="74"/>
  <c r="I52" i="74"/>
  <c r="H52" i="74"/>
  <c r="G52" i="74"/>
  <c r="F52" i="74"/>
  <c r="E52" i="74"/>
  <c r="D52" i="74"/>
  <c r="M52" i="74" s="1"/>
  <c r="N51" i="74"/>
  <c r="L51" i="74"/>
  <c r="K51" i="74"/>
  <c r="J51" i="74"/>
  <c r="M51" i="74" s="1"/>
  <c r="I51" i="74"/>
  <c r="H51" i="74"/>
  <c r="G51" i="74"/>
  <c r="F51" i="74"/>
  <c r="E51" i="74"/>
  <c r="D51" i="74"/>
  <c r="N50" i="74"/>
  <c r="L50" i="74"/>
  <c r="K50" i="74"/>
  <c r="J50" i="74"/>
  <c r="I50" i="74"/>
  <c r="H50" i="74"/>
  <c r="G50" i="74"/>
  <c r="F50" i="74"/>
  <c r="E50" i="74"/>
  <c r="M50" i="74" s="1"/>
  <c r="D50" i="74"/>
  <c r="N49" i="74"/>
  <c r="L49" i="74"/>
  <c r="K49" i="74"/>
  <c r="J49" i="74"/>
  <c r="I49" i="74"/>
  <c r="H49" i="74"/>
  <c r="G49" i="74"/>
  <c r="F49" i="74"/>
  <c r="E49" i="74"/>
  <c r="M49" i="74" s="1"/>
  <c r="D49" i="74"/>
  <c r="N48" i="74"/>
  <c r="L48" i="74"/>
  <c r="K48" i="74"/>
  <c r="J48" i="74"/>
  <c r="I48" i="74"/>
  <c r="H48" i="74"/>
  <c r="G48" i="74"/>
  <c r="F48" i="74"/>
  <c r="E48" i="74"/>
  <c r="D48" i="74"/>
  <c r="M48" i="74" s="1"/>
  <c r="N47" i="74"/>
  <c r="L47" i="74"/>
  <c r="K47" i="74"/>
  <c r="J47" i="74"/>
  <c r="M47" i="74" s="1"/>
  <c r="I47" i="74"/>
  <c r="H47" i="74"/>
  <c r="G47" i="74"/>
  <c r="F47" i="74"/>
  <c r="E47" i="74"/>
  <c r="D47" i="74"/>
  <c r="N46" i="74"/>
  <c r="L46" i="74"/>
  <c r="K46" i="74"/>
  <c r="J46" i="74"/>
  <c r="I46" i="74"/>
  <c r="H46" i="74"/>
  <c r="G46" i="74"/>
  <c r="F46" i="74"/>
  <c r="E46" i="74"/>
  <c r="M46" i="74" s="1"/>
  <c r="D46" i="74"/>
  <c r="N45" i="74"/>
  <c r="L45" i="74"/>
  <c r="K45" i="74"/>
  <c r="J45" i="74"/>
  <c r="I45" i="74"/>
  <c r="H45" i="74"/>
  <c r="G45" i="74"/>
  <c r="F45" i="74"/>
  <c r="E45" i="74"/>
  <c r="D45" i="74"/>
  <c r="M45" i="74" s="1"/>
  <c r="N44" i="74"/>
  <c r="L44" i="74"/>
  <c r="K44" i="74"/>
  <c r="J44" i="74"/>
  <c r="I44" i="74"/>
  <c r="H44" i="74"/>
  <c r="G44" i="74"/>
  <c r="F44" i="74"/>
  <c r="E44" i="74"/>
  <c r="D44" i="74"/>
  <c r="M44" i="74" s="1"/>
  <c r="N43" i="74"/>
  <c r="L43" i="74"/>
  <c r="K43" i="74"/>
  <c r="J43" i="74"/>
  <c r="M43" i="74" s="1"/>
  <c r="I43" i="74"/>
  <c r="H43" i="74"/>
  <c r="G43" i="74"/>
  <c r="F43" i="74"/>
  <c r="E43" i="74"/>
  <c r="D43" i="74"/>
  <c r="N42" i="74"/>
  <c r="L42" i="74"/>
  <c r="K42" i="74"/>
  <c r="J42" i="74"/>
  <c r="I42" i="74"/>
  <c r="H42" i="74"/>
  <c r="G42" i="74"/>
  <c r="F42" i="74"/>
  <c r="E42" i="74"/>
  <c r="M42" i="74" s="1"/>
  <c r="D42" i="74"/>
  <c r="N41" i="74"/>
  <c r="L41" i="74"/>
  <c r="K41" i="74"/>
  <c r="J41" i="74"/>
  <c r="I41" i="74"/>
  <c r="H41" i="74"/>
  <c r="G41" i="74"/>
  <c r="F41" i="74"/>
  <c r="E41" i="74"/>
  <c r="D41" i="74"/>
  <c r="M41" i="74" s="1"/>
  <c r="N40" i="74"/>
  <c r="L40" i="74"/>
  <c r="K40" i="74"/>
  <c r="J40" i="74"/>
  <c r="I40" i="74"/>
  <c r="H40" i="74"/>
  <c r="G40" i="74"/>
  <c r="F40" i="74"/>
  <c r="E40" i="74"/>
  <c r="D40" i="74"/>
  <c r="M40" i="74" s="1"/>
  <c r="N39" i="74"/>
  <c r="L39" i="74"/>
  <c r="K39" i="74"/>
  <c r="J39" i="74"/>
  <c r="M39" i="74" s="1"/>
  <c r="I39" i="74"/>
  <c r="H39" i="74"/>
  <c r="G39" i="74"/>
  <c r="F39" i="74"/>
  <c r="E39" i="74"/>
  <c r="D39" i="74"/>
  <c r="N38" i="74"/>
  <c r="L38" i="74"/>
  <c r="K38" i="74"/>
  <c r="J38" i="74"/>
  <c r="I38" i="74"/>
  <c r="H38" i="74"/>
  <c r="G38" i="74"/>
  <c r="F38" i="74"/>
  <c r="E38" i="74"/>
  <c r="M38" i="74" s="1"/>
  <c r="D38" i="74"/>
  <c r="N37" i="74"/>
  <c r="L37" i="74"/>
  <c r="K37" i="74"/>
  <c r="J37" i="74"/>
  <c r="I37" i="74"/>
  <c r="H37" i="74"/>
  <c r="G37" i="74"/>
  <c r="F37" i="74"/>
  <c r="E37" i="74"/>
  <c r="D37" i="74"/>
  <c r="M37" i="74" s="1"/>
  <c r="N36" i="74"/>
  <c r="L36" i="74"/>
  <c r="K36" i="74"/>
  <c r="J36" i="74"/>
  <c r="I36" i="74"/>
  <c r="H36" i="74"/>
  <c r="G36" i="74"/>
  <c r="F36" i="74"/>
  <c r="E36" i="74"/>
  <c r="D36" i="74"/>
  <c r="M36" i="74" s="1"/>
  <c r="N35" i="74"/>
  <c r="L35" i="74"/>
  <c r="K35" i="74"/>
  <c r="J35" i="74"/>
  <c r="M35" i="74" s="1"/>
  <c r="I35" i="74"/>
  <c r="H35" i="74"/>
  <c r="G35" i="74"/>
  <c r="F35" i="74"/>
  <c r="E35" i="74"/>
  <c r="D35" i="74"/>
  <c r="N34" i="74"/>
  <c r="L34" i="74"/>
  <c r="K34" i="74"/>
  <c r="J34" i="74"/>
  <c r="I34" i="74"/>
  <c r="H34" i="74"/>
  <c r="G34" i="74"/>
  <c r="F34" i="74"/>
  <c r="E34" i="74"/>
  <c r="M34" i="74" s="1"/>
  <c r="D34" i="74"/>
  <c r="N33" i="74"/>
  <c r="L33" i="74"/>
  <c r="K33" i="74"/>
  <c r="J33" i="74"/>
  <c r="I33" i="74"/>
  <c r="H33" i="74"/>
  <c r="G33" i="74"/>
  <c r="F33" i="74"/>
  <c r="E33" i="74"/>
  <c r="D33" i="74"/>
  <c r="M33" i="74" s="1"/>
  <c r="N32" i="74"/>
  <c r="L32" i="74"/>
  <c r="K32" i="74"/>
  <c r="J32" i="74"/>
  <c r="I32" i="74"/>
  <c r="H32" i="74"/>
  <c r="G32" i="74"/>
  <c r="F32" i="74"/>
  <c r="E32" i="74"/>
  <c r="D32" i="74"/>
  <c r="M32" i="74" s="1"/>
  <c r="N31" i="74"/>
  <c r="L31" i="74"/>
  <c r="K31" i="74"/>
  <c r="J31" i="74"/>
  <c r="M31" i="74" s="1"/>
  <c r="I31" i="74"/>
  <c r="H31" i="74"/>
  <c r="G31" i="74"/>
  <c r="F31" i="74"/>
  <c r="E31" i="74"/>
  <c r="D31" i="74"/>
  <c r="N30" i="74"/>
  <c r="L30" i="74"/>
  <c r="K30" i="74"/>
  <c r="J30" i="74"/>
  <c r="I30" i="74"/>
  <c r="H30" i="74"/>
  <c r="G30" i="74"/>
  <c r="F30" i="74"/>
  <c r="E30" i="74"/>
  <c r="M30" i="74" s="1"/>
  <c r="D30" i="74"/>
  <c r="N29" i="74"/>
  <c r="L29" i="74"/>
  <c r="K29" i="74"/>
  <c r="J29" i="74"/>
  <c r="I29" i="74"/>
  <c r="H29" i="74"/>
  <c r="G29" i="74"/>
  <c r="F29" i="74"/>
  <c r="E29" i="74"/>
  <c r="D29" i="74"/>
  <c r="M29" i="74" s="1"/>
  <c r="N28" i="74"/>
  <c r="L28" i="74"/>
  <c r="K28" i="74"/>
  <c r="J28" i="74"/>
  <c r="I28" i="74"/>
  <c r="H28" i="74"/>
  <c r="G28" i="74"/>
  <c r="F28" i="74"/>
  <c r="E28" i="74"/>
  <c r="D28" i="74"/>
  <c r="M28" i="74" s="1"/>
  <c r="N27" i="74"/>
  <c r="L27" i="74"/>
  <c r="K27" i="74"/>
  <c r="J27" i="74"/>
  <c r="M27" i="74" s="1"/>
  <c r="I27" i="74"/>
  <c r="H27" i="74"/>
  <c r="G27" i="74"/>
  <c r="F27" i="74"/>
  <c r="E27" i="74"/>
  <c r="D27" i="74"/>
  <c r="N26" i="74"/>
  <c r="L26" i="74"/>
  <c r="K26" i="74"/>
  <c r="J26" i="74"/>
  <c r="I26" i="74"/>
  <c r="H26" i="74"/>
  <c r="G26" i="74"/>
  <c r="F26" i="74"/>
  <c r="E26" i="74"/>
  <c r="M26" i="74" s="1"/>
  <c r="D26" i="74"/>
  <c r="N25" i="74"/>
  <c r="L25" i="74"/>
  <c r="K25" i="74"/>
  <c r="J25" i="74"/>
  <c r="I25" i="74"/>
  <c r="H25" i="74"/>
  <c r="G25" i="74"/>
  <c r="F25" i="74"/>
  <c r="E25" i="74"/>
  <c r="D25" i="74"/>
  <c r="M25" i="74" s="1"/>
  <c r="N24" i="74"/>
  <c r="L24" i="74"/>
  <c r="K24" i="74"/>
  <c r="J24" i="74"/>
  <c r="I24" i="74"/>
  <c r="H24" i="74"/>
  <c r="G24" i="74"/>
  <c r="F24" i="74"/>
  <c r="E24" i="74"/>
  <c r="D24" i="74"/>
  <c r="M24" i="74" s="1"/>
  <c r="N23" i="74"/>
  <c r="L23" i="74"/>
  <c r="K23" i="74"/>
  <c r="J23" i="74"/>
  <c r="M23" i="74" s="1"/>
  <c r="I23" i="74"/>
  <c r="H23" i="74"/>
  <c r="G23" i="74"/>
  <c r="F23" i="74"/>
  <c r="E23" i="74"/>
  <c r="D23" i="74"/>
  <c r="N22" i="74"/>
  <c r="L22" i="74"/>
  <c r="K22" i="74"/>
  <c r="J22" i="74"/>
  <c r="I22" i="74"/>
  <c r="H22" i="74"/>
  <c r="G22" i="74"/>
  <c r="F22" i="74"/>
  <c r="E22" i="74"/>
  <c r="M22" i="74" s="1"/>
  <c r="D22" i="74"/>
  <c r="N21" i="74"/>
  <c r="L21" i="74"/>
  <c r="K21" i="74"/>
  <c r="J21" i="74"/>
  <c r="I21" i="74"/>
  <c r="H21" i="74"/>
  <c r="G21" i="74"/>
  <c r="F21" i="74"/>
  <c r="E21" i="74"/>
  <c r="D21" i="74"/>
  <c r="M21" i="74" s="1"/>
  <c r="N20" i="74"/>
  <c r="L20" i="74"/>
  <c r="K20" i="74"/>
  <c r="J20" i="74"/>
  <c r="I20" i="74"/>
  <c r="H20" i="74"/>
  <c r="G20" i="74"/>
  <c r="F20" i="74"/>
  <c r="E20" i="74"/>
  <c r="D20" i="74"/>
  <c r="M20" i="74" s="1"/>
  <c r="N19" i="74"/>
  <c r="L19" i="74"/>
  <c r="K19" i="74"/>
  <c r="J19" i="74"/>
  <c r="M19" i="74" s="1"/>
  <c r="I19" i="74"/>
  <c r="H19" i="74"/>
  <c r="G19" i="74"/>
  <c r="F19" i="74"/>
  <c r="E19" i="74"/>
  <c r="D19" i="74"/>
  <c r="N18" i="74"/>
  <c r="L18" i="74"/>
  <c r="K18" i="74"/>
  <c r="J18" i="74"/>
  <c r="I18" i="74"/>
  <c r="H18" i="74"/>
  <c r="G18" i="74"/>
  <c r="F18" i="74"/>
  <c r="E18" i="74"/>
  <c r="M18" i="74" s="1"/>
  <c r="D18" i="74"/>
  <c r="L17" i="74"/>
  <c r="D17" i="74"/>
  <c r="N1410" i="61"/>
  <c r="AC7" i="75" l="1"/>
  <c r="AD7" i="75"/>
  <c r="AJ7" i="75"/>
  <c r="AK7" i="75"/>
  <c r="B97" i="55"/>
  <c r="C97" i="55"/>
  <c r="D97" i="55"/>
  <c r="E97" i="55"/>
  <c r="F97" i="55"/>
  <c r="G97" i="55"/>
  <c r="D75" i="55"/>
  <c r="E75" i="55"/>
  <c r="F75" i="55"/>
  <c r="G75" i="55"/>
  <c r="D76" i="55"/>
  <c r="E76" i="55"/>
  <c r="F76" i="55"/>
  <c r="G76" i="55"/>
  <c r="D77" i="55"/>
  <c r="E77" i="55"/>
  <c r="F77" i="55"/>
  <c r="G77" i="55"/>
  <c r="D78" i="55"/>
  <c r="E78" i="55"/>
  <c r="F78" i="55"/>
  <c r="G78" i="55"/>
  <c r="D79" i="55"/>
  <c r="E79" i="55"/>
  <c r="F79" i="55"/>
  <c r="G79" i="55"/>
  <c r="D80" i="55"/>
  <c r="E80" i="55"/>
  <c r="F80" i="55"/>
  <c r="G80" i="55"/>
  <c r="D81" i="55"/>
  <c r="E81" i="55"/>
  <c r="F81" i="55"/>
  <c r="G81" i="55"/>
  <c r="D82" i="55"/>
  <c r="E82" i="55"/>
  <c r="F82" i="55"/>
  <c r="G82" i="55"/>
  <c r="D83" i="55"/>
  <c r="E83" i="55"/>
  <c r="F83" i="55"/>
  <c r="G83" i="55"/>
  <c r="C76" i="55"/>
  <c r="C77" i="55"/>
  <c r="C78" i="55"/>
  <c r="C79" i="55"/>
  <c r="C80" i="55"/>
  <c r="C81" i="55"/>
  <c r="C82" i="55"/>
  <c r="C83" i="55"/>
  <c r="C75" i="55"/>
  <c r="B75" i="55"/>
  <c r="B76" i="55"/>
  <c r="B77" i="55"/>
  <c r="B78" i="55"/>
  <c r="B79" i="55"/>
  <c r="B80" i="55"/>
  <c r="B83" i="55"/>
  <c r="B14" i="74" l="1"/>
  <c r="C14" i="74"/>
  <c r="D14" i="74"/>
  <c r="E14" i="74"/>
  <c r="F14" i="74"/>
  <c r="G14" i="74"/>
  <c r="P81" i="66" l="1"/>
  <c r="Q81" i="66"/>
  <c r="R81" i="66"/>
  <c r="S81" i="66"/>
  <c r="T81" i="66"/>
  <c r="U81" i="66"/>
  <c r="V81" i="66"/>
  <c r="W81" i="66"/>
  <c r="X81" i="66"/>
  <c r="P82" i="66"/>
  <c r="Q82" i="66"/>
  <c r="R82" i="66"/>
  <c r="S82" i="66"/>
  <c r="T82" i="66"/>
  <c r="U82" i="66"/>
  <c r="V82" i="66"/>
  <c r="W82" i="66"/>
  <c r="X82" i="66"/>
  <c r="Y82" i="66"/>
  <c r="P83" i="66"/>
  <c r="Q83" i="66"/>
  <c r="R83" i="66"/>
  <c r="S83" i="66"/>
  <c r="T83" i="66"/>
  <c r="U83" i="66"/>
  <c r="V83" i="66"/>
  <c r="W83" i="66"/>
  <c r="X83" i="66"/>
  <c r="Y83" i="66"/>
  <c r="P84" i="66"/>
  <c r="Q84" i="66"/>
  <c r="R84" i="66"/>
  <c r="S84" i="66"/>
  <c r="T84" i="66"/>
  <c r="U84" i="66"/>
  <c r="V84" i="66"/>
  <c r="W84" i="66"/>
  <c r="X84" i="66"/>
  <c r="P85" i="66"/>
  <c r="Q85" i="66"/>
  <c r="R85" i="66"/>
  <c r="S85" i="66"/>
  <c r="T85" i="66"/>
  <c r="U85" i="66"/>
  <c r="V85" i="66"/>
  <c r="W85" i="66"/>
  <c r="X85" i="66"/>
  <c r="Y85" i="66"/>
  <c r="P86" i="66"/>
  <c r="Q86" i="66"/>
  <c r="R86" i="66"/>
  <c r="S86" i="66"/>
  <c r="T86" i="66"/>
  <c r="U86" i="66"/>
  <c r="V86" i="66"/>
  <c r="W86" i="66"/>
  <c r="X86" i="66"/>
  <c r="Y86" i="66"/>
  <c r="Q87" i="66"/>
  <c r="R87" i="66"/>
  <c r="S87" i="66"/>
  <c r="T87" i="66"/>
  <c r="U87" i="66"/>
  <c r="V87" i="66"/>
  <c r="W87" i="66"/>
  <c r="X87" i="66"/>
  <c r="Y87" i="66"/>
  <c r="O82" i="66"/>
  <c r="O83" i="66"/>
  <c r="O85" i="66"/>
  <c r="O86" i="66"/>
  <c r="P67" i="66"/>
  <c r="Q67" i="66"/>
  <c r="R67" i="66"/>
  <c r="S67" i="66"/>
  <c r="T67" i="66"/>
  <c r="U67" i="66"/>
  <c r="V67" i="66"/>
  <c r="W67" i="66"/>
  <c r="X67" i="66"/>
  <c r="P68" i="66"/>
  <c r="Q68" i="66"/>
  <c r="R68" i="66"/>
  <c r="S68" i="66"/>
  <c r="T68" i="66"/>
  <c r="U68" i="66"/>
  <c r="V68" i="66"/>
  <c r="W68" i="66"/>
  <c r="X68" i="66"/>
  <c r="Y68" i="66"/>
  <c r="P69" i="66"/>
  <c r="Q69" i="66"/>
  <c r="R69" i="66"/>
  <c r="S69" i="66"/>
  <c r="T69" i="66"/>
  <c r="U69" i="66"/>
  <c r="V69" i="66"/>
  <c r="W69" i="66"/>
  <c r="X69" i="66"/>
  <c r="Y69" i="66"/>
  <c r="P70" i="66"/>
  <c r="Q70" i="66"/>
  <c r="R70" i="66"/>
  <c r="S70" i="66"/>
  <c r="T70" i="66"/>
  <c r="U70" i="66"/>
  <c r="V70" i="66"/>
  <c r="W70" i="66"/>
  <c r="X70" i="66"/>
  <c r="P71" i="66"/>
  <c r="Q71" i="66"/>
  <c r="R71" i="66"/>
  <c r="S71" i="66"/>
  <c r="T71" i="66"/>
  <c r="U71" i="66"/>
  <c r="V71" i="66"/>
  <c r="W71" i="66"/>
  <c r="X71" i="66"/>
  <c r="Y71" i="66"/>
  <c r="P72" i="66"/>
  <c r="Q72" i="66"/>
  <c r="R72" i="66"/>
  <c r="S72" i="66"/>
  <c r="T72" i="66"/>
  <c r="U72" i="66"/>
  <c r="V72" i="66"/>
  <c r="W72" i="66"/>
  <c r="X72" i="66"/>
  <c r="Y72" i="66"/>
  <c r="P74" i="66"/>
  <c r="Q74" i="66"/>
  <c r="R74" i="66"/>
  <c r="S74" i="66"/>
  <c r="T74" i="66"/>
  <c r="U74" i="66"/>
  <c r="V74" i="66"/>
  <c r="W74" i="66"/>
  <c r="X74" i="66"/>
  <c r="Y74" i="66"/>
  <c r="P75" i="66"/>
  <c r="Q75" i="66"/>
  <c r="R75" i="66"/>
  <c r="S75" i="66"/>
  <c r="T75" i="66"/>
  <c r="U75" i="66"/>
  <c r="V75" i="66"/>
  <c r="W75" i="66"/>
  <c r="X75" i="66"/>
  <c r="Y75" i="66"/>
  <c r="P76" i="66"/>
  <c r="Q76" i="66"/>
  <c r="R76" i="66"/>
  <c r="S76" i="66"/>
  <c r="T76" i="66"/>
  <c r="U76" i="66"/>
  <c r="V76" i="66"/>
  <c r="W76" i="66"/>
  <c r="X76" i="66"/>
  <c r="Y76" i="66"/>
  <c r="O74" i="66"/>
  <c r="O75" i="66"/>
  <c r="O77" i="66"/>
  <c r="O78" i="66"/>
  <c r="O68" i="66"/>
  <c r="O69" i="66"/>
  <c r="O71" i="66"/>
  <c r="O72" i="66"/>
  <c r="P56" i="66"/>
  <c r="Q56" i="66"/>
  <c r="R56" i="66"/>
  <c r="S56" i="66"/>
  <c r="T56" i="66"/>
  <c r="U56" i="66"/>
  <c r="V56" i="66"/>
  <c r="W56" i="66"/>
  <c r="X56" i="66"/>
  <c r="P57" i="66"/>
  <c r="Q57" i="66"/>
  <c r="R57" i="66"/>
  <c r="S57" i="66"/>
  <c r="T57" i="66"/>
  <c r="U57" i="66"/>
  <c r="V57" i="66"/>
  <c r="W57" i="66"/>
  <c r="X57" i="66"/>
  <c r="P58" i="66"/>
  <c r="Q58" i="66"/>
  <c r="R58" i="66"/>
  <c r="S58" i="66"/>
  <c r="T58" i="66"/>
  <c r="U58" i="66"/>
  <c r="V58" i="66"/>
  <c r="W58" i="66"/>
  <c r="X58" i="66"/>
  <c r="P59" i="66"/>
  <c r="Q59" i="66"/>
  <c r="R59" i="66"/>
  <c r="S59" i="66"/>
  <c r="T59" i="66"/>
  <c r="U59" i="66"/>
  <c r="V59" i="66"/>
  <c r="W59" i="66"/>
  <c r="X59" i="66"/>
  <c r="P60" i="66"/>
  <c r="Q60" i="66"/>
  <c r="R60" i="66"/>
  <c r="S60" i="66"/>
  <c r="T60" i="66"/>
  <c r="U60" i="66"/>
  <c r="V60" i="66"/>
  <c r="W60" i="66"/>
  <c r="X60" i="66"/>
  <c r="Y60" i="66"/>
  <c r="P61" i="66"/>
  <c r="Q61" i="66"/>
  <c r="R61" i="66"/>
  <c r="S61" i="66"/>
  <c r="T61" i="66"/>
  <c r="U61" i="66"/>
  <c r="V61" i="66"/>
  <c r="W61" i="66"/>
  <c r="X61" i="66"/>
  <c r="Y61" i="66"/>
  <c r="P62" i="66"/>
  <c r="Q62" i="66"/>
  <c r="R62" i="66"/>
  <c r="S62" i="66"/>
  <c r="T62" i="66"/>
  <c r="U62" i="66"/>
  <c r="V62" i="66"/>
  <c r="W62" i="66"/>
  <c r="X62" i="66"/>
  <c r="Y62" i="66"/>
  <c r="O60" i="66"/>
  <c r="O61" i="66"/>
  <c r="O62" i="66"/>
  <c r="C24" i="66"/>
  <c r="B104" i="59"/>
  <c r="B35" i="59"/>
  <c r="J35" i="59" s="1"/>
  <c r="R38" i="59" s="1"/>
  <c r="B36" i="59"/>
  <c r="J36" i="59" s="1"/>
  <c r="R39" i="59" s="1"/>
  <c r="B37" i="59"/>
  <c r="J37" i="59" s="1"/>
  <c r="R42" i="59" s="1"/>
  <c r="B38" i="59"/>
  <c r="J38" i="59" s="1"/>
  <c r="R35" i="59" s="1"/>
  <c r="B39" i="59"/>
  <c r="J39" i="59" s="1"/>
  <c r="R36" i="59" s="1"/>
  <c r="B40" i="59"/>
  <c r="J40" i="59" s="1"/>
  <c r="R40" i="59" s="1"/>
  <c r="B41" i="59"/>
  <c r="J41" i="59" s="1"/>
  <c r="R41" i="59" s="1"/>
  <c r="B42" i="59"/>
  <c r="J42" i="59" s="1"/>
  <c r="R37" i="59" s="1"/>
  <c r="E13" i="54"/>
  <c r="R43" i="59" l="1"/>
  <c r="G14" i="73"/>
  <c r="G17" i="73"/>
  <c r="G11" i="73"/>
  <c r="F11" i="73"/>
  <c r="E11" i="73"/>
  <c r="D11" i="73"/>
  <c r="C11" i="73"/>
  <c r="B11" i="73"/>
  <c r="K8" i="73"/>
  <c r="J8" i="73"/>
  <c r="I8" i="73"/>
  <c r="H8" i="73"/>
  <c r="G8" i="73"/>
  <c r="F8" i="73"/>
  <c r="E8" i="73"/>
  <c r="D8" i="73"/>
  <c r="C8" i="73"/>
  <c r="B8" i="73"/>
  <c r="K7" i="73"/>
  <c r="J7" i="73"/>
  <c r="I7" i="73"/>
  <c r="H7" i="73"/>
  <c r="G7" i="73"/>
  <c r="F7" i="73"/>
  <c r="E7" i="73"/>
  <c r="D7" i="73"/>
  <c r="C7" i="73"/>
  <c r="B7" i="73"/>
  <c r="K6" i="73"/>
  <c r="J6" i="73"/>
  <c r="I6" i="73"/>
  <c r="H6" i="73"/>
  <c r="G6" i="73"/>
  <c r="F6" i="73"/>
  <c r="E6" i="73"/>
  <c r="D6" i="73"/>
  <c r="C6" i="73"/>
  <c r="B6" i="73"/>
  <c r="K5" i="73"/>
  <c r="J5" i="73"/>
  <c r="I5" i="73"/>
  <c r="H5" i="73"/>
  <c r="G5" i="73"/>
  <c r="F5" i="73"/>
  <c r="E5" i="73"/>
  <c r="D5" i="73"/>
  <c r="C5" i="73"/>
  <c r="B5" i="73"/>
  <c r="K4" i="73"/>
  <c r="J4" i="73"/>
  <c r="I4" i="73"/>
  <c r="H4" i="73"/>
  <c r="G4" i="73"/>
  <c r="F4" i="73"/>
  <c r="E4" i="73"/>
  <c r="D4" i="73"/>
  <c r="C4" i="73"/>
  <c r="B4" i="73"/>
  <c r="K3" i="73"/>
  <c r="J3" i="73"/>
  <c r="I3" i="73"/>
  <c r="H3" i="73"/>
  <c r="G3" i="73"/>
  <c r="F3" i="73"/>
  <c r="E3" i="73"/>
  <c r="D3" i="73"/>
  <c r="C3" i="73"/>
  <c r="B3" i="73"/>
  <c r="A84" i="59"/>
  <c r="A85" i="59"/>
  <c r="A86" i="59"/>
  <c r="A87" i="59"/>
  <c r="A88" i="59"/>
  <c r="A89" i="59"/>
  <c r="A90" i="59"/>
  <c r="A91" i="59"/>
  <c r="A83" i="59"/>
  <c r="B60" i="69"/>
  <c r="A60" i="69"/>
  <c r="C68" i="69"/>
  <c r="B68" i="69"/>
  <c r="A68" i="69"/>
  <c r="C67" i="69"/>
  <c r="B67" i="69"/>
  <c r="A67" i="69"/>
  <c r="C66" i="69"/>
  <c r="B66" i="69"/>
  <c r="A66" i="69"/>
  <c r="C65" i="69"/>
  <c r="B65" i="69"/>
  <c r="A65" i="69"/>
  <c r="C64" i="69"/>
  <c r="B64" i="69"/>
  <c r="A64" i="69"/>
  <c r="C63" i="69"/>
  <c r="B63" i="69"/>
  <c r="A63" i="69"/>
  <c r="C62" i="69"/>
  <c r="B62" i="69"/>
  <c r="A62" i="69"/>
  <c r="C61" i="69"/>
  <c r="B61" i="69"/>
  <c r="A61" i="69"/>
  <c r="C60" i="69"/>
  <c r="C33" i="69"/>
  <c r="C34" i="69"/>
  <c r="C35" i="69"/>
  <c r="C36" i="69"/>
  <c r="C37" i="69"/>
  <c r="C38" i="69"/>
  <c r="C39" i="69"/>
  <c r="C40" i="69"/>
  <c r="C32" i="69"/>
  <c r="B33" i="69"/>
  <c r="B34" i="69"/>
  <c r="B35" i="69"/>
  <c r="B36" i="69"/>
  <c r="B37" i="69"/>
  <c r="B38" i="69"/>
  <c r="B39" i="69"/>
  <c r="B40" i="69"/>
  <c r="B32" i="69"/>
  <c r="A33" i="69"/>
  <c r="A34" i="69"/>
  <c r="A35" i="69"/>
  <c r="A36" i="69"/>
  <c r="A37" i="69"/>
  <c r="A38" i="69"/>
  <c r="A39" i="69"/>
  <c r="A40" i="69"/>
  <c r="A32" i="69"/>
  <c r="F138" i="67"/>
  <c r="F137" i="67"/>
  <c r="F136" i="67"/>
  <c r="F135" i="67"/>
  <c r="F134" i="67"/>
  <c r="F123" i="67"/>
  <c r="F122" i="67"/>
  <c r="F121" i="67"/>
  <c r="F120" i="67"/>
  <c r="F119" i="67"/>
  <c r="F108" i="67"/>
  <c r="F107" i="67"/>
  <c r="F106" i="67"/>
  <c r="F105" i="67"/>
  <c r="F104" i="67"/>
  <c r="F93" i="67"/>
  <c r="F92" i="67"/>
  <c r="F91" i="67"/>
  <c r="F90" i="67"/>
  <c r="F89" i="67"/>
  <c r="F78" i="67"/>
  <c r="F77" i="67"/>
  <c r="F76" i="67"/>
  <c r="F75" i="67"/>
  <c r="F74" i="67"/>
  <c r="F63" i="67"/>
  <c r="F62" i="67"/>
  <c r="F61" i="67"/>
  <c r="F60" i="67"/>
  <c r="F59" i="67"/>
  <c r="F48" i="67"/>
  <c r="F47" i="67"/>
  <c r="F46" i="67"/>
  <c r="F45" i="67"/>
  <c r="F44" i="67"/>
  <c r="F33" i="67"/>
  <c r="F32" i="67"/>
  <c r="F31" i="67"/>
  <c r="F30" i="67"/>
  <c r="F29" i="67"/>
  <c r="F15" i="67"/>
  <c r="F16" i="67"/>
  <c r="F17" i="67"/>
  <c r="F18" i="67"/>
  <c r="F14" i="67"/>
  <c r="E17" i="67"/>
  <c r="E33" i="67"/>
  <c r="C168" i="66"/>
  <c r="C175" i="66" s="1"/>
  <c r="K15" i="67" s="1"/>
  <c r="D168" i="66"/>
  <c r="H30" i="67" s="1"/>
  <c r="E168" i="66"/>
  <c r="H45" i="67" s="1"/>
  <c r="F168" i="66"/>
  <c r="H60" i="67" s="1"/>
  <c r="G168" i="66"/>
  <c r="H75" i="67" s="1"/>
  <c r="H168" i="66"/>
  <c r="H90" i="67" s="1"/>
  <c r="I168" i="66"/>
  <c r="I175" i="66" s="1"/>
  <c r="K105" i="67" s="1"/>
  <c r="J168" i="66"/>
  <c r="H120" i="67" s="1"/>
  <c r="K168" i="66"/>
  <c r="H135" i="67" s="1"/>
  <c r="B167" i="66"/>
  <c r="B174" i="66" s="1"/>
  <c r="B168" i="66"/>
  <c r="B175" i="66" s="1"/>
  <c r="C167" i="66"/>
  <c r="H14" i="67" s="1"/>
  <c r="D167" i="66"/>
  <c r="H29" i="67" s="1"/>
  <c r="E167" i="66"/>
  <c r="H44" i="67" s="1"/>
  <c r="F167" i="66"/>
  <c r="F174" i="66" s="1"/>
  <c r="K59" i="67" s="1"/>
  <c r="G167" i="66"/>
  <c r="H74" i="67" s="1"/>
  <c r="H167" i="66"/>
  <c r="H89" i="67" s="1"/>
  <c r="I167" i="66"/>
  <c r="H104" i="67" s="1"/>
  <c r="J167" i="66"/>
  <c r="H119" i="67" s="1"/>
  <c r="K167" i="66"/>
  <c r="H134" i="67" s="1"/>
  <c r="E68" i="69" l="1"/>
  <c r="E64" i="69"/>
  <c r="E60" i="69"/>
  <c r="E62" i="69"/>
  <c r="E65" i="69"/>
  <c r="E63" i="69"/>
  <c r="E66" i="69"/>
  <c r="E61" i="69"/>
  <c r="E67" i="69"/>
  <c r="H59" i="67"/>
  <c r="H105" i="67"/>
  <c r="H15" i="67"/>
  <c r="D174" i="66"/>
  <c r="K29" i="67" s="1"/>
  <c r="K174" i="66"/>
  <c r="K134" i="67" s="1"/>
  <c r="C174" i="66"/>
  <c r="K14" i="67" s="1"/>
  <c r="H175" i="66"/>
  <c r="K90" i="67" s="1"/>
  <c r="J174" i="66"/>
  <c r="K119" i="67" s="1"/>
  <c r="G175" i="66"/>
  <c r="K75" i="67" s="1"/>
  <c r="I174" i="66"/>
  <c r="K104" i="67" s="1"/>
  <c r="F175" i="66"/>
  <c r="K60" i="67" s="1"/>
  <c r="H174" i="66"/>
  <c r="K89" i="67" s="1"/>
  <c r="E175" i="66"/>
  <c r="K45" i="67" s="1"/>
  <c r="G174" i="66"/>
  <c r="K74" i="67" s="1"/>
  <c r="D175" i="66"/>
  <c r="K30" i="67" s="1"/>
  <c r="K175" i="66"/>
  <c r="K135" i="67" s="1"/>
  <c r="E174" i="66"/>
  <c r="K44" i="67" s="1"/>
  <c r="J175" i="66"/>
  <c r="K120" i="67" s="1"/>
  <c r="B17" i="68"/>
  <c r="B16" i="68"/>
  <c r="A25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B9" i="68"/>
  <c r="S25" i="68" s="1"/>
  <c r="B43" i="68"/>
  <c r="B5" i="68"/>
  <c r="B6" i="68" s="1"/>
  <c r="S24" i="68" s="1"/>
  <c r="C9" i="68"/>
  <c r="R25" i="68" s="1"/>
  <c r="D9" i="68"/>
  <c r="Q25" i="68" s="1"/>
  <c r="E9" i="68"/>
  <c r="P25" i="68" s="1"/>
  <c r="F9" i="68"/>
  <c r="O25" i="68" s="1"/>
  <c r="G9" i="68"/>
  <c r="N25" i="68" s="1"/>
  <c r="H9" i="68"/>
  <c r="M25" i="68" s="1"/>
  <c r="I9" i="68"/>
  <c r="L25" i="68" s="1"/>
  <c r="L39" i="68" s="1"/>
  <c r="D162" i="66" s="1"/>
  <c r="J9" i="68"/>
  <c r="K25" i="68" s="1"/>
  <c r="K9" i="68"/>
  <c r="J25" i="68" s="1"/>
  <c r="L9" i="68"/>
  <c r="I25" i="68" s="1"/>
  <c r="M9" i="68"/>
  <c r="H25" i="68" s="1"/>
  <c r="N9" i="68"/>
  <c r="G25" i="68" s="1"/>
  <c r="O9" i="68"/>
  <c r="F25" i="68" s="1"/>
  <c r="P9" i="68"/>
  <c r="E25" i="68" s="1"/>
  <c r="Q9" i="68"/>
  <c r="D25" i="68" s="1"/>
  <c r="D39" i="68" s="1"/>
  <c r="R9" i="68"/>
  <c r="C25" i="68" s="1"/>
  <c r="S9" i="68"/>
  <c r="B25" i="68" s="1"/>
  <c r="C5" i="68"/>
  <c r="C6" i="68" s="1"/>
  <c r="R24" i="68" s="1"/>
  <c r="D5" i="68"/>
  <c r="D6" i="68" s="1"/>
  <c r="Q24" i="68" s="1"/>
  <c r="E5" i="68"/>
  <c r="E6" i="68" s="1"/>
  <c r="P24" i="68" s="1"/>
  <c r="F5" i="68"/>
  <c r="F6" i="68" s="1"/>
  <c r="O24" i="68" s="1"/>
  <c r="G5" i="68"/>
  <c r="G6" i="68" s="1"/>
  <c r="N24" i="68" s="1"/>
  <c r="H5" i="68"/>
  <c r="H6" i="68" s="1"/>
  <c r="I5" i="68"/>
  <c r="I6" i="68" s="1"/>
  <c r="L24" i="68" s="1"/>
  <c r="J5" i="68"/>
  <c r="J6" i="68" s="1"/>
  <c r="K24" i="68" s="1"/>
  <c r="K5" i="68"/>
  <c r="K6" i="68" s="1"/>
  <c r="J24" i="68" s="1"/>
  <c r="L5" i="68"/>
  <c r="L6" i="68" s="1"/>
  <c r="I24" i="68" s="1"/>
  <c r="M5" i="68"/>
  <c r="M6" i="68" s="1"/>
  <c r="H24" i="68" s="1"/>
  <c r="N5" i="68"/>
  <c r="N6" i="68" s="1"/>
  <c r="G24" i="68" s="1"/>
  <c r="O5" i="68"/>
  <c r="O6" i="68" s="1"/>
  <c r="F24" i="68" s="1"/>
  <c r="P5" i="68"/>
  <c r="P6" i="68" s="1"/>
  <c r="Q5" i="68"/>
  <c r="Q6" i="68" s="1"/>
  <c r="D24" i="68" s="1"/>
  <c r="R5" i="68"/>
  <c r="R6" i="68" s="1"/>
  <c r="C24" i="68" s="1"/>
  <c r="S5" i="68"/>
  <c r="S6" i="68" s="1"/>
  <c r="B24" i="68" s="1"/>
  <c r="L38" i="68" l="1"/>
  <c r="L40" i="68" s="1"/>
  <c r="D178" i="66" s="1"/>
  <c r="K31" i="67" s="1"/>
  <c r="H26" i="68"/>
  <c r="P26" i="68"/>
  <c r="D26" i="68"/>
  <c r="C39" i="68"/>
  <c r="S38" i="68"/>
  <c r="K163" i="66" s="1"/>
  <c r="F26" i="68"/>
  <c r="C33" i="68"/>
  <c r="G39" i="68"/>
  <c r="I38" i="68"/>
  <c r="H39" i="68"/>
  <c r="B38" i="68"/>
  <c r="J38" i="68"/>
  <c r="P33" i="68"/>
  <c r="K38" i="68"/>
  <c r="J39" i="68"/>
  <c r="B162" i="66" s="1"/>
  <c r="R39" i="68"/>
  <c r="J162" i="66" s="1"/>
  <c r="H33" i="68"/>
  <c r="Q26" i="68"/>
  <c r="Q38" i="68"/>
  <c r="O33" i="68"/>
  <c r="G33" i="68"/>
  <c r="B33" i="68"/>
  <c r="K33" i="68"/>
  <c r="R33" i="68"/>
  <c r="J33" i="68"/>
  <c r="Q33" i="68"/>
  <c r="I33" i="68"/>
  <c r="O26" i="68"/>
  <c r="B39" i="68"/>
  <c r="B26" i="68"/>
  <c r="N38" i="68"/>
  <c r="E39" i="68"/>
  <c r="M39" i="68"/>
  <c r="E162" i="66" s="1"/>
  <c r="N33" i="68"/>
  <c r="F33" i="68"/>
  <c r="S33" i="68"/>
  <c r="G38" i="68"/>
  <c r="F39" i="68"/>
  <c r="N39" i="68"/>
  <c r="F162" i="66" s="1"/>
  <c r="M33" i="68"/>
  <c r="E33" i="68"/>
  <c r="L26" i="68"/>
  <c r="K26" i="68"/>
  <c r="O39" i="68"/>
  <c r="G162" i="66" s="1"/>
  <c r="S39" i="68"/>
  <c r="K162" i="66" s="1"/>
  <c r="L33" i="68"/>
  <c r="D33" i="68"/>
  <c r="J26" i="68"/>
  <c r="I39" i="68"/>
  <c r="I26" i="68"/>
  <c r="P39" i="68"/>
  <c r="H162" i="66" s="1"/>
  <c r="B34" i="68"/>
  <c r="R38" i="68"/>
  <c r="Q39" i="68"/>
  <c r="I162" i="66" s="1"/>
  <c r="H38" i="68"/>
  <c r="C26" i="68"/>
  <c r="C38" i="68"/>
  <c r="S26" i="68"/>
  <c r="F38" i="68"/>
  <c r="R26" i="68"/>
  <c r="D38" i="68"/>
  <c r="D40" i="68" s="1"/>
  <c r="K39" i="68"/>
  <c r="C162" i="66" s="1"/>
  <c r="G26" i="68"/>
  <c r="O38" i="68"/>
  <c r="R10" i="68"/>
  <c r="P38" i="68"/>
  <c r="N26" i="68"/>
  <c r="P10" i="68"/>
  <c r="H10" i="68"/>
  <c r="M18" i="68"/>
  <c r="E18" i="68"/>
  <c r="M24" i="68"/>
  <c r="E24" i="68"/>
  <c r="L18" i="68"/>
  <c r="D18" i="68"/>
  <c r="N10" i="68"/>
  <c r="J10" i="68"/>
  <c r="R18" i="68"/>
  <c r="J18" i="68"/>
  <c r="B18" i="68"/>
  <c r="M10" i="68"/>
  <c r="E10" i="68"/>
  <c r="Q18" i="68"/>
  <c r="I18" i="68"/>
  <c r="O18" i="68"/>
  <c r="G18" i="68"/>
  <c r="L10" i="68"/>
  <c r="D10" i="68"/>
  <c r="P18" i="68"/>
  <c r="H18" i="68"/>
  <c r="O10" i="68"/>
  <c r="G10" i="68"/>
  <c r="S18" i="68"/>
  <c r="K18" i="68"/>
  <c r="C18" i="68"/>
  <c r="Q10" i="68"/>
  <c r="I10" i="68"/>
  <c r="F10" i="68"/>
  <c r="S10" i="68"/>
  <c r="K10" i="68"/>
  <c r="C10" i="68"/>
  <c r="N18" i="68"/>
  <c r="F18" i="68"/>
  <c r="B10" i="68"/>
  <c r="B29" i="68"/>
  <c r="B30" i="68" s="1"/>
  <c r="S29" i="68"/>
  <c r="S30" i="68" s="1"/>
  <c r="K176" i="66" s="1"/>
  <c r="K138" i="67" s="1"/>
  <c r="D29" i="68"/>
  <c r="D30" i="68" s="1"/>
  <c r="L34" i="68"/>
  <c r="D157" i="66" s="1"/>
  <c r="R34" i="68"/>
  <c r="J157" i="66" s="1"/>
  <c r="J34" i="68"/>
  <c r="B157" i="66" s="1"/>
  <c r="K34" i="68"/>
  <c r="C157" i="66" s="1"/>
  <c r="H34" i="68"/>
  <c r="G34" i="68"/>
  <c r="E34" i="68"/>
  <c r="N34" i="68"/>
  <c r="F157" i="66" s="1"/>
  <c r="S34" i="68"/>
  <c r="K157" i="66" s="1"/>
  <c r="C34" i="68"/>
  <c r="P34" i="68"/>
  <c r="H157" i="66" s="1"/>
  <c r="Q34" i="68"/>
  <c r="I157" i="66" s="1"/>
  <c r="O34" i="68"/>
  <c r="G157" i="66" s="1"/>
  <c r="D34" i="68"/>
  <c r="M34" i="68"/>
  <c r="E157" i="66" s="1"/>
  <c r="F34" i="68"/>
  <c r="I34" i="68"/>
  <c r="O29" i="68"/>
  <c r="M29" i="68"/>
  <c r="J29" i="68"/>
  <c r="K29" i="68"/>
  <c r="L29" i="68"/>
  <c r="H29" i="68"/>
  <c r="H30" i="68" s="1"/>
  <c r="I29" i="68"/>
  <c r="I30" i="68" s="1"/>
  <c r="N29" i="68"/>
  <c r="G29" i="68"/>
  <c r="G30" i="68" s="1"/>
  <c r="P29" i="68"/>
  <c r="C29" i="68"/>
  <c r="C30" i="68" s="1"/>
  <c r="E29" i="68"/>
  <c r="E30" i="68" s="1"/>
  <c r="R29" i="68"/>
  <c r="Q29" i="68"/>
  <c r="F29" i="68"/>
  <c r="F30" i="68" s="1"/>
  <c r="D163" i="66" l="1"/>
  <c r="D164" i="66" s="1"/>
  <c r="D171" i="66" s="1"/>
  <c r="H31" i="67" s="1"/>
  <c r="F40" i="68"/>
  <c r="C40" i="68"/>
  <c r="H40" i="68"/>
  <c r="S40" i="68"/>
  <c r="K178" i="66" s="1"/>
  <c r="K136" i="67" s="1"/>
  <c r="B40" i="68"/>
  <c r="I40" i="68"/>
  <c r="G163" i="66"/>
  <c r="G164" i="66" s="1"/>
  <c r="G171" i="66" s="1"/>
  <c r="H76" i="67" s="1"/>
  <c r="O40" i="68"/>
  <c r="G178" i="66" s="1"/>
  <c r="K76" i="67" s="1"/>
  <c r="F163" i="66"/>
  <c r="F164" i="66" s="1"/>
  <c r="F171" i="66" s="1"/>
  <c r="H61" i="67" s="1"/>
  <c r="N40" i="68"/>
  <c r="F178" i="66" s="1"/>
  <c r="K61" i="67" s="1"/>
  <c r="J163" i="66"/>
  <c r="J164" i="66" s="1"/>
  <c r="J171" i="66" s="1"/>
  <c r="H121" i="67" s="1"/>
  <c r="R40" i="68"/>
  <c r="J178" i="66" s="1"/>
  <c r="K121" i="67" s="1"/>
  <c r="G40" i="68"/>
  <c r="C163" i="66"/>
  <c r="C164" i="66" s="1"/>
  <c r="C171" i="66" s="1"/>
  <c r="H16" i="67" s="1"/>
  <c r="K40" i="68"/>
  <c r="C178" i="66" s="1"/>
  <c r="K16" i="67" s="1"/>
  <c r="I163" i="66"/>
  <c r="I164" i="66" s="1"/>
  <c r="I171" i="66" s="1"/>
  <c r="H106" i="67" s="1"/>
  <c r="Q40" i="68"/>
  <c r="I178" i="66" s="1"/>
  <c r="K106" i="67" s="1"/>
  <c r="B163" i="66"/>
  <c r="B164" i="66" s="1"/>
  <c r="B171" i="66" s="1"/>
  <c r="J40" i="68"/>
  <c r="B178" i="66" s="1"/>
  <c r="H163" i="66"/>
  <c r="H164" i="66" s="1"/>
  <c r="H171" i="66" s="1"/>
  <c r="H91" i="67" s="1"/>
  <c r="P40" i="68"/>
  <c r="H178" i="66" s="1"/>
  <c r="K91" i="67" s="1"/>
  <c r="K164" i="66"/>
  <c r="K171" i="66" s="1"/>
  <c r="H136" i="67" s="1"/>
  <c r="E158" i="66"/>
  <c r="E159" i="66" s="1"/>
  <c r="E170" i="66" s="1"/>
  <c r="H47" i="67" s="1"/>
  <c r="M35" i="68"/>
  <c r="J158" i="66"/>
  <c r="J159" i="66" s="1"/>
  <c r="J170" i="66" s="1"/>
  <c r="H122" i="67" s="1"/>
  <c r="R35" i="68"/>
  <c r="H35" i="68"/>
  <c r="H177" i="66" s="1"/>
  <c r="K92" i="67" s="1"/>
  <c r="F158" i="66"/>
  <c r="F159" i="66" s="1"/>
  <c r="F170" i="66" s="1"/>
  <c r="H62" i="67" s="1"/>
  <c r="N35" i="68"/>
  <c r="D35" i="68"/>
  <c r="D177" i="66" s="1"/>
  <c r="K32" i="67" s="1"/>
  <c r="C158" i="66"/>
  <c r="C159" i="66" s="1"/>
  <c r="C170" i="66" s="1"/>
  <c r="H17" i="67" s="1"/>
  <c r="K35" i="68"/>
  <c r="K177" i="66" s="1"/>
  <c r="K137" i="67" s="1"/>
  <c r="E35" i="68"/>
  <c r="E177" i="66" s="1"/>
  <c r="K47" i="67" s="1"/>
  <c r="D158" i="66"/>
  <c r="D159" i="66" s="1"/>
  <c r="D170" i="66" s="1"/>
  <c r="H32" i="67" s="1"/>
  <c r="L35" i="68"/>
  <c r="B35" i="68"/>
  <c r="B177" i="66" s="1"/>
  <c r="C35" i="68"/>
  <c r="C177" i="66" s="1"/>
  <c r="K17" i="67" s="1"/>
  <c r="G35" i="68"/>
  <c r="G177" i="66" s="1"/>
  <c r="K77" i="67" s="1"/>
  <c r="I158" i="66"/>
  <c r="I159" i="66" s="1"/>
  <c r="I170" i="66" s="1"/>
  <c r="H107" i="67" s="1"/>
  <c r="Q35" i="68"/>
  <c r="B158" i="66"/>
  <c r="B159" i="66" s="1"/>
  <c r="B170" i="66" s="1"/>
  <c r="J35" i="68"/>
  <c r="J177" i="66" s="1"/>
  <c r="K122" i="67" s="1"/>
  <c r="S35" i="68"/>
  <c r="G158" i="66"/>
  <c r="G159" i="66" s="1"/>
  <c r="G170" i="66" s="1"/>
  <c r="H77" i="67" s="1"/>
  <c r="O35" i="68"/>
  <c r="H158" i="66"/>
  <c r="H159" i="66" s="1"/>
  <c r="H170" i="66" s="1"/>
  <c r="H92" i="67" s="1"/>
  <c r="P35" i="68"/>
  <c r="F35" i="68"/>
  <c r="F177" i="66" s="1"/>
  <c r="K62" i="67" s="1"/>
  <c r="I35" i="68"/>
  <c r="I177" i="66" s="1"/>
  <c r="K107" i="67" s="1"/>
  <c r="I154" i="66"/>
  <c r="I169" i="66" s="1"/>
  <c r="H108" i="67" s="1"/>
  <c r="Q30" i="68"/>
  <c r="I176" i="66" s="1"/>
  <c r="K108" i="67" s="1"/>
  <c r="J154" i="66"/>
  <c r="J169" i="66" s="1"/>
  <c r="H123" i="67" s="1"/>
  <c r="R30" i="68"/>
  <c r="J176" i="66" s="1"/>
  <c r="K123" i="67" s="1"/>
  <c r="D154" i="66"/>
  <c r="D169" i="66" s="1"/>
  <c r="H33" i="67" s="1"/>
  <c r="L30" i="68"/>
  <c r="D176" i="66" s="1"/>
  <c r="K33" i="67" s="1"/>
  <c r="C154" i="66"/>
  <c r="C169" i="66" s="1"/>
  <c r="H18" i="67" s="1"/>
  <c r="K30" i="68"/>
  <c r="C176" i="66" s="1"/>
  <c r="K18" i="67" s="1"/>
  <c r="B154" i="66"/>
  <c r="B169" i="66" s="1"/>
  <c r="J30" i="68"/>
  <c r="B176" i="66" s="1"/>
  <c r="K158" i="66"/>
  <c r="K159" i="66" s="1"/>
  <c r="K170" i="66" s="1"/>
  <c r="H137" i="67" s="1"/>
  <c r="H154" i="66"/>
  <c r="H169" i="66" s="1"/>
  <c r="H93" i="67" s="1"/>
  <c r="P30" i="68"/>
  <c r="H176" i="66" s="1"/>
  <c r="K93" i="67" s="1"/>
  <c r="E154" i="66"/>
  <c r="E169" i="66" s="1"/>
  <c r="H48" i="67" s="1"/>
  <c r="M30" i="68"/>
  <c r="E176" i="66" s="1"/>
  <c r="K48" i="67" s="1"/>
  <c r="F154" i="66"/>
  <c r="F169" i="66" s="1"/>
  <c r="H63" i="67" s="1"/>
  <c r="N30" i="68"/>
  <c r="F176" i="66" s="1"/>
  <c r="K63" i="67" s="1"/>
  <c r="G154" i="66"/>
  <c r="G169" i="66" s="1"/>
  <c r="H78" i="67" s="1"/>
  <c r="O30" i="68"/>
  <c r="G176" i="66" s="1"/>
  <c r="K78" i="67" s="1"/>
  <c r="K154" i="66"/>
  <c r="K169" i="66" s="1"/>
  <c r="H138" i="67" s="1"/>
  <c r="E26" i="68"/>
  <c r="E38" i="68"/>
  <c r="E40" i="68" s="1"/>
  <c r="M38" i="68"/>
  <c r="M26" i="68"/>
  <c r="E163" i="66" l="1"/>
  <c r="E164" i="66" s="1"/>
  <c r="E171" i="66" s="1"/>
  <c r="H46" i="67" s="1"/>
  <c r="M40" i="68"/>
  <c r="E178" i="66" s="1"/>
  <c r="K46" i="67" s="1"/>
  <c r="E18" i="67"/>
  <c r="E19" i="67"/>
  <c r="E16" i="67"/>
  <c r="E138" i="67"/>
  <c r="E137" i="67"/>
  <c r="E136" i="67"/>
  <c r="E135" i="67"/>
  <c r="E134" i="67"/>
  <c r="E123" i="67"/>
  <c r="E122" i="67"/>
  <c r="E121" i="67"/>
  <c r="E120" i="67"/>
  <c r="E119" i="67"/>
  <c r="E108" i="67"/>
  <c r="E107" i="67"/>
  <c r="E106" i="67"/>
  <c r="E105" i="67"/>
  <c r="E104" i="67"/>
  <c r="E93" i="67"/>
  <c r="E92" i="67"/>
  <c r="E91" i="67"/>
  <c r="E90" i="67"/>
  <c r="E89" i="67"/>
  <c r="E78" i="67"/>
  <c r="E77" i="67"/>
  <c r="E76" i="67"/>
  <c r="E75" i="67"/>
  <c r="E74" i="67"/>
  <c r="E63" i="67"/>
  <c r="E62" i="67"/>
  <c r="E61" i="67"/>
  <c r="E60" i="67"/>
  <c r="E59" i="67"/>
  <c r="E48" i="67"/>
  <c r="E47" i="67"/>
  <c r="E46" i="67"/>
  <c r="E45" i="67"/>
  <c r="E44" i="67"/>
  <c r="E30" i="67"/>
  <c r="E31" i="67"/>
  <c r="E32" i="67"/>
  <c r="E29" i="67"/>
  <c r="E15" i="67"/>
  <c r="E14" i="67"/>
  <c r="E5" i="67"/>
  <c r="E6" i="67"/>
  <c r="E7" i="67"/>
  <c r="E11" i="67"/>
  <c r="E12" i="67"/>
  <c r="E13" i="67"/>
  <c r="E20" i="67"/>
  <c r="E21" i="67"/>
  <c r="E22" i="67"/>
  <c r="E26" i="67"/>
  <c r="E27" i="67"/>
  <c r="E28" i="67"/>
  <c r="E34" i="67"/>
  <c r="E35" i="67"/>
  <c r="E36" i="67"/>
  <c r="E37" i="67"/>
  <c r="E38" i="67"/>
  <c r="E39" i="67"/>
  <c r="E40" i="67"/>
  <c r="E41" i="67"/>
  <c r="E42" i="67"/>
  <c r="E43" i="67"/>
  <c r="E49" i="67"/>
  <c r="E50" i="67"/>
  <c r="E51" i="67"/>
  <c r="E52" i="67"/>
  <c r="E53" i="67"/>
  <c r="E54" i="67"/>
  <c r="E55" i="67"/>
  <c r="E56" i="67"/>
  <c r="E57" i="67"/>
  <c r="E58" i="67"/>
  <c r="E64" i="67"/>
  <c r="E65" i="67"/>
  <c r="E66" i="67"/>
  <c r="E67" i="67"/>
  <c r="E68" i="67"/>
  <c r="E69" i="67"/>
  <c r="E70" i="67"/>
  <c r="E71" i="67"/>
  <c r="E72" i="67"/>
  <c r="E73" i="67"/>
  <c r="E79" i="67"/>
  <c r="E80" i="67"/>
  <c r="E81" i="67"/>
  <c r="E82" i="67"/>
  <c r="E83" i="67"/>
  <c r="E84" i="67"/>
  <c r="E85" i="67"/>
  <c r="E86" i="67"/>
  <c r="E87" i="67"/>
  <c r="E88" i="67"/>
  <c r="E94" i="67"/>
  <c r="E95" i="67"/>
  <c r="E96" i="67"/>
  <c r="E97" i="67"/>
  <c r="E98" i="67"/>
  <c r="E99" i="67"/>
  <c r="E100" i="67"/>
  <c r="E101" i="67"/>
  <c r="E102" i="67"/>
  <c r="E103" i="67"/>
  <c r="E109" i="67"/>
  <c r="E110" i="67"/>
  <c r="E111" i="67"/>
  <c r="E112" i="67"/>
  <c r="E113" i="67"/>
  <c r="E114" i="67"/>
  <c r="E115" i="67"/>
  <c r="E116" i="67"/>
  <c r="E117" i="67"/>
  <c r="E118" i="67"/>
  <c r="E124" i="67"/>
  <c r="E125" i="67"/>
  <c r="E126" i="67"/>
  <c r="E127" i="67"/>
  <c r="E128" i="67"/>
  <c r="E129" i="67"/>
  <c r="E130" i="67"/>
  <c r="E131" i="67"/>
  <c r="E132" i="67"/>
  <c r="E133" i="67"/>
  <c r="L136" i="66"/>
  <c r="C22" i="66"/>
  <c r="L130" i="66"/>
  <c r="L124" i="66"/>
  <c r="L107" i="66"/>
  <c r="C87" i="66"/>
  <c r="P87" i="66" s="1"/>
  <c r="B87" i="66"/>
  <c r="O87" i="66" s="1"/>
  <c r="L73" i="66"/>
  <c r="Y73" i="66" s="1"/>
  <c r="K73" i="66"/>
  <c r="X73" i="66" s="1"/>
  <c r="J73" i="66"/>
  <c r="W73" i="66" s="1"/>
  <c r="I73" i="66"/>
  <c r="V73" i="66" s="1"/>
  <c r="H73" i="66"/>
  <c r="U73" i="66" s="1"/>
  <c r="G73" i="66"/>
  <c r="T73" i="66" s="1"/>
  <c r="F73" i="66"/>
  <c r="S73" i="66" s="1"/>
  <c r="E73" i="66"/>
  <c r="R73" i="66" s="1"/>
  <c r="D73" i="66"/>
  <c r="Q73" i="66" s="1"/>
  <c r="C73" i="66"/>
  <c r="P73" i="66" s="1"/>
  <c r="B73" i="66"/>
  <c r="O73" i="66" s="1"/>
  <c r="D25" i="66"/>
  <c r="E25" i="66"/>
  <c r="F25" i="66"/>
  <c r="G25" i="66"/>
  <c r="H25" i="66"/>
  <c r="I25" i="66"/>
  <c r="J25" i="66"/>
  <c r="K25" i="66"/>
  <c r="C25" i="66"/>
  <c r="D24" i="66"/>
  <c r="E24" i="66"/>
  <c r="F24" i="66"/>
  <c r="G24" i="66"/>
  <c r="H24" i="66"/>
  <c r="I24" i="66"/>
  <c r="J24" i="66"/>
  <c r="K24" i="66"/>
  <c r="D22" i="66"/>
  <c r="E22" i="66"/>
  <c r="F22" i="66"/>
  <c r="G22" i="66"/>
  <c r="H22" i="66"/>
  <c r="I22" i="66"/>
  <c r="J22" i="66"/>
  <c r="K22" i="66"/>
  <c r="E23" i="66"/>
  <c r="F23" i="66"/>
  <c r="G23" i="66"/>
  <c r="H23" i="66"/>
  <c r="I23" i="66"/>
  <c r="J23" i="66"/>
  <c r="K23" i="66"/>
  <c r="C45" i="66"/>
  <c r="C23" i="66" s="1"/>
  <c r="D45" i="66"/>
  <c r="D23" i="66" s="1"/>
  <c r="B46" i="59"/>
  <c r="O46" i="59" s="1"/>
  <c r="G32" i="67" l="1"/>
  <c r="L32" i="67" s="1"/>
  <c r="M32" i="67" s="1"/>
  <c r="G120" i="67"/>
  <c r="L120" i="67" s="1"/>
  <c r="M120" i="67" s="1"/>
  <c r="G108" i="67"/>
  <c r="L108" i="67" s="1"/>
  <c r="M108" i="67" s="1"/>
  <c r="G76" i="67"/>
  <c r="L76" i="67" s="1"/>
  <c r="M76" i="67" s="1"/>
  <c r="G44" i="67"/>
  <c r="L44" i="67" s="1"/>
  <c r="M44" i="67" s="1"/>
  <c r="G33" i="67"/>
  <c r="L33" i="67" s="1"/>
  <c r="M33" i="67" s="1"/>
  <c r="G18" i="67"/>
  <c r="L18" i="67" s="1"/>
  <c r="M18" i="67" s="1"/>
  <c r="G78" i="67"/>
  <c r="L78" i="67" s="1"/>
  <c r="M78" i="67" s="1"/>
  <c r="G15" i="67"/>
  <c r="L15" i="67" s="1"/>
  <c r="M15" i="67" s="1"/>
  <c r="G60" i="67"/>
  <c r="L60" i="67" s="1"/>
  <c r="M60" i="67" s="1"/>
  <c r="G14" i="67"/>
  <c r="L14" i="67" s="1"/>
  <c r="M14" i="67" s="1"/>
  <c r="G121" i="67"/>
  <c r="L121" i="67" s="1"/>
  <c r="M121" i="67" s="1"/>
  <c r="G89" i="67"/>
  <c r="L89" i="67" s="1"/>
  <c r="M89" i="67" s="1"/>
  <c r="G77" i="67"/>
  <c r="L77" i="67" s="1"/>
  <c r="M77" i="67" s="1"/>
  <c r="G45" i="67"/>
  <c r="L45" i="67" s="1"/>
  <c r="M45" i="67" s="1"/>
  <c r="G138" i="67"/>
  <c r="L138" i="67" s="1"/>
  <c r="M138" i="67" s="1"/>
  <c r="G122" i="67"/>
  <c r="L122" i="67" s="1"/>
  <c r="M122" i="67" s="1"/>
  <c r="G90" i="67"/>
  <c r="L90" i="67" s="1"/>
  <c r="M90" i="67" s="1"/>
  <c r="G46" i="67"/>
  <c r="L46" i="67" s="1"/>
  <c r="M46" i="67" s="1"/>
  <c r="G137" i="67"/>
  <c r="L137" i="67" s="1"/>
  <c r="M137" i="67" s="1"/>
  <c r="G123" i="67"/>
  <c r="L123" i="67" s="1"/>
  <c r="M123" i="67" s="1"/>
  <c r="G91" i="67"/>
  <c r="L91" i="67" s="1"/>
  <c r="M91" i="67" s="1"/>
  <c r="G59" i="67"/>
  <c r="L59" i="67" s="1"/>
  <c r="M59" i="67" s="1"/>
  <c r="G47" i="67"/>
  <c r="L47" i="67" s="1"/>
  <c r="M47" i="67" s="1"/>
  <c r="G136" i="67"/>
  <c r="L136" i="67" s="1"/>
  <c r="M136" i="67" s="1"/>
  <c r="G104" i="67"/>
  <c r="L104" i="67" s="1"/>
  <c r="M104" i="67" s="1"/>
  <c r="G92" i="67"/>
  <c r="L92" i="67" s="1"/>
  <c r="M92" i="67" s="1"/>
  <c r="G48" i="67"/>
  <c r="L48" i="67" s="1"/>
  <c r="M48" i="67" s="1"/>
  <c r="G135" i="67"/>
  <c r="L135" i="67" s="1"/>
  <c r="M135" i="67" s="1"/>
  <c r="G105" i="67"/>
  <c r="L105" i="67" s="1"/>
  <c r="M105" i="67" s="1"/>
  <c r="G93" i="67"/>
  <c r="L93" i="67" s="1"/>
  <c r="M93" i="67" s="1"/>
  <c r="G61" i="67"/>
  <c r="L61" i="67" s="1"/>
  <c r="M61" i="67" s="1"/>
  <c r="G29" i="67"/>
  <c r="L29" i="67" s="1"/>
  <c r="M29" i="67" s="1"/>
  <c r="G134" i="67"/>
  <c r="L134" i="67" s="1"/>
  <c r="M134" i="67" s="1"/>
  <c r="G106" i="67"/>
  <c r="L106" i="67" s="1"/>
  <c r="M106" i="67" s="1"/>
  <c r="G74" i="67"/>
  <c r="L74" i="67" s="1"/>
  <c r="M74" i="67" s="1"/>
  <c r="G62" i="67"/>
  <c r="L62" i="67" s="1"/>
  <c r="M62" i="67" s="1"/>
  <c r="G30" i="67"/>
  <c r="L30" i="67" s="1"/>
  <c r="M30" i="67" s="1"/>
  <c r="G119" i="67"/>
  <c r="L119" i="67" s="1"/>
  <c r="M119" i="67" s="1"/>
  <c r="G107" i="67"/>
  <c r="L107" i="67" s="1"/>
  <c r="M107" i="67" s="1"/>
  <c r="G75" i="67"/>
  <c r="L75" i="67" s="1"/>
  <c r="M75" i="67" s="1"/>
  <c r="G63" i="67"/>
  <c r="L63" i="67" s="1"/>
  <c r="M63" i="67" s="1"/>
  <c r="G31" i="67"/>
  <c r="L31" i="67" s="1"/>
  <c r="M31" i="67" s="1"/>
  <c r="E25" i="67"/>
  <c r="G16" i="67"/>
  <c r="L16" i="67" s="1"/>
  <c r="M16" i="67" s="1"/>
  <c r="E24" i="67"/>
  <c r="E10" i="67"/>
  <c r="G17" i="67"/>
  <c r="L17" i="67" s="1"/>
  <c r="M17" i="67" s="1"/>
  <c r="E23" i="67"/>
  <c r="E9" i="67"/>
  <c r="E8" i="67"/>
  <c r="I107" i="67" l="1"/>
  <c r="J107" i="67" s="1"/>
  <c r="I61" i="67"/>
  <c r="J61" i="67" s="1"/>
  <c r="I47" i="67"/>
  <c r="J47" i="67" s="1"/>
  <c r="I138" i="67"/>
  <c r="J138" i="67" s="1"/>
  <c r="I78" i="67"/>
  <c r="J78" i="67" s="1"/>
  <c r="I93" i="67"/>
  <c r="J93" i="67" s="1"/>
  <c r="I59" i="67"/>
  <c r="J59" i="67" s="1"/>
  <c r="I45" i="67"/>
  <c r="J45" i="67" s="1"/>
  <c r="I18" i="67"/>
  <c r="J18" i="67" s="1"/>
  <c r="I30" i="67"/>
  <c r="J30" i="67" s="1"/>
  <c r="I105" i="67"/>
  <c r="J105" i="67" s="1"/>
  <c r="I91" i="67"/>
  <c r="J91" i="67" s="1"/>
  <c r="I77" i="67"/>
  <c r="J77" i="67" s="1"/>
  <c r="I33" i="67"/>
  <c r="J33" i="67" s="1"/>
  <c r="I17" i="67"/>
  <c r="J17" i="67" s="1"/>
  <c r="I119" i="67"/>
  <c r="J119" i="67" s="1"/>
  <c r="I16" i="67"/>
  <c r="J16" i="67" s="1"/>
  <c r="I62" i="67"/>
  <c r="J62" i="67" s="1"/>
  <c r="I135" i="67"/>
  <c r="J135" i="67" s="1"/>
  <c r="I123" i="67"/>
  <c r="J123" i="67" s="1"/>
  <c r="I89" i="67"/>
  <c r="J89" i="67" s="1"/>
  <c r="I44" i="67"/>
  <c r="J44" i="67" s="1"/>
  <c r="I74" i="67"/>
  <c r="J74" i="67" s="1"/>
  <c r="I48" i="67"/>
  <c r="J48" i="67" s="1"/>
  <c r="I137" i="67"/>
  <c r="J137" i="67" s="1"/>
  <c r="I121" i="67"/>
  <c r="J121" i="67" s="1"/>
  <c r="I76" i="67"/>
  <c r="J76" i="67" s="1"/>
  <c r="I31" i="67"/>
  <c r="J31" i="67" s="1"/>
  <c r="I106" i="67"/>
  <c r="J106" i="67" s="1"/>
  <c r="I92" i="67"/>
  <c r="J92" i="67" s="1"/>
  <c r="I46" i="67"/>
  <c r="J46" i="67" s="1"/>
  <c r="I14" i="67"/>
  <c r="J14" i="67" s="1"/>
  <c r="I108" i="67"/>
  <c r="J108" i="67" s="1"/>
  <c r="I63" i="67"/>
  <c r="J63" i="67" s="1"/>
  <c r="I134" i="67"/>
  <c r="J134" i="67" s="1"/>
  <c r="I104" i="67"/>
  <c r="J104" i="67" s="1"/>
  <c r="I90" i="67"/>
  <c r="J90" i="67" s="1"/>
  <c r="I60" i="67"/>
  <c r="J60" i="67" s="1"/>
  <c r="I120" i="67"/>
  <c r="J120" i="67" s="1"/>
  <c r="I75" i="67"/>
  <c r="J75" i="67" s="1"/>
  <c r="I29" i="67"/>
  <c r="J29" i="67" s="1"/>
  <c r="I136" i="67"/>
  <c r="J136" i="67" s="1"/>
  <c r="I122" i="67"/>
  <c r="J122" i="67" s="1"/>
  <c r="I15" i="67"/>
  <c r="J15" i="67" s="1"/>
  <c r="I32" i="67"/>
  <c r="J32" i="67" s="1"/>
  <c r="G9" i="55" l="1"/>
  <c r="G15" i="55" s="1"/>
  <c r="F9" i="55"/>
  <c r="F15" i="55" s="1"/>
  <c r="E9" i="55"/>
  <c r="E15" i="55" s="1"/>
  <c r="D9" i="55"/>
  <c r="D15" i="55" s="1"/>
  <c r="C9" i="55"/>
  <c r="C15" i="55" s="1"/>
  <c r="B9" i="55"/>
  <c r="C104" i="59"/>
  <c r="E112" i="59" s="1"/>
  <c r="B112" i="59"/>
  <c r="D104" i="59"/>
  <c r="F112" i="59" s="1"/>
  <c r="E104" i="59"/>
  <c r="G112" i="59" s="1"/>
  <c r="F104" i="59"/>
  <c r="I112" i="59" s="1"/>
  <c r="G104" i="59"/>
  <c r="L112" i="59" s="1"/>
  <c r="B105" i="59"/>
  <c r="B113" i="59" s="1"/>
  <c r="C105" i="59"/>
  <c r="E113" i="59" s="1"/>
  <c r="D105" i="59"/>
  <c r="F113" i="59" s="1"/>
  <c r="E105" i="59"/>
  <c r="F105" i="59"/>
  <c r="I113" i="59" s="1"/>
  <c r="G105" i="59"/>
  <c r="L113" i="59" s="1"/>
  <c r="B106" i="59"/>
  <c r="B114" i="59" s="1"/>
  <c r="C106" i="59"/>
  <c r="E114" i="59" s="1"/>
  <c r="D106" i="59"/>
  <c r="F114" i="59" s="1"/>
  <c r="E106" i="59"/>
  <c r="G114" i="59" s="1"/>
  <c r="F106" i="59"/>
  <c r="I114" i="59" s="1"/>
  <c r="G106" i="59"/>
  <c r="L114" i="59" s="1"/>
  <c r="B107" i="59"/>
  <c r="B115" i="59" s="1"/>
  <c r="C107" i="59"/>
  <c r="E115" i="59" s="1"/>
  <c r="D107" i="59"/>
  <c r="F115" i="59" s="1"/>
  <c r="E107" i="59"/>
  <c r="G115" i="59" s="1"/>
  <c r="F107" i="59"/>
  <c r="I115" i="59" s="1"/>
  <c r="G107" i="59"/>
  <c r="L115" i="59" s="1"/>
  <c r="B108" i="59"/>
  <c r="B116" i="59" s="1"/>
  <c r="C108" i="59"/>
  <c r="E116" i="59" s="1"/>
  <c r="D108" i="59"/>
  <c r="F116" i="59" s="1"/>
  <c r="E108" i="59"/>
  <c r="G116" i="59" s="1"/>
  <c r="F108" i="59"/>
  <c r="I116" i="59" s="1"/>
  <c r="G108" i="59"/>
  <c r="L116" i="59" s="1"/>
  <c r="A105" i="59"/>
  <c r="A113" i="59" s="1"/>
  <c r="A106" i="59"/>
  <c r="A114" i="59" s="1"/>
  <c r="A107" i="59"/>
  <c r="A115" i="59" s="1"/>
  <c r="A108" i="59"/>
  <c r="A116" i="59" s="1"/>
  <c r="A104" i="59"/>
  <c r="A112" i="59" s="1"/>
  <c r="B78" i="59"/>
  <c r="F78" i="59"/>
  <c r="B77" i="59"/>
  <c r="D75" i="59"/>
  <c r="C77" i="59"/>
  <c r="F76" i="59"/>
  <c r="D71" i="59"/>
  <c r="G75" i="59"/>
  <c r="E73" i="59"/>
  <c r="C71" i="59"/>
  <c r="E72" i="59"/>
  <c r="D78" i="59"/>
  <c r="D79" i="59"/>
  <c r="B71" i="59"/>
  <c r="C72" i="59"/>
  <c r="D73" i="59"/>
  <c r="F77" i="59"/>
  <c r="E71" i="59"/>
  <c r="G61" i="55"/>
  <c r="B74" i="59"/>
  <c r="F73" i="59"/>
  <c r="D76" i="59"/>
  <c r="B79" i="59"/>
  <c r="C74" i="59"/>
  <c r="G77" i="59"/>
  <c r="D61" i="55"/>
  <c r="C79" i="59"/>
  <c r="D74" i="59"/>
  <c r="F72" i="59"/>
  <c r="E78" i="59"/>
  <c r="E74" i="59"/>
  <c r="C73" i="59"/>
  <c r="G79" i="59"/>
  <c r="D72" i="59"/>
  <c r="F71" i="59"/>
  <c r="F61" i="55"/>
  <c r="G72" i="59"/>
  <c r="E75" i="59"/>
  <c r="F74" i="59"/>
  <c r="C76" i="59"/>
  <c r="E61" i="55"/>
  <c r="G73" i="59"/>
  <c r="G78" i="59"/>
  <c r="B72" i="59"/>
  <c r="G76" i="59"/>
  <c r="G74" i="59"/>
  <c r="B76" i="59"/>
  <c r="F75" i="59"/>
  <c r="E77" i="59"/>
  <c r="C61" i="55"/>
  <c r="F79" i="59"/>
  <c r="G71" i="59"/>
  <c r="E79" i="59"/>
  <c r="B75" i="59"/>
  <c r="B61" i="55"/>
  <c r="B73" i="59"/>
  <c r="E76" i="59"/>
  <c r="D77" i="59"/>
  <c r="C75" i="59"/>
  <c r="C78" i="59"/>
  <c r="C114" i="59" l="1"/>
  <c r="D114" i="59" s="1"/>
  <c r="J116" i="59"/>
  <c r="K116" i="59" s="1"/>
  <c r="C116" i="59"/>
  <c r="D116" i="59" s="1"/>
  <c r="H116" i="59"/>
  <c r="F117" i="59"/>
  <c r="L83" i="59"/>
  <c r="E84" i="59"/>
  <c r="F84" i="59"/>
  <c r="G84" i="59"/>
  <c r="H84" i="59" s="1"/>
  <c r="I84" i="59"/>
  <c r="J84" i="59" s="1"/>
  <c r="K84" i="59" s="1"/>
  <c r="L84" i="59"/>
  <c r="E85" i="59"/>
  <c r="F85" i="59"/>
  <c r="G85" i="59"/>
  <c r="H85" i="59" s="1"/>
  <c r="I85" i="59"/>
  <c r="L85" i="59"/>
  <c r="E86" i="59"/>
  <c r="I86" i="59"/>
  <c r="J86" i="59" s="1"/>
  <c r="K86" i="59" s="1"/>
  <c r="F86" i="59"/>
  <c r="G86" i="59"/>
  <c r="H86" i="59" s="1"/>
  <c r="L86" i="59"/>
  <c r="E87" i="59"/>
  <c r="F87" i="59"/>
  <c r="G87" i="59"/>
  <c r="H87" i="59" s="1"/>
  <c r="I87" i="59"/>
  <c r="J87" i="59" s="1"/>
  <c r="K87" i="59" s="1"/>
  <c r="L87" i="59"/>
  <c r="E88" i="59"/>
  <c r="F88" i="59"/>
  <c r="G88" i="59"/>
  <c r="I88" i="59"/>
  <c r="J88" i="59" s="1"/>
  <c r="K88" i="59" s="1"/>
  <c r="L88" i="59"/>
  <c r="E89" i="59"/>
  <c r="F89" i="59"/>
  <c r="G89" i="59"/>
  <c r="H89" i="59" s="1"/>
  <c r="I89" i="59"/>
  <c r="J89" i="59" s="1"/>
  <c r="K89" i="59" s="1"/>
  <c r="L89" i="59"/>
  <c r="E90" i="59"/>
  <c r="F90" i="59"/>
  <c r="G90" i="59"/>
  <c r="H90" i="59" s="1"/>
  <c r="I90" i="59"/>
  <c r="J90" i="59" s="1"/>
  <c r="K90" i="59" s="1"/>
  <c r="L90" i="59"/>
  <c r="F91" i="59"/>
  <c r="G91" i="59"/>
  <c r="H91" i="59" s="1"/>
  <c r="I91" i="59"/>
  <c r="J91" i="59" s="1"/>
  <c r="K91" i="59" s="1"/>
  <c r="E91" i="59"/>
  <c r="L91" i="59"/>
  <c r="J112" i="59"/>
  <c r="I117" i="59"/>
  <c r="E109" i="59"/>
  <c r="G113" i="59"/>
  <c r="H113" i="59" s="1"/>
  <c r="B117" i="59"/>
  <c r="C112" i="59"/>
  <c r="H112" i="59"/>
  <c r="E117" i="59"/>
  <c r="C115" i="59"/>
  <c r="D115" i="59" s="1"/>
  <c r="J114" i="59"/>
  <c r="K114" i="59" s="1"/>
  <c r="H114" i="59"/>
  <c r="J115" i="59"/>
  <c r="K115" i="59" s="1"/>
  <c r="C113" i="59"/>
  <c r="D113" i="59" s="1"/>
  <c r="H115" i="59"/>
  <c r="J113" i="59"/>
  <c r="K113" i="59" s="1"/>
  <c r="L117" i="59"/>
  <c r="F83" i="59"/>
  <c r="G83" i="59"/>
  <c r="H83" i="59" s="1"/>
  <c r="B83" i="59"/>
  <c r="B84" i="59"/>
  <c r="C84" i="59" s="1"/>
  <c r="D84" i="59" s="1"/>
  <c r="B85" i="59"/>
  <c r="C85" i="59" s="1"/>
  <c r="D85" i="59" s="1"/>
  <c r="B86" i="59"/>
  <c r="C86" i="59" s="1"/>
  <c r="D86" i="59" s="1"/>
  <c r="B87" i="59"/>
  <c r="C87" i="59" s="1"/>
  <c r="D87" i="59" s="1"/>
  <c r="B88" i="59"/>
  <c r="C88" i="59" s="1"/>
  <c r="D88" i="59" s="1"/>
  <c r="B89" i="59"/>
  <c r="C89" i="59" s="1"/>
  <c r="D89" i="59" s="1"/>
  <c r="B90" i="59"/>
  <c r="C90" i="59" s="1"/>
  <c r="D90" i="59" s="1"/>
  <c r="E83" i="59"/>
  <c r="I83" i="59"/>
  <c r="J83" i="59" s="1"/>
  <c r="K83" i="59" s="1"/>
  <c r="B91" i="59"/>
  <c r="C91" i="59" s="1"/>
  <c r="D91" i="59" s="1"/>
  <c r="F109" i="59"/>
  <c r="D109" i="59"/>
  <c r="C109" i="59"/>
  <c r="B109" i="59"/>
  <c r="G109" i="59"/>
  <c r="B80" i="59"/>
  <c r="C80" i="59"/>
  <c r="D80" i="59"/>
  <c r="E80" i="59"/>
  <c r="F80" i="59"/>
  <c r="G80" i="59"/>
  <c r="C54" i="55"/>
  <c r="D54" i="55"/>
  <c r="E54" i="55"/>
  <c r="F54" i="55"/>
  <c r="G54" i="55"/>
  <c r="B54" i="55"/>
  <c r="B46" i="55"/>
  <c r="G46" i="55" s="1"/>
  <c r="K268" i="60" s="1"/>
  <c r="B45" i="55"/>
  <c r="E45" i="55" s="1"/>
  <c r="K177" i="60" s="1"/>
  <c r="B44" i="55"/>
  <c r="C44" i="55" s="1"/>
  <c r="K81" i="60" s="1"/>
  <c r="B43" i="55"/>
  <c r="G43" i="55" s="1"/>
  <c r="K257" i="60" s="1"/>
  <c r="B42" i="55"/>
  <c r="G42" i="55" s="1"/>
  <c r="K250" i="60" s="1"/>
  <c r="B41" i="55"/>
  <c r="E41" i="55" s="1"/>
  <c r="K153" i="60" s="1"/>
  <c r="B40" i="55"/>
  <c r="C40" i="55" s="1"/>
  <c r="K58" i="60" s="1"/>
  <c r="B39" i="55"/>
  <c r="G39" i="55" s="1"/>
  <c r="K233" i="60" s="1"/>
  <c r="B38" i="55"/>
  <c r="E26" i="60"/>
  <c r="E27" i="60"/>
  <c r="E28" i="60"/>
  <c r="E29" i="60"/>
  <c r="E30" i="60"/>
  <c r="E31" i="60"/>
  <c r="E32" i="60"/>
  <c r="E33" i="60"/>
  <c r="E34" i="60"/>
  <c r="E35" i="60"/>
  <c r="E36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3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6" i="60"/>
  <c r="E67" i="60"/>
  <c r="E68" i="60"/>
  <c r="E69" i="60"/>
  <c r="E70" i="60"/>
  <c r="E71" i="60"/>
  <c r="E72" i="60"/>
  <c r="E73" i="60"/>
  <c r="E74" i="60"/>
  <c r="E75" i="60"/>
  <c r="E76" i="60"/>
  <c r="E77" i="60"/>
  <c r="E78" i="60"/>
  <c r="E79" i="60"/>
  <c r="E80" i="60"/>
  <c r="E81" i="60"/>
  <c r="E82" i="60"/>
  <c r="E83" i="60"/>
  <c r="E84" i="60"/>
  <c r="E85" i="60"/>
  <c r="E86" i="60"/>
  <c r="E87" i="60"/>
  <c r="E88" i="60"/>
  <c r="E89" i="60"/>
  <c r="E90" i="60"/>
  <c r="E91" i="60"/>
  <c r="E92" i="60"/>
  <c r="E93" i="60"/>
  <c r="E94" i="60"/>
  <c r="E95" i="60"/>
  <c r="E96" i="60"/>
  <c r="E97" i="60"/>
  <c r="E98" i="60"/>
  <c r="E99" i="60"/>
  <c r="E100" i="60"/>
  <c r="E101" i="60"/>
  <c r="E102" i="60"/>
  <c r="E103" i="60"/>
  <c r="E104" i="60"/>
  <c r="E105" i="60"/>
  <c r="E106" i="60"/>
  <c r="E107" i="60"/>
  <c r="E108" i="60"/>
  <c r="E109" i="60"/>
  <c r="E110" i="60"/>
  <c r="E111" i="60"/>
  <c r="E112" i="60"/>
  <c r="E113" i="60"/>
  <c r="E114" i="60"/>
  <c r="E115" i="60"/>
  <c r="E116" i="60"/>
  <c r="E117" i="60"/>
  <c r="E118" i="60"/>
  <c r="E119" i="60"/>
  <c r="E120" i="60"/>
  <c r="E121" i="60"/>
  <c r="E122" i="60"/>
  <c r="E123" i="60"/>
  <c r="E124" i="60"/>
  <c r="E125" i="60"/>
  <c r="E126" i="60"/>
  <c r="E127" i="60"/>
  <c r="E128" i="60"/>
  <c r="E129" i="60"/>
  <c r="E130" i="60"/>
  <c r="E131" i="60"/>
  <c r="E132" i="60"/>
  <c r="E133" i="60"/>
  <c r="E134" i="60"/>
  <c r="E135" i="60"/>
  <c r="E136" i="60"/>
  <c r="E137" i="60"/>
  <c r="E138" i="60"/>
  <c r="E139" i="60"/>
  <c r="E140" i="60"/>
  <c r="E141" i="60"/>
  <c r="E142" i="60"/>
  <c r="E143" i="60"/>
  <c r="E144" i="60"/>
  <c r="E145" i="60"/>
  <c r="E146" i="60"/>
  <c r="E147" i="60"/>
  <c r="E148" i="60"/>
  <c r="E149" i="60"/>
  <c r="E150" i="60"/>
  <c r="E151" i="60"/>
  <c r="E152" i="60"/>
  <c r="E153" i="60"/>
  <c r="E154" i="60"/>
  <c r="E155" i="60"/>
  <c r="E156" i="60"/>
  <c r="E157" i="60"/>
  <c r="E158" i="60"/>
  <c r="E159" i="60"/>
  <c r="E160" i="60"/>
  <c r="E161" i="60"/>
  <c r="E162" i="60"/>
  <c r="E163" i="60"/>
  <c r="E164" i="60"/>
  <c r="E165" i="60"/>
  <c r="E166" i="60"/>
  <c r="E167" i="60"/>
  <c r="E168" i="60"/>
  <c r="E169" i="60"/>
  <c r="E170" i="60"/>
  <c r="E171" i="60"/>
  <c r="E172" i="60"/>
  <c r="E173" i="60"/>
  <c r="E174" i="60"/>
  <c r="E175" i="60"/>
  <c r="E176" i="60"/>
  <c r="E177" i="60"/>
  <c r="E178" i="60"/>
  <c r="E179" i="60"/>
  <c r="E180" i="60"/>
  <c r="E181" i="60"/>
  <c r="E182" i="60"/>
  <c r="E183" i="60"/>
  <c r="E184" i="60"/>
  <c r="E185" i="60"/>
  <c r="E186" i="60"/>
  <c r="E187" i="60"/>
  <c r="E188" i="60"/>
  <c r="E189" i="60"/>
  <c r="E190" i="60"/>
  <c r="E191" i="60"/>
  <c r="E192" i="60"/>
  <c r="E193" i="60"/>
  <c r="E194" i="60"/>
  <c r="E195" i="60"/>
  <c r="E196" i="60"/>
  <c r="E197" i="60"/>
  <c r="E198" i="60"/>
  <c r="E199" i="60"/>
  <c r="E200" i="60"/>
  <c r="E201" i="60"/>
  <c r="E202" i="60"/>
  <c r="E203" i="60"/>
  <c r="E204" i="60"/>
  <c r="E205" i="60"/>
  <c r="E206" i="60"/>
  <c r="E207" i="60"/>
  <c r="E208" i="60"/>
  <c r="E209" i="60"/>
  <c r="E210" i="60"/>
  <c r="E211" i="60"/>
  <c r="E212" i="60"/>
  <c r="E213" i="60"/>
  <c r="E214" i="60"/>
  <c r="E215" i="60"/>
  <c r="E216" i="60"/>
  <c r="E217" i="60"/>
  <c r="E218" i="60"/>
  <c r="E219" i="60"/>
  <c r="E220" i="60"/>
  <c r="E221" i="60"/>
  <c r="E222" i="60"/>
  <c r="E223" i="60"/>
  <c r="E224" i="60"/>
  <c r="E225" i="60"/>
  <c r="E226" i="60"/>
  <c r="E227" i="60"/>
  <c r="E228" i="60"/>
  <c r="E229" i="60"/>
  <c r="E230" i="60"/>
  <c r="E231" i="60"/>
  <c r="E232" i="60"/>
  <c r="E233" i="60"/>
  <c r="E234" i="60"/>
  <c r="E235" i="60"/>
  <c r="E236" i="60"/>
  <c r="E237" i="60"/>
  <c r="E238" i="60"/>
  <c r="E239" i="60"/>
  <c r="E240" i="60"/>
  <c r="E241" i="60"/>
  <c r="E242" i="60"/>
  <c r="E243" i="60"/>
  <c r="E244" i="60"/>
  <c r="E245" i="60"/>
  <c r="E246" i="60"/>
  <c r="E247" i="60"/>
  <c r="E248" i="60"/>
  <c r="E249" i="60"/>
  <c r="E250" i="60"/>
  <c r="E251" i="60"/>
  <c r="E252" i="60"/>
  <c r="E253" i="60"/>
  <c r="E254" i="60"/>
  <c r="E255" i="60"/>
  <c r="E256" i="60"/>
  <c r="E257" i="60"/>
  <c r="E258" i="60"/>
  <c r="E259" i="60"/>
  <c r="E260" i="60"/>
  <c r="E261" i="60"/>
  <c r="E262" i="60"/>
  <c r="E263" i="60"/>
  <c r="E264" i="60"/>
  <c r="E265" i="60"/>
  <c r="E266" i="60"/>
  <c r="E267" i="60"/>
  <c r="E268" i="60"/>
  <c r="E269" i="60"/>
  <c r="E270" i="60"/>
  <c r="E271" i="60"/>
  <c r="E272" i="60"/>
  <c r="E4" i="60"/>
  <c r="E5" i="60"/>
  <c r="E6" i="60"/>
  <c r="E7" i="60"/>
  <c r="E8" i="60"/>
  <c r="E9" i="60"/>
  <c r="E10" i="60"/>
  <c r="E11" i="60"/>
  <c r="E12" i="60"/>
  <c r="E13" i="60"/>
  <c r="E14" i="60"/>
  <c r="E15" i="60"/>
  <c r="E16" i="60"/>
  <c r="E17" i="60"/>
  <c r="E18" i="60"/>
  <c r="E19" i="60"/>
  <c r="E20" i="60"/>
  <c r="E21" i="60"/>
  <c r="E22" i="60"/>
  <c r="E23" i="60"/>
  <c r="E24" i="60"/>
  <c r="E25" i="60"/>
  <c r="E3" i="60"/>
  <c r="D3" i="60"/>
  <c r="D270" i="60"/>
  <c r="D268" i="60"/>
  <c r="D266" i="60"/>
  <c r="D264" i="60"/>
  <c r="D258" i="60"/>
  <c r="D256" i="60"/>
  <c r="D252" i="60"/>
  <c r="D250" i="60"/>
  <c r="D242" i="60"/>
  <c r="D234" i="60"/>
  <c r="D232" i="60"/>
  <c r="D230" i="60"/>
  <c r="D229" i="60"/>
  <c r="D228" i="60"/>
  <c r="D88" i="60"/>
  <c r="D79" i="60"/>
  <c r="D91" i="60"/>
  <c r="D60" i="60"/>
  <c r="D64" i="60"/>
  <c r="D72" i="60"/>
  <c r="D80" i="60"/>
  <c r="D96" i="60"/>
  <c r="D104" i="60"/>
  <c r="D112" i="60"/>
  <c r="D120" i="60"/>
  <c r="D128" i="60"/>
  <c r="D136" i="60"/>
  <c r="D50" i="60"/>
  <c r="D52" i="60"/>
  <c r="D49" i="60"/>
  <c r="D51" i="60"/>
  <c r="D53" i="60"/>
  <c r="D54" i="60"/>
  <c r="D55" i="60"/>
  <c r="D57" i="60"/>
  <c r="D4" i="60"/>
  <c r="D5" i="60"/>
  <c r="D6" i="60"/>
  <c r="D7" i="60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40" i="60"/>
  <c r="D41" i="60"/>
  <c r="D42" i="60"/>
  <c r="D43" i="60"/>
  <c r="D44" i="60"/>
  <c r="D45" i="60"/>
  <c r="D46" i="60"/>
  <c r="D47" i="60"/>
  <c r="D58" i="60"/>
  <c r="D59" i="60"/>
  <c r="D61" i="60"/>
  <c r="D62" i="60"/>
  <c r="D63" i="60"/>
  <c r="D65" i="60"/>
  <c r="D67" i="60"/>
  <c r="D68" i="60"/>
  <c r="D69" i="60"/>
  <c r="D70" i="60"/>
  <c r="D71" i="60"/>
  <c r="D75" i="60"/>
  <c r="D76" i="60"/>
  <c r="D77" i="60"/>
  <c r="D78" i="60"/>
  <c r="D83" i="60"/>
  <c r="D84" i="60"/>
  <c r="D85" i="60"/>
  <c r="D86" i="60"/>
  <c r="D87" i="60"/>
  <c r="D92" i="60"/>
  <c r="D93" i="60"/>
  <c r="D94" i="60"/>
  <c r="D95" i="60"/>
  <c r="D97" i="60"/>
  <c r="D99" i="60"/>
  <c r="D100" i="60"/>
  <c r="D101" i="60"/>
  <c r="D102" i="60"/>
  <c r="D103" i="60"/>
  <c r="D105" i="60"/>
  <c r="D107" i="60"/>
  <c r="D108" i="60"/>
  <c r="D109" i="60"/>
  <c r="D110" i="60"/>
  <c r="D111" i="60"/>
  <c r="D113" i="60"/>
  <c r="D115" i="60"/>
  <c r="D116" i="60"/>
  <c r="D117" i="60"/>
  <c r="D118" i="60"/>
  <c r="D119" i="60"/>
  <c r="D121" i="60"/>
  <c r="D123" i="60"/>
  <c r="D124" i="60"/>
  <c r="D125" i="60"/>
  <c r="D126" i="60"/>
  <c r="D127" i="60"/>
  <c r="D129" i="60"/>
  <c r="D131" i="60"/>
  <c r="D132" i="60"/>
  <c r="D133" i="60"/>
  <c r="D134" i="60"/>
  <c r="D135" i="60"/>
  <c r="D137" i="60"/>
  <c r="D138" i="60"/>
  <c r="D139" i="60"/>
  <c r="D140" i="60"/>
  <c r="D141" i="60"/>
  <c r="D142" i="60"/>
  <c r="D143" i="60"/>
  <c r="D144" i="60"/>
  <c r="D145" i="60"/>
  <c r="D146" i="60"/>
  <c r="D147" i="60"/>
  <c r="D148" i="60"/>
  <c r="D149" i="60"/>
  <c r="D150" i="60"/>
  <c r="D151" i="60"/>
  <c r="D152" i="60"/>
  <c r="D153" i="60"/>
  <c r="D154" i="60"/>
  <c r="D155" i="60"/>
  <c r="D156" i="60"/>
  <c r="D157" i="60"/>
  <c r="D158" i="60"/>
  <c r="D159" i="60"/>
  <c r="D160" i="60"/>
  <c r="D161" i="60"/>
  <c r="D162" i="60"/>
  <c r="D163" i="60"/>
  <c r="D164" i="60"/>
  <c r="D165" i="60"/>
  <c r="D166" i="60"/>
  <c r="D167" i="60"/>
  <c r="D168" i="60"/>
  <c r="D169" i="60"/>
  <c r="D170" i="60"/>
  <c r="D171" i="60"/>
  <c r="D172" i="60"/>
  <c r="D173" i="60"/>
  <c r="D174" i="60"/>
  <c r="D175" i="60"/>
  <c r="D176" i="60"/>
  <c r="D177" i="60"/>
  <c r="D178" i="60"/>
  <c r="D179" i="60"/>
  <c r="D180" i="60"/>
  <c r="D181" i="60"/>
  <c r="D182" i="60"/>
  <c r="D183" i="60"/>
  <c r="D184" i="60"/>
  <c r="D185" i="60"/>
  <c r="D186" i="60"/>
  <c r="D187" i="60"/>
  <c r="D188" i="60"/>
  <c r="D189" i="60"/>
  <c r="D190" i="60"/>
  <c r="D191" i="60"/>
  <c r="D192" i="60"/>
  <c r="D193" i="60"/>
  <c r="D194" i="60"/>
  <c r="D195" i="60"/>
  <c r="D196" i="60"/>
  <c r="D197" i="60"/>
  <c r="D198" i="60"/>
  <c r="D199" i="60"/>
  <c r="D200" i="60"/>
  <c r="D201" i="60"/>
  <c r="D202" i="60"/>
  <c r="D203" i="60"/>
  <c r="D204" i="60"/>
  <c r="D205" i="60"/>
  <c r="D206" i="60"/>
  <c r="D207" i="60"/>
  <c r="D208" i="60"/>
  <c r="D209" i="60"/>
  <c r="D210" i="60"/>
  <c r="D211" i="60"/>
  <c r="D212" i="60"/>
  <c r="D213" i="60"/>
  <c r="D214" i="60"/>
  <c r="D215" i="60"/>
  <c r="D216" i="60"/>
  <c r="D217" i="60"/>
  <c r="D218" i="60"/>
  <c r="D219" i="60"/>
  <c r="D220" i="60"/>
  <c r="D221" i="60"/>
  <c r="D222" i="60"/>
  <c r="D223" i="60"/>
  <c r="D224" i="60"/>
  <c r="D225" i="60"/>
  <c r="D226" i="60"/>
  <c r="D227" i="60"/>
  <c r="D231" i="60"/>
  <c r="D233" i="60"/>
  <c r="D235" i="60"/>
  <c r="D236" i="60"/>
  <c r="D237" i="60"/>
  <c r="D238" i="60"/>
  <c r="D239" i="60"/>
  <c r="D240" i="60"/>
  <c r="D241" i="60"/>
  <c r="D243" i="60"/>
  <c r="D244" i="60"/>
  <c r="D245" i="60"/>
  <c r="D246" i="60"/>
  <c r="D247" i="60"/>
  <c r="D248" i="60"/>
  <c r="D249" i="60"/>
  <c r="D251" i="60"/>
  <c r="D253" i="60"/>
  <c r="D254" i="60"/>
  <c r="D255" i="60"/>
  <c r="D257" i="60"/>
  <c r="D259" i="60"/>
  <c r="D260" i="60"/>
  <c r="D261" i="60"/>
  <c r="D262" i="60"/>
  <c r="D263" i="60"/>
  <c r="D265" i="60"/>
  <c r="D267" i="60"/>
  <c r="D269" i="60"/>
  <c r="D271" i="60"/>
  <c r="D272" i="60"/>
  <c r="D3" i="54"/>
  <c r="L2" i="60"/>
  <c r="D2" i="60"/>
  <c r="D2" i="54"/>
  <c r="L2" i="54"/>
  <c r="G235" i="53"/>
  <c r="A220" i="53"/>
  <c r="A231" i="53" s="1"/>
  <c r="A242" i="53" s="1"/>
  <c r="A213" i="53"/>
  <c r="A224" i="53" s="1"/>
  <c r="A235" i="53" s="1"/>
  <c r="A214" i="53"/>
  <c r="A225" i="53" s="1"/>
  <c r="A236" i="53" s="1"/>
  <c r="A215" i="53"/>
  <c r="A226" i="53" s="1"/>
  <c r="A237" i="53" s="1"/>
  <c r="A216" i="53"/>
  <c r="A227" i="53" s="1"/>
  <c r="A238" i="53" s="1"/>
  <c r="A217" i="53"/>
  <c r="A228" i="53" s="1"/>
  <c r="A239" i="53" s="1"/>
  <c r="A218" i="53"/>
  <c r="A229" i="53" s="1"/>
  <c r="A240" i="53" s="1"/>
  <c r="A219" i="53"/>
  <c r="A230" i="53" s="1"/>
  <c r="A241" i="53" s="1"/>
  <c r="A212" i="53"/>
  <c r="AW251" i="53"/>
  <c r="G236" i="53" s="1"/>
  <c r="AW252" i="53"/>
  <c r="G237" i="53" s="1"/>
  <c r="AW253" i="53"/>
  <c r="G238" i="53" s="1"/>
  <c r="AW254" i="53"/>
  <c r="G239" i="53" s="1"/>
  <c r="AW255" i="53"/>
  <c r="G240" i="53" s="1"/>
  <c r="AW256" i="53"/>
  <c r="G241" i="53" s="1"/>
  <c r="AW257" i="53"/>
  <c r="G242" i="53" s="1"/>
  <c r="AW249" i="53"/>
  <c r="G234" i="53" s="1"/>
  <c r="AT250" i="53"/>
  <c r="G224" i="53" s="1"/>
  <c r="AT251" i="53"/>
  <c r="G225" i="53" s="1"/>
  <c r="AT252" i="53"/>
  <c r="G226" i="53" s="1"/>
  <c r="AT253" i="53"/>
  <c r="G227" i="53" s="1"/>
  <c r="AT254" i="53"/>
  <c r="G228" i="53" s="1"/>
  <c r="AT255" i="53"/>
  <c r="G229" i="53" s="1"/>
  <c r="AT256" i="53"/>
  <c r="G230" i="53" s="1"/>
  <c r="AT257" i="53"/>
  <c r="G231" i="53" s="1"/>
  <c r="AT249" i="53"/>
  <c r="G223" i="53" s="1"/>
  <c r="AQ250" i="53"/>
  <c r="G213" i="53" s="1"/>
  <c r="AQ251" i="53"/>
  <c r="G214" i="53" s="1"/>
  <c r="AQ252" i="53"/>
  <c r="G215" i="53" s="1"/>
  <c r="AQ253" i="53"/>
  <c r="G216" i="53" s="1"/>
  <c r="AQ254" i="53"/>
  <c r="G217" i="53" s="1"/>
  <c r="AQ255" i="53"/>
  <c r="G218" i="53" s="1"/>
  <c r="AQ256" i="53"/>
  <c r="G219" i="53" s="1"/>
  <c r="AQ257" i="53"/>
  <c r="G220" i="53" s="1"/>
  <c r="AQ249" i="53"/>
  <c r="G212" i="53" s="1"/>
  <c r="AN250" i="53"/>
  <c r="G202" i="53" s="1"/>
  <c r="AN251" i="53"/>
  <c r="G203" i="53" s="1"/>
  <c r="AN252" i="53"/>
  <c r="G204" i="53" s="1"/>
  <c r="AN253" i="53"/>
  <c r="G205" i="53" s="1"/>
  <c r="AN254" i="53"/>
  <c r="G206" i="53" s="1"/>
  <c r="AN255" i="53"/>
  <c r="G207" i="53" s="1"/>
  <c r="AN256" i="53"/>
  <c r="G208" i="53" s="1"/>
  <c r="AN257" i="53"/>
  <c r="G209" i="53" s="1"/>
  <c r="AN249" i="53"/>
  <c r="G201" i="53" s="1"/>
  <c r="AK250" i="53"/>
  <c r="F235" i="53" s="1"/>
  <c r="AK251" i="53"/>
  <c r="F236" i="53" s="1"/>
  <c r="AK252" i="53"/>
  <c r="F237" i="53" s="1"/>
  <c r="AK253" i="53"/>
  <c r="F238" i="53" s="1"/>
  <c r="AK254" i="53"/>
  <c r="F239" i="53" s="1"/>
  <c r="AK255" i="53"/>
  <c r="F240" i="53" s="1"/>
  <c r="AK256" i="53"/>
  <c r="F241" i="53" s="1"/>
  <c r="AK257" i="53"/>
  <c r="F242" i="53" s="1"/>
  <c r="AK249" i="53"/>
  <c r="F234" i="53" s="1"/>
  <c r="AH250" i="53"/>
  <c r="F224" i="53" s="1"/>
  <c r="AH251" i="53"/>
  <c r="F225" i="53" s="1"/>
  <c r="AH252" i="53"/>
  <c r="F226" i="53" s="1"/>
  <c r="AH253" i="53"/>
  <c r="F227" i="53" s="1"/>
  <c r="AH254" i="53"/>
  <c r="F228" i="53" s="1"/>
  <c r="AH255" i="53"/>
  <c r="F229" i="53" s="1"/>
  <c r="AH256" i="53"/>
  <c r="F230" i="53" s="1"/>
  <c r="AH257" i="53"/>
  <c r="F231" i="53" s="1"/>
  <c r="AH249" i="53"/>
  <c r="F223" i="53" s="1"/>
  <c r="AE250" i="53"/>
  <c r="F213" i="53" s="1"/>
  <c r="AE251" i="53"/>
  <c r="F214" i="53" s="1"/>
  <c r="AE252" i="53"/>
  <c r="F215" i="53" s="1"/>
  <c r="AE253" i="53"/>
  <c r="F216" i="53" s="1"/>
  <c r="AE254" i="53"/>
  <c r="F217" i="53" s="1"/>
  <c r="AE255" i="53"/>
  <c r="F218" i="53" s="1"/>
  <c r="AE256" i="53"/>
  <c r="F219" i="53" s="1"/>
  <c r="AE257" i="53"/>
  <c r="F220" i="53" s="1"/>
  <c r="AE249" i="53"/>
  <c r="F212" i="53" s="1"/>
  <c r="AB250" i="53"/>
  <c r="F202" i="53" s="1"/>
  <c r="AB251" i="53"/>
  <c r="F203" i="53" s="1"/>
  <c r="AB252" i="53"/>
  <c r="F204" i="53" s="1"/>
  <c r="AB253" i="53"/>
  <c r="F205" i="53" s="1"/>
  <c r="AB254" i="53"/>
  <c r="F206" i="53" s="1"/>
  <c r="AB255" i="53"/>
  <c r="F207" i="53" s="1"/>
  <c r="AB256" i="53"/>
  <c r="F208" i="53" s="1"/>
  <c r="AB257" i="53"/>
  <c r="F209" i="53" s="1"/>
  <c r="AB249" i="53"/>
  <c r="F201" i="53" s="1"/>
  <c r="Y257" i="53"/>
  <c r="E242" i="53" s="1"/>
  <c r="V257" i="53"/>
  <c r="E231" i="53" s="1"/>
  <c r="S257" i="53"/>
  <c r="E220" i="53" s="1"/>
  <c r="O257" i="53"/>
  <c r="N257" i="53"/>
  <c r="M257" i="53"/>
  <c r="C242" i="53" s="1"/>
  <c r="J257" i="53"/>
  <c r="B231" i="53" s="1"/>
  <c r="G257" i="53"/>
  <c r="D220" i="53" s="1"/>
  <c r="D257" i="53"/>
  <c r="D209" i="53" s="1"/>
  <c r="Y256" i="53"/>
  <c r="E241" i="53" s="1"/>
  <c r="V256" i="53"/>
  <c r="E230" i="53" s="1"/>
  <c r="S256" i="53"/>
  <c r="E219" i="53" s="1"/>
  <c r="O256" i="53"/>
  <c r="N256" i="53"/>
  <c r="M256" i="53"/>
  <c r="C241" i="53" s="1"/>
  <c r="J256" i="53"/>
  <c r="B230" i="53" s="1"/>
  <c r="G256" i="53"/>
  <c r="C219" i="53" s="1"/>
  <c r="D256" i="53"/>
  <c r="C208" i="53" s="1"/>
  <c r="F443" i="61" s="1"/>
  <c r="Y255" i="53"/>
  <c r="E240" i="53" s="1"/>
  <c r="V255" i="53"/>
  <c r="E229" i="53" s="1"/>
  <c r="S255" i="53"/>
  <c r="E218" i="53" s="1"/>
  <c r="O255" i="53"/>
  <c r="N255" i="53"/>
  <c r="M255" i="53"/>
  <c r="B240" i="53" s="1"/>
  <c r="J255" i="53"/>
  <c r="B229" i="53" s="1"/>
  <c r="G255" i="53"/>
  <c r="D218" i="53" s="1"/>
  <c r="D255" i="53"/>
  <c r="D207" i="53" s="1"/>
  <c r="Y254" i="53"/>
  <c r="E239" i="53" s="1"/>
  <c r="V254" i="53"/>
  <c r="E228" i="53" s="1"/>
  <c r="S254" i="53"/>
  <c r="E217" i="53" s="1"/>
  <c r="O254" i="53"/>
  <c r="N254" i="53"/>
  <c r="M254" i="53"/>
  <c r="B239" i="53" s="1"/>
  <c r="J254" i="53"/>
  <c r="D228" i="53" s="1"/>
  <c r="G254" i="53"/>
  <c r="C217" i="53" s="1"/>
  <c r="D254" i="53"/>
  <c r="C206" i="53" s="1"/>
  <c r="Y253" i="53"/>
  <c r="E238" i="53" s="1"/>
  <c r="V253" i="53"/>
  <c r="E227" i="53" s="1"/>
  <c r="S253" i="53"/>
  <c r="E216" i="53" s="1"/>
  <c r="O253" i="53"/>
  <c r="N253" i="53"/>
  <c r="M253" i="53"/>
  <c r="C238" i="53" s="1"/>
  <c r="J253" i="53"/>
  <c r="C227" i="53" s="1"/>
  <c r="G253" i="53"/>
  <c r="B216" i="53" s="1"/>
  <c r="D253" i="53"/>
  <c r="B205" i="53" s="1"/>
  <c r="Y252" i="53"/>
  <c r="E237" i="53" s="1"/>
  <c r="V252" i="53"/>
  <c r="E226" i="53" s="1"/>
  <c r="S252" i="53"/>
  <c r="E215" i="53" s="1"/>
  <c r="O252" i="53"/>
  <c r="N252" i="53"/>
  <c r="M252" i="53"/>
  <c r="C237" i="53" s="1"/>
  <c r="J252" i="53"/>
  <c r="B226" i="53" s="1"/>
  <c r="G252" i="53"/>
  <c r="C215" i="53" s="1"/>
  <c r="D252" i="53"/>
  <c r="C204" i="53" s="1"/>
  <c r="F427" i="61" s="1"/>
  <c r="Y251" i="53"/>
  <c r="E236" i="53" s="1"/>
  <c r="V251" i="53"/>
  <c r="E225" i="53" s="1"/>
  <c r="S251" i="53"/>
  <c r="E214" i="53" s="1"/>
  <c r="O251" i="53"/>
  <c r="N251" i="53"/>
  <c r="M251" i="53"/>
  <c r="B236" i="53" s="1"/>
  <c r="J251" i="53"/>
  <c r="B225" i="53" s="1"/>
  <c r="G251" i="53"/>
  <c r="D214" i="53" s="1"/>
  <c r="D251" i="53"/>
  <c r="D203" i="53" s="1"/>
  <c r="Y250" i="53"/>
  <c r="E235" i="53" s="1"/>
  <c r="V250" i="53"/>
  <c r="E224" i="53" s="1"/>
  <c r="S250" i="53"/>
  <c r="E213" i="53" s="1"/>
  <c r="O250" i="53"/>
  <c r="N250" i="53"/>
  <c r="M250" i="53"/>
  <c r="C235" i="53" s="1"/>
  <c r="J250" i="53"/>
  <c r="B224" i="53" s="1"/>
  <c r="G250" i="53"/>
  <c r="D213" i="53" s="1"/>
  <c r="D250" i="53"/>
  <c r="C202" i="53" s="1"/>
  <c r="F371" i="61" s="1"/>
  <c r="Y249" i="53"/>
  <c r="E234" i="53" s="1"/>
  <c r="V249" i="53"/>
  <c r="E223" i="53" s="1"/>
  <c r="S249" i="53"/>
  <c r="E212" i="53" s="1"/>
  <c r="O249" i="53"/>
  <c r="N249" i="53"/>
  <c r="M249" i="53"/>
  <c r="C234" i="53" s="1"/>
  <c r="J249" i="53"/>
  <c r="B223" i="53" s="1"/>
  <c r="G249" i="53"/>
  <c r="D212" i="53" s="1"/>
  <c r="D249" i="53"/>
  <c r="D201" i="53" s="1"/>
  <c r="M248" i="53"/>
  <c r="D248" i="53"/>
  <c r="D111" i="53"/>
  <c r="C111" i="53"/>
  <c r="B114" i="53"/>
  <c r="A137" i="53"/>
  <c r="A150" i="53" s="1"/>
  <c r="A163" i="53" s="1"/>
  <c r="A176" i="53" s="1"/>
  <c r="A136" i="53"/>
  <c r="A138" i="53"/>
  <c r="A151" i="53" s="1"/>
  <c r="A164" i="53" s="1"/>
  <c r="A177" i="53" s="1"/>
  <c r="A139" i="53"/>
  <c r="A152" i="53" s="1"/>
  <c r="A165" i="53" s="1"/>
  <c r="A178" i="53" s="1"/>
  <c r="A140" i="53"/>
  <c r="A153" i="53" s="1"/>
  <c r="A166" i="53" s="1"/>
  <c r="A179" i="53" s="1"/>
  <c r="A141" i="53"/>
  <c r="A154" i="53" s="1"/>
  <c r="A167" i="53" s="1"/>
  <c r="A180" i="53" s="1"/>
  <c r="A142" i="53"/>
  <c r="A155" i="53" s="1"/>
  <c r="A168" i="53" s="1"/>
  <c r="A181" i="53" s="1"/>
  <c r="A143" i="53"/>
  <c r="A156" i="53" s="1"/>
  <c r="A169" i="53" s="1"/>
  <c r="A182" i="53" s="1"/>
  <c r="A135" i="53"/>
  <c r="A148" i="53" s="1"/>
  <c r="A161" i="53" s="1"/>
  <c r="A174" i="53" s="1"/>
  <c r="C35" i="59"/>
  <c r="D35" i="59"/>
  <c r="E35" i="59"/>
  <c r="F35" i="59"/>
  <c r="G35" i="59"/>
  <c r="B47" i="59"/>
  <c r="C36" i="59"/>
  <c r="D36" i="59"/>
  <c r="E36" i="59"/>
  <c r="F36" i="59"/>
  <c r="G36" i="59"/>
  <c r="B48" i="59"/>
  <c r="O48" i="59" s="1"/>
  <c r="C37" i="59"/>
  <c r="D37" i="59"/>
  <c r="E37" i="59"/>
  <c r="F37" i="59"/>
  <c r="G37" i="59"/>
  <c r="B49" i="59"/>
  <c r="O49" i="59" s="1"/>
  <c r="C38" i="59"/>
  <c r="D38" i="59"/>
  <c r="E38" i="59"/>
  <c r="F38" i="59"/>
  <c r="G38" i="59"/>
  <c r="B50" i="59"/>
  <c r="O50" i="59" s="1"/>
  <c r="C39" i="59"/>
  <c r="D39" i="59"/>
  <c r="E39" i="59"/>
  <c r="F39" i="59"/>
  <c r="G39" i="59"/>
  <c r="B51" i="59"/>
  <c r="C40" i="59"/>
  <c r="D40" i="59"/>
  <c r="E40" i="59"/>
  <c r="F40" i="59"/>
  <c r="G40" i="59"/>
  <c r="B52" i="59"/>
  <c r="O52" i="59" s="1"/>
  <c r="C41" i="59"/>
  <c r="D41" i="59"/>
  <c r="E41" i="59"/>
  <c r="F41" i="59"/>
  <c r="G41" i="59"/>
  <c r="B53" i="59"/>
  <c r="O53" i="59" s="1"/>
  <c r="C42" i="59"/>
  <c r="D42" i="59"/>
  <c r="E42" i="59"/>
  <c r="F42" i="59"/>
  <c r="G42" i="59"/>
  <c r="A35" i="59"/>
  <c r="A36" i="59"/>
  <c r="A47" i="59" s="1"/>
  <c r="A37" i="59"/>
  <c r="A48" i="59" s="1"/>
  <c r="A38" i="59"/>
  <c r="A49" i="59" s="1"/>
  <c r="A39" i="59"/>
  <c r="A50" i="59" s="1"/>
  <c r="A40" i="59"/>
  <c r="A51" i="59" s="1"/>
  <c r="A41" i="59"/>
  <c r="A52" i="59" s="1"/>
  <c r="A42" i="59"/>
  <c r="A53" i="59" s="1"/>
  <c r="N203" i="54"/>
  <c r="N163" i="54"/>
  <c r="N123" i="54"/>
  <c r="N83" i="54"/>
  <c r="N43" i="54"/>
  <c r="N3" i="54"/>
  <c r="F515" i="61" l="1"/>
  <c r="G38" i="55"/>
  <c r="K228" i="60" s="1"/>
  <c r="K3" i="60"/>
  <c r="F53" i="59"/>
  <c r="S53" i="59" s="1"/>
  <c r="L42" i="59"/>
  <c r="T37" i="59" s="1"/>
  <c r="E53" i="59"/>
  <c r="R53" i="59" s="1"/>
  <c r="K42" i="59"/>
  <c r="S37" i="59" s="1"/>
  <c r="L51" i="59"/>
  <c r="Y51" i="59" s="1"/>
  <c r="O40" i="59"/>
  <c r="W40" i="59" s="1"/>
  <c r="G50" i="59"/>
  <c r="T50" i="59" s="1"/>
  <c r="M39" i="59"/>
  <c r="U36" i="59" s="1"/>
  <c r="E49" i="59"/>
  <c r="R49" i="59" s="1"/>
  <c r="K38" i="59"/>
  <c r="S35" i="59" s="1"/>
  <c r="L47" i="59"/>
  <c r="Y47" i="59" s="1"/>
  <c r="O36" i="59"/>
  <c r="W39" i="59" s="1"/>
  <c r="G46" i="59"/>
  <c r="T46" i="59" s="1"/>
  <c r="M35" i="59"/>
  <c r="U38" i="59" s="1"/>
  <c r="I51" i="59"/>
  <c r="V51" i="59" s="1"/>
  <c r="N40" i="59"/>
  <c r="V40" i="59" s="1"/>
  <c r="F50" i="59"/>
  <c r="S50" i="59" s="1"/>
  <c r="L39" i="59"/>
  <c r="T36" i="59" s="1"/>
  <c r="I47" i="59"/>
  <c r="V47" i="59" s="1"/>
  <c r="N36" i="59"/>
  <c r="V39" i="59" s="1"/>
  <c r="F46" i="59"/>
  <c r="S46" i="59" s="1"/>
  <c r="L35" i="59"/>
  <c r="T38" i="59" s="1"/>
  <c r="E92" i="59"/>
  <c r="L52" i="59"/>
  <c r="Y52" i="59" s="1"/>
  <c r="O41" i="59"/>
  <c r="W41" i="59" s="1"/>
  <c r="G51" i="59"/>
  <c r="T51" i="59" s="1"/>
  <c r="M40" i="59"/>
  <c r="U40" i="59" s="1"/>
  <c r="E50" i="59"/>
  <c r="R50" i="59" s="1"/>
  <c r="K39" i="59"/>
  <c r="S36" i="59" s="1"/>
  <c r="L48" i="59"/>
  <c r="Y48" i="59" s="1"/>
  <c r="O37" i="59"/>
  <c r="W42" i="59" s="1"/>
  <c r="G47" i="59"/>
  <c r="T47" i="59" s="1"/>
  <c r="M36" i="59"/>
  <c r="U39" i="59" s="1"/>
  <c r="C46" i="59"/>
  <c r="P46" i="59" s="1"/>
  <c r="K35" i="59"/>
  <c r="S38" i="59" s="1"/>
  <c r="A46" i="59"/>
  <c r="E3" i="61"/>
  <c r="C8" i="66"/>
  <c r="I52" i="59"/>
  <c r="V52" i="59" s="1"/>
  <c r="N41" i="59"/>
  <c r="V41" i="59" s="1"/>
  <c r="F51" i="59"/>
  <c r="S51" i="59" s="1"/>
  <c r="L40" i="59"/>
  <c r="T40" i="59" s="1"/>
  <c r="I48" i="59"/>
  <c r="V48" i="59" s="1"/>
  <c r="N37" i="59"/>
  <c r="V42" i="59" s="1"/>
  <c r="F47" i="59"/>
  <c r="S47" i="59" s="1"/>
  <c r="L36" i="59"/>
  <c r="T39" i="59" s="1"/>
  <c r="F49" i="59"/>
  <c r="S49" i="59" s="1"/>
  <c r="L38" i="59"/>
  <c r="T35" i="59" s="1"/>
  <c r="L53" i="59"/>
  <c r="Y53" i="59" s="1"/>
  <c r="O42" i="59"/>
  <c r="W37" i="59" s="1"/>
  <c r="G52" i="59"/>
  <c r="T52" i="59" s="1"/>
  <c r="M41" i="59"/>
  <c r="U41" i="59" s="1"/>
  <c r="E51" i="59"/>
  <c r="R51" i="59" s="1"/>
  <c r="K40" i="59"/>
  <c r="S40" i="59" s="1"/>
  <c r="L49" i="59"/>
  <c r="Y49" i="59" s="1"/>
  <c r="O38" i="59"/>
  <c r="W35" i="59" s="1"/>
  <c r="G48" i="59"/>
  <c r="T48" i="59" s="1"/>
  <c r="M37" i="59"/>
  <c r="U42" i="59" s="1"/>
  <c r="E47" i="59"/>
  <c r="R47" i="59" s="1"/>
  <c r="K36" i="59"/>
  <c r="S39" i="59" s="1"/>
  <c r="I46" i="59"/>
  <c r="V46" i="59" s="1"/>
  <c r="N35" i="59"/>
  <c r="V38" i="59" s="1"/>
  <c r="I53" i="59"/>
  <c r="N42" i="59"/>
  <c r="V37" i="59" s="1"/>
  <c r="F52" i="59"/>
  <c r="S52" i="59" s="1"/>
  <c r="L41" i="59"/>
  <c r="T41" i="59" s="1"/>
  <c r="I49" i="59"/>
  <c r="N38" i="59"/>
  <c r="V35" i="59" s="1"/>
  <c r="F48" i="59"/>
  <c r="S48" i="59" s="1"/>
  <c r="L37" i="59"/>
  <c r="T42" i="59" s="1"/>
  <c r="I50" i="59"/>
  <c r="V50" i="59" s="1"/>
  <c r="N39" i="59"/>
  <c r="V36" i="59" s="1"/>
  <c r="G53" i="59"/>
  <c r="T53" i="59" s="1"/>
  <c r="M42" i="59"/>
  <c r="U37" i="59" s="1"/>
  <c r="E52" i="59"/>
  <c r="R52" i="59" s="1"/>
  <c r="K41" i="59"/>
  <c r="S41" i="59" s="1"/>
  <c r="L50" i="59"/>
  <c r="Y50" i="59" s="1"/>
  <c r="O39" i="59"/>
  <c r="W36" i="59" s="1"/>
  <c r="G49" i="59"/>
  <c r="T49" i="59" s="1"/>
  <c r="M38" i="59"/>
  <c r="U35" i="59" s="1"/>
  <c r="E48" i="59"/>
  <c r="R48" i="59" s="1"/>
  <c r="K37" i="59"/>
  <c r="S42" i="59" s="1"/>
  <c r="L46" i="59"/>
  <c r="Y46" i="59" s="1"/>
  <c r="O35" i="59"/>
  <c r="W38" i="59" s="1"/>
  <c r="C51" i="59"/>
  <c r="O51" i="59"/>
  <c r="C47" i="59"/>
  <c r="O47" i="59"/>
  <c r="G117" i="59"/>
  <c r="G92" i="59"/>
  <c r="H88" i="59"/>
  <c r="H92" i="59" s="1"/>
  <c r="C117" i="59"/>
  <c r="D112" i="59"/>
  <c r="D117" i="59" s="1"/>
  <c r="L92" i="59"/>
  <c r="C83" i="59"/>
  <c r="B92" i="59"/>
  <c r="F92" i="59"/>
  <c r="J117" i="59"/>
  <c r="K112" i="59"/>
  <c r="K117" i="59" s="1"/>
  <c r="I92" i="59"/>
  <c r="J85" i="59"/>
  <c r="K85" i="59" s="1"/>
  <c r="H117" i="59"/>
  <c r="C52" i="59"/>
  <c r="C53" i="59"/>
  <c r="E46" i="59"/>
  <c r="R46" i="59" s="1"/>
  <c r="C48" i="59"/>
  <c r="C49" i="59"/>
  <c r="C50" i="59"/>
  <c r="E11" i="61"/>
  <c r="E4" i="61"/>
  <c r="E12" i="61"/>
  <c r="E5" i="61"/>
  <c r="E13" i="61"/>
  <c r="E6" i="61"/>
  <c r="E14" i="61"/>
  <c r="E7" i="61"/>
  <c r="E15" i="61"/>
  <c r="E8" i="61"/>
  <c r="E16" i="61"/>
  <c r="E18" i="61"/>
  <c r="E9" i="61"/>
  <c r="E17" i="61"/>
  <c r="E10" i="61"/>
  <c r="F43" i="59"/>
  <c r="N43" i="59" s="1"/>
  <c r="E43" i="59"/>
  <c r="D43" i="59"/>
  <c r="C43" i="59"/>
  <c r="B43" i="59"/>
  <c r="G43" i="59"/>
  <c r="O43" i="59" s="1"/>
  <c r="G14" i="66"/>
  <c r="H17" i="66"/>
  <c r="C17" i="66"/>
  <c r="I8" i="66"/>
  <c r="J8" i="66"/>
  <c r="C11" i="66"/>
  <c r="F17" i="66"/>
  <c r="J14" i="66"/>
  <c r="E14" i="66"/>
  <c r="I17" i="66"/>
  <c r="G11" i="66"/>
  <c r="D17" i="66"/>
  <c r="G17" i="66"/>
  <c r="E11" i="66"/>
  <c r="H8" i="66"/>
  <c r="D8" i="66"/>
  <c r="H11" i="66"/>
  <c r="F11" i="66"/>
  <c r="E8" i="66"/>
  <c r="J11" i="66"/>
  <c r="K11" i="66"/>
  <c r="D14" i="66"/>
  <c r="E17" i="66"/>
  <c r="D11" i="66"/>
  <c r="I14" i="66"/>
  <c r="K8" i="66"/>
  <c r="K17" i="66"/>
  <c r="F8" i="66"/>
  <c r="J17" i="66"/>
  <c r="F14" i="66"/>
  <c r="I11" i="66"/>
  <c r="K14" i="66"/>
  <c r="C14" i="66"/>
  <c r="H14" i="66"/>
  <c r="G8" i="66"/>
  <c r="E89" i="61"/>
  <c r="E97" i="61"/>
  <c r="E105" i="61"/>
  <c r="E113" i="61"/>
  <c r="E121" i="61"/>
  <c r="E129" i="61"/>
  <c r="E137" i="61"/>
  <c r="E145" i="61"/>
  <c r="E153" i="61"/>
  <c r="E161" i="61"/>
  <c r="E169" i="61"/>
  <c r="E177" i="61"/>
  <c r="E185" i="61"/>
  <c r="E193" i="61"/>
  <c r="E201" i="61"/>
  <c r="E209" i="61"/>
  <c r="E217" i="61"/>
  <c r="E225" i="61"/>
  <c r="E233" i="61"/>
  <c r="E241" i="61"/>
  <c r="E249" i="61"/>
  <c r="E257" i="61"/>
  <c r="E265" i="61"/>
  <c r="E273" i="61"/>
  <c r="E281" i="61"/>
  <c r="E289" i="61"/>
  <c r="E297" i="61"/>
  <c r="E305" i="61"/>
  <c r="E313" i="61"/>
  <c r="E321" i="61"/>
  <c r="E329" i="61"/>
  <c r="E337" i="61"/>
  <c r="E345" i="61"/>
  <c r="E353" i="61"/>
  <c r="E361" i="61"/>
  <c r="E369" i="61"/>
  <c r="E377" i="61"/>
  <c r="E385" i="61"/>
  <c r="E393" i="61"/>
  <c r="E401" i="61"/>
  <c r="E409" i="61"/>
  <c r="E417" i="61"/>
  <c r="E425" i="61"/>
  <c r="E433" i="61"/>
  <c r="E441" i="61"/>
  <c r="E449" i="61"/>
  <c r="E457" i="61"/>
  <c r="E465" i="61"/>
  <c r="E473" i="61"/>
  <c r="E481" i="61"/>
  <c r="E489" i="61"/>
  <c r="E497" i="61"/>
  <c r="E505" i="61"/>
  <c r="E513" i="61"/>
  <c r="E521" i="61"/>
  <c r="E529" i="61"/>
  <c r="E537" i="61"/>
  <c r="E545" i="61"/>
  <c r="E553" i="61"/>
  <c r="E561" i="61"/>
  <c r="E569" i="61"/>
  <c r="E577" i="61"/>
  <c r="E585" i="61"/>
  <c r="E593" i="61"/>
  <c r="E601" i="61"/>
  <c r="E609" i="61"/>
  <c r="E617" i="61"/>
  <c r="E625" i="61"/>
  <c r="E633" i="61"/>
  <c r="E641" i="61"/>
  <c r="E649" i="61"/>
  <c r="E657" i="61"/>
  <c r="E665" i="61"/>
  <c r="E673" i="61"/>
  <c r="E681" i="61"/>
  <c r="E689" i="61"/>
  <c r="E697" i="61"/>
  <c r="E705" i="61"/>
  <c r="E713" i="61"/>
  <c r="E721" i="61"/>
  <c r="E729" i="61"/>
  <c r="E737" i="61"/>
  <c r="E745" i="61"/>
  <c r="E753" i="61"/>
  <c r="E761" i="61"/>
  <c r="E82" i="61"/>
  <c r="E90" i="61"/>
  <c r="E98" i="61"/>
  <c r="E106" i="61"/>
  <c r="E114" i="61"/>
  <c r="E122" i="61"/>
  <c r="E130" i="61"/>
  <c r="E138" i="61"/>
  <c r="E146" i="61"/>
  <c r="E154" i="61"/>
  <c r="E162" i="61"/>
  <c r="E170" i="61"/>
  <c r="E178" i="61"/>
  <c r="E186" i="61"/>
  <c r="E194" i="61"/>
  <c r="E202" i="61"/>
  <c r="E210" i="61"/>
  <c r="E218" i="61"/>
  <c r="E226" i="61"/>
  <c r="E234" i="61"/>
  <c r="E242" i="61"/>
  <c r="E250" i="61"/>
  <c r="E258" i="61"/>
  <c r="E266" i="61"/>
  <c r="E274" i="61"/>
  <c r="E282" i="61"/>
  <c r="E290" i="61"/>
  <c r="E298" i="61"/>
  <c r="E306" i="61"/>
  <c r="E314" i="61"/>
  <c r="E322" i="61"/>
  <c r="E330" i="61"/>
  <c r="E338" i="61"/>
  <c r="E346" i="61"/>
  <c r="E354" i="61"/>
  <c r="E362" i="61"/>
  <c r="E370" i="61"/>
  <c r="E378" i="61"/>
  <c r="E386" i="61"/>
  <c r="E394" i="61"/>
  <c r="E402" i="61"/>
  <c r="E410" i="61"/>
  <c r="E418" i="61"/>
  <c r="E426" i="61"/>
  <c r="E434" i="61"/>
  <c r="E442" i="61"/>
  <c r="E450" i="61"/>
  <c r="E458" i="61"/>
  <c r="E466" i="61"/>
  <c r="E474" i="61"/>
  <c r="E482" i="61"/>
  <c r="E490" i="61"/>
  <c r="E498" i="61"/>
  <c r="E506" i="61"/>
  <c r="E514" i="61"/>
  <c r="E522" i="61"/>
  <c r="E530" i="61"/>
  <c r="E538" i="61"/>
  <c r="E546" i="61"/>
  <c r="E554" i="61"/>
  <c r="E562" i="61"/>
  <c r="E570" i="61"/>
  <c r="E578" i="61"/>
  <c r="E586" i="61"/>
  <c r="E594" i="61"/>
  <c r="E602" i="61"/>
  <c r="E610" i="61"/>
  <c r="E618" i="61"/>
  <c r="E626" i="61"/>
  <c r="E634" i="61"/>
  <c r="E642" i="61"/>
  <c r="E650" i="61"/>
  <c r="E658" i="61"/>
  <c r="E666" i="61"/>
  <c r="E674" i="61"/>
  <c r="E682" i="61"/>
  <c r="E690" i="61"/>
  <c r="E698" i="61"/>
  <c r="E706" i="61"/>
  <c r="E714" i="61"/>
  <c r="E722" i="61"/>
  <c r="E730" i="61"/>
  <c r="E738" i="61"/>
  <c r="E746" i="61"/>
  <c r="E754" i="61"/>
  <c r="E83" i="61"/>
  <c r="E91" i="61"/>
  <c r="E99" i="61"/>
  <c r="E107" i="61"/>
  <c r="E115" i="61"/>
  <c r="E123" i="61"/>
  <c r="E131" i="61"/>
  <c r="E139" i="61"/>
  <c r="E147" i="61"/>
  <c r="E155" i="61"/>
  <c r="E163" i="61"/>
  <c r="E171" i="61"/>
  <c r="E179" i="61"/>
  <c r="E187" i="61"/>
  <c r="E195" i="61"/>
  <c r="E203" i="61"/>
  <c r="E211" i="61"/>
  <c r="E219" i="61"/>
  <c r="E227" i="61"/>
  <c r="E235" i="61"/>
  <c r="E243" i="61"/>
  <c r="E251" i="61"/>
  <c r="E259" i="61"/>
  <c r="E267" i="61"/>
  <c r="E275" i="61"/>
  <c r="E283" i="61"/>
  <c r="E291" i="61"/>
  <c r="E299" i="61"/>
  <c r="E307" i="61"/>
  <c r="E315" i="61"/>
  <c r="E323" i="61"/>
  <c r="E331" i="61"/>
  <c r="E339" i="61"/>
  <c r="E347" i="61"/>
  <c r="E355" i="61"/>
  <c r="E363" i="61"/>
  <c r="E371" i="61"/>
  <c r="G371" i="61" s="1"/>
  <c r="E379" i="61"/>
  <c r="E387" i="61"/>
  <c r="E395" i="61"/>
  <c r="E403" i="61"/>
  <c r="E411" i="61"/>
  <c r="E419" i="61"/>
  <c r="E427" i="61"/>
  <c r="G427" i="61" s="1"/>
  <c r="E435" i="61"/>
  <c r="E443" i="61"/>
  <c r="G443" i="61" s="1"/>
  <c r="E451" i="61"/>
  <c r="E459" i="61"/>
  <c r="E467" i="61"/>
  <c r="E475" i="61"/>
  <c r="E483" i="61"/>
  <c r="E491" i="61"/>
  <c r="E499" i="61"/>
  <c r="E507" i="61"/>
  <c r="E515" i="61"/>
  <c r="E523" i="61"/>
  <c r="E531" i="61"/>
  <c r="E539" i="61"/>
  <c r="E547" i="61"/>
  <c r="E555" i="61"/>
  <c r="E563" i="61"/>
  <c r="E571" i="61"/>
  <c r="E579" i="61"/>
  <c r="E587" i="61"/>
  <c r="E595" i="61"/>
  <c r="E603" i="61"/>
  <c r="E611" i="61"/>
  <c r="E619" i="61"/>
  <c r="E627" i="61"/>
  <c r="E635" i="61"/>
  <c r="E643" i="61"/>
  <c r="E651" i="61"/>
  <c r="E659" i="61"/>
  <c r="E667" i="61"/>
  <c r="E675" i="61"/>
  <c r="E84" i="61"/>
  <c r="E92" i="61"/>
  <c r="E100" i="61"/>
  <c r="E108" i="61"/>
  <c r="E116" i="61"/>
  <c r="E124" i="61"/>
  <c r="E132" i="61"/>
  <c r="E140" i="61"/>
  <c r="E148" i="61"/>
  <c r="E156" i="61"/>
  <c r="E164" i="61"/>
  <c r="E172" i="61"/>
  <c r="E180" i="61"/>
  <c r="E188" i="61"/>
  <c r="E196" i="61"/>
  <c r="E204" i="61"/>
  <c r="E212" i="61"/>
  <c r="E220" i="61"/>
  <c r="E228" i="61"/>
  <c r="E236" i="61"/>
  <c r="E244" i="61"/>
  <c r="E252" i="61"/>
  <c r="E260" i="61"/>
  <c r="E268" i="61"/>
  <c r="E276" i="61"/>
  <c r="E284" i="61"/>
  <c r="E292" i="61"/>
  <c r="E300" i="61"/>
  <c r="E308" i="61"/>
  <c r="E316" i="61"/>
  <c r="E324" i="61"/>
  <c r="E332" i="61"/>
  <c r="E340" i="61"/>
  <c r="E348" i="61"/>
  <c r="E356" i="61"/>
  <c r="E364" i="61"/>
  <c r="E372" i="61"/>
  <c r="E380" i="61"/>
  <c r="E388" i="61"/>
  <c r="E396" i="61"/>
  <c r="E404" i="61"/>
  <c r="E412" i="61"/>
  <c r="E420" i="61"/>
  <c r="E428" i="61"/>
  <c r="E436" i="61"/>
  <c r="E444" i="61"/>
  <c r="E452" i="61"/>
  <c r="E460" i="61"/>
  <c r="E468" i="61"/>
  <c r="E476" i="61"/>
  <c r="E484" i="61"/>
  <c r="E492" i="61"/>
  <c r="E500" i="61"/>
  <c r="E508" i="61"/>
  <c r="E516" i="61"/>
  <c r="E524" i="61"/>
  <c r="E532" i="61"/>
  <c r="E540" i="61"/>
  <c r="E548" i="61"/>
  <c r="E556" i="61"/>
  <c r="E564" i="61"/>
  <c r="E572" i="61"/>
  <c r="E580" i="61"/>
  <c r="E588" i="61"/>
  <c r="E596" i="61"/>
  <c r="E85" i="61"/>
  <c r="E93" i="61"/>
  <c r="E101" i="61"/>
  <c r="E109" i="61"/>
  <c r="E117" i="61"/>
  <c r="E125" i="61"/>
  <c r="E133" i="61"/>
  <c r="E141" i="61"/>
  <c r="E149" i="61"/>
  <c r="E157" i="61"/>
  <c r="E165" i="61"/>
  <c r="E173" i="61"/>
  <c r="E181" i="61"/>
  <c r="E189" i="61"/>
  <c r="E197" i="61"/>
  <c r="E205" i="61"/>
  <c r="E213" i="61"/>
  <c r="E221" i="61"/>
  <c r="E229" i="61"/>
  <c r="E237" i="61"/>
  <c r="E245" i="61"/>
  <c r="E253" i="61"/>
  <c r="E261" i="61"/>
  <c r="E269" i="61"/>
  <c r="E277" i="61"/>
  <c r="E285" i="61"/>
  <c r="E293" i="61"/>
  <c r="E301" i="61"/>
  <c r="E309" i="61"/>
  <c r="E317" i="61"/>
  <c r="E325" i="61"/>
  <c r="E333" i="61"/>
  <c r="E341" i="61"/>
  <c r="E349" i="61"/>
  <c r="E357" i="61"/>
  <c r="E365" i="61"/>
  <c r="E373" i="61"/>
  <c r="E381" i="61"/>
  <c r="E389" i="61"/>
  <c r="E397" i="61"/>
  <c r="E405" i="61"/>
  <c r="E413" i="61"/>
  <c r="E421" i="61"/>
  <c r="E429" i="61"/>
  <c r="E437" i="61"/>
  <c r="E445" i="61"/>
  <c r="E453" i="61"/>
  <c r="E461" i="61"/>
  <c r="E469" i="61"/>
  <c r="E477" i="61"/>
  <c r="E485" i="61"/>
  <c r="E493" i="61"/>
  <c r="E501" i="61"/>
  <c r="E509" i="61"/>
  <c r="E517" i="61"/>
  <c r="E525" i="61"/>
  <c r="E533" i="61"/>
  <c r="E541" i="61"/>
  <c r="E549" i="61"/>
  <c r="E557" i="61"/>
  <c r="E565" i="61"/>
  <c r="E573" i="61"/>
  <c r="E581" i="61"/>
  <c r="E589" i="61"/>
  <c r="E597" i="61"/>
  <c r="E605" i="61"/>
  <c r="E613" i="61"/>
  <c r="E621" i="61"/>
  <c r="E629" i="61"/>
  <c r="E637" i="61"/>
  <c r="E645" i="61"/>
  <c r="E653" i="61"/>
  <c r="E661" i="61"/>
  <c r="E669" i="61"/>
  <c r="E677" i="61"/>
  <c r="E685" i="61"/>
  <c r="E693" i="61"/>
  <c r="E701" i="61"/>
  <c r="E709" i="61"/>
  <c r="E717" i="61"/>
  <c r="E725" i="61"/>
  <c r="E733" i="61"/>
  <c r="E741" i="61"/>
  <c r="E749" i="61"/>
  <c r="E757" i="61"/>
  <c r="E86" i="61"/>
  <c r="E94" i="61"/>
  <c r="E102" i="61"/>
  <c r="E110" i="61"/>
  <c r="E118" i="61"/>
  <c r="E126" i="61"/>
  <c r="E134" i="61"/>
  <c r="E142" i="61"/>
  <c r="E150" i="61"/>
  <c r="E158" i="61"/>
  <c r="E166" i="61"/>
  <c r="E174" i="61"/>
  <c r="E182" i="61"/>
  <c r="E190" i="61"/>
  <c r="E198" i="61"/>
  <c r="E206" i="61"/>
  <c r="E214" i="61"/>
  <c r="E222" i="61"/>
  <c r="E230" i="61"/>
  <c r="E238" i="61"/>
  <c r="E246" i="61"/>
  <c r="E254" i="61"/>
  <c r="E262" i="61"/>
  <c r="E270" i="61"/>
  <c r="E278" i="61"/>
  <c r="E286" i="61"/>
  <c r="E294" i="61"/>
  <c r="E302" i="61"/>
  <c r="E310" i="61"/>
  <c r="E318" i="61"/>
  <c r="E326" i="61"/>
  <c r="E334" i="61"/>
  <c r="E342" i="61"/>
  <c r="E350" i="61"/>
  <c r="E358" i="61"/>
  <c r="E366" i="61"/>
  <c r="E374" i="61"/>
  <c r="E382" i="61"/>
  <c r="E390" i="61"/>
  <c r="E398" i="61"/>
  <c r="E406" i="61"/>
  <c r="E414" i="61"/>
  <c r="E422" i="61"/>
  <c r="E430" i="61"/>
  <c r="E438" i="61"/>
  <c r="E446" i="61"/>
  <c r="E454" i="61"/>
  <c r="E462" i="61"/>
  <c r="E470" i="61"/>
  <c r="E478" i="61"/>
  <c r="E486" i="61"/>
  <c r="E494" i="61"/>
  <c r="E502" i="61"/>
  <c r="E510" i="61"/>
  <c r="E518" i="61"/>
  <c r="E526" i="61"/>
  <c r="E534" i="61"/>
  <c r="E542" i="61"/>
  <c r="E550" i="61"/>
  <c r="E558" i="61"/>
  <c r="E566" i="61"/>
  <c r="E574" i="61"/>
  <c r="E582" i="61"/>
  <c r="E590" i="61"/>
  <c r="E598" i="61"/>
  <c r="E606" i="61"/>
  <c r="E614" i="61"/>
  <c r="E622" i="61"/>
  <c r="E630" i="61"/>
  <c r="E638" i="61"/>
  <c r="E646" i="61"/>
  <c r="E654" i="61"/>
  <c r="E662" i="61"/>
  <c r="E670" i="61"/>
  <c r="E678" i="61"/>
  <c r="E686" i="61"/>
  <c r="E694" i="61"/>
  <c r="E702" i="61"/>
  <c r="E710" i="61"/>
  <c r="E718" i="61"/>
  <c r="E726" i="61"/>
  <c r="E734" i="61"/>
  <c r="E742" i="61"/>
  <c r="E750" i="61"/>
  <c r="E758" i="61"/>
  <c r="E87" i="61"/>
  <c r="E95" i="61"/>
  <c r="E103" i="61"/>
  <c r="E111" i="61"/>
  <c r="E119" i="61"/>
  <c r="E127" i="61"/>
  <c r="E135" i="61"/>
  <c r="E143" i="61"/>
  <c r="E151" i="61"/>
  <c r="E159" i="61"/>
  <c r="E167" i="61"/>
  <c r="E175" i="61"/>
  <c r="E183" i="61"/>
  <c r="E191" i="61"/>
  <c r="E199" i="61"/>
  <c r="E207" i="61"/>
  <c r="E215" i="61"/>
  <c r="E223" i="61"/>
  <c r="E231" i="61"/>
  <c r="E239" i="61"/>
  <c r="E247" i="61"/>
  <c r="E255" i="61"/>
  <c r="E263" i="61"/>
  <c r="E271" i="61"/>
  <c r="E279" i="61"/>
  <c r="E287" i="61"/>
  <c r="E295" i="61"/>
  <c r="E303" i="61"/>
  <c r="E311" i="61"/>
  <c r="E319" i="61"/>
  <c r="E327" i="61"/>
  <c r="E335" i="61"/>
  <c r="E343" i="61"/>
  <c r="E351" i="61"/>
  <c r="E359" i="61"/>
  <c r="E367" i="61"/>
  <c r="E375" i="61"/>
  <c r="E383" i="61"/>
  <c r="E391" i="61"/>
  <c r="E399" i="61"/>
  <c r="E407" i="61"/>
  <c r="E415" i="61"/>
  <c r="E423" i="61"/>
  <c r="E431" i="61"/>
  <c r="E439" i="61"/>
  <c r="E447" i="61"/>
  <c r="E455" i="61"/>
  <c r="E463" i="61"/>
  <c r="E471" i="61"/>
  <c r="E479" i="61"/>
  <c r="E487" i="61"/>
  <c r="E495" i="61"/>
  <c r="E503" i="61"/>
  <c r="E511" i="61"/>
  <c r="E519" i="61"/>
  <c r="E527" i="61"/>
  <c r="E535" i="61"/>
  <c r="E543" i="61"/>
  <c r="E551" i="61"/>
  <c r="E559" i="61"/>
  <c r="E567" i="61"/>
  <c r="E575" i="61"/>
  <c r="E583" i="61"/>
  <c r="E591" i="61"/>
  <c r="E599" i="61"/>
  <c r="E607" i="61"/>
  <c r="E615" i="61"/>
  <c r="E623" i="61"/>
  <c r="E631" i="61"/>
  <c r="E639" i="61"/>
  <c r="E647" i="61"/>
  <c r="E655" i="61"/>
  <c r="E663" i="61"/>
  <c r="E671" i="61"/>
  <c r="E679" i="61"/>
  <c r="E687" i="61"/>
  <c r="E695" i="61"/>
  <c r="E703" i="61"/>
  <c r="E711" i="61"/>
  <c r="E719" i="61"/>
  <c r="E727" i="61"/>
  <c r="E735" i="61"/>
  <c r="E743" i="61"/>
  <c r="E751" i="61"/>
  <c r="E88" i="61"/>
  <c r="E96" i="61"/>
  <c r="E104" i="61"/>
  <c r="E112" i="61"/>
  <c r="E120" i="61"/>
  <c r="E128" i="61"/>
  <c r="E136" i="61"/>
  <c r="E144" i="61"/>
  <c r="E152" i="61"/>
  <c r="E160" i="61"/>
  <c r="E168" i="61"/>
  <c r="E176" i="61"/>
  <c r="E184" i="61"/>
  <c r="E192" i="61"/>
  <c r="E200" i="61"/>
  <c r="E208" i="61"/>
  <c r="E216" i="61"/>
  <c r="E224" i="61"/>
  <c r="E232" i="61"/>
  <c r="E240" i="61"/>
  <c r="E248" i="61"/>
  <c r="E256" i="61"/>
  <c r="E264" i="61"/>
  <c r="E272" i="61"/>
  <c r="E280" i="61"/>
  <c r="E288" i="61"/>
  <c r="E296" i="61"/>
  <c r="E304" i="61"/>
  <c r="E312" i="61"/>
  <c r="E320" i="61"/>
  <c r="E328" i="61"/>
  <c r="E336" i="61"/>
  <c r="E344" i="61"/>
  <c r="E352" i="61"/>
  <c r="E360" i="61"/>
  <c r="E368" i="61"/>
  <c r="E376" i="61"/>
  <c r="E384" i="61"/>
  <c r="E392" i="61"/>
  <c r="E400" i="61"/>
  <c r="E408" i="61"/>
  <c r="E416" i="61"/>
  <c r="E424" i="61"/>
  <c r="E432" i="61"/>
  <c r="E440" i="61"/>
  <c r="E448" i="61"/>
  <c r="E456" i="61"/>
  <c r="E464" i="61"/>
  <c r="E472" i="61"/>
  <c r="E480" i="61"/>
  <c r="E488" i="61"/>
  <c r="E496" i="61"/>
  <c r="E504" i="61"/>
  <c r="E512" i="61"/>
  <c r="E520" i="61"/>
  <c r="E528" i="61"/>
  <c r="E536" i="61"/>
  <c r="E544" i="61"/>
  <c r="E552" i="61"/>
  <c r="E560" i="61"/>
  <c r="E568" i="61"/>
  <c r="E576" i="61"/>
  <c r="E584" i="61"/>
  <c r="E592" i="61"/>
  <c r="E600" i="61"/>
  <c r="E608" i="61"/>
  <c r="E616" i="61"/>
  <c r="E624" i="61"/>
  <c r="E632" i="61"/>
  <c r="E640" i="61"/>
  <c r="E648" i="61"/>
  <c r="E656" i="61"/>
  <c r="E664" i="61"/>
  <c r="E672" i="61"/>
  <c r="E680" i="61"/>
  <c r="E688" i="61"/>
  <c r="E696" i="61"/>
  <c r="E704" i="61"/>
  <c r="E712" i="61"/>
  <c r="E720" i="61"/>
  <c r="E728" i="61"/>
  <c r="E736" i="61"/>
  <c r="E744" i="61"/>
  <c r="E752" i="61"/>
  <c r="E660" i="61"/>
  <c r="E700" i="61"/>
  <c r="E732" i="61"/>
  <c r="E760" i="61"/>
  <c r="E769" i="61"/>
  <c r="E777" i="61"/>
  <c r="E785" i="61"/>
  <c r="E793" i="61"/>
  <c r="E801" i="61"/>
  <c r="E809" i="61"/>
  <c r="E817" i="61"/>
  <c r="E825" i="61"/>
  <c r="E833" i="61"/>
  <c r="E841" i="61"/>
  <c r="E849" i="61"/>
  <c r="E857" i="61"/>
  <c r="E865" i="61"/>
  <c r="E873" i="61"/>
  <c r="E881" i="61"/>
  <c r="E889" i="61"/>
  <c r="E897" i="61"/>
  <c r="E905" i="61"/>
  <c r="E913" i="61"/>
  <c r="E921" i="61"/>
  <c r="E929" i="61"/>
  <c r="E937" i="61"/>
  <c r="E945" i="61"/>
  <c r="E953" i="61"/>
  <c r="E961" i="61"/>
  <c r="E969" i="61"/>
  <c r="E977" i="61"/>
  <c r="E985" i="61"/>
  <c r="E993" i="61"/>
  <c r="E1001" i="61"/>
  <c r="E1009" i="61"/>
  <c r="E1017" i="61"/>
  <c r="E1025" i="61"/>
  <c r="E1033" i="61"/>
  <c r="E1041" i="61"/>
  <c r="E1049" i="61"/>
  <c r="E1057" i="61"/>
  <c r="E1065" i="61"/>
  <c r="E1073" i="61"/>
  <c r="E1081" i="61"/>
  <c r="E1089" i="61"/>
  <c r="E1097" i="61"/>
  <c r="E1105" i="61"/>
  <c r="E1113" i="61"/>
  <c r="E1121" i="61"/>
  <c r="E1129" i="61"/>
  <c r="E1137" i="61"/>
  <c r="E1145" i="61"/>
  <c r="E1153" i="61"/>
  <c r="E1161" i="61"/>
  <c r="E1169" i="61"/>
  <c r="E1177" i="61"/>
  <c r="E1185" i="61"/>
  <c r="E1193" i="61"/>
  <c r="E1201" i="61"/>
  <c r="E1209" i="61"/>
  <c r="E1217" i="61"/>
  <c r="E1225" i="61"/>
  <c r="E1233" i="61"/>
  <c r="E1241" i="61"/>
  <c r="E1249" i="61"/>
  <c r="E1257" i="61"/>
  <c r="E1265" i="61"/>
  <c r="E1273" i="61"/>
  <c r="E1281" i="61"/>
  <c r="E1289" i="61"/>
  <c r="E1297" i="61"/>
  <c r="E1305" i="61"/>
  <c r="E1313" i="61"/>
  <c r="E1321" i="61"/>
  <c r="E1329" i="61"/>
  <c r="E1337" i="61"/>
  <c r="E1345" i="61"/>
  <c r="E1353" i="61"/>
  <c r="E1361" i="61"/>
  <c r="E1369" i="61"/>
  <c r="E1377" i="61"/>
  <c r="E1385" i="61"/>
  <c r="E1393" i="61"/>
  <c r="E1401" i="61"/>
  <c r="E1409" i="61"/>
  <c r="E604" i="61"/>
  <c r="E668" i="61"/>
  <c r="E707" i="61"/>
  <c r="E739" i="61"/>
  <c r="E762" i="61"/>
  <c r="E770" i="61"/>
  <c r="E778" i="61"/>
  <c r="E786" i="61"/>
  <c r="E794" i="61"/>
  <c r="E802" i="61"/>
  <c r="E810" i="61"/>
  <c r="E818" i="61"/>
  <c r="E826" i="61"/>
  <c r="E834" i="61"/>
  <c r="E842" i="61"/>
  <c r="E850" i="61"/>
  <c r="E858" i="61"/>
  <c r="E866" i="61"/>
  <c r="E874" i="61"/>
  <c r="E882" i="61"/>
  <c r="E890" i="61"/>
  <c r="E898" i="61"/>
  <c r="E906" i="61"/>
  <c r="E914" i="61"/>
  <c r="E922" i="61"/>
  <c r="E930" i="61"/>
  <c r="E938" i="61"/>
  <c r="E946" i="61"/>
  <c r="E954" i="61"/>
  <c r="E962" i="61"/>
  <c r="E970" i="61"/>
  <c r="E978" i="61"/>
  <c r="E986" i="61"/>
  <c r="E994" i="61"/>
  <c r="E1002" i="61"/>
  <c r="E1010" i="61"/>
  <c r="E1018" i="61"/>
  <c r="E1026" i="61"/>
  <c r="E1034" i="61"/>
  <c r="E1042" i="61"/>
  <c r="E1050" i="61"/>
  <c r="E1058" i="61"/>
  <c r="E1066" i="61"/>
  <c r="E1074" i="61"/>
  <c r="E1082" i="61"/>
  <c r="E1090" i="61"/>
  <c r="E1098" i="61"/>
  <c r="E1106" i="61"/>
  <c r="E1114" i="61"/>
  <c r="E1122" i="61"/>
  <c r="E1130" i="61"/>
  <c r="E1138" i="61"/>
  <c r="E1146" i="61"/>
  <c r="E1154" i="61"/>
  <c r="E1162" i="61"/>
  <c r="E1170" i="61"/>
  <c r="E1178" i="61"/>
  <c r="E1186" i="61"/>
  <c r="E1194" i="61"/>
  <c r="E1202" i="61"/>
  <c r="E1210" i="61"/>
  <c r="E1218" i="61"/>
  <c r="E1226" i="61"/>
  <c r="E1234" i="61"/>
  <c r="E1242" i="61"/>
  <c r="E1250" i="61"/>
  <c r="E1258" i="61"/>
  <c r="E1266" i="61"/>
  <c r="E1274" i="61"/>
  <c r="E1282" i="61"/>
  <c r="E1290" i="61"/>
  <c r="E1298" i="61"/>
  <c r="E1306" i="61"/>
  <c r="E1314" i="61"/>
  <c r="E1322" i="61"/>
  <c r="E1330" i="61"/>
  <c r="E1338" i="61"/>
  <c r="E1346" i="61"/>
  <c r="E1354" i="61"/>
  <c r="E1362" i="61"/>
  <c r="E1370" i="61"/>
  <c r="E1378" i="61"/>
  <c r="E1386" i="61"/>
  <c r="E1394" i="61"/>
  <c r="E1402" i="61"/>
  <c r="E1410" i="61"/>
  <c r="E612" i="61"/>
  <c r="E676" i="61"/>
  <c r="E708" i="61"/>
  <c r="E740" i="61"/>
  <c r="E763" i="61"/>
  <c r="E771" i="61"/>
  <c r="E779" i="61"/>
  <c r="E787" i="61"/>
  <c r="E795" i="61"/>
  <c r="E803" i="61"/>
  <c r="E811" i="61"/>
  <c r="E819" i="61"/>
  <c r="E827" i="61"/>
  <c r="E835" i="61"/>
  <c r="E843" i="61"/>
  <c r="E851" i="61"/>
  <c r="E859" i="61"/>
  <c r="E867" i="61"/>
  <c r="E875" i="61"/>
  <c r="E883" i="61"/>
  <c r="E891" i="61"/>
  <c r="E899" i="61"/>
  <c r="E907" i="61"/>
  <c r="E915" i="61"/>
  <c r="E923" i="61"/>
  <c r="E931" i="61"/>
  <c r="E939" i="61"/>
  <c r="E947" i="61"/>
  <c r="E955" i="61"/>
  <c r="E963" i="61"/>
  <c r="E971" i="61"/>
  <c r="E979" i="61"/>
  <c r="E987" i="61"/>
  <c r="E995" i="61"/>
  <c r="E1003" i="61"/>
  <c r="E1011" i="61"/>
  <c r="E1019" i="61"/>
  <c r="E1027" i="61"/>
  <c r="E1035" i="61"/>
  <c r="E1043" i="61"/>
  <c r="E1051" i="61"/>
  <c r="E1059" i="61"/>
  <c r="E1067" i="61"/>
  <c r="E1075" i="61"/>
  <c r="E1083" i="61"/>
  <c r="E1091" i="61"/>
  <c r="E1099" i="61"/>
  <c r="E1107" i="61"/>
  <c r="E1115" i="61"/>
  <c r="E1123" i="61"/>
  <c r="E1131" i="61"/>
  <c r="E1139" i="61"/>
  <c r="E1147" i="61"/>
  <c r="E1155" i="61"/>
  <c r="E1163" i="61"/>
  <c r="E1171" i="61"/>
  <c r="E1179" i="61"/>
  <c r="E1187" i="61"/>
  <c r="E1195" i="61"/>
  <c r="E1203" i="61"/>
  <c r="E1211" i="61"/>
  <c r="E1219" i="61"/>
  <c r="E1227" i="61"/>
  <c r="E1235" i="61"/>
  <c r="E1243" i="61"/>
  <c r="E1251" i="61"/>
  <c r="E1259" i="61"/>
  <c r="E1267" i="61"/>
  <c r="E1275" i="61"/>
  <c r="E1283" i="61"/>
  <c r="E1291" i="61"/>
  <c r="E620" i="61"/>
  <c r="E683" i="61"/>
  <c r="E715" i="61"/>
  <c r="E747" i="61"/>
  <c r="E764" i="61"/>
  <c r="E772" i="61"/>
  <c r="E780" i="61"/>
  <c r="E788" i="61"/>
  <c r="E796" i="61"/>
  <c r="E804" i="61"/>
  <c r="E812" i="61"/>
  <c r="E820" i="61"/>
  <c r="E828" i="61"/>
  <c r="E836" i="61"/>
  <c r="E844" i="61"/>
  <c r="E852" i="61"/>
  <c r="E860" i="61"/>
  <c r="E868" i="61"/>
  <c r="E876" i="61"/>
  <c r="E884" i="61"/>
  <c r="E892" i="61"/>
  <c r="E900" i="61"/>
  <c r="E908" i="61"/>
  <c r="E916" i="61"/>
  <c r="E924" i="61"/>
  <c r="E932" i="61"/>
  <c r="E940" i="61"/>
  <c r="E948" i="61"/>
  <c r="E956" i="61"/>
  <c r="E964" i="61"/>
  <c r="E972" i="61"/>
  <c r="E980" i="61"/>
  <c r="E988" i="61"/>
  <c r="E996" i="61"/>
  <c r="E1004" i="61"/>
  <c r="E1012" i="61"/>
  <c r="E1020" i="61"/>
  <c r="E1028" i="61"/>
  <c r="E1036" i="61"/>
  <c r="E1044" i="61"/>
  <c r="E1052" i="61"/>
  <c r="E1060" i="61"/>
  <c r="E1068" i="61"/>
  <c r="E1076" i="61"/>
  <c r="E1084" i="61"/>
  <c r="E1092" i="61"/>
  <c r="E1100" i="61"/>
  <c r="E1108" i="61"/>
  <c r="E1116" i="61"/>
  <c r="E1124" i="61"/>
  <c r="E1132" i="61"/>
  <c r="E1140" i="61"/>
  <c r="E1148" i="61"/>
  <c r="E1156" i="61"/>
  <c r="E1164" i="61"/>
  <c r="E1172" i="61"/>
  <c r="E1180" i="61"/>
  <c r="E1188" i="61"/>
  <c r="E1196" i="61"/>
  <c r="E1204" i="61"/>
  <c r="E1212" i="61"/>
  <c r="E1220" i="61"/>
  <c r="E1228" i="61"/>
  <c r="E1236" i="61"/>
  <c r="E1244" i="61"/>
  <c r="E1252" i="61"/>
  <c r="E1260" i="61"/>
  <c r="E1268" i="61"/>
  <c r="E1276" i="61"/>
  <c r="E1284" i="61"/>
  <c r="E1292" i="61"/>
  <c r="E628" i="61"/>
  <c r="E684" i="61"/>
  <c r="E716" i="61"/>
  <c r="E748" i="61"/>
  <c r="E765" i="61"/>
  <c r="E773" i="61"/>
  <c r="E781" i="61"/>
  <c r="E789" i="61"/>
  <c r="E797" i="61"/>
  <c r="E805" i="61"/>
  <c r="E813" i="61"/>
  <c r="E821" i="61"/>
  <c r="E829" i="61"/>
  <c r="E837" i="61"/>
  <c r="E845" i="61"/>
  <c r="E853" i="61"/>
  <c r="E861" i="61"/>
  <c r="E869" i="61"/>
  <c r="E877" i="61"/>
  <c r="E885" i="61"/>
  <c r="E893" i="61"/>
  <c r="E901" i="61"/>
  <c r="E909" i="61"/>
  <c r="E917" i="61"/>
  <c r="E925" i="61"/>
  <c r="E933" i="61"/>
  <c r="E941" i="61"/>
  <c r="E949" i="61"/>
  <c r="E957" i="61"/>
  <c r="E965" i="61"/>
  <c r="E973" i="61"/>
  <c r="E981" i="61"/>
  <c r="E989" i="61"/>
  <c r="E997" i="61"/>
  <c r="E1005" i="61"/>
  <c r="E1013" i="61"/>
  <c r="E1021" i="61"/>
  <c r="E1029" i="61"/>
  <c r="E1037" i="61"/>
  <c r="E1045" i="61"/>
  <c r="E1053" i="61"/>
  <c r="E1061" i="61"/>
  <c r="E1069" i="61"/>
  <c r="E1077" i="61"/>
  <c r="E1085" i="61"/>
  <c r="E1093" i="61"/>
  <c r="E1101" i="61"/>
  <c r="E1109" i="61"/>
  <c r="E1117" i="61"/>
  <c r="E1125" i="61"/>
  <c r="E1133" i="61"/>
  <c r="E1141" i="61"/>
  <c r="E1149" i="61"/>
  <c r="E1157" i="61"/>
  <c r="E1165" i="61"/>
  <c r="E1173" i="61"/>
  <c r="E1181" i="61"/>
  <c r="E1189" i="61"/>
  <c r="E1197" i="61"/>
  <c r="E1205" i="61"/>
  <c r="E1213" i="61"/>
  <c r="E1221" i="61"/>
  <c r="E1229" i="61"/>
  <c r="E1237" i="61"/>
  <c r="E1245" i="61"/>
  <c r="E1253" i="61"/>
  <c r="E1261" i="61"/>
  <c r="E1269" i="61"/>
  <c r="E1277" i="61"/>
  <c r="E1285" i="61"/>
  <c r="E1293" i="61"/>
  <c r="E1301" i="61"/>
  <c r="E1309" i="61"/>
  <c r="E1317" i="61"/>
  <c r="E1325" i="61"/>
  <c r="E1333" i="61"/>
  <c r="E1341" i="61"/>
  <c r="E1349" i="61"/>
  <c r="E1357" i="61"/>
  <c r="E1365" i="61"/>
  <c r="E1373" i="61"/>
  <c r="E1381" i="61"/>
  <c r="E1389" i="61"/>
  <c r="E1397" i="61"/>
  <c r="E1405" i="61"/>
  <c r="E636" i="61"/>
  <c r="E691" i="61"/>
  <c r="E723" i="61"/>
  <c r="E755" i="61"/>
  <c r="E766" i="61"/>
  <c r="E774" i="61"/>
  <c r="E782" i="61"/>
  <c r="E790" i="61"/>
  <c r="E798" i="61"/>
  <c r="E806" i="61"/>
  <c r="E814" i="61"/>
  <c r="E822" i="61"/>
  <c r="E830" i="61"/>
  <c r="E838" i="61"/>
  <c r="E846" i="61"/>
  <c r="E854" i="61"/>
  <c r="E862" i="61"/>
  <c r="E870" i="61"/>
  <c r="E878" i="61"/>
  <c r="E886" i="61"/>
  <c r="E894" i="61"/>
  <c r="E902" i="61"/>
  <c r="E910" i="61"/>
  <c r="E918" i="61"/>
  <c r="E926" i="61"/>
  <c r="E934" i="61"/>
  <c r="E942" i="61"/>
  <c r="E950" i="61"/>
  <c r="E958" i="61"/>
  <c r="E966" i="61"/>
  <c r="E974" i="61"/>
  <c r="E982" i="61"/>
  <c r="E990" i="61"/>
  <c r="E998" i="61"/>
  <c r="E1006" i="61"/>
  <c r="E1014" i="61"/>
  <c r="E1022" i="61"/>
  <c r="E1030" i="61"/>
  <c r="E1038" i="61"/>
  <c r="E1046" i="61"/>
  <c r="E1054" i="61"/>
  <c r="E1062" i="61"/>
  <c r="E1070" i="61"/>
  <c r="E1078" i="61"/>
  <c r="E1086" i="61"/>
  <c r="E1094" i="61"/>
  <c r="E1102" i="61"/>
  <c r="E1110" i="61"/>
  <c r="E1118" i="61"/>
  <c r="E1126" i="61"/>
  <c r="E1134" i="61"/>
  <c r="E1142" i="61"/>
  <c r="E1150" i="61"/>
  <c r="E1158" i="61"/>
  <c r="E1166" i="61"/>
  <c r="E1174" i="61"/>
  <c r="E1182" i="61"/>
  <c r="E1190" i="61"/>
  <c r="E1198" i="61"/>
  <c r="E1206" i="61"/>
  <c r="E1214" i="61"/>
  <c r="E1222" i="61"/>
  <c r="E1230" i="61"/>
  <c r="E1238" i="61"/>
  <c r="E1246" i="61"/>
  <c r="E1254" i="61"/>
  <c r="E1262" i="61"/>
  <c r="E1270" i="61"/>
  <c r="E1278" i="61"/>
  <c r="E1286" i="61"/>
  <c r="E1294" i="61"/>
  <c r="E1302" i="61"/>
  <c r="E1310" i="61"/>
  <c r="E1318" i="61"/>
  <c r="E1326" i="61"/>
  <c r="E1334" i="61"/>
  <c r="E1342" i="61"/>
  <c r="E1350" i="61"/>
  <c r="E1358" i="61"/>
  <c r="E1366" i="61"/>
  <c r="E1374" i="61"/>
  <c r="E1382" i="61"/>
  <c r="E1390" i="61"/>
  <c r="E1398" i="61"/>
  <c r="E1406" i="61"/>
  <c r="E644" i="61"/>
  <c r="E692" i="61"/>
  <c r="E724" i="61"/>
  <c r="E756" i="61"/>
  <c r="E767" i="61"/>
  <c r="E775" i="61"/>
  <c r="E783" i="61"/>
  <c r="E791" i="61"/>
  <c r="E799" i="61"/>
  <c r="E807" i="61"/>
  <c r="E815" i="61"/>
  <c r="E823" i="61"/>
  <c r="E831" i="61"/>
  <c r="E839" i="61"/>
  <c r="E847" i="61"/>
  <c r="E855" i="61"/>
  <c r="E863" i="61"/>
  <c r="E871" i="61"/>
  <c r="E879" i="61"/>
  <c r="E887" i="61"/>
  <c r="E895" i="61"/>
  <c r="E903" i="61"/>
  <c r="E911" i="61"/>
  <c r="E919" i="61"/>
  <c r="E927" i="61"/>
  <c r="E935" i="61"/>
  <c r="E943" i="61"/>
  <c r="E951" i="61"/>
  <c r="E959" i="61"/>
  <c r="E967" i="61"/>
  <c r="E975" i="61"/>
  <c r="E983" i="61"/>
  <c r="E991" i="61"/>
  <c r="E999" i="61"/>
  <c r="E1007" i="61"/>
  <c r="E1015" i="61"/>
  <c r="E1023" i="61"/>
  <c r="E1031" i="61"/>
  <c r="E1039" i="61"/>
  <c r="E1047" i="61"/>
  <c r="E1055" i="61"/>
  <c r="E1063" i="61"/>
  <c r="E1071" i="61"/>
  <c r="E1079" i="61"/>
  <c r="E1087" i="61"/>
  <c r="E1095" i="61"/>
  <c r="E1103" i="61"/>
  <c r="E1111" i="61"/>
  <c r="E1119" i="61"/>
  <c r="E1127" i="61"/>
  <c r="E1135" i="61"/>
  <c r="E1143" i="61"/>
  <c r="E1151" i="61"/>
  <c r="E1159" i="61"/>
  <c r="E1167" i="61"/>
  <c r="E1175" i="61"/>
  <c r="E1183" i="61"/>
  <c r="E1191" i="61"/>
  <c r="E1199" i="61"/>
  <c r="E1207" i="61"/>
  <c r="E1215" i="61"/>
  <c r="E1223" i="61"/>
  <c r="E1231" i="61"/>
  <c r="E1239" i="61"/>
  <c r="E1247" i="61"/>
  <c r="E1255" i="61"/>
  <c r="E1263" i="61"/>
  <c r="E1271" i="61"/>
  <c r="E1279" i="61"/>
  <c r="E1287" i="61"/>
  <c r="E1295" i="61"/>
  <c r="E1303" i="61"/>
  <c r="E1311" i="61"/>
  <c r="E1319" i="61"/>
  <c r="E1327" i="61"/>
  <c r="E1335" i="61"/>
  <c r="E1343" i="61"/>
  <c r="E1351" i="61"/>
  <c r="E1359" i="61"/>
  <c r="E1367" i="61"/>
  <c r="E1375" i="61"/>
  <c r="E1383" i="61"/>
  <c r="E1391" i="61"/>
  <c r="E1399" i="61"/>
  <c r="E1407" i="61"/>
  <c r="E652" i="61"/>
  <c r="E699" i="61"/>
  <c r="E731" i="61"/>
  <c r="E759" i="61"/>
  <c r="E768" i="61"/>
  <c r="E776" i="61"/>
  <c r="E784" i="61"/>
  <c r="E792" i="61"/>
  <c r="E800" i="61"/>
  <c r="E808" i="61"/>
  <c r="E816" i="61"/>
  <c r="E824" i="61"/>
  <c r="E832" i="61"/>
  <c r="E840" i="61"/>
  <c r="E848" i="61"/>
  <c r="E856" i="61"/>
  <c r="E864" i="61"/>
  <c r="E872" i="61"/>
  <c r="E880" i="61"/>
  <c r="E888" i="61"/>
  <c r="E896" i="61"/>
  <c r="E904" i="61"/>
  <c r="E912" i="61"/>
  <c r="E920" i="61"/>
  <c r="E928" i="61"/>
  <c r="E936" i="61"/>
  <c r="E944" i="61"/>
  <c r="E952" i="61"/>
  <c r="E960" i="61"/>
  <c r="E968" i="61"/>
  <c r="E976" i="61"/>
  <c r="E984" i="61"/>
  <c r="E992" i="61"/>
  <c r="E1000" i="61"/>
  <c r="E1008" i="61"/>
  <c r="E1016" i="61"/>
  <c r="E1024" i="61"/>
  <c r="E1032" i="61"/>
  <c r="E1040" i="61"/>
  <c r="E1048" i="61"/>
  <c r="E1056" i="61"/>
  <c r="E1064" i="61"/>
  <c r="E1072" i="61"/>
  <c r="E1080" i="61"/>
  <c r="E1088" i="61"/>
  <c r="E1096" i="61"/>
  <c r="E1104" i="61"/>
  <c r="E1112" i="61"/>
  <c r="E1120" i="61"/>
  <c r="E1128" i="61"/>
  <c r="E1136" i="61"/>
  <c r="E1144" i="61"/>
  <c r="E1152" i="61"/>
  <c r="E1160" i="61"/>
  <c r="E1168" i="61"/>
  <c r="E1176" i="61"/>
  <c r="E1184" i="61"/>
  <c r="E1192" i="61"/>
  <c r="E1200" i="61"/>
  <c r="E1208" i="61"/>
  <c r="E1216" i="61"/>
  <c r="E1224" i="61"/>
  <c r="E1232" i="61"/>
  <c r="E1240" i="61"/>
  <c r="E1248" i="61"/>
  <c r="E1256" i="61"/>
  <c r="E1264" i="61"/>
  <c r="E1272" i="61"/>
  <c r="E1280" i="61"/>
  <c r="E1288" i="61"/>
  <c r="E1296" i="61"/>
  <c r="E1304" i="61"/>
  <c r="E1312" i="61"/>
  <c r="E1320" i="61"/>
  <c r="E1328" i="61"/>
  <c r="E1336" i="61"/>
  <c r="E1344" i="61"/>
  <c r="E1352" i="61"/>
  <c r="E1360" i="61"/>
  <c r="E1368" i="61"/>
  <c r="E1376" i="61"/>
  <c r="E1384" i="61"/>
  <c r="E1392" i="61"/>
  <c r="E1400" i="61"/>
  <c r="E1408" i="61"/>
  <c r="E1324" i="61"/>
  <c r="E1356" i="61"/>
  <c r="E1388" i="61"/>
  <c r="E1414" i="61"/>
  <c r="E1422" i="61"/>
  <c r="E1430" i="61"/>
  <c r="E1438" i="61"/>
  <c r="E1446" i="61"/>
  <c r="E1454" i="61"/>
  <c r="E1462" i="61"/>
  <c r="E1470" i="61"/>
  <c r="E1478" i="61"/>
  <c r="E1486" i="61"/>
  <c r="E1494" i="61"/>
  <c r="E1502" i="61"/>
  <c r="E1510" i="61"/>
  <c r="E1518" i="61"/>
  <c r="E1526" i="61"/>
  <c r="E1534" i="61"/>
  <c r="E1542" i="61"/>
  <c r="E1550" i="61"/>
  <c r="E1558" i="61"/>
  <c r="E1566" i="61"/>
  <c r="E1574" i="61"/>
  <c r="E1582" i="61"/>
  <c r="E1590" i="61"/>
  <c r="E1598" i="61"/>
  <c r="E1606" i="61"/>
  <c r="E1614" i="61"/>
  <c r="E1622" i="61"/>
  <c r="E1630" i="61"/>
  <c r="E1638" i="61"/>
  <c r="E1646" i="61"/>
  <c r="E1654" i="61"/>
  <c r="E1662" i="61"/>
  <c r="E1670" i="61"/>
  <c r="E1678" i="61"/>
  <c r="E1686" i="61"/>
  <c r="E1694" i="61"/>
  <c r="E1702" i="61"/>
  <c r="E1710" i="61"/>
  <c r="E1718" i="61"/>
  <c r="E1726" i="61"/>
  <c r="E1734" i="61"/>
  <c r="E1742" i="61"/>
  <c r="E1750" i="61"/>
  <c r="E1758" i="61"/>
  <c r="E1766" i="61"/>
  <c r="E1774" i="61"/>
  <c r="E1782" i="61"/>
  <c r="E1790" i="61"/>
  <c r="E1798" i="61"/>
  <c r="E1806" i="61"/>
  <c r="E1814" i="61"/>
  <c r="E1822" i="61"/>
  <c r="E1830" i="61"/>
  <c r="E1838" i="61"/>
  <c r="E1846" i="61"/>
  <c r="E1854" i="61"/>
  <c r="E1862" i="61"/>
  <c r="E1870" i="61"/>
  <c r="E1878" i="61"/>
  <c r="E1886" i="61"/>
  <c r="E1894" i="61"/>
  <c r="E1902" i="61"/>
  <c r="E1910" i="61"/>
  <c r="E1918" i="61"/>
  <c r="E1926" i="61"/>
  <c r="E1934" i="61"/>
  <c r="E1942" i="61"/>
  <c r="E1950" i="61"/>
  <c r="E1958" i="61"/>
  <c r="E1966" i="61"/>
  <c r="E1974" i="61"/>
  <c r="E1982" i="61"/>
  <c r="E1990" i="61"/>
  <c r="E1998" i="61"/>
  <c r="E2006" i="61"/>
  <c r="E2014" i="61"/>
  <c r="E2022" i="61"/>
  <c r="E2030" i="61"/>
  <c r="E2038" i="61"/>
  <c r="E2046" i="61"/>
  <c r="E2054" i="61"/>
  <c r="E2062" i="61"/>
  <c r="E1299" i="61"/>
  <c r="E1331" i="61"/>
  <c r="E1363" i="61"/>
  <c r="E1395" i="61"/>
  <c r="E1415" i="61"/>
  <c r="E1423" i="61"/>
  <c r="E1431" i="61"/>
  <c r="E1439" i="61"/>
  <c r="E1447" i="61"/>
  <c r="E1455" i="61"/>
  <c r="E1463" i="61"/>
  <c r="E1471" i="61"/>
  <c r="E1479" i="61"/>
  <c r="E1487" i="61"/>
  <c r="E1495" i="61"/>
  <c r="E1503" i="61"/>
  <c r="E1511" i="61"/>
  <c r="E1519" i="61"/>
  <c r="E1527" i="61"/>
  <c r="E1535" i="61"/>
  <c r="E1543" i="61"/>
  <c r="E1551" i="61"/>
  <c r="E1559" i="61"/>
  <c r="E1567" i="61"/>
  <c r="E1575" i="61"/>
  <c r="E1583" i="61"/>
  <c r="E1591" i="61"/>
  <c r="E1599" i="61"/>
  <c r="E1607" i="61"/>
  <c r="E1615" i="61"/>
  <c r="E1623" i="61"/>
  <c r="E1631" i="61"/>
  <c r="E1639" i="61"/>
  <c r="E1647" i="61"/>
  <c r="E1655" i="61"/>
  <c r="E1663" i="61"/>
  <c r="E1671" i="61"/>
  <c r="E1679" i="61"/>
  <c r="E1687" i="61"/>
  <c r="E1695" i="61"/>
  <c r="E1703" i="61"/>
  <c r="E1711" i="61"/>
  <c r="E1719" i="61"/>
  <c r="E1727" i="61"/>
  <c r="E1735" i="61"/>
  <c r="E1743" i="61"/>
  <c r="E1751" i="61"/>
  <c r="E1759" i="61"/>
  <c r="E1767" i="61"/>
  <c r="E1775" i="61"/>
  <c r="E1783" i="61"/>
  <c r="E1791" i="61"/>
  <c r="E1799" i="61"/>
  <c r="E1807" i="61"/>
  <c r="E1815" i="61"/>
  <c r="E1823" i="61"/>
  <c r="E1831" i="61"/>
  <c r="E1839" i="61"/>
  <c r="E1847" i="61"/>
  <c r="E1855" i="61"/>
  <c r="E1863" i="61"/>
  <c r="E1871" i="61"/>
  <c r="E1879" i="61"/>
  <c r="E1887" i="61"/>
  <c r="E1895" i="61"/>
  <c r="E1903" i="61"/>
  <c r="E1911" i="61"/>
  <c r="E1919" i="61"/>
  <c r="E1927" i="61"/>
  <c r="E1935" i="61"/>
  <c r="E1943" i="61"/>
  <c r="E1951" i="61"/>
  <c r="E1959" i="61"/>
  <c r="E1967" i="61"/>
  <c r="E1975" i="61"/>
  <c r="E1983" i="61"/>
  <c r="E1991" i="61"/>
  <c r="E1999" i="61"/>
  <c r="E2007" i="61"/>
  <c r="E2015" i="61"/>
  <c r="E2023" i="61"/>
  <c r="E2031" i="61"/>
  <c r="E2039" i="61"/>
  <c r="E2047" i="61"/>
  <c r="E2055" i="61"/>
  <c r="E2063" i="61"/>
  <c r="E1300" i="61"/>
  <c r="E1332" i="61"/>
  <c r="E1364" i="61"/>
  <c r="E1396" i="61"/>
  <c r="E1416" i="61"/>
  <c r="E1424" i="61"/>
  <c r="E1432" i="61"/>
  <c r="E1440" i="61"/>
  <c r="E1448" i="61"/>
  <c r="E1456" i="61"/>
  <c r="E1464" i="61"/>
  <c r="E1472" i="61"/>
  <c r="E1480" i="61"/>
  <c r="E1488" i="61"/>
  <c r="E1496" i="61"/>
  <c r="E1504" i="61"/>
  <c r="E1512" i="61"/>
  <c r="E1520" i="61"/>
  <c r="E1528" i="61"/>
  <c r="E1536" i="61"/>
  <c r="E1544" i="61"/>
  <c r="E1552" i="61"/>
  <c r="E1560" i="61"/>
  <c r="E1568" i="61"/>
  <c r="E1576" i="61"/>
  <c r="E1584" i="61"/>
  <c r="E1592" i="61"/>
  <c r="E1600" i="61"/>
  <c r="E1608" i="61"/>
  <c r="E1616" i="61"/>
  <c r="E1624" i="61"/>
  <c r="E1632" i="61"/>
  <c r="E1640" i="61"/>
  <c r="E1648" i="61"/>
  <c r="E1656" i="61"/>
  <c r="E1664" i="61"/>
  <c r="E1672" i="61"/>
  <c r="E1680" i="61"/>
  <c r="E1688" i="61"/>
  <c r="E1696" i="61"/>
  <c r="E1704" i="61"/>
  <c r="E1712" i="61"/>
  <c r="E1720" i="61"/>
  <c r="E1728" i="61"/>
  <c r="E1736" i="61"/>
  <c r="E1744" i="61"/>
  <c r="E1752" i="61"/>
  <c r="E1760" i="61"/>
  <c r="E1768" i="61"/>
  <c r="E1776" i="61"/>
  <c r="E1784" i="61"/>
  <c r="E1792" i="61"/>
  <c r="E1800" i="61"/>
  <c r="E1808" i="61"/>
  <c r="E1816" i="61"/>
  <c r="E1824" i="61"/>
  <c r="E1832" i="61"/>
  <c r="E1840" i="61"/>
  <c r="E1848" i="61"/>
  <c r="E1856" i="61"/>
  <c r="E1864" i="61"/>
  <c r="E1872" i="61"/>
  <c r="E1880" i="61"/>
  <c r="E1888" i="61"/>
  <c r="E1896" i="61"/>
  <c r="E1904" i="61"/>
  <c r="E1912" i="61"/>
  <c r="E1920" i="61"/>
  <c r="E1928" i="61"/>
  <c r="E1936" i="61"/>
  <c r="E1944" i="61"/>
  <c r="E1952" i="61"/>
  <c r="E1307" i="61"/>
  <c r="E1339" i="61"/>
  <c r="E1371" i="61"/>
  <c r="E1403" i="61"/>
  <c r="E1417" i="61"/>
  <c r="E1425" i="61"/>
  <c r="E1433" i="61"/>
  <c r="E1441" i="61"/>
  <c r="E1449" i="61"/>
  <c r="E1457" i="61"/>
  <c r="E1465" i="61"/>
  <c r="E1473" i="61"/>
  <c r="E1481" i="61"/>
  <c r="E1489" i="61"/>
  <c r="E1497" i="61"/>
  <c r="E1505" i="61"/>
  <c r="E1513" i="61"/>
  <c r="E1521" i="61"/>
  <c r="E1529" i="61"/>
  <c r="E1537" i="61"/>
  <c r="E1545" i="61"/>
  <c r="E1553" i="61"/>
  <c r="E1561" i="61"/>
  <c r="E1569" i="61"/>
  <c r="E1577" i="61"/>
  <c r="E1585" i="61"/>
  <c r="E1593" i="61"/>
  <c r="E1601" i="61"/>
  <c r="E1609" i="61"/>
  <c r="E1617" i="61"/>
  <c r="E1625" i="61"/>
  <c r="E1633" i="61"/>
  <c r="E1641" i="61"/>
  <c r="E1649" i="61"/>
  <c r="E1657" i="61"/>
  <c r="E1665" i="61"/>
  <c r="E1673" i="61"/>
  <c r="E1681" i="61"/>
  <c r="E1689" i="61"/>
  <c r="E1697" i="61"/>
  <c r="E1705" i="61"/>
  <c r="E1713" i="61"/>
  <c r="E1721" i="61"/>
  <c r="E1729" i="61"/>
  <c r="E1737" i="61"/>
  <c r="E1745" i="61"/>
  <c r="E1753" i="61"/>
  <c r="E1761" i="61"/>
  <c r="E1769" i="61"/>
  <c r="E1777" i="61"/>
  <c r="E1785" i="61"/>
  <c r="E1793" i="61"/>
  <c r="E1801" i="61"/>
  <c r="E1809" i="61"/>
  <c r="E1817" i="61"/>
  <c r="E1825" i="61"/>
  <c r="E1833" i="61"/>
  <c r="E1841" i="61"/>
  <c r="E1849" i="61"/>
  <c r="E1857" i="61"/>
  <c r="E1865" i="61"/>
  <c r="E1873" i="61"/>
  <c r="E1881" i="61"/>
  <c r="E1889" i="61"/>
  <c r="E1897" i="61"/>
  <c r="E1905" i="61"/>
  <c r="E1913" i="61"/>
  <c r="E1921" i="61"/>
  <c r="E1929" i="61"/>
  <c r="E1937" i="61"/>
  <c r="E1945" i="61"/>
  <c r="E1953" i="61"/>
  <c r="E1308" i="61"/>
  <c r="E1340" i="61"/>
  <c r="E1372" i="61"/>
  <c r="E1404" i="61"/>
  <c r="E1418" i="61"/>
  <c r="E1426" i="61"/>
  <c r="E1434" i="61"/>
  <c r="E1442" i="61"/>
  <c r="E1450" i="61"/>
  <c r="E1458" i="61"/>
  <c r="E1466" i="61"/>
  <c r="E1474" i="61"/>
  <c r="E1482" i="61"/>
  <c r="E1490" i="61"/>
  <c r="E1498" i="61"/>
  <c r="E1506" i="61"/>
  <c r="E1514" i="61"/>
  <c r="E1522" i="61"/>
  <c r="E1530" i="61"/>
  <c r="E1538" i="61"/>
  <c r="E1546" i="61"/>
  <c r="E1554" i="61"/>
  <c r="E1562" i="61"/>
  <c r="E1570" i="61"/>
  <c r="E1578" i="61"/>
  <c r="E1586" i="61"/>
  <c r="E1594" i="61"/>
  <c r="E1602" i="61"/>
  <c r="E1610" i="61"/>
  <c r="E1618" i="61"/>
  <c r="E1626" i="61"/>
  <c r="E1634" i="61"/>
  <c r="E1642" i="61"/>
  <c r="E1650" i="61"/>
  <c r="E1658" i="61"/>
  <c r="E1666" i="61"/>
  <c r="E1674" i="61"/>
  <c r="E1682" i="61"/>
  <c r="E1690" i="61"/>
  <c r="E1698" i="61"/>
  <c r="E1706" i="61"/>
  <c r="E1714" i="61"/>
  <c r="E1722" i="61"/>
  <c r="E1730" i="61"/>
  <c r="E1738" i="61"/>
  <c r="E1746" i="61"/>
  <c r="E1754" i="61"/>
  <c r="E1762" i="61"/>
  <c r="E1770" i="61"/>
  <c r="E1778" i="61"/>
  <c r="E1786" i="61"/>
  <c r="E1794" i="61"/>
  <c r="E1802" i="61"/>
  <c r="E1810" i="61"/>
  <c r="E1818" i="61"/>
  <c r="E1826" i="61"/>
  <c r="E1834" i="61"/>
  <c r="E1842" i="61"/>
  <c r="E1850" i="61"/>
  <c r="E1858" i="61"/>
  <c r="E1866" i="61"/>
  <c r="E1874" i="61"/>
  <c r="E1882" i="61"/>
  <c r="E1890" i="61"/>
  <c r="E1898" i="61"/>
  <c r="E1906" i="61"/>
  <c r="E1914" i="61"/>
  <c r="E1922" i="61"/>
  <c r="E1930" i="61"/>
  <c r="E1938" i="61"/>
  <c r="E1946" i="61"/>
  <c r="E1954" i="61"/>
  <c r="E1962" i="61"/>
  <c r="E1970" i="61"/>
  <c r="E1978" i="61"/>
  <c r="E1986" i="61"/>
  <c r="E1994" i="61"/>
  <c r="E2002" i="61"/>
  <c r="E2010" i="61"/>
  <c r="E2018" i="61"/>
  <c r="E2026" i="61"/>
  <c r="E2034" i="61"/>
  <c r="E2042" i="61"/>
  <c r="E2050" i="61"/>
  <c r="E2058" i="61"/>
  <c r="E1315" i="61"/>
  <c r="E1347" i="61"/>
  <c r="E1379" i="61"/>
  <c r="E1411" i="61"/>
  <c r="E1419" i="61"/>
  <c r="E1427" i="61"/>
  <c r="E1435" i="61"/>
  <c r="E1443" i="61"/>
  <c r="E1451" i="61"/>
  <c r="E1459" i="61"/>
  <c r="E1467" i="61"/>
  <c r="E1475" i="61"/>
  <c r="E1483" i="61"/>
  <c r="E1491" i="61"/>
  <c r="E1499" i="61"/>
  <c r="E1507" i="61"/>
  <c r="E1515" i="61"/>
  <c r="E1523" i="61"/>
  <c r="E1531" i="61"/>
  <c r="E1539" i="61"/>
  <c r="E1547" i="61"/>
  <c r="E1555" i="61"/>
  <c r="E1563" i="61"/>
  <c r="E1571" i="61"/>
  <c r="E1579" i="61"/>
  <c r="E1587" i="61"/>
  <c r="E1595" i="61"/>
  <c r="E1603" i="61"/>
  <c r="E1611" i="61"/>
  <c r="E1619" i="61"/>
  <c r="E1627" i="61"/>
  <c r="E1635" i="61"/>
  <c r="E1643" i="61"/>
  <c r="E1651" i="61"/>
  <c r="E1659" i="61"/>
  <c r="E1667" i="61"/>
  <c r="E1675" i="61"/>
  <c r="E1683" i="61"/>
  <c r="E1691" i="61"/>
  <c r="E1699" i="61"/>
  <c r="E1707" i="61"/>
  <c r="E1715" i="61"/>
  <c r="E1723" i="61"/>
  <c r="E1731" i="61"/>
  <c r="E1739" i="61"/>
  <c r="E1747" i="61"/>
  <c r="E1755" i="61"/>
  <c r="E1763" i="61"/>
  <c r="E1771" i="61"/>
  <c r="E1779" i="61"/>
  <c r="E1787" i="61"/>
  <c r="E1795" i="61"/>
  <c r="E1803" i="61"/>
  <c r="E1811" i="61"/>
  <c r="E1819" i="61"/>
  <c r="E1827" i="61"/>
  <c r="E1835" i="61"/>
  <c r="E1843" i="61"/>
  <c r="E1851" i="61"/>
  <c r="E1859" i="61"/>
  <c r="E1867" i="61"/>
  <c r="E1875" i="61"/>
  <c r="E1883" i="61"/>
  <c r="E1891" i="61"/>
  <c r="E1899" i="61"/>
  <c r="E1907" i="61"/>
  <c r="E1915" i="61"/>
  <c r="E1923" i="61"/>
  <c r="E1931" i="61"/>
  <c r="E1939" i="61"/>
  <c r="E1947" i="61"/>
  <c r="E1955" i="61"/>
  <c r="E1963" i="61"/>
  <c r="E1971" i="61"/>
  <c r="E1979" i="61"/>
  <c r="E1987" i="61"/>
  <c r="E1995" i="61"/>
  <c r="E2003" i="61"/>
  <c r="E2011" i="61"/>
  <c r="E2019" i="61"/>
  <c r="E2027" i="61"/>
  <c r="E2035" i="61"/>
  <c r="E2043" i="61"/>
  <c r="E2051" i="61"/>
  <c r="E2059" i="61"/>
  <c r="E1316" i="61"/>
  <c r="E1348" i="61"/>
  <c r="E1380" i="61"/>
  <c r="E1412" i="61"/>
  <c r="E1420" i="61"/>
  <c r="E1428" i="61"/>
  <c r="E1436" i="61"/>
  <c r="E1444" i="61"/>
  <c r="E1452" i="61"/>
  <c r="E1460" i="61"/>
  <c r="E1468" i="61"/>
  <c r="E1476" i="61"/>
  <c r="E1484" i="61"/>
  <c r="E1492" i="61"/>
  <c r="E1500" i="61"/>
  <c r="E1508" i="61"/>
  <c r="E1516" i="61"/>
  <c r="E1524" i="61"/>
  <c r="E1532" i="61"/>
  <c r="E1540" i="61"/>
  <c r="E1548" i="61"/>
  <c r="E1556" i="61"/>
  <c r="E1564" i="61"/>
  <c r="E1572" i="61"/>
  <c r="E1580" i="61"/>
  <c r="E1588" i="61"/>
  <c r="E1596" i="61"/>
  <c r="E1604" i="61"/>
  <c r="E1612" i="61"/>
  <c r="E1620" i="61"/>
  <c r="E1628" i="61"/>
  <c r="E1636" i="61"/>
  <c r="E1644" i="61"/>
  <c r="E1652" i="61"/>
  <c r="E1660" i="61"/>
  <c r="E1668" i="61"/>
  <c r="E1676" i="61"/>
  <c r="E1684" i="61"/>
  <c r="E1692" i="61"/>
  <c r="E1700" i="61"/>
  <c r="E1708" i="61"/>
  <c r="E1716" i="61"/>
  <c r="E1724" i="61"/>
  <c r="E1732" i="61"/>
  <c r="E1740" i="61"/>
  <c r="E1748" i="61"/>
  <c r="E1756" i="61"/>
  <c r="E1764" i="61"/>
  <c r="E1772" i="61"/>
  <c r="E1780" i="61"/>
  <c r="E1788" i="61"/>
  <c r="E1796" i="61"/>
  <c r="E1804" i="61"/>
  <c r="E1812" i="61"/>
  <c r="E1820" i="61"/>
  <c r="E1828" i="61"/>
  <c r="E1836" i="61"/>
  <c r="E1844" i="61"/>
  <c r="E1852" i="61"/>
  <c r="E1860" i="61"/>
  <c r="E1868" i="61"/>
  <c r="E1876" i="61"/>
  <c r="E1884" i="61"/>
  <c r="E1892" i="61"/>
  <c r="E1900" i="61"/>
  <c r="E1908" i="61"/>
  <c r="E1916" i="61"/>
  <c r="E1924" i="61"/>
  <c r="E1932" i="61"/>
  <c r="E1940" i="61"/>
  <c r="E1948" i="61"/>
  <c r="E1956" i="61"/>
  <c r="E1964" i="61"/>
  <c r="E1972" i="61"/>
  <c r="E1980" i="61"/>
  <c r="E1988" i="61"/>
  <c r="E1996" i="61"/>
  <c r="E2004" i="61"/>
  <c r="E2012" i="61"/>
  <c r="E2020" i="61"/>
  <c r="E2028" i="61"/>
  <c r="E2036" i="61"/>
  <c r="E2044" i="61"/>
  <c r="E2052" i="61"/>
  <c r="E1323" i="61"/>
  <c r="E1355" i="61"/>
  <c r="E1387" i="61"/>
  <c r="E1413" i="61"/>
  <c r="E1421" i="61"/>
  <c r="E1429" i="61"/>
  <c r="E1437" i="61"/>
  <c r="E1445" i="61"/>
  <c r="E1453" i="61"/>
  <c r="E1461" i="61"/>
  <c r="E1469" i="61"/>
  <c r="E1477" i="61"/>
  <c r="E1485" i="61"/>
  <c r="E1493" i="61"/>
  <c r="E1501" i="61"/>
  <c r="E1509" i="61"/>
  <c r="E1517" i="61"/>
  <c r="E1525" i="61"/>
  <c r="E1533" i="61"/>
  <c r="E1541" i="61"/>
  <c r="E1549" i="61"/>
  <c r="E1557" i="61"/>
  <c r="E1565" i="61"/>
  <c r="E1573" i="61"/>
  <c r="E1581" i="61"/>
  <c r="E1589" i="61"/>
  <c r="E1597" i="61"/>
  <c r="E1605" i="61"/>
  <c r="E1613" i="61"/>
  <c r="E1621" i="61"/>
  <c r="E1629" i="61"/>
  <c r="E1637" i="61"/>
  <c r="E1645" i="61"/>
  <c r="E1653" i="61"/>
  <c r="E1661" i="61"/>
  <c r="E1669" i="61"/>
  <c r="E1677" i="61"/>
  <c r="E1685" i="61"/>
  <c r="E1693" i="61"/>
  <c r="E1701" i="61"/>
  <c r="E1709" i="61"/>
  <c r="E1717" i="61"/>
  <c r="E1725" i="61"/>
  <c r="E1733" i="61"/>
  <c r="E1741" i="61"/>
  <c r="E1749" i="61"/>
  <c r="E1757" i="61"/>
  <c r="E1765" i="61"/>
  <c r="E1773" i="61"/>
  <c r="E1781" i="61"/>
  <c r="E1789" i="61"/>
  <c r="E1797" i="61"/>
  <c r="E1805" i="61"/>
  <c r="E1813" i="61"/>
  <c r="E1821" i="61"/>
  <c r="E1829" i="61"/>
  <c r="E1837" i="61"/>
  <c r="E1845" i="61"/>
  <c r="E1853" i="61"/>
  <c r="E1861" i="61"/>
  <c r="E1869" i="61"/>
  <c r="E1877" i="61"/>
  <c r="E1885" i="61"/>
  <c r="E1893" i="61"/>
  <c r="E1901" i="61"/>
  <c r="E1909" i="61"/>
  <c r="E1917" i="61"/>
  <c r="E1925" i="61"/>
  <c r="E1933" i="61"/>
  <c r="E1941" i="61"/>
  <c r="E1949" i="61"/>
  <c r="E1957" i="61"/>
  <c r="E1965" i="61"/>
  <c r="E1973" i="61"/>
  <c r="E1981" i="61"/>
  <c r="E1989" i="61"/>
  <c r="E1997" i="61"/>
  <c r="E2005" i="61"/>
  <c r="E2013" i="61"/>
  <c r="E2021" i="61"/>
  <c r="E2029" i="61"/>
  <c r="E2037" i="61"/>
  <c r="E2045" i="61"/>
  <c r="E2053" i="61"/>
  <c r="E78" i="61"/>
  <c r="E70" i="61"/>
  <c r="E62" i="61"/>
  <c r="E54" i="61"/>
  <c r="E46" i="61"/>
  <c r="E38" i="61"/>
  <c r="E30" i="61"/>
  <c r="E2162" i="61"/>
  <c r="E2154" i="61"/>
  <c r="E2146" i="61"/>
  <c r="E2138" i="61"/>
  <c r="E2130" i="61"/>
  <c r="E2122" i="61"/>
  <c r="E2114" i="61"/>
  <c r="E2106" i="61"/>
  <c r="E2098" i="61"/>
  <c r="E2090" i="61"/>
  <c r="E2082" i="61"/>
  <c r="E2074" i="61"/>
  <c r="E2066" i="61"/>
  <c r="E2048" i="61"/>
  <c r="E2016" i="61"/>
  <c r="E1984" i="61"/>
  <c r="E77" i="61"/>
  <c r="E69" i="61"/>
  <c r="E61" i="61"/>
  <c r="E53" i="61"/>
  <c r="E45" i="61"/>
  <c r="E37" i="61"/>
  <c r="E29" i="61"/>
  <c r="E2161" i="61"/>
  <c r="E2153" i="61"/>
  <c r="E2145" i="61"/>
  <c r="E2137" i="61"/>
  <c r="E2129" i="61"/>
  <c r="E2121" i="61"/>
  <c r="E2113" i="61"/>
  <c r="E2105" i="61"/>
  <c r="E2097" i="61"/>
  <c r="E2089" i="61"/>
  <c r="E2081" i="61"/>
  <c r="E2073" i="61"/>
  <c r="E2065" i="61"/>
  <c r="E2041" i="61"/>
  <c r="E2009" i="61"/>
  <c r="E1977" i="61"/>
  <c r="E22" i="61"/>
  <c r="E76" i="61"/>
  <c r="E68" i="61"/>
  <c r="E60" i="61"/>
  <c r="E52" i="61"/>
  <c r="E44" i="61"/>
  <c r="E36" i="61"/>
  <c r="E28" i="61"/>
  <c r="E2160" i="61"/>
  <c r="E2152" i="61"/>
  <c r="E2144" i="61"/>
  <c r="E2136" i="61"/>
  <c r="E2128" i="61"/>
  <c r="E2120" i="61"/>
  <c r="E2112" i="61"/>
  <c r="E2104" i="61"/>
  <c r="E2096" i="61"/>
  <c r="E2088" i="61"/>
  <c r="E2080" i="61"/>
  <c r="E2072" i="61"/>
  <c r="E2064" i="61"/>
  <c r="E2040" i="61"/>
  <c r="E2008" i="61"/>
  <c r="E1976" i="61"/>
  <c r="E21" i="61"/>
  <c r="E75" i="61"/>
  <c r="E67" i="61"/>
  <c r="E59" i="61"/>
  <c r="E51" i="61"/>
  <c r="E43" i="61"/>
  <c r="E35" i="61"/>
  <c r="E27" i="61"/>
  <c r="E2159" i="61"/>
  <c r="E2151" i="61"/>
  <c r="E2143" i="61"/>
  <c r="E2135" i="61"/>
  <c r="E2127" i="61"/>
  <c r="E2119" i="61"/>
  <c r="E2111" i="61"/>
  <c r="E2103" i="61"/>
  <c r="E2095" i="61"/>
  <c r="E2087" i="61"/>
  <c r="E2079" i="61"/>
  <c r="E2071" i="61"/>
  <c r="E2061" i="61"/>
  <c r="E2033" i="61"/>
  <c r="E2001" i="61"/>
  <c r="E1969" i="61"/>
  <c r="E20" i="61"/>
  <c r="E74" i="61"/>
  <c r="E66" i="61"/>
  <c r="E58" i="61"/>
  <c r="E50" i="61"/>
  <c r="E42" i="61"/>
  <c r="E34" i="61"/>
  <c r="E26" i="61"/>
  <c r="E2158" i="61"/>
  <c r="E2150" i="61"/>
  <c r="E2142" i="61"/>
  <c r="E2134" i="61"/>
  <c r="E2126" i="61"/>
  <c r="E2118" i="61"/>
  <c r="E2110" i="61"/>
  <c r="E2102" i="61"/>
  <c r="E2094" i="61"/>
  <c r="E2086" i="61"/>
  <c r="E2078" i="61"/>
  <c r="E2070" i="61"/>
  <c r="E2060" i="61"/>
  <c r="E2032" i="61"/>
  <c r="E2000" i="61"/>
  <c r="E1968" i="61"/>
  <c r="E19" i="61"/>
  <c r="E81" i="61"/>
  <c r="E73" i="61"/>
  <c r="E65" i="61"/>
  <c r="E57" i="61"/>
  <c r="E49" i="61"/>
  <c r="E41" i="61"/>
  <c r="E33" i="61"/>
  <c r="E25" i="61"/>
  <c r="E2157" i="61"/>
  <c r="E2149" i="61"/>
  <c r="E2141" i="61"/>
  <c r="E2133" i="61"/>
  <c r="E2125" i="61"/>
  <c r="E2117" i="61"/>
  <c r="E2109" i="61"/>
  <c r="E2101" i="61"/>
  <c r="E2093" i="61"/>
  <c r="E2085" i="61"/>
  <c r="E2077" i="61"/>
  <c r="E2069" i="61"/>
  <c r="E2057" i="61"/>
  <c r="E2025" i="61"/>
  <c r="E1993" i="61"/>
  <c r="E1961" i="61"/>
  <c r="E80" i="61"/>
  <c r="E72" i="61"/>
  <c r="E64" i="61"/>
  <c r="E56" i="61"/>
  <c r="E48" i="61"/>
  <c r="E40" i="61"/>
  <c r="E32" i="61"/>
  <c r="E24" i="61"/>
  <c r="E2156" i="61"/>
  <c r="E2148" i="61"/>
  <c r="E2140" i="61"/>
  <c r="E2132" i="61"/>
  <c r="E2124" i="61"/>
  <c r="E2116" i="61"/>
  <c r="E2108" i="61"/>
  <c r="E2100" i="61"/>
  <c r="E2092" i="61"/>
  <c r="E2084" i="61"/>
  <c r="E2076" i="61"/>
  <c r="E2068" i="61"/>
  <c r="E2056" i="61"/>
  <c r="E2024" i="61"/>
  <c r="E1992" i="61"/>
  <c r="E1960" i="61"/>
  <c r="E79" i="61"/>
  <c r="E71" i="61"/>
  <c r="E63" i="61"/>
  <c r="E55" i="61"/>
  <c r="E47" i="61"/>
  <c r="E39" i="61"/>
  <c r="E31" i="61"/>
  <c r="E23" i="61"/>
  <c r="E2155" i="61"/>
  <c r="E2147" i="61"/>
  <c r="E2139" i="61"/>
  <c r="E2131" i="61"/>
  <c r="E2123" i="61"/>
  <c r="E2115" i="61"/>
  <c r="E2107" i="61"/>
  <c r="E2099" i="61"/>
  <c r="E2091" i="61"/>
  <c r="E2083" i="61"/>
  <c r="E2075" i="61"/>
  <c r="E2067" i="61"/>
  <c r="E2049" i="61"/>
  <c r="E2017" i="61"/>
  <c r="E1985" i="61"/>
  <c r="F426" i="61"/>
  <c r="F378" i="61"/>
  <c r="F425" i="61"/>
  <c r="G425" i="61" s="1"/>
  <c r="F424" i="61"/>
  <c r="F423" i="61"/>
  <c r="F382" i="61"/>
  <c r="F381" i="61"/>
  <c r="F380" i="61"/>
  <c r="F1527" i="61"/>
  <c r="F1479" i="61"/>
  <c r="F1526" i="61"/>
  <c r="F1478" i="61"/>
  <c r="F1525" i="61"/>
  <c r="F1523" i="61"/>
  <c r="F1482" i="61"/>
  <c r="F1480" i="61"/>
  <c r="F1524" i="61"/>
  <c r="F1481" i="61"/>
  <c r="F1865" i="61"/>
  <c r="F1864" i="61"/>
  <c r="F1863" i="61"/>
  <c r="F1821" i="61"/>
  <c r="F1820" i="61"/>
  <c r="F1818" i="61"/>
  <c r="F1867" i="61"/>
  <c r="F1866" i="61"/>
  <c r="F1819" i="61"/>
  <c r="F1822" i="61"/>
  <c r="F68" i="61"/>
  <c r="F70" i="61"/>
  <c r="F23" i="61"/>
  <c r="F71" i="61"/>
  <c r="F25" i="61"/>
  <c r="F434" i="61"/>
  <c r="G434" i="61" s="1"/>
  <c r="F433" i="61"/>
  <c r="F392" i="61"/>
  <c r="F391" i="61"/>
  <c r="F390" i="61"/>
  <c r="F437" i="61"/>
  <c r="F389" i="61"/>
  <c r="F436" i="61"/>
  <c r="F388" i="61"/>
  <c r="F1471" i="61"/>
  <c r="F1470" i="61"/>
  <c r="F1517" i="61"/>
  <c r="F1469" i="61"/>
  <c r="F1515" i="61"/>
  <c r="F1514" i="61"/>
  <c r="F1472" i="61"/>
  <c r="F1516" i="61"/>
  <c r="F1513" i="61"/>
  <c r="F1468" i="61"/>
  <c r="F1849" i="61"/>
  <c r="F1848" i="61"/>
  <c r="F1807" i="61"/>
  <c r="F1805" i="61"/>
  <c r="F1852" i="61"/>
  <c r="F1804" i="61"/>
  <c r="F1851" i="61"/>
  <c r="F1850" i="61"/>
  <c r="F1803" i="61"/>
  <c r="F1806" i="61"/>
  <c r="F1857" i="61"/>
  <c r="F1809" i="61"/>
  <c r="F1856" i="61"/>
  <c r="F1855" i="61"/>
  <c r="F1853" i="61"/>
  <c r="F1812" i="61"/>
  <c r="F1811" i="61"/>
  <c r="F1810" i="61"/>
  <c r="F1808" i="61"/>
  <c r="F1854" i="61"/>
  <c r="F161" i="61"/>
  <c r="F435" i="61"/>
  <c r="F27" i="61"/>
  <c r="F159" i="61"/>
  <c r="F379" i="61"/>
  <c r="F1889" i="61"/>
  <c r="F1888" i="61"/>
  <c r="F1847" i="61"/>
  <c r="F1845" i="61"/>
  <c r="F1892" i="61"/>
  <c r="F1844" i="61"/>
  <c r="F1891" i="61"/>
  <c r="F1890" i="61"/>
  <c r="F1846" i="61"/>
  <c r="F1843" i="61"/>
  <c r="F402" i="61"/>
  <c r="F401" i="61"/>
  <c r="F400" i="61"/>
  <c r="F447" i="61"/>
  <c r="F399" i="61"/>
  <c r="F446" i="61"/>
  <c r="F398" i="61"/>
  <c r="F445" i="61"/>
  <c r="F444" i="61"/>
  <c r="F1503" i="61"/>
  <c r="F1462" i="61"/>
  <c r="F1461" i="61"/>
  <c r="F1507" i="61"/>
  <c r="F1459" i="61"/>
  <c r="F1506" i="61"/>
  <c r="F1458" i="61"/>
  <c r="F1504" i="61"/>
  <c r="F1460" i="61"/>
  <c r="F1505" i="61"/>
  <c r="F1841" i="61"/>
  <c r="F1887" i="61"/>
  <c r="F1839" i="61"/>
  <c r="F1885" i="61"/>
  <c r="F1884" i="61"/>
  <c r="F1886" i="61"/>
  <c r="F1883" i="61"/>
  <c r="F1842" i="61"/>
  <c r="F1840" i="61"/>
  <c r="F1838" i="61"/>
  <c r="F26" i="61"/>
  <c r="F158" i="61"/>
  <c r="F251" i="61"/>
  <c r="F770" i="61"/>
  <c r="F769" i="61"/>
  <c r="F768" i="61"/>
  <c r="F727" i="61"/>
  <c r="F726" i="61"/>
  <c r="F725" i="61"/>
  <c r="F772" i="61"/>
  <c r="F724" i="61"/>
  <c r="F771" i="61"/>
  <c r="F723" i="61"/>
  <c r="F810" i="61"/>
  <c r="F809" i="61"/>
  <c r="F808" i="61"/>
  <c r="F767" i="61"/>
  <c r="F766" i="61"/>
  <c r="F765" i="61"/>
  <c r="F812" i="61"/>
  <c r="F764" i="61"/>
  <c r="F811" i="61"/>
  <c r="F763" i="61"/>
  <c r="F1455" i="61"/>
  <c r="F1502" i="61"/>
  <c r="F1454" i="61"/>
  <c r="F1501" i="61"/>
  <c r="F1453" i="61"/>
  <c r="F1499" i="61"/>
  <c r="F1498" i="61"/>
  <c r="F1456" i="61"/>
  <c r="F1457" i="61"/>
  <c r="F1500" i="61"/>
  <c r="F1881" i="61"/>
  <c r="F1833" i="61"/>
  <c r="F1880" i="61"/>
  <c r="F1879" i="61"/>
  <c r="F1837" i="61"/>
  <c r="F1836" i="61"/>
  <c r="F1834" i="61"/>
  <c r="F1882" i="61"/>
  <c r="F1835" i="61"/>
  <c r="F1878" i="61"/>
  <c r="A223" i="53"/>
  <c r="F2113" i="61"/>
  <c r="F2105" i="61"/>
  <c r="F2097" i="61"/>
  <c r="F2089" i="61"/>
  <c r="F2081" i="61"/>
  <c r="F2073" i="61"/>
  <c r="F2065" i="61"/>
  <c r="F2057" i="61"/>
  <c r="F2049" i="61"/>
  <c r="F2041" i="61"/>
  <c r="F2033" i="61"/>
  <c r="F1977" i="61"/>
  <c r="F1969" i="61"/>
  <c r="F1961" i="61"/>
  <c r="F1953" i="61"/>
  <c r="F1945" i="61"/>
  <c r="F1753" i="61"/>
  <c r="F1745" i="61"/>
  <c r="F1737" i="61"/>
  <c r="F1729" i="61"/>
  <c r="F1721" i="61"/>
  <c r="F1713" i="61"/>
  <c r="F1705" i="61"/>
  <c r="F1697" i="61"/>
  <c r="F1689" i="61"/>
  <c r="F1681" i="61"/>
  <c r="F1673" i="61"/>
  <c r="F2112" i="61"/>
  <c r="F2104" i="61"/>
  <c r="F2096" i="61"/>
  <c r="F2088" i="61"/>
  <c r="F2080" i="61"/>
  <c r="F2072" i="61"/>
  <c r="F2064" i="61"/>
  <c r="F2056" i="61"/>
  <c r="F2048" i="61"/>
  <c r="F2040" i="61"/>
  <c r="F2032" i="61"/>
  <c r="F1976" i="61"/>
  <c r="F1968" i="61"/>
  <c r="F1960" i="61"/>
  <c r="F1952" i="61"/>
  <c r="F1944" i="61"/>
  <c r="F2111" i="61"/>
  <c r="F2103" i="61"/>
  <c r="F2095" i="61"/>
  <c r="F2087" i="61"/>
  <c r="F2079" i="61"/>
  <c r="F2071" i="61"/>
  <c r="F2063" i="61"/>
  <c r="F2055" i="61"/>
  <c r="F2047" i="61"/>
  <c r="F2039" i="61"/>
  <c r="F2031" i="61"/>
  <c r="F1975" i="61"/>
  <c r="F1967" i="61"/>
  <c r="F1959" i="61"/>
  <c r="F1951" i="61"/>
  <c r="F1943" i="61"/>
  <c r="F1751" i="61"/>
  <c r="F1743" i="61"/>
  <c r="F1735" i="61"/>
  <c r="F1727" i="61"/>
  <c r="F1719" i="61"/>
  <c r="F1711" i="61"/>
  <c r="F1703" i="61"/>
  <c r="F1695" i="61"/>
  <c r="F1687" i="61"/>
  <c r="F1679" i="61"/>
  <c r="F1671" i="61"/>
  <c r="F2110" i="61"/>
  <c r="F2102" i="61"/>
  <c r="F2094" i="61"/>
  <c r="F2086" i="61"/>
  <c r="F2078" i="61"/>
  <c r="F2070" i="61"/>
  <c r="F2062" i="61"/>
  <c r="F2054" i="61"/>
  <c r="F2046" i="61"/>
  <c r="F2117" i="61"/>
  <c r="F2109" i="61"/>
  <c r="F2101" i="61"/>
  <c r="F2093" i="61"/>
  <c r="F2085" i="61"/>
  <c r="F2077" i="61"/>
  <c r="F2069" i="61"/>
  <c r="F2061" i="61"/>
  <c r="F2053" i="61"/>
  <c r="F2045" i="61"/>
  <c r="F2037" i="61"/>
  <c r="F2029" i="61"/>
  <c r="F1981" i="61"/>
  <c r="F1973" i="61"/>
  <c r="F1965" i="61"/>
  <c r="F1957" i="61"/>
  <c r="F1949" i="61"/>
  <c r="F1941" i="61"/>
  <c r="F1757" i="61"/>
  <c r="F1749" i="61"/>
  <c r="F1741" i="61"/>
  <c r="F1733" i="61"/>
  <c r="F1725" i="61"/>
  <c r="F1717" i="61"/>
  <c r="F1709" i="61"/>
  <c r="F1701" i="61"/>
  <c r="F1693" i="61"/>
  <c r="F1685" i="61"/>
  <c r="F1677" i="61"/>
  <c r="F1669" i="61"/>
  <c r="F2116" i="61"/>
  <c r="F2108" i="61"/>
  <c r="F2100" i="61"/>
  <c r="F2092" i="61"/>
  <c r="F2084" i="61"/>
  <c r="F2076" i="61"/>
  <c r="F2068" i="61"/>
  <c r="F2060" i="61"/>
  <c r="F2052" i="61"/>
  <c r="F2044" i="61"/>
  <c r="F2036" i="61"/>
  <c r="F2028" i="61"/>
  <c r="F1980" i="61"/>
  <c r="F1972" i="61"/>
  <c r="F1964" i="61"/>
  <c r="F1956" i="61"/>
  <c r="F1948" i="61"/>
  <c r="F1940" i="61"/>
  <c r="F1756" i="61"/>
  <c r="F1748" i="61"/>
  <c r="F1740" i="61"/>
  <c r="F1732" i="61"/>
  <c r="F1724" i="61"/>
  <c r="F1716" i="61"/>
  <c r="F1708" i="61"/>
  <c r="F1700" i="61"/>
  <c r="F1692" i="61"/>
  <c r="F1684" i="61"/>
  <c r="F1676" i="61"/>
  <c r="F2115" i="61"/>
  <c r="F2107" i="61"/>
  <c r="F2099" i="61"/>
  <c r="F2091" i="61"/>
  <c r="F2083" i="61"/>
  <c r="F2075" i="61"/>
  <c r="F2067" i="61"/>
  <c r="F2059" i="61"/>
  <c r="F2051" i="61"/>
  <c r="F2043" i="61"/>
  <c r="F2035" i="61"/>
  <c r="F1979" i="61"/>
  <c r="F1971" i="61"/>
  <c r="F1963" i="61"/>
  <c r="F1955" i="61"/>
  <c r="F1947" i="61"/>
  <c r="F1939" i="61"/>
  <c r="F2058" i="61"/>
  <c r="F1954" i="61"/>
  <c r="F1754" i="61"/>
  <c r="F1738" i="61"/>
  <c r="F1722" i="61"/>
  <c r="F1706" i="61"/>
  <c r="F1690" i="61"/>
  <c r="F1674" i="61"/>
  <c r="F1615" i="61"/>
  <c r="F1607" i="61"/>
  <c r="F1599" i="61"/>
  <c r="F1591" i="61"/>
  <c r="F1583" i="61"/>
  <c r="F2114" i="61"/>
  <c r="F2050" i="61"/>
  <c r="F1982" i="61"/>
  <c r="F1950" i="61"/>
  <c r="F1752" i="61"/>
  <c r="F1736" i="61"/>
  <c r="F1720" i="61"/>
  <c r="F1704" i="61"/>
  <c r="F1688" i="61"/>
  <c r="F1672" i="61"/>
  <c r="F1622" i="61"/>
  <c r="F1614" i="61"/>
  <c r="F1606" i="61"/>
  <c r="F1598" i="61"/>
  <c r="F1590" i="61"/>
  <c r="F1582" i="61"/>
  <c r="F1390" i="61"/>
  <c r="F1382" i="61"/>
  <c r="F1374" i="61"/>
  <c r="F1366" i="61"/>
  <c r="F1358" i="61"/>
  <c r="F1350" i="61"/>
  <c r="F1342" i="61"/>
  <c r="F1334" i="61"/>
  <c r="F1326" i="61"/>
  <c r="F1318" i="61"/>
  <c r="F1310" i="61"/>
  <c r="F1262" i="61"/>
  <c r="F1254" i="61"/>
  <c r="F1246" i="61"/>
  <c r="F1238" i="61"/>
  <c r="F1230" i="61"/>
  <c r="F1222" i="61"/>
  <c r="F2106" i="61"/>
  <c r="F2042" i="61"/>
  <c r="F1978" i="61"/>
  <c r="F1946" i="61"/>
  <c r="F1750" i="61"/>
  <c r="F1734" i="61"/>
  <c r="F1718" i="61"/>
  <c r="F1702" i="61"/>
  <c r="F1686" i="61"/>
  <c r="F1670" i="61"/>
  <c r="F1621" i="61"/>
  <c r="F1613" i="61"/>
  <c r="F1605" i="61"/>
  <c r="F1597" i="61"/>
  <c r="F1589" i="61"/>
  <c r="F1581" i="61"/>
  <c r="F2098" i="61"/>
  <c r="F2038" i="61"/>
  <c r="F1974" i="61"/>
  <c r="F1942" i="61"/>
  <c r="F1747" i="61"/>
  <c r="F1731" i="61"/>
  <c r="F1715" i="61"/>
  <c r="F1699" i="61"/>
  <c r="F1683" i="61"/>
  <c r="F1668" i="61"/>
  <c r="F2090" i="61"/>
  <c r="F2034" i="61"/>
  <c r="F1970" i="61"/>
  <c r="F1938" i="61"/>
  <c r="F1746" i="61"/>
  <c r="F1730" i="61"/>
  <c r="F1714" i="61"/>
  <c r="F1698" i="61"/>
  <c r="F1682" i="61"/>
  <c r="F1619" i="61"/>
  <c r="F1611" i="61"/>
  <c r="F1603" i="61"/>
  <c r="F1595" i="61"/>
  <c r="F1587" i="61"/>
  <c r="F1579" i="61"/>
  <c r="F1395" i="61"/>
  <c r="F1387" i="61"/>
  <c r="F1379" i="61"/>
  <c r="F1371" i="61"/>
  <c r="F1363" i="61"/>
  <c r="F1355" i="61"/>
  <c r="F1347" i="61"/>
  <c r="F1339" i="61"/>
  <c r="F1331" i="61"/>
  <c r="F1323" i="61"/>
  <c r="F1315" i="61"/>
  <c r="F1259" i="61"/>
  <c r="F1251" i="61"/>
  <c r="F2082" i="61"/>
  <c r="F2030" i="61"/>
  <c r="F1966" i="61"/>
  <c r="F1744" i="61"/>
  <c r="F1728" i="61"/>
  <c r="F1712" i="61"/>
  <c r="F1696" i="61"/>
  <c r="F1680" i="61"/>
  <c r="F1618" i="61"/>
  <c r="F1610" i="61"/>
  <c r="F1602" i="61"/>
  <c r="F1594" i="61"/>
  <c r="F1586" i="61"/>
  <c r="F1578" i="61"/>
  <c r="F1394" i="61"/>
  <c r="F1386" i="61"/>
  <c r="F1378" i="61"/>
  <c r="F1370" i="61"/>
  <c r="F1362" i="61"/>
  <c r="F1354" i="61"/>
  <c r="F1346" i="61"/>
  <c r="F1338" i="61"/>
  <c r="F1330" i="61"/>
  <c r="F1322" i="61"/>
  <c r="F1314" i="61"/>
  <c r="F1258" i="61"/>
  <c r="F1250" i="61"/>
  <c r="F1242" i="61"/>
  <c r="F1234" i="61"/>
  <c r="F1226" i="61"/>
  <c r="F1218" i="61"/>
  <c r="F2066" i="61"/>
  <c r="F1958" i="61"/>
  <c r="F1755" i="61"/>
  <c r="F1739" i="61"/>
  <c r="F1723" i="61"/>
  <c r="F1707" i="61"/>
  <c r="F1691" i="61"/>
  <c r="F1675" i="61"/>
  <c r="F1616" i="61"/>
  <c r="F1608" i="61"/>
  <c r="F1600" i="61"/>
  <c r="F1592" i="61"/>
  <c r="F1584" i="61"/>
  <c r="F1392" i="61"/>
  <c r="F1384" i="61"/>
  <c r="F1376" i="61"/>
  <c r="F1368" i="61"/>
  <c r="F1360" i="61"/>
  <c r="F1352" i="61"/>
  <c r="F1344" i="61"/>
  <c r="F1336" i="61"/>
  <c r="F1328" i="61"/>
  <c r="F1320" i="61"/>
  <c r="F1312" i="61"/>
  <c r="F1256" i="61"/>
  <c r="F1678" i="61"/>
  <c r="F1593" i="61"/>
  <c r="F1389" i="61"/>
  <c r="F1373" i="61"/>
  <c r="F1357" i="61"/>
  <c r="F1341" i="61"/>
  <c r="F1325" i="61"/>
  <c r="F1309" i="61"/>
  <c r="F1261" i="61"/>
  <c r="F1247" i="61"/>
  <c r="F1236" i="61"/>
  <c r="F1225" i="61"/>
  <c r="F1034" i="61"/>
  <c r="F1026" i="61"/>
  <c r="F1002" i="61"/>
  <c r="F994" i="61"/>
  <c r="F978" i="61"/>
  <c r="F962" i="61"/>
  <c r="F954" i="61"/>
  <c r="F898" i="61"/>
  <c r="F890" i="61"/>
  <c r="F866" i="61"/>
  <c r="F858" i="61"/>
  <c r="F658" i="61"/>
  <c r="F650" i="61"/>
  <c r="F626" i="61"/>
  <c r="F514" i="61"/>
  <c r="F1962" i="61"/>
  <c r="F1620" i="61"/>
  <c r="F1588" i="61"/>
  <c r="F1388" i="61"/>
  <c r="F1372" i="61"/>
  <c r="F1356" i="61"/>
  <c r="F1340" i="61"/>
  <c r="F1324" i="61"/>
  <c r="F1308" i="61"/>
  <c r="F1260" i="61"/>
  <c r="F1245" i="61"/>
  <c r="F1235" i="61"/>
  <c r="F1224" i="61"/>
  <c r="F1033" i="61"/>
  <c r="F1025" i="61"/>
  <c r="F1001" i="61"/>
  <c r="F993" i="61"/>
  <c r="F961" i="61"/>
  <c r="F953" i="61"/>
  <c r="F889" i="61"/>
  <c r="F865" i="61"/>
  <c r="F649" i="61"/>
  <c r="F625" i="61"/>
  <c r="F617" i="61"/>
  <c r="F537" i="61"/>
  <c r="F513" i="61"/>
  <c r="F293" i="61"/>
  <c r="F252" i="61"/>
  <c r="F160" i="61"/>
  <c r="F1617" i="61"/>
  <c r="F1585" i="61"/>
  <c r="F1385" i="61"/>
  <c r="F1369" i="61"/>
  <c r="F1353" i="61"/>
  <c r="F1337" i="61"/>
  <c r="F1321" i="61"/>
  <c r="F1257" i="61"/>
  <c r="F1244" i="61"/>
  <c r="F1233" i="61"/>
  <c r="F1223" i="61"/>
  <c r="F1024" i="61"/>
  <c r="F1000" i="61"/>
  <c r="F992" i="61"/>
  <c r="F960" i="61"/>
  <c r="F952" i="61"/>
  <c r="F888" i="61"/>
  <c r="F872" i="61"/>
  <c r="F864" i="61"/>
  <c r="F672" i="61"/>
  <c r="F648" i="61"/>
  <c r="F624" i="61"/>
  <c r="F616" i="61"/>
  <c r="F536" i="61"/>
  <c r="F294" i="61"/>
  <c r="F1612" i="61"/>
  <c r="F1580" i="61"/>
  <c r="F1383" i="61"/>
  <c r="F1367" i="61"/>
  <c r="F1351" i="61"/>
  <c r="F1335" i="61"/>
  <c r="F1319" i="61"/>
  <c r="F1255" i="61"/>
  <c r="F1243" i="61"/>
  <c r="F1232" i="61"/>
  <c r="F1221" i="61"/>
  <c r="F1023" i="61"/>
  <c r="F1007" i="61"/>
  <c r="F999" i="61"/>
  <c r="F991" i="61"/>
  <c r="F959" i="61"/>
  <c r="F951" i="61"/>
  <c r="F871" i="61"/>
  <c r="F863" i="61"/>
  <c r="F671" i="61"/>
  <c r="F623" i="61"/>
  <c r="F615" i="61"/>
  <c r="F607" i="61"/>
  <c r="F535" i="61"/>
  <c r="F527" i="61"/>
  <c r="F295" i="61"/>
  <c r="F162" i="61"/>
  <c r="F1742" i="61"/>
  <c r="F1609" i="61"/>
  <c r="F1397" i="61"/>
  <c r="F1381" i="61"/>
  <c r="F1365" i="61"/>
  <c r="F1349" i="61"/>
  <c r="F1333" i="61"/>
  <c r="F1317" i="61"/>
  <c r="F1253" i="61"/>
  <c r="F1241" i="61"/>
  <c r="F1231" i="61"/>
  <c r="F1220" i="61"/>
  <c r="F1006" i="61"/>
  <c r="F998" i="61"/>
  <c r="F990" i="61"/>
  <c r="F982" i="61"/>
  <c r="F958" i="61"/>
  <c r="F950" i="61"/>
  <c r="F902" i="61"/>
  <c r="F870" i="61"/>
  <c r="F862" i="61"/>
  <c r="F670" i="61"/>
  <c r="F662" i="61"/>
  <c r="F614" i="61"/>
  <c r="F606" i="61"/>
  <c r="F534" i="61"/>
  <c r="F526" i="61"/>
  <c r="F296" i="61"/>
  <c r="F1726" i="61"/>
  <c r="F1604" i="61"/>
  <c r="F1396" i="61"/>
  <c r="F1380" i="61"/>
  <c r="F1364" i="61"/>
  <c r="F1348" i="61"/>
  <c r="F1332" i="61"/>
  <c r="F1316" i="61"/>
  <c r="F1252" i="61"/>
  <c r="F1240" i="61"/>
  <c r="F1229" i="61"/>
  <c r="F1219" i="61"/>
  <c r="F1037" i="61"/>
  <c r="F1005" i="61"/>
  <c r="F997" i="61"/>
  <c r="F989" i="61"/>
  <c r="F981" i="61"/>
  <c r="F957" i="61"/>
  <c r="F949" i="61"/>
  <c r="F901" i="61"/>
  <c r="F869" i="61"/>
  <c r="F861" i="61"/>
  <c r="F669" i="61"/>
  <c r="F661" i="61"/>
  <c r="F613" i="61"/>
  <c r="F605" i="61"/>
  <c r="F533" i="61"/>
  <c r="F525" i="61"/>
  <c r="F517" i="61"/>
  <c r="F2074" i="61"/>
  <c r="F1710" i="61"/>
  <c r="F1601" i="61"/>
  <c r="F1393" i="61"/>
  <c r="F1377" i="61"/>
  <c r="F1361" i="61"/>
  <c r="F1345" i="61"/>
  <c r="F1329" i="61"/>
  <c r="F1313" i="61"/>
  <c r="F1249" i="61"/>
  <c r="F1239" i="61"/>
  <c r="F1228" i="61"/>
  <c r="F1036" i="61"/>
  <c r="F1004" i="61"/>
  <c r="F996" i="61"/>
  <c r="F988" i="61"/>
  <c r="F980" i="61"/>
  <c r="F956" i="61"/>
  <c r="F948" i="61"/>
  <c r="F900" i="61"/>
  <c r="F892" i="61"/>
  <c r="F868" i="61"/>
  <c r="F860" i="61"/>
  <c r="F668" i="61"/>
  <c r="F660" i="61"/>
  <c r="F652" i="61"/>
  <c r="F604" i="61"/>
  <c r="F524" i="61"/>
  <c r="F516" i="61"/>
  <c r="F249" i="61"/>
  <c r="F1694" i="61"/>
  <c r="F1596" i="61"/>
  <c r="F1391" i="61"/>
  <c r="F1375" i="61"/>
  <c r="F1359" i="61"/>
  <c r="F1343" i="61"/>
  <c r="F1327" i="61"/>
  <c r="F1311" i="61"/>
  <c r="F1248" i="61"/>
  <c r="F1237" i="61"/>
  <c r="F1227" i="61"/>
  <c r="F1035" i="61"/>
  <c r="F1027" i="61"/>
  <c r="F1003" i="61"/>
  <c r="F995" i="61"/>
  <c r="F979" i="61"/>
  <c r="F955" i="61"/>
  <c r="F899" i="61"/>
  <c r="F891" i="61"/>
  <c r="F867" i="61"/>
  <c r="F859" i="61"/>
  <c r="F659" i="61"/>
  <c r="F651" i="61"/>
  <c r="F627" i="61"/>
  <c r="F603" i="61"/>
  <c r="F72" i="61"/>
  <c r="F24" i="61"/>
  <c r="F250" i="61"/>
  <c r="F297" i="61"/>
  <c r="F523" i="61"/>
  <c r="F1519" i="61"/>
  <c r="F1518" i="61"/>
  <c r="F1477" i="61"/>
  <c r="F1475" i="61"/>
  <c r="F1522" i="61"/>
  <c r="F1474" i="61"/>
  <c r="F1520" i="61"/>
  <c r="F1521" i="61"/>
  <c r="F1476" i="61"/>
  <c r="F1473" i="61"/>
  <c r="F802" i="61"/>
  <c r="F754" i="61"/>
  <c r="F801" i="61"/>
  <c r="F753" i="61"/>
  <c r="F800" i="61"/>
  <c r="F799" i="61"/>
  <c r="F798" i="61"/>
  <c r="F757" i="61"/>
  <c r="F756" i="61"/>
  <c r="F755" i="61"/>
  <c r="F1511" i="61"/>
  <c r="F1463" i="61"/>
  <c r="F1510" i="61"/>
  <c r="F1509" i="61"/>
  <c r="F1467" i="61"/>
  <c r="F1466" i="61"/>
  <c r="F1512" i="61"/>
  <c r="F1464" i="61"/>
  <c r="F1465" i="61"/>
  <c r="F1508" i="61"/>
  <c r="F370" i="61"/>
  <c r="F417" i="61"/>
  <c r="F369" i="61"/>
  <c r="F416" i="61"/>
  <c r="F368" i="61"/>
  <c r="F415" i="61"/>
  <c r="F414" i="61"/>
  <c r="F413" i="61"/>
  <c r="F372" i="61"/>
  <c r="F1447" i="61"/>
  <c r="F1446" i="61"/>
  <c r="F1445" i="61"/>
  <c r="F1491" i="61"/>
  <c r="F1443" i="61"/>
  <c r="F1490" i="61"/>
  <c r="F1488" i="61"/>
  <c r="F1492" i="61"/>
  <c r="F1489" i="61"/>
  <c r="F1444" i="61"/>
  <c r="F1495" i="61"/>
  <c r="F1494" i="61"/>
  <c r="F1493" i="61"/>
  <c r="F1451" i="61"/>
  <c r="F1450" i="61"/>
  <c r="F1496" i="61"/>
  <c r="F1448" i="61"/>
  <c r="F1497" i="61"/>
  <c r="F1452" i="61"/>
  <c r="F1449" i="61"/>
  <c r="F1873" i="61"/>
  <c r="F1831" i="61"/>
  <c r="F1877" i="61"/>
  <c r="F1829" i="61"/>
  <c r="F1876" i="61"/>
  <c r="F1828" i="61"/>
  <c r="F1874" i="61"/>
  <c r="F1832" i="61"/>
  <c r="F1830" i="61"/>
  <c r="F1875" i="61"/>
  <c r="F69" i="61"/>
  <c r="F248" i="61"/>
  <c r="F1817" i="61"/>
  <c r="F1815" i="61"/>
  <c r="F1861" i="61"/>
  <c r="F1813" i="61"/>
  <c r="F1860" i="61"/>
  <c r="F1816" i="61"/>
  <c r="F1814" i="61"/>
  <c r="F1862" i="61"/>
  <c r="F1859" i="61"/>
  <c r="F1858" i="61"/>
  <c r="F778" i="61"/>
  <c r="F737" i="61"/>
  <c r="F736" i="61"/>
  <c r="F735" i="61"/>
  <c r="F782" i="61"/>
  <c r="F734" i="61"/>
  <c r="F781" i="61"/>
  <c r="F733" i="61"/>
  <c r="F780" i="61"/>
  <c r="F779" i="61"/>
  <c r="F1487" i="61"/>
  <c r="F1486" i="61"/>
  <c r="F1485" i="61"/>
  <c r="F1531" i="61"/>
  <c r="F1483" i="61"/>
  <c r="F1530" i="61"/>
  <c r="F1528" i="61"/>
  <c r="F1529" i="61"/>
  <c r="F1484" i="61"/>
  <c r="F1532" i="61"/>
  <c r="F1825" i="61"/>
  <c r="F1872" i="61"/>
  <c r="F1871" i="61"/>
  <c r="F1823" i="61"/>
  <c r="F1869" i="61"/>
  <c r="F1868" i="61"/>
  <c r="F1870" i="61"/>
  <c r="F1827" i="61"/>
  <c r="F1826" i="61"/>
  <c r="F1824" i="61"/>
  <c r="K79" i="60"/>
  <c r="C228" i="53"/>
  <c r="D208" i="53"/>
  <c r="B215" i="53"/>
  <c r="K13" i="60"/>
  <c r="C216" i="53"/>
  <c r="C223" i="53"/>
  <c r="D237" i="53"/>
  <c r="H230" i="60"/>
  <c r="F230" i="60"/>
  <c r="H142" i="60"/>
  <c r="D215" i="53"/>
  <c r="C226" i="53"/>
  <c r="F142" i="60"/>
  <c r="H94" i="60"/>
  <c r="D227" i="53"/>
  <c r="F94" i="60"/>
  <c r="H6" i="60"/>
  <c r="D241" i="53"/>
  <c r="G48" i="60"/>
  <c r="D219" i="53"/>
  <c r="D235" i="53"/>
  <c r="G232" i="60"/>
  <c r="G184" i="60"/>
  <c r="G96" i="60"/>
  <c r="D42" i="55"/>
  <c r="K113" i="60" s="1"/>
  <c r="K4" i="60"/>
  <c r="K47" i="60"/>
  <c r="K271" i="60"/>
  <c r="K39" i="60"/>
  <c r="K249" i="60"/>
  <c r="K23" i="60"/>
  <c r="D38" i="55"/>
  <c r="K96" i="60" s="1"/>
  <c r="N270" i="60"/>
  <c r="K175" i="60"/>
  <c r="N262" i="60"/>
  <c r="D46" i="55"/>
  <c r="K134" i="60" s="1"/>
  <c r="N254" i="60"/>
  <c r="N222" i="60"/>
  <c r="F38" i="55"/>
  <c r="F42" i="55"/>
  <c r="F46" i="55"/>
  <c r="K11" i="60"/>
  <c r="K272" i="60"/>
  <c r="K256" i="60"/>
  <c r="K248" i="60"/>
  <c r="K176" i="60"/>
  <c r="K80" i="60"/>
  <c r="K40" i="60"/>
  <c r="K32" i="60"/>
  <c r="K24" i="60"/>
  <c r="N271" i="60"/>
  <c r="N263" i="60"/>
  <c r="N255" i="60"/>
  <c r="N247" i="60"/>
  <c r="N239" i="60"/>
  <c r="N231" i="60"/>
  <c r="N223" i="60"/>
  <c r="K31" i="60"/>
  <c r="K17" i="60"/>
  <c r="K9" i="60"/>
  <c r="K270" i="60"/>
  <c r="K254" i="60"/>
  <c r="K174" i="60"/>
  <c r="K78" i="60"/>
  <c r="K62" i="60"/>
  <c r="K46" i="60"/>
  <c r="K38" i="60"/>
  <c r="K30" i="60"/>
  <c r="K22" i="60"/>
  <c r="N269" i="60"/>
  <c r="N261" i="60"/>
  <c r="N253" i="60"/>
  <c r="N245" i="60"/>
  <c r="N237" i="60"/>
  <c r="N229" i="60"/>
  <c r="N221" i="60"/>
  <c r="K255" i="60"/>
  <c r="N246" i="60"/>
  <c r="D40" i="55"/>
  <c r="D44" i="55"/>
  <c r="K16" i="60"/>
  <c r="K8" i="60"/>
  <c r="K269" i="60"/>
  <c r="K253" i="60"/>
  <c r="K237" i="60"/>
  <c r="K173" i="60"/>
  <c r="K157" i="60"/>
  <c r="K61" i="60"/>
  <c r="K45" i="60"/>
  <c r="K37" i="60"/>
  <c r="K29" i="60"/>
  <c r="K21" i="60"/>
  <c r="N268" i="60"/>
  <c r="N260" i="60"/>
  <c r="N252" i="60"/>
  <c r="N244" i="60"/>
  <c r="N236" i="60"/>
  <c r="N228" i="60"/>
  <c r="N220" i="60"/>
  <c r="N238" i="60"/>
  <c r="K15" i="60"/>
  <c r="K7" i="60"/>
  <c r="K252" i="60"/>
  <c r="K236" i="60"/>
  <c r="K156" i="60"/>
  <c r="K60" i="60"/>
  <c r="K44" i="60"/>
  <c r="K36" i="60"/>
  <c r="K28" i="60"/>
  <c r="K20" i="60"/>
  <c r="N267" i="60"/>
  <c r="N259" i="60"/>
  <c r="N251" i="60"/>
  <c r="N243" i="60"/>
  <c r="N235" i="60"/>
  <c r="N227" i="60"/>
  <c r="N219" i="60"/>
  <c r="K10" i="60"/>
  <c r="N230" i="60"/>
  <c r="F41" i="55"/>
  <c r="F45" i="55"/>
  <c r="K14" i="60"/>
  <c r="K6" i="60"/>
  <c r="K251" i="60"/>
  <c r="K235" i="60"/>
  <c r="K155" i="60"/>
  <c r="K59" i="60"/>
  <c r="K43" i="60"/>
  <c r="K35" i="60"/>
  <c r="K27" i="60"/>
  <c r="K19" i="60"/>
  <c r="N266" i="60"/>
  <c r="N258" i="60"/>
  <c r="N250" i="60"/>
  <c r="N242" i="60"/>
  <c r="N234" i="60"/>
  <c r="N226" i="60"/>
  <c r="N218" i="60"/>
  <c r="K5" i="60"/>
  <c r="K234" i="60"/>
  <c r="K154" i="60"/>
  <c r="K82" i="60"/>
  <c r="K42" i="60"/>
  <c r="K34" i="60"/>
  <c r="K26" i="60"/>
  <c r="K18" i="60"/>
  <c r="N265" i="60"/>
  <c r="N257" i="60"/>
  <c r="N249" i="60"/>
  <c r="N241" i="60"/>
  <c r="N233" i="60"/>
  <c r="N225" i="60"/>
  <c r="N217" i="60"/>
  <c r="K12" i="60"/>
  <c r="K41" i="60"/>
  <c r="K33" i="60"/>
  <c r="K25" i="60"/>
  <c r="N272" i="60"/>
  <c r="N264" i="60"/>
  <c r="N256" i="60"/>
  <c r="N248" i="60"/>
  <c r="N240" i="60"/>
  <c r="N232" i="60"/>
  <c r="N224" i="60"/>
  <c r="N216" i="60"/>
  <c r="D240" i="53"/>
  <c r="D217" i="53"/>
  <c r="D229" i="53"/>
  <c r="D239" i="53"/>
  <c r="F3" i="60"/>
  <c r="F229" i="60"/>
  <c r="F141" i="60"/>
  <c r="F93" i="60"/>
  <c r="G231" i="60"/>
  <c r="G183" i="60"/>
  <c r="G95" i="60"/>
  <c r="G7" i="60"/>
  <c r="H229" i="60"/>
  <c r="H141" i="60"/>
  <c r="H93" i="60"/>
  <c r="H5" i="60"/>
  <c r="C39" i="55"/>
  <c r="E40" i="55"/>
  <c r="G41" i="55"/>
  <c r="C43" i="55"/>
  <c r="E44" i="55"/>
  <c r="G45" i="55"/>
  <c r="F7" i="60"/>
  <c r="F228" i="60"/>
  <c r="F140" i="60"/>
  <c r="F52" i="60"/>
  <c r="G230" i="60"/>
  <c r="G142" i="60"/>
  <c r="G94" i="60"/>
  <c r="G6" i="60"/>
  <c r="H228" i="60"/>
  <c r="H140" i="60"/>
  <c r="H52" i="60"/>
  <c r="H4" i="60"/>
  <c r="D39" i="55"/>
  <c r="F40" i="55"/>
  <c r="D43" i="55"/>
  <c r="F44" i="55"/>
  <c r="B217" i="53"/>
  <c r="D225" i="53"/>
  <c r="D236" i="53"/>
  <c r="F6" i="60"/>
  <c r="F187" i="60"/>
  <c r="F139" i="60"/>
  <c r="F51" i="60"/>
  <c r="G229" i="60"/>
  <c r="G141" i="60"/>
  <c r="G93" i="60"/>
  <c r="G5" i="60"/>
  <c r="H187" i="60"/>
  <c r="H139" i="60"/>
  <c r="H51" i="60"/>
  <c r="C38" i="55"/>
  <c r="E39" i="55"/>
  <c r="G40" i="55"/>
  <c r="C42" i="55"/>
  <c r="E43" i="55"/>
  <c r="G44" i="55"/>
  <c r="C46" i="55"/>
  <c r="B228" i="53"/>
  <c r="F5" i="60"/>
  <c r="F186" i="60"/>
  <c r="F138" i="60"/>
  <c r="F50" i="60"/>
  <c r="G228" i="60"/>
  <c r="G140" i="60"/>
  <c r="G52" i="60"/>
  <c r="G4" i="60"/>
  <c r="H186" i="60"/>
  <c r="H138" i="60"/>
  <c r="H50" i="60"/>
  <c r="F39" i="55"/>
  <c r="F43" i="55"/>
  <c r="B213" i="53"/>
  <c r="F4" i="60"/>
  <c r="F185" i="60"/>
  <c r="F97" i="60"/>
  <c r="F49" i="60"/>
  <c r="G187" i="60"/>
  <c r="G139" i="60"/>
  <c r="G51" i="60"/>
  <c r="H3" i="60"/>
  <c r="H185" i="60"/>
  <c r="H97" i="60"/>
  <c r="H49" i="60"/>
  <c r="E38" i="55"/>
  <c r="C41" i="55"/>
  <c r="E42" i="55"/>
  <c r="C45" i="55"/>
  <c r="E46" i="55"/>
  <c r="C218" i="53"/>
  <c r="B238" i="53"/>
  <c r="F232" i="60"/>
  <c r="F184" i="60"/>
  <c r="F96" i="60"/>
  <c r="F48" i="60"/>
  <c r="G186" i="60"/>
  <c r="G138" i="60"/>
  <c r="G50" i="60"/>
  <c r="H232" i="60"/>
  <c r="H184" i="60"/>
  <c r="H96" i="60"/>
  <c r="H48" i="60"/>
  <c r="D41" i="55"/>
  <c r="D45" i="55"/>
  <c r="B202" i="53"/>
  <c r="F231" i="60"/>
  <c r="F183" i="60"/>
  <c r="F95" i="60"/>
  <c r="G3" i="60"/>
  <c r="G185" i="60"/>
  <c r="G97" i="60"/>
  <c r="G49" i="60"/>
  <c r="H231" i="60"/>
  <c r="H183" i="60"/>
  <c r="H95" i="60"/>
  <c r="H7" i="60"/>
  <c r="F106" i="60"/>
  <c r="F170" i="60"/>
  <c r="F13" i="60"/>
  <c r="F263" i="60"/>
  <c r="F82" i="60"/>
  <c r="F10" i="60"/>
  <c r="F258" i="60"/>
  <c r="F210" i="60"/>
  <c r="F98" i="60"/>
  <c r="F74" i="60"/>
  <c r="F42" i="60"/>
  <c r="F255" i="60"/>
  <c r="F207" i="60"/>
  <c r="F66" i="60"/>
  <c r="F34" i="60"/>
  <c r="F215" i="60"/>
  <c r="F250" i="60"/>
  <c r="F202" i="60"/>
  <c r="F178" i="60"/>
  <c r="F58" i="60"/>
  <c r="F26" i="60"/>
  <c r="F247" i="60"/>
  <c r="F199" i="60"/>
  <c r="A149" i="53"/>
  <c r="F28" i="60"/>
  <c r="F36" i="60"/>
  <c r="F44" i="60"/>
  <c r="F60" i="60"/>
  <c r="F68" i="60"/>
  <c r="F76" i="60"/>
  <c r="F84" i="60"/>
  <c r="F92" i="60"/>
  <c r="F100" i="60"/>
  <c r="F108" i="60"/>
  <c r="F116" i="60"/>
  <c r="F124" i="60"/>
  <c r="F132" i="60"/>
  <c r="F148" i="60"/>
  <c r="F156" i="60"/>
  <c r="F164" i="60"/>
  <c r="F172" i="60"/>
  <c r="F180" i="60"/>
  <c r="F188" i="60"/>
  <c r="F196" i="60"/>
  <c r="F204" i="60"/>
  <c r="F212" i="60"/>
  <c r="F220" i="60"/>
  <c r="F236" i="60"/>
  <c r="F244" i="60"/>
  <c r="F252" i="60"/>
  <c r="F260" i="60"/>
  <c r="F268" i="60"/>
  <c r="F15" i="60"/>
  <c r="F21" i="60"/>
  <c r="F29" i="60"/>
  <c r="F37" i="60"/>
  <c r="F45" i="60"/>
  <c r="F53" i="60"/>
  <c r="F61" i="60"/>
  <c r="F69" i="60"/>
  <c r="F77" i="60"/>
  <c r="F85" i="60"/>
  <c r="F101" i="60"/>
  <c r="F109" i="60"/>
  <c r="F117" i="60"/>
  <c r="F125" i="60"/>
  <c r="F133" i="60"/>
  <c r="F149" i="60"/>
  <c r="F157" i="60"/>
  <c r="F165" i="60"/>
  <c r="F173" i="60"/>
  <c r="F181" i="60"/>
  <c r="F189" i="60"/>
  <c r="F197" i="60"/>
  <c r="F205" i="60"/>
  <c r="F213" i="60"/>
  <c r="F221" i="60"/>
  <c r="F237" i="60"/>
  <c r="F245" i="60"/>
  <c r="F253" i="60"/>
  <c r="F261" i="60"/>
  <c r="F269" i="60"/>
  <c r="F8" i="60"/>
  <c r="F16" i="60"/>
  <c r="F22" i="60"/>
  <c r="F30" i="60"/>
  <c r="F38" i="60"/>
  <c r="F46" i="60"/>
  <c r="F54" i="60"/>
  <c r="F62" i="60"/>
  <c r="F70" i="60"/>
  <c r="F78" i="60"/>
  <c r="F86" i="60"/>
  <c r="F102" i="60"/>
  <c r="F110" i="60"/>
  <c r="F118" i="60"/>
  <c r="F126" i="60"/>
  <c r="F134" i="60"/>
  <c r="F150" i="60"/>
  <c r="F158" i="60"/>
  <c r="F166" i="60"/>
  <c r="F174" i="60"/>
  <c r="F182" i="60"/>
  <c r="F190" i="60"/>
  <c r="F198" i="60"/>
  <c r="F206" i="60"/>
  <c r="F214" i="60"/>
  <c r="F222" i="60"/>
  <c r="F238" i="60"/>
  <c r="F246" i="60"/>
  <c r="F254" i="60"/>
  <c r="F262" i="60"/>
  <c r="F270" i="60"/>
  <c r="F9" i="60"/>
  <c r="F17" i="60"/>
  <c r="F23" i="60"/>
  <c r="F31" i="60"/>
  <c r="F39" i="60"/>
  <c r="F47" i="60"/>
  <c r="F55" i="60"/>
  <c r="F63" i="60"/>
  <c r="F71" i="60"/>
  <c r="F79" i="60"/>
  <c r="F87" i="60"/>
  <c r="F103" i="60"/>
  <c r="F111" i="60"/>
  <c r="F119" i="60"/>
  <c r="F127" i="60"/>
  <c r="F135" i="60"/>
  <c r="F143" i="60"/>
  <c r="F151" i="60"/>
  <c r="F159" i="60"/>
  <c r="F167" i="60"/>
  <c r="F175" i="60"/>
  <c r="F191" i="60"/>
  <c r="F24" i="60"/>
  <c r="F32" i="60"/>
  <c r="F40" i="60"/>
  <c r="F56" i="60"/>
  <c r="F64" i="60"/>
  <c r="F72" i="60"/>
  <c r="F80" i="60"/>
  <c r="F88" i="60"/>
  <c r="F104" i="60"/>
  <c r="F112" i="60"/>
  <c r="F120" i="60"/>
  <c r="F128" i="60"/>
  <c r="F136" i="60"/>
  <c r="F144" i="60"/>
  <c r="F152" i="60"/>
  <c r="F160" i="60"/>
  <c r="F168" i="60"/>
  <c r="F176" i="60"/>
  <c r="F192" i="60"/>
  <c r="F200" i="60"/>
  <c r="F208" i="60"/>
  <c r="F216" i="60"/>
  <c r="F224" i="60"/>
  <c r="F240" i="60"/>
  <c r="F248" i="60"/>
  <c r="F256" i="60"/>
  <c r="F264" i="60"/>
  <c r="F272" i="60"/>
  <c r="F11" i="60"/>
  <c r="F19" i="60"/>
  <c r="F25" i="60"/>
  <c r="F33" i="60"/>
  <c r="F41" i="60"/>
  <c r="F57" i="60"/>
  <c r="F65" i="60"/>
  <c r="F73" i="60"/>
  <c r="F81" i="60"/>
  <c r="F89" i="60"/>
  <c r="F105" i="60"/>
  <c r="F113" i="60"/>
  <c r="F121" i="60"/>
  <c r="F129" i="60"/>
  <c r="F137" i="60"/>
  <c r="F145" i="60"/>
  <c r="F153" i="60"/>
  <c r="F161" i="60"/>
  <c r="F169" i="60"/>
  <c r="F177" i="60"/>
  <c r="F193" i="60"/>
  <c r="F201" i="60"/>
  <c r="F209" i="60"/>
  <c r="F217" i="60"/>
  <c r="F225" i="60"/>
  <c r="F233" i="60"/>
  <c r="F241" i="60"/>
  <c r="F249" i="60"/>
  <c r="F257" i="60"/>
  <c r="F265" i="60"/>
  <c r="F12" i="60"/>
  <c r="F20" i="60"/>
  <c r="F27" i="60"/>
  <c r="F35" i="60"/>
  <c r="F43" i="60"/>
  <c r="F59" i="60"/>
  <c r="F67" i="60"/>
  <c r="F75" i="60"/>
  <c r="F83" i="60"/>
  <c r="F91" i="60"/>
  <c r="F99" i="60"/>
  <c r="F107" i="60"/>
  <c r="F115" i="60"/>
  <c r="F123" i="60"/>
  <c r="F131" i="60"/>
  <c r="F147" i="60"/>
  <c r="F155" i="60"/>
  <c r="F163" i="60"/>
  <c r="F171" i="60"/>
  <c r="F179" i="60"/>
  <c r="F195" i="60"/>
  <c r="F203" i="60"/>
  <c r="F211" i="60"/>
  <c r="F219" i="60"/>
  <c r="F227" i="60"/>
  <c r="F235" i="60"/>
  <c r="F243" i="60"/>
  <c r="F251" i="60"/>
  <c r="F259" i="60"/>
  <c r="F267" i="60"/>
  <c r="F14" i="60"/>
  <c r="I50" i="60"/>
  <c r="I51" i="60"/>
  <c r="I4" i="60"/>
  <c r="I52" i="60"/>
  <c r="I140" i="60"/>
  <c r="I6" i="60"/>
  <c r="I94" i="60"/>
  <c r="I142" i="60"/>
  <c r="I49" i="60"/>
  <c r="I97" i="60"/>
  <c r="I7" i="60"/>
  <c r="I48" i="60"/>
  <c r="I93" i="60"/>
  <c r="I139" i="60"/>
  <c r="I230" i="60"/>
  <c r="I95" i="60"/>
  <c r="I141" i="60"/>
  <c r="I183" i="60"/>
  <c r="I231" i="60"/>
  <c r="I96" i="60"/>
  <c r="I184" i="60"/>
  <c r="I232" i="60"/>
  <c r="I185" i="60"/>
  <c r="I186" i="60"/>
  <c r="I187" i="60"/>
  <c r="I5" i="60"/>
  <c r="I138" i="60"/>
  <c r="I229" i="60"/>
  <c r="I228" i="60"/>
  <c r="I3" i="60"/>
  <c r="F242" i="60"/>
  <c r="F226" i="60"/>
  <c r="F194" i="60"/>
  <c r="F162" i="60"/>
  <c r="F130" i="60"/>
  <c r="F271" i="60"/>
  <c r="F239" i="60"/>
  <c r="F223" i="60"/>
  <c r="F154" i="60"/>
  <c r="F122" i="60"/>
  <c r="F18" i="60"/>
  <c r="F266" i="60"/>
  <c r="F234" i="60"/>
  <c r="F218" i="60"/>
  <c r="F146" i="60"/>
  <c r="F114" i="60"/>
  <c r="F90" i="60"/>
  <c r="N8" i="60"/>
  <c r="N116" i="60"/>
  <c r="N125" i="60"/>
  <c r="N16" i="60"/>
  <c r="N134" i="60"/>
  <c r="N198" i="60"/>
  <c r="N193" i="54"/>
  <c r="N24" i="60"/>
  <c r="N142" i="60"/>
  <c r="N206" i="60"/>
  <c r="N182" i="60"/>
  <c r="N185" i="54"/>
  <c r="N32" i="60"/>
  <c r="N150" i="60"/>
  <c r="N214" i="60"/>
  <c r="F25" i="55"/>
  <c r="N40" i="60"/>
  <c r="N158" i="60"/>
  <c r="N190" i="60"/>
  <c r="N97" i="60"/>
  <c r="N166" i="60"/>
  <c r="D94" i="53"/>
  <c r="N107" i="60"/>
  <c r="N174" i="60"/>
  <c r="E25" i="55"/>
  <c r="G25" i="55"/>
  <c r="C94" i="53"/>
  <c r="N9" i="60"/>
  <c r="N17" i="60"/>
  <c r="N25" i="60"/>
  <c r="N33" i="60"/>
  <c r="N41" i="60"/>
  <c r="N50" i="60"/>
  <c r="N59" i="60"/>
  <c r="N68" i="60"/>
  <c r="N78" i="60"/>
  <c r="N88" i="60"/>
  <c r="N99" i="60"/>
  <c r="N108" i="60"/>
  <c r="N117" i="60"/>
  <c r="N126" i="60"/>
  <c r="N135" i="60"/>
  <c r="N143" i="60"/>
  <c r="N151" i="60"/>
  <c r="N159" i="60"/>
  <c r="N167" i="60"/>
  <c r="N175" i="60"/>
  <c r="N183" i="60"/>
  <c r="N191" i="60"/>
  <c r="N199" i="60"/>
  <c r="N207" i="60"/>
  <c r="N215" i="60"/>
  <c r="N67" i="60"/>
  <c r="D25" i="55"/>
  <c r="N10" i="60"/>
  <c r="N18" i="60"/>
  <c r="N26" i="60"/>
  <c r="N34" i="60"/>
  <c r="N42" i="60"/>
  <c r="N51" i="60"/>
  <c r="N60" i="60"/>
  <c r="N69" i="60"/>
  <c r="N79" i="60"/>
  <c r="N91" i="60"/>
  <c r="N100" i="60"/>
  <c r="N109" i="60"/>
  <c r="N118" i="60"/>
  <c r="N127" i="60"/>
  <c r="N136" i="60"/>
  <c r="N144" i="60"/>
  <c r="N152" i="60"/>
  <c r="N160" i="60"/>
  <c r="N168" i="60"/>
  <c r="N176" i="60"/>
  <c r="N184" i="60"/>
  <c r="N192" i="60"/>
  <c r="N200" i="60"/>
  <c r="N208" i="60"/>
  <c r="N77" i="60"/>
  <c r="C25" i="55"/>
  <c r="N3" i="60"/>
  <c r="N11" i="60"/>
  <c r="N19" i="60"/>
  <c r="N27" i="60"/>
  <c r="N35" i="60"/>
  <c r="N43" i="60"/>
  <c r="N52" i="60"/>
  <c r="N61" i="60"/>
  <c r="N70" i="60"/>
  <c r="N80" i="60"/>
  <c r="N92" i="60"/>
  <c r="N101" i="60"/>
  <c r="N110" i="60"/>
  <c r="N119" i="60"/>
  <c r="N128" i="60"/>
  <c r="N137" i="60"/>
  <c r="N145" i="60"/>
  <c r="N153" i="60"/>
  <c r="N161" i="60"/>
  <c r="N169" i="60"/>
  <c r="N177" i="60"/>
  <c r="N185" i="60"/>
  <c r="N193" i="60"/>
  <c r="N201" i="60"/>
  <c r="N209" i="60"/>
  <c r="N58" i="60"/>
  <c r="N87" i="60"/>
  <c r="B94" i="53"/>
  <c r="N4" i="60"/>
  <c r="N12" i="60"/>
  <c r="N20" i="60"/>
  <c r="N28" i="60"/>
  <c r="N36" i="60"/>
  <c r="N44" i="60"/>
  <c r="N53" i="60"/>
  <c r="N62" i="60"/>
  <c r="N71" i="60"/>
  <c r="N83" i="60"/>
  <c r="N93" i="60"/>
  <c r="N102" i="60"/>
  <c r="N111" i="60"/>
  <c r="N120" i="60"/>
  <c r="N129" i="60"/>
  <c r="N138" i="60"/>
  <c r="N146" i="60"/>
  <c r="N154" i="60"/>
  <c r="N162" i="60"/>
  <c r="N170" i="60"/>
  <c r="N178" i="60"/>
  <c r="N186" i="60"/>
  <c r="N194" i="60"/>
  <c r="N202" i="60"/>
  <c r="N210" i="60"/>
  <c r="G94" i="53"/>
  <c r="N5" i="60"/>
  <c r="N13" i="60"/>
  <c r="N21" i="60"/>
  <c r="N29" i="60"/>
  <c r="N37" i="60"/>
  <c r="N45" i="60"/>
  <c r="N54" i="60"/>
  <c r="N63" i="60"/>
  <c r="N72" i="60"/>
  <c r="N84" i="60"/>
  <c r="N94" i="60"/>
  <c r="N103" i="60"/>
  <c r="N112" i="60"/>
  <c r="N121" i="60"/>
  <c r="N131" i="60"/>
  <c r="N139" i="60"/>
  <c r="N147" i="60"/>
  <c r="N155" i="60"/>
  <c r="N163" i="60"/>
  <c r="N171" i="60"/>
  <c r="N179" i="60"/>
  <c r="N187" i="60"/>
  <c r="N195" i="60"/>
  <c r="N203" i="60"/>
  <c r="N211" i="60"/>
  <c r="N49" i="60"/>
  <c r="F94" i="53"/>
  <c r="N6" i="60"/>
  <c r="N14" i="60"/>
  <c r="N22" i="60"/>
  <c r="N30" i="60"/>
  <c r="N38" i="60"/>
  <c r="N46" i="60"/>
  <c r="N55" i="60"/>
  <c r="N64" i="60"/>
  <c r="N75" i="60"/>
  <c r="N85" i="60"/>
  <c r="N95" i="60"/>
  <c r="N104" i="60"/>
  <c r="N113" i="60"/>
  <c r="N123" i="60"/>
  <c r="N132" i="60"/>
  <c r="N140" i="60"/>
  <c r="N148" i="60"/>
  <c r="N156" i="60"/>
  <c r="N164" i="60"/>
  <c r="N172" i="60"/>
  <c r="N180" i="60"/>
  <c r="N188" i="60"/>
  <c r="N196" i="60"/>
  <c r="N204" i="60"/>
  <c r="N212" i="60"/>
  <c r="B15" i="55"/>
  <c r="B25" i="55" s="1"/>
  <c r="E94" i="53"/>
  <c r="N7" i="60"/>
  <c r="N15" i="60"/>
  <c r="N23" i="60"/>
  <c r="N31" i="60"/>
  <c r="N39" i="60"/>
  <c r="N47" i="60"/>
  <c r="N57" i="60"/>
  <c r="N65" i="60"/>
  <c r="N76" i="60"/>
  <c r="N86" i="60"/>
  <c r="N96" i="60"/>
  <c r="N105" i="60"/>
  <c r="N115" i="60"/>
  <c r="N124" i="60"/>
  <c r="N133" i="60"/>
  <c r="N141" i="60"/>
  <c r="N149" i="60"/>
  <c r="N157" i="60"/>
  <c r="N165" i="60"/>
  <c r="N173" i="60"/>
  <c r="N181" i="60"/>
  <c r="N189" i="60"/>
  <c r="N197" i="60"/>
  <c r="N205" i="60"/>
  <c r="N213" i="60"/>
  <c r="D73" i="60"/>
  <c r="N73" i="60"/>
  <c r="D81" i="60"/>
  <c r="N81" i="60"/>
  <c r="N89" i="60"/>
  <c r="D89" i="60"/>
  <c r="D130" i="60"/>
  <c r="D122" i="60"/>
  <c r="D114" i="60"/>
  <c r="D106" i="60"/>
  <c r="D98" i="60"/>
  <c r="D90" i="60"/>
  <c r="D82" i="60"/>
  <c r="D74" i="60"/>
  <c r="D66" i="60"/>
  <c r="N66" i="60"/>
  <c r="N74" i="60"/>
  <c r="N82" i="60"/>
  <c r="N90" i="60"/>
  <c r="N98" i="60"/>
  <c r="N106" i="60"/>
  <c r="N114" i="60"/>
  <c r="N122" i="60"/>
  <c r="N130" i="60"/>
  <c r="N56" i="60"/>
  <c r="D56" i="60"/>
  <c r="N48" i="60"/>
  <c r="D48" i="60"/>
  <c r="C207" i="53"/>
  <c r="B214" i="53"/>
  <c r="D216" i="53"/>
  <c r="C225" i="53"/>
  <c r="D226" i="53"/>
  <c r="B227" i="53"/>
  <c r="B237" i="53"/>
  <c r="C240" i="53"/>
  <c r="C236" i="53"/>
  <c r="B212" i="53"/>
  <c r="C214" i="53"/>
  <c r="C224" i="53"/>
  <c r="D204" i="53"/>
  <c r="B220" i="53"/>
  <c r="C212" i="53"/>
  <c r="C213" i="53"/>
  <c r="C231" i="53"/>
  <c r="D223" i="53"/>
  <c r="D224" i="53"/>
  <c r="B234" i="53"/>
  <c r="B235" i="53"/>
  <c r="C239" i="53"/>
  <c r="D202" i="53"/>
  <c r="B219" i="53"/>
  <c r="C220" i="53"/>
  <c r="C230" i="53"/>
  <c r="D231" i="53"/>
  <c r="B242" i="53"/>
  <c r="D242" i="53"/>
  <c r="D238" i="53"/>
  <c r="D234" i="53"/>
  <c r="B208" i="53"/>
  <c r="B218" i="53"/>
  <c r="C229" i="53"/>
  <c r="D230" i="53"/>
  <c r="B241" i="53"/>
  <c r="B206" i="53"/>
  <c r="B204" i="53"/>
  <c r="C205" i="53"/>
  <c r="D206" i="53"/>
  <c r="B203" i="53"/>
  <c r="F13" i="61" s="1"/>
  <c r="D205" i="53"/>
  <c r="C203" i="53"/>
  <c r="B201" i="53"/>
  <c r="B209" i="53"/>
  <c r="C201" i="53"/>
  <c r="C209" i="53"/>
  <c r="B207" i="53"/>
  <c r="P249" i="53"/>
  <c r="E201" i="53" s="1"/>
  <c r="P257" i="53"/>
  <c r="E209" i="53" s="1"/>
  <c r="P253" i="53"/>
  <c r="E205" i="53" s="1"/>
  <c r="P255" i="53"/>
  <c r="E207" i="53" s="1"/>
  <c r="P250" i="53"/>
  <c r="E202" i="53" s="1"/>
  <c r="P252" i="53"/>
  <c r="E204" i="53" s="1"/>
  <c r="P254" i="53"/>
  <c r="E206" i="53" s="1"/>
  <c r="P256" i="53"/>
  <c r="E208" i="53" s="1"/>
  <c r="P251" i="53"/>
  <c r="E203" i="53" s="1"/>
  <c r="N129" i="54"/>
  <c r="N121" i="54"/>
  <c r="N241" i="54"/>
  <c r="N65" i="54"/>
  <c r="N89" i="54"/>
  <c r="N236" i="54"/>
  <c r="N57" i="54"/>
  <c r="N217" i="54"/>
  <c r="N25" i="54"/>
  <c r="N233" i="54"/>
  <c r="N177" i="54"/>
  <c r="N113" i="54"/>
  <c r="N49" i="54"/>
  <c r="N228" i="54"/>
  <c r="N169" i="54"/>
  <c r="N105" i="54"/>
  <c r="N41" i="54"/>
  <c r="N225" i="54"/>
  <c r="N161" i="54"/>
  <c r="N97" i="54"/>
  <c r="N33" i="54"/>
  <c r="N209" i="54"/>
  <c r="N145" i="54"/>
  <c r="N81" i="54"/>
  <c r="N17" i="54"/>
  <c r="N153" i="54"/>
  <c r="N201" i="54"/>
  <c r="N137" i="54"/>
  <c r="N73" i="54"/>
  <c r="N9" i="54"/>
  <c r="N235" i="54"/>
  <c r="N242" i="54"/>
  <c r="N234" i="54"/>
  <c r="N226" i="54"/>
  <c r="N218" i="54"/>
  <c r="N210" i="54"/>
  <c r="N202" i="54"/>
  <c r="N194" i="54"/>
  <c r="N186" i="54"/>
  <c r="N178" i="54"/>
  <c r="N170" i="54"/>
  <c r="N162" i="54"/>
  <c r="N154" i="54"/>
  <c r="N146" i="54"/>
  <c r="N138" i="54"/>
  <c r="N130" i="54"/>
  <c r="N122" i="54"/>
  <c r="N114" i="54"/>
  <c r="N106" i="54"/>
  <c r="N98" i="54"/>
  <c r="N90" i="54"/>
  <c r="N82" i="54"/>
  <c r="N74" i="54"/>
  <c r="N66" i="54"/>
  <c r="N58" i="54"/>
  <c r="N50" i="54"/>
  <c r="N42" i="54"/>
  <c r="N34" i="54"/>
  <c r="N26" i="54"/>
  <c r="N18" i="54"/>
  <c r="N10" i="54"/>
  <c r="N240" i="54"/>
  <c r="N232" i="54"/>
  <c r="N224" i="54"/>
  <c r="N216" i="54"/>
  <c r="N208" i="54"/>
  <c r="N200" i="54"/>
  <c r="N192" i="54"/>
  <c r="N184" i="54"/>
  <c r="N176" i="54"/>
  <c r="N168" i="54"/>
  <c r="N160" i="54"/>
  <c r="N152" i="54"/>
  <c r="N144" i="54"/>
  <c r="N136" i="54"/>
  <c r="N128" i="54"/>
  <c r="N120" i="54"/>
  <c r="N112" i="54"/>
  <c r="N104" i="54"/>
  <c r="N96" i="54"/>
  <c r="N88" i="54"/>
  <c r="N80" i="54"/>
  <c r="N72" i="54"/>
  <c r="N64" i="54"/>
  <c r="N56" i="54"/>
  <c r="N48" i="54"/>
  <c r="N40" i="54"/>
  <c r="N32" i="54"/>
  <c r="N24" i="54"/>
  <c r="N16" i="54"/>
  <c r="N8" i="54"/>
  <c r="N231" i="54"/>
  <c r="N215" i="54"/>
  <c r="N207" i="54"/>
  <c r="N199" i="54"/>
  <c r="N191" i="54"/>
  <c r="N183" i="54"/>
  <c r="N175" i="54"/>
  <c r="N167" i="54"/>
  <c r="N159" i="54"/>
  <c r="N151" i="54"/>
  <c r="N143" i="54"/>
  <c r="N135" i="54"/>
  <c r="N127" i="54"/>
  <c r="N119" i="54"/>
  <c r="N111" i="54"/>
  <c r="N103" i="54"/>
  <c r="N95" i="54"/>
  <c r="N87" i="54"/>
  <c r="N79" i="54"/>
  <c r="N71" i="54"/>
  <c r="N63" i="54"/>
  <c r="N55" i="54"/>
  <c r="N47" i="54"/>
  <c r="N39" i="54"/>
  <c r="N31" i="54"/>
  <c r="N23" i="54"/>
  <c r="N15" i="54"/>
  <c r="N7" i="54"/>
  <c r="N223" i="54"/>
  <c r="N238" i="54"/>
  <c r="N230" i="54"/>
  <c r="N222" i="54"/>
  <c r="N214" i="54"/>
  <c r="N206" i="54"/>
  <c r="N198" i="54"/>
  <c r="N190" i="54"/>
  <c r="N182" i="54"/>
  <c r="N174" i="54"/>
  <c r="N166" i="54"/>
  <c r="N158" i="54"/>
  <c r="N150" i="54"/>
  <c r="N142" i="54"/>
  <c r="N134" i="54"/>
  <c r="N126" i="54"/>
  <c r="N118" i="54"/>
  <c r="N110" i="54"/>
  <c r="N102" i="54"/>
  <c r="N94" i="54"/>
  <c r="N86" i="54"/>
  <c r="N78" i="54"/>
  <c r="N70" i="54"/>
  <c r="N62" i="54"/>
  <c r="N54" i="54"/>
  <c r="N46" i="54"/>
  <c r="N38" i="54"/>
  <c r="N30" i="54"/>
  <c r="N22" i="54"/>
  <c r="N14" i="54"/>
  <c r="N6" i="54"/>
  <c r="N239" i="54"/>
  <c r="N237" i="54"/>
  <c r="N229" i="54"/>
  <c r="N221" i="54"/>
  <c r="N213" i="54"/>
  <c r="N205" i="54"/>
  <c r="N197" i="54"/>
  <c r="N189" i="54"/>
  <c r="N181" i="54"/>
  <c r="N173" i="54"/>
  <c r="N165" i="54"/>
  <c r="N157" i="54"/>
  <c r="N149" i="54"/>
  <c r="N141" i="54"/>
  <c r="N133" i="54"/>
  <c r="N125" i="54"/>
  <c r="N117" i="54"/>
  <c r="N109" i="54"/>
  <c r="N101" i="54"/>
  <c r="N93" i="54"/>
  <c r="N85" i="54"/>
  <c r="N77" i="54"/>
  <c r="N69" i="54"/>
  <c r="N61" i="54"/>
  <c r="N53" i="54"/>
  <c r="N45" i="54"/>
  <c r="N37" i="54"/>
  <c r="N29" i="54"/>
  <c r="N21" i="54"/>
  <c r="N13" i="54"/>
  <c r="N5" i="54"/>
  <c r="N220" i="54"/>
  <c r="N212" i="54"/>
  <c r="N204" i="54"/>
  <c r="N196" i="54"/>
  <c r="N188" i="54"/>
  <c r="N180" i="54"/>
  <c r="N172" i="54"/>
  <c r="N164" i="54"/>
  <c r="N156" i="54"/>
  <c r="N148" i="54"/>
  <c r="N140" i="54"/>
  <c r="N132" i="54"/>
  <c r="N124" i="54"/>
  <c r="N116" i="54"/>
  <c r="N108" i="54"/>
  <c r="N100" i="54"/>
  <c r="N92" i="54"/>
  <c r="N84" i="54"/>
  <c r="N76" i="54"/>
  <c r="N68" i="54"/>
  <c r="N60" i="54"/>
  <c r="N52" i="54"/>
  <c r="N44" i="54"/>
  <c r="N36" i="54"/>
  <c r="N28" i="54"/>
  <c r="N20" i="54"/>
  <c r="N12" i="54"/>
  <c r="N4" i="54"/>
  <c r="N227" i="54"/>
  <c r="N219" i="54"/>
  <c r="N211" i="54"/>
  <c r="N195" i="54"/>
  <c r="N187" i="54"/>
  <c r="N179" i="54"/>
  <c r="N171" i="54"/>
  <c r="N155" i="54"/>
  <c r="N147" i="54"/>
  <c r="N139" i="54"/>
  <c r="N131" i="54"/>
  <c r="N115" i="54"/>
  <c r="N107" i="54"/>
  <c r="N99" i="54"/>
  <c r="N91" i="54"/>
  <c r="N75" i="54"/>
  <c r="N67" i="54"/>
  <c r="N59" i="54"/>
  <c r="N51" i="54"/>
  <c r="N35" i="54"/>
  <c r="N27" i="54"/>
  <c r="N19" i="54"/>
  <c r="N11" i="54"/>
  <c r="D4" i="54"/>
  <c r="G112" i="53"/>
  <c r="K208" i="54" s="1"/>
  <c r="G113" i="53"/>
  <c r="K213" i="54" s="1"/>
  <c r="G114" i="53"/>
  <c r="K221" i="54" s="1"/>
  <c r="G115" i="53"/>
  <c r="K227" i="54" s="1"/>
  <c r="G116" i="53"/>
  <c r="K228" i="54" s="1"/>
  <c r="G117" i="53"/>
  <c r="K235" i="54" s="1"/>
  <c r="G118" i="53"/>
  <c r="K238" i="54" s="1"/>
  <c r="G111" i="53"/>
  <c r="K205" i="54" s="1"/>
  <c r="F112" i="53"/>
  <c r="K171" i="54" s="1"/>
  <c r="F113" i="53"/>
  <c r="K173" i="54" s="1"/>
  <c r="F114" i="53"/>
  <c r="K181" i="54" s="1"/>
  <c r="F115" i="53"/>
  <c r="K187" i="54" s="1"/>
  <c r="F116" i="53"/>
  <c r="K188" i="54" s="1"/>
  <c r="F117" i="53"/>
  <c r="K195" i="54" s="1"/>
  <c r="F118" i="53"/>
  <c r="K198" i="54" s="1"/>
  <c r="F111" i="53"/>
  <c r="K165" i="54" s="1"/>
  <c r="E112" i="53"/>
  <c r="K131" i="54" s="1"/>
  <c r="E113" i="53"/>
  <c r="K133" i="54" s="1"/>
  <c r="E114" i="53"/>
  <c r="K139" i="54" s="1"/>
  <c r="E115" i="53"/>
  <c r="K147" i="54" s="1"/>
  <c r="E116" i="53"/>
  <c r="K148" i="54" s="1"/>
  <c r="E117" i="53"/>
  <c r="K155" i="54" s="1"/>
  <c r="E118" i="53"/>
  <c r="K158" i="54" s="1"/>
  <c r="E111" i="53"/>
  <c r="K123" i="54" s="1"/>
  <c r="D112" i="53"/>
  <c r="K91" i="54" s="1"/>
  <c r="D113" i="53"/>
  <c r="K93" i="54" s="1"/>
  <c r="D114" i="53"/>
  <c r="K99" i="54" s="1"/>
  <c r="D115" i="53"/>
  <c r="K107" i="54" s="1"/>
  <c r="D116" i="53"/>
  <c r="K108" i="54" s="1"/>
  <c r="D117" i="53"/>
  <c r="K115" i="54" s="1"/>
  <c r="D118" i="53"/>
  <c r="K118" i="54" s="1"/>
  <c r="K83" i="54"/>
  <c r="C112" i="53"/>
  <c r="K51" i="54" s="1"/>
  <c r="C113" i="53"/>
  <c r="K53" i="54" s="1"/>
  <c r="C114" i="53"/>
  <c r="K59" i="54" s="1"/>
  <c r="C115" i="53"/>
  <c r="K67" i="54" s="1"/>
  <c r="C116" i="53"/>
  <c r="K68" i="54" s="1"/>
  <c r="C117" i="53"/>
  <c r="K75" i="54" s="1"/>
  <c r="C118" i="53"/>
  <c r="K78" i="54" s="1"/>
  <c r="K43" i="54"/>
  <c r="B112" i="53"/>
  <c r="K11" i="54" s="1"/>
  <c r="B113" i="53"/>
  <c r="K13" i="54" s="1"/>
  <c r="K19" i="54"/>
  <c r="B115" i="53"/>
  <c r="K27" i="54" s="1"/>
  <c r="B116" i="53"/>
  <c r="K28" i="54" s="1"/>
  <c r="B117" i="53"/>
  <c r="K35" i="54" s="1"/>
  <c r="B118" i="53"/>
  <c r="K38" i="54" s="1"/>
  <c r="B111" i="53"/>
  <c r="A3" i="55"/>
  <c r="A29" i="55" s="1"/>
  <c r="A4" i="55"/>
  <c r="A30" i="55" s="1"/>
  <c r="A5" i="55"/>
  <c r="A31" i="55" s="1"/>
  <c r="A6" i="55"/>
  <c r="A32" i="55" s="1"/>
  <c r="A2" i="55"/>
  <c r="I14" i="54"/>
  <c r="I15" i="54"/>
  <c r="I16" i="54"/>
  <c r="I17" i="54"/>
  <c r="I18" i="54"/>
  <c r="I19" i="54"/>
  <c r="I20" i="54"/>
  <c r="I21" i="54"/>
  <c r="I22" i="54"/>
  <c r="I23" i="54"/>
  <c r="I24" i="54"/>
  <c r="I25" i="54"/>
  <c r="I26" i="54"/>
  <c r="I27" i="54"/>
  <c r="I28" i="54"/>
  <c r="I29" i="54"/>
  <c r="I30" i="54"/>
  <c r="I31" i="54"/>
  <c r="I32" i="54"/>
  <c r="I33" i="54"/>
  <c r="I34" i="54"/>
  <c r="I35" i="54"/>
  <c r="I36" i="54"/>
  <c r="I37" i="54"/>
  <c r="I38" i="54"/>
  <c r="I39" i="54"/>
  <c r="I40" i="54"/>
  <c r="I41" i="54"/>
  <c r="I42" i="54"/>
  <c r="I43" i="54"/>
  <c r="I44" i="54"/>
  <c r="I45" i="54"/>
  <c r="I46" i="54"/>
  <c r="I47" i="54"/>
  <c r="I48" i="54"/>
  <c r="I49" i="54"/>
  <c r="I50" i="54"/>
  <c r="I51" i="54"/>
  <c r="I52" i="54"/>
  <c r="I53" i="54"/>
  <c r="I54" i="54"/>
  <c r="I55" i="54"/>
  <c r="I56" i="54"/>
  <c r="I57" i="54"/>
  <c r="I58" i="54"/>
  <c r="I59" i="54"/>
  <c r="I60" i="54"/>
  <c r="I61" i="54"/>
  <c r="I62" i="54"/>
  <c r="I63" i="54"/>
  <c r="I64" i="54"/>
  <c r="I65" i="54"/>
  <c r="I66" i="54"/>
  <c r="I67" i="54"/>
  <c r="I68" i="54"/>
  <c r="I69" i="54"/>
  <c r="I70" i="54"/>
  <c r="I71" i="54"/>
  <c r="I72" i="54"/>
  <c r="I73" i="54"/>
  <c r="I74" i="54"/>
  <c r="I75" i="54"/>
  <c r="I76" i="54"/>
  <c r="I77" i="54"/>
  <c r="I78" i="54"/>
  <c r="I79" i="54"/>
  <c r="I80" i="54"/>
  <c r="I81" i="54"/>
  <c r="I82" i="54"/>
  <c r="I83" i="54"/>
  <c r="I84" i="54"/>
  <c r="I85" i="54"/>
  <c r="I86" i="54"/>
  <c r="I87" i="54"/>
  <c r="I88" i="54"/>
  <c r="I89" i="54"/>
  <c r="I90" i="54"/>
  <c r="I91" i="54"/>
  <c r="I92" i="54"/>
  <c r="I93" i="54"/>
  <c r="I94" i="54"/>
  <c r="I95" i="54"/>
  <c r="I96" i="54"/>
  <c r="I97" i="54"/>
  <c r="I98" i="54"/>
  <c r="I99" i="54"/>
  <c r="I100" i="54"/>
  <c r="I101" i="54"/>
  <c r="I102" i="54"/>
  <c r="I103" i="54"/>
  <c r="I104" i="54"/>
  <c r="I105" i="54"/>
  <c r="I106" i="54"/>
  <c r="I107" i="54"/>
  <c r="I108" i="54"/>
  <c r="I109" i="54"/>
  <c r="I110" i="54"/>
  <c r="I111" i="54"/>
  <c r="I112" i="54"/>
  <c r="I113" i="54"/>
  <c r="I114" i="54"/>
  <c r="I115" i="54"/>
  <c r="I116" i="54"/>
  <c r="I117" i="54"/>
  <c r="I118" i="54"/>
  <c r="I119" i="54"/>
  <c r="I120" i="54"/>
  <c r="I121" i="54"/>
  <c r="I122" i="54"/>
  <c r="I123" i="54"/>
  <c r="I124" i="54"/>
  <c r="I125" i="54"/>
  <c r="I126" i="54"/>
  <c r="I127" i="54"/>
  <c r="I128" i="54"/>
  <c r="I129" i="54"/>
  <c r="I130" i="54"/>
  <c r="I131" i="54"/>
  <c r="I132" i="54"/>
  <c r="I133" i="54"/>
  <c r="I134" i="54"/>
  <c r="I135" i="54"/>
  <c r="I136" i="54"/>
  <c r="I137" i="54"/>
  <c r="I138" i="54"/>
  <c r="I139" i="54"/>
  <c r="I140" i="54"/>
  <c r="I141" i="54"/>
  <c r="I142" i="54"/>
  <c r="I143" i="54"/>
  <c r="I144" i="54"/>
  <c r="I145" i="54"/>
  <c r="I146" i="54"/>
  <c r="I147" i="54"/>
  <c r="I148" i="54"/>
  <c r="I149" i="54"/>
  <c r="I150" i="54"/>
  <c r="I151" i="54"/>
  <c r="I152" i="54"/>
  <c r="I153" i="54"/>
  <c r="I154" i="54"/>
  <c r="I155" i="54"/>
  <c r="I156" i="54"/>
  <c r="I157" i="54"/>
  <c r="I158" i="54"/>
  <c r="I159" i="54"/>
  <c r="I160" i="54"/>
  <c r="I161" i="54"/>
  <c r="I162" i="54"/>
  <c r="I163" i="54"/>
  <c r="I164" i="54"/>
  <c r="I165" i="54"/>
  <c r="I166" i="54"/>
  <c r="I167" i="54"/>
  <c r="I168" i="54"/>
  <c r="I169" i="54"/>
  <c r="I170" i="54"/>
  <c r="I171" i="54"/>
  <c r="I172" i="54"/>
  <c r="I173" i="54"/>
  <c r="I174" i="54"/>
  <c r="I175" i="54"/>
  <c r="I176" i="54"/>
  <c r="I177" i="54"/>
  <c r="I178" i="54"/>
  <c r="I179" i="54"/>
  <c r="I180" i="54"/>
  <c r="I181" i="54"/>
  <c r="I182" i="54"/>
  <c r="I183" i="54"/>
  <c r="I184" i="54"/>
  <c r="I185" i="54"/>
  <c r="I186" i="54"/>
  <c r="I187" i="54"/>
  <c r="I188" i="54"/>
  <c r="I189" i="54"/>
  <c r="I190" i="54"/>
  <c r="I191" i="54"/>
  <c r="I192" i="54"/>
  <c r="I193" i="54"/>
  <c r="I194" i="54"/>
  <c r="I195" i="54"/>
  <c r="I196" i="54"/>
  <c r="I197" i="54"/>
  <c r="I198" i="54"/>
  <c r="I199" i="54"/>
  <c r="I200" i="54"/>
  <c r="I201" i="54"/>
  <c r="I202" i="54"/>
  <c r="I203" i="54"/>
  <c r="I204" i="54"/>
  <c r="I205" i="54"/>
  <c r="I206" i="54"/>
  <c r="I207" i="54"/>
  <c r="I208" i="54"/>
  <c r="I209" i="54"/>
  <c r="I210" i="54"/>
  <c r="I211" i="54"/>
  <c r="I212" i="54"/>
  <c r="I213" i="54"/>
  <c r="I214" i="54"/>
  <c r="I215" i="54"/>
  <c r="I216" i="54"/>
  <c r="I217" i="54"/>
  <c r="I218" i="54"/>
  <c r="I219" i="54"/>
  <c r="I220" i="54"/>
  <c r="I221" i="54"/>
  <c r="I222" i="54"/>
  <c r="I223" i="54"/>
  <c r="I224" i="54"/>
  <c r="I225" i="54"/>
  <c r="I226" i="54"/>
  <c r="I227" i="54"/>
  <c r="I228" i="54"/>
  <c r="I229" i="54"/>
  <c r="I230" i="54"/>
  <c r="I231" i="54"/>
  <c r="I232" i="54"/>
  <c r="I233" i="54"/>
  <c r="I234" i="54"/>
  <c r="I235" i="54"/>
  <c r="I236" i="54"/>
  <c r="I237" i="54"/>
  <c r="I238" i="54"/>
  <c r="I239" i="54"/>
  <c r="I240" i="54"/>
  <c r="I241" i="54"/>
  <c r="I242" i="54"/>
  <c r="I4" i="54"/>
  <c r="I5" i="54"/>
  <c r="I6" i="54"/>
  <c r="I7" i="54"/>
  <c r="I8" i="54"/>
  <c r="I9" i="54"/>
  <c r="I10" i="54"/>
  <c r="I11" i="54"/>
  <c r="I12" i="54"/>
  <c r="I13" i="54"/>
  <c r="I3" i="54"/>
  <c r="G3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4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3" i="54"/>
  <c r="G28" i="54"/>
  <c r="G29" i="54"/>
  <c r="G30" i="54"/>
  <c r="G31" i="54"/>
  <c r="G32" i="54"/>
  <c r="G33" i="54"/>
  <c r="G34" i="54"/>
  <c r="G35" i="54"/>
  <c r="G36" i="54"/>
  <c r="G21" i="54"/>
  <c r="G22" i="54"/>
  <c r="G23" i="54"/>
  <c r="G24" i="54"/>
  <c r="G25" i="54"/>
  <c r="G26" i="54"/>
  <c r="G27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60" i="54"/>
  <c r="G61" i="54"/>
  <c r="G62" i="54"/>
  <c r="G63" i="54"/>
  <c r="G64" i="54"/>
  <c r="G65" i="54"/>
  <c r="G66" i="54"/>
  <c r="G67" i="54"/>
  <c r="G68" i="54"/>
  <c r="G69" i="54"/>
  <c r="G70" i="54"/>
  <c r="G71" i="54"/>
  <c r="G72" i="54"/>
  <c r="G73" i="54"/>
  <c r="G74" i="54"/>
  <c r="G75" i="54"/>
  <c r="G76" i="54"/>
  <c r="G77" i="54"/>
  <c r="G78" i="54"/>
  <c r="G79" i="54"/>
  <c r="G80" i="54"/>
  <c r="G81" i="54"/>
  <c r="G82" i="54"/>
  <c r="G83" i="54"/>
  <c r="G84" i="54"/>
  <c r="G85" i="54"/>
  <c r="G86" i="54"/>
  <c r="G87" i="54"/>
  <c r="G88" i="54"/>
  <c r="G89" i="54"/>
  <c r="G90" i="54"/>
  <c r="G91" i="54"/>
  <c r="G92" i="54"/>
  <c r="G93" i="54"/>
  <c r="G94" i="54"/>
  <c r="G95" i="54"/>
  <c r="G96" i="54"/>
  <c r="G97" i="54"/>
  <c r="G98" i="54"/>
  <c r="G99" i="54"/>
  <c r="G100" i="54"/>
  <c r="G101" i="54"/>
  <c r="G102" i="54"/>
  <c r="G103" i="54"/>
  <c r="G104" i="54"/>
  <c r="G105" i="54"/>
  <c r="G106" i="54"/>
  <c r="G107" i="54"/>
  <c r="G108" i="54"/>
  <c r="G109" i="54"/>
  <c r="G110" i="54"/>
  <c r="G111" i="54"/>
  <c r="G112" i="54"/>
  <c r="G113" i="54"/>
  <c r="G114" i="54"/>
  <c r="G115" i="54"/>
  <c r="G116" i="54"/>
  <c r="G117" i="54"/>
  <c r="G118" i="54"/>
  <c r="G119" i="54"/>
  <c r="G120" i="54"/>
  <c r="G121" i="54"/>
  <c r="G122" i="54"/>
  <c r="G123" i="54"/>
  <c r="G124" i="54"/>
  <c r="G125" i="54"/>
  <c r="G126" i="54"/>
  <c r="G127" i="54"/>
  <c r="G128" i="54"/>
  <c r="G129" i="54"/>
  <c r="G130" i="54"/>
  <c r="G131" i="54"/>
  <c r="G132" i="54"/>
  <c r="G133" i="54"/>
  <c r="G134" i="54"/>
  <c r="G135" i="54"/>
  <c r="G136" i="54"/>
  <c r="G137" i="54"/>
  <c r="G138" i="54"/>
  <c r="G139" i="54"/>
  <c r="G140" i="54"/>
  <c r="G141" i="54"/>
  <c r="G142" i="54"/>
  <c r="G143" i="54"/>
  <c r="G144" i="54"/>
  <c r="G145" i="54"/>
  <c r="G146" i="54"/>
  <c r="G147" i="54"/>
  <c r="G148" i="54"/>
  <c r="G149" i="54"/>
  <c r="G150" i="54"/>
  <c r="G151" i="54"/>
  <c r="G152" i="54"/>
  <c r="G153" i="54"/>
  <c r="G154" i="54"/>
  <c r="G155" i="54"/>
  <c r="G156" i="54"/>
  <c r="G157" i="54"/>
  <c r="G158" i="54"/>
  <c r="G159" i="54"/>
  <c r="G160" i="54"/>
  <c r="G161" i="54"/>
  <c r="G162" i="54"/>
  <c r="G163" i="54"/>
  <c r="G164" i="54"/>
  <c r="G165" i="54"/>
  <c r="G166" i="54"/>
  <c r="G167" i="54"/>
  <c r="G168" i="54"/>
  <c r="G169" i="54"/>
  <c r="G170" i="54"/>
  <c r="G171" i="54"/>
  <c r="G172" i="54"/>
  <c r="G173" i="54"/>
  <c r="G174" i="54"/>
  <c r="G175" i="54"/>
  <c r="G176" i="54"/>
  <c r="G177" i="54"/>
  <c r="G178" i="54"/>
  <c r="G179" i="54"/>
  <c r="G180" i="54"/>
  <c r="G181" i="54"/>
  <c r="G182" i="54"/>
  <c r="G183" i="54"/>
  <c r="G184" i="54"/>
  <c r="G185" i="54"/>
  <c r="G186" i="54"/>
  <c r="G187" i="54"/>
  <c r="G188" i="54"/>
  <c r="G189" i="54"/>
  <c r="G190" i="54"/>
  <c r="G191" i="54"/>
  <c r="G192" i="54"/>
  <c r="G193" i="54"/>
  <c r="G194" i="54"/>
  <c r="G195" i="54"/>
  <c r="G196" i="54"/>
  <c r="G197" i="54"/>
  <c r="G198" i="54"/>
  <c r="G199" i="54"/>
  <c r="G200" i="54"/>
  <c r="G201" i="54"/>
  <c r="G202" i="54"/>
  <c r="G203" i="54"/>
  <c r="G204" i="54"/>
  <c r="G205" i="54"/>
  <c r="G206" i="54"/>
  <c r="G207" i="54"/>
  <c r="G208" i="54"/>
  <c r="G209" i="54"/>
  <c r="G210" i="54"/>
  <c r="G211" i="54"/>
  <c r="G212" i="54"/>
  <c r="G213" i="54"/>
  <c r="G214" i="54"/>
  <c r="G215" i="54"/>
  <c r="G216" i="54"/>
  <c r="G217" i="54"/>
  <c r="G218" i="54"/>
  <c r="G219" i="54"/>
  <c r="G220" i="54"/>
  <c r="G221" i="54"/>
  <c r="G222" i="54"/>
  <c r="G223" i="54"/>
  <c r="G224" i="54"/>
  <c r="G225" i="54"/>
  <c r="G226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1" i="54"/>
  <c r="G242" i="54"/>
  <c r="G13" i="54"/>
  <c r="G14" i="54"/>
  <c r="G15" i="54"/>
  <c r="G16" i="54"/>
  <c r="G17" i="54"/>
  <c r="G18" i="54"/>
  <c r="G19" i="54"/>
  <c r="G20" i="54"/>
  <c r="G4" i="54"/>
  <c r="G5" i="54"/>
  <c r="G6" i="54"/>
  <c r="G7" i="54"/>
  <c r="G8" i="54"/>
  <c r="G9" i="54"/>
  <c r="G10" i="54"/>
  <c r="G11" i="54"/>
  <c r="G12" i="54"/>
  <c r="F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4" i="54"/>
  <c r="F3" i="54"/>
  <c r="E4" i="54"/>
  <c r="E5" i="54"/>
  <c r="E6" i="54"/>
  <c r="E7" i="54"/>
  <c r="E8" i="54"/>
  <c r="E9" i="54"/>
  <c r="E10" i="54"/>
  <c r="E11" i="54"/>
  <c r="E12" i="54"/>
  <c r="E14" i="54"/>
  <c r="E15" i="54"/>
  <c r="E16" i="54"/>
  <c r="E17" i="54"/>
  <c r="E18" i="54"/>
  <c r="E19" i="54"/>
  <c r="E20" i="54"/>
  <c r="E21" i="54"/>
  <c r="E22" i="54"/>
  <c r="E23" i="54"/>
  <c r="E24" i="54"/>
  <c r="E25" i="54"/>
  <c r="E26" i="54"/>
  <c r="E27" i="54"/>
  <c r="E28" i="54"/>
  <c r="E29" i="54"/>
  <c r="E30" i="54"/>
  <c r="E31" i="54"/>
  <c r="E32" i="54"/>
  <c r="E33" i="54"/>
  <c r="E34" i="54"/>
  <c r="E35" i="54"/>
  <c r="E36" i="54"/>
  <c r="E37" i="54"/>
  <c r="E38" i="54"/>
  <c r="E39" i="54"/>
  <c r="E40" i="54"/>
  <c r="E41" i="54"/>
  <c r="E42" i="54"/>
  <c r="E43" i="54"/>
  <c r="E44" i="54"/>
  <c r="E45" i="54"/>
  <c r="E46" i="54"/>
  <c r="E47" i="54"/>
  <c r="E48" i="54"/>
  <c r="E49" i="54"/>
  <c r="E50" i="54"/>
  <c r="E51" i="54"/>
  <c r="E52" i="54"/>
  <c r="E53" i="54"/>
  <c r="E54" i="54"/>
  <c r="E55" i="54"/>
  <c r="E56" i="54"/>
  <c r="E57" i="54"/>
  <c r="E58" i="54"/>
  <c r="E59" i="54"/>
  <c r="E60" i="54"/>
  <c r="E61" i="54"/>
  <c r="E62" i="54"/>
  <c r="E63" i="54"/>
  <c r="E64" i="54"/>
  <c r="E65" i="54"/>
  <c r="E66" i="54"/>
  <c r="E67" i="54"/>
  <c r="E68" i="54"/>
  <c r="E69" i="54"/>
  <c r="E70" i="54"/>
  <c r="E71" i="54"/>
  <c r="E72" i="54"/>
  <c r="E73" i="54"/>
  <c r="E74" i="54"/>
  <c r="E75" i="54"/>
  <c r="E76" i="54"/>
  <c r="E77" i="54"/>
  <c r="E78" i="54"/>
  <c r="E79" i="54"/>
  <c r="E80" i="54"/>
  <c r="E81" i="54"/>
  <c r="E82" i="54"/>
  <c r="E83" i="54"/>
  <c r="E84" i="54"/>
  <c r="E85" i="54"/>
  <c r="E86" i="54"/>
  <c r="E87" i="54"/>
  <c r="E88" i="54"/>
  <c r="E89" i="54"/>
  <c r="E90" i="54"/>
  <c r="E91" i="54"/>
  <c r="E92" i="54"/>
  <c r="E93" i="54"/>
  <c r="E94" i="54"/>
  <c r="E95" i="54"/>
  <c r="E96" i="54"/>
  <c r="E97" i="54"/>
  <c r="E98" i="54"/>
  <c r="E99" i="54"/>
  <c r="E100" i="54"/>
  <c r="E101" i="54"/>
  <c r="E102" i="54"/>
  <c r="E103" i="54"/>
  <c r="E104" i="54"/>
  <c r="E105" i="54"/>
  <c r="E106" i="54"/>
  <c r="E107" i="54"/>
  <c r="E108" i="54"/>
  <c r="E109" i="54"/>
  <c r="E110" i="54"/>
  <c r="E111" i="54"/>
  <c r="E112" i="54"/>
  <c r="E113" i="54"/>
  <c r="E114" i="54"/>
  <c r="E115" i="54"/>
  <c r="E116" i="54"/>
  <c r="E117" i="54"/>
  <c r="E118" i="54"/>
  <c r="E119" i="54"/>
  <c r="E120" i="54"/>
  <c r="E121" i="54"/>
  <c r="E122" i="54"/>
  <c r="E123" i="54"/>
  <c r="E124" i="54"/>
  <c r="E125" i="54"/>
  <c r="E126" i="54"/>
  <c r="E127" i="54"/>
  <c r="E128" i="54"/>
  <c r="E129" i="54"/>
  <c r="E130" i="54"/>
  <c r="E131" i="54"/>
  <c r="E132" i="54"/>
  <c r="E133" i="54"/>
  <c r="E134" i="54"/>
  <c r="E135" i="54"/>
  <c r="E136" i="54"/>
  <c r="E137" i="54"/>
  <c r="E138" i="54"/>
  <c r="E139" i="54"/>
  <c r="E140" i="54"/>
  <c r="E141" i="54"/>
  <c r="E142" i="54"/>
  <c r="E143" i="54"/>
  <c r="E144" i="54"/>
  <c r="E145" i="54"/>
  <c r="E146" i="54"/>
  <c r="E147" i="54"/>
  <c r="E148" i="54"/>
  <c r="E149" i="54"/>
  <c r="E150" i="54"/>
  <c r="E151" i="54"/>
  <c r="E152" i="54"/>
  <c r="E153" i="54"/>
  <c r="E154" i="54"/>
  <c r="E155" i="54"/>
  <c r="E156" i="54"/>
  <c r="E157" i="54"/>
  <c r="E158" i="54"/>
  <c r="E159" i="54"/>
  <c r="E160" i="54"/>
  <c r="E161" i="54"/>
  <c r="E162" i="54"/>
  <c r="E163" i="54"/>
  <c r="E164" i="54"/>
  <c r="E165" i="54"/>
  <c r="E166" i="54"/>
  <c r="E167" i="54"/>
  <c r="E168" i="54"/>
  <c r="E169" i="54"/>
  <c r="E170" i="54"/>
  <c r="E171" i="54"/>
  <c r="E172" i="54"/>
  <c r="E173" i="54"/>
  <c r="E174" i="54"/>
  <c r="E175" i="54"/>
  <c r="E176" i="54"/>
  <c r="E177" i="54"/>
  <c r="E178" i="54"/>
  <c r="E179" i="54"/>
  <c r="E180" i="54"/>
  <c r="E181" i="54"/>
  <c r="E182" i="54"/>
  <c r="E183" i="54"/>
  <c r="E184" i="54"/>
  <c r="E185" i="54"/>
  <c r="E186" i="54"/>
  <c r="E187" i="54"/>
  <c r="E188" i="54"/>
  <c r="E189" i="54"/>
  <c r="E190" i="54"/>
  <c r="E191" i="54"/>
  <c r="E192" i="54"/>
  <c r="E193" i="54"/>
  <c r="E194" i="54"/>
  <c r="E195" i="54"/>
  <c r="E196" i="54"/>
  <c r="E197" i="54"/>
  <c r="E198" i="54"/>
  <c r="E199" i="54"/>
  <c r="E200" i="54"/>
  <c r="E201" i="54"/>
  <c r="E202" i="54"/>
  <c r="E203" i="54"/>
  <c r="E204" i="54"/>
  <c r="E205" i="54"/>
  <c r="E206" i="54"/>
  <c r="E207" i="54"/>
  <c r="E208" i="54"/>
  <c r="E209" i="54"/>
  <c r="E210" i="54"/>
  <c r="E211" i="54"/>
  <c r="E212" i="54"/>
  <c r="E213" i="54"/>
  <c r="E214" i="54"/>
  <c r="E215" i="54"/>
  <c r="E216" i="54"/>
  <c r="E217" i="54"/>
  <c r="E218" i="54"/>
  <c r="E219" i="54"/>
  <c r="E220" i="54"/>
  <c r="E221" i="54"/>
  <c r="E222" i="54"/>
  <c r="E223" i="54"/>
  <c r="E224" i="54"/>
  <c r="E225" i="54"/>
  <c r="E226" i="54"/>
  <c r="E227" i="54"/>
  <c r="E228" i="54"/>
  <c r="E229" i="54"/>
  <c r="E230" i="54"/>
  <c r="E231" i="54"/>
  <c r="E232" i="54"/>
  <c r="E233" i="54"/>
  <c r="E234" i="54"/>
  <c r="E235" i="54"/>
  <c r="E236" i="54"/>
  <c r="E237" i="54"/>
  <c r="E238" i="54"/>
  <c r="E239" i="54"/>
  <c r="E240" i="54"/>
  <c r="E241" i="54"/>
  <c r="E242" i="54"/>
  <c r="E3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D60" i="54"/>
  <c r="D61" i="54"/>
  <c r="D62" i="54"/>
  <c r="D63" i="54"/>
  <c r="D64" i="54"/>
  <c r="D65" i="54"/>
  <c r="D66" i="54"/>
  <c r="D67" i="54"/>
  <c r="D68" i="54"/>
  <c r="D69" i="54"/>
  <c r="D70" i="54"/>
  <c r="D71" i="54"/>
  <c r="D72" i="54"/>
  <c r="D73" i="54"/>
  <c r="D74" i="54"/>
  <c r="D75" i="54"/>
  <c r="D76" i="54"/>
  <c r="D77" i="54"/>
  <c r="D78" i="54"/>
  <c r="D79" i="54"/>
  <c r="D80" i="54"/>
  <c r="D81" i="54"/>
  <c r="D82" i="54"/>
  <c r="D83" i="54"/>
  <c r="D84" i="54"/>
  <c r="D85" i="54"/>
  <c r="D86" i="54"/>
  <c r="D87" i="54"/>
  <c r="D88" i="54"/>
  <c r="D89" i="54"/>
  <c r="D90" i="54"/>
  <c r="D91" i="54"/>
  <c r="D92" i="54"/>
  <c r="D93" i="54"/>
  <c r="D94" i="54"/>
  <c r="D95" i="54"/>
  <c r="D96" i="54"/>
  <c r="D97" i="54"/>
  <c r="D98" i="54"/>
  <c r="D99" i="54"/>
  <c r="D100" i="54"/>
  <c r="D101" i="54"/>
  <c r="D102" i="54"/>
  <c r="D103" i="54"/>
  <c r="D104" i="54"/>
  <c r="D105" i="54"/>
  <c r="D106" i="54"/>
  <c r="D107" i="54"/>
  <c r="D108" i="54"/>
  <c r="D109" i="54"/>
  <c r="D110" i="54"/>
  <c r="D111" i="54"/>
  <c r="D112" i="54"/>
  <c r="D113" i="54"/>
  <c r="D114" i="54"/>
  <c r="D115" i="54"/>
  <c r="D116" i="54"/>
  <c r="D117" i="54"/>
  <c r="D118" i="54"/>
  <c r="D119" i="54"/>
  <c r="D120" i="54"/>
  <c r="D121" i="54"/>
  <c r="D122" i="54"/>
  <c r="D123" i="54"/>
  <c r="D124" i="54"/>
  <c r="D125" i="54"/>
  <c r="D126" i="54"/>
  <c r="D127" i="54"/>
  <c r="D128" i="54"/>
  <c r="D129" i="54"/>
  <c r="D130" i="54"/>
  <c r="D131" i="54"/>
  <c r="D132" i="54"/>
  <c r="D133" i="54"/>
  <c r="D134" i="54"/>
  <c r="D135" i="54"/>
  <c r="D136" i="54"/>
  <c r="D137" i="54"/>
  <c r="D138" i="54"/>
  <c r="D139" i="54"/>
  <c r="D140" i="54"/>
  <c r="D141" i="54"/>
  <c r="D142" i="54"/>
  <c r="D143" i="54"/>
  <c r="D144" i="54"/>
  <c r="D145" i="54"/>
  <c r="D146" i="54"/>
  <c r="D147" i="54"/>
  <c r="D148" i="54"/>
  <c r="D149" i="54"/>
  <c r="D150" i="54"/>
  <c r="D151" i="54"/>
  <c r="D152" i="54"/>
  <c r="D153" i="54"/>
  <c r="D154" i="54"/>
  <c r="D155" i="54"/>
  <c r="D156" i="54"/>
  <c r="D157" i="54"/>
  <c r="D158" i="54"/>
  <c r="D159" i="54"/>
  <c r="D160" i="54"/>
  <c r="D161" i="54"/>
  <c r="D162" i="54"/>
  <c r="D163" i="54"/>
  <c r="D164" i="54"/>
  <c r="D165" i="54"/>
  <c r="D166" i="54"/>
  <c r="D167" i="54"/>
  <c r="D168" i="54"/>
  <c r="D169" i="54"/>
  <c r="D170" i="54"/>
  <c r="D171" i="54"/>
  <c r="D172" i="54"/>
  <c r="D173" i="54"/>
  <c r="D174" i="54"/>
  <c r="D175" i="54"/>
  <c r="D176" i="54"/>
  <c r="D177" i="54"/>
  <c r="D178" i="54"/>
  <c r="D179" i="54"/>
  <c r="D180" i="54"/>
  <c r="D181" i="54"/>
  <c r="D182" i="54"/>
  <c r="D183" i="54"/>
  <c r="D184" i="54"/>
  <c r="D185" i="54"/>
  <c r="D186" i="54"/>
  <c r="D187" i="54"/>
  <c r="D188" i="54"/>
  <c r="D189" i="54"/>
  <c r="D190" i="54"/>
  <c r="D191" i="54"/>
  <c r="D192" i="54"/>
  <c r="D193" i="54"/>
  <c r="D194" i="54"/>
  <c r="D195" i="54"/>
  <c r="D196" i="54"/>
  <c r="D197" i="54"/>
  <c r="D198" i="54"/>
  <c r="D199" i="54"/>
  <c r="D200" i="54"/>
  <c r="D201" i="54"/>
  <c r="D202" i="54"/>
  <c r="D203" i="54"/>
  <c r="D204" i="54"/>
  <c r="D205" i="54"/>
  <c r="D206" i="54"/>
  <c r="D207" i="54"/>
  <c r="D208" i="54"/>
  <c r="D209" i="54"/>
  <c r="D210" i="54"/>
  <c r="D211" i="54"/>
  <c r="D212" i="54"/>
  <c r="D213" i="54"/>
  <c r="D214" i="54"/>
  <c r="D215" i="54"/>
  <c r="D216" i="54"/>
  <c r="D217" i="54"/>
  <c r="D218" i="54"/>
  <c r="D219" i="54"/>
  <c r="D220" i="54"/>
  <c r="D221" i="54"/>
  <c r="D222" i="54"/>
  <c r="D223" i="54"/>
  <c r="D224" i="54"/>
  <c r="D225" i="54"/>
  <c r="D226" i="54"/>
  <c r="D227" i="54"/>
  <c r="D228" i="54"/>
  <c r="D229" i="54"/>
  <c r="D230" i="54"/>
  <c r="D231" i="54"/>
  <c r="D232" i="54"/>
  <c r="D233" i="54"/>
  <c r="D234" i="54"/>
  <c r="D235" i="54"/>
  <c r="D236" i="54"/>
  <c r="D237" i="54"/>
  <c r="D238" i="54"/>
  <c r="D239" i="54"/>
  <c r="D240" i="54"/>
  <c r="D241" i="54"/>
  <c r="D242" i="54"/>
  <c r="D5" i="54"/>
  <c r="B81" i="53"/>
  <c r="K229" i="60" l="1"/>
  <c r="K230" i="60"/>
  <c r="K231" i="60"/>
  <c r="K232" i="60"/>
  <c r="G866" i="61"/>
  <c r="G725" i="61"/>
  <c r="G391" i="61"/>
  <c r="G515" i="61"/>
  <c r="G1824" i="61"/>
  <c r="G870" i="61"/>
  <c r="G1220" i="61"/>
  <c r="G1368" i="61"/>
  <c r="G1322" i="61"/>
  <c r="G1386" i="61"/>
  <c r="G2046" i="61"/>
  <c r="G1953" i="61"/>
  <c r="G251" i="61"/>
  <c r="G1888" i="61"/>
  <c r="G1807" i="61"/>
  <c r="H48" i="59"/>
  <c r="U48" i="59" s="1"/>
  <c r="H47" i="59"/>
  <c r="U47" i="59" s="1"/>
  <c r="H53" i="59"/>
  <c r="U53" i="59" s="1"/>
  <c r="J48" i="59"/>
  <c r="K48" i="59" s="1"/>
  <c r="X48" i="59" s="1"/>
  <c r="J47" i="59"/>
  <c r="K47" i="59" s="1"/>
  <c r="X47" i="59" s="1"/>
  <c r="H52" i="59"/>
  <c r="U52" i="59" s="1"/>
  <c r="G737" i="61"/>
  <c r="G651" i="61"/>
  <c r="G626" i="61"/>
  <c r="G161" i="61"/>
  <c r="G436" i="61"/>
  <c r="G417" i="61"/>
  <c r="G523" i="61"/>
  <c r="G372" i="61"/>
  <c r="G370" i="61"/>
  <c r="G989" i="61"/>
  <c r="G607" i="61"/>
  <c r="G1257" i="61"/>
  <c r="G1035" i="61"/>
  <c r="G1321" i="61"/>
  <c r="G390" i="61"/>
  <c r="G754" i="61"/>
  <c r="G617" i="61"/>
  <c r="G378" i="61"/>
  <c r="G659" i="61"/>
  <c r="G297" i="61"/>
  <c r="G250" i="61"/>
  <c r="G252" i="61"/>
  <c r="H51" i="59"/>
  <c r="U51" i="59" s="1"/>
  <c r="D46" i="59"/>
  <c r="Q46" i="59" s="1"/>
  <c r="G1874" i="61"/>
  <c r="G1445" i="61"/>
  <c r="G416" i="61"/>
  <c r="G1518" i="61"/>
  <c r="G1324" i="61"/>
  <c r="G1966" i="61"/>
  <c r="G1579" i="61"/>
  <c r="G1681" i="61"/>
  <c r="G1745" i="61"/>
  <c r="G811" i="61"/>
  <c r="G1855" i="61"/>
  <c r="V43" i="59"/>
  <c r="G1826" i="61"/>
  <c r="G1825" i="61"/>
  <c r="G413" i="61"/>
  <c r="G669" i="61"/>
  <c r="G1388" i="61"/>
  <c r="G1002" i="61"/>
  <c r="G1696" i="61"/>
  <c r="G1598" i="61"/>
  <c r="G772" i="61"/>
  <c r="G1889" i="61"/>
  <c r="G891" i="61"/>
  <c r="G1241" i="61"/>
  <c r="G624" i="61"/>
  <c r="G1379" i="61"/>
  <c r="G1254" i="61"/>
  <c r="G1607" i="61"/>
  <c r="G1954" i="61"/>
  <c r="G1679" i="61"/>
  <c r="G1743" i="61"/>
  <c r="G767" i="61"/>
  <c r="G1890" i="61"/>
  <c r="G379" i="61"/>
  <c r="G1863" i="61"/>
  <c r="G1487" i="61"/>
  <c r="G1037" i="61"/>
  <c r="G1023" i="61"/>
  <c r="G1620" i="61"/>
  <c r="G1357" i="61"/>
  <c r="G1615" i="61"/>
  <c r="G2043" i="61"/>
  <c r="G399" i="61"/>
  <c r="G1470" i="61"/>
  <c r="G368" i="61"/>
  <c r="G955" i="61"/>
  <c r="G162" i="61"/>
  <c r="G1369" i="61"/>
  <c r="G1698" i="61"/>
  <c r="G1982" i="61"/>
  <c r="G763" i="61"/>
  <c r="G1229" i="61"/>
  <c r="G1318" i="61"/>
  <c r="G1382" i="61"/>
  <c r="G2063" i="61"/>
  <c r="G1952" i="61"/>
  <c r="G810" i="61"/>
  <c r="G1505" i="61"/>
  <c r="G733" i="61"/>
  <c r="G605" i="61"/>
  <c r="G1240" i="61"/>
  <c r="G998" i="61"/>
  <c r="G527" i="61"/>
  <c r="G1258" i="61"/>
  <c r="G401" i="61"/>
  <c r="G1871" i="61"/>
  <c r="G781" i="61"/>
  <c r="G1343" i="61"/>
  <c r="G900" i="61"/>
  <c r="G1726" i="61"/>
  <c r="G959" i="61"/>
  <c r="G1697" i="61"/>
  <c r="G1504" i="61"/>
  <c r="G1854" i="61"/>
  <c r="G956" i="61"/>
  <c r="G1335" i="61"/>
  <c r="G616" i="61"/>
  <c r="G1246" i="61"/>
  <c r="G1671" i="61"/>
  <c r="G1735" i="61"/>
  <c r="G1846" i="61"/>
  <c r="K133" i="60"/>
  <c r="G668" i="61"/>
  <c r="G1974" i="61"/>
  <c r="G424" i="61"/>
  <c r="H46" i="59"/>
  <c r="U46" i="59" s="1"/>
  <c r="G1868" i="61"/>
  <c r="G756" i="61"/>
  <c r="G802" i="61"/>
  <c r="G901" i="61"/>
  <c r="G1221" i="61"/>
  <c r="G2038" i="61"/>
  <c r="G1310" i="61"/>
  <c r="G1374" i="61"/>
  <c r="G2055" i="61"/>
  <c r="G1944" i="61"/>
  <c r="G1526" i="61"/>
  <c r="G627" i="61"/>
  <c r="G1361" i="61"/>
  <c r="G533" i="61"/>
  <c r="G990" i="61"/>
  <c r="G1232" i="61"/>
  <c r="G1250" i="61"/>
  <c r="G1462" i="61"/>
  <c r="G435" i="61"/>
  <c r="G1479" i="61"/>
  <c r="G1497" i="61"/>
  <c r="G798" i="61"/>
  <c r="G892" i="61"/>
  <c r="G1349" i="61"/>
  <c r="G951" i="61"/>
  <c r="G1233" i="61"/>
  <c r="G1688" i="61"/>
  <c r="G1689" i="61"/>
  <c r="G1753" i="61"/>
  <c r="G764" i="61"/>
  <c r="G862" i="61"/>
  <c r="G649" i="61"/>
  <c r="G1356" i="61"/>
  <c r="G1360" i="61"/>
  <c r="G1314" i="61"/>
  <c r="G1378" i="61"/>
  <c r="G1718" i="61"/>
  <c r="G1496" i="61"/>
  <c r="G661" i="61"/>
  <c r="G296" i="61"/>
  <c r="G994" i="61"/>
  <c r="G1590" i="61"/>
  <c r="K4" i="54"/>
  <c r="K3" i="54"/>
  <c r="K136" i="60"/>
  <c r="S43" i="59"/>
  <c r="U43" i="59"/>
  <c r="W43" i="59"/>
  <c r="T43" i="59"/>
  <c r="B90" i="53"/>
  <c r="L3" i="60" s="1"/>
  <c r="B17" i="73"/>
  <c r="B14" i="73"/>
  <c r="L54" i="59"/>
  <c r="Y54" i="59" s="1"/>
  <c r="G54" i="59"/>
  <c r="T54" i="59" s="1"/>
  <c r="M43" i="59"/>
  <c r="J50" i="59"/>
  <c r="J53" i="59"/>
  <c r="V53" i="59"/>
  <c r="J52" i="59"/>
  <c r="B54" i="59"/>
  <c r="O54" i="59" s="1"/>
  <c r="J43" i="59"/>
  <c r="H50" i="59"/>
  <c r="U50" i="59" s="1"/>
  <c r="J51" i="59"/>
  <c r="J49" i="59"/>
  <c r="V49" i="59"/>
  <c r="E54" i="59"/>
  <c r="R54" i="59" s="1"/>
  <c r="K43" i="59"/>
  <c r="I54" i="59"/>
  <c r="V54" i="59" s="1"/>
  <c r="F54" i="59"/>
  <c r="S54" i="59" s="1"/>
  <c r="L43" i="59"/>
  <c r="H49" i="59"/>
  <c r="U49" i="59" s="1"/>
  <c r="J46" i="59"/>
  <c r="W46" i="59" s="1"/>
  <c r="G1858" i="61"/>
  <c r="G1815" i="61"/>
  <c r="G369" i="61"/>
  <c r="G1519" i="61"/>
  <c r="G516" i="61"/>
  <c r="G1036" i="61"/>
  <c r="G1377" i="61"/>
  <c r="G1243" i="61"/>
  <c r="G625" i="61"/>
  <c r="G1247" i="61"/>
  <c r="G1600" i="61"/>
  <c r="G1755" i="61"/>
  <c r="G1730" i="61"/>
  <c r="G1222" i="61"/>
  <c r="G1326" i="61"/>
  <c r="G1390" i="61"/>
  <c r="G1706" i="61"/>
  <c r="G1711" i="61"/>
  <c r="G1879" i="61"/>
  <c r="G1499" i="61"/>
  <c r="G723" i="61"/>
  <c r="G1883" i="61"/>
  <c r="G1460" i="61"/>
  <c r="G1856" i="61"/>
  <c r="G1472" i="61"/>
  <c r="G1524" i="61"/>
  <c r="G426" i="61"/>
  <c r="G1450" i="61"/>
  <c r="G652" i="61"/>
  <c r="G1249" i="61"/>
  <c r="G1312" i="61"/>
  <c r="G1376" i="61"/>
  <c r="G1330" i="61"/>
  <c r="G1394" i="61"/>
  <c r="G2054" i="61"/>
  <c r="G382" i="61"/>
  <c r="G444" i="61"/>
  <c r="G380" i="61"/>
  <c r="G1239" i="61"/>
  <c r="G1316" i="61"/>
  <c r="G1381" i="61"/>
  <c r="G1372" i="61"/>
  <c r="G1342" i="61"/>
  <c r="G1720" i="61"/>
  <c r="G1878" i="61"/>
  <c r="G437" i="61"/>
  <c r="G1525" i="61"/>
  <c r="G1859" i="61"/>
  <c r="G1448" i="61"/>
  <c r="G1228" i="61"/>
  <c r="G613" i="61"/>
  <c r="G981" i="61"/>
  <c r="G1006" i="61"/>
  <c r="G1365" i="61"/>
  <c r="G535" i="61"/>
  <c r="G2082" i="61"/>
  <c r="G1704" i="61"/>
  <c r="G771" i="61"/>
  <c r="D48" i="59"/>
  <c r="Q48" i="59" s="1"/>
  <c r="P48" i="59"/>
  <c r="G1862" i="61"/>
  <c r="G248" i="61"/>
  <c r="G800" i="61"/>
  <c r="G1027" i="61"/>
  <c r="G865" i="61"/>
  <c r="G1603" i="61"/>
  <c r="G1731" i="61"/>
  <c r="G1734" i="61"/>
  <c r="G1705" i="61"/>
  <c r="G1833" i="61"/>
  <c r="D52" i="59"/>
  <c r="Q52" i="59" s="1"/>
  <c r="P52" i="59"/>
  <c r="G801" i="61"/>
  <c r="G1351" i="61"/>
  <c r="G992" i="61"/>
  <c r="G293" i="61"/>
  <c r="G1578" i="61"/>
  <c r="G1606" i="61"/>
  <c r="G446" i="61"/>
  <c r="G1313" i="61"/>
  <c r="G1475" i="61"/>
  <c r="G899" i="61"/>
  <c r="G1237" i="61"/>
  <c r="G1387" i="61"/>
  <c r="G1262" i="61"/>
  <c r="G1687" i="61"/>
  <c r="G1751" i="61"/>
  <c r="G1834" i="61"/>
  <c r="G1812" i="61"/>
  <c r="G1478" i="61"/>
  <c r="D47" i="59"/>
  <c r="Q47" i="59" s="1"/>
  <c r="P47" i="59"/>
  <c r="G660" i="61"/>
  <c r="G1832" i="61"/>
  <c r="G1449" i="61"/>
  <c r="G1512" i="61"/>
  <c r="G1248" i="61"/>
  <c r="G1219" i="61"/>
  <c r="G537" i="61"/>
  <c r="G993" i="61"/>
  <c r="G1670" i="61"/>
  <c r="G727" i="61"/>
  <c r="D50" i="59"/>
  <c r="Q50" i="59" s="1"/>
  <c r="P50" i="59"/>
  <c r="G780" i="61"/>
  <c r="G1495" i="61"/>
  <c r="G864" i="61"/>
  <c r="G1223" i="61"/>
  <c r="D49" i="59"/>
  <c r="Q49" i="59" s="1"/>
  <c r="P49" i="59"/>
  <c r="D53" i="59"/>
  <c r="Q53" i="59" s="1"/>
  <c r="P53" i="59"/>
  <c r="D51" i="59"/>
  <c r="Q51" i="59" s="1"/>
  <c r="P51" i="59"/>
  <c r="G525" i="61"/>
  <c r="G614" i="61"/>
  <c r="G982" i="61"/>
  <c r="G672" i="61"/>
  <c r="G1225" i="61"/>
  <c r="G1242" i="61"/>
  <c r="G1744" i="61"/>
  <c r="G1395" i="61"/>
  <c r="G447" i="61"/>
  <c r="G1471" i="61"/>
  <c r="D83" i="59"/>
  <c r="D92" i="59" s="1"/>
  <c r="C92" i="59"/>
  <c r="G1476" i="61"/>
  <c r="G1327" i="61"/>
  <c r="G957" i="61"/>
  <c r="G1604" i="61"/>
  <c r="G1352" i="61"/>
  <c r="G1370" i="61"/>
  <c r="G2030" i="61"/>
  <c r="G1489" i="61"/>
  <c r="G1003" i="61"/>
  <c r="G294" i="61"/>
  <c r="G1617" i="61"/>
  <c r="G1033" i="61"/>
  <c r="G1618" i="61"/>
  <c r="G1746" i="61"/>
  <c r="G1582" i="61"/>
  <c r="G402" i="61"/>
  <c r="G1809" i="61"/>
  <c r="G1872" i="61"/>
  <c r="G604" i="61"/>
  <c r="G948" i="61"/>
  <c r="G160" i="61"/>
  <c r="G1224" i="61"/>
  <c r="G658" i="61"/>
  <c r="G1616" i="61"/>
  <c r="G1680" i="61"/>
  <c r="G1938" i="61"/>
  <c r="G1238" i="61"/>
  <c r="G1727" i="61"/>
  <c r="G765" i="61"/>
  <c r="G724" i="61"/>
  <c r="G1808" i="61"/>
  <c r="G1515" i="61"/>
  <c r="G1488" i="61"/>
  <c r="G1710" i="61"/>
  <c r="G858" i="61"/>
  <c r="G1259" i="61"/>
  <c r="G1599" i="61"/>
  <c r="G2052" i="61"/>
  <c r="G1835" i="61"/>
  <c r="G1454" i="61"/>
  <c r="G1810" i="61"/>
  <c r="G1451" i="61"/>
  <c r="G1490" i="61"/>
  <c r="G1391" i="61"/>
  <c r="G1007" i="61"/>
  <c r="G1341" i="61"/>
  <c r="G1315" i="61"/>
  <c r="G736" i="61"/>
  <c r="G1860" i="61"/>
  <c r="G1873" i="61"/>
  <c r="G1353" i="61"/>
  <c r="G513" i="61"/>
  <c r="G1707" i="61"/>
  <c r="G1682" i="61"/>
  <c r="G1366" i="61"/>
  <c r="G2047" i="61"/>
  <c r="G1838" i="61"/>
  <c r="K92" i="59"/>
  <c r="J92" i="59"/>
  <c r="G1464" i="61"/>
  <c r="G1329" i="61"/>
  <c r="G1364" i="61"/>
  <c r="G1253" i="61"/>
  <c r="G648" i="61"/>
  <c r="G1392" i="61"/>
  <c r="G1346" i="61"/>
  <c r="G1978" i="61"/>
  <c r="G1964" i="61"/>
  <c r="G1850" i="61"/>
  <c r="G392" i="61"/>
  <c r="G1529" i="61"/>
  <c r="G1494" i="61"/>
  <c r="G1491" i="61"/>
  <c r="G860" i="61"/>
  <c r="G1317" i="61"/>
  <c r="G898" i="61"/>
  <c r="G1594" i="61"/>
  <c r="G1668" i="61"/>
  <c r="G2042" i="61"/>
  <c r="G1622" i="61"/>
  <c r="G1939" i="61"/>
  <c r="G1732" i="61"/>
  <c r="G1836" i="61"/>
  <c r="G1831" i="61"/>
  <c r="G1465" i="61"/>
  <c r="G1511" i="61"/>
  <c r="G1026" i="61"/>
  <c r="G1619" i="61"/>
  <c r="G1942" i="61"/>
  <c r="G1613" i="61"/>
  <c r="G1721" i="61"/>
  <c r="G1811" i="61"/>
  <c r="G1849" i="61"/>
  <c r="G423" i="61"/>
  <c r="G1869" i="61"/>
  <c r="G1528" i="61"/>
  <c r="G1452" i="61"/>
  <c r="G1466" i="61"/>
  <c r="G757" i="61"/>
  <c r="G979" i="61"/>
  <c r="G295" i="61"/>
  <c r="G1580" i="61"/>
  <c r="G1592" i="61"/>
  <c r="G1683" i="61"/>
  <c r="G1686" i="61"/>
  <c r="G1703" i="61"/>
  <c r="G1516" i="61"/>
  <c r="G2028" i="61"/>
  <c r="G1959" i="61"/>
  <c r="G1530" i="61"/>
  <c r="G962" i="61"/>
  <c r="G1593" i="61"/>
  <c r="G1447" i="61"/>
  <c r="G1393" i="61"/>
  <c r="G1244" i="61"/>
  <c r="G1722" i="61"/>
  <c r="G1963" i="61"/>
  <c r="G770" i="61"/>
  <c r="G1485" i="61"/>
  <c r="G1814" i="61"/>
  <c r="G997" i="61"/>
  <c r="G526" i="61"/>
  <c r="G615" i="61"/>
  <c r="G1235" i="61"/>
  <c r="G1218" i="61"/>
  <c r="G1371" i="61"/>
  <c r="G1747" i="61"/>
  <c r="G1750" i="61"/>
  <c r="G1708" i="61"/>
  <c r="G766" i="61"/>
  <c r="G398" i="61"/>
  <c r="G1848" i="61"/>
  <c r="G1875" i="61"/>
  <c r="G988" i="61"/>
  <c r="G869" i="61"/>
  <c r="G958" i="61"/>
  <c r="G1367" i="61"/>
  <c r="G1328" i="61"/>
  <c r="G1520" i="61"/>
  <c r="G1359" i="61"/>
  <c r="G1309" i="61"/>
  <c r="G1256" i="61"/>
  <c r="G1700" i="61"/>
  <c r="G1458" i="61"/>
  <c r="G735" i="61"/>
  <c r="G415" i="61"/>
  <c r="G671" i="61"/>
  <c r="G159" i="61"/>
  <c r="G779" i="61"/>
  <c r="G809" i="61"/>
  <c r="G249" i="61"/>
  <c r="G1385" i="61"/>
  <c r="G1001" i="61"/>
  <c r="G954" i="61"/>
  <c r="G1973" i="61"/>
  <c r="G1509" i="61"/>
  <c r="G1829" i="61"/>
  <c r="G1957" i="61"/>
  <c r="G2089" i="61"/>
  <c r="G1701" i="61"/>
  <c r="G1723" i="61"/>
  <c r="G1851" i="61"/>
  <c r="G1467" i="61"/>
  <c r="G1684" i="61"/>
  <c r="G1748" i="61"/>
  <c r="G1876" i="61"/>
  <c r="G1355" i="61"/>
  <c r="G1595" i="61"/>
  <c r="G1589" i="61"/>
  <c r="G1692" i="61"/>
  <c r="G1756" i="61"/>
  <c r="G1531" i="61"/>
  <c r="G1492" i="61"/>
  <c r="G1597" i="61"/>
  <c r="G1940" i="61"/>
  <c r="G1717" i="61"/>
  <c r="G1884" i="61"/>
  <c r="G1979" i="61"/>
  <c r="G1948" i="61"/>
  <c r="G1725" i="61"/>
  <c r="G2069" i="61"/>
  <c r="G1506" i="61"/>
  <c r="G1941" i="61"/>
  <c r="G2071" i="61"/>
  <c r="G70" i="61"/>
  <c r="G2109" i="61"/>
  <c r="G1612" i="61"/>
  <c r="G1347" i="61"/>
  <c r="G1587" i="61"/>
  <c r="G1817" i="61"/>
  <c r="G1715" i="61"/>
  <c r="G1945" i="61"/>
  <c r="G1880" i="61"/>
  <c r="G1818" i="61"/>
  <c r="G1971" i="61"/>
  <c r="G1843" i="61"/>
  <c r="G1754" i="61"/>
  <c r="G1881" i="61"/>
  <c r="G1523" i="61"/>
  <c r="G1816" i="61"/>
  <c r="G1946" i="61"/>
  <c r="G1752" i="61"/>
  <c r="G2103" i="61"/>
  <c r="G1969" i="61"/>
  <c r="G1882" i="61"/>
  <c r="G1484" i="61"/>
  <c r="G1690" i="61"/>
  <c r="G1498" i="61"/>
  <c r="G2113" i="61"/>
  <c r="G1709" i="61"/>
  <c r="G1453" i="61"/>
  <c r="G2087" i="61"/>
  <c r="G1323" i="61"/>
  <c r="G2085" i="61"/>
  <c r="G2048" i="61"/>
  <c r="G2101" i="61"/>
  <c r="G2079" i="61"/>
  <c r="G1805" i="61"/>
  <c r="G24" i="61"/>
  <c r="G1677" i="61"/>
  <c r="G1741" i="61"/>
  <c r="G2093" i="61"/>
  <c r="G2095" i="61"/>
  <c r="G2111" i="61"/>
  <c r="G2106" i="61"/>
  <c r="G2117" i="61"/>
  <c r="G1820" i="61"/>
  <c r="G1469" i="61"/>
  <c r="G2077" i="61"/>
  <c r="G1981" i="61"/>
  <c r="G1308" i="61"/>
  <c r="G1962" i="61"/>
  <c r="G1943" i="61"/>
  <c r="G2033" i="61"/>
  <c r="G1461" i="61"/>
  <c r="G1513" i="61"/>
  <c r="G1004" i="61"/>
  <c r="G949" i="61"/>
  <c r="G1333" i="61"/>
  <c r="G871" i="61"/>
  <c r="G1344" i="61"/>
  <c r="G1362" i="61"/>
  <c r="G1672" i="61"/>
  <c r="G1980" i="61"/>
  <c r="G1693" i="61"/>
  <c r="G1757" i="61"/>
  <c r="G2064" i="61"/>
  <c r="G768" i="61"/>
  <c r="G1866" i="61"/>
  <c r="G1481" i="61"/>
  <c r="G2094" i="61"/>
  <c r="G1581" i="61"/>
  <c r="G69" i="61"/>
  <c r="G1965" i="61"/>
  <c r="G2099" i="61"/>
  <c r="G1676" i="61"/>
  <c r="G1740" i="61"/>
  <c r="G1804" i="61"/>
  <c r="G1514" i="61"/>
  <c r="G2074" i="61"/>
  <c r="G2035" i="61"/>
  <c r="G1500" i="61"/>
  <c r="G1459" i="61"/>
  <c r="G1517" i="61"/>
  <c r="G2051" i="61"/>
  <c r="G1837" i="61"/>
  <c r="G2096" i="61"/>
  <c r="G2081" i="61"/>
  <c r="G2076" i="61"/>
  <c r="G2029" i="61"/>
  <c r="G1446" i="61"/>
  <c r="G995" i="61"/>
  <c r="G670" i="61"/>
  <c r="G1025" i="61"/>
  <c r="G1610" i="61"/>
  <c r="G1699" i="61"/>
  <c r="G1702" i="61"/>
  <c r="G1955" i="61"/>
  <c r="G769" i="61"/>
  <c r="G1852" i="61"/>
  <c r="G1527" i="61"/>
  <c r="G524" i="61"/>
  <c r="G1255" i="61"/>
  <c r="G650" i="61"/>
  <c r="G978" i="61"/>
  <c r="G1608" i="61"/>
  <c r="G1958" i="61"/>
  <c r="G1230" i="61"/>
  <c r="G1719" i="61"/>
  <c r="G812" i="61"/>
  <c r="G1847" i="61"/>
  <c r="G389" i="61"/>
  <c r="G1480" i="61"/>
  <c r="G734" i="61"/>
  <c r="G1510" i="61"/>
  <c r="G1319" i="61"/>
  <c r="G536" i="61"/>
  <c r="G1251" i="61"/>
  <c r="G1363" i="61"/>
  <c r="G1591" i="61"/>
  <c r="G1738" i="61"/>
  <c r="G1975" i="61"/>
  <c r="G1482" i="61"/>
  <c r="G782" i="61"/>
  <c r="G1463" i="61"/>
  <c r="G867" i="61"/>
  <c r="G1397" i="61"/>
  <c r="G999" i="61"/>
  <c r="G960" i="61"/>
  <c r="G1736" i="61"/>
  <c r="G2032" i="61"/>
  <c r="G2073" i="61"/>
  <c r="G158" i="61"/>
  <c r="G1885" i="61"/>
  <c r="G1821" i="61"/>
  <c r="G1827" i="61"/>
  <c r="G1532" i="61"/>
  <c r="G414" i="61"/>
  <c r="G1609" i="61"/>
  <c r="G1358" i="61"/>
  <c r="G2039" i="61"/>
  <c r="G1830" i="61"/>
  <c r="G1443" i="61"/>
  <c r="G1596" i="61"/>
  <c r="G517" i="61"/>
  <c r="G606" i="61"/>
  <c r="G961" i="61"/>
  <c r="G1260" i="61"/>
  <c r="G1234" i="61"/>
  <c r="G2058" i="61"/>
  <c r="G1724" i="61"/>
  <c r="G1507" i="61"/>
  <c r="G1891" i="61"/>
  <c r="G1468" i="61"/>
  <c r="G1864" i="61"/>
  <c r="G1345" i="61"/>
  <c r="G1380" i="61"/>
  <c r="G1383" i="61"/>
  <c r="G1024" i="61"/>
  <c r="G1674" i="61"/>
  <c r="G1673" i="61"/>
  <c r="G1737" i="61"/>
  <c r="G1865" i="61"/>
  <c r="G2037" i="61"/>
  <c r="G2045" i="61"/>
  <c r="G1960" i="61"/>
  <c r="G2049" i="61"/>
  <c r="G1845" i="61"/>
  <c r="G2066" i="61"/>
  <c r="G2088" i="61"/>
  <c r="G2065" i="61"/>
  <c r="G23" i="61"/>
  <c r="G27" i="61"/>
  <c r="G1853" i="61"/>
  <c r="G778" i="61"/>
  <c r="G1473" i="61"/>
  <c r="G1311" i="61"/>
  <c r="G868" i="61"/>
  <c r="G1396" i="61"/>
  <c r="G662" i="61"/>
  <c r="G514" i="61"/>
  <c r="G1389" i="61"/>
  <c r="G1602" i="61"/>
  <c r="G2098" i="61"/>
  <c r="G2050" i="61"/>
  <c r="G1947" i="61"/>
  <c r="G2105" i="61"/>
  <c r="G400" i="61"/>
  <c r="G388" i="61"/>
  <c r="G799" i="61"/>
  <c r="G1252" i="61"/>
  <c r="G888" i="61"/>
  <c r="G1261" i="61"/>
  <c r="G1583" i="61"/>
  <c r="G1967" i="61"/>
  <c r="G1886" i="61"/>
  <c r="G859" i="61"/>
  <c r="G1601" i="61"/>
  <c r="G991" i="61"/>
  <c r="G952" i="61"/>
  <c r="G445" i="61"/>
  <c r="G1857" i="61"/>
  <c r="G381" i="61"/>
  <c r="G1877" i="61"/>
  <c r="G753" i="61"/>
  <c r="G1474" i="61"/>
  <c r="G1375" i="61"/>
  <c r="G902" i="61"/>
  <c r="G889" i="61"/>
  <c r="G1325" i="61"/>
  <c r="G1350" i="61"/>
  <c r="G2031" i="61"/>
  <c r="G1005" i="61"/>
  <c r="G1348" i="61"/>
  <c r="G534" i="61"/>
  <c r="G623" i="61"/>
  <c r="G1337" i="61"/>
  <c r="G953" i="61"/>
  <c r="G1588" i="61"/>
  <c r="G1691" i="61"/>
  <c r="G1226" i="61"/>
  <c r="G1716" i="61"/>
  <c r="G1502" i="61"/>
  <c r="G1839" i="61"/>
  <c r="G1493" i="61"/>
  <c r="G1034" i="61"/>
  <c r="G1728" i="61"/>
  <c r="G1621" i="61"/>
  <c r="G1950" i="61"/>
  <c r="G1729" i="61"/>
  <c r="G1455" i="61"/>
  <c r="G726" i="61"/>
  <c r="G1822" i="61"/>
  <c r="G1813" i="61"/>
  <c r="G603" i="61"/>
  <c r="G1694" i="61"/>
  <c r="G996" i="61"/>
  <c r="G863" i="61"/>
  <c r="G1336" i="61"/>
  <c r="G1354" i="61"/>
  <c r="G1331" i="61"/>
  <c r="G1972" i="61"/>
  <c r="G1685" i="61"/>
  <c r="G1749" i="61"/>
  <c r="G1844" i="61"/>
  <c r="G433" i="61"/>
  <c r="G1819" i="61"/>
  <c r="G1483" i="61"/>
  <c r="G1521" i="61"/>
  <c r="G1678" i="61"/>
  <c r="G1334" i="61"/>
  <c r="G2036" i="61"/>
  <c r="G2053" i="61"/>
  <c r="G2102" i="61"/>
  <c r="G1968" i="61"/>
  <c r="G2057" i="61"/>
  <c r="G1508" i="61"/>
  <c r="G1332" i="61"/>
  <c r="G1231" i="61"/>
  <c r="G1675" i="61"/>
  <c r="G1611" i="61"/>
  <c r="G1970" i="61"/>
  <c r="G1605" i="61"/>
  <c r="G2091" i="61"/>
  <c r="G1713" i="61"/>
  <c r="G1806" i="61"/>
  <c r="G1486" i="61"/>
  <c r="G1522" i="61"/>
  <c r="G1227" i="61"/>
  <c r="G980" i="61"/>
  <c r="G861" i="61"/>
  <c r="G950" i="61"/>
  <c r="G1245" i="61"/>
  <c r="G1320" i="61"/>
  <c r="G1384" i="61"/>
  <c r="G1338" i="61"/>
  <c r="G1712" i="61"/>
  <c r="G2034" i="61"/>
  <c r="G1956" i="61"/>
  <c r="G1669" i="61"/>
  <c r="G1733" i="61"/>
  <c r="G2062" i="61"/>
  <c r="G2040" i="61"/>
  <c r="G2104" i="61"/>
  <c r="G26" i="61"/>
  <c r="G1803" i="61"/>
  <c r="G68" i="61"/>
  <c r="G1870" i="61"/>
  <c r="G755" i="61"/>
  <c r="G72" i="61"/>
  <c r="G1742" i="61"/>
  <c r="G1000" i="61"/>
  <c r="G890" i="61"/>
  <c r="G1586" i="61"/>
  <c r="G1614" i="61"/>
  <c r="G2107" i="61"/>
  <c r="G2068" i="61"/>
  <c r="G2070" i="61"/>
  <c r="G1977" i="61"/>
  <c r="G1457" i="61"/>
  <c r="G808" i="61"/>
  <c r="G1887" i="61"/>
  <c r="G1477" i="61"/>
  <c r="G1373" i="61"/>
  <c r="G1584" i="61"/>
  <c r="G1695" i="61"/>
  <c r="G1456" i="61"/>
  <c r="G1840" i="61"/>
  <c r="G1841" i="61"/>
  <c r="G1861" i="61"/>
  <c r="G1236" i="61"/>
  <c r="G1739" i="61"/>
  <c r="G1339" i="61"/>
  <c r="G1714" i="61"/>
  <c r="G2059" i="61"/>
  <c r="G2084" i="61"/>
  <c r="G2086" i="61"/>
  <c r="G1951" i="61"/>
  <c r="G2041" i="61"/>
  <c r="G1842" i="61"/>
  <c r="G1892" i="61"/>
  <c r="G1823" i="61"/>
  <c r="G1828" i="61"/>
  <c r="G1444" i="61"/>
  <c r="G872" i="61"/>
  <c r="G1585" i="61"/>
  <c r="G1340" i="61"/>
  <c r="G2114" i="61"/>
  <c r="G2072" i="61"/>
  <c r="G1503" i="61"/>
  <c r="G1867" i="61"/>
  <c r="G2108" i="61"/>
  <c r="G1976" i="61"/>
  <c r="G2116" i="61"/>
  <c r="G2060" i="61"/>
  <c r="G2067" i="61"/>
  <c r="G2075" i="61"/>
  <c r="G2100" i="61"/>
  <c r="G1949" i="61"/>
  <c r="G2080" i="61"/>
  <c r="G71" i="61"/>
  <c r="G49" i="67"/>
  <c r="F4" i="66"/>
  <c r="G50" i="67"/>
  <c r="F116" i="66"/>
  <c r="G51" i="67"/>
  <c r="F117" i="66"/>
  <c r="F118" i="66"/>
  <c r="E121" i="66"/>
  <c r="G37" i="67"/>
  <c r="E5" i="66"/>
  <c r="F37" i="67" s="1"/>
  <c r="G86" i="67"/>
  <c r="H2" i="66"/>
  <c r="G87" i="67"/>
  <c r="H106" i="66"/>
  <c r="G88" i="67"/>
  <c r="H107" i="66"/>
  <c r="H108" i="66"/>
  <c r="F121" i="66"/>
  <c r="G52" i="67"/>
  <c r="F5" i="66"/>
  <c r="F52" i="67" s="1"/>
  <c r="G2083" i="61"/>
  <c r="G2044" i="61"/>
  <c r="G2061" i="61"/>
  <c r="G2110" i="61"/>
  <c r="G1501" i="61"/>
  <c r="J121" i="66"/>
  <c r="G112" i="67"/>
  <c r="J5" i="66"/>
  <c r="F112" i="67" s="1"/>
  <c r="G21" i="67"/>
  <c r="D116" i="66"/>
  <c r="D4" i="66"/>
  <c r="G19" i="67"/>
  <c r="D118" i="66"/>
  <c r="G20" i="67"/>
  <c r="D117" i="66"/>
  <c r="E113" i="66"/>
  <c r="E112" i="66"/>
  <c r="E111" i="66"/>
  <c r="G38" i="67"/>
  <c r="G39" i="67"/>
  <c r="G40" i="67"/>
  <c r="E3" i="66"/>
  <c r="C112" i="66"/>
  <c r="C111" i="66"/>
  <c r="C113" i="66"/>
  <c r="G10" i="67"/>
  <c r="G8" i="67"/>
  <c r="G9" i="67"/>
  <c r="C3" i="66"/>
  <c r="G1961" i="61"/>
  <c r="G56" i="67"/>
  <c r="G57" i="67"/>
  <c r="G58" i="67"/>
  <c r="F2" i="66"/>
  <c r="F108" i="66"/>
  <c r="F107" i="66"/>
  <c r="F106" i="66"/>
  <c r="K111" i="66"/>
  <c r="K3" i="66"/>
  <c r="G128" i="67"/>
  <c r="K112" i="66"/>
  <c r="G129" i="67"/>
  <c r="K113" i="66"/>
  <c r="G130" i="67"/>
  <c r="G5" i="66"/>
  <c r="F67" i="67" s="1"/>
  <c r="G121" i="66"/>
  <c r="G67" i="67"/>
  <c r="G117" i="67"/>
  <c r="G118" i="67"/>
  <c r="J2" i="66"/>
  <c r="J108" i="66"/>
  <c r="J107" i="66"/>
  <c r="J106" i="66"/>
  <c r="G116" i="67"/>
  <c r="G71" i="67"/>
  <c r="G2" i="66"/>
  <c r="G106" i="66"/>
  <c r="G108" i="66"/>
  <c r="G72" i="67"/>
  <c r="G107" i="66"/>
  <c r="G73" i="67"/>
  <c r="G127" i="67"/>
  <c r="K5" i="66"/>
  <c r="F127" i="67" s="1"/>
  <c r="K121" i="66"/>
  <c r="G114" i="67"/>
  <c r="G115" i="67"/>
  <c r="J3" i="66"/>
  <c r="J111" i="66"/>
  <c r="J113" i="66"/>
  <c r="J112" i="66"/>
  <c r="G113" i="67"/>
  <c r="D121" i="66"/>
  <c r="G22" i="67"/>
  <c r="D5" i="66"/>
  <c r="F22" i="67" s="1"/>
  <c r="G101" i="67"/>
  <c r="I108" i="66"/>
  <c r="G102" i="67"/>
  <c r="I106" i="66"/>
  <c r="G103" i="67"/>
  <c r="I2" i="66"/>
  <c r="I107" i="66"/>
  <c r="G2090" i="61"/>
  <c r="G2112" i="61"/>
  <c r="H116" i="66"/>
  <c r="G79" i="67"/>
  <c r="G80" i="67"/>
  <c r="G81" i="67"/>
  <c r="H4" i="66"/>
  <c r="H118" i="66"/>
  <c r="H117" i="66"/>
  <c r="K107" i="66"/>
  <c r="K106" i="66"/>
  <c r="G132" i="67"/>
  <c r="G133" i="67"/>
  <c r="G131" i="67"/>
  <c r="K2" i="66"/>
  <c r="K108" i="66"/>
  <c r="G43" i="67"/>
  <c r="G42" i="67"/>
  <c r="E2" i="66"/>
  <c r="G41" i="67"/>
  <c r="E106" i="66"/>
  <c r="E108" i="66"/>
  <c r="E107" i="66"/>
  <c r="G68" i="67"/>
  <c r="G69" i="67"/>
  <c r="G3" i="66"/>
  <c r="G70" i="67"/>
  <c r="G113" i="66"/>
  <c r="G111" i="66"/>
  <c r="G112" i="66"/>
  <c r="C5" i="66"/>
  <c r="F7" i="67" s="1"/>
  <c r="C121" i="66"/>
  <c r="G7" i="67"/>
  <c r="G2115" i="61"/>
  <c r="G2078" i="61"/>
  <c r="G2056" i="61"/>
  <c r="G2097" i="61"/>
  <c r="G6" i="67"/>
  <c r="G4" i="67"/>
  <c r="C4" i="66"/>
  <c r="C118" i="66"/>
  <c r="C116" i="66"/>
  <c r="C117" i="66"/>
  <c r="G5" i="67"/>
  <c r="I4" i="66"/>
  <c r="I118" i="66"/>
  <c r="I116" i="66"/>
  <c r="I117" i="66"/>
  <c r="G94" i="67"/>
  <c r="G95" i="67"/>
  <c r="G96" i="67"/>
  <c r="F111" i="66"/>
  <c r="G54" i="67"/>
  <c r="F3" i="66"/>
  <c r="G55" i="67"/>
  <c r="F113" i="66"/>
  <c r="G53" i="67"/>
  <c r="F112" i="66"/>
  <c r="I5" i="66"/>
  <c r="F97" i="67" s="1"/>
  <c r="I121" i="66"/>
  <c r="G97" i="67"/>
  <c r="H5" i="66"/>
  <c r="F82" i="67" s="1"/>
  <c r="H121" i="66"/>
  <c r="G82" i="67"/>
  <c r="K4" i="66"/>
  <c r="K116" i="66"/>
  <c r="K117" i="66"/>
  <c r="K118" i="66"/>
  <c r="G124" i="67"/>
  <c r="G125" i="67"/>
  <c r="G126" i="67"/>
  <c r="D3" i="66"/>
  <c r="D111" i="66"/>
  <c r="D112" i="66"/>
  <c r="D113" i="66"/>
  <c r="G24" i="67"/>
  <c r="G25" i="67"/>
  <c r="G23" i="67"/>
  <c r="G83" i="67"/>
  <c r="H111" i="66"/>
  <c r="G84" i="67"/>
  <c r="H113" i="66"/>
  <c r="G85" i="67"/>
  <c r="H112" i="66"/>
  <c r="H3" i="66"/>
  <c r="G34" i="67"/>
  <c r="E4" i="66"/>
  <c r="E118" i="66"/>
  <c r="E116" i="66"/>
  <c r="E117" i="66"/>
  <c r="G35" i="67"/>
  <c r="G36" i="67"/>
  <c r="G65" i="67"/>
  <c r="G118" i="66"/>
  <c r="G66" i="67"/>
  <c r="G117" i="66"/>
  <c r="G4" i="66"/>
  <c r="G64" i="67"/>
  <c r="G116" i="66"/>
  <c r="G2092" i="61"/>
  <c r="G25" i="61"/>
  <c r="G99" i="67"/>
  <c r="I3" i="66"/>
  <c r="I113" i="66"/>
  <c r="I112" i="66"/>
  <c r="G100" i="67"/>
  <c r="I111" i="66"/>
  <c r="G98" i="67"/>
  <c r="G11" i="67"/>
  <c r="G13" i="67"/>
  <c r="G12" i="67"/>
  <c r="C2" i="66"/>
  <c r="C108" i="66"/>
  <c r="C107" i="66"/>
  <c r="C106" i="66"/>
  <c r="D2" i="66"/>
  <c r="G26" i="67"/>
  <c r="D108" i="66"/>
  <c r="G27" i="67"/>
  <c r="D107" i="66"/>
  <c r="G28" i="67"/>
  <c r="D106" i="66"/>
  <c r="J117" i="66"/>
  <c r="J118" i="66"/>
  <c r="G111" i="67"/>
  <c r="J116" i="66"/>
  <c r="G109" i="67"/>
  <c r="G110" i="67"/>
  <c r="J4" i="66"/>
  <c r="F1146" i="61"/>
  <c r="G1146" i="61" s="1"/>
  <c r="F1098" i="61"/>
  <c r="G1098" i="61" s="1"/>
  <c r="F1145" i="61"/>
  <c r="G1145" i="61" s="1"/>
  <c r="F1144" i="61"/>
  <c r="G1144" i="61" s="1"/>
  <c r="F1143" i="61"/>
  <c r="G1143" i="61" s="1"/>
  <c r="F1102" i="61"/>
  <c r="G1102" i="61" s="1"/>
  <c r="F1101" i="61"/>
  <c r="G1101" i="61" s="1"/>
  <c r="F1100" i="61"/>
  <c r="G1100" i="61" s="1"/>
  <c r="F1147" i="61"/>
  <c r="G1147" i="61" s="1"/>
  <c r="F1099" i="61"/>
  <c r="G1099" i="61" s="1"/>
  <c r="F410" i="61"/>
  <c r="G410" i="61" s="1"/>
  <c r="F409" i="61"/>
  <c r="G409" i="61" s="1"/>
  <c r="F408" i="61"/>
  <c r="G408" i="61" s="1"/>
  <c r="F367" i="61"/>
  <c r="G367" i="61" s="1"/>
  <c r="F366" i="61"/>
  <c r="G366" i="61" s="1"/>
  <c r="F365" i="61"/>
  <c r="G365" i="61" s="1"/>
  <c r="F412" i="61"/>
  <c r="G412" i="61" s="1"/>
  <c r="F364" i="61"/>
  <c r="G364" i="61" s="1"/>
  <c r="F411" i="61"/>
  <c r="G411" i="61" s="1"/>
  <c r="F363" i="61"/>
  <c r="G363" i="61" s="1"/>
  <c r="F20" i="61"/>
  <c r="G20" i="61" s="1"/>
  <c r="F22" i="61"/>
  <c r="G22" i="61" s="1"/>
  <c r="F63" i="61"/>
  <c r="G63" i="61" s="1"/>
  <c r="F65" i="61"/>
  <c r="G65" i="61" s="1"/>
  <c r="F19" i="61"/>
  <c r="G19" i="61" s="1"/>
  <c r="F67" i="61"/>
  <c r="G67" i="61" s="1"/>
  <c r="F21" i="61"/>
  <c r="G21" i="61" s="1"/>
  <c r="F64" i="61"/>
  <c r="G64" i="61" s="1"/>
  <c r="F18" i="61"/>
  <c r="G18" i="61" s="1"/>
  <c r="F66" i="61"/>
  <c r="G66" i="61" s="1"/>
  <c r="F180" i="61"/>
  <c r="G180" i="61" s="1"/>
  <c r="F179" i="61"/>
  <c r="G179" i="61" s="1"/>
  <c r="F316" i="61"/>
  <c r="G316" i="61" s="1"/>
  <c r="F268" i="61"/>
  <c r="G268" i="61" s="1"/>
  <c r="F178" i="61"/>
  <c r="G178" i="61" s="1"/>
  <c r="F271" i="61"/>
  <c r="G271" i="61" s="1"/>
  <c r="F181" i="61"/>
  <c r="G181" i="61" s="1"/>
  <c r="F182" i="61"/>
  <c r="G182" i="61" s="1"/>
  <c r="F317" i="61"/>
  <c r="G317" i="61" s="1"/>
  <c r="F269" i="61"/>
  <c r="G269" i="61" s="1"/>
  <c r="F270" i="61"/>
  <c r="G270" i="61" s="1"/>
  <c r="F314" i="61"/>
  <c r="G314" i="61" s="1"/>
  <c r="F272" i="61"/>
  <c r="G272" i="61" s="1"/>
  <c r="F315" i="61"/>
  <c r="G315" i="61" s="1"/>
  <c r="F313" i="61"/>
  <c r="G313" i="61" s="1"/>
  <c r="F618" i="61"/>
  <c r="G618" i="61" s="1"/>
  <c r="F665" i="61"/>
  <c r="G665" i="61" s="1"/>
  <c r="F667" i="61"/>
  <c r="G667" i="61" s="1"/>
  <c r="F531" i="61"/>
  <c r="G531" i="61" s="1"/>
  <c r="F666" i="61"/>
  <c r="G666" i="61" s="1"/>
  <c r="F529" i="61"/>
  <c r="G529" i="61" s="1"/>
  <c r="F664" i="61"/>
  <c r="G664" i="61" s="1"/>
  <c r="F663" i="61"/>
  <c r="G663" i="61" s="1"/>
  <c r="F532" i="61"/>
  <c r="G532" i="61" s="1"/>
  <c r="F530" i="61"/>
  <c r="G530" i="61" s="1"/>
  <c r="F622" i="61"/>
  <c r="G622" i="61" s="1"/>
  <c r="F528" i="61"/>
  <c r="G528" i="61" s="1"/>
  <c r="F621" i="61"/>
  <c r="G621" i="61" s="1"/>
  <c r="F620" i="61"/>
  <c r="G620" i="61" s="1"/>
  <c r="F619" i="61"/>
  <c r="G619" i="61" s="1"/>
  <c r="F1090" i="61"/>
  <c r="G1090" i="61" s="1"/>
  <c r="F1137" i="61"/>
  <c r="G1137" i="61" s="1"/>
  <c r="F1089" i="61"/>
  <c r="G1089" i="61" s="1"/>
  <c r="F1136" i="61"/>
  <c r="G1136" i="61" s="1"/>
  <c r="F1088" i="61"/>
  <c r="G1088" i="61" s="1"/>
  <c r="F1135" i="61"/>
  <c r="G1135" i="61" s="1"/>
  <c r="F1134" i="61"/>
  <c r="G1134" i="61" s="1"/>
  <c r="F1133" i="61"/>
  <c r="G1133" i="61" s="1"/>
  <c r="F1092" i="61"/>
  <c r="G1092" i="61" s="1"/>
  <c r="F1091" i="61"/>
  <c r="G1091" i="61" s="1"/>
  <c r="F44" i="61"/>
  <c r="G44" i="61" s="1"/>
  <c r="F46" i="61"/>
  <c r="G46" i="61" s="1"/>
  <c r="F47" i="61"/>
  <c r="G47" i="61" s="1"/>
  <c r="F91" i="61"/>
  <c r="G91" i="61" s="1"/>
  <c r="F89" i="61"/>
  <c r="G89" i="61" s="1"/>
  <c r="F92" i="61"/>
  <c r="G92" i="61" s="1"/>
  <c r="F43" i="61"/>
  <c r="G43" i="61" s="1"/>
  <c r="F45" i="61"/>
  <c r="G45" i="61" s="1"/>
  <c r="F88" i="61"/>
  <c r="G88" i="61" s="1"/>
  <c r="F90" i="61"/>
  <c r="G90" i="61" s="1"/>
  <c r="F28" i="61"/>
  <c r="G28" i="61" s="1"/>
  <c r="F76" i="61"/>
  <c r="G76" i="61" s="1"/>
  <c r="F30" i="61"/>
  <c r="G30" i="61" s="1"/>
  <c r="F31" i="61"/>
  <c r="G31" i="61" s="1"/>
  <c r="F73" i="61"/>
  <c r="G73" i="61" s="1"/>
  <c r="F74" i="61"/>
  <c r="G74" i="61" s="1"/>
  <c r="F75" i="61"/>
  <c r="G75" i="61" s="1"/>
  <c r="F29" i="61"/>
  <c r="G29" i="61" s="1"/>
  <c r="F77" i="61"/>
  <c r="G77" i="61" s="1"/>
  <c r="F32" i="61"/>
  <c r="G32" i="61" s="1"/>
  <c r="F786" i="61"/>
  <c r="G786" i="61" s="1"/>
  <c r="F738" i="61"/>
  <c r="G738" i="61" s="1"/>
  <c r="F785" i="61"/>
  <c r="G785" i="61" s="1"/>
  <c r="F784" i="61"/>
  <c r="G784" i="61" s="1"/>
  <c r="F783" i="61"/>
  <c r="G783" i="61" s="1"/>
  <c r="F742" i="61"/>
  <c r="G742" i="61" s="1"/>
  <c r="F741" i="61"/>
  <c r="G741" i="61" s="1"/>
  <c r="F740" i="61"/>
  <c r="G740" i="61" s="1"/>
  <c r="F787" i="61"/>
  <c r="G787" i="61" s="1"/>
  <c r="F739" i="61"/>
  <c r="G739" i="61" s="1"/>
  <c r="F12" i="61"/>
  <c r="G12" i="61" s="1"/>
  <c r="F54" i="61"/>
  <c r="G54" i="61" s="1"/>
  <c r="F55" i="61"/>
  <c r="G55" i="61" s="1"/>
  <c r="F9" i="61"/>
  <c r="G9" i="61" s="1"/>
  <c r="F57" i="61"/>
  <c r="G57" i="61" s="1"/>
  <c r="F53" i="61"/>
  <c r="G53" i="61" s="1"/>
  <c r="F8" i="61"/>
  <c r="G8" i="61" s="1"/>
  <c r="F56" i="61"/>
  <c r="G56" i="61" s="1"/>
  <c r="F10" i="61"/>
  <c r="G10" i="61" s="1"/>
  <c r="F11" i="61"/>
  <c r="G11" i="61" s="1"/>
  <c r="F143" i="61"/>
  <c r="G143" i="61" s="1"/>
  <c r="F234" i="61"/>
  <c r="G234" i="61" s="1"/>
  <c r="F237" i="61"/>
  <c r="G237" i="61" s="1"/>
  <c r="F280" i="61"/>
  <c r="G280" i="61" s="1"/>
  <c r="F281" i="61"/>
  <c r="G281" i="61" s="1"/>
  <c r="F144" i="61"/>
  <c r="G144" i="61" s="1"/>
  <c r="F278" i="61"/>
  <c r="G278" i="61" s="1"/>
  <c r="F279" i="61"/>
  <c r="G279" i="61" s="1"/>
  <c r="F282" i="61"/>
  <c r="G282" i="61" s="1"/>
  <c r="F147" i="61"/>
  <c r="G147" i="61" s="1"/>
  <c r="F235" i="61"/>
  <c r="G235" i="61" s="1"/>
  <c r="F236" i="61"/>
  <c r="G236" i="61" s="1"/>
  <c r="F145" i="61"/>
  <c r="G145" i="61" s="1"/>
  <c r="F146" i="61"/>
  <c r="G146" i="61" s="1"/>
  <c r="F233" i="61"/>
  <c r="G233" i="61" s="1"/>
  <c r="F1019" i="61"/>
  <c r="G1019" i="61" s="1"/>
  <c r="F976" i="61"/>
  <c r="G976" i="61" s="1"/>
  <c r="F975" i="61"/>
  <c r="G975" i="61" s="1"/>
  <c r="F1018" i="61"/>
  <c r="G1018" i="61" s="1"/>
  <c r="F886" i="61"/>
  <c r="G886" i="61" s="1"/>
  <c r="F885" i="61"/>
  <c r="G885" i="61" s="1"/>
  <c r="F884" i="61"/>
  <c r="G884" i="61" s="1"/>
  <c r="F883" i="61"/>
  <c r="G883" i="61" s="1"/>
  <c r="F974" i="61"/>
  <c r="G974" i="61" s="1"/>
  <c r="F973" i="61"/>
  <c r="G973" i="61" s="1"/>
  <c r="F977" i="61"/>
  <c r="G977" i="61" s="1"/>
  <c r="F887" i="61"/>
  <c r="G887" i="61" s="1"/>
  <c r="F1022" i="61"/>
  <c r="G1022" i="61" s="1"/>
  <c r="F1021" i="61"/>
  <c r="G1021" i="61" s="1"/>
  <c r="F1020" i="61"/>
  <c r="G1020" i="61" s="1"/>
  <c r="K117" i="60"/>
  <c r="F1162" i="61"/>
  <c r="G1162" i="61" s="1"/>
  <c r="F1114" i="61"/>
  <c r="G1114" i="61" s="1"/>
  <c r="F1161" i="61"/>
  <c r="G1161" i="61" s="1"/>
  <c r="F1113" i="61"/>
  <c r="G1113" i="61" s="1"/>
  <c r="F1160" i="61"/>
  <c r="G1160" i="61" s="1"/>
  <c r="F1159" i="61"/>
  <c r="G1159" i="61" s="1"/>
  <c r="F1158" i="61"/>
  <c r="G1158" i="61" s="1"/>
  <c r="F1117" i="61"/>
  <c r="G1117" i="61" s="1"/>
  <c r="F1116" i="61"/>
  <c r="G1116" i="61" s="1"/>
  <c r="F1115" i="61"/>
  <c r="G1115" i="61" s="1"/>
  <c r="F3" i="61"/>
  <c r="G3" i="61" s="1"/>
  <c r="F4" i="61"/>
  <c r="G4" i="61" s="1"/>
  <c r="F52" i="61"/>
  <c r="G52" i="61" s="1"/>
  <c r="F6" i="61"/>
  <c r="G6" i="61" s="1"/>
  <c r="F7" i="61"/>
  <c r="G7" i="61" s="1"/>
  <c r="F49" i="61"/>
  <c r="G49" i="61" s="1"/>
  <c r="F51" i="61"/>
  <c r="G51" i="61" s="1"/>
  <c r="F5" i="61"/>
  <c r="G5" i="61" s="1"/>
  <c r="F48" i="61"/>
  <c r="G48" i="61" s="1"/>
  <c r="F50" i="61"/>
  <c r="G50" i="61" s="1"/>
  <c r="F1106" i="61"/>
  <c r="G1106" i="61" s="1"/>
  <c r="F1105" i="61"/>
  <c r="G1105" i="61" s="1"/>
  <c r="F1152" i="61"/>
  <c r="G1152" i="61" s="1"/>
  <c r="F1104" i="61"/>
  <c r="G1104" i="61" s="1"/>
  <c r="F1151" i="61"/>
  <c r="G1151" i="61" s="1"/>
  <c r="F1103" i="61"/>
  <c r="G1103" i="61" s="1"/>
  <c r="F1150" i="61"/>
  <c r="G1150" i="61" s="1"/>
  <c r="F1149" i="61"/>
  <c r="G1149" i="61" s="1"/>
  <c r="F1148" i="61"/>
  <c r="G1148" i="61" s="1"/>
  <c r="F1107" i="61"/>
  <c r="G1107" i="61" s="1"/>
  <c r="F418" i="61"/>
  <c r="G418" i="61" s="1"/>
  <c r="F377" i="61"/>
  <c r="G377" i="61" s="1"/>
  <c r="F376" i="61"/>
  <c r="G376" i="61" s="1"/>
  <c r="F375" i="61"/>
  <c r="G375" i="61" s="1"/>
  <c r="F422" i="61"/>
  <c r="G422" i="61" s="1"/>
  <c r="F374" i="61"/>
  <c r="G374" i="61" s="1"/>
  <c r="F421" i="61"/>
  <c r="G421" i="61" s="1"/>
  <c r="F373" i="61"/>
  <c r="G373" i="61" s="1"/>
  <c r="F420" i="61"/>
  <c r="G420" i="61" s="1"/>
  <c r="F419" i="61"/>
  <c r="G419" i="61" s="1"/>
  <c r="F601" i="61"/>
  <c r="G601" i="61" s="1"/>
  <c r="F512" i="61"/>
  <c r="G512" i="61" s="1"/>
  <c r="F511" i="61"/>
  <c r="G511" i="61" s="1"/>
  <c r="F598" i="61"/>
  <c r="G598" i="61" s="1"/>
  <c r="F602" i="61"/>
  <c r="G602" i="61" s="1"/>
  <c r="F646" i="61"/>
  <c r="G646" i="61" s="1"/>
  <c r="F600" i="61"/>
  <c r="G600" i="61" s="1"/>
  <c r="F599" i="61"/>
  <c r="G599" i="61" s="1"/>
  <c r="F645" i="61"/>
  <c r="G645" i="61" s="1"/>
  <c r="F644" i="61"/>
  <c r="G644" i="61" s="1"/>
  <c r="F643" i="61"/>
  <c r="G643" i="61" s="1"/>
  <c r="F647" i="61"/>
  <c r="G647" i="61" s="1"/>
  <c r="F510" i="61"/>
  <c r="G510" i="61" s="1"/>
  <c r="F509" i="61"/>
  <c r="G509" i="61" s="1"/>
  <c r="F508" i="61"/>
  <c r="G508" i="61" s="1"/>
  <c r="F970" i="61"/>
  <c r="G970" i="61" s="1"/>
  <c r="F1014" i="61"/>
  <c r="G1014" i="61" s="1"/>
  <c r="F1013" i="61"/>
  <c r="G1013" i="61" s="1"/>
  <c r="F1017" i="61"/>
  <c r="G1017" i="61" s="1"/>
  <c r="F968" i="61"/>
  <c r="G968" i="61" s="1"/>
  <c r="F881" i="61"/>
  <c r="G881" i="61" s="1"/>
  <c r="F1016" i="61"/>
  <c r="G1016" i="61" s="1"/>
  <c r="F1015" i="61"/>
  <c r="G1015" i="61" s="1"/>
  <c r="F878" i="61"/>
  <c r="G878" i="61" s="1"/>
  <c r="F882" i="61"/>
  <c r="G882" i="61" s="1"/>
  <c r="F972" i="61"/>
  <c r="G972" i="61" s="1"/>
  <c r="F971" i="61"/>
  <c r="G971" i="61" s="1"/>
  <c r="F969" i="61"/>
  <c r="G969" i="61" s="1"/>
  <c r="F880" i="61"/>
  <c r="G880" i="61" s="1"/>
  <c r="F879" i="61"/>
  <c r="G879" i="61" s="1"/>
  <c r="F1170" i="61"/>
  <c r="G1170" i="61" s="1"/>
  <c r="F1169" i="61"/>
  <c r="G1169" i="61" s="1"/>
  <c r="F1168" i="61"/>
  <c r="G1168" i="61" s="1"/>
  <c r="F1127" i="61"/>
  <c r="G1127" i="61" s="1"/>
  <c r="F1126" i="61"/>
  <c r="G1126" i="61" s="1"/>
  <c r="F1125" i="61"/>
  <c r="G1125" i="61" s="1"/>
  <c r="F1172" i="61"/>
  <c r="G1172" i="61" s="1"/>
  <c r="F1124" i="61"/>
  <c r="G1124" i="61" s="1"/>
  <c r="F1171" i="61"/>
  <c r="G1171" i="61" s="1"/>
  <c r="F1123" i="61"/>
  <c r="G1123" i="61" s="1"/>
  <c r="F746" i="61"/>
  <c r="G746" i="61" s="1"/>
  <c r="F745" i="61"/>
  <c r="G745" i="61" s="1"/>
  <c r="F792" i="61"/>
  <c r="G792" i="61" s="1"/>
  <c r="F744" i="61"/>
  <c r="G744" i="61" s="1"/>
  <c r="F791" i="61"/>
  <c r="G791" i="61" s="1"/>
  <c r="F743" i="61"/>
  <c r="G743" i="61" s="1"/>
  <c r="F790" i="61"/>
  <c r="G790" i="61" s="1"/>
  <c r="F789" i="61"/>
  <c r="G789" i="61" s="1"/>
  <c r="F788" i="61"/>
  <c r="G788" i="61" s="1"/>
  <c r="F747" i="61"/>
  <c r="G747" i="61" s="1"/>
  <c r="F232" i="61"/>
  <c r="G232" i="61" s="1"/>
  <c r="F273" i="61"/>
  <c r="G273" i="61" s="1"/>
  <c r="F274" i="61"/>
  <c r="G274" i="61" s="1"/>
  <c r="F276" i="61"/>
  <c r="G276" i="61" s="1"/>
  <c r="F275" i="61"/>
  <c r="G275" i="61" s="1"/>
  <c r="F138" i="61"/>
  <c r="G138" i="61" s="1"/>
  <c r="F142" i="61"/>
  <c r="G142" i="61" s="1"/>
  <c r="F139" i="61"/>
  <c r="G139" i="61" s="1"/>
  <c r="F228" i="61"/>
  <c r="G228" i="61" s="1"/>
  <c r="F231" i="61"/>
  <c r="G231" i="61" s="1"/>
  <c r="F141" i="61"/>
  <c r="G141" i="61" s="1"/>
  <c r="F140" i="61"/>
  <c r="G140" i="61" s="1"/>
  <c r="F277" i="61"/>
  <c r="G277" i="61" s="1"/>
  <c r="F229" i="61"/>
  <c r="G229" i="61" s="1"/>
  <c r="F230" i="61"/>
  <c r="G230" i="61" s="1"/>
  <c r="F240" i="61"/>
  <c r="G240" i="61" s="1"/>
  <c r="F284" i="61"/>
  <c r="G284" i="61" s="1"/>
  <c r="F242" i="61"/>
  <c r="G242" i="61" s="1"/>
  <c r="F285" i="61"/>
  <c r="G285" i="61" s="1"/>
  <c r="F238" i="61"/>
  <c r="G238" i="61" s="1"/>
  <c r="F241" i="61"/>
  <c r="G241" i="61" s="1"/>
  <c r="F152" i="61"/>
  <c r="G152" i="61" s="1"/>
  <c r="F286" i="61"/>
  <c r="G286" i="61" s="1"/>
  <c r="F287" i="61"/>
  <c r="G287" i="61" s="1"/>
  <c r="F151" i="61"/>
  <c r="G151" i="61" s="1"/>
  <c r="F150" i="61"/>
  <c r="G150" i="61" s="1"/>
  <c r="F148" i="61"/>
  <c r="G148" i="61" s="1"/>
  <c r="F239" i="61"/>
  <c r="G239" i="61" s="1"/>
  <c r="F149" i="61"/>
  <c r="G149" i="61" s="1"/>
  <c r="F283" i="61"/>
  <c r="G283" i="61" s="1"/>
  <c r="F255" i="61"/>
  <c r="G255" i="61" s="1"/>
  <c r="F165" i="61"/>
  <c r="G165" i="61" s="1"/>
  <c r="F300" i="61"/>
  <c r="G300" i="61" s="1"/>
  <c r="F299" i="61"/>
  <c r="G299" i="61" s="1"/>
  <c r="F301" i="61"/>
  <c r="G301" i="61" s="1"/>
  <c r="F253" i="61"/>
  <c r="G253" i="61" s="1"/>
  <c r="F254" i="61"/>
  <c r="G254" i="61" s="1"/>
  <c r="F257" i="61"/>
  <c r="G257" i="61" s="1"/>
  <c r="F164" i="61"/>
  <c r="G164" i="61" s="1"/>
  <c r="F167" i="61"/>
  <c r="G167" i="61" s="1"/>
  <c r="F298" i="61"/>
  <c r="G298" i="61" s="1"/>
  <c r="F166" i="61"/>
  <c r="G166" i="61" s="1"/>
  <c r="F302" i="61"/>
  <c r="G302" i="61" s="1"/>
  <c r="F163" i="61"/>
  <c r="G163" i="61" s="1"/>
  <c r="F256" i="61"/>
  <c r="G256" i="61" s="1"/>
  <c r="F610" i="61"/>
  <c r="G610" i="61" s="1"/>
  <c r="F657" i="61"/>
  <c r="G657" i="61" s="1"/>
  <c r="F654" i="61"/>
  <c r="G654" i="61" s="1"/>
  <c r="F608" i="61"/>
  <c r="G608" i="61" s="1"/>
  <c r="F653" i="61"/>
  <c r="G653" i="61" s="1"/>
  <c r="F521" i="61"/>
  <c r="G521" i="61" s="1"/>
  <c r="F656" i="61"/>
  <c r="G656" i="61" s="1"/>
  <c r="F655" i="61"/>
  <c r="G655" i="61" s="1"/>
  <c r="F518" i="61"/>
  <c r="G518" i="61" s="1"/>
  <c r="F522" i="61"/>
  <c r="G522" i="61" s="1"/>
  <c r="F609" i="61"/>
  <c r="G609" i="61" s="1"/>
  <c r="F520" i="61"/>
  <c r="G520" i="61" s="1"/>
  <c r="F519" i="61"/>
  <c r="G519" i="61" s="1"/>
  <c r="F612" i="61"/>
  <c r="G612" i="61" s="1"/>
  <c r="F611" i="61"/>
  <c r="G611" i="61" s="1"/>
  <c r="F1138" i="61"/>
  <c r="G1138" i="61" s="1"/>
  <c r="F1097" i="61"/>
  <c r="G1097" i="61" s="1"/>
  <c r="F1096" i="61"/>
  <c r="G1096" i="61" s="1"/>
  <c r="F1095" i="61"/>
  <c r="G1095" i="61" s="1"/>
  <c r="F1142" i="61"/>
  <c r="G1142" i="61" s="1"/>
  <c r="F1094" i="61"/>
  <c r="G1094" i="61" s="1"/>
  <c r="F1141" i="61"/>
  <c r="G1141" i="61" s="1"/>
  <c r="F1093" i="61"/>
  <c r="G1093" i="61" s="1"/>
  <c r="F1140" i="61"/>
  <c r="G1140" i="61" s="1"/>
  <c r="F1139" i="61"/>
  <c r="G1139" i="61" s="1"/>
  <c r="F1130" i="61"/>
  <c r="G1130" i="61" s="1"/>
  <c r="F1129" i="61"/>
  <c r="G1129" i="61" s="1"/>
  <c r="F1128" i="61"/>
  <c r="G1128" i="61" s="1"/>
  <c r="F1087" i="61"/>
  <c r="G1087" i="61" s="1"/>
  <c r="F1086" i="61"/>
  <c r="G1086" i="61" s="1"/>
  <c r="F1085" i="61"/>
  <c r="G1085" i="61" s="1"/>
  <c r="F1132" i="61"/>
  <c r="G1132" i="61" s="1"/>
  <c r="F1084" i="61"/>
  <c r="G1084" i="61" s="1"/>
  <c r="F1131" i="61"/>
  <c r="G1131" i="61" s="1"/>
  <c r="F1083" i="61"/>
  <c r="G1083" i="61" s="1"/>
  <c r="F60" i="61"/>
  <c r="G60" i="61" s="1"/>
  <c r="F14" i="61"/>
  <c r="G14" i="61" s="1"/>
  <c r="F62" i="61"/>
  <c r="G62" i="61" s="1"/>
  <c r="F15" i="61"/>
  <c r="G15" i="61" s="1"/>
  <c r="F17" i="61"/>
  <c r="G17" i="61" s="1"/>
  <c r="F16" i="61"/>
  <c r="G16" i="61" s="1"/>
  <c r="F58" i="61"/>
  <c r="G58" i="61" s="1"/>
  <c r="F59" i="61"/>
  <c r="G59" i="61" s="1"/>
  <c r="G13" i="61"/>
  <c r="F61" i="61"/>
  <c r="G61" i="61" s="1"/>
  <c r="F260" i="61"/>
  <c r="G260" i="61" s="1"/>
  <c r="F170" i="61"/>
  <c r="G170" i="61" s="1"/>
  <c r="F259" i="61"/>
  <c r="G259" i="61" s="1"/>
  <c r="F307" i="61"/>
  <c r="G307" i="61" s="1"/>
  <c r="F169" i="61"/>
  <c r="G169" i="61" s="1"/>
  <c r="F261" i="61"/>
  <c r="G261" i="61" s="1"/>
  <c r="F262" i="61"/>
  <c r="G262" i="61" s="1"/>
  <c r="F304" i="61"/>
  <c r="G304" i="61" s="1"/>
  <c r="F258" i="61"/>
  <c r="G258" i="61" s="1"/>
  <c r="F172" i="61"/>
  <c r="G172" i="61" s="1"/>
  <c r="F168" i="61"/>
  <c r="G168" i="61" s="1"/>
  <c r="F303" i="61"/>
  <c r="G303" i="61" s="1"/>
  <c r="F306" i="61"/>
  <c r="G306" i="61" s="1"/>
  <c r="F305" i="61"/>
  <c r="G305" i="61" s="1"/>
  <c r="F171" i="61"/>
  <c r="G171" i="61" s="1"/>
  <c r="F674" i="61"/>
  <c r="G674" i="61" s="1"/>
  <c r="F539" i="61"/>
  <c r="G539" i="61" s="1"/>
  <c r="F542" i="61"/>
  <c r="G542" i="61" s="1"/>
  <c r="F541" i="61"/>
  <c r="G541" i="61" s="1"/>
  <c r="F540" i="61"/>
  <c r="G540" i="61" s="1"/>
  <c r="F538" i="61"/>
  <c r="G538" i="61" s="1"/>
  <c r="F630" i="61"/>
  <c r="G630" i="61" s="1"/>
  <c r="F629" i="61"/>
  <c r="G629" i="61" s="1"/>
  <c r="F628" i="61"/>
  <c r="G628" i="61" s="1"/>
  <c r="F673" i="61"/>
  <c r="G673" i="61" s="1"/>
  <c r="F632" i="61"/>
  <c r="G632" i="61" s="1"/>
  <c r="F631" i="61"/>
  <c r="G631" i="61" s="1"/>
  <c r="F677" i="61"/>
  <c r="G677" i="61" s="1"/>
  <c r="F676" i="61"/>
  <c r="G676" i="61" s="1"/>
  <c r="F675" i="61"/>
  <c r="G675" i="61" s="1"/>
  <c r="F442" i="61"/>
  <c r="G442" i="61" s="1"/>
  <c r="F394" i="61"/>
  <c r="G394" i="61" s="1"/>
  <c r="F441" i="61"/>
  <c r="G441" i="61" s="1"/>
  <c r="F393" i="61"/>
  <c r="G393" i="61" s="1"/>
  <c r="F440" i="61"/>
  <c r="G440" i="61" s="1"/>
  <c r="F439" i="61"/>
  <c r="G439" i="61" s="1"/>
  <c r="F438" i="61"/>
  <c r="G438" i="61" s="1"/>
  <c r="F397" i="61"/>
  <c r="G397" i="61" s="1"/>
  <c r="F396" i="61"/>
  <c r="G396" i="61" s="1"/>
  <c r="F395" i="61"/>
  <c r="G395" i="61" s="1"/>
  <c r="F984" i="61"/>
  <c r="G984" i="61" s="1"/>
  <c r="F983" i="61"/>
  <c r="G983" i="61" s="1"/>
  <c r="F897" i="61"/>
  <c r="G897" i="61" s="1"/>
  <c r="F1032" i="61"/>
  <c r="G1032" i="61" s="1"/>
  <c r="F1031" i="61"/>
  <c r="G1031" i="61" s="1"/>
  <c r="F894" i="61"/>
  <c r="G894" i="61" s="1"/>
  <c r="F893" i="61"/>
  <c r="G893" i="61" s="1"/>
  <c r="F987" i="61"/>
  <c r="G987" i="61" s="1"/>
  <c r="F985" i="61"/>
  <c r="G985" i="61" s="1"/>
  <c r="F896" i="61"/>
  <c r="G896" i="61" s="1"/>
  <c r="F895" i="61"/>
  <c r="G895" i="61" s="1"/>
  <c r="F986" i="61"/>
  <c r="G986" i="61" s="1"/>
  <c r="F1030" i="61"/>
  <c r="G1030" i="61" s="1"/>
  <c r="F1029" i="61"/>
  <c r="G1029" i="61" s="1"/>
  <c r="F1028" i="61"/>
  <c r="G1028" i="61" s="1"/>
  <c r="F1122" i="61"/>
  <c r="G1122" i="61" s="1"/>
  <c r="F1121" i="61"/>
  <c r="G1121" i="61" s="1"/>
  <c r="F1120" i="61"/>
  <c r="G1120" i="61" s="1"/>
  <c r="F1167" i="61"/>
  <c r="G1167" i="61" s="1"/>
  <c r="F1119" i="61"/>
  <c r="G1119" i="61" s="1"/>
  <c r="F1166" i="61"/>
  <c r="G1166" i="61" s="1"/>
  <c r="F1118" i="61"/>
  <c r="G1118" i="61" s="1"/>
  <c r="F1165" i="61"/>
  <c r="G1165" i="61" s="1"/>
  <c r="F1164" i="61"/>
  <c r="G1164" i="61" s="1"/>
  <c r="F1163" i="61"/>
  <c r="G1163" i="61" s="1"/>
  <c r="F36" i="61"/>
  <c r="G36" i="61" s="1"/>
  <c r="F78" i="61"/>
  <c r="G78" i="61" s="1"/>
  <c r="F79" i="61"/>
  <c r="G79" i="61" s="1"/>
  <c r="F33" i="61"/>
  <c r="G33" i="61" s="1"/>
  <c r="F81" i="61"/>
  <c r="G81" i="61" s="1"/>
  <c r="F35" i="61"/>
  <c r="G35" i="61" s="1"/>
  <c r="F37" i="61"/>
  <c r="G37" i="61" s="1"/>
  <c r="F80" i="61"/>
  <c r="G80" i="61" s="1"/>
  <c r="F34" i="61"/>
  <c r="G34" i="61" s="1"/>
  <c r="F82" i="61"/>
  <c r="G82" i="61" s="1"/>
  <c r="F794" i="61"/>
  <c r="G794" i="61" s="1"/>
  <c r="F793" i="61"/>
  <c r="G793" i="61" s="1"/>
  <c r="F752" i="61"/>
  <c r="G752" i="61" s="1"/>
  <c r="F751" i="61"/>
  <c r="G751" i="61" s="1"/>
  <c r="F750" i="61"/>
  <c r="G750" i="61" s="1"/>
  <c r="F797" i="61"/>
  <c r="G797" i="61" s="1"/>
  <c r="F749" i="61"/>
  <c r="G749" i="61" s="1"/>
  <c r="F796" i="61"/>
  <c r="G796" i="61" s="1"/>
  <c r="F748" i="61"/>
  <c r="G748" i="61" s="1"/>
  <c r="F795" i="61"/>
  <c r="G795" i="61" s="1"/>
  <c r="F38" i="61"/>
  <c r="G38" i="61" s="1"/>
  <c r="F39" i="61"/>
  <c r="G39" i="61" s="1"/>
  <c r="F41" i="61"/>
  <c r="G41" i="61" s="1"/>
  <c r="F83" i="61"/>
  <c r="G83" i="61" s="1"/>
  <c r="F84" i="61"/>
  <c r="G84" i="61" s="1"/>
  <c r="F40" i="61"/>
  <c r="G40" i="61" s="1"/>
  <c r="F85" i="61"/>
  <c r="G85" i="61" s="1"/>
  <c r="F42" i="61"/>
  <c r="G42" i="61" s="1"/>
  <c r="F86" i="61"/>
  <c r="G86" i="61" s="1"/>
  <c r="F87" i="61"/>
  <c r="G87" i="61" s="1"/>
  <c r="F308" i="61"/>
  <c r="G308" i="61" s="1"/>
  <c r="F177" i="61"/>
  <c r="G177" i="61" s="1"/>
  <c r="F263" i="61"/>
  <c r="G263" i="61" s="1"/>
  <c r="F173" i="61"/>
  <c r="G173" i="61" s="1"/>
  <c r="F309" i="61"/>
  <c r="G309" i="61" s="1"/>
  <c r="F265" i="61"/>
  <c r="G265" i="61" s="1"/>
  <c r="F175" i="61"/>
  <c r="G175" i="61" s="1"/>
  <c r="F312" i="61"/>
  <c r="G312" i="61" s="1"/>
  <c r="F267" i="61"/>
  <c r="G267" i="61" s="1"/>
  <c r="F174" i="61"/>
  <c r="G174" i="61" s="1"/>
  <c r="F266" i="61"/>
  <c r="G266" i="61" s="1"/>
  <c r="F176" i="61"/>
  <c r="G176" i="61" s="1"/>
  <c r="F310" i="61"/>
  <c r="G310" i="61" s="1"/>
  <c r="F311" i="61"/>
  <c r="G311" i="61" s="1"/>
  <c r="F264" i="61"/>
  <c r="G264" i="61" s="1"/>
  <c r="F506" i="61"/>
  <c r="G506" i="61" s="1"/>
  <c r="F593" i="61"/>
  <c r="G593" i="61" s="1"/>
  <c r="F504" i="61"/>
  <c r="G504" i="61" s="1"/>
  <c r="F503" i="61"/>
  <c r="G503" i="61" s="1"/>
  <c r="F597" i="61"/>
  <c r="G597" i="61" s="1"/>
  <c r="F596" i="61"/>
  <c r="G596" i="61" s="1"/>
  <c r="F595" i="61"/>
  <c r="G595" i="61" s="1"/>
  <c r="F594" i="61"/>
  <c r="G594" i="61" s="1"/>
  <c r="F641" i="61"/>
  <c r="G641" i="61" s="1"/>
  <c r="F638" i="61"/>
  <c r="G638" i="61" s="1"/>
  <c r="F507" i="61"/>
  <c r="G507" i="61" s="1"/>
  <c r="F642" i="61"/>
  <c r="G642" i="61" s="1"/>
  <c r="F505" i="61"/>
  <c r="G505" i="61" s="1"/>
  <c r="F640" i="61"/>
  <c r="G640" i="61" s="1"/>
  <c r="F639" i="61"/>
  <c r="G639" i="61" s="1"/>
  <c r="F1012" i="61"/>
  <c r="G1012" i="61" s="1"/>
  <c r="F1011" i="61"/>
  <c r="G1011" i="61" s="1"/>
  <c r="F1009" i="61"/>
  <c r="G1009" i="61" s="1"/>
  <c r="F967" i="61"/>
  <c r="G967" i="61" s="1"/>
  <c r="F1010" i="61"/>
  <c r="G1010" i="61" s="1"/>
  <c r="F877" i="61"/>
  <c r="G877" i="61" s="1"/>
  <c r="F876" i="61"/>
  <c r="G876" i="61" s="1"/>
  <c r="F875" i="61"/>
  <c r="G875" i="61" s="1"/>
  <c r="F873" i="61"/>
  <c r="G873" i="61" s="1"/>
  <c r="F1008" i="61"/>
  <c r="G1008" i="61" s="1"/>
  <c r="F874" i="61"/>
  <c r="G874" i="61" s="1"/>
  <c r="F966" i="61"/>
  <c r="G966" i="61" s="1"/>
  <c r="F965" i="61"/>
  <c r="G965" i="61" s="1"/>
  <c r="F964" i="61"/>
  <c r="G964" i="61" s="1"/>
  <c r="F963" i="61"/>
  <c r="G963" i="61" s="1"/>
  <c r="F291" i="61"/>
  <c r="G291" i="61" s="1"/>
  <c r="F245" i="61"/>
  <c r="G245" i="61" s="1"/>
  <c r="F246" i="61"/>
  <c r="G246" i="61" s="1"/>
  <c r="F288" i="61"/>
  <c r="G288" i="61" s="1"/>
  <c r="F289" i="61"/>
  <c r="G289" i="61" s="1"/>
  <c r="F290" i="61"/>
  <c r="G290" i="61" s="1"/>
  <c r="F155" i="61"/>
  <c r="G155" i="61" s="1"/>
  <c r="F156" i="61"/>
  <c r="G156" i="61" s="1"/>
  <c r="F244" i="61"/>
  <c r="G244" i="61" s="1"/>
  <c r="F153" i="61"/>
  <c r="G153" i="61" s="1"/>
  <c r="F154" i="61"/>
  <c r="G154" i="61" s="1"/>
  <c r="F243" i="61"/>
  <c r="G243" i="61" s="1"/>
  <c r="F247" i="61"/>
  <c r="G247" i="61" s="1"/>
  <c r="F157" i="61"/>
  <c r="G157" i="61" s="1"/>
  <c r="F292" i="61"/>
  <c r="G292" i="61" s="1"/>
  <c r="H41" i="61"/>
  <c r="H49" i="61"/>
  <c r="H57" i="61"/>
  <c r="H65" i="61"/>
  <c r="H73" i="61"/>
  <c r="H81" i="61"/>
  <c r="H89" i="61"/>
  <c r="H97" i="61"/>
  <c r="H105" i="61"/>
  <c r="H113" i="61"/>
  <c r="H121" i="61"/>
  <c r="H129" i="61"/>
  <c r="H42" i="61"/>
  <c r="H50" i="61"/>
  <c r="H58" i="61"/>
  <c r="H66" i="61"/>
  <c r="H74" i="61"/>
  <c r="H82" i="61"/>
  <c r="H90" i="61"/>
  <c r="H98" i="61"/>
  <c r="H106" i="61"/>
  <c r="H114" i="61"/>
  <c r="H122" i="61"/>
  <c r="H130" i="61"/>
  <c r="H138" i="61"/>
  <c r="H146" i="61"/>
  <c r="H154" i="61"/>
  <c r="H162" i="61"/>
  <c r="H170" i="61"/>
  <c r="H43" i="61"/>
  <c r="H51" i="61"/>
  <c r="H59" i="61"/>
  <c r="H67" i="61"/>
  <c r="H75" i="61"/>
  <c r="H83" i="61"/>
  <c r="H91" i="61"/>
  <c r="H99" i="61"/>
  <c r="H107" i="61"/>
  <c r="H115" i="61"/>
  <c r="H123" i="61"/>
  <c r="H131" i="61"/>
  <c r="H37" i="61"/>
  <c r="H45" i="61"/>
  <c r="H53" i="61"/>
  <c r="H61" i="61"/>
  <c r="H69" i="61"/>
  <c r="H77" i="61"/>
  <c r="H85" i="61"/>
  <c r="H93" i="61"/>
  <c r="H101" i="61"/>
  <c r="H109" i="61"/>
  <c r="H117" i="61"/>
  <c r="H125" i="61"/>
  <c r="H133" i="61"/>
  <c r="H141" i="61"/>
  <c r="H149" i="61"/>
  <c r="H157" i="61"/>
  <c r="H165" i="61"/>
  <c r="H38" i="61"/>
  <c r="H46" i="61"/>
  <c r="H54" i="61"/>
  <c r="H62" i="61"/>
  <c r="H70" i="61"/>
  <c r="H78" i="61"/>
  <c r="H86" i="61"/>
  <c r="H94" i="61"/>
  <c r="H102" i="61"/>
  <c r="H110" i="61"/>
  <c r="H118" i="61"/>
  <c r="H126" i="61"/>
  <c r="H134" i="61"/>
  <c r="H142" i="61"/>
  <c r="H150" i="61"/>
  <c r="H158" i="61"/>
  <c r="H166" i="61"/>
  <c r="H40" i="61"/>
  <c r="H48" i="61"/>
  <c r="H56" i="61"/>
  <c r="H64" i="61"/>
  <c r="H72" i="61"/>
  <c r="H80" i="61"/>
  <c r="H88" i="61"/>
  <c r="H96" i="61"/>
  <c r="H104" i="61"/>
  <c r="H112" i="61"/>
  <c r="H120" i="61"/>
  <c r="H128" i="61"/>
  <c r="H136" i="61"/>
  <c r="H144" i="61"/>
  <c r="H152" i="61"/>
  <c r="H160" i="61"/>
  <c r="H168" i="61"/>
  <c r="H55" i="61"/>
  <c r="H87" i="61"/>
  <c r="H119" i="61"/>
  <c r="H143" i="61"/>
  <c r="H159" i="61"/>
  <c r="H173" i="61"/>
  <c r="H181" i="61"/>
  <c r="H189" i="61"/>
  <c r="H197" i="61"/>
  <c r="H205" i="61"/>
  <c r="H213" i="61"/>
  <c r="H221" i="61"/>
  <c r="H229" i="61"/>
  <c r="H237" i="61"/>
  <c r="H245" i="61"/>
  <c r="H253" i="61"/>
  <c r="H261" i="61"/>
  <c r="H269" i="61"/>
  <c r="H277" i="61"/>
  <c r="H285" i="61"/>
  <c r="H293" i="61"/>
  <c r="H301" i="61"/>
  <c r="H309" i="61"/>
  <c r="H317" i="61"/>
  <c r="H325" i="61"/>
  <c r="H333" i="61"/>
  <c r="H341" i="61"/>
  <c r="H349" i="61"/>
  <c r="H357" i="61"/>
  <c r="H365" i="61"/>
  <c r="H373" i="61"/>
  <c r="H381" i="61"/>
  <c r="H389" i="61"/>
  <c r="H397" i="61"/>
  <c r="H405" i="61"/>
  <c r="H413" i="61"/>
  <c r="H421" i="61"/>
  <c r="H429" i="61"/>
  <c r="H437" i="61"/>
  <c r="H445" i="61"/>
  <c r="H453" i="61"/>
  <c r="H461" i="61"/>
  <c r="H469" i="61"/>
  <c r="H477" i="61"/>
  <c r="H485" i="61"/>
  <c r="H493" i="61"/>
  <c r="H501" i="61"/>
  <c r="H509" i="61"/>
  <c r="H517" i="61"/>
  <c r="H525" i="61"/>
  <c r="H533" i="61"/>
  <c r="H541" i="61"/>
  <c r="H549" i="61"/>
  <c r="H557" i="61"/>
  <c r="H565" i="61"/>
  <c r="H573" i="61"/>
  <c r="H581" i="61"/>
  <c r="H589" i="61"/>
  <c r="H597" i="61"/>
  <c r="H605" i="61"/>
  <c r="H613" i="61"/>
  <c r="H621" i="61"/>
  <c r="H629" i="61"/>
  <c r="H637" i="61"/>
  <c r="H645" i="61"/>
  <c r="H653" i="61"/>
  <c r="H661" i="61"/>
  <c r="H669" i="61"/>
  <c r="H677" i="61"/>
  <c r="H685" i="61"/>
  <c r="H693" i="61"/>
  <c r="H701" i="61"/>
  <c r="H60" i="61"/>
  <c r="H92" i="61"/>
  <c r="H124" i="61"/>
  <c r="H145" i="61"/>
  <c r="H161" i="61"/>
  <c r="H174" i="61"/>
  <c r="H182" i="61"/>
  <c r="H190" i="61"/>
  <c r="H198" i="61"/>
  <c r="H206" i="61"/>
  <c r="H214" i="61"/>
  <c r="H222" i="61"/>
  <c r="H230" i="61"/>
  <c r="H238" i="61"/>
  <c r="H246" i="61"/>
  <c r="H254" i="61"/>
  <c r="H262" i="61"/>
  <c r="H270" i="61"/>
  <c r="H278" i="61"/>
  <c r="H286" i="61"/>
  <c r="H294" i="61"/>
  <c r="H302" i="61"/>
  <c r="H310" i="61"/>
  <c r="H326" i="61"/>
  <c r="H334" i="61"/>
  <c r="H342" i="61"/>
  <c r="H350" i="61"/>
  <c r="H358" i="61"/>
  <c r="H366" i="61"/>
  <c r="H374" i="61"/>
  <c r="H382" i="61"/>
  <c r="H390" i="61"/>
  <c r="H398" i="61"/>
  <c r="H406" i="61"/>
  <c r="H414" i="61"/>
  <c r="H422" i="61"/>
  <c r="H430" i="61"/>
  <c r="H438" i="61"/>
  <c r="H446" i="61"/>
  <c r="H454" i="61"/>
  <c r="H462" i="61"/>
  <c r="H470" i="61"/>
  <c r="H478" i="61"/>
  <c r="H486" i="61"/>
  <c r="H494" i="61"/>
  <c r="H502" i="61"/>
  <c r="H510" i="61"/>
  <c r="H518" i="61"/>
  <c r="H63" i="61"/>
  <c r="H95" i="61"/>
  <c r="H127" i="61"/>
  <c r="H147" i="61"/>
  <c r="H163" i="61"/>
  <c r="H175" i="61"/>
  <c r="H183" i="61"/>
  <c r="H191" i="61"/>
  <c r="H199" i="61"/>
  <c r="H207" i="61"/>
  <c r="H215" i="61"/>
  <c r="H223" i="61"/>
  <c r="H231" i="61"/>
  <c r="H239" i="61"/>
  <c r="H247" i="61"/>
  <c r="H255" i="61"/>
  <c r="H263" i="61"/>
  <c r="H271" i="61"/>
  <c r="H279" i="61"/>
  <c r="H287" i="61"/>
  <c r="H295" i="61"/>
  <c r="H303" i="61"/>
  <c r="H311" i="61"/>
  <c r="H319" i="61"/>
  <c r="H327" i="61"/>
  <c r="H335" i="61"/>
  <c r="H343" i="61"/>
  <c r="H351" i="61"/>
  <c r="H359" i="61"/>
  <c r="H367" i="61"/>
  <c r="H375" i="61"/>
  <c r="H383" i="61"/>
  <c r="H391" i="61"/>
  <c r="H399" i="61"/>
  <c r="H407" i="61"/>
  <c r="H415" i="61"/>
  <c r="H423" i="61"/>
  <c r="H431" i="61"/>
  <c r="H439" i="61"/>
  <c r="H447" i="61"/>
  <c r="H455" i="61"/>
  <c r="H463" i="61"/>
  <c r="H471" i="61"/>
  <c r="H479" i="61"/>
  <c r="H487" i="61"/>
  <c r="H495" i="61"/>
  <c r="H503" i="61"/>
  <c r="H511" i="61"/>
  <c r="H519" i="61"/>
  <c r="H527" i="61"/>
  <c r="H535" i="61"/>
  <c r="H543" i="61"/>
  <c r="H551" i="61"/>
  <c r="H559" i="61"/>
  <c r="H567" i="61"/>
  <c r="H575" i="61"/>
  <c r="H583" i="61"/>
  <c r="H591" i="61"/>
  <c r="H599" i="61"/>
  <c r="H607" i="61"/>
  <c r="H615" i="61"/>
  <c r="H623" i="61"/>
  <c r="H631" i="61"/>
  <c r="H639" i="61"/>
  <c r="H647" i="61"/>
  <c r="H655" i="61"/>
  <c r="H663" i="61"/>
  <c r="H671" i="61"/>
  <c r="H679" i="61"/>
  <c r="H687" i="61"/>
  <c r="H695" i="61"/>
  <c r="H703" i="61"/>
  <c r="H711" i="61"/>
  <c r="H36" i="61"/>
  <c r="H68" i="61"/>
  <c r="H100" i="61"/>
  <c r="H132" i="61"/>
  <c r="H148" i="61"/>
  <c r="H164" i="61"/>
  <c r="H176" i="61"/>
  <c r="H184" i="61"/>
  <c r="H192" i="61"/>
  <c r="H200" i="61"/>
  <c r="H208" i="61"/>
  <c r="H216" i="61"/>
  <c r="H224" i="61"/>
  <c r="H232" i="61"/>
  <c r="H240" i="61"/>
  <c r="H248" i="61"/>
  <c r="H256" i="61"/>
  <c r="H264" i="61"/>
  <c r="H272" i="61"/>
  <c r="H280" i="61"/>
  <c r="H288" i="61"/>
  <c r="H296" i="61"/>
  <c r="H304" i="61"/>
  <c r="H312" i="61"/>
  <c r="H320" i="61"/>
  <c r="H328" i="61"/>
  <c r="H336" i="61"/>
  <c r="H344" i="61"/>
  <c r="H352" i="61"/>
  <c r="H360" i="61"/>
  <c r="H368" i="61"/>
  <c r="H376" i="61"/>
  <c r="H384" i="61"/>
  <c r="H392" i="61"/>
  <c r="H400" i="61"/>
  <c r="H408" i="61"/>
  <c r="H416" i="61"/>
  <c r="H424" i="61"/>
  <c r="H432" i="61"/>
  <c r="H440" i="61"/>
  <c r="H448" i="61"/>
  <c r="H456" i="61"/>
  <c r="H464" i="61"/>
  <c r="H472" i="61"/>
  <c r="H480" i="61"/>
  <c r="H488" i="61"/>
  <c r="H496" i="61"/>
  <c r="H504" i="61"/>
  <c r="H512" i="61"/>
  <c r="H520" i="61"/>
  <c r="H528" i="61"/>
  <c r="H536" i="61"/>
  <c r="H544" i="61"/>
  <c r="H552" i="61"/>
  <c r="H560" i="61"/>
  <c r="H568" i="61"/>
  <c r="H576" i="61"/>
  <c r="H584" i="61"/>
  <c r="H592" i="61"/>
  <c r="H600" i="61"/>
  <c r="H608" i="61"/>
  <c r="H616" i="61"/>
  <c r="H624" i="61"/>
  <c r="H632" i="61"/>
  <c r="H640" i="61"/>
  <c r="H648" i="61"/>
  <c r="H656" i="61"/>
  <c r="H664" i="61"/>
  <c r="H672" i="61"/>
  <c r="H680" i="61"/>
  <c r="H688" i="61"/>
  <c r="H696" i="61"/>
  <c r="H704" i="61"/>
  <c r="H39" i="61"/>
  <c r="H71" i="61"/>
  <c r="H103" i="61"/>
  <c r="H135" i="61"/>
  <c r="H151" i="61"/>
  <c r="H167" i="61"/>
  <c r="H177" i="61"/>
  <c r="H185" i="61"/>
  <c r="H193" i="61"/>
  <c r="H201" i="61"/>
  <c r="H209" i="61"/>
  <c r="H217" i="61"/>
  <c r="H225" i="61"/>
  <c r="H233" i="61"/>
  <c r="H241" i="61"/>
  <c r="H249" i="61"/>
  <c r="H257" i="61"/>
  <c r="H265" i="61"/>
  <c r="H273" i="61"/>
  <c r="H281" i="61"/>
  <c r="H289" i="61"/>
  <c r="H297" i="61"/>
  <c r="H305" i="61"/>
  <c r="H313" i="61"/>
  <c r="H321" i="61"/>
  <c r="H329" i="61"/>
  <c r="H337" i="61"/>
  <c r="H345" i="61"/>
  <c r="H353" i="61"/>
  <c r="H361" i="61"/>
  <c r="H369" i="61"/>
  <c r="H377" i="61"/>
  <c r="H385" i="61"/>
  <c r="H393" i="61"/>
  <c r="H401" i="61"/>
  <c r="H409" i="61"/>
  <c r="H417" i="61"/>
  <c r="H425" i="61"/>
  <c r="H433" i="61"/>
  <c r="H441" i="61"/>
  <c r="H449" i="61"/>
  <c r="H457" i="61"/>
  <c r="H465" i="61"/>
  <c r="H473" i="61"/>
  <c r="H481" i="61"/>
  <c r="H489" i="61"/>
  <c r="H497" i="61"/>
  <c r="H505" i="61"/>
  <c r="H513" i="61"/>
  <c r="H521" i="61"/>
  <c r="H44" i="61"/>
  <c r="H76" i="61"/>
  <c r="H108" i="61"/>
  <c r="H137" i="61"/>
  <c r="H153" i="61"/>
  <c r="H169" i="61"/>
  <c r="H178" i="61"/>
  <c r="H186" i="61"/>
  <c r="H194" i="61"/>
  <c r="H202" i="61"/>
  <c r="H210" i="61"/>
  <c r="H218" i="61"/>
  <c r="H226" i="61"/>
  <c r="H234" i="61"/>
  <c r="H242" i="61"/>
  <c r="H250" i="61"/>
  <c r="H258" i="61"/>
  <c r="H266" i="61"/>
  <c r="H274" i="61"/>
  <c r="H282" i="61"/>
  <c r="H290" i="61"/>
  <c r="H298" i="61"/>
  <c r="H306" i="61"/>
  <c r="H314" i="61"/>
  <c r="H322" i="61"/>
  <c r="H330" i="61"/>
  <c r="H338" i="61"/>
  <c r="H346" i="61"/>
  <c r="H354" i="61"/>
  <c r="H362" i="61"/>
  <c r="H370" i="61"/>
  <c r="H378" i="61"/>
  <c r="H386" i="61"/>
  <c r="H394" i="61"/>
  <c r="H402" i="61"/>
  <c r="H410" i="61"/>
  <c r="H418" i="61"/>
  <c r="H426" i="61"/>
  <c r="H434" i="61"/>
  <c r="H442" i="61"/>
  <c r="H450" i="61"/>
  <c r="H458" i="61"/>
  <c r="H466" i="61"/>
  <c r="H474" i="61"/>
  <c r="H482" i="61"/>
  <c r="H490" i="61"/>
  <c r="H498" i="61"/>
  <c r="H506" i="61"/>
  <c r="H514" i="61"/>
  <c r="H522" i="61"/>
  <c r="H530" i="61"/>
  <c r="H538" i="61"/>
  <c r="H546" i="61"/>
  <c r="H554" i="61"/>
  <c r="H562" i="61"/>
  <c r="H570" i="61"/>
  <c r="H578" i="61"/>
  <c r="H586" i="61"/>
  <c r="H594" i="61"/>
  <c r="H602" i="61"/>
  <c r="H610" i="61"/>
  <c r="H618" i="61"/>
  <c r="H626" i="61"/>
  <c r="H634" i="61"/>
  <c r="H642" i="61"/>
  <c r="H650" i="61"/>
  <c r="H658" i="61"/>
  <c r="H666" i="61"/>
  <c r="H674" i="61"/>
  <c r="H682" i="61"/>
  <c r="H690" i="61"/>
  <c r="H698" i="61"/>
  <c r="H706" i="61"/>
  <c r="H714" i="61"/>
  <c r="H52" i="61"/>
  <c r="H84" i="61"/>
  <c r="H116" i="61"/>
  <c r="H140" i="61"/>
  <c r="H156" i="61"/>
  <c r="H172" i="61"/>
  <c r="H180" i="61"/>
  <c r="H188" i="61"/>
  <c r="H196" i="61"/>
  <c r="H204" i="61"/>
  <c r="H212" i="61"/>
  <c r="H220" i="61"/>
  <c r="H228" i="61"/>
  <c r="H236" i="61"/>
  <c r="H244" i="61"/>
  <c r="H252" i="61"/>
  <c r="H260" i="61"/>
  <c r="H268" i="61"/>
  <c r="H276" i="61"/>
  <c r="H284" i="61"/>
  <c r="H292" i="61"/>
  <c r="H300" i="61"/>
  <c r="H308" i="61"/>
  <c r="H316" i="61"/>
  <c r="H324" i="61"/>
  <c r="H332" i="61"/>
  <c r="H340" i="61"/>
  <c r="H348" i="61"/>
  <c r="H356" i="61"/>
  <c r="H155" i="61"/>
  <c r="H227" i="61"/>
  <c r="H291" i="61"/>
  <c r="H355" i="61"/>
  <c r="H388" i="61"/>
  <c r="H420" i="61"/>
  <c r="H452" i="61"/>
  <c r="H484" i="61"/>
  <c r="H516" i="61"/>
  <c r="H537" i="61"/>
  <c r="H553" i="61"/>
  <c r="H569" i="61"/>
  <c r="H585" i="61"/>
  <c r="H601" i="61"/>
  <c r="H617" i="61"/>
  <c r="H633" i="61"/>
  <c r="H649" i="61"/>
  <c r="H665" i="61"/>
  <c r="H681" i="61"/>
  <c r="H697" i="61"/>
  <c r="H710" i="61"/>
  <c r="H720" i="61"/>
  <c r="H728" i="61"/>
  <c r="H736" i="61"/>
  <c r="H744" i="61"/>
  <c r="H752" i="61"/>
  <c r="H760" i="61"/>
  <c r="H768" i="61"/>
  <c r="H776" i="61"/>
  <c r="H784" i="61"/>
  <c r="H792" i="61"/>
  <c r="H800" i="61"/>
  <c r="H808" i="61"/>
  <c r="H816" i="61"/>
  <c r="H824" i="61"/>
  <c r="H832" i="61"/>
  <c r="H840" i="61"/>
  <c r="H848" i="61"/>
  <c r="H856" i="61"/>
  <c r="H864" i="61"/>
  <c r="H872" i="61"/>
  <c r="H880" i="61"/>
  <c r="H888" i="61"/>
  <c r="H896" i="61"/>
  <c r="H904" i="61"/>
  <c r="H912" i="61"/>
  <c r="H920" i="61"/>
  <c r="H928" i="61"/>
  <c r="H936" i="61"/>
  <c r="H944" i="61"/>
  <c r="H952" i="61"/>
  <c r="H960" i="61"/>
  <c r="H968" i="61"/>
  <c r="H976" i="61"/>
  <c r="H984" i="61"/>
  <c r="H992" i="61"/>
  <c r="H1000" i="61"/>
  <c r="H1008" i="61"/>
  <c r="H1016" i="61"/>
  <c r="H1024" i="61"/>
  <c r="H1032" i="61"/>
  <c r="H1040" i="61"/>
  <c r="H1048" i="61"/>
  <c r="H1056" i="61"/>
  <c r="H1064" i="61"/>
  <c r="H1072" i="61"/>
  <c r="H1080" i="61"/>
  <c r="H1088" i="61"/>
  <c r="H1096" i="61"/>
  <c r="H1104" i="61"/>
  <c r="H1112" i="61"/>
  <c r="H1120" i="61"/>
  <c r="H1128" i="61"/>
  <c r="H1136" i="61"/>
  <c r="H1144" i="61"/>
  <c r="H1152" i="61"/>
  <c r="H1160" i="61"/>
  <c r="H1168" i="61"/>
  <c r="H1176" i="61"/>
  <c r="H1184" i="61"/>
  <c r="H1192" i="61"/>
  <c r="H1200" i="61"/>
  <c r="H1208" i="61"/>
  <c r="H1216" i="61"/>
  <c r="H171" i="61"/>
  <c r="H235" i="61"/>
  <c r="H299" i="61"/>
  <c r="H363" i="61"/>
  <c r="H395" i="61"/>
  <c r="H427" i="61"/>
  <c r="H459" i="61"/>
  <c r="H491" i="61"/>
  <c r="H523" i="61"/>
  <c r="H539" i="61"/>
  <c r="H555" i="61"/>
  <c r="H571" i="61"/>
  <c r="H587" i="61"/>
  <c r="H603" i="61"/>
  <c r="H619" i="61"/>
  <c r="H635" i="61"/>
  <c r="H651" i="61"/>
  <c r="H667" i="61"/>
  <c r="H683" i="61"/>
  <c r="H699" i="61"/>
  <c r="H712" i="61"/>
  <c r="H721" i="61"/>
  <c r="H729" i="61"/>
  <c r="H737" i="61"/>
  <c r="H745" i="61"/>
  <c r="H753" i="61"/>
  <c r="H761" i="61"/>
  <c r="H769" i="61"/>
  <c r="H777" i="61"/>
  <c r="H785" i="61"/>
  <c r="H793" i="61"/>
  <c r="H801" i="61"/>
  <c r="H809" i="61"/>
  <c r="H817" i="61"/>
  <c r="H825" i="61"/>
  <c r="H833" i="61"/>
  <c r="H841" i="61"/>
  <c r="H849" i="61"/>
  <c r="H857" i="61"/>
  <c r="H865" i="61"/>
  <c r="H873" i="61"/>
  <c r="H881" i="61"/>
  <c r="H889" i="61"/>
  <c r="H897" i="61"/>
  <c r="H905" i="61"/>
  <c r="H913" i="61"/>
  <c r="H921" i="61"/>
  <c r="H929" i="61"/>
  <c r="H937" i="61"/>
  <c r="H945" i="61"/>
  <c r="H953" i="61"/>
  <c r="H961" i="61"/>
  <c r="H179" i="61"/>
  <c r="H243" i="61"/>
  <c r="H307" i="61"/>
  <c r="H364" i="61"/>
  <c r="H396" i="61"/>
  <c r="H428" i="61"/>
  <c r="H460" i="61"/>
  <c r="H492" i="61"/>
  <c r="H524" i="61"/>
  <c r="H540" i="61"/>
  <c r="H556" i="61"/>
  <c r="H572" i="61"/>
  <c r="H588" i="61"/>
  <c r="H604" i="61"/>
  <c r="H620" i="61"/>
  <c r="H636" i="61"/>
  <c r="H652" i="61"/>
  <c r="H668" i="61"/>
  <c r="H684" i="61"/>
  <c r="H700" i="61"/>
  <c r="H713" i="61"/>
  <c r="H722" i="61"/>
  <c r="H730" i="61"/>
  <c r="H738" i="61"/>
  <c r="H746" i="61"/>
  <c r="H754" i="61"/>
  <c r="H762" i="61"/>
  <c r="H770" i="61"/>
  <c r="H778" i="61"/>
  <c r="H786" i="61"/>
  <c r="H794" i="61"/>
  <c r="H802" i="61"/>
  <c r="H810" i="61"/>
  <c r="H818" i="61"/>
  <c r="H826" i="61"/>
  <c r="H834" i="61"/>
  <c r="H842" i="61"/>
  <c r="H850" i="61"/>
  <c r="H858" i="61"/>
  <c r="H866" i="61"/>
  <c r="H874" i="61"/>
  <c r="H882" i="61"/>
  <c r="H890" i="61"/>
  <c r="H898" i="61"/>
  <c r="H906" i="61"/>
  <c r="H914" i="61"/>
  <c r="H922" i="61"/>
  <c r="H930" i="61"/>
  <c r="H938" i="61"/>
  <c r="H946" i="61"/>
  <c r="H954" i="61"/>
  <c r="H962" i="61"/>
  <c r="H970" i="61"/>
  <c r="H978" i="61"/>
  <c r="H986" i="61"/>
  <c r="H994" i="61"/>
  <c r="H1002" i="61"/>
  <c r="H1010" i="61"/>
  <c r="H1018" i="61"/>
  <c r="H1026" i="61"/>
  <c r="H1034" i="61"/>
  <c r="H1042" i="61"/>
  <c r="H1050" i="61"/>
  <c r="H1058" i="61"/>
  <c r="H1066" i="61"/>
  <c r="H1074" i="61"/>
  <c r="H1082" i="61"/>
  <c r="H1090" i="61"/>
  <c r="H1098" i="61"/>
  <c r="H1106" i="61"/>
  <c r="H1114" i="61"/>
  <c r="H1122" i="61"/>
  <c r="H1130" i="61"/>
  <c r="H1138" i="61"/>
  <c r="H1146" i="61"/>
  <c r="H1154" i="61"/>
  <c r="H1162" i="61"/>
  <c r="H1170" i="61"/>
  <c r="H1178" i="61"/>
  <c r="H1186" i="61"/>
  <c r="H1194" i="61"/>
  <c r="H1202" i="61"/>
  <c r="H1210" i="61"/>
  <c r="H187" i="61"/>
  <c r="H251" i="61"/>
  <c r="H315" i="61"/>
  <c r="H371" i="61"/>
  <c r="H403" i="61"/>
  <c r="H435" i="61"/>
  <c r="H467" i="61"/>
  <c r="H499" i="61"/>
  <c r="H526" i="61"/>
  <c r="H542" i="61"/>
  <c r="H558" i="61"/>
  <c r="H574" i="61"/>
  <c r="H590" i="61"/>
  <c r="H606" i="61"/>
  <c r="H622" i="61"/>
  <c r="H638" i="61"/>
  <c r="H654" i="61"/>
  <c r="H670" i="61"/>
  <c r="H686" i="61"/>
  <c r="H702" i="61"/>
  <c r="H715" i="61"/>
  <c r="H723" i="61"/>
  <c r="H731" i="61"/>
  <c r="H739" i="61"/>
  <c r="H747" i="61"/>
  <c r="H755" i="61"/>
  <c r="H763" i="61"/>
  <c r="H771" i="61"/>
  <c r="H779" i="61"/>
  <c r="H787" i="61"/>
  <c r="H795" i="61"/>
  <c r="H803" i="61"/>
  <c r="H811" i="61"/>
  <c r="H819" i="61"/>
  <c r="H827" i="61"/>
  <c r="H835" i="61"/>
  <c r="H843" i="61"/>
  <c r="H851" i="61"/>
  <c r="H859" i="61"/>
  <c r="H867" i="61"/>
  <c r="H875" i="61"/>
  <c r="H883" i="61"/>
  <c r="H891" i="61"/>
  <c r="H899" i="61"/>
  <c r="H907" i="61"/>
  <c r="H915" i="61"/>
  <c r="H923" i="61"/>
  <c r="H931" i="61"/>
  <c r="H939" i="61"/>
  <c r="H947" i="61"/>
  <c r="H955" i="61"/>
  <c r="H963" i="61"/>
  <c r="H971" i="61"/>
  <c r="H979" i="61"/>
  <c r="H987" i="61"/>
  <c r="H995" i="61"/>
  <c r="H1003" i="61"/>
  <c r="H1011" i="61"/>
  <c r="H1019" i="61"/>
  <c r="H1027" i="61"/>
  <c r="H1035" i="61"/>
  <c r="H1043" i="61"/>
  <c r="H1051" i="61"/>
  <c r="H1059" i="61"/>
  <c r="H1067" i="61"/>
  <c r="H1075" i="61"/>
  <c r="H1083" i="61"/>
  <c r="H47" i="61"/>
  <c r="H195" i="61"/>
  <c r="H259" i="61"/>
  <c r="H323" i="61"/>
  <c r="H372" i="61"/>
  <c r="H404" i="61"/>
  <c r="H436" i="61"/>
  <c r="H468" i="61"/>
  <c r="H500" i="61"/>
  <c r="H529" i="61"/>
  <c r="H545" i="61"/>
  <c r="H561" i="61"/>
  <c r="H577" i="61"/>
  <c r="H593" i="61"/>
  <c r="H609" i="61"/>
  <c r="H625" i="61"/>
  <c r="H641" i="61"/>
  <c r="H657" i="61"/>
  <c r="H673" i="61"/>
  <c r="H689" i="61"/>
  <c r="H705" i="61"/>
  <c r="H716" i="61"/>
  <c r="H724" i="61"/>
  <c r="H732" i="61"/>
  <c r="H740" i="61"/>
  <c r="H748" i="61"/>
  <c r="H756" i="61"/>
  <c r="H764" i="61"/>
  <c r="H772" i="61"/>
  <c r="H780" i="61"/>
  <c r="H788" i="61"/>
  <c r="H796" i="61"/>
  <c r="H804" i="61"/>
  <c r="H812" i="61"/>
  <c r="H820" i="61"/>
  <c r="H828" i="61"/>
  <c r="H836" i="61"/>
  <c r="H844" i="61"/>
  <c r="H852" i="61"/>
  <c r="H860" i="61"/>
  <c r="H868" i="61"/>
  <c r="H876" i="61"/>
  <c r="H884" i="61"/>
  <c r="H892" i="61"/>
  <c r="H900" i="61"/>
  <c r="H908" i="61"/>
  <c r="H916" i="61"/>
  <c r="H924" i="61"/>
  <c r="H932" i="61"/>
  <c r="H940" i="61"/>
  <c r="H948" i="61"/>
  <c r="H956" i="61"/>
  <c r="H964" i="61"/>
  <c r="H972" i="61"/>
  <c r="H980" i="61"/>
  <c r="H988" i="61"/>
  <c r="H996" i="61"/>
  <c r="H1004" i="61"/>
  <c r="H1012" i="61"/>
  <c r="H1020" i="61"/>
  <c r="H1028" i="61"/>
  <c r="H1036" i="61"/>
  <c r="H1044" i="61"/>
  <c r="H1052" i="61"/>
  <c r="H1060" i="61"/>
  <c r="H1068" i="61"/>
  <c r="H1076" i="61"/>
  <c r="H1084" i="61"/>
  <c r="H1092" i="61"/>
  <c r="H1100" i="61"/>
  <c r="H1108" i="61"/>
  <c r="H1116" i="61"/>
  <c r="H1124" i="61"/>
  <c r="H1132" i="61"/>
  <c r="H1140" i="61"/>
  <c r="H1148" i="61"/>
  <c r="H1156" i="61"/>
  <c r="H1164" i="61"/>
  <c r="H1172" i="61"/>
  <c r="H1180" i="61"/>
  <c r="H1188" i="61"/>
  <c r="H1196" i="61"/>
  <c r="H1204" i="61"/>
  <c r="H1212" i="61"/>
  <c r="H79" i="61"/>
  <c r="H203" i="61"/>
  <c r="H267" i="61"/>
  <c r="H331" i="61"/>
  <c r="H379" i="61"/>
  <c r="H411" i="61"/>
  <c r="H443" i="61"/>
  <c r="H475" i="61"/>
  <c r="H507" i="61"/>
  <c r="H531" i="61"/>
  <c r="H547" i="61"/>
  <c r="H563" i="61"/>
  <c r="H579" i="61"/>
  <c r="H595" i="61"/>
  <c r="H611" i="61"/>
  <c r="H627" i="61"/>
  <c r="H643" i="61"/>
  <c r="H659" i="61"/>
  <c r="H675" i="61"/>
  <c r="H691" i="61"/>
  <c r="H707" i="61"/>
  <c r="H717" i="61"/>
  <c r="H725" i="61"/>
  <c r="H733" i="61"/>
  <c r="H741" i="61"/>
  <c r="H749" i="61"/>
  <c r="H757" i="61"/>
  <c r="H765" i="61"/>
  <c r="H773" i="61"/>
  <c r="H781" i="61"/>
  <c r="H789" i="61"/>
  <c r="H797" i="61"/>
  <c r="H805" i="61"/>
  <c r="H813" i="61"/>
  <c r="H821" i="61"/>
  <c r="H829" i="61"/>
  <c r="H837" i="61"/>
  <c r="H845" i="61"/>
  <c r="H853" i="61"/>
  <c r="H861" i="61"/>
  <c r="H869" i="61"/>
  <c r="H877" i="61"/>
  <c r="H885" i="61"/>
  <c r="H893" i="61"/>
  <c r="H901" i="61"/>
  <c r="H909" i="61"/>
  <c r="H917" i="61"/>
  <c r="H925" i="61"/>
  <c r="H933" i="61"/>
  <c r="H941" i="61"/>
  <c r="H949" i="61"/>
  <c r="H957" i="61"/>
  <c r="H965" i="61"/>
  <c r="H973" i="61"/>
  <c r="H981" i="61"/>
  <c r="H989" i="61"/>
  <c r="H997" i="61"/>
  <c r="H1005" i="61"/>
  <c r="H1013" i="61"/>
  <c r="H1021" i="61"/>
  <c r="H1029" i="61"/>
  <c r="H1037" i="61"/>
  <c r="H1045" i="61"/>
  <c r="H1053" i="61"/>
  <c r="H1061" i="61"/>
  <c r="H1069" i="61"/>
  <c r="H1077" i="61"/>
  <c r="H1085" i="61"/>
  <c r="H1093" i="61"/>
  <c r="H1101" i="61"/>
  <c r="H1109" i="61"/>
  <c r="H1117" i="61"/>
  <c r="H1125" i="61"/>
  <c r="H1133" i="61"/>
  <c r="H1141" i="61"/>
  <c r="H1149" i="61"/>
  <c r="H1157" i="61"/>
  <c r="H1165" i="61"/>
  <c r="H1173" i="61"/>
  <c r="H1181" i="61"/>
  <c r="H1189" i="61"/>
  <c r="H1197" i="61"/>
  <c r="H1205" i="61"/>
  <c r="H1213" i="61"/>
  <c r="H111" i="61"/>
  <c r="H211" i="61"/>
  <c r="H275" i="61"/>
  <c r="H339" i="61"/>
  <c r="H380" i="61"/>
  <c r="H412" i="61"/>
  <c r="H451" i="61"/>
  <c r="H550" i="61"/>
  <c r="H614" i="61"/>
  <c r="H678" i="61"/>
  <c r="H727" i="61"/>
  <c r="H759" i="61"/>
  <c r="H791" i="61"/>
  <c r="H823" i="61"/>
  <c r="H855" i="61"/>
  <c r="H887" i="61"/>
  <c r="H919" i="61"/>
  <c r="H951" i="61"/>
  <c r="H977" i="61"/>
  <c r="H999" i="61"/>
  <c r="H1022" i="61"/>
  <c r="H1041" i="61"/>
  <c r="H1063" i="61"/>
  <c r="H1086" i="61"/>
  <c r="H1102" i="61"/>
  <c r="H1118" i="61"/>
  <c r="H1134" i="61"/>
  <c r="H1150" i="61"/>
  <c r="H1166" i="61"/>
  <c r="H1182" i="61"/>
  <c r="H1198" i="61"/>
  <c r="H1214" i="61"/>
  <c r="H1223" i="61"/>
  <c r="H1231" i="61"/>
  <c r="H1239" i="61"/>
  <c r="H1247" i="61"/>
  <c r="H1255" i="61"/>
  <c r="H1263" i="61"/>
  <c r="H1271" i="61"/>
  <c r="H1279" i="61"/>
  <c r="H1287" i="61"/>
  <c r="H1295" i="61"/>
  <c r="H1303" i="61"/>
  <c r="H1311" i="61"/>
  <c r="H1319" i="61"/>
  <c r="H1327" i="61"/>
  <c r="H1335" i="61"/>
  <c r="H1343" i="61"/>
  <c r="H1351" i="61"/>
  <c r="H1359" i="61"/>
  <c r="H1367" i="61"/>
  <c r="H1375" i="61"/>
  <c r="H1383" i="61"/>
  <c r="H1391" i="61"/>
  <c r="H1399" i="61"/>
  <c r="H1407" i="61"/>
  <c r="H1415" i="61"/>
  <c r="H1423" i="61"/>
  <c r="H1431" i="61"/>
  <c r="H1439" i="61"/>
  <c r="H1447" i="61"/>
  <c r="H1455" i="61"/>
  <c r="H1463" i="61"/>
  <c r="H1471" i="61"/>
  <c r="H1479" i="61"/>
  <c r="H1487" i="61"/>
  <c r="H1495" i="61"/>
  <c r="H1503" i="61"/>
  <c r="H1511" i="61"/>
  <c r="H1519" i="61"/>
  <c r="H1527" i="61"/>
  <c r="H1535" i="61"/>
  <c r="H1543" i="61"/>
  <c r="H1551" i="61"/>
  <c r="H1559" i="61"/>
  <c r="H1567" i="61"/>
  <c r="H1575" i="61"/>
  <c r="H1583" i="61"/>
  <c r="H1591" i="61"/>
  <c r="H1599" i="61"/>
  <c r="H1607" i="61"/>
  <c r="H1615" i="61"/>
  <c r="H1623" i="61"/>
  <c r="H1631" i="61"/>
  <c r="H1639" i="61"/>
  <c r="H1647" i="61"/>
  <c r="H1655" i="61"/>
  <c r="H1663" i="61"/>
  <c r="H1671" i="61"/>
  <c r="H1679" i="61"/>
  <c r="H1687" i="61"/>
  <c r="H1695" i="61"/>
  <c r="H1703" i="61"/>
  <c r="H1711" i="61"/>
  <c r="H1719" i="61"/>
  <c r="H1727" i="61"/>
  <c r="H1735" i="61"/>
  <c r="H1743" i="61"/>
  <c r="H1751" i="61"/>
  <c r="H1759" i="61"/>
  <c r="H1767" i="61"/>
  <c r="H1775" i="61"/>
  <c r="H1783" i="61"/>
  <c r="H1791" i="61"/>
  <c r="H1799" i="61"/>
  <c r="H1807" i="61"/>
  <c r="H1815" i="61"/>
  <c r="H1823" i="61"/>
  <c r="H139" i="61"/>
  <c r="H476" i="61"/>
  <c r="H564" i="61"/>
  <c r="H628" i="61"/>
  <c r="H692" i="61"/>
  <c r="H734" i="61"/>
  <c r="H766" i="61"/>
  <c r="H798" i="61"/>
  <c r="H830" i="61"/>
  <c r="H862" i="61"/>
  <c r="H894" i="61"/>
  <c r="H926" i="61"/>
  <c r="H958" i="61"/>
  <c r="H982" i="61"/>
  <c r="H1001" i="61"/>
  <c r="H1023" i="61"/>
  <c r="H1046" i="61"/>
  <c r="H1065" i="61"/>
  <c r="H1087" i="61"/>
  <c r="H1103" i="61"/>
  <c r="H1119" i="61"/>
  <c r="H1135" i="61"/>
  <c r="H1151" i="61"/>
  <c r="H1167" i="61"/>
  <c r="H1183" i="61"/>
  <c r="H1199" i="61"/>
  <c r="H1215" i="61"/>
  <c r="H1224" i="61"/>
  <c r="H1232" i="61"/>
  <c r="H1240" i="61"/>
  <c r="H1248" i="61"/>
  <c r="H1256" i="61"/>
  <c r="H1264" i="61"/>
  <c r="H1272" i="61"/>
  <c r="H1280" i="61"/>
  <c r="H1288" i="61"/>
  <c r="H1296" i="61"/>
  <c r="H1304" i="61"/>
  <c r="H1312" i="61"/>
  <c r="H1320" i="61"/>
  <c r="H1328" i="61"/>
  <c r="H1336" i="61"/>
  <c r="H1344" i="61"/>
  <c r="H1352" i="61"/>
  <c r="H1360" i="61"/>
  <c r="H1368" i="61"/>
  <c r="H1376" i="61"/>
  <c r="H1384" i="61"/>
  <c r="H1392" i="61"/>
  <c r="H1400" i="61"/>
  <c r="H1408" i="61"/>
  <c r="H1416" i="61"/>
  <c r="H1424" i="61"/>
  <c r="H1432" i="61"/>
  <c r="H1440" i="61"/>
  <c r="H1448" i="61"/>
  <c r="H1456" i="61"/>
  <c r="H1464" i="61"/>
  <c r="H1472" i="61"/>
  <c r="H1480" i="61"/>
  <c r="H1488" i="61"/>
  <c r="H1496" i="61"/>
  <c r="H1504" i="61"/>
  <c r="H1512" i="61"/>
  <c r="H1520" i="61"/>
  <c r="H1528" i="61"/>
  <c r="H1536" i="61"/>
  <c r="H1544" i="61"/>
  <c r="H1552" i="61"/>
  <c r="H1560" i="61"/>
  <c r="H1568" i="61"/>
  <c r="H1576" i="61"/>
  <c r="H1584" i="61"/>
  <c r="H1592" i="61"/>
  <c r="H1600" i="61"/>
  <c r="H1608" i="61"/>
  <c r="H1616" i="61"/>
  <c r="H1624" i="61"/>
  <c r="H1632" i="61"/>
  <c r="H1640" i="61"/>
  <c r="H1648" i="61"/>
  <c r="H1656" i="61"/>
  <c r="H1664" i="61"/>
  <c r="H1672" i="61"/>
  <c r="H1680" i="61"/>
  <c r="H1688" i="61"/>
  <c r="H1696" i="61"/>
  <c r="H1704" i="61"/>
  <c r="H1712" i="61"/>
  <c r="H1720" i="61"/>
  <c r="H1728" i="61"/>
  <c r="H1736" i="61"/>
  <c r="H1744" i="61"/>
  <c r="H1752" i="61"/>
  <c r="H1760" i="61"/>
  <c r="H1768" i="61"/>
  <c r="H1776" i="61"/>
  <c r="H1784" i="61"/>
  <c r="H1792" i="61"/>
  <c r="H1800" i="61"/>
  <c r="H1808" i="61"/>
  <c r="H1816" i="61"/>
  <c r="H1824" i="61"/>
  <c r="H219" i="61"/>
  <c r="H483" i="61"/>
  <c r="H566" i="61"/>
  <c r="H630" i="61"/>
  <c r="H694" i="61"/>
  <c r="H735" i="61"/>
  <c r="H767" i="61"/>
  <c r="H799" i="61"/>
  <c r="H831" i="61"/>
  <c r="H863" i="61"/>
  <c r="H895" i="61"/>
  <c r="H927" i="61"/>
  <c r="H959" i="61"/>
  <c r="H983" i="61"/>
  <c r="H1006" i="61"/>
  <c r="H1025" i="61"/>
  <c r="H1047" i="61"/>
  <c r="H1070" i="61"/>
  <c r="H1089" i="61"/>
  <c r="H1105" i="61"/>
  <c r="H1121" i="61"/>
  <c r="H1137" i="61"/>
  <c r="H1153" i="61"/>
  <c r="H1169" i="61"/>
  <c r="H1185" i="61"/>
  <c r="H1201" i="61"/>
  <c r="H1217" i="61"/>
  <c r="H1225" i="61"/>
  <c r="H1233" i="61"/>
  <c r="H1241" i="61"/>
  <c r="H1249" i="61"/>
  <c r="H1257" i="61"/>
  <c r="H1265" i="61"/>
  <c r="H1273" i="61"/>
  <c r="H1281" i="61"/>
  <c r="H1289" i="61"/>
  <c r="H1297" i="61"/>
  <c r="H1305" i="61"/>
  <c r="H1313" i="61"/>
  <c r="H1321" i="61"/>
  <c r="H1329" i="61"/>
  <c r="H1337" i="61"/>
  <c r="H1345" i="61"/>
  <c r="H1353" i="61"/>
  <c r="H1361" i="61"/>
  <c r="H1369" i="61"/>
  <c r="H1377" i="61"/>
  <c r="H1385" i="61"/>
  <c r="H1393" i="61"/>
  <c r="H1401" i="61"/>
  <c r="H1409" i="61"/>
  <c r="H1417" i="61"/>
  <c r="H1425" i="61"/>
  <c r="H1433" i="61"/>
  <c r="H1441" i="61"/>
  <c r="H1449" i="61"/>
  <c r="H1457" i="61"/>
  <c r="H1465" i="61"/>
  <c r="H1473" i="61"/>
  <c r="H1481" i="61"/>
  <c r="H1489" i="61"/>
  <c r="H1497" i="61"/>
  <c r="H1505" i="61"/>
  <c r="H1513" i="61"/>
  <c r="H1521" i="61"/>
  <c r="H1529" i="61"/>
  <c r="H1537" i="61"/>
  <c r="H1545" i="61"/>
  <c r="H1553" i="61"/>
  <c r="H1561" i="61"/>
  <c r="H1569" i="61"/>
  <c r="H1577" i="61"/>
  <c r="H1585" i="61"/>
  <c r="H1593" i="61"/>
  <c r="H1601" i="61"/>
  <c r="H1609" i="61"/>
  <c r="H1617" i="61"/>
  <c r="H1625" i="61"/>
  <c r="H1633" i="61"/>
  <c r="H1641" i="61"/>
  <c r="H1649" i="61"/>
  <c r="H1657" i="61"/>
  <c r="H1665" i="61"/>
  <c r="H1673" i="61"/>
  <c r="H1681" i="61"/>
  <c r="H1689" i="61"/>
  <c r="H1697" i="61"/>
  <c r="H1705" i="61"/>
  <c r="H1713" i="61"/>
  <c r="H1721" i="61"/>
  <c r="H1729" i="61"/>
  <c r="H1737" i="61"/>
  <c r="H1745" i="61"/>
  <c r="H1753" i="61"/>
  <c r="H1761" i="61"/>
  <c r="H1769" i="61"/>
  <c r="H1777" i="61"/>
  <c r="H1785" i="61"/>
  <c r="H1793" i="61"/>
  <c r="H1801" i="61"/>
  <c r="H1809" i="61"/>
  <c r="H1817" i="61"/>
  <c r="H1825" i="61"/>
  <c r="H283" i="61"/>
  <c r="H508" i="61"/>
  <c r="H580" i="61"/>
  <c r="H644" i="61"/>
  <c r="H708" i="61"/>
  <c r="H742" i="61"/>
  <c r="H774" i="61"/>
  <c r="H806" i="61"/>
  <c r="H838" i="61"/>
  <c r="H870" i="61"/>
  <c r="H902" i="61"/>
  <c r="H934" i="61"/>
  <c r="H966" i="61"/>
  <c r="H985" i="61"/>
  <c r="H1007" i="61"/>
  <c r="H1030" i="61"/>
  <c r="H1049" i="61"/>
  <c r="H1071" i="61"/>
  <c r="H1091" i="61"/>
  <c r="H1107" i="61"/>
  <c r="H1123" i="61"/>
  <c r="H1139" i="61"/>
  <c r="H1155" i="61"/>
  <c r="H1171" i="61"/>
  <c r="H1187" i="61"/>
  <c r="H1203" i="61"/>
  <c r="H1218" i="61"/>
  <c r="H1226" i="61"/>
  <c r="H1234" i="61"/>
  <c r="H1242" i="61"/>
  <c r="H1250" i="61"/>
  <c r="H1258" i="61"/>
  <c r="H1266" i="61"/>
  <c r="H1274" i="61"/>
  <c r="H1282" i="61"/>
  <c r="H1290" i="61"/>
  <c r="H1298" i="61"/>
  <c r="H1306" i="61"/>
  <c r="H1314" i="61"/>
  <c r="H1322" i="61"/>
  <c r="H1330" i="61"/>
  <c r="H1338" i="61"/>
  <c r="H1346" i="61"/>
  <c r="H1354" i="61"/>
  <c r="H1362" i="61"/>
  <c r="H1370" i="61"/>
  <c r="H1378" i="61"/>
  <c r="H1386" i="61"/>
  <c r="H1394" i="61"/>
  <c r="H1402" i="61"/>
  <c r="H1410" i="61"/>
  <c r="H1418" i="61"/>
  <c r="H1426" i="61"/>
  <c r="H1434" i="61"/>
  <c r="H1442" i="61"/>
  <c r="H1450" i="61"/>
  <c r="H1458" i="61"/>
  <c r="H1466" i="61"/>
  <c r="H1474" i="61"/>
  <c r="H1482" i="61"/>
  <c r="H1490" i="61"/>
  <c r="H1498" i="61"/>
  <c r="H1506" i="61"/>
  <c r="H1514" i="61"/>
  <c r="H1522" i="61"/>
  <c r="H1530" i="61"/>
  <c r="H1538" i="61"/>
  <c r="H1546" i="61"/>
  <c r="H1554" i="61"/>
  <c r="H1562" i="61"/>
  <c r="H1570" i="61"/>
  <c r="H1578" i="61"/>
  <c r="H1586" i="61"/>
  <c r="H1594" i="61"/>
  <c r="H347" i="61"/>
  <c r="H515" i="61"/>
  <c r="H582" i="61"/>
  <c r="H646" i="61"/>
  <c r="H709" i="61"/>
  <c r="H743" i="61"/>
  <c r="H775" i="61"/>
  <c r="H807" i="61"/>
  <c r="H839" i="61"/>
  <c r="H871" i="61"/>
  <c r="H903" i="61"/>
  <c r="H935" i="61"/>
  <c r="H967" i="61"/>
  <c r="H990" i="61"/>
  <c r="H1009" i="61"/>
  <c r="H1031" i="61"/>
  <c r="H1054" i="61"/>
  <c r="H1073" i="61"/>
  <c r="H1094" i="61"/>
  <c r="H1110" i="61"/>
  <c r="H1126" i="61"/>
  <c r="H1142" i="61"/>
  <c r="H1158" i="61"/>
  <c r="H1174" i="61"/>
  <c r="H1190" i="61"/>
  <c r="H1206" i="61"/>
  <c r="H1219" i="61"/>
  <c r="H1227" i="61"/>
  <c r="H1235" i="61"/>
  <c r="H1243" i="61"/>
  <c r="H1251" i="61"/>
  <c r="H1259" i="61"/>
  <c r="H1267" i="61"/>
  <c r="H1275" i="61"/>
  <c r="H1283" i="61"/>
  <c r="H1291" i="61"/>
  <c r="H1299" i="61"/>
  <c r="H1307" i="61"/>
  <c r="H1315" i="61"/>
  <c r="H1323" i="61"/>
  <c r="H1331" i="61"/>
  <c r="H1339" i="61"/>
  <c r="H1347" i="61"/>
  <c r="H1355" i="61"/>
  <c r="H1363" i="61"/>
  <c r="H1371" i="61"/>
  <c r="H1379" i="61"/>
  <c r="H1387" i="61"/>
  <c r="H1395" i="61"/>
  <c r="H1403" i="61"/>
  <c r="H1411" i="61"/>
  <c r="H1419" i="61"/>
  <c r="H1427" i="61"/>
  <c r="H387" i="61"/>
  <c r="H532" i="61"/>
  <c r="H596" i="61"/>
  <c r="H660" i="61"/>
  <c r="H718" i="61"/>
  <c r="H750" i="61"/>
  <c r="H782" i="61"/>
  <c r="H814" i="61"/>
  <c r="H846" i="61"/>
  <c r="H878" i="61"/>
  <c r="H910" i="61"/>
  <c r="H942" i="61"/>
  <c r="H969" i="61"/>
  <c r="H991" i="61"/>
  <c r="H1014" i="61"/>
  <c r="H1033" i="61"/>
  <c r="H1055" i="61"/>
  <c r="H1078" i="61"/>
  <c r="H1095" i="61"/>
  <c r="H1111" i="61"/>
  <c r="H1127" i="61"/>
  <c r="H1143" i="61"/>
  <c r="H1159" i="61"/>
  <c r="H1175" i="61"/>
  <c r="H1191" i="61"/>
  <c r="H1207" i="61"/>
  <c r="H1220" i="61"/>
  <c r="H1228" i="61"/>
  <c r="H1236" i="61"/>
  <c r="H1244" i="61"/>
  <c r="H1252" i="61"/>
  <c r="H1260" i="61"/>
  <c r="H1268" i="61"/>
  <c r="H1276" i="61"/>
  <c r="H1284" i="61"/>
  <c r="H1292" i="61"/>
  <c r="H1300" i="61"/>
  <c r="H1308" i="61"/>
  <c r="H1316" i="61"/>
  <c r="H1324" i="61"/>
  <c r="H1332" i="61"/>
  <c r="H1340" i="61"/>
  <c r="H1348" i="61"/>
  <c r="H1356" i="61"/>
  <c r="H1364" i="61"/>
  <c r="H1372" i="61"/>
  <c r="H1380" i="61"/>
  <c r="H1388" i="61"/>
  <c r="H1396" i="61"/>
  <c r="H1404" i="61"/>
  <c r="H1412" i="61"/>
  <c r="H1420" i="61"/>
  <c r="H1428" i="61"/>
  <c r="H1436" i="61"/>
  <c r="H1444" i="61"/>
  <c r="H1452" i="61"/>
  <c r="H1460" i="61"/>
  <c r="H1468" i="61"/>
  <c r="H1476" i="61"/>
  <c r="H1484" i="61"/>
  <c r="H1492" i="61"/>
  <c r="H1500" i="61"/>
  <c r="H1508" i="61"/>
  <c r="H1516" i="61"/>
  <c r="H1524" i="61"/>
  <c r="H1532" i="61"/>
  <c r="H1540" i="61"/>
  <c r="H1548" i="61"/>
  <c r="H1556" i="61"/>
  <c r="H1564" i="61"/>
  <c r="H1572" i="61"/>
  <c r="H1580" i="61"/>
  <c r="H1588" i="61"/>
  <c r="H1596" i="61"/>
  <c r="H1604" i="61"/>
  <c r="H1612" i="61"/>
  <c r="H1620" i="61"/>
  <c r="H1628" i="61"/>
  <c r="H1636" i="61"/>
  <c r="H1644" i="61"/>
  <c r="H1652" i="61"/>
  <c r="H1660" i="61"/>
  <c r="H1668" i="61"/>
  <c r="H1676" i="61"/>
  <c r="H1684" i="61"/>
  <c r="H1692" i="61"/>
  <c r="H1700" i="61"/>
  <c r="H1708" i="61"/>
  <c r="H1716" i="61"/>
  <c r="H1724" i="61"/>
  <c r="H1732" i="61"/>
  <c r="H1740" i="61"/>
  <c r="H1748" i="61"/>
  <c r="H1756" i="61"/>
  <c r="H1764" i="61"/>
  <c r="H1772" i="61"/>
  <c r="H1780" i="61"/>
  <c r="H1788" i="61"/>
  <c r="H1796" i="61"/>
  <c r="H1804" i="61"/>
  <c r="H1812" i="61"/>
  <c r="H1820" i="61"/>
  <c r="H1828" i="61"/>
  <c r="H419" i="61"/>
  <c r="H534" i="61"/>
  <c r="H598" i="61"/>
  <c r="H662" i="61"/>
  <c r="H719" i="61"/>
  <c r="H751" i="61"/>
  <c r="H783" i="61"/>
  <c r="H815" i="61"/>
  <c r="H847" i="61"/>
  <c r="H879" i="61"/>
  <c r="H911" i="61"/>
  <c r="H943" i="61"/>
  <c r="H974" i="61"/>
  <c r="H993" i="61"/>
  <c r="H1015" i="61"/>
  <c r="H1038" i="61"/>
  <c r="H1057" i="61"/>
  <c r="H1079" i="61"/>
  <c r="H1097" i="61"/>
  <c r="H1113" i="61"/>
  <c r="H1129" i="61"/>
  <c r="H1145" i="61"/>
  <c r="H1161" i="61"/>
  <c r="H1177" i="61"/>
  <c r="H1193" i="61"/>
  <c r="H1209" i="61"/>
  <c r="H1221" i="61"/>
  <c r="H1229" i="61"/>
  <c r="H1237" i="61"/>
  <c r="H1245" i="61"/>
  <c r="H1253" i="61"/>
  <c r="H1261" i="61"/>
  <c r="H1269" i="61"/>
  <c r="H1277" i="61"/>
  <c r="H1285" i="61"/>
  <c r="H1293" i="61"/>
  <c r="H1301" i="61"/>
  <c r="H1309" i="61"/>
  <c r="H1317" i="61"/>
  <c r="H1325" i="61"/>
  <c r="H1333" i="61"/>
  <c r="H1341" i="61"/>
  <c r="H1349" i="61"/>
  <c r="H1357" i="61"/>
  <c r="H1365" i="61"/>
  <c r="H1373" i="61"/>
  <c r="H1381" i="61"/>
  <c r="H1389" i="61"/>
  <c r="H1397" i="61"/>
  <c r="H1405" i="61"/>
  <c r="H1413" i="61"/>
  <c r="H1421" i="61"/>
  <c r="H1429" i="61"/>
  <c r="H1437" i="61"/>
  <c r="H1445" i="61"/>
  <c r="H1453" i="61"/>
  <c r="H1461" i="61"/>
  <c r="H1469" i="61"/>
  <c r="H1477" i="61"/>
  <c r="H1485" i="61"/>
  <c r="H1493" i="61"/>
  <c r="H1501" i="61"/>
  <c r="H1509" i="61"/>
  <c r="H1517" i="61"/>
  <c r="H1525" i="61"/>
  <c r="H1533" i="61"/>
  <c r="H1541" i="61"/>
  <c r="H1549" i="61"/>
  <c r="H1557" i="61"/>
  <c r="H1565" i="61"/>
  <c r="H1573" i="61"/>
  <c r="H1581" i="61"/>
  <c r="H1589" i="61"/>
  <c r="H1597" i="61"/>
  <c r="H1605" i="61"/>
  <c r="H1613" i="61"/>
  <c r="H1621" i="61"/>
  <c r="H1629" i="61"/>
  <c r="H1637" i="61"/>
  <c r="H1645" i="61"/>
  <c r="H1653" i="61"/>
  <c r="H1661" i="61"/>
  <c r="H1669" i="61"/>
  <c r="H1677" i="61"/>
  <c r="H1685" i="61"/>
  <c r="H444" i="61"/>
  <c r="H854" i="61"/>
  <c r="H1062" i="61"/>
  <c r="H1195" i="61"/>
  <c r="H1270" i="61"/>
  <c r="H1334" i="61"/>
  <c r="H1398" i="61"/>
  <c r="H1446" i="61"/>
  <c r="H1478" i="61"/>
  <c r="H1510" i="61"/>
  <c r="H1542" i="61"/>
  <c r="H1574" i="61"/>
  <c r="H1603" i="61"/>
  <c r="H1626" i="61"/>
  <c r="H1646" i="61"/>
  <c r="H1667" i="61"/>
  <c r="H1690" i="61"/>
  <c r="H1706" i="61"/>
  <c r="H1722" i="61"/>
  <c r="H1738" i="61"/>
  <c r="H1754" i="61"/>
  <c r="H1770" i="61"/>
  <c r="H1786" i="61"/>
  <c r="H1802" i="61"/>
  <c r="H1818" i="61"/>
  <c r="H1831" i="61"/>
  <c r="H1839" i="61"/>
  <c r="H1847" i="61"/>
  <c r="H1855" i="61"/>
  <c r="H1863" i="61"/>
  <c r="H1871" i="61"/>
  <c r="H1879" i="61"/>
  <c r="H1887" i="61"/>
  <c r="H1895" i="61"/>
  <c r="H1903" i="61"/>
  <c r="H1911" i="61"/>
  <c r="H1919" i="61"/>
  <c r="H1927" i="61"/>
  <c r="H1935" i="61"/>
  <c r="H1943" i="61"/>
  <c r="H1951" i="61"/>
  <c r="H1959" i="61"/>
  <c r="H1967" i="61"/>
  <c r="H1975" i="61"/>
  <c r="H1983" i="61"/>
  <c r="H1991" i="61"/>
  <c r="H1999" i="61"/>
  <c r="H2007" i="61"/>
  <c r="H2015" i="61"/>
  <c r="H2023" i="61"/>
  <c r="H2031" i="61"/>
  <c r="H2039" i="61"/>
  <c r="H2047" i="61"/>
  <c r="H2055" i="61"/>
  <c r="H2063" i="61"/>
  <c r="H2071" i="61"/>
  <c r="H2079" i="61"/>
  <c r="H2087" i="61"/>
  <c r="H2095" i="61"/>
  <c r="H2103" i="61"/>
  <c r="H2111" i="61"/>
  <c r="H2119" i="61"/>
  <c r="H2127" i="61"/>
  <c r="H2135" i="61"/>
  <c r="H2143" i="61"/>
  <c r="H2151" i="61"/>
  <c r="H2159" i="61"/>
  <c r="H8" i="61"/>
  <c r="H16" i="61"/>
  <c r="H24" i="61"/>
  <c r="H32" i="61"/>
  <c r="H548" i="61"/>
  <c r="H886" i="61"/>
  <c r="H1081" i="61"/>
  <c r="H1211" i="61"/>
  <c r="H1278" i="61"/>
  <c r="H1342" i="61"/>
  <c r="H1406" i="61"/>
  <c r="H1451" i="61"/>
  <c r="H1483" i="61"/>
  <c r="H1515" i="61"/>
  <c r="H1547" i="61"/>
  <c r="H1579" i="61"/>
  <c r="H1606" i="61"/>
  <c r="H1627" i="61"/>
  <c r="H1650" i="61"/>
  <c r="H1670" i="61"/>
  <c r="H1691" i="61"/>
  <c r="H1707" i="61"/>
  <c r="H1723" i="61"/>
  <c r="H1739" i="61"/>
  <c r="H1755" i="61"/>
  <c r="H1771" i="61"/>
  <c r="H1787" i="61"/>
  <c r="H1803" i="61"/>
  <c r="H1819" i="61"/>
  <c r="H1832" i="61"/>
  <c r="H1840" i="61"/>
  <c r="H1848" i="61"/>
  <c r="H1856" i="61"/>
  <c r="H1864" i="61"/>
  <c r="H1872" i="61"/>
  <c r="H1880" i="61"/>
  <c r="H1888" i="61"/>
  <c r="H1896" i="61"/>
  <c r="H1904" i="61"/>
  <c r="H1912" i="61"/>
  <c r="H1920" i="61"/>
  <c r="H1928" i="61"/>
  <c r="H1936" i="61"/>
  <c r="H1944" i="61"/>
  <c r="H1952" i="61"/>
  <c r="H1960" i="61"/>
  <c r="H1968" i="61"/>
  <c r="H1976" i="61"/>
  <c r="H1984" i="61"/>
  <c r="H1992" i="61"/>
  <c r="H2000" i="61"/>
  <c r="H2008" i="61"/>
  <c r="H2016" i="61"/>
  <c r="H2024" i="61"/>
  <c r="H2032" i="61"/>
  <c r="H2040" i="61"/>
  <c r="H2048" i="61"/>
  <c r="H2056" i="61"/>
  <c r="H2064" i="61"/>
  <c r="H2072" i="61"/>
  <c r="H2080" i="61"/>
  <c r="H2088" i="61"/>
  <c r="H2096" i="61"/>
  <c r="H2104" i="61"/>
  <c r="H2112" i="61"/>
  <c r="H2120" i="61"/>
  <c r="H2128" i="61"/>
  <c r="H2136" i="61"/>
  <c r="H2144" i="61"/>
  <c r="H2152" i="61"/>
  <c r="H2160" i="61"/>
  <c r="H9" i="61"/>
  <c r="H17" i="61"/>
  <c r="H25" i="61"/>
  <c r="H33" i="61"/>
  <c r="H612" i="61"/>
  <c r="H918" i="61"/>
  <c r="H1099" i="61"/>
  <c r="H1222" i="61"/>
  <c r="H1286" i="61"/>
  <c r="H1350" i="61"/>
  <c r="H1414" i="61"/>
  <c r="H1454" i="61"/>
  <c r="H1486" i="61"/>
  <c r="H1518" i="61"/>
  <c r="H1550" i="61"/>
  <c r="H1582" i="61"/>
  <c r="H1610" i="61"/>
  <c r="H1630" i="61"/>
  <c r="H1651" i="61"/>
  <c r="H1674" i="61"/>
  <c r="H1693" i="61"/>
  <c r="H1709" i="61"/>
  <c r="H1725" i="61"/>
  <c r="H1741" i="61"/>
  <c r="H1757" i="61"/>
  <c r="H1773" i="61"/>
  <c r="H1789" i="61"/>
  <c r="H1805" i="61"/>
  <c r="H1821" i="61"/>
  <c r="H1833" i="61"/>
  <c r="H1841" i="61"/>
  <c r="H1849" i="61"/>
  <c r="H1857" i="61"/>
  <c r="H1865" i="61"/>
  <c r="H1873" i="61"/>
  <c r="H1881" i="61"/>
  <c r="H1889" i="61"/>
  <c r="H1897" i="61"/>
  <c r="H1905" i="61"/>
  <c r="H1913" i="61"/>
  <c r="H1921" i="61"/>
  <c r="H1929" i="61"/>
  <c r="H1937" i="61"/>
  <c r="H1945" i="61"/>
  <c r="H1953" i="61"/>
  <c r="H1961" i="61"/>
  <c r="H1969" i="61"/>
  <c r="H1977" i="61"/>
  <c r="H1985" i="61"/>
  <c r="H1993" i="61"/>
  <c r="H2001" i="61"/>
  <c r="H2009" i="61"/>
  <c r="H2017" i="61"/>
  <c r="H2025" i="61"/>
  <c r="H2033" i="61"/>
  <c r="H2041" i="61"/>
  <c r="H2049" i="61"/>
  <c r="H2057" i="61"/>
  <c r="H2065" i="61"/>
  <c r="H2073" i="61"/>
  <c r="H2081" i="61"/>
  <c r="H2089" i="61"/>
  <c r="H2097" i="61"/>
  <c r="H2105" i="61"/>
  <c r="H2113" i="61"/>
  <c r="H2121" i="61"/>
  <c r="H2129" i="61"/>
  <c r="H2137" i="61"/>
  <c r="H2145" i="61"/>
  <c r="H2153" i="61"/>
  <c r="H2161" i="61"/>
  <c r="H10" i="61"/>
  <c r="H18" i="61"/>
  <c r="H26" i="61"/>
  <c r="H34" i="61"/>
  <c r="H676" i="61"/>
  <c r="H950" i="61"/>
  <c r="H1115" i="61"/>
  <c r="H1230" i="61"/>
  <c r="H1294" i="61"/>
  <c r="H1358" i="61"/>
  <c r="H1422" i="61"/>
  <c r="H1459" i="61"/>
  <c r="H1491" i="61"/>
  <c r="H1523" i="61"/>
  <c r="H1555" i="61"/>
  <c r="H1587" i="61"/>
  <c r="H1611" i="61"/>
  <c r="H1634" i="61"/>
  <c r="H1654" i="61"/>
  <c r="H1675" i="61"/>
  <c r="H1694" i="61"/>
  <c r="H1710" i="61"/>
  <c r="H1726" i="61"/>
  <c r="H1742" i="61"/>
  <c r="H1758" i="61"/>
  <c r="H1774" i="61"/>
  <c r="H1790" i="61"/>
  <c r="H1806" i="61"/>
  <c r="H1822" i="61"/>
  <c r="H1834" i="61"/>
  <c r="H1842" i="61"/>
  <c r="H1850" i="61"/>
  <c r="H1858" i="61"/>
  <c r="H1866" i="61"/>
  <c r="H1874" i="61"/>
  <c r="H1882" i="61"/>
  <c r="H1890" i="61"/>
  <c r="H1898" i="61"/>
  <c r="H1906" i="61"/>
  <c r="H1914" i="61"/>
  <c r="H1922" i="61"/>
  <c r="H1930" i="61"/>
  <c r="H1938" i="61"/>
  <c r="H1946" i="61"/>
  <c r="H1954" i="61"/>
  <c r="H1962" i="61"/>
  <c r="H1970" i="61"/>
  <c r="H1978" i="61"/>
  <c r="H1986" i="61"/>
  <c r="H726" i="61"/>
  <c r="H975" i="61"/>
  <c r="H1131" i="61"/>
  <c r="H1238" i="61"/>
  <c r="H1302" i="61"/>
  <c r="H1366" i="61"/>
  <c r="H1430" i="61"/>
  <c r="H1462" i="61"/>
  <c r="H1494" i="61"/>
  <c r="H1526" i="61"/>
  <c r="H1558" i="61"/>
  <c r="H1590" i="61"/>
  <c r="H1614" i="61"/>
  <c r="H1635" i="61"/>
  <c r="H1658" i="61"/>
  <c r="H1678" i="61"/>
  <c r="H1698" i="61"/>
  <c r="H1714" i="61"/>
  <c r="H1730" i="61"/>
  <c r="H1746" i="61"/>
  <c r="H1762" i="61"/>
  <c r="H1778" i="61"/>
  <c r="H1794" i="61"/>
  <c r="H1810" i="61"/>
  <c r="H1826" i="61"/>
  <c r="H1835" i="61"/>
  <c r="H1843" i="61"/>
  <c r="H1851" i="61"/>
  <c r="H1859" i="61"/>
  <c r="H1867" i="61"/>
  <c r="H1875" i="61"/>
  <c r="H1883" i="61"/>
  <c r="H1891" i="61"/>
  <c r="H1899" i="61"/>
  <c r="H1907" i="61"/>
  <c r="H1915" i="61"/>
  <c r="H1923" i="61"/>
  <c r="H1931" i="61"/>
  <c r="H1939" i="61"/>
  <c r="H1947" i="61"/>
  <c r="H1955" i="61"/>
  <c r="H1963" i="61"/>
  <c r="H1971" i="61"/>
  <c r="H1979" i="61"/>
  <c r="H1987" i="61"/>
  <c r="H1995" i="61"/>
  <c r="H2003" i="61"/>
  <c r="H2011" i="61"/>
  <c r="H2019" i="61"/>
  <c r="H2027" i="61"/>
  <c r="H2035" i="61"/>
  <c r="H2043" i="61"/>
  <c r="H2051" i="61"/>
  <c r="H2059" i="61"/>
  <c r="H2067" i="61"/>
  <c r="H2075" i="61"/>
  <c r="H2083" i="61"/>
  <c r="H2091" i="61"/>
  <c r="H2099" i="61"/>
  <c r="H2107" i="61"/>
  <c r="H2115" i="61"/>
  <c r="H2123" i="61"/>
  <c r="H2131" i="61"/>
  <c r="H2139" i="61"/>
  <c r="H2147" i="61"/>
  <c r="H2155" i="61"/>
  <c r="H4" i="61"/>
  <c r="H12" i="61"/>
  <c r="H758" i="61"/>
  <c r="H998" i="61"/>
  <c r="H1147" i="61"/>
  <c r="H1246" i="61"/>
  <c r="H1310" i="61"/>
  <c r="H1374" i="61"/>
  <c r="H1435" i="61"/>
  <c r="H1467" i="61"/>
  <c r="H1499" i="61"/>
  <c r="H1531" i="61"/>
  <c r="H1563" i="61"/>
  <c r="H1595" i="61"/>
  <c r="H1618" i="61"/>
  <c r="H1638" i="61"/>
  <c r="H1659" i="61"/>
  <c r="H1682" i="61"/>
  <c r="H1699" i="61"/>
  <c r="H1715" i="61"/>
  <c r="H1731" i="61"/>
  <c r="H1747" i="61"/>
  <c r="H1763" i="61"/>
  <c r="H1779" i="61"/>
  <c r="H1795" i="61"/>
  <c r="H1811" i="61"/>
  <c r="H1827" i="61"/>
  <c r="H1836" i="61"/>
  <c r="H1844" i="61"/>
  <c r="H1852" i="61"/>
  <c r="H1860" i="61"/>
  <c r="H1868" i="61"/>
  <c r="H1876" i="61"/>
  <c r="H1884" i="61"/>
  <c r="H1892" i="61"/>
  <c r="H1900" i="61"/>
  <c r="H1908" i="61"/>
  <c r="H1916" i="61"/>
  <c r="H1924" i="61"/>
  <c r="H1932" i="61"/>
  <c r="H1940" i="61"/>
  <c r="H1948" i="61"/>
  <c r="H1956" i="61"/>
  <c r="H1964" i="61"/>
  <c r="H1972" i="61"/>
  <c r="H1980" i="61"/>
  <c r="H1988" i="61"/>
  <c r="H1996" i="61"/>
  <c r="H2004" i="61"/>
  <c r="H2012" i="61"/>
  <c r="H2020" i="61"/>
  <c r="H2028" i="61"/>
  <c r="H2036" i="61"/>
  <c r="H2044" i="61"/>
  <c r="H2052" i="61"/>
  <c r="H2060" i="61"/>
  <c r="H2068" i="61"/>
  <c r="H2076" i="61"/>
  <c r="H2084" i="61"/>
  <c r="H2092" i="61"/>
  <c r="H2100" i="61"/>
  <c r="H2108" i="61"/>
  <c r="H2116" i="61"/>
  <c r="H2124" i="61"/>
  <c r="H2132" i="61"/>
  <c r="H2140" i="61"/>
  <c r="H2148" i="61"/>
  <c r="H2156" i="61"/>
  <c r="H5" i="61"/>
  <c r="H13" i="61"/>
  <c r="H21" i="61"/>
  <c r="H29" i="61"/>
  <c r="H790" i="61"/>
  <c r="H1017" i="61"/>
  <c r="H1163" i="61"/>
  <c r="H1254" i="61"/>
  <c r="H1318" i="61"/>
  <c r="H1382" i="61"/>
  <c r="H1438" i="61"/>
  <c r="H1470" i="61"/>
  <c r="H1502" i="61"/>
  <c r="H1534" i="61"/>
  <c r="H1566" i="61"/>
  <c r="H1598" i="61"/>
  <c r="H1619" i="61"/>
  <c r="H1642" i="61"/>
  <c r="H1662" i="61"/>
  <c r="H1683" i="61"/>
  <c r="H1701" i="61"/>
  <c r="H1717" i="61"/>
  <c r="H1733" i="61"/>
  <c r="H1749" i="61"/>
  <c r="H1765" i="61"/>
  <c r="H1781" i="61"/>
  <c r="H1797" i="61"/>
  <c r="H1813" i="61"/>
  <c r="H1829" i="61"/>
  <c r="H1837" i="61"/>
  <c r="H1845" i="61"/>
  <c r="H1853" i="61"/>
  <c r="H1861" i="61"/>
  <c r="H1869" i="61"/>
  <c r="H1877" i="61"/>
  <c r="H1885" i="61"/>
  <c r="H1893" i="61"/>
  <c r="H1901" i="61"/>
  <c r="H1909" i="61"/>
  <c r="H1917" i="61"/>
  <c r="H1925" i="61"/>
  <c r="H1933" i="61"/>
  <c r="H1941" i="61"/>
  <c r="H1949" i="61"/>
  <c r="H1957" i="61"/>
  <c r="H1965" i="61"/>
  <c r="H1973" i="61"/>
  <c r="H1981" i="61"/>
  <c r="H1989" i="61"/>
  <c r="H1997" i="61"/>
  <c r="H2005" i="61"/>
  <c r="H2013" i="61"/>
  <c r="H2021" i="61"/>
  <c r="H2029" i="61"/>
  <c r="H2037" i="61"/>
  <c r="H2045" i="61"/>
  <c r="H2053" i="61"/>
  <c r="H2061" i="61"/>
  <c r="H2069" i="61"/>
  <c r="H2077" i="61"/>
  <c r="H2085" i="61"/>
  <c r="H2093" i="61"/>
  <c r="H2101" i="61"/>
  <c r="H2109" i="61"/>
  <c r="H2117" i="61"/>
  <c r="H2125" i="61"/>
  <c r="H2133" i="61"/>
  <c r="H2141" i="61"/>
  <c r="H2149" i="61"/>
  <c r="H2157" i="61"/>
  <c r="H6" i="61"/>
  <c r="H14" i="61"/>
  <c r="H22" i="61"/>
  <c r="H30" i="61"/>
  <c r="H822" i="61"/>
  <c r="H1507" i="61"/>
  <c r="H1702" i="61"/>
  <c r="H1830" i="61"/>
  <c r="H1894" i="61"/>
  <c r="H1958" i="61"/>
  <c r="H2006" i="61"/>
  <c r="H2038" i="61"/>
  <c r="H2070" i="61"/>
  <c r="H2102" i="61"/>
  <c r="H2134" i="61"/>
  <c r="H7" i="61"/>
  <c r="H31" i="61"/>
  <c r="H1039" i="61"/>
  <c r="H1539" i="61"/>
  <c r="H1718" i="61"/>
  <c r="H1838" i="61"/>
  <c r="H1902" i="61"/>
  <c r="H1966" i="61"/>
  <c r="H2010" i="61"/>
  <c r="H2042" i="61"/>
  <c r="H2074" i="61"/>
  <c r="H2106" i="61"/>
  <c r="H2138" i="61"/>
  <c r="H11" i="61"/>
  <c r="H35" i="61"/>
  <c r="H1179" i="61"/>
  <c r="H1571" i="61"/>
  <c r="H1734" i="61"/>
  <c r="H1846" i="61"/>
  <c r="H1910" i="61"/>
  <c r="H1974" i="61"/>
  <c r="H2014" i="61"/>
  <c r="H2046" i="61"/>
  <c r="H2078" i="61"/>
  <c r="H2110" i="61"/>
  <c r="H2142" i="61"/>
  <c r="H15" i="61"/>
  <c r="H3" i="61"/>
  <c r="H1262" i="61"/>
  <c r="H1602" i="61"/>
  <c r="H1750" i="61"/>
  <c r="H1854" i="61"/>
  <c r="H1918" i="61"/>
  <c r="H1982" i="61"/>
  <c r="H2018" i="61"/>
  <c r="H2050" i="61"/>
  <c r="H2082" i="61"/>
  <c r="H2114" i="61"/>
  <c r="H2146" i="61"/>
  <c r="H19" i="61"/>
  <c r="H1326" i="61"/>
  <c r="H1622" i="61"/>
  <c r="H1766" i="61"/>
  <c r="H1862" i="61"/>
  <c r="H1926" i="61"/>
  <c r="H1990" i="61"/>
  <c r="H2022" i="61"/>
  <c r="H2054" i="61"/>
  <c r="H2086" i="61"/>
  <c r="H2118" i="61"/>
  <c r="H2150" i="61"/>
  <c r="H20" i="61"/>
  <c r="H1390" i="61"/>
  <c r="H1643" i="61"/>
  <c r="H1782" i="61"/>
  <c r="H1870" i="61"/>
  <c r="H1934" i="61"/>
  <c r="H1994" i="61"/>
  <c r="H2026" i="61"/>
  <c r="H2058" i="61"/>
  <c r="H2090" i="61"/>
  <c r="H2122" i="61"/>
  <c r="H2154" i="61"/>
  <c r="H23" i="61"/>
  <c r="H1443" i="61"/>
  <c r="H1666" i="61"/>
  <c r="H1798" i="61"/>
  <c r="H1878" i="61"/>
  <c r="H1942" i="61"/>
  <c r="H1998" i="61"/>
  <c r="H2030" i="61"/>
  <c r="H2062" i="61"/>
  <c r="H2094" i="61"/>
  <c r="H2126" i="61"/>
  <c r="H2158" i="61"/>
  <c r="H27" i="61"/>
  <c r="H1475" i="61"/>
  <c r="H2098" i="61"/>
  <c r="H1686" i="61"/>
  <c r="H2130" i="61"/>
  <c r="H1814" i="61"/>
  <c r="H2162" i="61"/>
  <c r="H1886" i="61"/>
  <c r="H28" i="61"/>
  <c r="H1950" i="61"/>
  <c r="H2002" i="61"/>
  <c r="H2034" i="61"/>
  <c r="H2066" i="61"/>
  <c r="F1154" i="61"/>
  <c r="G1154" i="61" s="1"/>
  <c r="F1153" i="61"/>
  <c r="G1153" i="61" s="1"/>
  <c r="F1112" i="61"/>
  <c r="G1112" i="61" s="1"/>
  <c r="F1111" i="61"/>
  <c r="G1111" i="61" s="1"/>
  <c r="F1110" i="61"/>
  <c r="G1110" i="61" s="1"/>
  <c r="F1157" i="61"/>
  <c r="G1157" i="61" s="1"/>
  <c r="F1109" i="61"/>
  <c r="G1109" i="61" s="1"/>
  <c r="F1156" i="61"/>
  <c r="G1156" i="61" s="1"/>
  <c r="F1108" i="61"/>
  <c r="G1108" i="61" s="1"/>
  <c r="F1155" i="61"/>
  <c r="G1155" i="61" s="1"/>
  <c r="F450" i="61"/>
  <c r="G450" i="61" s="1"/>
  <c r="F449" i="61"/>
  <c r="G449" i="61" s="1"/>
  <c r="F448" i="61"/>
  <c r="G448" i="61" s="1"/>
  <c r="F407" i="61"/>
  <c r="G407" i="61" s="1"/>
  <c r="F406" i="61"/>
  <c r="G406" i="61" s="1"/>
  <c r="F405" i="61"/>
  <c r="G405" i="61" s="1"/>
  <c r="F452" i="61"/>
  <c r="G452" i="61" s="1"/>
  <c r="F404" i="61"/>
  <c r="G404" i="61" s="1"/>
  <c r="F403" i="61"/>
  <c r="G403" i="61" s="1"/>
  <c r="F451" i="61"/>
  <c r="G451" i="61" s="1"/>
  <c r="F386" i="61"/>
  <c r="G386" i="61" s="1"/>
  <c r="F385" i="61"/>
  <c r="G385" i="61" s="1"/>
  <c r="F432" i="61"/>
  <c r="G432" i="61" s="1"/>
  <c r="F384" i="61"/>
  <c r="G384" i="61" s="1"/>
  <c r="F431" i="61"/>
  <c r="G431" i="61" s="1"/>
  <c r="F383" i="61"/>
  <c r="G383" i="61" s="1"/>
  <c r="F430" i="61"/>
  <c r="G430" i="61" s="1"/>
  <c r="F429" i="61"/>
  <c r="G429" i="61" s="1"/>
  <c r="F428" i="61"/>
  <c r="G428" i="61" s="1"/>
  <c r="F387" i="61"/>
  <c r="G387" i="61" s="1"/>
  <c r="F730" i="61"/>
  <c r="G730" i="61" s="1"/>
  <c r="F777" i="61"/>
  <c r="G777" i="61" s="1"/>
  <c r="F729" i="61"/>
  <c r="G729" i="61" s="1"/>
  <c r="F776" i="61"/>
  <c r="G776" i="61" s="1"/>
  <c r="F728" i="61"/>
  <c r="G728" i="61" s="1"/>
  <c r="F775" i="61"/>
  <c r="G775" i="61" s="1"/>
  <c r="F774" i="61"/>
  <c r="G774" i="61" s="1"/>
  <c r="F773" i="61"/>
  <c r="G773" i="61" s="1"/>
  <c r="F732" i="61"/>
  <c r="G732" i="61" s="1"/>
  <c r="F731" i="61"/>
  <c r="G731" i="61" s="1"/>
  <c r="F501" i="61"/>
  <c r="G501" i="61" s="1"/>
  <c r="F500" i="61"/>
  <c r="G500" i="61" s="1"/>
  <c r="F499" i="61"/>
  <c r="G499" i="61" s="1"/>
  <c r="F498" i="61"/>
  <c r="G498" i="61" s="1"/>
  <c r="F590" i="61"/>
  <c r="G590" i="61" s="1"/>
  <c r="F589" i="61"/>
  <c r="G589" i="61" s="1"/>
  <c r="F588" i="61"/>
  <c r="G588" i="61" s="1"/>
  <c r="F633" i="61"/>
  <c r="G633" i="61" s="1"/>
  <c r="F592" i="61"/>
  <c r="G592" i="61" s="1"/>
  <c r="F591" i="61"/>
  <c r="G591" i="61" s="1"/>
  <c r="F637" i="61"/>
  <c r="G637" i="61" s="1"/>
  <c r="F636" i="61"/>
  <c r="G636" i="61" s="1"/>
  <c r="F635" i="61"/>
  <c r="G635" i="61" s="1"/>
  <c r="F634" i="61"/>
  <c r="G634" i="61" s="1"/>
  <c r="F502" i="61"/>
  <c r="G502" i="61" s="1"/>
  <c r="F762" i="61"/>
  <c r="G762" i="61" s="1"/>
  <c r="F761" i="61"/>
  <c r="G761" i="61" s="1"/>
  <c r="F760" i="61"/>
  <c r="G760" i="61" s="1"/>
  <c r="F807" i="61"/>
  <c r="G807" i="61" s="1"/>
  <c r="F759" i="61"/>
  <c r="G759" i="61" s="1"/>
  <c r="F806" i="61"/>
  <c r="G806" i="61" s="1"/>
  <c r="F758" i="61"/>
  <c r="G758" i="61" s="1"/>
  <c r="F805" i="61"/>
  <c r="G805" i="61" s="1"/>
  <c r="F804" i="61"/>
  <c r="G804" i="61" s="1"/>
  <c r="F803" i="61"/>
  <c r="G803" i="61" s="1"/>
  <c r="A234" i="53"/>
  <c r="F2025" i="61"/>
  <c r="G2025" i="61" s="1"/>
  <c r="F2017" i="61"/>
  <c r="G2017" i="61" s="1"/>
  <c r="F2009" i="61"/>
  <c r="G2009" i="61" s="1"/>
  <c r="F2001" i="61"/>
  <c r="G2001" i="61" s="1"/>
  <c r="F1993" i="61"/>
  <c r="G1993" i="61" s="1"/>
  <c r="F1985" i="61"/>
  <c r="G1985" i="61" s="1"/>
  <c r="F1937" i="61"/>
  <c r="G1937" i="61" s="1"/>
  <c r="F1929" i="61"/>
  <c r="G1929" i="61" s="1"/>
  <c r="F1921" i="61"/>
  <c r="G1921" i="61" s="1"/>
  <c r="F1913" i="61"/>
  <c r="G1913" i="61" s="1"/>
  <c r="F1905" i="61"/>
  <c r="G1905" i="61" s="1"/>
  <c r="F1897" i="61"/>
  <c r="G1897" i="61" s="1"/>
  <c r="F2024" i="61"/>
  <c r="G2024" i="61" s="1"/>
  <c r="F2016" i="61"/>
  <c r="G2016" i="61" s="1"/>
  <c r="F2008" i="61"/>
  <c r="G2008" i="61" s="1"/>
  <c r="F2000" i="61"/>
  <c r="G2000" i="61" s="1"/>
  <c r="F1992" i="61"/>
  <c r="G1992" i="61" s="1"/>
  <c r="F1984" i="61"/>
  <c r="G1984" i="61" s="1"/>
  <c r="F1936" i="61"/>
  <c r="G1936" i="61" s="1"/>
  <c r="F1928" i="61"/>
  <c r="G1928" i="61" s="1"/>
  <c r="F1920" i="61"/>
  <c r="G1920" i="61" s="1"/>
  <c r="F1912" i="61"/>
  <c r="G1912" i="61" s="1"/>
  <c r="F1904" i="61"/>
  <c r="G1904" i="61" s="1"/>
  <c r="F1896" i="61"/>
  <c r="G1896" i="61" s="1"/>
  <c r="F2023" i="61"/>
  <c r="G2023" i="61" s="1"/>
  <c r="F2015" i="61"/>
  <c r="G2015" i="61" s="1"/>
  <c r="F2007" i="61"/>
  <c r="G2007" i="61" s="1"/>
  <c r="F1999" i="61"/>
  <c r="G1999" i="61" s="1"/>
  <c r="F1991" i="61"/>
  <c r="G1991" i="61" s="1"/>
  <c r="F1983" i="61"/>
  <c r="G1983" i="61" s="1"/>
  <c r="F1935" i="61"/>
  <c r="G1935" i="61" s="1"/>
  <c r="F1927" i="61"/>
  <c r="G1927" i="61" s="1"/>
  <c r="F1919" i="61"/>
  <c r="G1919" i="61" s="1"/>
  <c r="F1911" i="61"/>
  <c r="G1911" i="61" s="1"/>
  <c r="F1903" i="61"/>
  <c r="G1903" i="61" s="1"/>
  <c r="F1895" i="61"/>
  <c r="G1895" i="61" s="1"/>
  <c r="F2021" i="61"/>
  <c r="G2021" i="61" s="1"/>
  <c r="F2013" i="61"/>
  <c r="G2013" i="61" s="1"/>
  <c r="F2005" i="61"/>
  <c r="G2005" i="61" s="1"/>
  <c r="F1997" i="61"/>
  <c r="G1997" i="61" s="1"/>
  <c r="F1989" i="61"/>
  <c r="G1989" i="61" s="1"/>
  <c r="F1933" i="61"/>
  <c r="G1933" i="61" s="1"/>
  <c r="F1925" i="61"/>
  <c r="G1925" i="61" s="1"/>
  <c r="F1917" i="61"/>
  <c r="G1917" i="61" s="1"/>
  <c r="F1909" i="61"/>
  <c r="G1909" i="61" s="1"/>
  <c r="F1901" i="61"/>
  <c r="G1901" i="61" s="1"/>
  <c r="F1893" i="61"/>
  <c r="G1893" i="61" s="1"/>
  <c r="F2020" i="61"/>
  <c r="G2020" i="61" s="1"/>
  <c r="F2012" i="61"/>
  <c r="G2012" i="61" s="1"/>
  <c r="F2004" i="61"/>
  <c r="G2004" i="61" s="1"/>
  <c r="F1996" i="61"/>
  <c r="G1996" i="61" s="1"/>
  <c r="F1988" i="61"/>
  <c r="G1988" i="61" s="1"/>
  <c r="F1932" i="61"/>
  <c r="G1932" i="61" s="1"/>
  <c r="F1924" i="61"/>
  <c r="G1924" i="61" s="1"/>
  <c r="F1916" i="61"/>
  <c r="G1916" i="61" s="1"/>
  <c r="F1908" i="61"/>
  <c r="G1908" i="61" s="1"/>
  <c r="F1900" i="61"/>
  <c r="G1900" i="61" s="1"/>
  <c r="F2027" i="61"/>
  <c r="G2027" i="61" s="1"/>
  <c r="F2019" i="61"/>
  <c r="G2019" i="61" s="1"/>
  <c r="F2011" i="61"/>
  <c r="G2011" i="61" s="1"/>
  <c r="F2003" i="61"/>
  <c r="G2003" i="61" s="1"/>
  <c r="F1995" i="61"/>
  <c r="G1995" i="61" s="1"/>
  <c r="F1987" i="61"/>
  <c r="G1987" i="61" s="1"/>
  <c r="F1931" i="61"/>
  <c r="G1931" i="61" s="1"/>
  <c r="F1923" i="61"/>
  <c r="G1923" i="61" s="1"/>
  <c r="F1915" i="61"/>
  <c r="G1915" i="61" s="1"/>
  <c r="F1907" i="61"/>
  <c r="G1907" i="61" s="1"/>
  <c r="F2018" i="61"/>
  <c r="G2018" i="61" s="1"/>
  <c r="F1986" i="61"/>
  <c r="G1986" i="61" s="1"/>
  <c r="F1922" i="61"/>
  <c r="G1922" i="61" s="1"/>
  <c r="F1894" i="61"/>
  <c r="G1894" i="61" s="1"/>
  <c r="F1663" i="61"/>
  <c r="G1663" i="61" s="1"/>
  <c r="F1655" i="61"/>
  <c r="G1655" i="61" s="1"/>
  <c r="F1647" i="61"/>
  <c r="G1647" i="61" s="1"/>
  <c r="F1639" i="61"/>
  <c r="G1639" i="61" s="1"/>
  <c r="F1631" i="61"/>
  <c r="G1631" i="61" s="1"/>
  <c r="F1623" i="61"/>
  <c r="G1623" i="61" s="1"/>
  <c r="F1575" i="61"/>
  <c r="G1575" i="61" s="1"/>
  <c r="F1567" i="61"/>
  <c r="G1567" i="61" s="1"/>
  <c r="F1559" i="61"/>
  <c r="G1559" i="61" s="1"/>
  <c r="F1551" i="61"/>
  <c r="G1551" i="61" s="1"/>
  <c r="F1543" i="61"/>
  <c r="G1543" i="61" s="1"/>
  <c r="F1535" i="61"/>
  <c r="G1535" i="61" s="1"/>
  <c r="F2014" i="61"/>
  <c r="G2014" i="61" s="1"/>
  <c r="F1918" i="61"/>
  <c r="G1918" i="61" s="1"/>
  <c r="F1662" i="61"/>
  <c r="G1662" i="61" s="1"/>
  <c r="F1654" i="61"/>
  <c r="G1654" i="61" s="1"/>
  <c r="F1646" i="61"/>
  <c r="G1646" i="61" s="1"/>
  <c r="F1638" i="61"/>
  <c r="G1638" i="61" s="1"/>
  <c r="F1630" i="61"/>
  <c r="G1630" i="61" s="1"/>
  <c r="F1574" i="61"/>
  <c r="G1574" i="61" s="1"/>
  <c r="F1566" i="61"/>
  <c r="G1566" i="61" s="1"/>
  <c r="F1558" i="61"/>
  <c r="G1558" i="61" s="1"/>
  <c r="F1550" i="61"/>
  <c r="G1550" i="61" s="1"/>
  <c r="F1542" i="61"/>
  <c r="G1542" i="61" s="1"/>
  <c r="F1534" i="61"/>
  <c r="G1534" i="61" s="1"/>
  <c r="F1302" i="61"/>
  <c r="G1302" i="61" s="1"/>
  <c r="F1294" i="61"/>
  <c r="G1294" i="61" s="1"/>
  <c r="F1286" i="61"/>
  <c r="G1286" i="61" s="1"/>
  <c r="F1278" i="61"/>
  <c r="G1278" i="61" s="1"/>
  <c r="F1270" i="61"/>
  <c r="G1270" i="61" s="1"/>
  <c r="F1214" i="61"/>
  <c r="G1214" i="61" s="1"/>
  <c r="F1206" i="61"/>
  <c r="G1206" i="61" s="1"/>
  <c r="F1198" i="61"/>
  <c r="G1198" i="61" s="1"/>
  <c r="F2010" i="61"/>
  <c r="G2010" i="61" s="1"/>
  <c r="F1914" i="61"/>
  <c r="G1914" i="61" s="1"/>
  <c r="F1661" i="61"/>
  <c r="G1661" i="61" s="1"/>
  <c r="F1653" i="61"/>
  <c r="G1653" i="61" s="1"/>
  <c r="F1645" i="61"/>
  <c r="G1645" i="61" s="1"/>
  <c r="F1637" i="61"/>
  <c r="G1637" i="61" s="1"/>
  <c r="F1629" i="61"/>
  <c r="G1629" i="61" s="1"/>
  <c r="F1573" i="61"/>
  <c r="G1573" i="61" s="1"/>
  <c r="F1565" i="61"/>
  <c r="G1565" i="61" s="1"/>
  <c r="F1557" i="61"/>
  <c r="G1557" i="61" s="1"/>
  <c r="F1549" i="61"/>
  <c r="G1549" i="61" s="1"/>
  <c r="F1541" i="61"/>
  <c r="G1541" i="61" s="1"/>
  <c r="F1533" i="61"/>
  <c r="G1533" i="61" s="1"/>
  <c r="F2006" i="61"/>
  <c r="G2006" i="61" s="1"/>
  <c r="F1910" i="61"/>
  <c r="G1910" i="61" s="1"/>
  <c r="F1660" i="61"/>
  <c r="G1660" i="61" s="1"/>
  <c r="F1652" i="61"/>
  <c r="G1652" i="61" s="1"/>
  <c r="F1644" i="61"/>
  <c r="G1644" i="61" s="1"/>
  <c r="F2002" i="61"/>
  <c r="G2002" i="61" s="1"/>
  <c r="F1906" i="61"/>
  <c r="G1906" i="61" s="1"/>
  <c r="F1667" i="61"/>
  <c r="G1667" i="61" s="1"/>
  <c r="F1659" i="61"/>
  <c r="G1659" i="61" s="1"/>
  <c r="F1651" i="61"/>
  <c r="G1651" i="61" s="1"/>
  <c r="F1643" i="61"/>
  <c r="G1643" i="61" s="1"/>
  <c r="F1635" i="61"/>
  <c r="G1635" i="61" s="1"/>
  <c r="F1627" i="61"/>
  <c r="G1627" i="61" s="1"/>
  <c r="F1571" i="61"/>
  <c r="G1571" i="61" s="1"/>
  <c r="F1563" i="61"/>
  <c r="G1563" i="61" s="1"/>
  <c r="F1555" i="61"/>
  <c r="G1555" i="61" s="1"/>
  <c r="F1547" i="61"/>
  <c r="G1547" i="61" s="1"/>
  <c r="F1539" i="61"/>
  <c r="G1539" i="61" s="1"/>
  <c r="F1307" i="61"/>
  <c r="G1307" i="61" s="1"/>
  <c r="F1299" i="61"/>
  <c r="G1299" i="61" s="1"/>
  <c r="F1291" i="61"/>
  <c r="G1291" i="61" s="1"/>
  <c r="F1283" i="61"/>
  <c r="G1283" i="61" s="1"/>
  <c r="F1275" i="61"/>
  <c r="G1275" i="61" s="1"/>
  <c r="F1267" i="61"/>
  <c r="G1267" i="61" s="1"/>
  <c r="F1998" i="61"/>
  <c r="G1998" i="61" s="1"/>
  <c r="F1934" i="61"/>
  <c r="G1934" i="61" s="1"/>
  <c r="F1902" i="61"/>
  <c r="G1902" i="61" s="1"/>
  <c r="F1666" i="61"/>
  <c r="G1666" i="61" s="1"/>
  <c r="F1658" i="61"/>
  <c r="G1658" i="61" s="1"/>
  <c r="F1650" i="61"/>
  <c r="G1650" i="61" s="1"/>
  <c r="F1642" i="61"/>
  <c r="G1642" i="61" s="1"/>
  <c r="F1634" i="61"/>
  <c r="G1634" i="61" s="1"/>
  <c r="F1626" i="61"/>
  <c r="G1626" i="61" s="1"/>
  <c r="F1570" i="61"/>
  <c r="G1570" i="61" s="1"/>
  <c r="F1562" i="61"/>
  <c r="G1562" i="61" s="1"/>
  <c r="F1554" i="61"/>
  <c r="G1554" i="61" s="1"/>
  <c r="F1546" i="61"/>
  <c r="G1546" i="61" s="1"/>
  <c r="F1538" i="61"/>
  <c r="G1538" i="61" s="1"/>
  <c r="F1306" i="61"/>
  <c r="G1306" i="61" s="1"/>
  <c r="F1298" i="61"/>
  <c r="G1298" i="61" s="1"/>
  <c r="F1290" i="61"/>
  <c r="G1290" i="61" s="1"/>
  <c r="F1282" i="61"/>
  <c r="G1282" i="61" s="1"/>
  <c r="F1274" i="61"/>
  <c r="G1274" i="61" s="1"/>
  <c r="F1266" i="61"/>
  <c r="G1266" i="61" s="1"/>
  <c r="F1210" i="61"/>
  <c r="G1210" i="61" s="1"/>
  <c r="F1202" i="61"/>
  <c r="G1202" i="61" s="1"/>
  <c r="F2022" i="61"/>
  <c r="G2022" i="61" s="1"/>
  <c r="F1990" i="61"/>
  <c r="G1990" i="61" s="1"/>
  <c r="F1926" i="61"/>
  <c r="G1926" i="61" s="1"/>
  <c r="F1898" i="61"/>
  <c r="G1898" i="61" s="1"/>
  <c r="F1664" i="61"/>
  <c r="G1664" i="61" s="1"/>
  <c r="F1656" i="61"/>
  <c r="G1656" i="61" s="1"/>
  <c r="F1648" i="61"/>
  <c r="G1648" i="61" s="1"/>
  <c r="F1640" i="61"/>
  <c r="G1640" i="61" s="1"/>
  <c r="F1632" i="61"/>
  <c r="G1632" i="61" s="1"/>
  <c r="F1624" i="61"/>
  <c r="G1624" i="61" s="1"/>
  <c r="F1576" i="61"/>
  <c r="G1576" i="61" s="1"/>
  <c r="F1568" i="61"/>
  <c r="G1568" i="61" s="1"/>
  <c r="F1560" i="61"/>
  <c r="G1560" i="61" s="1"/>
  <c r="F1552" i="61"/>
  <c r="G1552" i="61" s="1"/>
  <c r="F1544" i="61"/>
  <c r="G1544" i="61" s="1"/>
  <c r="F1536" i="61"/>
  <c r="G1536" i="61" s="1"/>
  <c r="F1304" i="61"/>
  <c r="G1304" i="61" s="1"/>
  <c r="F1296" i="61"/>
  <c r="G1296" i="61" s="1"/>
  <c r="F1288" i="61"/>
  <c r="G1288" i="61" s="1"/>
  <c r="F1280" i="61"/>
  <c r="G1280" i="61" s="1"/>
  <c r="F1272" i="61"/>
  <c r="G1272" i="61" s="1"/>
  <c r="F1264" i="61"/>
  <c r="G1264" i="61" s="1"/>
  <c r="F1994" i="61"/>
  <c r="G1994" i="61" s="1"/>
  <c r="F1625" i="61"/>
  <c r="G1625" i="61" s="1"/>
  <c r="F1561" i="61"/>
  <c r="G1561" i="61" s="1"/>
  <c r="F1293" i="61"/>
  <c r="G1293" i="61" s="1"/>
  <c r="F1277" i="61"/>
  <c r="G1277" i="61" s="1"/>
  <c r="F1215" i="61"/>
  <c r="G1215" i="61" s="1"/>
  <c r="F1204" i="61"/>
  <c r="G1204" i="61" s="1"/>
  <c r="F1194" i="61"/>
  <c r="G1194" i="61" s="1"/>
  <c r="F1186" i="61"/>
  <c r="G1186" i="61" s="1"/>
  <c r="F1178" i="61"/>
  <c r="G1178" i="61" s="1"/>
  <c r="F946" i="61"/>
  <c r="G946" i="61" s="1"/>
  <c r="F938" i="61"/>
  <c r="G938" i="61" s="1"/>
  <c r="F930" i="61"/>
  <c r="G930" i="61" s="1"/>
  <c r="F922" i="61"/>
  <c r="G922" i="61" s="1"/>
  <c r="F914" i="61"/>
  <c r="G914" i="61" s="1"/>
  <c r="F906" i="61"/>
  <c r="G906" i="61" s="1"/>
  <c r="F850" i="61"/>
  <c r="G850" i="61" s="1"/>
  <c r="F842" i="61"/>
  <c r="G842" i="61" s="1"/>
  <c r="F834" i="61"/>
  <c r="G834" i="61" s="1"/>
  <c r="F826" i="61"/>
  <c r="G826" i="61" s="1"/>
  <c r="F818" i="61"/>
  <c r="G818" i="61" s="1"/>
  <c r="F586" i="61"/>
  <c r="G586" i="61" s="1"/>
  <c r="F578" i="61"/>
  <c r="G578" i="61" s="1"/>
  <c r="F570" i="61"/>
  <c r="G570" i="61" s="1"/>
  <c r="F562" i="61"/>
  <c r="G562" i="61" s="1"/>
  <c r="F554" i="61"/>
  <c r="G554" i="61" s="1"/>
  <c r="F546" i="61"/>
  <c r="G546" i="61" s="1"/>
  <c r="F490" i="61"/>
  <c r="G490" i="61" s="1"/>
  <c r="F482" i="61"/>
  <c r="G482" i="61" s="1"/>
  <c r="F474" i="61"/>
  <c r="G474" i="61" s="1"/>
  <c r="F466" i="61"/>
  <c r="G466" i="61" s="1"/>
  <c r="F458" i="61"/>
  <c r="G458" i="61" s="1"/>
  <c r="F1665" i="61"/>
  <c r="G1665" i="61" s="1"/>
  <c r="F1556" i="61"/>
  <c r="G1556" i="61" s="1"/>
  <c r="F1292" i="61"/>
  <c r="G1292" i="61" s="1"/>
  <c r="F1276" i="61"/>
  <c r="G1276" i="61" s="1"/>
  <c r="F1213" i="61"/>
  <c r="G1213" i="61" s="1"/>
  <c r="F1203" i="61"/>
  <c r="G1203" i="61" s="1"/>
  <c r="F1193" i="61"/>
  <c r="G1193" i="61" s="1"/>
  <c r="F1185" i="61"/>
  <c r="G1185" i="61" s="1"/>
  <c r="F1177" i="61"/>
  <c r="G1177" i="61" s="1"/>
  <c r="F945" i="61"/>
  <c r="G945" i="61" s="1"/>
  <c r="F937" i="61"/>
  <c r="G937" i="61" s="1"/>
  <c r="F929" i="61"/>
  <c r="G929" i="61" s="1"/>
  <c r="F921" i="61"/>
  <c r="G921" i="61" s="1"/>
  <c r="F913" i="61"/>
  <c r="G913" i="61" s="1"/>
  <c r="F905" i="61"/>
  <c r="G905" i="61" s="1"/>
  <c r="F857" i="61"/>
  <c r="G857" i="61" s="1"/>
  <c r="F849" i="61"/>
  <c r="G849" i="61" s="1"/>
  <c r="F841" i="61"/>
  <c r="G841" i="61" s="1"/>
  <c r="F833" i="61"/>
  <c r="G833" i="61" s="1"/>
  <c r="F825" i="61"/>
  <c r="G825" i="61" s="1"/>
  <c r="F817" i="61"/>
  <c r="G817" i="61" s="1"/>
  <c r="F585" i="61"/>
  <c r="G585" i="61" s="1"/>
  <c r="F577" i="61"/>
  <c r="G577" i="61" s="1"/>
  <c r="F569" i="61"/>
  <c r="G569" i="61" s="1"/>
  <c r="F561" i="61"/>
  <c r="G561" i="61" s="1"/>
  <c r="F553" i="61"/>
  <c r="G553" i="61" s="1"/>
  <c r="F545" i="61"/>
  <c r="G545" i="61" s="1"/>
  <c r="F497" i="61"/>
  <c r="G497" i="61" s="1"/>
  <c r="F489" i="61"/>
  <c r="G489" i="61" s="1"/>
  <c r="F481" i="61"/>
  <c r="G481" i="61" s="1"/>
  <c r="F473" i="61"/>
  <c r="G473" i="61" s="1"/>
  <c r="F465" i="61"/>
  <c r="G465" i="61" s="1"/>
  <c r="F457" i="61"/>
  <c r="G457" i="61" s="1"/>
  <c r="F186" i="61"/>
  <c r="G186" i="61" s="1"/>
  <c r="F194" i="61"/>
  <c r="G194" i="61" s="1"/>
  <c r="F202" i="61"/>
  <c r="G202" i="61" s="1"/>
  <c r="F210" i="61"/>
  <c r="G210" i="61" s="1"/>
  <c r="F218" i="61"/>
  <c r="G218" i="61" s="1"/>
  <c r="F226" i="61"/>
  <c r="G226" i="61" s="1"/>
  <c r="F1930" i="61"/>
  <c r="G1930" i="61" s="1"/>
  <c r="F1657" i="61"/>
  <c r="G1657" i="61" s="1"/>
  <c r="F1553" i="61"/>
  <c r="G1553" i="61" s="1"/>
  <c r="F1305" i="61"/>
  <c r="G1305" i="61" s="1"/>
  <c r="F1289" i="61"/>
  <c r="G1289" i="61" s="1"/>
  <c r="F1273" i="61"/>
  <c r="G1273" i="61" s="1"/>
  <c r="F1212" i="61"/>
  <c r="G1212" i="61" s="1"/>
  <c r="F1201" i="61"/>
  <c r="G1201" i="61" s="1"/>
  <c r="F1192" i="61"/>
  <c r="G1192" i="61" s="1"/>
  <c r="F1184" i="61"/>
  <c r="G1184" i="61" s="1"/>
  <c r="F1176" i="61"/>
  <c r="G1176" i="61" s="1"/>
  <c r="F944" i="61"/>
  <c r="G944" i="61" s="1"/>
  <c r="F936" i="61"/>
  <c r="G936" i="61" s="1"/>
  <c r="F928" i="61"/>
  <c r="G928" i="61" s="1"/>
  <c r="F920" i="61"/>
  <c r="G920" i="61" s="1"/>
  <c r="F912" i="61"/>
  <c r="G912" i="61" s="1"/>
  <c r="F904" i="61"/>
  <c r="G904" i="61" s="1"/>
  <c r="F856" i="61"/>
  <c r="G856" i="61" s="1"/>
  <c r="F848" i="61"/>
  <c r="G848" i="61" s="1"/>
  <c r="F840" i="61"/>
  <c r="G840" i="61" s="1"/>
  <c r="F832" i="61"/>
  <c r="G832" i="61" s="1"/>
  <c r="F824" i="61"/>
  <c r="G824" i="61" s="1"/>
  <c r="F816" i="61"/>
  <c r="G816" i="61" s="1"/>
  <c r="F584" i="61"/>
  <c r="G584" i="61" s="1"/>
  <c r="F576" i="61"/>
  <c r="G576" i="61" s="1"/>
  <c r="F568" i="61"/>
  <c r="G568" i="61" s="1"/>
  <c r="F560" i="61"/>
  <c r="G560" i="61" s="1"/>
  <c r="F552" i="61"/>
  <c r="G552" i="61" s="1"/>
  <c r="F544" i="61"/>
  <c r="G544" i="61" s="1"/>
  <c r="F496" i="61"/>
  <c r="G496" i="61" s="1"/>
  <c r="F488" i="61"/>
  <c r="G488" i="61" s="1"/>
  <c r="F480" i="61"/>
  <c r="G480" i="61" s="1"/>
  <c r="F472" i="61"/>
  <c r="G472" i="61" s="1"/>
  <c r="F464" i="61"/>
  <c r="G464" i="61" s="1"/>
  <c r="F456" i="61"/>
  <c r="G456" i="61" s="1"/>
  <c r="F187" i="61"/>
  <c r="G187" i="61" s="1"/>
  <c r="F195" i="61"/>
  <c r="G195" i="61" s="1"/>
  <c r="F203" i="61"/>
  <c r="G203" i="61" s="1"/>
  <c r="F211" i="61"/>
  <c r="G211" i="61" s="1"/>
  <c r="F219" i="61"/>
  <c r="G219" i="61" s="1"/>
  <c r="F227" i="61"/>
  <c r="G227" i="61" s="1"/>
  <c r="F1899" i="61"/>
  <c r="G1899" i="61" s="1"/>
  <c r="F1649" i="61"/>
  <c r="G1649" i="61" s="1"/>
  <c r="F1548" i="61"/>
  <c r="G1548" i="61" s="1"/>
  <c r="F1303" i="61"/>
  <c r="G1303" i="61" s="1"/>
  <c r="F1287" i="61"/>
  <c r="G1287" i="61" s="1"/>
  <c r="F1271" i="61"/>
  <c r="G1271" i="61" s="1"/>
  <c r="F1211" i="61"/>
  <c r="G1211" i="61" s="1"/>
  <c r="F1200" i="61"/>
  <c r="G1200" i="61" s="1"/>
  <c r="F1191" i="61"/>
  <c r="G1191" i="61" s="1"/>
  <c r="F1183" i="61"/>
  <c r="G1183" i="61" s="1"/>
  <c r="F1175" i="61"/>
  <c r="G1175" i="61" s="1"/>
  <c r="F943" i="61"/>
  <c r="G943" i="61" s="1"/>
  <c r="F935" i="61"/>
  <c r="G935" i="61" s="1"/>
  <c r="F927" i="61"/>
  <c r="G927" i="61" s="1"/>
  <c r="F919" i="61"/>
  <c r="G919" i="61" s="1"/>
  <c r="F911" i="61"/>
  <c r="G911" i="61" s="1"/>
  <c r="F903" i="61"/>
  <c r="G903" i="61" s="1"/>
  <c r="F855" i="61"/>
  <c r="G855" i="61" s="1"/>
  <c r="F847" i="61"/>
  <c r="G847" i="61" s="1"/>
  <c r="F839" i="61"/>
  <c r="G839" i="61" s="1"/>
  <c r="F831" i="61"/>
  <c r="G831" i="61" s="1"/>
  <c r="F823" i="61"/>
  <c r="G823" i="61" s="1"/>
  <c r="F815" i="61"/>
  <c r="G815" i="61" s="1"/>
  <c r="F583" i="61"/>
  <c r="G583" i="61" s="1"/>
  <c r="F575" i="61"/>
  <c r="G575" i="61" s="1"/>
  <c r="F567" i="61"/>
  <c r="G567" i="61" s="1"/>
  <c r="F559" i="61"/>
  <c r="G559" i="61" s="1"/>
  <c r="F551" i="61"/>
  <c r="G551" i="61" s="1"/>
  <c r="F543" i="61"/>
  <c r="G543" i="61" s="1"/>
  <c r="F495" i="61"/>
  <c r="G495" i="61" s="1"/>
  <c r="F487" i="61"/>
  <c r="G487" i="61" s="1"/>
  <c r="F479" i="61"/>
  <c r="G479" i="61" s="1"/>
  <c r="F471" i="61"/>
  <c r="G471" i="61" s="1"/>
  <c r="F463" i="61"/>
  <c r="G463" i="61" s="1"/>
  <c r="F455" i="61"/>
  <c r="G455" i="61" s="1"/>
  <c r="F188" i="61"/>
  <c r="G188" i="61" s="1"/>
  <c r="F196" i="61"/>
  <c r="G196" i="61" s="1"/>
  <c r="F204" i="61"/>
  <c r="G204" i="61" s="1"/>
  <c r="F212" i="61"/>
  <c r="G212" i="61" s="1"/>
  <c r="F220" i="61"/>
  <c r="G220" i="61" s="1"/>
  <c r="F183" i="61"/>
  <c r="G183" i="61" s="1"/>
  <c r="F1641" i="61"/>
  <c r="G1641" i="61" s="1"/>
  <c r="F1577" i="61"/>
  <c r="G1577" i="61" s="1"/>
  <c r="F1545" i="61"/>
  <c r="G1545" i="61" s="1"/>
  <c r="F1301" i="61"/>
  <c r="G1301" i="61" s="1"/>
  <c r="F1285" i="61"/>
  <c r="G1285" i="61" s="1"/>
  <c r="F1269" i="61"/>
  <c r="G1269" i="61" s="1"/>
  <c r="F1209" i="61"/>
  <c r="G1209" i="61" s="1"/>
  <c r="F1199" i="61"/>
  <c r="G1199" i="61" s="1"/>
  <c r="F1190" i="61"/>
  <c r="G1190" i="61" s="1"/>
  <c r="F1182" i="61"/>
  <c r="G1182" i="61" s="1"/>
  <c r="F1174" i="61"/>
  <c r="G1174" i="61" s="1"/>
  <c r="F942" i="61"/>
  <c r="G942" i="61" s="1"/>
  <c r="F934" i="61"/>
  <c r="G934" i="61" s="1"/>
  <c r="F926" i="61"/>
  <c r="G926" i="61" s="1"/>
  <c r="F918" i="61"/>
  <c r="G918" i="61" s="1"/>
  <c r="F910" i="61"/>
  <c r="G910" i="61" s="1"/>
  <c r="F854" i="61"/>
  <c r="G854" i="61" s="1"/>
  <c r="F846" i="61"/>
  <c r="G846" i="61" s="1"/>
  <c r="F838" i="61"/>
  <c r="G838" i="61" s="1"/>
  <c r="F830" i="61"/>
  <c r="G830" i="61" s="1"/>
  <c r="F822" i="61"/>
  <c r="G822" i="61" s="1"/>
  <c r="F814" i="61"/>
  <c r="G814" i="61" s="1"/>
  <c r="F582" i="61"/>
  <c r="G582" i="61" s="1"/>
  <c r="F574" i="61"/>
  <c r="G574" i="61" s="1"/>
  <c r="F566" i="61"/>
  <c r="G566" i="61" s="1"/>
  <c r="F558" i="61"/>
  <c r="G558" i="61" s="1"/>
  <c r="F550" i="61"/>
  <c r="G550" i="61" s="1"/>
  <c r="F494" i="61"/>
  <c r="G494" i="61" s="1"/>
  <c r="F486" i="61"/>
  <c r="G486" i="61" s="1"/>
  <c r="F478" i="61"/>
  <c r="G478" i="61" s="1"/>
  <c r="F470" i="61"/>
  <c r="G470" i="61" s="1"/>
  <c r="F462" i="61"/>
  <c r="G462" i="61" s="1"/>
  <c r="F454" i="61"/>
  <c r="G454" i="61" s="1"/>
  <c r="F189" i="61"/>
  <c r="G189" i="61" s="1"/>
  <c r="F197" i="61"/>
  <c r="G197" i="61" s="1"/>
  <c r="F205" i="61"/>
  <c r="G205" i="61" s="1"/>
  <c r="F213" i="61"/>
  <c r="G213" i="61" s="1"/>
  <c r="F221" i="61"/>
  <c r="G221" i="61" s="1"/>
  <c r="F1636" i="61"/>
  <c r="G1636" i="61" s="1"/>
  <c r="F1572" i="61"/>
  <c r="G1572" i="61" s="1"/>
  <c r="F1540" i="61"/>
  <c r="G1540" i="61" s="1"/>
  <c r="F1300" i="61"/>
  <c r="G1300" i="61" s="1"/>
  <c r="F1284" i="61"/>
  <c r="G1284" i="61" s="1"/>
  <c r="F1268" i="61"/>
  <c r="G1268" i="61" s="1"/>
  <c r="F1208" i="61"/>
  <c r="G1208" i="61" s="1"/>
  <c r="F1197" i="61"/>
  <c r="G1197" i="61" s="1"/>
  <c r="F1189" i="61"/>
  <c r="G1189" i="61" s="1"/>
  <c r="F1181" i="61"/>
  <c r="G1181" i="61" s="1"/>
  <c r="F1173" i="61"/>
  <c r="G1173" i="61" s="1"/>
  <c r="F941" i="61"/>
  <c r="G941" i="61" s="1"/>
  <c r="F933" i="61"/>
  <c r="G933" i="61" s="1"/>
  <c r="F925" i="61"/>
  <c r="G925" i="61" s="1"/>
  <c r="F917" i="61"/>
  <c r="G917" i="61" s="1"/>
  <c r="F909" i="61"/>
  <c r="G909" i="61" s="1"/>
  <c r="F853" i="61"/>
  <c r="G853" i="61" s="1"/>
  <c r="F845" i="61"/>
  <c r="G845" i="61" s="1"/>
  <c r="F837" i="61"/>
  <c r="G837" i="61" s="1"/>
  <c r="F829" i="61"/>
  <c r="G829" i="61" s="1"/>
  <c r="F821" i="61"/>
  <c r="G821" i="61" s="1"/>
  <c r="F813" i="61"/>
  <c r="G813" i="61" s="1"/>
  <c r="F581" i="61"/>
  <c r="G581" i="61" s="1"/>
  <c r="F573" i="61"/>
  <c r="G573" i="61" s="1"/>
  <c r="F565" i="61"/>
  <c r="G565" i="61" s="1"/>
  <c r="F557" i="61"/>
  <c r="G557" i="61" s="1"/>
  <c r="F549" i="61"/>
  <c r="G549" i="61" s="1"/>
  <c r="F493" i="61"/>
  <c r="G493" i="61" s="1"/>
  <c r="F485" i="61"/>
  <c r="G485" i="61" s="1"/>
  <c r="F477" i="61"/>
  <c r="G477" i="61" s="1"/>
  <c r="F469" i="61"/>
  <c r="G469" i="61" s="1"/>
  <c r="F461" i="61"/>
  <c r="G461" i="61" s="1"/>
  <c r="F453" i="61"/>
  <c r="G453" i="61" s="1"/>
  <c r="F1633" i="61"/>
  <c r="G1633" i="61" s="1"/>
  <c r="F1569" i="61"/>
  <c r="G1569" i="61" s="1"/>
  <c r="F1537" i="61"/>
  <c r="G1537" i="61" s="1"/>
  <c r="F1297" i="61"/>
  <c r="G1297" i="61" s="1"/>
  <c r="F1281" i="61"/>
  <c r="G1281" i="61" s="1"/>
  <c r="F1265" i="61"/>
  <c r="G1265" i="61" s="1"/>
  <c r="F1217" i="61"/>
  <c r="G1217" i="61" s="1"/>
  <c r="F1207" i="61"/>
  <c r="G1207" i="61" s="1"/>
  <c r="F1196" i="61"/>
  <c r="G1196" i="61" s="1"/>
  <c r="F1188" i="61"/>
  <c r="G1188" i="61" s="1"/>
  <c r="F1180" i="61"/>
  <c r="G1180" i="61" s="1"/>
  <c r="F940" i="61"/>
  <c r="G940" i="61" s="1"/>
  <c r="F932" i="61"/>
  <c r="G932" i="61" s="1"/>
  <c r="F924" i="61"/>
  <c r="G924" i="61" s="1"/>
  <c r="F916" i="61"/>
  <c r="G916" i="61" s="1"/>
  <c r="F908" i="61"/>
  <c r="G908" i="61" s="1"/>
  <c r="F852" i="61"/>
  <c r="G852" i="61" s="1"/>
  <c r="F844" i="61"/>
  <c r="G844" i="61" s="1"/>
  <c r="F836" i="61"/>
  <c r="G836" i="61" s="1"/>
  <c r="F828" i="61"/>
  <c r="G828" i="61" s="1"/>
  <c r="F820" i="61"/>
  <c r="G820" i="61" s="1"/>
  <c r="F580" i="61"/>
  <c r="G580" i="61" s="1"/>
  <c r="F572" i="61"/>
  <c r="G572" i="61" s="1"/>
  <c r="F564" i="61"/>
  <c r="G564" i="61" s="1"/>
  <c r="F556" i="61"/>
  <c r="G556" i="61" s="1"/>
  <c r="F548" i="61"/>
  <c r="G548" i="61" s="1"/>
  <c r="F492" i="61"/>
  <c r="G492" i="61" s="1"/>
  <c r="F484" i="61"/>
  <c r="G484" i="61" s="1"/>
  <c r="F476" i="61"/>
  <c r="G476" i="61" s="1"/>
  <c r="F468" i="61"/>
  <c r="G468" i="61" s="1"/>
  <c r="F460" i="61"/>
  <c r="G460" i="61" s="1"/>
  <c r="F191" i="61"/>
  <c r="G191" i="61" s="1"/>
  <c r="F199" i="61"/>
  <c r="G199" i="61" s="1"/>
  <c r="F207" i="61"/>
  <c r="G207" i="61" s="1"/>
  <c r="F215" i="61"/>
  <c r="G215" i="61" s="1"/>
  <c r="F223" i="61"/>
  <c r="G223" i="61" s="1"/>
  <c r="F2026" i="61"/>
  <c r="G2026" i="61" s="1"/>
  <c r="F1628" i="61"/>
  <c r="G1628" i="61" s="1"/>
  <c r="F1564" i="61"/>
  <c r="G1564" i="61" s="1"/>
  <c r="F1295" i="61"/>
  <c r="G1295" i="61" s="1"/>
  <c r="F1279" i="61"/>
  <c r="G1279" i="61" s="1"/>
  <c r="F1263" i="61"/>
  <c r="G1263" i="61" s="1"/>
  <c r="F1216" i="61"/>
  <c r="G1216" i="61" s="1"/>
  <c r="F1205" i="61"/>
  <c r="G1205" i="61" s="1"/>
  <c r="F1195" i="61"/>
  <c r="G1195" i="61" s="1"/>
  <c r="F1187" i="61"/>
  <c r="G1187" i="61" s="1"/>
  <c r="F1179" i="61"/>
  <c r="G1179" i="61" s="1"/>
  <c r="F947" i="61"/>
  <c r="G947" i="61" s="1"/>
  <c r="F939" i="61"/>
  <c r="G939" i="61" s="1"/>
  <c r="F931" i="61"/>
  <c r="G931" i="61" s="1"/>
  <c r="F923" i="61"/>
  <c r="G923" i="61" s="1"/>
  <c r="F915" i="61"/>
  <c r="G915" i="61" s="1"/>
  <c r="F907" i="61"/>
  <c r="G907" i="61" s="1"/>
  <c r="F851" i="61"/>
  <c r="G851" i="61" s="1"/>
  <c r="F843" i="61"/>
  <c r="G843" i="61" s="1"/>
  <c r="F835" i="61"/>
  <c r="G835" i="61" s="1"/>
  <c r="F827" i="61"/>
  <c r="G827" i="61" s="1"/>
  <c r="F819" i="61"/>
  <c r="G819" i="61" s="1"/>
  <c r="F587" i="61"/>
  <c r="G587" i="61" s="1"/>
  <c r="F579" i="61"/>
  <c r="G579" i="61" s="1"/>
  <c r="F571" i="61"/>
  <c r="G571" i="61" s="1"/>
  <c r="F563" i="61"/>
  <c r="G563" i="61" s="1"/>
  <c r="F555" i="61"/>
  <c r="G555" i="61" s="1"/>
  <c r="F547" i="61"/>
  <c r="G547" i="61" s="1"/>
  <c r="F475" i="61"/>
  <c r="G475" i="61" s="1"/>
  <c r="F198" i="61"/>
  <c r="G198" i="61" s="1"/>
  <c r="F217" i="61"/>
  <c r="G217" i="61" s="1"/>
  <c r="F100" i="61"/>
  <c r="G100" i="61" s="1"/>
  <c r="F108" i="61"/>
  <c r="G108" i="61" s="1"/>
  <c r="F116" i="61"/>
  <c r="G116" i="61" s="1"/>
  <c r="F124" i="61"/>
  <c r="G124" i="61" s="1"/>
  <c r="F132" i="61"/>
  <c r="G132" i="61" s="1"/>
  <c r="F467" i="61"/>
  <c r="G467" i="61" s="1"/>
  <c r="F200" i="61"/>
  <c r="G200" i="61" s="1"/>
  <c r="F222" i="61"/>
  <c r="G222" i="61" s="1"/>
  <c r="F101" i="61"/>
  <c r="G101" i="61" s="1"/>
  <c r="F109" i="61"/>
  <c r="G109" i="61" s="1"/>
  <c r="F117" i="61"/>
  <c r="G117" i="61" s="1"/>
  <c r="F125" i="61"/>
  <c r="G125" i="61" s="1"/>
  <c r="F133" i="61"/>
  <c r="G133" i="61" s="1"/>
  <c r="F130" i="61"/>
  <c r="G130" i="61" s="1"/>
  <c r="F459" i="61"/>
  <c r="G459" i="61" s="1"/>
  <c r="F201" i="61"/>
  <c r="G201" i="61" s="1"/>
  <c r="F224" i="61"/>
  <c r="G224" i="61" s="1"/>
  <c r="F94" i="61"/>
  <c r="G94" i="61" s="1"/>
  <c r="F102" i="61"/>
  <c r="G102" i="61" s="1"/>
  <c r="F110" i="61"/>
  <c r="G110" i="61" s="1"/>
  <c r="F118" i="61"/>
  <c r="G118" i="61" s="1"/>
  <c r="F126" i="61"/>
  <c r="G126" i="61" s="1"/>
  <c r="F134" i="61"/>
  <c r="G134" i="61" s="1"/>
  <c r="F192" i="61"/>
  <c r="G192" i="61" s="1"/>
  <c r="F214" i="61"/>
  <c r="G214" i="61" s="1"/>
  <c r="F98" i="61"/>
  <c r="G98" i="61" s="1"/>
  <c r="F93" i="61"/>
  <c r="G93" i="61" s="1"/>
  <c r="F184" i="61"/>
  <c r="G184" i="61" s="1"/>
  <c r="F206" i="61"/>
  <c r="G206" i="61" s="1"/>
  <c r="F225" i="61"/>
  <c r="G225" i="61" s="1"/>
  <c r="F95" i="61"/>
  <c r="G95" i="61" s="1"/>
  <c r="F103" i="61"/>
  <c r="G103" i="61" s="1"/>
  <c r="F111" i="61"/>
  <c r="G111" i="61" s="1"/>
  <c r="F119" i="61"/>
  <c r="G119" i="61" s="1"/>
  <c r="F127" i="61"/>
  <c r="G127" i="61" s="1"/>
  <c r="F135" i="61"/>
  <c r="G135" i="61" s="1"/>
  <c r="F114" i="61"/>
  <c r="G114" i="61" s="1"/>
  <c r="F185" i="61"/>
  <c r="G185" i="61" s="1"/>
  <c r="F208" i="61"/>
  <c r="G208" i="61" s="1"/>
  <c r="F96" i="61"/>
  <c r="G96" i="61" s="1"/>
  <c r="F104" i="61"/>
  <c r="G104" i="61" s="1"/>
  <c r="F112" i="61"/>
  <c r="G112" i="61" s="1"/>
  <c r="F120" i="61"/>
  <c r="G120" i="61" s="1"/>
  <c r="F128" i="61"/>
  <c r="G128" i="61" s="1"/>
  <c r="F136" i="61"/>
  <c r="G136" i="61" s="1"/>
  <c r="F190" i="61"/>
  <c r="G190" i="61" s="1"/>
  <c r="F209" i="61"/>
  <c r="G209" i="61" s="1"/>
  <c r="F97" i="61"/>
  <c r="G97" i="61" s="1"/>
  <c r="F105" i="61"/>
  <c r="G105" i="61" s="1"/>
  <c r="F113" i="61"/>
  <c r="G113" i="61" s="1"/>
  <c r="F121" i="61"/>
  <c r="G121" i="61" s="1"/>
  <c r="F129" i="61"/>
  <c r="G129" i="61" s="1"/>
  <c r="F137" i="61"/>
  <c r="G137" i="61" s="1"/>
  <c r="F491" i="61"/>
  <c r="G491" i="61" s="1"/>
  <c r="F106" i="61"/>
  <c r="G106" i="61" s="1"/>
  <c r="F483" i="61"/>
  <c r="G483" i="61" s="1"/>
  <c r="F193" i="61"/>
  <c r="G193" i="61" s="1"/>
  <c r="F216" i="61"/>
  <c r="G216" i="61" s="1"/>
  <c r="F99" i="61"/>
  <c r="G99" i="61" s="1"/>
  <c r="F107" i="61"/>
  <c r="G107" i="61" s="1"/>
  <c r="F115" i="61"/>
  <c r="G115" i="61" s="1"/>
  <c r="F123" i="61"/>
  <c r="G123" i="61" s="1"/>
  <c r="F131" i="61"/>
  <c r="G131" i="61" s="1"/>
  <c r="F122" i="61"/>
  <c r="G122" i="61" s="1"/>
  <c r="K94" i="60"/>
  <c r="K93" i="60"/>
  <c r="K116" i="60"/>
  <c r="K114" i="60"/>
  <c r="K115" i="60"/>
  <c r="K97" i="60"/>
  <c r="K95" i="60"/>
  <c r="K137" i="60"/>
  <c r="K135" i="60"/>
  <c r="K193" i="60"/>
  <c r="K194" i="60"/>
  <c r="K195" i="60"/>
  <c r="K196" i="60"/>
  <c r="K197" i="60"/>
  <c r="K73" i="60"/>
  <c r="K74" i="60"/>
  <c r="K75" i="60"/>
  <c r="K76" i="60"/>
  <c r="K77" i="60"/>
  <c r="K123" i="60"/>
  <c r="K127" i="60"/>
  <c r="K124" i="60"/>
  <c r="K125" i="60"/>
  <c r="K126" i="60"/>
  <c r="K98" i="60"/>
  <c r="K99" i="60"/>
  <c r="K100" i="60"/>
  <c r="K101" i="60"/>
  <c r="K102" i="60"/>
  <c r="K247" i="60"/>
  <c r="K243" i="60"/>
  <c r="K244" i="60"/>
  <c r="K245" i="60"/>
  <c r="K246" i="60"/>
  <c r="K105" i="60"/>
  <c r="K106" i="60"/>
  <c r="K107" i="60"/>
  <c r="K103" i="60"/>
  <c r="K104" i="60"/>
  <c r="K178" i="60"/>
  <c r="K179" i="60"/>
  <c r="K180" i="60"/>
  <c r="K181" i="60"/>
  <c r="K182" i="60"/>
  <c r="K258" i="60"/>
  <c r="K259" i="60"/>
  <c r="K260" i="60"/>
  <c r="K261" i="60"/>
  <c r="K262" i="60"/>
  <c r="K148" i="60"/>
  <c r="K151" i="60"/>
  <c r="K149" i="60"/>
  <c r="K150" i="60"/>
  <c r="K152" i="60"/>
  <c r="K218" i="60"/>
  <c r="K219" i="60"/>
  <c r="K220" i="60"/>
  <c r="K221" i="60"/>
  <c r="K222" i="60"/>
  <c r="K89" i="60"/>
  <c r="K90" i="60"/>
  <c r="K91" i="60"/>
  <c r="K92" i="60"/>
  <c r="K88" i="60"/>
  <c r="K129" i="60"/>
  <c r="K130" i="60"/>
  <c r="K131" i="60"/>
  <c r="K132" i="60"/>
  <c r="K128" i="60"/>
  <c r="K83" i="60"/>
  <c r="K84" i="60"/>
  <c r="K85" i="60"/>
  <c r="K86" i="60"/>
  <c r="K87" i="60"/>
  <c r="K209" i="60"/>
  <c r="K210" i="60"/>
  <c r="K211" i="60"/>
  <c r="K212" i="60"/>
  <c r="K208" i="60"/>
  <c r="K163" i="60"/>
  <c r="K164" i="60"/>
  <c r="K165" i="60"/>
  <c r="K166" i="60"/>
  <c r="K167" i="60"/>
  <c r="K57" i="60"/>
  <c r="K53" i="60"/>
  <c r="K55" i="60"/>
  <c r="K54" i="60"/>
  <c r="K56" i="60"/>
  <c r="K201" i="60"/>
  <c r="K199" i="60"/>
  <c r="K202" i="60"/>
  <c r="K198" i="60"/>
  <c r="K200" i="60"/>
  <c r="K108" i="60"/>
  <c r="K109" i="60"/>
  <c r="K111" i="60"/>
  <c r="K110" i="60"/>
  <c r="K112" i="60"/>
  <c r="K161" i="60"/>
  <c r="K162" i="60"/>
  <c r="K159" i="60"/>
  <c r="K158" i="60"/>
  <c r="K160" i="60"/>
  <c r="K191" i="60"/>
  <c r="K188" i="60"/>
  <c r="K189" i="60"/>
  <c r="K190" i="60"/>
  <c r="K192" i="60"/>
  <c r="K68" i="60"/>
  <c r="K69" i="60"/>
  <c r="K70" i="60"/>
  <c r="K71" i="60"/>
  <c r="K72" i="60"/>
  <c r="K65" i="60"/>
  <c r="K66" i="60"/>
  <c r="K67" i="60"/>
  <c r="K63" i="60"/>
  <c r="K64" i="60"/>
  <c r="K241" i="60"/>
  <c r="K239" i="60"/>
  <c r="K242" i="60"/>
  <c r="K238" i="60"/>
  <c r="K240" i="60"/>
  <c r="K225" i="60"/>
  <c r="K226" i="60"/>
  <c r="K227" i="60"/>
  <c r="K223" i="60"/>
  <c r="K224" i="60"/>
  <c r="K138" i="60"/>
  <c r="K139" i="60"/>
  <c r="K140" i="60"/>
  <c r="K141" i="60"/>
  <c r="K142" i="60"/>
  <c r="K145" i="60"/>
  <c r="K143" i="60"/>
  <c r="K146" i="60"/>
  <c r="K147" i="60"/>
  <c r="K144" i="60"/>
  <c r="K217" i="60"/>
  <c r="K213" i="60"/>
  <c r="K214" i="60"/>
  <c r="K215" i="60"/>
  <c r="K216" i="60"/>
  <c r="K266" i="60"/>
  <c r="K267" i="60"/>
  <c r="K264" i="60"/>
  <c r="K265" i="60"/>
  <c r="K263" i="60"/>
  <c r="K203" i="60"/>
  <c r="K204" i="60"/>
  <c r="K205" i="60"/>
  <c r="K207" i="60"/>
  <c r="K206" i="60"/>
  <c r="K49" i="60"/>
  <c r="K50" i="60"/>
  <c r="K51" i="60"/>
  <c r="K52" i="60"/>
  <c r="K48" i="60"/>
  <c r="K121" i="60"/>
  <c r="K122" i="60"/>
  <c r="K118" i="60"/>
  <c r="K119" i="60"/>
  <c r="K120" i="60"/>
  <c r="K169" i="60"/>
  <c r="K170" i="60"/>
  <c r="K171" i="60"/>
  <c r="K172" i="60"/>
  <c r="K168" i="60"/>
  <c r="K185" i="60"/>
  <c r="K186" i="60"/>
  <c r="K187" i="60"/>
  <c r="K183" i="60"/>
  <c r="K184" i="60"/>
  <c r="A162" i="53"/>
  <c r="G11" i="60"/>
  <c r="G12" i="60"/>
  <c r="G20" i="60"/>
  <c r="G28" i="60"/>
  <c r="G36" i="60"/>
  <c r="G44" i="60"/>
  <c r="G60" i="60"/>
  <c r="G68" i="60"/>
  <c r="G76" i="60"/>
  <c r="G84" i="60"/>
  <c r="G14" i="60"/>
  <c r="G22" i="60"/>
  <c r="G30" i="60"/>
  <c r="G38" i="60"/>
  <c r="G46" i="60"/>
  <c r="G54" i="60"/>
  <c r="G62" i="60"/>
  <c r="G70" i="60"/>
  <c r="G78" i="60"/>
  <c r="G86" i="60"/>
  <c r="G15" i="60"/>
  <c r="G23" i="60"/>
  <c r="G31" i="60"/>
  <c r="G10" i="60"/>
  <c r="G25" i="60"/>
  <c r="G37" i="60"/>
  <c r="G57" i="60"/>
  <c r="G67" i="60"/>
  <c r="G79" i="60"/>
  <c r="G89" i="60"/>
  <c r="G105" i="60"/>
  <c r="G113" i="60"/>
  <c r="G121" i="60"/>
  <c r="G129" i="60"/>
  <c r="G137" i="60"/>
  <c r="G145" i="60"/>
  <c r="G153" i="60"/>
  <c r="G161" i="60"/>
  <c r="G169" i="60"/>
  <c r="G177" i="60"/>
  <c r="G193" i="60"/>
  <c r="G201" i="60"/>
  <c r="G209" i="60"/>
  <c r="G217" i="60"/>
  <c r="G225" i="60"/>
  <c r="G233" i="60"/>
  <c r="G241" i="60"/>
  <c r="G249" i="60"/>
  <c r="G257" i="60"/>
  <c r="G265" i="60"/>
  <c r="G13" i="60"/>
  <c r="G26" i="60"/>
  <c r="G39" i="60"/>
  <c r="G58" i="60"/>
  <c r="G69" i="60"/>
  <c r="G80" i="60"/>
  <c r="G90" i="60"/>
  <c r="G98" i="60"/>
  <c r="G106" i="60"/>
  <c r="G114" i="60"/>
  <c r="G122" i="60"/>
  <c r="G130" i="60"/>
  <c r="G146" i="60"/>
  <c r="G154" i="60"/>
  <c r="G162" i="60"/>
  <c r="G170" i="60"/>
  <c r="G178" i="60"/>
  <c r="G194" i="60"/>
  <c r="G202" i="60"/>
  <c r="G210" i="60"/>
  <c r="G218" i="60"/>
  <c r="G226" i="60"/>
  <c r="G234" i="60"/>
  <c r="G242" i="60"/>
  <c r="G250" i="60"/>
  <c r="G258" i="60"/>
  <c r="G266" i="60"/>
  <c r="G16" i="60"/>
  <c r="G27" i="60"/>
  <c r="G40" i="60"/>
  <c r="G59" i="60"/>
  <c r="G71" i="60"/>
  <c r="G81" i="60"/>
  <c r="G91" i="60"/>
  <c r="G99" i="60"/>
  <c r="G107" i="60"/>
  <c r="G115" i="60"/>
  <c r="G123" i="60"/>
  <c r="G131" i="60"/>
  <c r="G147" i="60"/>
  <c r="G155" i="60"/>
  <c r="G163" i="60"/>
  <c r="G171" i="60"/>
  <c r="G179" i="60"/>
  <c r="G195" i="60"/>
  <c r="G203" i="60"/>
  <c r="G211" i="60"/>
  <c r="G219" i="60"/>
  <c r="G227" i="60"/>
  <c r="G235" i="60"/>
  <c r="G243" i="60"/>
  <c r="G251" i="60"/>
  <c r="G259" i="60"/>
  <c r="G267" i="60"/>
  <c r="G17" i="60"/>
  <c r="G29" i="60"/>
  <c r="G41" i="60"/>
  <c r="G61" i="60"/>
  <c r="G72" i="60"/>
  <c r="G82" i="60"/>
  <c r="G92" i="60"/>
  <c r="G100" i="60"/>
  <c r="G108" i="60"/>
  <c r="G116" i="60"/>
  <c r="G124" i="60"/>
  <c r="G132" i="60"/>
  <c r="G148" i="60"/>
  <c r="G156" i="60"/>
  <c r="G164" i="60"/>
  <c r="G172" i="60"/>
  <c r="G180" i="60"/>
  <c r="G188" i="60"/>
  <c r="G196" i="60"/>
  <c r="G204" i="60"/>
  <c r="G212" i="60"/>
  <c r="G220" i="60"/>
  <c r="G236" i="60"/>
  <c r="G244" i="60"/>
  <c r="G252" i="60"/>
  <c r="G260" i="60"/>
  <c r="G268" i="60"/>
  <c r="G18" i="60"/>
  <c r="G32" i="60"/>
  <c r="G42" i="60"/>
  <c r="G63" i="60"/>
  <c r="G73" i="60"/>
  <c r="G83" i="60"/>
  <c r="G101" i="60"/>
  <c r="G109" i="60"/>
  <c r="G117" i="60"/>
  <c r="G125" i="60"/>
  <c r="G133" i="60"/>
  <c r="G149" i="60"/>
  <c r="G157" i="60"/>
  <c r="G165" i="60"/>
  <c r="G173" i="60"/>
  <c r="G181" i="60"/>
  <c r="G189" i="60"/>
  <c r="G197" i="60"/>
  <c r="G205" i="60"/>
  <c r="G213" i="60"/>
  <c r="G221" i="60"/>
  <c r="G237" i="60"/>
  <c r="G245" i="60"/>
  <c r="G253" i="60"/>
  <c r="G261" i="60"/>
  <c r="G269" i="60"/>
  <c r="G19" i="60"/>
  <c r="G33" i="60"/>
  <c r="G43" i="60"/>
  <c r="G53" i="60"/>
  <c r="G64" i="60"/>
  <c r="G74" i="60"/>
  <c r="G85" i="60"/>
  <c r="G102" i="60"/>
  <c r="G110" i="60"/>
  <c r="G118" i="60"/>
  <c r="G126" i="60"/>
  <c r="G134" i="60"/>
  <c r="G150" i="60"/>
  <c r="G158" i="60"/>
  <c r="G166" i="60"/>
  <c r="G174" i="60"/>
  <c r="G182" i="60"/>
  <c r="G190" i="60"/>
  <c r="G198" i="60"/>
  <c r="G206" i="60"/>
  <c r="G214" i="60"/>
  <c r="G222" i="60"/>
  <c r="G238" i="60"/>
  <c r="G246" i="60"/>
  <c r="G254" i="60"/>
  <c r="G262" i="60"/>
  <c r="G270" i="60"/>
  <c r="G9" i="60"/>
  <c r="G24" i="60"/>
  <c r="G35" i="60"/>
  <c r="G47" i="60"/>
  <c r="G56" i="60"/>
  <c r="G66" i="60"/>
  <c r="G77" i="60"/>
  <c r="G88" i="60"/>
  <c r="G104" i="60"/>
  <c r="G112" i="60"/>
  <c r="G120" i="60"/>
  <c r="G128" i="60"/>
  <c r="G136" i="60"/>
  <c r="G144" i="60"/>
  <c r="G152" i="60"/>
  <c r="G160" i="60"/>
  <c r="G168" i="60"/>
  <c r="G176" i="60"/>
  <c r="G192" i="60"/>
  <c r="G200" i="60"/>
  <c r="G208" i="60"/>
  <c r="G216" i="60"/>
  <c r="G224" i="60"/>
  <c r="G240" i="60"/>
  <c r="G248" i="60"/>
  <c r="G256" i="60"/>
  <c r="G264" i="60"/>
  <c r="G272" i="60"/>
  <c r="G34" i="60"/>
  <c r="G65" i="60"/>
  <c r="G103" i="60"/>
  <c r="G223" i="60"/>
  <c r="G255" i="60"/>
  <c r="G45" i="60"/>
  <c r="G75" i="60"/>
  <c r="G111" i="60"/>
  <c r="G263" i="60"/>
  <c r="G87" i="60"/>
  <c r="G119" i="60"/>
  <c r="G143" i="60"/>
  <c r="G271" i="60"/>
  <c r="G55" i="60"/>
  <c r="G247" i="60"/>
  <c r="G127" i="60"/>
  <c r="G151" i="60"/>
  <c r="G135" i="60"/>
  <c r="G159" i="60"/>
  <c r="G191" i="60"/>
  <c r="G167" i="60"/>
  <c r="G199" i="60"/>
  <c r="G215" i="60"/>
  <c r="G8" i="60"/>
  <c r="G175" i="60"/>
  <c r="G207" i="60"/>
  <c r="G239" i="60"/>
  <c r="G21" i="60"/>
  <c r="J48" i="54"/>
  <c r="A28" i="55"/>
  <c r="K234" i="54"/>
  <c r="K153" i="54"/>
  <c r="K241" i="54"/>
  <c r="K154" i="54"/>
  <c r="K124" i="54"/>
  <c r="K218" i="54"/>
  <c r="K217" i="54"/>
  <c r="K121" i="54"/>
  <c r="K203" i="54"/>
  <c r="K89" i="54"/>
  <c r="K201" i="54"/>
  <c r="K84" i="54"/>
  <c r="K177" i="54"/>
  <c r="K49" i="54"/>
  <c r="K242" i="54"/>
  <c r="K172" i="54"/>
  <c r="K44" i="54"/>
  <c r="K219" i="54"/>
  <c r="K204" i="54"/>
  <c r="K178" i="54"/>
  <c r="K156" i="54"/>
  <c r="K129" i="54"/>
  <c r="K92" i="54"/>
  <c r="K52" i="54"/>
  <c r="K236" i="54"/>
  <c r="K214" i="54"/>
  <c r="K196" i="54"/>
  <c r="K170" i="54"/>
  <c r="K140" i="54"/>
  <c r="K116" i="54"/>
  <c r="K81" i="54"/>
  <c r="K41" i="54"/>
  <c r="K212" i="54"/>
  <c r="K194" i="54"/>
  <c r="K169" i="54"/>
  <c r="K138" i="54"/>
  <c r="K114" i="54"/>
  <c r="K76" i="54"/>
  <c r="K33" i="54"/>
  <c r="K233" i="54"/>
  <c r="K211" i="54"/>
  <c r="K193" i="54"/>
  <c r="K164" i="54"/>
  <c r="K137" i="54"/>
  <c r="K113" i="54"/>
  <c r="K73" i="54"/>
  <c r="K20" i="54"/>
  <c r="K222" i="54"/>
  <c r="K210" i="54"/>
  <c r="K180" i="54"/>
  <c r="K163" i="54"/>
  <c r="K132" i="54"/>
  <c r="K100" i="54"/>
  <c r="K60" i="54"/>
  <c r="K17" i="54"/>
  <c r="K220" i="54"/>
  <c r="K209" i="54"/>
  <c r="K179" i="54"/>
  <c r="K161" i="54"/>
  <c r="K130" i="54"/>
  <c r="K97" i="54"/>
  <c r="K57" i="54"/>
  <c r="K9" i="54"/>
  <c r="K226" i="54"/>
  <c r="K202" i="54"/>
  <c r="K186" i="54"/>
  <c r="K162" i="54"/>
  <c r="K146" i="54"/>
  <c r="K122" i="54"/>
  <c r="K106" i="54"/>
  <c r="K98" i="54"/>
  <c r="K90" i="54"/>
  <c r="K82" i="54"/>
  <c r="K74" i="54"/>
  <c r="K66" i="54"/>
  <c r="K58" i="54"/>
  <c r="K50" i="54"/>
  <c r="K42" i="54"/>
  <c r="K34" i="54"/>
  <c r="K26" i="54"/>
  <c r="K18" i="54"/>
  <c r="K10" i="54"/>
  <c r="K185" i="54"/>
  <c r="K105" i="54"/>
  <c r="K25" i="54"/>
  <c r="K240" i="54"/>
  <c r="K232" i="54"/>
  <c r="K224" i="54"/>
  <c r="K216" i="54"/>
  <c r="K200" i="54"/>
  <c r="K192" i="54"/>
  <c r="K184" i="54"/>
  <c r="K176" i="54"/>
  <c r="K168" i="54"/>
  <c r="K160" i="54"/>
  <c r="K152" i="54"/>
  <c r="K144" i="54"/>
  <c r="K136" i="54"/>
  <c r="K128" i="54"/>
  <c r="K120" i="54"/>
  <c r="K112" i="54"/>
  <c r="K104" i="54"/>
  <c r="K96" i="54"/>
  <c r="K88" i="54"/>
  <c r="K80" i="54"/>
  <c r="K72" i="54"/>
  <c r="K64" i="54"/>
  <c r="K56" i="54"/>
  <c r="K48" i="54"/>
  <c r="K40" i="54"/>
  <c r="K32" i="54"/>
  <c r="K24" i="54"/>
  <c r="K16" i="54"/>
  <c r="K8" i="54"/>
  <c r="K225" i="54"/>
  <c r="K145" i="54"/>
  <c r="K65" i="54"/>
  <c r="K239" i="54"/>
  <c r="K231" i="54"/>
  <c r="K223" i="54"/>
  <c r="K215" i="54"/>
  <c r="K207" i="54"/>
  <c r="K199" i="54"/>
  <c r="K191" i="54"/>
  <c r="K183" i="54"/>
  <c r="K175" i="54"/>
  <c r="K167" i="54"/>
  <c r="K159" i="54"/>
  <c r="K151" i="54"/>
  <c r="K143" i="54"/>
  <c r="K135" i="54"/>
  <c r="K127" i="54"/>
  <c r="K119" i="54"/>
  <c r="K111" i="54"/>
  <c r="K103" i="54"/>
  <c r="K95" i="54"/>
  <c r="K87" i="54"/>
  <c r="K79" i="54"/>
  <c r="K71" i="54"/>
  <c r="K63" i="54"/>
  <c r="K55" i="54"/>
  <c r="K47" i="54"/>
  <c r="K39" i="54"/>
  <c r="K31" i="54"/>
  <c r="K23" i="54"/>
  <c r="K15" i="54"/>
  <c r="K7" i="54"/>
  <c r="K230" i="54"/>
  <c r="K206" i="54"/>
  <c r="K190" i="54"/>
  <c r="K182" i="54"/>
  <c r="K174" i="54"/>
  <c r="K166" i="54"/>
  <c r="K150" i="54"/>
  <c r="K142" i="54"/>
  <c r="K134" i="54"/>
  <c r="K126" i="54"/>
  <c r="K110" i="54"/>
  <c r="K102" i="54"/>
  <c r="K94" i="54"/>
  <c r="K86" i="54"/>
  <c r="K70" i="54"/>
  <c r="K62" i="54"/>
  <c r="K54" i="54"/>
  <c r="K46" i="54"/>
  <c r="K30" i="54"/>
  <c r="K22" i="54"/>
  <c r="K14" i="54"/>
  <c r="K6" i="54"/>
  <c r="K237" i="54"/>
  <c r="K229" i="54"/>
  <c r="K197" i="54"/>
  <c r="K189" i="54"/>
  <c r="K157" i="54"/>
  <c r="K149" i="54"/>
  <c r="K141" i="54"/>
  <c r="K125" i="54"/>
  <c r="K117" i="54"/>
  <c r="K109" i="54"/>
  <c r="K101" i="54"/>
  <c r="K85" i="54"/>
  <c r="K77" i="54"/>
  <c r="K69" i="54"/>
  <c r="K61" i="54"/>
  <c r="K45" i="54"/>
  <c r="K37" i="54"/>
  <c r="K29" i="54"/>
  <c r="K21" i="54"/>
  <c r="K5" i="54"/>
  <c r="K36" i="54"/>
  <c r="K12" i="54"/>
  <c r="J228" i="54"/>
  <c r="J168" i="54"/>
  <c r="J213" i="54"/>
  <c r="J163" i="54"/>
  <c r="J133" i="54"/>
  <c r="J24" i="54"/>
  <c r="J77" i="54"/>
  <c r="J205" i="54"/>
  <c r="J128" i="54"/>
  <c r="J125" i="54"/>
  <c r="J208" i="54"/>
  <c r="J13" i="54"/>
  <c r="J173" i="54"/>
  <c r="J8" i="54"/>
  <c r="J109" i="54"/>
  <c r="J64" i="54"/>
  <c r="J120" i="54"/>
  <c r="J240" i="54"/>
  <c r="J235" i="54"/>
  <c r="J203" i="54"/>
  <c r="J160" i="54"/>
  <c r="J104" i="54"/>
  <c r="J53" i="54"/>
  <c r="J5" i="54"/>
  <c r="J165" i="54"/>
  <c r="J233" i="54"/>
  <c r="J200" i="54"/>
  <c r="J149" i="54"/>
  <c r="J93" i="54"/>
  <c r="J9" i="54"/>
  <c r="J229" i="54"/>
  <c r="J189" i="54"/>
  <c r="J144" i="54"/>
  <c r="J88" i="54"/>
  <c r="J45" i="54"/>
  <c r="J225" i="54"/>
  <c r="J184" i="54"/>
  <c r="J85" i="54"/>
  <c r="J40" i="54"/>
  <c r="J69" i="54"/>
  <c r="J141" i="54"/>
  <c r="J224" i="54"/>
  <c r="J80" i="54"/>
  <c r="J29" i="54"/>
  <c r="J112" i="54"/>
  <c r="J96" i="54"/>
  <c r="J72" i="54"/>
  <c r="J56" i="54"/>
  <c r="J239" i="54"/>
  <c r="J231" i="54"/>
  <c r="J223" i="54"/>
  <c r="J215" i="54"/>
  <c r="J207" i="54"/>
  <c r="J199" i="54"/>
  <c r="J191" i="54"/>
  <c r="J183" i="54"/>
  <c r="J175" i="54"/>
  <c r="J167" i="54"/>
  <c r="J159" i="54"/>
  <c r="J151" i="54"/>
  <c r="J143" i="54"/>
  <c r="J135" i="54"/>
  <c r="J127" i="54"/>
  <c r="J119" i="54"/>
  <c r="J111" i="54"/>
  <c r="J103" i="54"/>
  <c r="J95" i="54"/>
  <c r="J87" i="54"/>
  <c r="J79" i="54"/>
  <c r="J71" i="54"/>
  <c r="J63" i="54"/>
  <c r="J55" i="54"/>
  <c r="J47" i="54"/>
  <c r="J39" i="54"/>
  <c r="J31" i="54"/>
  <c r="J23" i="54"/>
  <c r="J15" i="54"/>
  <c r="J7" i="54"/>
  <c r="J232" i="54"/>
  <c r="J216" i="54"/>
  <c r="J192" i="54"/>
  <c r="J176" i="54"/>
  <c r="J152" i="54"/>
  <c r="J136" i="54"/>
  <c r="J32" i="54"/>
  <c r="J16" i="54"/>
  <c r="J238" i="54"/>
  <c r="J230" i="54"/>
  <c r="J222" i="54"/>
  <c r="J214" i="54"/>
  <c r="J206" i="54"/>
  <c r="J198" i="54"/>
  <c r="J190" i="54"/>
  <c r="J182" i="54"/>
  <c r="J174" i="54"/>
  <c r="J166" i="54"/>
  <c r="J158" i="54"/>
  <c r="J150" i="54"/>
  <c r="J142" i="54"/>
  <c r="J134" i="54"/>
  <c r="J126" i="54"/>
  <c r="J118" i="54"/>
  <c r="J110" i="54"/>
  <c r="J102" i="54"/>
  <c r="J94" i="54"/>
  <c r="J86" i="54"/>
  <c r="J78" i="54"/>
  <c r="J70" i="54"/>
  <c r="J62" i="54"/>
  <c r="J54" i="54"/>
  <c r="J46" i="54"/>
  <c r="J38" i="54"/>
  <c r="J30" i="54"/>
  <c r="J22" i="54"/>
  <c r="J14" i="54"/>
  <c r="J6" i="54"/>
  <c r="J237" i="54"/>
  <c r="J221" i="54"/>
  <c r="J181" i="54"/>
  <c r="J117" i="54"/>
  <c r="J101" i="54"/>
  <c r="J61" i="54"/>
  <c r="J21" i="54"/>
  <c r="J236" i="54"/>
  <c r="J220" i="54"/>
  <c r="J212" i="54"/>
  <c r="J204" i="54"/>
  <c r="J196" i="54"/>
  <c r="J188" i="54"/>
  <c r="J180" i="54"/>
  <c r="J172" i="54"/>
  <c r="J164" i="54"/>
  <c r="J156" i="54"/>
  <c r="J148" i="54"/>
  <c r="J140" i="54"/>
  <c r="J132" i="54"/>
  <c r="J124" i="54"/>
  <c r="J116" i="54"/>
  <c r="J108" i="54"/>
  <c r="J100" i="54"/>
  <c r="J92" i="54"/>
  <c r="J84" i="54"/>
  <c r="J76" i="54"/>
  <c r="J68" i="54"/>
  <c r="J60" i="54"/>
  <c r="J52" i="54"/>
  <c r="J44" i="54"/>
  <c r="J36" i="54"/>
  <c r="J28" i="54"/>
  <c r="J20" i="54"/>
  <c r="J12" i="54"/>
  <c r="J4" i="54"/>
  <c r="J219" i="54"/>
  <c r="J211" i="54"/>
  <c r="J195" i="54"/>
  <c r="J187" i="54"/>
  <c r="J179" i="54"/>
  <c r="J171" i="54"/>
  <c r="J155" i="54"/>
  <c r="J147" i="54"/>
  <c r="J139" i="54"/>
  <c r="J131" i="54"/>
  <c r="J123" i="54"/>
  <c r="J115" i="54"/>
  <c r="J107" i="54"/>
  <c r="J99" i="54"/>
  <c r="J91" i="54"/>
  <c r="J83" i="54"/>
  <c r="J75" i="54"/>
  <c r="J67" i="54"/>
  <c r="J59" i="54"/>
  <c r="J51" i="54"/>
  <c r="J43" i="54"/>
  <c r="J35" i="54"/>
  <c r="J27" i="54"/>
  <c r="J19" i="54"/>
  <c r="J11" i="54"/>
  <c r="J3" i="54"/>
  <c r="J37" i="54"/>
  <c r="J227" i="54"/>
  <c r="J242" i="54"/>
  <c r="J234" i="54"/>
  <c r="J226" i="54"/>
  <c r="J218" i="54"/>
  <c r="J210" i="54"/>
  <c r="J202" i="54"/>
  <c r="J194" i="54"/>
  <c r="J186" i="54"/>
  <c r="J178" i="54"/>
  <c r="J170" i="54"/>
  <c r="J162" i="54"/>
  <c r="J154" i="54"/>
  <c r="J146" i="54"/>
  <c r="J138" i="54"/>
  <c r="J130" i="54"/>
  <c r="J122" i="54"/>
  <c r="J114" i="54"/>
  <c r="J106" i="54"/>
  <c r="J98" i="54"/>
  <c r="J90" i="54"/>
  <c r="J82" i="54"/>
  <c r="J74" i="54"/>
  <c r="J66" i="54"/>
  <c r="J58" i="54"/>
  <c r="J50" i="54"/>
  <c r="J42" i="54"/>
  <c r="J34" i="54"/>
  <c r="J26" i="54"/>
  <c r="J18" i="54"/>
  <c r="J10" i="54"/>
  <c r="J197" i="54"/>
  <c r="J157" i="54"/>
  <c r="J241" i="54"/>
  <c r="J217" i="54"/>
  <c r="J209" i="54"/>
  <c r="J201" i="54"/>
  <c r="J193" i="54"/>
  <c r="J185" i="54"/>
  <c r="J177" i="54"/>
  <c r="J169" i="54"/>
  <c r="J161" i="54"/>
  <c r="J153" i="54"/>
  <c r="J145" i="54"/>
  <c r="J137" i="54"/>
  <c r="J129" i="54"/>
  <c r="J121" i="54"/>
  <c r="J113" i="54"/>
  <c r="J105" i="54"/>
  <c r="J97" i="54"/>
  <c r="J89" i="54"/>
  <c r="J81" i="54"/>
  <c r="J73" i="54"/>
  <c r="J65" i="54"/>
  <c r="J57" i="54"/>
  <c r="J49" i="54"/>
  <c r="J41" i="54"/>
  <c r="J33" i="54"/>
  <c r="J25" i="54"/>
  <c r="J17" i="54"/>
  <c r="G90" i="53"/>
  <c r="F81" i="53"/>
  <c r="E81" i="53"/>
  <c r="D81" i="53"/>
  <c r="C81" i="53"/>
  <c r="L22" i="54" l="1"/>
  <c r="M22" i="54" s="1"/>
  <c r="L9" i="60"/>
  <c r="L14" i="54"/>
  <c r="M14" i="54" s="1"/>
  <c r="L4" i="60"/>
  <c r="L17" i="54"/>
  <c r="M17" i="54" s="1"/>
  <c r="L22" i="60"/>
  <c r="L38" i="54"/>
  <c r="M38" i="54" s="1"/>
  <c r="L30" i="60"/>
  <c r="L13" i="54"/>
  <c r="M13" i="54" s="1"/>
  <c r="L35" i="60"/>
  <c r="L42" i="54"/>
  <c r="L11" i="60"/>
  <c r="L41" i="54"/>
  <c r="M41" i="54" s="1"/>
  <c r="L31" i="60"/>
  <c r="L17" i="60"/>
  <c r="L25" i="54"/>
  <c r="M25" i="54" s="1"/>
  <c r="L46" i="60"/>
  <c r="W48" i="59"/>
  <c r="W47" i="59"/>
  <c r="J55" i="59"/>
  <c r="L36" i="54"/>
  <c r="M36" i="54" s="1"/>
  <c r="L39" i="60"/>
  <c r="L27" i="60"/>
  <c r="L39" i="54"/>
  <c r="M39" i="54" s="1"/>
  <c r="L28" i="54"/>
  <c r="M28" i="54" s="1"/>
  <c r="L13" i="60"/>
  <c r="L28" i="60"/>
  <c r="L23" i="54"/>
  <c r="M23" i="54" s="1"/>
  <c r="L27" i="54"/>
  <c r="M27" i="54" s="1"/>
  <c r="L23" i="60"/>
  <c r="L6" i="60"/>
  <c r="L15" i="54"/>
  <c r="M15" i="54" s="1"/>
  <c r="L11" i="54"/>
  <c r="M11" i="54" s="1"/>
  <c r="L42" i="60"/>
  <c r="L5" i="60"/>
  <c r="L31" i="54"/>
  <c r="M31" i="54" s="1"/>
  <c r="L30" i="54"/>
  <c r="M30" i="54" s="1"/>
  <c r="L5" i="54"/>
  <c r="M5" i="54" s="1"/>
  <c r="L19" i="54"/>
  <c r="M19" i="54" s="1"/>
  <c r="L33" i="54"/>
  <c r="M33" i="54" s="1"/>
  <c r="L24" i="60"/>
  <c r="L26" i="60"/>
  <c r="L20" i="60"/>
  <c r="L33" i="60"/>
  <c r="L44" i="60"/>
  <c r="L7" i="54"/>
  <c r="M7" i="54" s="1"/>
  <c r="L6" i="54"/>
  <c r="M6" i="54" s="1"/>
  <c r="L20" i="54"/>
  <c r="M20" i="54" s="1"/>
  <c r="L34" i="54"/>
  <c r="M34" i="54" s="1"/>
  <c r="L9" i="54"/>
  <c r="M9" i="54" s="1"/>
  <c r="L29" i="60"/>
  <c r="L10" i="60"/>
  <c r="L43" i="60"/>
  <c r="L41" i="60"/>
  <c r="L19" i="60"/>
  <c r="L32" i="60"/>
  <c r="L40" i="54"/>
  <c r="M40" i="54" s="1"/>
  <c r="L37" i="54"/>
  <c r="M37" i="54" s="1"/>
  <c r="L12" i="54"/>
  <c r="M12" i="54" s="1"/>
  <c r="L26" i="54"/>
  <c r="M26" i="54" s="1"/>
  <c r="L16" i="60"/>
  <c r="L45" i="60"/>
  <c r="L15" i="60"/>
  <c r="L7" i="60"/>
  <c r="L25" i="60"/>
  <c r="L47" i="60"/>
  <c r="L32" i="54"/>
  <c r="M32" i="54" s="1"/>
  <c r="L24" i="54"/>
  <c r="M24" i="54" s="1"/>
  <c r="L29" i="54"/>
  <c r="M29" i="54" s="1"/>
  <c r="L4" i="54"/>
  <c r="M4" i="54" s="1"/>
  <c r="L18" i="54"/>
  <c r="M18" i="54" s="1"/>
  <c r="L18" i="60"/>
  <c r="L38" i="60"/>
  <c r="L36" i="60"/>
  <c r="L12" i="60"/>
  <c r="L40" i="60"/>
  <c r="L3" i="54"/>
  <c r="M3" i="54" s="1"/>
  <c r="L8" i="54"/>
  <c r="M8" i="54" s="1"/>
  <c r="L16" i="54"/>
  <c r="M16" i="54" s="1"/>
  <c r="L21" i="54"/>
  <c r="M21" i="54" s="1"/>
  <c r="L35" i="54"/>
  <c r="M35" i="54" s="1"/>
  <c r="L10" i="54"/>
  <c r="M10" i="54" s="1"/>
  <c r="L21" i="60"/>
  <c r="L8" i="60"/>
  <c r="L34" i="60"/>
  <c r="L14" i="60"/>
  <c r="L37" i="60"/>
  <c r="C54" i="59"/>
  <c r="P54" i="59" s="1"/>
  <c r="H54" i="59"/>
  <c r="U54" i="59" s="1"/>
  <c r="D90" i="53"/>
  <c r="L132" i="60" s="1"/>
  <c r="D17" i="73"/>
  <c r="D14" i="73"/>
  <c r="C90" i="53"/>
  <c r="L89" i="60" s="1"/>
  <c r="C17" i="73"/>
  <c r="C14" i="73"/>
  <c r="E90" i="53"/>
  <c r="L156" i="54" s="1"/>
  <c r="M156" i="54" s="1"/>
  <c r="E17" i="73"/>
  <c r="E14" i="73"/>
  <c r="J54" i="59"/>
  <c r="W54" i="59" s="1"/>
  <c r="F90" i="53"/>
  <c r="L183" i="60" s="1"/>
  <c r="F17" i="73"/>
  <c r="F14" i="73"/>
  <c r="K46" i="59"/>
  <c r="X46" i="59" s="1"/>
  <c r="K49" i="59"/>
  <c r="X49" i="59" s="1"/>
  <c r="W49" i="59"/>
  <c r="K52" i="59"/>
  <c r="X52" i="59" s="1"/>
  <c r="W52" i="59"/>
  <c r="K51" i="59"/>
  <c r="X51" i="59" s="1"/>
  <c r="W51" i="59"/>
  <c r="K53" i="59"/>
  <c r="X53" i="59" s="1"/>
  <c r="W53" i="59"/>
  <c r="K50" i="59"/>
  <c r="X50" i="59" s="1"/>
  <c r="W50" i="59"/>
  <c r="K117" i="67"/>
  <c r="L117" i="67" s="1"/>
  <c r="M117" i="67" s="1"/>
  <c r="K114" i="67"/>
  <c r="L114" i="67" s="1"/>
  <c r="M114" i="67" s="1"/>
  <c r="K110" i="67"/>
  <c r="L110" i="67" s="1"/>
  <c r="M110" i="67" s="1"/>
  <c r="K125" i="67"/>
  <c r="L125" i="67" s="1"/>
  <c r="M125" i="67" s="1"/>
  <c r="K129" i="67"/>
  <c r="L129" i="67" s="1"/>
  <c r="M129" i="67" s="1"/>
  <c r="K132" i="67"/>
  <c r="L132" i="67" s="1"/>
  <c r="M132" i="67" s="1"/>
  <c r="K20" i="67"/>
  <c r="L20" i="67" s="1"/>
  <c r="M20" i="67" s="1"/>
  <c r="K27" i="67"/>
  <c r="L27" i="67" s="1"/>
  <c r="M27" i="67" s="1"/>
  <c r="K24" i="67"/>
  <c r="L24" i="67" s="1"/>
  <c r="M24" i="67" s="1"/>
  <c r="K112" i="67"/>
  <c r="L112" i="67" s="1"/>
  <c r="M112" i="67" s="1"/>
  <c r="K115" i="67"/>
  <c r="K111" i="67"/>
  <c r="L111" i="67" s="1"/>
  <c r="M111" i="67" s="1"/>
  <c r="K118" i="67"/>
  <c r="L118" i="67" s="1"/>
  <c r="M118" i="67" s="1"/>
  <c r="K68" i="67"/>
  <c r="L68" i="67" s="1"/>
  <c r="M68" i="67" s="1"/>
  <c r="K64" i="67"/>
  <c r="L64" i="67" s="1"/>
  <c r="M64" i="67" s="1"/>
  <c r="K71" i="67"/>
  <c r="L71" i="67" s="1"/>
  <c r="M71" i="67" s="1"/>
  <c r="K130" i="67"/>
  <c r="L130" i="67" s="1"/>
  <c r="M130" i="67" s="1"/>
  <c r="K127" i="67"/>
  <c r="L127" i="67" s="1"/>
  <c r="M127" i="67" s="1"/>
  <c r="K126" i="67"/>
  <c r="L126" i="67" s="1"/>
  <c r="M126" i="67" s="1"/>
  <c r="K133" i="67"/>
  <c r="L133" i="67" s="1"/>
  <c r="M133" i="67" s="1"/>
  <c r="K10" i="67"/>
  <c r="L10" i="67" s="1"/>
  <c r="M10" i="67" s="1"/>
  <c r="K7" i="67"/>
  <c r="L7" i="67" s="1"/>
  <c r="M7" i="67" s="1"/>
  <c r="K6" i="67"/>
  <c r="L6" i="67" s="1"/>
  <c r="M6" i="67" s="1"/>
  <c r="K13" i="67"/>
  <c r="L13" i="67" s="1"/>
  <c r="M13" i="67" s="1"/>
  <c r="K83" i="67"/>
  <c r="L83" i="67" s="1"/>
  <c r="M83" i="67" s="1"/>
  <c r="K86" i="67"/>
  <c r="L86" i="67" s="1"/>
  <c r="M86" i="67" s="1"/>
  <c r="K79" i="67"/>
  <c r="L79" i="67" s="1"/>
  <c r="M79" i="67" s="1"/>
  <c r="K36" i="67"/>
  <c r="L36" i="67" s="1"/>
  <c r="M36" i="67" s="1"/>
  <c r="K43" i="67"/>
  <c r="L43" i="67" s="1"/>
  <c r="M43" i="67" s="1"/>
  <c r="K40" i="67"/>
  <c r="L40" i="67" s="1"/>
  <c r="M40" i="67" s="1"/>
  <c r="K37" i="67"/>
  <c r="L37" i="67" s="1"/>
  <c r="M37" i="67" s="1"/>
  <c r="K128" i="67"/>
  <c r="L128" i="67" s="1"/>
  <c r="M128" i="67" s="1"/>
  <c r="K124" i="67"/>
  <c r="L124" i="67" s="1"/>
  <c r="M124" i="67" s="1"/>
  <c r="K131" i="67"/>
  <c r="L131" i="67" s="1"/>
  <c r="M131" i="67" s="1"/>
  <c r="K8" i="67"/>
  <c r="L8" i="67" s="1"/>
  <c r="M8" i="67" s="1"/>
  <c r="K4" i="67"/>
  <c r="L4" i="67" s="1"/>
  <c r="M4" i="67" s="1"/>
  <c r="K11" i="67"/>
  <c r="L11" i="67" s="1"/>
  <c r="M11" i="67" s="1"/>
  <c r="K57" i="67"/>
  <c r="L57" i="67" s="1"/>
  <c r="M57" i="67" s="1"/>
  <c r="K54" i="67"/>
  <c r="L54" i="67" s="1"/>
  <c r="M54" i="67" s="1"/>
  <c r="K50" i="67"/>
  <c r="L50" i="67" s="1"/>
  <c r="M50" i="67" s="1"/>
  <c r="K34" i="67"/>
  <c r="L34" i="67" s="1"/>
  <c r="M34" i="67" s="1"/>
  <c r="K41" i="67"/>
  <c r="L41" i="67" s="1"/>
  <c r="M41" i="67" s="1"/>
  <c r="K38" i="67"/>
  <c r="L38" i="67" s="1"/>
  <c r="M38" i="67" s="1"/>
  <c r="K5" i="67"/>
  <c r="L5" i="67" s="1"/>
  <c r="M5" i="67" s="1"/>
  <c r="K9" i="67"/>
  <c r="L9" i="67" s="1"/>
  <c r="M9" i="67" s="1"/>
  <c r="K12" i="67"/>
  <c r="L12" i="67" s="1"/>
  <c r="M12" i="67" s="1"/>
  <c r="K82" i="67"/>
  <c r="L82" i="67" s="1"/>
  <c r="M82" i="67" s="1"/>
  <c r="K81" i="67"/>
  <c r="L81" i="67" s="1"/>
  <c r="M81" i="67" s="1"/>
  <c r="K88" i="67"/>
  <c r="L88" i="67" s="1"/>
  <c r="M88" i="67" s="1"/>
  <c r="K85" i="67"/>
  <c r="L85" i="67" s="1"/>
  <c r="M85" i="67" s="1"/>
  <c r="L115" i="67"/>
  <c r="M115" i="67" s="1"/>
  <c r="K23" i="67"/>
  <c r="L23" i="67" s="1"/>
  <c r="M23" i="67" s="1"/>
  <c r="K26" i="67"/>
  <c r="L26" i="67" s="1"/>
  <c r="M26" i="67" s="1"/>
  <c r="K19" i="67"/>
  <c r="L19" i="67" s="1"/>
  <c r="M19" i="67" s="1"/>
  <c r="K52" i="67"/>
  <c r="L52" i="67" s="1"/>
  <c r="M52" i="67" s="1"/>
  <c r="K55" i="67"/>
  <c r="L55" i="67" s="1"/>
  <c r="M55" i="67" s="1"/>
  <c r="K51" i="67"/>
  <c r="L51" i="67" s="1"/>
  <c r="M51" i="67" s="1"/>
  <c r="K58" i="67"/>
  <c r="L58" i="67" s="1"/>
  <c r="M58" i="67" s="1"/>
  <c r="K70" i="67"/>
  <c r="L70" i="67" s="1"/>
  <c r="M70" i="67" s="1"/>
  <c r="K67" i="67"/>
  <c r="L67" i="67" s="1"/>
  <c r="M67" i="67" s="1"/>
  <c r="K66" i="67"/>
  <c r="L66" i="67" s="1"/>
  <c r="M66" i="67" s="1"/>
  <c r="K73" i="67"/>
  <c r="L73" i="67" s="1"/>
  <c r="M73" i="67" s="1"/>
  <c r="K35" i="67"/>
  <c r="L35" i="67" s="1"/>
  <c r="M35" i="67" s="1"/>
  <c r="K42" i="67"/>
  <c r="L42" i="67" s="1"/>
  <c r="M42" i="67" s="1"/>
  <c r="K39" i="67"/>
  <c r="L39" i="67" s="1"/>
  <c r="M39" i="67" s="1"/>
  <c r="K96" i="67"/>
  <c r="L96" i="67" s="1"/>
  <c r="M96" i="67" s="1"/>
  <c r="K103" i="67"/>
  <c r="L103" i="67" s="1"/>
  <c r="M103" i="67" s="1"/>
  <c r="K100" i="67"/>
  <c r="L100" i="67" s="1"/>
  <c r="M100" i="67" s="1"/>
  <c r="K97" i="67"/>
  <c r="L97" i="67" s="1"/>
  <c r="M97" i="67" s="1"/>
  <c r="K80" i="67"/>
  <c r="L80" i="67" s="1"/>
  <c r="M80" i="67" s="1"/>
  <c r="K87" i="67"/>
  <c r="L87" i="67" s="1"/>
  <c r="M87" i="67" s="1"/>
  <c r="K84" i="67"/>
  <c r="L84" i="67" s="1"/>
  <c r="M84" i="67" s="1"/>
  <c r="K94" i="67"/>
  <c r="L94" i="67" s="1"/>
  <c r="M94" i="67" s="1"/>
  <c r="K101" i="67"/>
  <c r="L101" i="67" s="1"/>
  <c r="M101" i="67" s="1"/>
  <c r="K98" i="67"/>
  <c r="L98" i="67" s="1"/>
  <c r="M98" i="67" s="1"/>
  <c r="K49" i="67"/>
  <c r="L49" i="67" s="1"/>
  <c r="M49" i="67" s="1"/>
  <c r="K56" i="67"/>
  <c r="L56" i="67" s="1"/>
  <c r="M56" i="67" s="1"/>
  <c r="K53" i="67"/>
  <c r="L53" i="67" s="1"/>
  <c r="M53" i="67" s="1"/>
  <c r="K109" i="67"/>
  <c r="L109" i="67" s="1"/>
  <c r="M109" i="67" s="1"/>
  <c r="K116" i="67"/>
  <c r="L116" i="67" s="1"/>
  <c r="M116" i="67" s="1"/>
  <c r="K113" i="67"/>
  <c r="L113" i="67" s="1"/>
  <c r="M113" i="67" s="1"/>
  <c r="K65" i="67"/>
  <c r="L65" i="67" s="1"/>
  <c r="M65" i="67" s="1"/>
  <c r="K69" i="67"/>
  <c r="L69" i="67" s="1"/>
  <c r="M69" i="67" s="1"/>
  <c r="K72" i="67"/>
  <c r="L72" i="67" s="1"/>
  <c r="M72" i="67" s="1"/>
  <c r="K95" i="67"/>
  <c r="L95" i="67" s="1"/>
  <c r="M95" i="67" s="1"/>
  <c r="K102" i="67"/>
  <c r="L102" i="67" s="1"/>
  <c r="M102" i="67" s="1"/>
  <c r="K99" i="67"/>
  <c r="L99" i="67" s="1"/>
  <c r="M99" i="67" s="1"/>
  <c r="K22" i="67"/>
  <c r="L22" i="67" s="1"/>
  <c r="M22" i="67" s="1"/>
  <c r="K21" i="67"/>
  <c r="L21" i="67" s="1"/>
  <c r="M21" i="67" s="1"/>
  <c r="K28" i="67"/>
  <c r="L28" i="67" s="1"/>
  <c r="M28" i="67" s="1"/>
  <c r="K25" i="67"/>
  <c r="L25" i="67" s="1"/>
  <c r="M25" i="67" s="1"/>
  <c r="J136" i="66"/>
  <c r="D126" i="66"/>
  <c r="H27" i="67" s="1"/>
  <c r="I27" i="67" s="1"/>
  <c r="J27" i="67" s="1"/>
  <c r="G138" i="66"/>
  <c r="H65" i="67" s="1"/>
  <c r="I65" i="67" s="1"/>
  <c r="J65" i="67" s="1"/>
  <c r="F54" i="67"/>
  <c r="F55" i="67"/>
  <c r="F53" i="67"/>
  <c r="I138" i="66"/>
  <c r="H95" i="67" s="1"/>
  <c r="I95" i="67" s="1"/>
  <c r="J95" i="67" s="1"/>
  <c r="G131" i="66"/>
  <c r="H70" i="67" s="1"/>
  <c r="I70" i="67" s="1"/>
  <c r="J70" i="67" s="1"/>
  <c r="E126" i="66"/>
  <c r="H42" i="67" s="1"/>
  <c r="I42" i="67" s="1"/>
  <c r="J42" i="67" s="1"/>
  <c r="F128" i="67"/>
  <c r="F129" i="67"/>
  <c r="F130" i="67"/>
  <c r="C131" i="66"/>
  <c r="H10" i="67" s="1"/>
  <c r="I10" i="67" s="1"/>
  <c r="J10" i="67" s="1"/>
  <c r="D137" i="66"/>
  <c r="H21" i="67" s="1"/>
  <c r="I21" i="67" s="1"/>
  <c r="J21" i="67" s="1"/>
  <c r="F85" i="67"/>
  <c r="F83" i="67"/>
  <c r="F84" i="67"/>
  <c r="F96" i="67"/>
  <c r="F95" i="67"/>
  <c r="F94" i="67"/>
  <c r="G130" i="66"/>
  <c r="E124" i="66"/>
  <c r="I124" i="66"/>
  <c r="J131" i="66"/>
  <c r="H115" i="67" s="1"/>
  <c r="I115" i="67" s="1"/>
  <c r="J115" i="67" s="1"/>
  <c r="G142" i="66"/>
  <c r="K130" i="66"/>
  <c r="F39" i="67"/>
  <c r="F40" i="67"/>
  <c r="F38" i="67"/>
  <c r="J142" i="66"/>
  <c r="F142" i="66"/>
  <c r="F49" i="67"/>
  <c r="F51" i="67"/>
  <c r="F50" i="67"/>
  <c r="J138" i="66"/>
  <c r="H110" i="67" s="1"/>
  <c r="I110" i="67" s="1"/>
  <c r="J110" i="67" s="1"/>
  <c r="F28" i="67"/>
  <c r="F26" i="67"/>
  <c r="F27" i="67"/>
  <c r="H131" i="66"/>
  <c r="H85" i="67" s="1"/>
  <c r="I85" i="67" s="1"/>
  <c r="J85" i="67" s="1"/>
  <c r="K138" i="66"/>
  <c r="H125" i="67" s="1"/>
  <c r="I125" i="67" s="1"/>
  <c r="J125" i="67" s="1"/>
  <c r="I142" i="66"/>
  <c r="F130" i="66"/>
  <c r="G132" i="66"/>
  <c r="H69" i="67" s="1"/>
  <c r="I69" i="67" s="1"/>
  <c r="J69" i="67" s="1"/>
  <c r="J132" i="66"/>
  <c r="H114" i="67" s="1"/>
  <c r="I114" i="67" s="1"/>
  <c r="J114" i="67" s="1"/>
  <c r="J124" i="66"/>
  <c r="F124" i="66"/>
  <c r="F8" i="67"/>
  <c r="F9" i="67"/>
  <c r="F10" i="67"/>
  <c r="D138" i="66"/>
  <c r="H20" i="67" s="1"/>
  <c r="I20" i="67" s="1"/>
  <c r="J20" i="67" s="1"/>
  <c r="H126" i="66"/>
  <c r="H87" i="67" s="1"/>
  <c r="I87" i="67" s="1"/>
  <c r="J87" i="67" s="1"/>
  <c r="J137" i="66"/>
  <c r="H111" i="67" s="1"/>
  <c r="I111" i="67" s="1"/>
  <c r="J111" i="67" s="1"/>
  <c r="C124" i="66"/>
  <c r="I130" i="66"/>
  <c r="G136" i="66"/>
  <c r="D132" i="66"/>
  <c r="H24" i="67" s="1"/>
  <c r="I24" i="67" s="1"/>
  <c r="J24" i="67" s="1"/>
  <c r="K137" i="66"/>
  <c r="H126" i="67" s="1"/>
  <c r="I126" i="67" s="1"/>
  <c r="J126" i="67" s="1"/>
  <c r="C137" i="66"/>
  <c r="H6" i="67" s="1"/>
  <c r="I6" i="67" s="1"/>
  <c r="J6" i="67" s="1"/>
  <c r="F41" i="67"/>
  <c r="F42" i="67"/>
  <c r="F43" i="67"/>
  <c r="K124" i="66"/>
  <c r="H136" i="66"/>
  <c r="I126" i="66"/>
  <c r="H102" i="67" s="1"/>
  <c r="I102" i="67" s="1"/>
  <c r="J102" i="67" s="1"/>
  <c r="J130" i="66"/>
  <c r="G125" i="66"/>
  <c r="H73" i="67" s="1"/>
  <c r="I73" i="67" s="1"/>
  <c r="J73" i="67" s="1"/>
  <c r="J125" i="66"/>
  <c r="H118" i="67" s="1"/>
  <c r="I118" i="67" s="1"/>
  <c r="J118" i="67" s="1"/>
  <c r="F125" i="66"/>
  <c r="H58" i="67" s="1"/>
  <c r="I58" i="67" s="1"/>
  <c r="J58" i="67" s="1"/>
  <c r="H125" i="66"/>
  <c r="H88" i="67" s="1"/>
  <c r="I88" i="67" s="1"/>
  <c r="J88" i="67" s="1"/>
  <c r="E142" i="66"/>
  <c r="D124" i="66"/>
  <c r="C125" i="66"/>
  <c r="H13" i="67" s="1"/>
  <c r="I13" i="67" s="1"/>
  <c r="J13" i="67" s="1"/>
  <c r="E137" i="66"/>
  <c r="H36" i="67" s="1"/>
  <c r="I36" i="67" s="1"/>
  <c r="J36" i="67" s="1"/>
  <c r="H132" i="66"/>
  <c r="H84" i="67" s="1"/>
  <c r="I84" i="67" s="1"/>
  <c r="J84" i="67" s="1"/>
  <c r="D131" i="66"/>
  <c r="H25" i="67" s="1"/>
  <c r="I25" i="67" s="1"/>
  <c r="J25" i="67" s="1"/>
  <c r="K136" i="66"/>
  <c r="F131" i="66"/>
  <c r="H55" i="67" s="1"/>
  <c r="I55" i="67" s="1"/>
  <c r="J55" i="67" s="1"/>
  <c r="C136" i="66"/>
  <c r="F68" i="67"/>
  <c r="F69" i="67"/>
  <c r="F70" i="67"/>
  <c r="K125" i="66"/>
  <c r="H133" i="67" s="1"/>
  <c r="I133" i="67" s="1"/>
  <c r="J133" i="67" s="1"/>
  <c r="F113" i="67"/>
  <c r="F114" i="67"/>
  <c r="F115" i="67"/>
  <c r="J126" i="66"/>
  <c r="H117" i="67" s="1"/>
  <c r="I117" i="67" s="1"/>
  <c r="J117" i="67" s="1"/>
  <c r="K132" i="66"/>
  <c r="H129" i="67" s="1"/>
  <c r="I129" i="67" s="1"/>
  <c r="J129" i="67" s="1"/>
  <c r="F126" i="66"/>
  <c r="H57" i="67" s="1"/>
  <c r="I57" i="67" s="1"/>
  <c r="J57" i="67" s="1"/>
  <c r="F20" i="67"/>
  <c r="F21" i="67"/>
  <c r="F19" i="67"/>
  <c r="F138" i="66"/>
  <c r="H50" i="67" s="1"/>
  <c r="I50" i="67" s="1"/>
  <c r="J50" i="67" s="1"/>
  <c r="F110" i="67"/>
  <c r="F111" i="67"/>
  <c r="F109" i="67"/>
  <c r="C126" i="66"/>
  <c r="H12" i="67" s="1"/>
  <c r="I12" i="67" s="1"/>
  <c r="J12" i="67" s="1"/>
  <c r="I131" i="66"/>
  <c r="H100" i="67" s="1"/>
  <c r="I100" i="67" s="1"/>
  <c r="J100" i="67" s="1"/>
  <c r="F64" i="67"/>
  <c r="F66" i="67"/>
  <c r="F65" i="67"/>
  <c r="E136" i="66"/>
  <c r="D130" i="66"/>
  <c r="F125" i="67"/>
  <c r="F124" i="67"/>
  <c r="F126" i="67"/>
  <c r="C138" i="66"/>
  <c r="H5" i="67" s="1"/>
  <c r="I5" i="67" s="1"/>
  <c r="J5" i="67" s="1"/>
  <c r="H137" i="66"/>
  <c r="H81" i="67" s="1"/>
  <c r="I81" i="67" s="1"/>
  <c r="J81" i="67" s="1"/>
  <c r="G126" i="66"/>
  <c r="H72" i="67" s="1"/>
  <c r="I72" i="67" s="1"/>
  <c r="J72" i="67" s="1"/>
  <c r="F117" i="67"/>
  <c r="F118" i="67"/>
  <c r="F116" i="67"/>
  <c r="F56" i="67"/>
  <c r="F57" i="67"/>
  <c r="F58" i="67"/>
  <c r="E130" i="66"/>
  <c r="D136" i="66"/>
  <c r="H124" i="66"/>
  <c r="F137" i="66"/>
  <c r="H51" i="67" s="1"/>
  <c r="I51" i="67" s="1"/>
  <c r="J51" i="67" s="1"/>
  <c r="D125" i="66"/>
  <c r="H28" i="67" s="1"/>
  <c r="I28" i="67" s="1"/>
  <c r="J28" i="67" s="1"/>
  <c r="F11" i="67"/>
  <c r="F12" i="67"/>
  <c r="F13" i="67"/>
  <c r="I132" i="66"/>
  <c r="H99" i="67" s="1"/>
  <c r="I99" i="67" s="1"/>
  <c r="J99" i="67" s="1"/>
  <c r="G137" i="66"/>
  <c r="H66" i="67" s="1"/>
  <c r="I66" i="67" s="1"/>
  <c r="J66" i="67" s="1"/>
  <c r="E138" i="66"/>
  <c r="H35" i="67" s="1"/>
  <c r="I35" i="67" s="1"/>
  <c r="J35" i="67" s="1"/>
  <c r="H130" i="66"/>
  <c r="F25" i="67"/>
  <c r="F24" i="67"/>
  <c r="F23" i="67"/>
  <c r="F132" i="66"/>
  <c r="H54" i="67" s="1"/>
  <c r="I54" i="67" s="1"/>
  <c r="J54" i="67" s="1"/>
  <c r="I137" i="66"/>
  <c r="H96" i="67" s="1"/>
  <c r="I96" i="67" s="1"/>
  <c r="J96" i="67" s="1"/>
  <c r="F4" i="67"/>
  <c r="F5" i="67"/>
  <c r="F6" i="67"/>
  <c r="C142" i="66"/>
  <c r="K126" i="66"/>
  <c r="H132" i="67" s="1"/>
  <c r="I132" i="67" s="1"/>
  <c r="J132" i="67" s="1"/>
  <c r="H138" i="66"/>
  <c r="H80" i="67" s="1"/>
  <c r="I80" i="67" s="1"/>
  <c r="J80" i="67" s="1"/>
  <c r="I125" i="66"/>
  <c r="H103" i="67" s="1"/>
  <c r="I103" i="67" s="1"/>
  <c r="J103" i="67" s="1"/>
  <c r="G124" i="66"/>
  <c r="K131" i="66"/>
  <c r="H130" i="67" s="1"/>
  <c r="I130" i="67" s="1"/>
  <c r="J130" i="67" s="1"/>
  <c r="C132" i="66"/>
  <c r="H9" i="67" s="1"/>
  <c r="I9" i="67" s="1"/>
  <c r="J9" i="67" s="1"/>
  <c r="E131" i="66"/>
  <c r="H40" i="67" s="1"/>
  <c r="I40" i="67" s="1"/>
  <c r="J40" i="67" s="1"/>
  <c r="F98" i="67"/>
  <c r="F99" i="67"/>
  <c r="F100" i="67"/>
  <c r="F36" i="67"/>
  <c r="F34" i="67"/>
  <c r="F35" i="67"/>
  <c r="H142" i="66"/>
  <c r="I136" i="66"/>
  <c r="E125" i="66"/>
  <c r="H43" i="67" s="1"/>
  <c r="I43" i="67" s="1"/>
  <c r="J43" i="67" s="1"/>
  <c r="F133" i="67"/>
  <c r="F131" i="67"/>
  <c r="F132" i="67"/>
  <c r="F81" i="67"/>
  <c r="F80" i="67"/>
  <c r="F79" i="67"/>
  <c r="F101" i="67"/>
  <c r="F103" i="67"/>
  <c r="F102" i="67"/>
  <c r="D142" i="66"/>
  <c r="K142" i="66"/>
  <c r="F71" i="67"/>
  <c r="F72" i="67"/>
  <c r="F73" i="67"/>
  <c r="C130" i="66"/>
  <c r="E132" i="66"/>
  <c r="H39" i="67" s="1"/>
  <c r="I39" i="67" s="1"/>
  <c r="J39" i="67" s="1"/>
  <c r="F86" i="67"/>
  <c r="F87" i="67"/>
  <c r="F88" i="67"/>
  <c r="F136" i="66"/>
  <c r="I4" i="61"/>
  <c r="J4" i="61" s="1"/>
  <c r="I12" i="61"/>
  <c r="J12" i="61" s="1"/>
  <c r="I20" i="61"/>
  <c r="J20" i="61" s="1"/>
  <c r="I28" i="61"/>
  <c r="J28" i="61" s="1"/>
  <c r="I36" i="61"/>
  <c r="J36" i="61" s="1"/>
  <c r="I44" i="61"/>
  <c r="J44" i="61" s="1"/>
  <c r="I52" i="61"/>
  <c r="J52" i="61" s="1"/>
  <c r="I60" i="61"/>
  <c r="J60" i="61" s="1"/>
  <c r="I68" i="61"/>
  <c r="J68" i="61" s="1"/>
  <c r="I76" i="61"/>
  <c r="J76" i="61" s="1"/>
  <c r="I84" i="61"/>
  <c r="J84" i="61" s="1"/>
  <c r="I92" i="61"/>
  <c r="J92" i="61" s="1"/>
  <c r="I100" i="61"/>
  <c r="J100" i="61" s="1"/>
  <c r="I108" i="61"/>
  <c r="J108" i="61" s="1"/>
  <c r="I116" i="61"/>
  <c r="J116" i="61" s="1"/>
  <c r="I124" i="61"/>
  <c r="J124" i="61" s="1"/>
  <c r="I132" i="61"/>
  <c r="J132" i="61" s="1"/>
  <c r="I140" i="61"/>
  <c r="J140" i="61" s="1"/>
  <c r="I148" i="61"/>
  <c r="J148" i="61" s="1"/>
  <c r="I156" i="61"/>
  <c r="J156" i="61" s="1"/>
  <c r="I164" i="61"/>
  <c r="J164" i="61" s="1"/>
  <c r="I172" i="61"/>
  <c r="J172" i="61" s="1"/>
  <c r="I180" i="61"/>
  <c r="J180" i="61" s="1"/>
  <c r="I188" i="61"/>
  <c r="J188" i="61" s="1"/>
  <c r="I196" i="61"/>
  <c r="J196" i="61" s="1"/>
  <c r="I204" i="61"/>
  <c r="J204" i="61" s="1"/>
  <c r="I212" i="61"/>
  <c r="J212" i="61" s="1"/>
  <c r="I220" i="61"/>
  <c r="J220" i="61" s="1"/>
  <c r="I228" i="61"/>
  <c r="J228" i="61" s="1"/>
  <c r="I236" i="61"/>
  <c r="J236" i="61" s="1"/>
  <c r="I244" i="61"/>
  <c r="J244" i="61" s="1"/>
  <c r="I252" i="61"/>
  <c r="J252" i="61" s="1"/>
  <c r="I260" i="61"/>
  <c r="J260" i="61" s="1"/>
  <c r="I268" i="61"/>
  <c r="J268" i="61" s="1"/>
  <c r="I276" i="61"/>
  <c r="J276" i="61" s="1"/>
  <c r="I284" i="61"/>
  <c r="J284" i="61" s="1"/>
  <c r="I292" i="61"/>
  <c r="J292" i="61" s="1"/>
  <c r="I300" i="61"/>
  <c r="J300" i="61" s="1"/>
  <c r="I308" i="61"/>
  <c r="J308" i="61" s="1"/>
  <c r="I316" i="61"/>
  <c r="J316" i="61" s="1"/>
  <c r="I324" i="61"/>
  <c r="J324" i="61" s="1"/>
  <c r="I332" i="61"/>
  <c r="J332" i="61" s="1"/>
  <c r="I340" i="61"/>
  <c r="J340" i="61" s="1"/>
  <c r="I348" i="61"/>
  <c r="J348" i="61" s="1"/>
  <c r="I356" i="61"/>
  <c r="J356" i="61" s="1"/>
  <c r="I364" i="61"/>
  <c r="J364" i="61" s="1"/>
  <c r="I372" i="61"/>
  <c r="J372" i="61" s="1"/>
  <c r="I380" i="61"/>
  <c r="J380" i="61" s="1"/>
  <c r="I388" i="61"/>
  <c r="J388" i="61" s="1"/>
  <c r="I396" i="61"/>
  <c r="J396" i="61" s="1"/>
  <c r="I404" i="61"/>
  <c r="J404" i="61" s="1"/>
  <c r="I412" i="61"/>
  <c r="J412" i="61" s="1"/>
  <c r="I420" i="61"/>
  <c r="J420" i="61" s="1"/>
  <c r="I428" i="61"/>
  <c r="J428" i="61" s="1"/>
  <c r="I436" i="61"/>
  <c r="J436" i="61" s="1"/>
  <c r="I444" i="61"/>
  <c r="J444" i="61" s="1"/>
  <c r="I452" i="61"/>
  <c r="J452" i="61" s="1"/>
  <c r="I460" i="61"/>
  <c r="J460" i="61" s="1"/>
  <c r="I468" i="61"/>
  <c r="J468" i="61" s="1"/>
  <c r="I476" i="61"/>
  <c r="J476" i="61" s="1"/>
  <c r="I484" i="61"/>
  <c r="J484" i="61" s="1"/>
  <c r="I492" i="61"/>
  <c r="J492" i="61" s="1"/>
  <c r="I500" i="61"/>
  <c r="J500" i="61" s="1"/>
  <c r="I508" i="61"/>
  <c r="J508" i="61" s="1"/>
  <c r="I516" i="61"/>
  <c r="J516" i="61" s="1"/>
  <c r="I524" i="61"/>
  <c r="J524" i="61" s="1"/>
  <c r="I532" i="61"/>
  <c r="J532" i="61" s="1"/>
  <c r="I540" i="61"/>
  <c r="J540" i="61" s="1"/>
  <c r="I548" i="61"/>
  <c r="J548" i="61" s="1"/>
  <c r="I556" i="61"/>
  <c r="J556" i="61" s="1"/>
  <c r="I564" i="61"/>
  <c r="J564" i="61" s="1"/>
  <c r="I572" i="61"/>
  <c r="J572" i="61" s="1"/>
  <c r="I580" i="61"/>
  <c r="J580" i="61" s="1"/>
  <c r="I588" i="61"/>
  <c r="J588" i="61" s="1"/>
  <c r="I596" i="61"/>
  <c r="J596" i="61" s="1"/>
  <c r="I604" i="61"/>
  <c r="J604" i="61" s="1"/>
  <c r="I612" i="61"/>
  <c r="J612" i="61" s="1"/>
  <c r="I5" i="61"/>
  <c r="J5" i="61" s="1"/>
  <c r="I13" i="61"/>
  <c r="J13" i="61" s="1"/>
  <c r="I21" i="61"/>
  <c r="J21" i="61" s="1"/>
  <c r="I29" i="61"/>
  <c r="J29" i="61" s="1"/>
  <c r="I37" i="61"/>
  <c r="J37" i="61" s="1"/>
  <c r="I45" i="61"/>
  <c r="J45" i="61" s="1"/>
  <c r="I53" i="61"/>
  <c r="J53" i="61" s="1"/>
  <c r="I61" i="61"/>
  <c r="J61" i="61" s="1"/>
  <c r="I69" i="61"/>
  <c r="J69" i="61" s="1"/>
  <c r="I77" i="61"/>
  <c r="J77" i="61" s="1"/>
  <c r="I85" i="61"/>
  <c r="J85" i="61" s="1"/>
  <c r="I93" i="61"/>
  <c r="J93" i="61" s="1"/>
  <c r="I101" i="61"/>
  <c r="J101" i="61" s="1"/>
  <c r="I109" i="61"/>
  <c r="J109" i="61" s="1"/>
  <c r="I117" i="61"/>
  <c r="J117" i="61" s="1"/>
  <c r="I125" i="61"/>
  <c r="J125" i="61" s="1"/>
  <c r="I133" i="61"/>
  <c r="J133" i="61" s="1"/>
  <c r="I141" i="61"/>
  <c r="J141" i="61" s="1"/>
  <c r="I149" i="61"/>
  <c r="J149" i="61" s="1"/>
  <c r="I157" i="61"/>
  <c r="J157" i="61" s="1"/>
  <c r="I165" i="61"/>
  <c r="J165" i="61" s="1"/>
  <c r="I173" i="61"/>
  <c r="J173" i="61" s="1"/>
  <c r="I181" i="61"/>
  <c r="J181" i="61" s="1"/>
  <c r="I189" i="61"/>
  <c r="J189" i="61" s="1"/>
  <c r="I197" i="61"/>
  <c r="J197" i="61" s="1"/>
  <c r="I205" i="61"/>
  <c r="J205" i="61" s="1"/>
  <c r="I213" i="61"/>
  <c r="J213" i="61" s="1"/>
  <c r="I221" i="61"/>
  <c r="J221" i="61" s="1"/>
  <c r="I229" i="61"/>
  <c r="J229" i="61" s="1"/>
  <c r="I237" i="61"/>
  <c r="J237" i="61" s="1"/>
  <c r="I245" i="61"/>
  <c r="J245" i="61" s="1"/>
  <c r="I253" i="61"/>
  <c r="J253" i="61" s="1"/>
  <c r="I261" i="61"/>
  <c r="J261" i="61" s="1"/>
  <c r="I269" i="61"/>
  <c r="J269" i="61" s="1"/>
  <c r="I277" i="61"/>
  <c r="J277" i="61" s="1"/>
  <c r="I285" i="61"/>
  <c r="J285" i="61" s="1"/>
  <c r="I293" i="61"/>
  <c r="J293" i="61" s="1"/>
  <c r="I301" i="61"/>
  <c r="J301" i="61" s="1"/>
  <c r="I309" i="61"/>
  <c r="J309" i="61" s="1"/>
  <c r="I317" i="61"/>
  <c r="J317" i="61" s="1"/>
  <c r="I325" i="61"/>
  <c r="J325" i="61" s="1"/>
  <c r="I333" i="61"/>
  <c r="J333" i="61" s="1"/>
  <c r="I341" i="61"/>
  <c r="J341" i="61" s="1"/>
  <c r="I349" i="61"/>
  <c r="J349" i="61" s="1"/>
  <c r="I357" i="61"/>
  <c r="J357" i="61" s="1"/>
  <c r="I365" i="61"/>
  <c r="J365" i="61" s="1"/>
  <c r="I373" i="61"/>
  <c r="J373" i="61" s="1"/>
  <c r="I381" i="61"/>
  <c r="J381" i="61" s="1"/>
  <c r="I389" i="61"/>
  <c r="J389" i="61" s="1"/>
  <c r="I397" i="61"/>
  <c r="J397" i="61" s="1"/>
  <c r="I405" i="61"/>
  <c r="J405" i="61" s="1"/>
  <c r="I413" i="61"/>
  <c r="J413" i="61" s="1"/>
  <c r="I421" i="61"/>
  <c r="J421" i="61" s="1"/>
  <c r="I429" i="61"/>
  <c r="J429" i="61" s="1"/>
  <c r="I437" i="61"/>
  <c r="J437" i="61" s="1"/>
  <c r="I445" i="61"/>
  <c r="J445" i="61" s="1"/>
  <c r="I453" i="61"/>
  <c r="J453" i="61" s="1"/>
  <c r="I461" i="61"/>
  <c r="J461" i="61" s="1"/>
  <c r="I469" i="61"/>
  <c r="J469" i="61" s="1"/>
  <c r="I477" i="61"/>
  <c r="J477" i="61" s="1"/>
  <c r="I485" i="61"/>
  <c r="J485" i="61" s="1"/>
  <c r="I493" i="61"/>
  <c r="J493" i="61" s="1"/>
  <c r="I501" i="61"/>
  <c r="J501" i="61" s="1"/>
  <c r="I509" i="61"/>
  <c r="J509" i="61" s="1"/>
  <c r="I517" i="61"/>
  <c r="J517" i="61" s="1"/>
  <c r="I525" i="61"/>
  <c r="J525" i="61" s="1"/>
  <c r="I533" i="61"/>
  <c r="J533" i="61" s="1"/>
  <c r="I541" i="61"/>
  <c r="J541" i="61" s="1"/>
  <c r="I6" i="61"/>
  <c r="J6" i="61" s="1"/>
  <c r="I14" i="61"/>
  <c r="J14" i="61" s="1"/>
  <c r="I22" i="61"/>
  <c r="J22" i="61" s="1"/>
  <c r="I30" i="61"/>
  <c r="J30" i="61" s="1"/>
  <c r="I38" i="61"/>
  <c r="J38" i="61" s="1"/>
  <c r="I46" i="61"/>
  <c r="J46" i="61" s="1"/>
  <c r="I54" i="61"/>
  <c r="J54" i="61" s="1"/>
  <c r="I62" i="61"/>
  <c r="J62" i="61" s="1"/>
  <c r="I70" i="61"/>
  <c r="J70" i="61" s="1"/>
  <c r="I78" i="61"/>
  <c r="J78" i="61" s="1"/>
  <c r="I86" i="61"/>
  <c r="J86" i="61" s="1"/>
  <c r="I94" i="61"/>
  <c r="J94" i="61" s="1"/>
  <c r="I102" i="61"/>
  <c r="J102" i="61" s="1"/>
  <c r="I110" i="61"/>
  <c r="J110" i="61" s="1"/>
  <c r="I118" i="61"/>
  <c r="J118" i="61" s="1"/>
  <c r="I126" i="61"/>
  <c r="J126" i="61" s="1"/>
  <c r="I134" i="61"/>
  <c r="J134" i="61" s="1"/>
  <c r="I142" i="61"/>
  <c r="J142" i="61" s="1"/>
  <c r="I150" i="61"/>
  <c r="J150" i="61" s="1"/>
  <c r="I158" i="61"/>
  <c r="J158" i="61" s="1"/>
  <c r="I166" i="61"/>
  <c r="J166" i="61" s="1"/>
  <c r="I174" i="61"/>
  <c r="J174" i="61" s="1"/>
  <c r="I182" i="61"/>
  <c r="J182" i="61" s="1"/>
  <c r="I190" i="61"/>
  <c r="J190" i="61" s="1"/>
  <c r="I198" i="61"/>
  <c r="J198" i="61" s="1"/>
  <c r="I206" i="61"/>
  <c r="J206" i="61" s="1"/>
  <c r="I214" i="61"/>
  <c r="J214" i="61" s="1"/>
  <c r="I222" i="61"/>
  <c r="J222" i="61" s="1"/>
  <c r="I230" i="61"/>
  <c r="J230" i="61" s="1"/>
  <c r="I238" i="61"/>
  <c r="J238" i="61" s="1"/>
  <c r="I246" i="61"/>
  <c r="J246" i="61" s="1"/>
  <c r="I254" i="61"/>
  <c r="J254" i="61" s="1"/>
  <c r="I262" i="61"/>
  <c r="J262" i="61" s="1"/>
  <c r="I270" i="61"/>
  <c r="J270" i="61" s="1"/>
  <c r="I278" i="61"/>
  <c r="J278" i="61" s="1"/>
  <c r="I286" i="61"/>
  <c r="J286" i="61" s="1"/>
  <c r="I294" i="61"/>
  <c r="J294" i="61" s="1"/>
  <c r="I302" i="61"/>
  <c r="J302" i="61" s="1"/>
  <c r="I310" i="61"/>
  <c r="J310" i="61" s="1"/>
  <c r="I318" i="61"/>
  <c r="J318" i="61" s="1"/>
  <c r="I326" i="61"/>
  <c r="J326" i="61" s="1"/>
  <c r="I334" i="61"/>
  <c r="J334" i="61" s="1"/>
  <c r="I342" i="61"/>
  <c r="J342" i="61" s="1"/>
  <c r="I350" i="61"/>
  <c r="J350" i="61" s="1"/>
  <c r="I358" i="61"/>
  <c r="J358" i="61" s="1"/>
  <c r="I366" i="61"/>
  <c r="J366" i="61" s="1"/>
  <c r="I374" i="61"/>
  <c r="J374" i="61" s="1"/>
  <c r="I382" i="61"/>
  <c r="J382" i="61" s="1"/>
  <c r="I390" i="61"/>
  <c r="J390" i="61" s="1"/>
  <c r="I398" i="61"/>
  <c r="J398" i="61" s="1"/>
  <c r="I406" i="61"/>
  <c r="J406" i="61" s="1"/>
  <c r="I414" i="61"/>
  <c r="J414" i="61" s="1"/>
  <c r="I422" i="61"/>
  <c r="J422" i="61" s="1"/>
  <c r="I430" i="61"/>
  <c r="J430" i="61" s="1"/>
  <c r="I438" i="61"/>
  <c r="J438" i="61" s="1"/>
  <c r="I446" i="61"/>
  <c r="J446" i="61" s="1"/>
  <c r="I454" i="61"/>
  <c r="J454" i="61" s="1"/>
  <c r="I462" i="61"/>
  <c r="J462" i="61" s="1"/>
  <c r="I470" i="61"/>
  <c r="J470" i="61" s="1"/>
  <c r="I478" i="61"/>
  <c r="J478" i="61" s="1"/>
  <c r="I486" i="61"/>
  <c r="J486" i="61" s="1"/>
  <c r="I494" i="61"/>
  <c r="J494" i="61" s="1"/>
  <c r="I502" i="61"/>
  <c r="J502" i="61" s="1"/>
  <c r="I510" i="61"/>
  <c r="J510" i="61" s="1"/>
  <c r="I518" i="61"/>
  <c r="J518" i="61" s="1"/>
  <c r="I526" i="61"/>
  <c r="J526" i="61" s="1"/>
  <c r="I534" i="61"/>
  <c r="J534" i="61" s="1"/>
  <c r="I542" i="61"/>
  <c r="J542" i="61" s="1"/>
  <c r="I550" i="61"/>
  <c r="J550" i="61" s="1"/>
  <c r="I558" i="61"/>
  <c r="J558" i="61" s="1"/>
  <c r="I566" i="61"/>
  <c r="J566" i="61" s="1"/>
  <c r="I574" i="61"/>
  <c r="J574" i="61" s="1"/>
  <c r="I582" i="61"/>
  <c r="J582" i="61" s="1"/>
  <c r="I590" i="61"/>
  <c r="J590" i="61" s="1"/>
  <c r="I598" i="61"/>
  <c r="J598" i="61" s="1"/>
  <c r="I606" i="61"/>
  <c r="J606" i="61" s="1"/>
  <c r="I614" i="61"/>
  <c r="J614" i="61" s="1"/>
  <c r="I7" i="61"/>
  <c r="J7" i="61" s="1"/>
  <c r="I15" i="61"/>
  <c r="J15" i="61" s="1"/>
  <c r="I23" i="61"/>
  <c r="J23" i="61" s="1"/>
  <c r="I31" i="61"/>
  <c r="J31" i="61" s="1"/>
  <c r="I39" i="61"/>
  <c r="J39" i="61" s="1"/>
  <c r="I47" i="61"/>
  <c r="J47" i="61" s="1"/>
  <c r="I55" i="61"/>
  <c r="J55" i="61" s="1"/>
  <c r="I63" i="61"/>
  <c r="J63" i="61" s="1"/>
  <c r="I71" i="61"/>
  <c r="J71" i="61" s="1"/>
  <c r="I79" i="61"/>
  <c r="J79" i="61" s="1"/>
  <c r="I87" i="61"/>
  <c r="J87" i="61" s="1"/>
  <c r="I95" i="61"/>
  <c r="J95" i="61" s="1"/>
  <c r="I103" i="61"/>
  <c r="J103" i="61" s="1"/>
  <c r="I111" i="61"/>
  <c r="J111" i="61" s="1"/>
  <c r="I119" i="61"/>
  <c r="J119" i="61" s="1"/>
  <c r="I127" i="61"/>
  <c r="J127" i="61" s="1"/>
  <c r="I135" i="61"/>
  <c r="J135" i="61" s="1"/>
  <c r="I143" i="61"/>
  <c r="J143" i="61" s="1"/>
  <c r="I151" i="61"/>
  <c r="J151" i="61" s="1"/>
  <c r="I159" i="61"/>
  <c r="J159" i="61" s="1"/>
  <c r="I167" i="61"/>
  <c r="J167" i="61" s="1"/>
  <c r="I175" i="61"/>
  <c r="J175" i="61" s="1"/>
  <c r="I183" i="61"/>
  <c r="J183" i="61" s="1"/>
  <c r="I191" i="61"/>
  <c r="J191" i="61" s="1"/>
  <c r="I199" i="61"/>
  <c r="J199" i="61" s="1"/>
  <c r="I207" i="61"/>
  <c r="J207" i="61" s="1"/>
  <c r="I215" i="61"/>
  <c r="J215" i="61" s="1"/>
  <c r="I223" i="61"/>
  <c r="J223" i="61" s="1"/>
  <c r="I231" i="61"/>
  <c r="J231" i="61" s="1"/>
  <c r="I239" i="61"/>
  <c r="J239" i="61" s="1"/>
  <c r="I247" i="61"/>
  <c r="J247" i="61" s="1"/>
  <c r="I255" i="61"/>
  <c r="J255" i="61" s="1"/>
  <c r="I263" i="61"/>
  <c r="J263" i="61" s="1"/>
  <c r="I271" i="61"/>
  <c r="J271" i="61" s="1"/>
  <c r="I279" i="61"/>
  <c r="J279" i="61" s="1"/>
  <c r="I287" i="61"/>
  <c r="J287" i="61" s="1"/>
  <c r="I295" i="61"/>
  <c r="J295" i="61" s="1"/>
  <c r="I303" i="61"/>
  <c r="J303" i="61" s="1"/>
  <c r="I311" i="61"/>
  <c r="J311" i="61" s="1"/>
  <c r="I319" i="61"/>
  <c r="J319" i="61" s="1"/>
  <c r="I327" i="61"/>
  <c r="J327" i="61" s="1"/>
  <c r="I335" i="61"/>
  <c r="J335" i="61" s="1"/>
  <c r="I343" i="61"/>
  <c r="J343" i="61" s="1"/>
  <c r="I351" i="61"/>
  <c r="J351" i="61" s="1"/>
  <c r="I359" i="61"/>
  <c r="J359" i="61" s="1"/>
  <c r="I367" i="61"/>
  <c r="J367" i="61" s="1"/>
  <c r="I375" i="61"/>
  <c r="J375" i="61" s="1"/>
  <c r="I383" i="61"/>
  <c r="J383" i="61" s="1"/>
  <c r="I391" i="61"/>
  <c r="J391" i="61" s="1"/>
  <c r="I399" i="61"/>
  <c r="J399" i="61" s="1"/>
  <c r="I407" i="61"/>
  <c r="J407" i="61" s="1"/>
  <c r="I415" i="61"/>
  <c r="J415" i="61" s="1"/>
  <c r="I423" i="61"/>
  <c r="J423" i="61" s="1"/>
  <c r="I431" i="61"/>
  <c r="J431" i="61" s="1"/>
  <c r="I439" i="61"/>
  <c r="J439" i="61" s="1"/>
  <c r="I447" i="61"/>
  <c r="J447" i="61" s="1"/>
  <c r="I455" i="61"/>
  <c r="J455" i="61" s="1"/>
  <c r="I463" i="61"/>
  <c r="J463" i="61" s="1"/>
  <c r="I471" i="61"/>
  <c r="J471" i="61" s="1"/>
  <c r="I479" i="61"/>
  <c r="J479" i="61" s="1"/>
  <c r="I487" i="61"/>
  <c r="J487" i="61" s="1"/>
  <c r="I495" i="61"/>
  <c r="J495" i="61" s="1"/>
  <c r="I503" i="61"/>
  <c r="J503" i="61" s="1"/>
  <c r="I511" i="61"/>
  <c r="J511" i="61" s="1"/>
  <c r="I519" i="61"/>
  <c r="J519" i="61" s="1"/>
  <c r="I527" i="61"/>
  <c r="J527" i="61" s="1"/>
  <c r="I535" i="61"/>
  <c r="J535" i="61" s="1"/>
  <c r="I543" i="61"/>
  <c r="J543" i="61" s="1"/>
  <c r="I551" i="61"/>
  <c r="J551" i="61" s="1"/>
  <c r="I559" i="61"/>
  <c r="J559" i="61" s="1"/>
  <c r="I567" i="61"/>
  <c r="J567" i="61" s="1"/>
  <c r="I575" i="61"/>
  <c r="J575" i="61" s="1"/>
  <c r="I583" i="61"/>
  <c r="J583" i="61" s="1"/>
  <c r="I591" i="61"/>
  <c r="J591" i="61" s="1"/>
  <c r="I599" i="61"/>
  <c r="J599" i="61" s="1"/>
  <c r="I607" i="61"/>
  <c r="J607" i="61" s="1"/>
  <c r="I615" i="61"/>
  <c r="J615" i="61" s="1"/>
  <c r="I623" i="61"/>
  <c r="J623" i="61" s="1"/>
  <c r="I631" i="61"/>
  <c r="J631" i="61" s="1"/>
  <c r="I639" i="61"/>
  <c r="J639" i="61" s="1"/>
  <c r="I647" i="61"/>
  <c r="J647" i="61" s="1"/>
  <c r="I655" i="61"/>
  <c r="J655" i="61" s="1"/>
  <c r="I663" i="61"/>
  <c r="J663" i="61" s="1"/>
  <c r="I671" i="61"/>
  <c r="J671" i="61" s="1"/>
  <c r="I679" i="61"/>
  <c r="J679" i="61" s="1"/>
  <c r="I8" i="61"/>
  <c r="J8" i="61" s="1"/>
  <c r="I16" i="61"/>
  <c r="J16" i="61" s="1"/>
  <c r="I24" i="61"/>
  <c r="J24" i="61" s="1"/>
  <c r="I32" i="61"/>
  <c r="J32" i="61" s="1"/>
  <c r="I40" i="61"/>
  <c r="J40" i="61" s="1"/>
  <c r="I48" i="61"/>
  <c r="J48" i="61" s="1"/>
  <c r="I56" i="61"/>
  <c r="J56" i="61" s="1"/>
  <c r="I64" i="61"/>
  <c r="J64" i="61" s="1"/>
  <c r="I72" i="61"/>
  <c r="J72" i="61" s="1"/>
  <c r="I80" i="61"/>
  <c r="J80" i="61" s="1"/>
  <c r="I88" i="61"/>
  <c r="J88" i="61" s="1"/>
  <c r="I96" i="61"/>
  <c r="J96" i="61" s="1"/>
  <c r="I104" i="61"/>
  <c r="J104" i="61" s="1"/>
  <c r="I112" i="61"/>
  <c r="J112" i="61" s="1"/>
  <c r="I120" i="61"/>
  <c r="J120" i="61" s="1"/>
  <c r="I128" i="61"/>
  <c r="J128" i="61" s="1"/>
  <c r="I136" i="61"/>
  <c r="J136" i="61" s="1"/>
  <c r="I144" i="61"/>
  <c r="J144" i="61" s="1"/>
  <c r="I152" i="61"/>
  <c r="J152" i="61" s="1"/>
  <c r="I160" i="61"/>
  <c r="J160" i="61" s="1"/>
  <c r="I168" i="61"/>
  <c r="J168" i="61" s="1"/>
  <c r="I176" i="61"/>
  <c r="J176" i="61" s="1"/>
  <c r="I184" i="61"/>
  <c r="J184" i="61" s="1"/>
  <c r="I192" i="61"/>
  <c r="J192" i="61" s="1"/>
  <c r="I200" i="61"/>
  <c r="J200" i="61" s="1"/>
  <c r="I208" i="61"/>
  <c r="J208" i="61" s="1"/>
  <c r="I216" i="61"/>
  <c r="J216" i="61" s="1"/>
  <c r="I224" i="61"/>
  <c r="J224" i="61" s="1"/>
  <c r="I232" i="61"/>
  <c r="J232" i="61" s="1"/>
  <c r="I240" i="61"/>
  <c r="J240" i="61" s="1"/>
  <c r="I248" i="61"/>
  <c r="J248" i="61" s="1"/>
  <c r="I256" i="61"/>
  <c r="J256" i="61" s="1"/>
  <c r="I264" i="61"/>
  <c r="J264" i="61" s="1"/>
  <c r="I272" i="61"/>
  <c r="J272" i="61" s="1"/>
  <c r="I280" i="61"/>
  <c r="J280" i="61" s="1"/>
  <c r="I288" i="61"/>
  <c r="J288" i="61" s="1"/>
  <c r="I296" i="61"/>
  <c r="J296" i="61" s="1"/>
  <c r="I304" i="61"/>
  <c r="J304" i="61" s="1"/>
  <c r="I312" i="61"/>
  <c r="J312" i="61" s="1"/>
  <c r="I320" i="61"/>
  <c r="J320" i="61" s="1"/>
  <c r="I328" i="61"/>
  <c r="J328" i="61" s="1"/>
  <c r="I336" i="61"/>
  <c r="J336" i="61" s="1"/>
  <c r="I344" i="61"/>
  <c r="J344" i="61" s="1"/>
  <c r="I352" i="61"/>
  <c r="J352" i="61" s="1"/>
  <c r="I360" i="61"/>
  <c r="J360" i="61" s="1"/>
  <c r="I368" i="61"/>
  <c r="J368" i="61" s="1"/>
  <c r="I376" i="61"/>
  <c r="J376" i="61" s="1"/>
  <c r="I384" i="61"/>
  <c r="J384" i="61" s="1"/>
  <c r="I392" i="61"/>
  <c r="J392" i="61" s="1"/>
  <c r="I400" i="61"/>
  <c r="J400" i="61" s="1"/>
  <c r="I408" i="61"/>
  <c r="J408" i="61" s="1"/>
  <c r="I416" i="61"/>
  <c r="J416" i="61" s="1"/>
  <c r="I424" i="61"/>
  <c r="J424" i="61" s="1"/>
  <c r="I432" i="61"/>
  <c r="J432" i="61" s="1"/>
  <c r="I440" i="61"/>
  <c r="J440" i="61" s="1"/>
  <c r="I448" i="61"/>
  <c r="J448" i="61" s="1"/>
  <c r="I456" i="61"/>
  <c r="J456" i="61" s="1"/>
  <c r="I464" i="61"/>
  <c r="J464" i="61" s="1"/>
  <c r="I472" i="61"/>
  <c r="J472" i="61" s="1"/>
  <c r="I480" i="61"/>
  <c r="J480" i="61" s="1"/>
  <c r="I488" i="61"/>
  <c r="J488" i="61" s="1"/>
  <c r="I496" i="61"/>
  <c r="J496" i="61" s="1"/>
  <c r="I504" i="61"/>
  <c r="J504" i="61" s="1"/>
  <c r="I512" i="61"/>
  <c r="J512" i="61" s="1"/>
  <c r="I520" i="61"/>
  <c r="J520" i="61" s="1"/>
  <c r="I528" i="61"/>
  <c r="J528" i="61" s="1"/>
  <c r="I536" i="61"/>
  <c r="J536" i="61" s="1"/>
  <c r="I544" i="61"/>
  <c r="J544" i="61" s="1"/>
  <c r="I552" i="61"/>
  <c r="J552" i="61" s="1"/>
  <c r="I560" i="61"/>
  <c r="J560" i="61" s="1"/>
  <c r="I568" i="61"/>
  <c r="J568" i="61" s="1"/>
  <c r="I576" i="61"/>
  <c r="J576" i="61" s="1"/>
  <c r="I584" i="61"/>
  <c r="J584" i="61" s="1"/>
  <c r="I592" i="61"/>
  <c r="J592" i="61" s="1"/>
  <c r="I600" i="61"/>
  <c r="J600" i="61" s="1"/>
  <c r="I608" i="61"/>
  <c r="J608" i="61" s="1"/>
  <c r="I616" i="61"/>
  <c r="J616" i="61" s="1"/>
  <c r="I624" i="61"/>
  <c r="J624" i="61" s="1"/>
  <c r="I632" i="61"/>
  <c r="J632" i="61" s="1"/>
  <c r="I640" i="61"/>
  <c r="J640" i="61" s="1"/>
  <c r="I648" i="61"/>
  <c r="J648" i="61" s="1"/>
  <c r="I656" i="61"/>
  <c r="J656" i="61" s="1"/>
  <c r="I664" i="61"/>
  <c r="J664" i="61" s="1"/>
  <c r="I672" i="61"/>
  <c r="J672" i="61" s="1"/>
  <c r="I680" i="61"/>
  <c r="J680" i="61" s="1"/>
  <c r="I9" i="61"/>
  <c r="J9" i="61" s="1"/>
  <c r="I17" i="61"/>
  <c r="J17" i="61" s="1"/>
  <c r="I25" i="61"/>
  <c r="J25" i="61" s="1"/>
  <c r="I33" i="61"/>
  <c r="J33" i="61" s="1"/>
  <c r="I41" i="61"/>
  <c r="J41" i="61" s="1"/>
  <c r="I49" i="61"/>
  <c r="J49" i="61" s="1"/>
  <c r="I57" i="61"/>
  <c r="J57" i="61" s="1"/>
  <c r="I65" i="61"/>
  <c r="J65" i="61" s="1"/>
  <c r="I73" i="61"/>
  <c r="J73" i="61" s="1"/>
  <c r="I81" i="61"/>
  <c r="J81" i="61" s="1"/>
  <c r="I89" i="61"/>
  <c r="J89" i="61" s="1"/>
  <c r="I97" i="61"/>
  <c r="J97" i="61" s="1"/>
  <c r="I105" i="61"/>
  <c r="J105" i="61" s="1"/>
  <c r="I113" i="61"/>
  <c r="J113" i="61" s="1"/>
  <c r="I121" i="61"/>
  <c r="J121" i="61" s="1"/>
  <c r="I129" i="61"/>
  <c r="J129" i="61" s="1"/>
  <c r="I137" i="61"/>
  <c r="J137" i="61" s="1"/>
  <c r="I145" i="61"/>
  <c r="J145" i="61" s="1"/>
  <c r="I153" i="61"/>
  <c r="J153" i="61" s="1"/>
  <c r="I161" i="61"/>
  <c r="J161" i="61" s="1"/>
  <c r="I169" i="61"/>
  <c r="J169" i="61" s="1"/>
  <c r="I177" i="61"/>
  <c r="J177" i="61" s="1"/>
  <c r="I185" i="61"/>
  <c r="J185" i="61" s="1"/>
  <c r="I193" i="61"/>
  <c r="J193" i="61" s="1"/>
  <c r="I201" i="61"/>
  <c r="J201" i="61" s="1"/>
  <c r="I209" i="61"/>
  <c r="J209" i="61" s="1"/>
  <c r="I217" i="61"/>
  <c r="J217" i="61" s="1"/>
  <c r="I225" i="61"/>
  <c r="J225" i="61" s="1"/>
  <c r="I233" i="61"/>
  <c r="J233" i="61" s="1"/>
  <c r="I241" i="61"/>
  <c r="J241" i="61" s="1"/>
  <c r="I249" i="61"/>
  <c r="J249" i="61" s="1"/>
  <c r="I257" i="61"/>
  <c r="J257" i="61" s="1"/>
  <c r="I265" i="61"/>
  <c r="J265" i="61" s="1"/>
  <c r="I273" i="61"/>
  <c r="J273" i="61" s="1"/>
  <c r="I281" i="61"/>
  <c r="J281" i="61" s="1"/>
  <c r="I289" i="61"/>
  <c r="J289" i="61" s="1"/>
  <c r="I297" i="61"/>
  <c r="J297" i="61" s="1"/>
  <c r="I305" i="61"/>
  <c r="J305" i="61" s="1"/>
  <c r="I313" i="61"/>
  <c r="J313" i="61" s="1"/>
  <c r="I321" i="61"/>
  <c r="J321" i="61" s="1"/>
  <c r="I329" i="61"/>
  <c r="J329" i="61" s="1"/>
  <c r="I337" i="61"/>
  <c r="J337" i="61" s="1"/>
  <c r="I345" i="61"/>
  <c r="J345" i="61" s="1"/>
  <c r="I353" i="61"/>
  <c r="J353" i="61" s="1"/>
  <c r="I361" i="61"/>
  <c r="J361" i="61" s="1"/>
  <c r="I369" i="61"/>
  <c r="J369" i="61" s="1"/>
  <c r="I377" i="61"/>
  <c r="J377" i="61" s="1"/>
  <c r="I385" i="61"/>
  <c r="J385" i="61" s="1"/>
  <c r="I393" i="61"/>
  <c r="J393" i="61" s="1"/>
  <c r="I401" i="61"/>
  <c r="J401" i="61" s="1"/>
  <c r="I409" i="61"/>
  <c r="J409" i="61" s="1"/>
  <c r="I417" i="61"/>
  <c r="J417" i="61" s="1"/>
  <c r="I425" i="61"/>
  <c r="J425" i="61" s="1"/>
  <c r="I433" i="61"/>
  <c r="J433" i="61" s="1"/>
  <c r="I441" i="61"/>
  <c r="J441" i="61" s="1"/>
  <c r="I449" i="61"/>
  <c r="J449" i="61" s="1"/>
  <c r="I457" i="61"/>
  <c r="J457" i="61" s="1"/>
  <c r="I465" i="61"/>
  <c r="J465" i="61" s="1"/>
  <c r="I473" i="61"/>
  <c r="J473" i="61" s="1"/>
  <c r="I481" i="61"/>
  <c r="J481" i="61" s="1"/>
  <c r="I489" i="61"/>
  <c r="J489" i="61" s="1"/>
  <c r="I497" i="61"/>
  <c r="J497" i="61" s="1"/>
  <c r="I505" i="61"/>
  <c r="J505" i="61" s="1"/>
  <c r="I513" i="61"/>
  <c r="J513" i="61" s="1"/>
  <c r="I521" i="61"/>
  <c r="J521" i="61" s="1"/>
  <c r="I529" i="61"/>
  <c r="J529" i="61" s="1"/>
  <c r="I537" i="61"/>
  <c r="J537" i="61" s="1"/>
  <c r="I545" i="61"/>
  <c r="J545" i="61" s="1"/>
  <c r="I553" i="61"/>
  <c r="J553" i="61" s="1"/>
  <c r="I561" i="61"/>
  <c r="J561" i="61" s="1"/>
  <c r="I569" i="61"/>
  <c r="J569" i="61" s="1"/>
  <c r="I577" i="61"/>
  <c r="J577" i="61" s="1"/>
  <c r="I585" i="61"/>
  <c r="J585" i="61" s="1"/>
  <c r="I593" i="61"/>
  <c r="J593" i="61" s="1"/>
  <c r="I601" i="61"/>
  <c r="J601" i="61" s="1"/>
  <c r="I609" i="61"/>
  <c r="J609" i="61" s="1"/>
  <c r="I617" i="61"/>
  <c r="J617" i="61" s="1"/>
  <c r="I625" i="61"/>
  <c r="J625" i="61" s="1"/>
  <c r="I633" i="61"/>
  <c r="J633" i="61" s="1"/>
  <c r="I641" i="61"/>
  <c r="J641" i="61" s="1"/>
  <c r="I649" i="61"/>
  <c r="J649" i="61" s="1"/>
  <c r="I657" i="61"/>
  <c r="J657" i="61" s="1"/>
  <c r="I665" i="61"/>
  <c r="J665" i="61" s="1"/>
  <c r="I673" i="61"/>
  <c r="J673" i="61" s="1"/>
  <c r="I681" i="61"/>
  <c r="J681" i="61" s="1"/>
  <c r="I11" i="61"/>
  <c r="J11" i="61" s="1"/>
  <c r="I19" i="61"/>
  <c r="J19" i="61" s="1"/>
  <c r="I27" i="61"/>
  <c r="J27" i="61" s="1"/>
  <c r="I35" i="61"/>
  <c r="J35" i="61" s="1"/>
  <c r="I43" i="61"/>
  <c r="J43" i="61" s="1"/>
  <c r="I51" i="61"/>
  <c r="J51" i="61" s="1"/>
  <c r="I59" i="61"/>
  <c r="J59" i="61" s="1"/>
  <c r="I67" i="61"/>
  <c r="J67" i="61" s="1"/>
  <c r="I75" i="61"/>
  <c r="J75" i="61" s="1"/>
  <c r="I83" i="61"/>
  <c r="J83" i="61" s="1"/>
  <c r="I91" i="61"/>
  <c r="J91" i="61" s="1"/>
  <c r="I99" i="61"/>
  <c r="J99" i="61" s="1"/>
  <c r="I107" i="61"/>
  <c r="J107" i="61" s="1"/>
  <c r="I115" i="61"/>
  <c r="J115" i="61" s="1"/>
  <c r="I123" i="61"/>
  <c r="J123" i="61" s="1"/>
  <c r="I131" i="61"/>
  <c r="J131" i="61" s="1"/>
  <c r="I139" i="61"/>
  <c r="J139" i="61" s="1"/>
  <c r="I147" i="61"/>
  <c r="J147" i="61" s="1"/>
  <c r="I155" i="61"/>
  <c r="J155" i="61" s="1"/>
  <c r="I163" i="61"/>
  <c r="J163" i="61" s="1"/>
  <c r="I171" i="61"/>
  <c r="J171" i="61" s="1"/>
  <c r="I179" i="61"/>
  <c r="J179" i="61" s="1"/>
  <c r="I187" i="61"/>
  <c r="J187" i="61" s="1"/>
  <c r="I195" i="61"/>
  <c r="J195" i="61" s="1"/>
  <c r="I203" i="61"/>
  <c r="J203" i="61" s="1"/>
  <c r="I211" i="61"/>
  <c r="J211" i="61" s="1"/>
  <c r="I219" i="61"/>
  <c r="J219" i="61" s="1"/>
  <c r="I227" i="61"/>
  <c r="J227" i="61" s="1"/>
  <c r="I235" i="61"/>
  <c r="J235" i="61" s="1"/>
  <c r="I243" i="61"/>
  <c r="J243" i="61" s="1"/>
  <c r="I251" i="61"/>
  <c r="J251" i="61" s="1"/>
  <c r="I259" i="61"/>
  <c r="J259" i="61" s="1"/>
  <c r="I267" i="61"/>
  <c r="J267" i="61" s="1"/>
  <c r="I275" i="61"/>
  <c r="J275" i="61" s="1"/>
  <c r="I283" i="61"/>
  <c r="J283" i="61" s="1"/>
  <c r="I291" i="61"/>
  <c r="J291" i="61" s="1"/>
  <c r="I299" i="61"/>
  <c r="J299" i="61" s="1"/>
  <c r="I307" i="61"/>
  <c r="J307" i="61" s="1"/>
  <c r="I315" i="61"/>
  <c r="J315" i="61" s="1"/>
  <c r="I323" i="61"/>
  <c r="J323" i="61" s="1"/>
  <c r="I331" i="61"/>
  <c r="J331" i="61" s="1"/>
  <c r="I339" i="61"/>
  <c r="J339" i="61" s="1"/>
  <c r="I347" i="61"/>
  <c r="J347" i="61" s="1"/>
  <c r="I355" i="61"/>
  <c r="J355" i="61" s="1"/>
  <c r="I363" i="61"/>
  <c r="J363" i="61" s="1"/>
  <c r="I371" i="61"/>
  <c r="J371" i="61" s="1"/>
  <c r="I379" i="61"/>
  <c r="J379" i="61" s="1"/>
  <c r="I387" i="61"/>
  <c r="J387" i="61" s="1"/>
  <c r="I395" i="61"/>
  <c r="J395" i="61" s="1"/>
  <c r="I403" i="61"/>
  <c r="J403" i="61" s="1"/>
  <c r="I411" i="61"/>
  <c r="J411" i="61" s="1"/>
  <c r="I419" i="61"/>
  <c r="J419" i="61" s="1"/>
  <c r="I427" i="61"/>
  <c r="J427" i="61" s="1"/>
  <c r="I435" i="61"/>
  <c r="J435" i="61" s="1"/>
  <c r="I443" i="61"/>
  <c r="J443" i="61" s="1"/>
  <c r="I451" i="61"/>
  <c r="J451" i="61" s="1"/>
  <c r="I459" i="61"/>
  <c r="J459" i="61" s="1"/>
  <c r="I467" i="61"/>
  <c r="J467" i="61" s="1"/>
  <c r="I475" i="61"/>
  <c r="J475" i="61" s="1"/>
  <c r="I483" i="61"/>
  <c r="J483" i="61" s="1"/>
  <c r="I491" i="61"/>
  <c r="J491" i="61" s="1"/>
  <c r="I499" i="61"/>
  <c r="J499" i="61" s="1"/>
  <c r="I507" i="61"/>
  <c r="J507" i="61" s="1"/>
  <c r="I515" i="61"/>
  <c r="J515" i="61" s="1"/>
  <c r="I523" i="61"/>
  <c r="J523" i="61" s="1"/>
  <c r="I531" i="61"/>
  <c r="J531" i="61" s="1"/>
  <c r="I539" i="61"/>
  <c r="J539" i="61" s="1"/>
  <c r="I547" i="61"/>
  <c r="J547" i="61" s="1"/>
  <c r="I555" i="61"/>
  <c r="J555" i="61" s="1"/>
  <c r="I563" i="61"/>
  <c r="J563" i="61" s="1"/>
  <c r="I571" i="61"/>
  <c r="J571" i="61" s="1"/>
  <c r="I579" i="61"/>
  <c r="J579" i="61" s="1"/>
  <c r="I587" i="61"/>
  <c r="J587" i="61" s="1"/>
  <c r="I595" i="61"/>
  <c r="J595" i="61" s="1"/>
  <c r="I603" i="61"/>
  <c r="J603" i="61" s="1"/>
  <c r="I611" i="61"/>
  <c r="J611" i="61" s="1"/>
  <c r="I619" i="61"/>
  <c r="J619" i="61" s="1"/>
  <c r="I627" i="61"/>
  <c r="J627" i="61" s="1"/>
  <c r="I635" i="61"/>
  <c r="J635" i="61" s="1"/>
  <c r="I643" i="61"/>
  <c r="J643" i="61" s="1"/>
  <c r="I651" i="61"/>
  <c r="J651" i="61" s="1"/>
  <c r="I659" i="61"/>
  <c r="J659" i="61" s="1"/>
  <c r="I667" i="61"/>
  <c r="J667" i="61" s="1"/>
  <c r="I675" i="61"/>
  <c r="J675" i="61" s="1"/>
  <c r="I683" i="61"/>
  <c r="J683" i="61" s="1"/>
  <c r="I10" i="61"/>
  <c r="J10" i="61" s="1"/>
  <c r="I74" i="61"/>
  <c r="J74" i="61" s="1"/>
  <c r="I138" i="61"/>
  <c r="J138" i="61" s="1"/>
  <c r="I202" i="61"/>
  <c r="J202" i="61" s="1"/>
  <c r="I266" i="61"/>
  <c r="J266" i="61" s="1"/>
  <c r="I330" i="61"/>
  <c r="J330" i="61" s="1"/>
  <c r="I394" i="61"/>
  <c r="J394" i="61" s="1"/>
  <c r="I458" i="61"/>
  <c r="J458" i="61" s="1"/>
  <c r="I522" i="61"/>
  <c r="J522" i="61" s="1"/>
  <c r="I565" i="61"/>
  <c r="J565" i="61" s="1"/>
  <c r="I597" i="61"/>
  <c r="J597" i="61" s="1"/>
  <c r="I622" i="61"/>
  <c r="J622" i="61" s="1"/>
  <c r="I638" i="61"/>
  <c r="J638" i="61" s="1"/>
  <c r="I654" i="61"/>
  <c r="J654" i="61" s="1"/>
  <c r="I670" i="61"/>
  <c r="J670" i="61" s="1"/>
  <c r="I686" i="61"/>
  <c r="J686" i="61" s="1"/>
  <c r="I694" i="61"/>
  <c r="J694" i="61" s="1"/>
  <c r="I702" i="61"/>
  <c r="J702" i="61" s="1"/>
  <c r="I710" i="61"/>
  <c r="J710" i="61" s="1"/>
  <c r="I718" i="61"/>
  <c r="J718" i="61" s="1"/>
  <c r="I726" i="61"/>
  <c r="J726" i="61" s="1"/>
  <c r="I734" i="61"/>
  <c r="J734" i="61" s="1"/>
  <c r="I742" i="61"/>
  <c r="J742" i="61" s="1"/>
  <c r="I750" i="61"/>
  <c r="J750" i="61" s="1"/>
  <c r="I758" i="61"/>
  <c r="J758" i="61" s="1"/>
  <c r="I766" i="61"/>
  <c r="J766" i="61" s="1"/>
  <c r="I774" i="61"/>
  <c r="J774" i="61" s="1"/>
  <c r="I782" i="61"/>
  <c r="J782" i="61" s="1"/>
  <c r="I790" i="61"/>
  <c r="J790" i="61" s="1"/>
  <c r="I798" i="61"/>
  <c r="J798" i="61" s="1"/>
  <c r="I806" i="61"/>
  <c r="J806" i="61" s="1"/>
  <c r="I814" i="61"/>
  <c r="J814" i="61" s="1"/>
  <c r="I822" i="61"/>
  <c r="J822" i="61" s="1"/>
  <c r="I830" i="61"/>
  <c r="J830" i="61" s="1"/>
  <c r="I838" i="61"/>
  <c r="J838" i="61" s="1"/>
  <c r="I846" i="61"/>
  <c r="J846" i="61" s="1"/>
  <c r="I854" i="61"/>
  <c r="J854" i="61" s="1"/>
  <c r="I862" i="61"/>
  <c r="J862" i="61" s="1"/>
  <c r="I870" i="61"/>
  <c r="J870" i="61" s="1"/>
  <c r="I878" i="61"/>
  <c r="J878" i="61" s="1"/>
  <c r="I886" i="61"/>
  <c r="J886" i="61" s="1"/>
  <c r="I894" i="61"/>
  <c r="J894" i="61" s="1"/>
  <c r="I902" i="61"/>
  <c r="J902" i="61" s="1"/>
  <c r="I910" i="61"/>
  <c r="J910" i="61" s="1"/>
  <c r="I918" i="61"/>
  <c r="J918" i="61" s="1"/>
  <c r="I926" i="61"/>
  <c r="J926" i="61" s="1"/>
  <c r="I934" i="61"/>
  <c r="J934" i="61" s="1"/>
  <c r="I942" i="61"/>
  <c r="J942" i="61" s="1"/>
  <c r="I950" i="61"/>
  <c r="J950" i="61" s="1"/>
  <c r="I958" i="61"/>
  <c r="J958" i="61" s="1"/>
  <c r="I966" i="61"/>
  <c r="J966" i="61" s="1"/>
  <c r="I974" i="61"/>
  <c r="J974" i="61" s="1"/>
  <c r="I982" i="61"/>
  <c r="J982" i="61" s="1"/>
  <c r="I990" i="61"/>
  <c r="J990" i="61" s="1"/>
  <c r="I998" i="61"/>
  <c r="J998" i="61" s="1"/>
  <c r="I1006" i="61"/>
  <c r="J1006" i="61" s="1"/>
  <c r="I1014" i="61"/>
  <c r="J1014" i="61" s="1"/>
  <c r="I1022" i="61"/>
  <c r="J1022" i="61" s="1"/>
  <c r="I1030" i="61"/>
  <c r="J1030" i="61" s="1"/>
  <c r="I1038" i="61"/>
  <c r="J1038" i="61" s="1"/>
  <c r="I1046" i="61"/>
  <c r="J1046" i="61" s="1"/>
  <c r="I1054" i="61"/>
  <c r="J1054" i="61" s="1"/>
  <c r="I1062" i="61"/>
  <c r="J1062" i="61" s="1"/>
  <c r="I1070" i="61"/>
  <c r="J1070" i="61" s="1"/>
  <c r="I1078" i="61"/>
  <c r="J1078" i="61" s="1"/>
  <c r="I1086" i="61"/>
  <c r="J1086" i="61" s="1"/>
  <c r="I1094" i="61"/>
  <c r="J1094" i="61" s="1"/>
  <c r="I1102" i="61"/>
  <c r="J1102" i="61" s="1"/>
  <c r="I1110" i="61"/>
  <c r="J1110" i="61" s="1"/>
  <c r="I1118" i="61"/>
  <c r="J1118" i="61" s="1"/>
  <c r="I1126" i="61"/>
  <c r="J1126" i="61" s="1"/>
  <c r="I1134" i="61"/>
  <c r="J1134" i="61" s="1"/>
  <c r="I1142" i="61"/>
  <c r="J1142" i="61" s="1"/>
  <c r="I1150" i="61"/>
  <c r="J1150" i="61" s="1"/>
  <c r="I1158" i="61"/>
  <c r="J1158" i="61" s="1"/>
  <c r="I1166" i="61"/>
  <c r="J1166" i="61" s="1"/>
  <c r="I1174" i="61"/>
  <c r="J1174" i="61" s="1"/>
  <c r="I1182" i="61"/>
  <c r="J1182" i="61" s="1"/>
  <c r="I1190" i="61"/>
  <c r="J1190" i="61" s="1"/>
  <c r="I1198" i="61"/>
  <c r="J1198" i="61" s="1"/>
  <c r="I1206" i="61"/>
  <c r="J1206" i="61" s="1"/>
  <c r="I1214" i="61"/>
  <c r="J1214" i="61" s="1"/>
  <c r="I18" i="61"/>
  <c r="J18" i="61" s="1"/>
  <c r="I82" i="61"/>
  <c r="J82" i="61" s="1"/>
  <c r="I146" i="61"/>
  <c r="J146" i="61" s="1"/>
  <c r="I210" i="61"/>
  <c r="J210" i="61" s="1"/>
  <c r="I274" i="61"/>
  <c r="J274" i="61" s="1"/>
  <c r="I338" i="61"/>
  <c r="J338" i="61" s="1"/>
  <c r="I402" i="61"/>
  <c r="J402" i="61" s="1"/>
  <c r="I466" i="61"/>
  <c r="J466" i="61" s="1"/>
  <c r="I530" i="61"/>
  <c r="J530" i="61" s="1"/>
  <c r="I570" i="61"/>
  <c r="J570" i="61" s="1"/>
  <c r="I602" i="61"/>
  <c r="J602" i="61" s="1"/>
  <c r="I626" i="61"/>
  <c r="J626" i="61" s="1"/>
  <c r="I642" i="61"/>
  <c r="J642" i="61" s="1"/>
  <c r="I658" i="61"/>
  <c r="J658" i="61" s="1"/>
  <c r="I674" i="61"/>
  <c r="J674" i="61" s="1"/>
  <c r="I687" i="61"/>
  <c r="J687" i="61" s="1"/>
  <c r="I695" i="61"/>
  <c r="J695" i="61" s="1"/>
  <c r="I703" i="61"/>
  <c r="J703" i="61" s="1"/>
  <c r="I711" i="61"/>
  <c r="J711" i="61" s="1"/>
  <c r="I719" i="61"/>
  <c r="J719" i="61" s="1"/>
  <c r="I727" i="61"/>
  <c r="J727" i="61" s="1"/>
  <c r="I735" i="61"/>
  <c r="J735" i="61" s="1"/>
  <c r="I743" i="61"/>
  <c r="J743" i="61" s="1"/>
  <c r="I751" i="61"/>
  <c r="J751" i="61" s="1"/>
  <c r="I759" i="61"/>
  <c r="J759" i="61" s="1"/>
  <c r="I767" i="61"/>
  <c r="J767" i="61" s="1"/>
  <c r="I775" i="61"/>
  <c r="J775" i="61" s="1"/>
  <c r="I783" i="61"/>
  <c r="J783" i="61" s="1"/>
  <c r="I791" i="61"/>
  <c r="J791" i="61" s="1"/>
  <c r="I799" i="61"/>
  <c r="J799" i="61" s="1"/>
  <c r="I807" i="61"/>
  <c r="J807" i="61" s="1"/>
  <c r="I815" i="61"/>
  <c r="J815" i="61" s="1"/>
  <c r="I823" i="61"/>
  <c r="J823" i="61" s="1"/>
  <c r="I831" i="61"/>
  <c r="J831" i="61" s="1"/>
  <c r="I839" i="61"/>
  <c r="J839" i="61" s="1"/>
  <c r="I847" i="61"/>
  <c r="J847" i="61" s="1"/>
  <c r="I855" i="61"/>
  <c r="J855" i="61" s="1"/>
  <c r="I863" i="61"/>
  <c r="J863" i="61" s="1"/>
  <c r="I871" i="61"/>
  <c r="J871" i="61" s="1"/>
  <c r="I879" i="61"/>
  <c r="J879" i="61" s="1"/>
  <c r="I887" i="61"/>
  <c r="J887" i="61" s="1"/>
  <c r="I895" i="61"/>
  <c r="J895" i="61" s="1"/>
  <c r="I903" i="61"/>
  <c r="J903" i="61" s="1"/>
  <c r="I911" i="61"/>
  <c r="J911" i="61" s="1"/>
  <c r="I919" i="61"/>
  <c r="J919" i="61" s="1"/>
  <c r="I927" i="61"/>
  <c r="J927" i="61" s="1"/>
  <c r="I935" i="61"/>
  <c r="J935" i="61" s="1"/>
  <c r="I943" i="61"/>
  <c r="J943" i="61" s="1"/>
  <c r="I951" i="61"/>
  <c r="J951" i="61" s="1"/>
  <c r="I959" i="61"/>
  <c r="J959" i="61" s="1"/>
  <c r="I967" i="61"/>
  <c r="J967" i="61" s="1"/>
  <c r="I975" i="61"/>
  <c r="J975" i="61" s="1"/>
  <c r="I983" i="61"/>
  <c r="J983" i="61" s="1"/>
  <c r="I991" i="61"/>
  <c r="J991" i="61" s="1"/>
  <c r="I999" i="61"/>
  <c r="J999" i="61" s="1"/>
  <c r="I1007" i="61"/>
  <c r="J1007" i="61" s="1"/>
  <c r="I1015" i="61"/>
  <c r="J1015" i="61" s="1"/>
  <c r="I1023" i="61"/>
  <c r="J1023" i="61" s="1"/>
  <c r="I1031" i="61"/>
  <c r="J1031" i="61" s="1"/>
  <c r="I1039" i="61"/>
  <c r="J1039" i="61" s="1"/>
  <c r="I1047" i="61"/>
  <c r="J1047" i="61" s="1"/>
  <c r="I1055" i="61"/>
  <c r="J1055" i="61" s="1"/>
  <c r="I1063" i="61"/>
  <c r="J1063" i="61" s="1"/>
  <c r="I1071" i="61"/>
  <c r="J1071" i="61" s="1"/>
  <c r="I1079" i="61"/>
  <c r="J1079" i="61" s="1"/>
  <c r="I1087" i="61"/>
  <c r="J1087" i="61" s="1"/>
  <c r="I1095" i="61"/>
  <c r="J1095" i="61" s="1"/>
  <c r="I1103" i="61"/>
  <c r="J1103" i="61" s="1"/>
  <c r="I1111" i="61"/>
  <c r="J1111" i="61" s="1"/>
  <c r="I1119" i="61"/>
  <c r="J1119" i="61" s="1"/>
  <c r="I1127" i="61"/>
  <c r="J1127" i="61" s="1"/>
  <c r="I1135" i="61"/>
  <c r="J1135" i="61" s="1"/>
  <c r="I1143" i="61"/>
  <c r="J1143" i="61" s="1"/>
  <c r="I1151" i="61"/>
  <c r="J1151" i="61" s="1"/>
  <c r="I1159" i="61"/>
  <c r="J1159" i="61" s="1"/>
  <c r="I1167" i="61"/>
  <c r="J1167" i="61" s="1"/>
  <c r="I1175" i="61"/>
  <c r="J1175" i="61" s="1"/>
  <c r="I1183" i="61"/>
  <c r="J1183" i="61" s="1"/>
  <c r="I1191" i="61"/>
  <c r="J1191" i="61" s="1"/>
  <c r="I1199" i="61"/>
  <c r="J1199" i="61" s="1"/>
  <c r="I1207" i="61"/>
  <c r="J1207" i="61" s="1"/>
  <c r="I1215" i="61"/>
  <c r="J1215" i="61" s="1"/>
  <c r="I1223" i="61"/>
  <c r="J1223" i="61" s="1"/>
  <c r="I1231" i="61"/>
  <c r="J1231" i="61" s="1"/>
  <c r="I1239" i="61"/>
  <c r="J1239" i="61" s="1"/>
  <c r="I26" i="61"/>
  <c r="J26" i="61" s="1"/>
  <c r="I90" i="61"/>
  <c r="J90" i="61" s="1"/>
  <c r="I154" i="61"/>
  <c r="J154" i="61" s="1"/>
  <c r="I218" i="61"/>
  <c r="J218" i="61" s="1"/>
  <c r="I282" i="61"/>
  <c r="J282" i="61" s="1"/>
  <c r="I346" i="61"/>
  <c r="J346" i="61" s="1"/>
  <c r="I410" i="61"/>
  <c r="J410" i="61" s="1"/>
  <c r="I474" i="61"/>
  <c r="J474" i="61" s="1"/>
  <c r="I538" i="61"/>
  <c r="J538" i="61" s="1"/>
  <c r="I573" i="61"/>
  <c r="J573" i="61" s="1"/>
  <c r="I605" i="61"/>
  <c r="J605" i="61" s="1"/>
  <c r="I628" i="61"/>
  <c r="J628" i="61" s="1"/>
  <c r="I644" i="61"/>
  <c r="J644" i="61" s="1"/>
  <c r="I660" i="61"/>
  <c r="J660" i="61" s="1"/>
  <c r="I676" i="61"/>
  <c r="J676" i="61" s="1"/>
  <c r="I688" i="61"/>
  <c r="J688" i="61" s="1"/>
  <c r="I696" i="61"/>
  <c r="J696" i="61" s="1"/>
  <c r="I704" i="61"/>
  <c r="J704" i="61" s="1"/>
  <c r="I712" i="61"/>
  <c r="J712" i="61" s="1"/>
  <c r="I720" i="61"/>
  <c r="J720" i="61" s="1"/>
  <c r="I728" i="61"/>
  <c r="J728" i="61" s="1"/>
  <c r="I736" i="61"/>
  <c r="J736" i="61" s="1"/>
  <c r="I744" i="61"/>
  <c r="J744" i="61" s="1"/>
  <c r="I752" i="61"/>
  <c r="J752" i="61" s="1"/>
  <c r="I760" i="61"/>
  <c r="J760" i="61" s="1"/>
  <c r="I768" i="61"/>
  <c r="J768" i="61" s="1"/>
  <c r="I776" i="61"/>
  <c r="J776" i="61" s="1"/>
  <c r="I784" i="61"/>
  <c r="J784" i="61" s="1"/>
  <c r="I792" i="61"/>
  <c r="J792" i="61" s="1"/>
  <c r="I800" i="61"/>
  <c r="J800" i="61" s="1"/>
  <c r="I808" i="61"/>
  <c r="J808" i="61" s="1"/>
  <c r="I816" i="61"/>
  <c r="J816" i="61" s="1"/>
  <c r="I824" i="61"/>
  <c r="J824" i="61" s="1"/>
  <c r="I832" i="61"/>
  <c r="J832" i="61" s="1"/>
  <c r="I840" i="61"/>
  <c r="J840" i="61" s="1"/>
  <c r="I848" i="61"/>
  <c r="J848" i="61" s="1"/>
  <c r="I856" i="61"/>
  <c r="J856" i="61" s="1"/>
  <c r="I864" i="61"/>
  <c r="J864" i="61" s="1"/>
  <c r="I872" i="61"/>
  <c r="J872" i="61" s="1"/>
  <c r="I880" i="61"/>
  <c r="J880" i="61" s="1"/>
  <c r="I888" i="61"/>
  <c r="J888" i="61" s="1"/>
  <c r="I896" i="61"/>
  <c r="J896" i="61" s="1"/>
  <c r="I904" i="61"/>
  <c r="J904" i="61" s="1"/>
  <c r="I912" i="61"/>
  <c r="J912" i="61" s="1"/>
  <c r="I920" i="61"/>
  <c r="J920" i="61" s="1"/>
  <c r="I928" i="61"/>
  <c r="J928" i="61" s="1"/>
  <c r="I936" i="61"/>
  <c r="J936" i="61" s="1"/>
  <c r="I944" i="61"/>
  <c r="J944" i="61" s="1"/>
  <c r="I952" i="61"/>
  <c r="J952" i="61" s="1"/>
  <c r="I960" i="61"/>
  <c r="J960" i="61" s="1"/>
  <c r="I968" i="61"/>
  <c r="J968" i="61" s="1"/>
  <c r="I976" i="61"/>
  <c r="J976" i="61" s="1"/>
  <c r="I984" i="61"/>
  <c r="J984" i="61" s="1"/>
  <c r="I992" i="61"/>
  <c r="J992" i="61" s="1"/>
  <c r="I1000" i="61"/>
  <c r="J1000" i="61" s="1"/>
  <c r="I1008" i="61"/>
  <c r="J1008" i="61" s="1"/>
  <c r="I1016" i="61"/>
  <c r="J1016" i="61" s="1"/>
  <c r="I1024" i="61"/>
  <c r="J1024" i="61" s="1"/>
  <c r="I1032" i="61"/>
  <c r="J1032" i="61" s="1"/>
  <c r="I1040" i="61"/>
  <c r="J1040" i="61" s="1"/>
  <c r="I1048" i="61"/>
  <c r="J1048" i="61" s="1"/>
  <c r="I1056" i="61"/>
  <c r="J1056" i="61" s="1"/>
  <c r="I1064" i="61"/>
  <c r="J1064" i="61" s="1"/>
  <c r="I1072" i="61"/>
  <c r="J1072" i="61" s="1"/>
  <c r="I1080" i="61"/>
  <c r="J1080" i="61" s="1"/>
  <c r="I1088" i="61"/>
  <c r="J1088" i="61" s="1"/>
  <c r="I1096" i="61"/>
  <c r="J1096" i="61" s="1"/>
  <c r="I1104" i="61"/>
  <c r="J1104" i="61" s="1"/>
  <c r="I1112" i="61"/>
  <c r="J1112" i="61" s="1"/>
  <c r="I1120" i="61"/>
  <c r="J1120" i="61" s="1"/>
  <c r="I1128" i="61"/>
  <c r="J1128" i="61" s="1"/>
  <c r="I1136" i="61"/>
  <c r="J1136" i="61" s="1"/>
  <c r="I1144" i="61"/>
  <c r="J1144" i="61" s="1"/>
  <c r="I1152" i="61"/>
  <c r="J1152" i="61" s="1"/>
  <c r="I1160" i="61"/>
  <c r="J1160" i="61" s="1"/>
  <c r="I1168" i="61"/>
  <c r="J1168" i="61" s="1"/>
  <c r="I1176" i="61"/>
  <c r="J1176" i="61" s="1"/>
  <c r="I1184" i="61"/>
  <c r="J1184" i="61" s="1"/>
  <c r="I1192" i="61"/>
  <c r="J1192" i="61" s="1"/>
  <c r="I1200" i="61"/>
  <c r="J1200" i="61" s="1"/>
  <c r="I1208" i="61"/>
  <c r="J1208" i="61" s="1"/>
  <c r="I1216" i="61"/>
  <c r="J1216" i="61" s="1"/>
  <c r="I34" i="61"/>
  <c r="J34" i="61" s="1"/>
  <c r="I98" i="61"/>
  <c r="J98" i="61" s="1"/>
  <c r="I162" i="61"/>
  <c r="J162" i="61" s="1"/>
  <c r="I226" i="61"/>
  <c r="J226" i="61" s="1"/>
  <c r="I290" i="61"/>
  <c r="J290" i="61" s="1"/>
  <c r="I354" i="61"/>
  <c r="J354" i="61" s="1"/>
  <c r="I418" i="61"/>
  <c r="J418" i="61" s="1"/>
  <c r="I482" i="61"/>
  <c r="J482" i="61" s="1"/>
  <c r="I546" i="61"/>
  <c r="J546" i="61" s="1"/>
  <c r="I578" i="61"/>
  <c r="J578" i="61" s="1"/>
  <c r="I610" i="61"/>
  <c r="J610" i="61" s="1"/>
  <c r="I629" i="61"/>
  <c r="J629" i="61" s="1"/>
  <c r="I645" i="61"/>
  <c r="J645" i="61" s="1"/>
  <c r="I661" i="61"/>
  <c r="J661" i="61" s="1"/>
  <c r="I677" i="61"/>
  <c r="J677" i="61" s="1"/>
  <c r="I689" i="61"/>
  <c r="J689" i="61" s="1"/>
  <c r="I697" i="61"/>
  <c r="J697" i="61" s="1"/>
  <c r="I705" i="61"/>
  <c r="J705" i="61" s="1"/>
  <c r="I713" i="61"/>
  <c r="J713" i="61" s="1"/>
  <c r="I721" i="61"/>
  <c r="J721" i="61" s="1"/>
  <c r="I729" i="61"/>
  <c r="J729" i="61" s="1"/>
  <c r="I737" i="61"/>
  <c r="J737" i="61" s="1"/>
  <c r="I745" i="61"/>
  <c r="J745" i="61" s="1"/>
  <c r="I753" i="61"/>
  <c r="J753" i="61" s="1"/>
  <c r="I761" i="61"/>
  <c r="J761" i="61" s="1"/>
  <c r="I769" i="61"/>
  <c r="J769" i="61" s="1"/>
  <c r="I777" i="61"/>
  <c r="J777" i="61" s="1"/>
  <c r="I785" i="61"/>
  <c r="J785" i="61" s="1"/>
  <c r="I793" i="61"/>
  <c r="J793" i="61" s="1"/>
  <c r="I801" i="61"/>
  <c r="J801" i="61" s="1"/>
  <c r="I809" i="61"/>
  <c r="J809" i="61" s="1"/>
  <c r="I817" i="61"/>
  <c r="J817" i="61" s="1"/>
  <c r="I825" i="61"/>
  <c r="J825" i="61" s="1"/>
  <c r="I833" i="61"/>
  <c r="J833" i="61" s="1"/>
  <c r="I841" i="61"/>
  <c r="J841" i="61" s="1"/>
  <c r="I849" i="61"/>
  <c r="J849" i="61" s="1"/>
  <c r="I857" i="61"/>
  <c r="J857" i="61" s="1"/>
  <c r="I865" i="61"/>
  <c r="J865" i="61" s="1"/>
  <c r="I873" i="61"/>
  <c r="J873" i="61" s="1"/>
  <c r="I881" i="61"/>
  <c r="J881" i="61" s="1"/>
  <c r="I889" i="61"/>
  <c r="J889" i="61" s="1"/>
  <c r="I897" i="61"/>
  <c r="J897" i="61" s="1"/>
  <c r="I905" i="61"/>
  <c r="J905" i="61" s="1"/>
  <c r="I913" i="61"/>
  <c r="J913" i="61" s="1"/>
  <c r="I921" i="61"/>
  <c r="J921" i="61" s="1"/>
  <c r="I929" i="61"/>
  <c r="J929" i="61" s="1"/>
  <c r="I937" i="61"/>
  <c r="J937" i="61" s="1"/>
  <c r="I945" i="61"/>
  <c r="J945" i="61" s="1"/>
  <c r="I953" i="61"/>
  <c r="J953" i="61" s="1"/>
  <c r="I961" i="61"/>
  <c r="J961" i="61" s="1"/>
  <c r="I969" i="61"/>
  <c r="J969" i="61" s="1"/>
  <c r="I977" i="61"/>
  <c r="J977" i="61" s="1"/>
  <c r="I985" i="61"/>
  <c r="J985" i="61" s="1"/>
  <c r="I993" i="61"/>
  <c r="J993" i="61" s="1"/>
  <c r="I1001" i="61"/>
  <c r="J1001" i="61" s="1"/>
  <c r="I1009" i="61"/>
  <c r="J1009" i="61" s="1"/>
  <c r="I1017" i="61"/>
  <c r="J1017" i="61" s="1"/>
  <c r="I1025" i="61"/>
  <c r="J1025" i="61" s="1"/>
  <c r="I1033" i="61"/>
  <c r="J1033" i="61" s="1"/>
  <c r="I1041" i="61"/>
  <c r="J1041" i="61" s="1"/>
  <c r="I1049" i="61"/>
  <c r="J1049" i="61" s="1"/>
  <c r="I1057" i="61"/>
  <c r="J1057" i="61" s="1"/>
  <c r="I1065" i="61"/>
  <c r="J1065" i="61" s="1"/>
  <c r="I1073" i="61"/>
  <c r="J1073" i="61" s="1"/>
  <c r="I1081" i="61"/>
  <c r="J1081" i="61" s="1"/>
  <c r="I1089" i="61"/>
  <c r="J1089" i="61" s="1"/>
  <c r="I1097" i="61"/>
  <c r="J1097" i="61" s="1"/>
  <c r="I1105" i="61"/>
  <c r="J1105" i="61" s="1"/>
  <c r="I1113" i="61"/>
  <c r="J1113" i="61" s="1"/>
  <c r="I1121" i="61"/>
  <c r="J1121" i="61" s="1"/>
  <c r="I1129" i="61"/>
  <c r="J1129" i="61" s="1"/>
  <c r="I1137" i="61"/>
  <c r="J1137" i="61" s="1"/>
  <c r="I1145" i="61"/>
  <c r="J1145" i="61" s="1"/>
  <c r="I1153" i="61"/>
  <c r="J1153" i="61" s="1"/>
  <c r="I1161" i="61"/>
  <c r="J1161" i="61" s="1"/>
  <c r="I1169" i="61"/>
  <c r="J1169" i="61" s="1"/>
  <c r="I1177" i="61"/>
  <c r="J1177" i="61" s="1"/>
  <c r="I1185" i="61"/>
  <c r="J1185" i="61" s="1"/>
  <c r="I1193" i="61"/>
  <c r="J1193" i="61" s="1"/>
  <c r="I1201" i="61"/>
  <c r="J1201" i="61" s="1"/>
  <c r="I1209" i="61"/>
  <c r="J1209" i="61" s="1"/>
  <c r="I1217" i="61"/>
  <c r="J1217" i="61" s="1"/>
  <c r="I1225" i="61"/>
  <c r="J1225" i="61" s="1"/>
  <c r="I1233" i="61"/>
  <c r="J1233" i="61" s="1"/>
  <c r="I42" i="61"/>
  <c r="J42" i="61" s="1"/>
  <c r="I106" i="61"/>
  <c r="J106" i="61" s="1"/>
  <c r="I170" i="61"/>
  <c r="J170" i="61" s="1"/>
  <c r="I234" i="61"/>
  <c r="J234" i="61" s="1"/>
  <c r="I298" i="61"/>
  <c r="J298" i="61" s="1"/>
  <c r="I362" i="61"/>
  <c r="J362" i="61" s="1"/>
  <c r="I426" i="61"/>
  <c r="J426" i="61" s="1"/>
  <c r="I490" i="61"/>
  <c r="J490" i="61" s="1"/>
  <c r="I549" i="61"/>
  <c r="J549" i="61" s="1"/>
  <c r="I581" i="61"/>
  <c r="J581" i="61" s="1"/>
  <c r="I613" i="61"/>
  <c r="J613" i="61" s="1"/>
  <c r="I630" i="61"/>
  <c r="J630" i="61" s="1"/>
  <c r="I646" i="61"/>
  <c r="J646" i="61" s="1"/>
  <c r="I662" i="61"/>
  <c r="J662" i="61" s="1"/>
  <c r="I678" i="61"/>
  <c r="J678" i="61" s="1"/>
  <c r="I690" i="61"/>
  <c r="J690" i="61" s="1"/>
  <c r="I698" i="61"/>
  <c r="J698" i="61" s="1"/>
  <c r="I706" i="61"/>
  <c r="J706" i="61" s="1"/>
  <c r="I714" i="61"/>
  <c r="J714" i="61" s="1"/>
  <c r="I722" i="61"/>
  <c r="J722" i="61" s="1"/>
  <c r="I730" i="61"/>
  <c r="J730" i="61" s="1"/>
  <c r="I738" i="61"/>
  <c r="J738" i="61" s="1"/>
  <c r="I746" i="61"/>
  <c r="J746" i="61" s="1"/>
  <c r="I754" i="61"/>
  <c r="J754" i="61" s="1"/>
  <c r="I762" i="61"/>
  <c r="J762" i="61" s="1"/>
  <c r="I770" i="61"/>
  <c r="J770" i="61" s="1"/>
  <c r="I778" i="61"/>
  <c r="J778" i="61" s="1"/>
  <c r="I786" i="61"/>
  <c r="J786" i="61" s="1"/>
  <c r="I794" i="61"/>
  <c r="J794" i="61" s="1"/>
  <c r="I802" i="61"/>
  <c r="J802" i="61" s="1"/>
  <c r="I810" i="61"/>
  <c r="J810" i="61" s="1"/>
  <c r="I818" i="61"/>
  <c r="J818" i="61" s="1"/>
  <c r="I826" i="61"/>
  <c r="J826" i="61" s="1"/>
  <c r="I834" i="61"/>
  <c r="J834" i="61" s="1"/>
  <c r="I842" i="61"/>
  <c r="J842" i="61" s="1"/>
  <c r="I850" i="61"/>
  <c r="J850" i="61" s="1"/>
  <c r="I858" i="61"/>
  <c r="J858" i="61" s="1"/>
  <c r="I866" i="61"/>
  <c r="J866" i="61" s="1"/>
  <c r="I874" i="61"/>
  <c r="J874" i="61" s="1"/>
  <c r="I882" i="61"/>
  <c r="J882" i="61" s="1"/>
  <c r="I890" i="61"/>
  <c r="J890" i="61" s="1"/>
  <c r="I898" i="61"/>
  <c r="J898" i="61" s="1"/>
  <c r="I906" i="61"/>
  <c r="J906" i="61" s="1"/>
  <c r="I914" i="61"/>
  <c r="J914" i="61" s="1"/>
  <c r="I922" i="61"/>
  <c r="J922" i="61" s="1"/>
  <c r="I930" i="61"/>
  <c r="J930" i="61" s="1"/>
  <c r="I938" i="61"/>
  <c r="J938" i="61" s="1"/>
  <c r="I946" i="61"/>
  <c r="J946" i="61" s="1"/>
  <c r="I954" i="61"/>
  <c r="J954" i="61" s="1"/>
  <c r="I962" i="61"/>
  <c r="J962" i="61" s="1"/>
  <c r="I970" i="61"/>
  <c r="J970" i="61" s="1"/>
  <c r="I978" i="61"/>
  <c r="J978" i="61" s="1"/>
  <c r="I986" i="61"/>
  <c r="J986" i="61" s="1"/>
  <c r="I994" i="61"/>
  <c r="J994" i="61" s="1"/>
  <c r="I1002" i="61"/>
  <c r="J1002" i="61" s="1"/>
  <c r="I1010" i="61"/>
  <c r="J1010" i="61" s="1"/>
  <c r="I1018" i="61"/>
  <c r="J1018" i="61" s="1"/>
  <c r="I1026" i="61"/>
  <c r="J1026" i="61" s="1"/>
  <c r="I1034" i="61"/>
  <c r="J1034" i="61" s="1"/>
  <c r="I1042" i="61"/>
  <c r="J1042" i="61" s="1"/>
  <c r="I1050" i="61"/>
  <c r="J1050" i="61" s="1"/>
  <c r="I1058" i="61"/>
  <c r="J1058" i="61" s="1"/>
  <c r="I1066" i="61"/>
  <c r="J1066" i="61" s="1"/>
  <c r="I1074" i="61"/>
  <c r="J1074" i="61" s="1"/>
  <c r="I1082" i="61"/>
  <c r="J1082" i="61" s="1"/>
  <c r="I1090" i="61"/>
  <c r="J1090" i="61" s="1"/>
  <c r="I1098" i="61"/>
  <c r="J1098" i="61" s="1"/>
  <c r="I1106" i="61"/>
  <c r="J1106" i="61" s="1"/>
  <c r="I1114" i="61"/>
  <c r="J1114" i="61" s="1"/>
  <c r="I1122" i="61"/>
  <c r="J1122" i="61" s="1"/>
  <c r="I1130" i="61"/>
  <c r="J1130" i="61" s="1"/>
  <c r="I1138" i="61"/>
  <c r="J1138" i="61" s="1"/>
  <c r="I1146" i="61"/>
  <c r="J1146" i="61" s="1"/>
  <c r="I1154" i="61"/>
  <c r="J1154" i="61" s="1"/>
  <c r="I1162" i="61"/>
  <c r="J1162" i="61" s="1"/>
  <c r="I1170" i="61"/>
  <c r="J1170" i="61" s="1"/>
  <c r="I1178" i="61"/>
  <c r="J1178" i="61" s="1"/>
  <c r="I1186" i="61"/>
  <c r="J1186" i="61" s="1"/>
  <c r="I1194" i="61"/>
  <c r="J1194" i="61" s="1"/>
  <c r="I1202" i="61"/>
  <c r="J1202" i="61" s="1"/>
  <c r="I1210" i="61"/>
  <c r="J1210" i="61" s="1"/>
  <c r="I1218" i="61"/>
  <c r="J1218" i="61" s="1"/>
  <c r="I1226" i="61"/>
  <c r="J1226" i="61" s="1"/>
  <c r="I1234" i="61"/>
  <c r="J1234" i="61" s="1"/>
  <c r="I50" i="61"/>
  <c r="J50" i="61" s="1"/>
  <c r="I114" i="61"/>
  <c r="J114" i="61" s="1"/>
  <c r="I178" i="61"/>
  <c r="J178" i="61" s="1"/>
  <c r="I242" i="61"/>
  <c r="J242" i="61" s="1"/>
  <c r="I306" i="61"/>
  <c r="J306" i="61" s="1"/>
  <c r="I370" i="61"/>
  <c r="J370" i="61" s="1"/>
  <c r="I434" i="61"/>
  <c r="J434" i="61" s="1"/>
  <c r="I498" i="61"/>
  <c r="J498" i="61" s="1"/>
  <c r="I554" i="61"/>
  <c r="J554" i="61" s="1"/>
  <c r="I586" i="61"/>
  <c r="J586" i="61" s="1"/>
  <c r="I618" i="61"/>
  <c r="J618" i="61" s="1"/>
  <c r="I634" i="61"/>
  <c r="J634" i="61" s="1"/>
  <c r="I650" i="61"/>
  <c r="J650" i="61" s="1"/>
  <c r="I666" i="61"/>
  <c r="J666" i="61" s="1"/>
  <c r="I682" i="61"/>
  <c r="J682" i="61" s="1"/>
  <c r="I691" i="61"/>
  <c r="J691" i="61" s="1"/>
  <c r="I699" i="61"/>
  <c r="J699" i="61" s="1"/>
  <c r="I707" i="61"/>
  <c r="J707" i="61" s="1"/>
  <c r="I715" i="61"/>
  <c r="J715" i="61" s="1"/>
  <c r="I723" i="61"/>
  <c r="J723" i="61" s="1"/>
  <c r="I731" i="61"/>
  <c r="J731" i="61" s="1"/>
  <c r="I739" i="61"/>
  <c r="J739" i="61" s="1"/>
  <c r="I747" i="61"/>
  <c r="J747" i="61" s="1"/>
  <c r="I755" i="61"/>
  <c r="J755" i="61" s="1"/>
  <c r="I763" i="61"/>
  <c r="J763" i="61" s="1"/>
  <c r="I771" i="61"/>
  <c r="J771" i="61" s="1"/>
  <c r="I779" i="61"/>
  <c r="J779" i="61" s="1"/>
  <c r="I787" i="61"/>
  <c r="J787" i="61" s="1"/>
  <c r="I795" i="61"/>
  <c r="J795" i="61" s="1"/>
  <c r="I803" i="61"/>
  <c r="J803" i="61" s="1"/>
  <c r="I811" i="61"/>
  <c r="J811" i="61" s="1"/>
  <c r="I819" i="61"/>
  <c r="J819" i="61" s="1"/>
  <c r="I827" i="61"/>
  <c r="J827" i="61" s="1"/>
  <c r="I835" i="61"/>
  <c r="J835" i="61" s="1"/>
  <c r="I843" i="61"/>
  <c r="J843" i="61" s="1"/>
  <c r="I851" i="61"/>
  <c r="J851" i="61" s="1"/>
  <c r="I859" i="61"/>
  <c r="J859" i="61" s="1"/>
  <c r="I867" i="61"/>
  <c r="J867" i="61" s="1"/>
  <c r="I875" i="61"/>
  <c r="J875" i="61" s="1"/>
  <c r="I883" i="61"/>
  <c r="J883" i="61" s="1"/>
  <c r="I891" i="61"/>
  <c r="J891" i="61" s="1"/>
  <c r="I899" i="61"/>
  <c r="J899" i="61" s="1"/>
  <c r="I907" i="61"/>
  <c r="J907" i="61" s="1"/>
  <c r="I915" i="61"/>
  <c r="J915" i="61" s="1"/>
  <c r="I923" i="61"/>
  <c r="J923" i="61" s="1"/>
  <c r="I931" i="61"/>
  <c r="J931" i="61" s="1"/>
  <c r="I939" i="61"/>
  <c r="J939" i="61" s="1"/>
  <c r="I947" i="61"/>
  <c r="J947" i="61" s="1"/>
  <c r="I955" i="61"/>
  <c r="J955" i="61" s="1"/>
  <c r="I963" i="61"/>
  <c r="J963" i="61" s="1"/>
  <c r="I971" i="61"/>
  <c r="J971" i="61" s="1"/>
  <c r="I979" i="61"/>
  <c r="J979" i="61" s="1"/>
  <c r="I987" i="61"/>
  <c r="J987" i="61" s="1"/>
  <c r="I995" i="61"/>
  <c r="J995" i="61" s="1"/>
  <c r="I1003" i="61"/>
  <c r="J1003" i="61" s="1"/>
  <c r="I1011" i="61"/>
  <c r="J1011" i="61" s="1"/>
  <c r="I1019" i="61"/>
  <c r="J1019" i="61" s="1"/>
  <c r="I1027" i="61"/>
  <c r="J1027" i="61" s="1"/>
  <c r="I1035" i="61"/>
  <c r="J1035" i="61" s="1"/>
  <c r="I1043" i="61"/>
  <c r="J1043" i="61" s="1"/>
  <c r="I1051" i="61"/>
  <c r="J1051" i="61" s="1"/>
  <c r="I1059" i="61"/>
  <c r="J1059" i="61" s="1"/>
  <c r="I1067" i="61"/>
  <c r="J1067" i="61" s="1"/>
  <c r="I1075" i="61"/>
  <c r="J1075" i="61" s="1"/>
  <c r="I1083" i="61"/>
  <c r="J1083" i="61" s="1"/>
  <c r="I1091" i="61"/>
  <c r="J1091" i="61" s="1"/>
  <c r="I1099" i="61"/>
  <c r="J1099" i="61" s="1"/>
  <c r="I1107" i="61"/>
  <c r="J1107" i="61" s="1"/>
  <c r="I1115" i="61"/>
  <c r="J1115" i="61" s="1"/>
  <c r="I1123" i="61"/>
  <c r="J1123" i="61" s="1"/>
  <c r="I1131" i="61"/>
  <c r="J1131" i="61" s="1"/>
  <c r="I1139" i="61"/>
  <c r="J1139" i="61" s="1"/>
  <c r="I1147" i="61"/>
  <c r="J1147" i="61" s="1"/>
  <c r="I1155" i="61"/>
  <c r="J1155" i="61" s="1"/>
  <c r="I1163" i="61"/>
  <c r="J1163" i="61" s="1"/>
  <c r="I1171" i="61"/>
  <c r="J1171" i="61" s="1"/>
  <c r="I1179" i="61"/>
  <c r="J1179" i="61" s="1"/>
  <c r="I1187" i="61"/>
  <c r="J1187" i="61" s="1"/>
  <c r="I1195" i="61"/>
  <c r="J1195" i="61" s="1"/>
  <c r="I1203" i="61"/>
  <c r="J1203" i="61" s="1"/>
  <c r="I1211" i="61"/>
  <c r="J1211" i="61" s="1"/>
  <c r="I1219" i="61"/>
  <c r="J1219" i="61" s="1"/>
  <c r="I1227" i="61"/>
  <c r="J1227" i="61" s="1"/>
  <c r="I1235" i="61"/>
  <c r="J1235" i="61" s="1"/>
  <c r="I1243" i="61"/>
  <c r="J1243" i="61" s="1"/>
  <c r="I66" i="61"/>
  <c r="J66" i="61" s="1"/>
  <c r="I130" i="61"/>
  <c r="J130" i="61" s="1"/>
  <c r="I194" i="61"/>
  <c r="J194" i="61" s="1"/>
  <c r="I258" i="61"/>
  <c r="J258" i="61" s="1"/>
  <c r="I322" i="61"/>
  <c r="J322" i="61" s="1"/>
  <c r="I386" i="61"/>
  <c r="J386" i="61" s="1"/>
  <c r="I450" i="61"/>
  <c r="J450" i="61" s="1"/>
  <c r="I514" i="61"/>
  <c r="J514" i="61" s="1"/>
  <c r="I562" i="61"/>
  <c r="J562" i="61" s="1"/>
  <c r="I594" i="61"/>
  <c r="J594" i="61" s="1"/>
  <c r="I621" i="61"/>
  <c r="J621" i="61" s="1"/>
  <c r="I637" i="61"/>
  <c r="J637" i="61" s="1"/>
  <c r="I653" i="61"/>
  <c r="J653" i="61" s="1"/>
  <c r="I669" i="61"/>
  <c r="J669" i="61" s="1"/>
  <c r="I685" i="61"/>
  <c r="J685" i="61" s="1"/>
  <c r="I693" i="61"/>
  <c r="J693" i="61" s="1"/>
  <c r="I701" i="61"/>
  <c r="J701" i="61" s="1"/>
  <c r="I709" i="61"/>
  <c r="J709" i="61" s="1"/>
  <c r="I717" i="61"/>
  <c r="J717" i="61" s="1"/>
  <c r="I725" i="61"/>
  <c r="J725" i="61" s="1"/>
  <c r="I733" i="61"/>
  <c r="J733" i="61" s="1"/>
  <c r="I741" i="61"/>
  <c r="J741" i="61" s="1"/>
  <c r="I749" i="61"/>
  <c r="J749" i="61" s="1"/>
  <c r="I757" i="61"/>
  <c r="J757" i="61" s="1"/>
  <c r="I765" i="61"/>
  <c r="J765" i="61" s="1"/>
  <c r="I773" i="61"/>
  <c r="J773" i="61" s="1"/>
  <c r="I781" i="61"/>
  <c r="J781" i="61" s="1"/>
  <c r="I789" i="61"/>
  <c r="J789" i="61" s="1"/>
  <c r="I797" i="61"/>
  <c r="J797" i="61" s="1"/>
  <c r="I805" i="61"/>
  <c r="J805" i="61" s="1"/>
  <c r="I813" i="61"/>
  <c r="J813" i="61" s="1"/>
  <c r="I821" i="61"/>
  <c r="J821" i="61" s="1"/>
  <c r="I829" i="61"/>
  <c r="J829" i="61" s="1"/>
  <c r="I837" i="61"/>
  <c r="J837" i="61" s="1"/>
  <c r="I845" i="61"/>
  <c r="J845" i="61" s="1"/>
  <c r="I853" i="61"/>
  <c r="J853" i="61" s="1"/>
  <c r="I861" i="61"/>
  <c r="J861" i="61" s="1"/>
  <c r="I869" i="61"/>
  <c r="J869" i="61" s="1"/>
  <c r="I877" i="61"/>
  <c r="J877" i="61" s="1"/>
  <c r="I885" i="61"/>
  <c r="J885" i="61" s="1"/>
  <c r="I893" i="61"/>
  <c r="J893" i="61" s="1"/>
  <c r="I901" i="61"/>
  <c r="J901" i="61" s="1"/>
  <c r="I909" i="61"/>
  <c r="J909" i="61" s="1"/>
  <c r="I917" i="61"/>
  <c r="J917" i="61" s="1"/>
  <c r="I925" i="61"/>
  <c r="J925" i="61" s="1"/>
  <c r="I933" i="61"/>
  <c r="J933" i="61" s="1"/>
  <c r="I941" i="61"/>
  <c r="J941" i="61" s="1"/>
  <c r="I949" i="61"/>
  <c r="J949" i="61" s="1"/>
  <c r="I957" i="61"/>
  <c r="J957" i="61" s="1"/>
  <c r="I965" i="61"/>
  <c r="J965" i="61" s="1"/>
  <c r="I973" i="61"/>
  <c r="J973" i="61" s="1"/>
  <c r="I981" i="61"/>
  <c r="J981" i="61" s="1"/>
  <c r="I989" i="61"/>
  <c r="J989" i="61" s="1"/>
  <c r="I997" i="61"/>
  <c r="J997" i="61" s="1"/>
  <c r="I1005" i="61"/>
  <c r="J1005" i="61" s="1"/>
  <c r="I1013" i="61"/>
  <c r="J1013" i="61" s="1"/>
  <c r="I1021" i="61"/>
  <c r="J1021" i="61" s="1"/>
  <c r="I1029" i="61"/>
  <c r="J1029" i="61" s="1"/>
  <c r="I1037" i="61"/>
  <c r="J1037" i="61" s="1"/>
  <c r="I1045" i="61"/>
  <c r="J1045" i="61" s="1"/>
  <c r="I1053" i="61"/>
  <c r="J1053" i="61" s="1"/>
  <c r="I1061" i="61"/>
  <c r="J1061" i="61" s="1"/>
  <c r="I1069" i="61"/>
  <c r="J1069" i="61" s="1"/>
  <c r="I1077" i="61"/>
  <c r="J1077" i="61" s="1"/>
  <c r="I1085" i="61"/>
  <c r="J1085" i="61" s="1"/>
  <c r="I1093" i="61"/>
  <c r="J1093" i="61" s="1"/>
  <c r="I1101" i="61"/>
  <c r="J1101" i="61" s="1"/>
  <c r="I1109" i="61"/>
  <c r="J1109" i="61" s="1"/>
  <c r="I1117" i="61"/>
  <c r="J1117" i="61" s="1"/>
  <c r="I1125" i="61"/>
  <c r="J1125" i="61" s="1"/>
  <c r="I1133" i="61"/>
  <c r="J1133" i="61" s="1"/>
  <c r="I1141" i="61"/>
  <c r="J1141" i="61" s="1"/>
  <c r="I1149" i="61"/>
  <c r="J1149" i="61" s="1"/>
  <c r="I1157" i="61"/>
  <c r="J1157" i="61" s="1"/>
  <c r="I1165" i="61"/>
  <c r="J1165" i="61" s="1"/>
  <c r="I1173" i="61"/>
  <c r="J1173" i="61" s="1"/>
  <c r="I1181" i="61"/>
  <c r="J1181" i="61" s="1"/>
  <c r="I1189" i="61"/>
  <c r="J1189" i="61" s="1"/>
  <c r="I1197" i="61"/>
  <c r="J1197" i="61" s="1"/>
  <c r="I1205" i="61"/>
  <c r="J1205" i="61" s="1"/>
  <c r="I1213" i="61"/>
  <c r="J1213" i="61" s="1"/>
  <c r="I1221" i="61"/>
  <c r="J1221" i="61" s="1"/>
  <c r="I1229" i="61"/>
  <c r="J1229" i="61" s="1"/>
  <c r="I1237" i="61"/>
  <c r="J1237" i="61" s="1"/>
  <c r="I58" i="61"/>
  <c r="J58" i="61" s="1"/>
  <c r="I557" i="61"/>
  <c r="J557" i="61" s="1"/>
  <c r="I700" i="61"/>
  <c r="J700" i="61" s="1"/>
  <c r="I764" i="61"/>
  <c r="J764" i="61" s="1"/>
  <c r="I828" i="61"/>
  <c r="J828" i="61" s="1"/>
  <c r="I892" i="61"/>
  <c r="J892" i="61" s="1"/>
  <c r="I956" i="61"/>
  <c r="J956" i="61" s="1"/>
  <c r="I1020" i="61"/>
  <c r="J1020" i="61" s="1"/>
  <c r="I1084" i="61"/>
  <c r="J1084" i="61" s="1"/>
  <c r="I1148" i="61"/>
  <c r="J1148" i="61" s="1"/>
  <c r="I1212" i="61"/>
  <c r="J1212" i="61" s="1"/>
  <c r="I1238" i="61"/>
  <c r="J1238" i="61" s="1"/>
  <c r="I1248" i="61"/>
  <c r="J1248" i="61" s="1"/>
  <c r="I1256" i="61"/>
  <c r="J1256" i="61" s="1"/>
  <c r="I1264" i="61"/>
  <c r="J1264" i="61" s="1"/>
  <c r="I1272" i="61"/>
  <c r="J1272" i="61" s="1"/>
  <c r="I1280" i="61"/>
  <c r="J1280" i="61" s="1"/>
  <c r="I1288" i="61"/>
  <c r="J1288" i="61" s="1"/>
  <c r="I1296" i="61"/>
  <c r="J1296" i="61" s="1"/>
  <c r="I1304" i="61"/>
  <c r="J1304" i="61" s="1"/>
  <c r="I1312" i="61"/>
  <c r="J1312" i="61" s="1"/>
  <c r="I1320" i="61"/>
  <c r="J1320" i="61" s="1"/>
  <c r="I1328" i="61"/>
  <c r="J1328" i="61" s="1"/>
  <c r="I1336" i="61"/>
  <c r="J1336" i="61" s="1"/>
  <c r="I1344" i="61"/>
  <c r="J1344" i="61" s="1"/>
  <c r="I1352" i="61"/>
  <c r="J1352" i="61" s="1"/>
  <c r="I1360" i="61"/>
  <c r="J1360" i="61" s="1"/>
  <c r="I1368" i="61"/>
  <c r="J1368" i="61" s="1"/>
  <c r="I1376" i="61"/>
  <c r="J1376" i="61" s="1"/>
  <c r="I1384" i="61"/>
  <c r="J1384" i="61" s="1"/>
  <c r="I1392" i="61"/>
  <c r="J1392" i="61" s="1"/>
  <c r="I1400" i="61"/>
  <c r="J1400" i="61" s="1"/>
  <c r="I1408" i="61"/>
  <c r="J1408" i="61" s="1"/>
  <c r="I1416" i="61"/>
  <c r="J1416" i="61" s="1"/>
  <c r="I1424" i="61"/>
  <c r="J1424" i="61" s="1"/>
  <c r="I1432" i="61"/>
  <c r="J1432" i="61" s="1"/>
  <c r="I1440" i="61"/>
  <c r="J1440" i="61" s="1"/>
  <c r="I1448" i="61"/>
  <c r="J1448" i="61" s="1"/>
  <c r="I1456" i="61"/>
  <c r="J1456" i="61" s="1"/>
  <c r="I1464" i="61"/>
  <c r="J1464" i="61" s="1"/>
  <c r="I1472" i="61"/>
  <c r="J1472" i="61" s="1"/>
  <c r="I1480" i="61"/>
  <c r="J1480" i="61" s="1"/>
  <c r="I1488" i="61"/>
  <c r="J1488" i="61" s="1"/>
  <c r="I1496" i="61"/>
  <c r="J1496" i="61" s="1"/>
  <c r="I1504" i="61"/>
  <c r="J1504" i="61" s="1"/>
  <c r="I1512" i="61"/>
  <c r="J1512" i="61" s="1"/>
  <c r="I1520" i="61"/>
  <c r="J1520" i="61" s="1"/>
  <c r="I1528" i="61"/>
  <c r="J1528" i="61" s="1"/>
  <c r="I1536" i="61"/>
  <c r="J1536" i="61" s="1"/>
  <c r="I1544" i="61"/>
  <c r="J1544" i="61" s="1"/>
  <c r="I1552" i="61"/>
  <c r="J1552" i="61" s="1"/>
  <c r="I1560" i="61"/>
  <c r="J1560" i="61" s="1"/>
  <c r="I1568" i="61"/>
  <c r="J1568" i="61" s="1"/>
  <c r="I1576" i="61"/>
  <c r="J1576" i="61" s="1"/>
  <c r="I1584" i="61"/>
  <c r="J1584" i="61" s="1"/>
  <c r="I1592" i="61"/>
  <c r="J1592" i="61" s="1"/>
  <c r="I1600" i="61"/>
  <c r="J1600" i="61" s="1"/>
  <c r="I1608" i="61"/>
  <c r="J1608" i="61" s="1"/>
  <c r="I1616" i="61"/>
  <c r="J1616" i="61" s="1"/>
  <c r="I1624" i="61"/>
  <c r="J1624" i="61" s="1"/>
  <c r="I1632" i="61"/>
  <c r="J1632" i="61" s="1"/>
  <c r="I1640" i="61"/>
  <c r="J1640" i="61" s="1"/>
  <c r="I1648" i="61"/>
  <c r="J1648" i="61" s="1"/>
  <c r="I1656" i="61"/>
  <c r="J1656" i="61" s="1"/>
  <c r="I1664" i="61"/>
  <c r="J1664" i="61" s="1"/>
  <c r="I1672" i="61"/>
  <c r="J1672" i="61" s="1"/>
  <c r="I1680" i="61"/>
  <c r="J1680" i="61" s="1"/>
  <c r="I1688" i="61"/>
  <c r="J1688" i="61" s="1"/>
  <c r="I1696" i="61"/>
  <c r="J1696" i="61" s="1"/>
  <c r="I1704" i="61"/>
  <c r="J1704" i="61" s="1"/>
  <c r="I1712" i="61"/>
  <c r="J1712" i="61" s="1"/>
  <c r="I1720" i="61"/>
  <c r="J1720" i="61" s="1"/>
  <c r="I1728" i="61"/>
  <c r="J1728" i="61" s="1"/>
  <c r="I1736" i="61"/>
  <c r="J1736" i="61" s="1"/>
  <c r="I1744" i="61"/>
  <c r="J1744" i="61" s="1"/>
  <c r="I122" i="61"/>
  <c r="J122" i="61" s="1"/>
  <c r="I589" i="61"/>
  <c r="J589" i="61" s="1"/>
  <c r="I708" i="61"/>
  <c r="J708" i="61" s="1"/>
  <c r="I772" i="61"/>
  <c r="J772" i="61" s="1"/>
  <c r="I836" i="61"/>
  <c r="J836" i="61" s="1"/>
  <c r="I900" i="61"/>
  <c r="J900" i="61" s="1"/>
  <c r="I964" i="61"/>
  <c r="J964" i="61" s="1"/>
  <c r="I1028" i="61"/>
  <c r="J1028" i="61" s="1"/>
  <c r="I1092" i="61"/>
  <c r="J1092" i="61" s="1"/>
  <c r="I1156" i="61"/>
  <c r="J1156" i="61" s="1"/>
  <c r="I1220" i="61"/>
  <c r="J1220" i="61" s="1"/>
  <c r="I1240" i="61"/>
  <c r="J1240" i="61" s="1"/>
  <c r="I1249" i="61"/>
  <c r="J1249" i="61" s="1"/>
  <c r="I1257" i="61"/>
  <c r="J1257" i="61" s="1"/>
  <c r="I1265" i="61"/>
  <c r="J1265" i="61" s="1"/>
  <c r="I1273" i="61"/>
  <c r="J1273" i="61" s="1"/>
  <c r="I1281" i="61"/>
  <c r="J1281" i="61" s="1"/>
  <c r="I1289" i="61"/>
  <c r="J1289" i="61" s="1"/>
  <c r="I1297" i="61"/>
  <c r="J1297" i="61" s="1"/>
  <c r="I1305" i="61"/>
  <c r="J1305" i="61" s="1"/>
  <c r="I1313" i="61"/>
  <c r="J1313" i="61" s="1"/>
  <c r="I1321" i="61"/>
  <c r="J1321" i="61" s="1"/>
  <c r="I1329" i="61"/>
  <c r="J1329" i="61" s="1"/>
  <c r="I1337" i="61"/>
  <c r="J1337" i="61" s="1"/>
  <c r="I1345" i="61"/>
  <c r="J1345" i="61" s="1"/>
  <c r="I1353" i="61"/>
  <c r="J1353" i="61" s="1"/>
  <c r="I1361" i="61"/>
  <c r="J1361" i="61" s="1"/>
  <c r="I1369" i="61"/>
  <c r="J1369" i="61" s="1"/>
  <c r="I1377" i="61"/>
  <c r="J1377" i="61" s="1"/>
  <c r="I1385" i="61"/>
  <c r="J1385" i="61" s="1"/>
  <c r="I1393" i="61"/>
  <c r="J1393" i="61" s="1"/>
  <c r="I1401" i="61"/>
  <c r="J1401" i="61" s="1"/>
  <c r="I1409" i="61"/>
  <c r="J1409" i="61" s="1"/>
  <c r="I1417" i="61"/>
  <c r="J1417" i="61" s="1"/>
  <c r="I1425" i="61"/>
  <c r="J1425" i="61" s="1"/>
  <c r="I1433" i="61"/>
  <c r="J1433" i="61" s="1"/>
  <c r="I1441" i="61"/>
  <c r="J1441" i="61" s="1"/>
  <c r="I1449" i="61"/>
  <c r="J1449" i="61" s="1"/>
  <c r="I1457" i="61"/>
  <c r="J1457" i="61" s="1"/>
  <c r="I1465" i="61"/>
  <c r="J1465" i="61" s="1"/>
  <c r="I1473" i="61"/>
  <c r="J1473" i="61" s="1"/>
  <c r="I1481" i="61"/>
  <c r="J1481" i="61" s="1"/>
  <c r="I1489" i="61"/>
  <c r="J1489" i="61" s="1"/>
  <c r="I1497" i="61"/>
  <c r="J1497" i="61" s="1"/>
  <c r="I1505" i="61"/>
  <c r="J1505" i="61" s="1"/>
  <c r="I1513" i="61"/>
  <c r="J1513" i="61" s="1"/>
  <c r="I1521" i="61"/>
  <c r="J1521" i="61" s="1"/>
  <c r="I1529" i="61"/>
  <c r="J1529" i="61" s="1"/>
  <c r="I1537" i="61"/>
  <c r="J1537" i="61" s="1"/>
  <c r="I1545" i="61"/>
  <c r="J1545" i="61" s="1"/>
  <c r="I1553" i="61"/>
  <c r="J1553" i="61" s="1"/>
  <c r="I1561" i="61"/>
  <c r="J1561" i="61" s="1"/>
  <c r="I1569" i="61"/>
  <c r="J1569" i="61" s="1"/>
  <c r="I1577" i="61"/>
  <c r="J1577" i="61" s="1"/>
  <c r="I1585" i="61"/>
  <c r="J1585" i="61" s="1"/>
  <c r="I1593" i="61"/>
  <c r="J1593" i="61" s="1"/>
  <c r="I1601" i="61"/>
  <c r="J1601" i="61" s="1"/>
  <c r="I1609" i="61"/>
  <c r="J1609" i="61" s="1"/>
  <c r="I1617" i="61"/>
  <c r="J1617" i="61" s="1"/>
  <c r="I1625" i="61"/>
  <c r="J1625" i="61" s="1"/>
  <c r="I1633" i="61"/>
  <c r="J1633" i="61" s="1"/>
  <c r="I1641" i="61"/>
  <c r="J1641" i="61" s="1"/>
  <c r="I1649" i="61"/>
  <c r="J1649" i="61" s="1"/>
  <c r="I1657" i="61"/>
  <c r="J1657" i="61" s="1"/>
  <c r="I1665" i="61"/>
  <c r="J1665" i="61" s="1"/>
  <c r="I1673" i="61"/>
  <c r="J1673" i="61" s="1"/>
  <c r="I1681" i="61"/>
  <c r="J1681" i="61" s="1"/>
  <c r="I1689" i="61"/>
  <c r="J1689" i="61" s="1"/>
  <c r="I1697" i="61"/>
  <c r="J1697" i="61" s="1"/>
  <c r="I1705" i="61"/>
  <c r="J1705" i="61" s="1"/>
  <c r="I1713" i="61"/>
  <c r="J1713" i="61" s="1"/>
  <c r="I1721" i="61"/>
  <c r="J1721" i="61" s="1"/>
  <c r="I1729" i="61"/>
  <c r="J1729" i="61" s="1"/>
  <c r="I1737" i="61"/>
  <c r="J1737" i="61" s="1"/>
  <c r="I1745" i="61"/>
  <c r="J1745" i="61" s="1"/>
  <c r="I186" i="61"/>
  <c r="J186" i="61" s="1"/>
  <c r="I620" i="61"/>
  <c r="J620" i="61" s="1"/>
  <c r="I716" i="61"/>
  <c r="J716" i="61" s="1"/>
  <c r="I780" i="61"/>
  <c r="J780" i="61" s="1"/>
  <c r="I844" i="61"/>
  <c r="J844" i="61" s="1"/>
  <c r="I908" i="61"/>
  <c r="J908" i="61" s="1"/>
  <c r="I972" i="61"/>
  <c r="J972" i="61" s="1"/>
  <c r="I1036" i="61"/>
  <c r="J1036" i="61" s="1"/>
  <c r="I1100" i="61"/>
  <c r="J1100" i="61" s="1"/>
  <c r="I1164" i="61"/>
  <c r="J1164" i="61" s="1"/>
  <c r="I1222" i="61"/>
  <c r="J1222" i="61" s="1"/>
  <c r="I1241" i="61"/>
  <c r="J1241" i="61" s="1"/>
  <c r="I1250" i="61"/>
  <c r="J1250" i="61" s="1"/>
  <c r="I1258" i="61"/>
  <c r="J1258" i="61" s="1"/>
  <c r="I1266" i="61"/>
  <c r="J1266" i="61" s="1"/>
  <c r="I1274" i="61"/>
  <c r="J1274" i="61" s="1"/>
  <c r="I1282" i="61"/>
  <c r="J1282" i="61" s="1"/>
  <c r="I1290" i="61"/>
  <c r="J1290" i="61" s="1"/>
  <c r="I1298" i="61"/>
  <c r="J1298" i="61" s="1"/>
  <c r="I1306" i="61"/>
  <c r="J1306" i="61" s="1"/>
  <c r="I1314" i="61"/>
  <c r="J1314" i="61" s="1"/>
  <c r="I1322" i="61"/>
  <c r="J1322" i="61" s="1"/>
  <c r="I1330" i="61"/>
  <c r="J1330" i="61" s="1"/>
  <c r="I1338" i="61"/>
  <c r="J1338" i="61" s="1"/>
  <c r="I1346" i="61"/>
  <c r="J1346" i="61" s="1"/>
  <c r="I1354" i="61"/>
  <c r="J1354" i="61" s="1"/>
  <c r="I1362" i="61"/>
  <c r="J1362" i="61" s="1"/>
  <c r="I1370" i="61"/>
  <c r="J1370" i="61" s="1"/>
  <c r="I1378" i="61"/>
  <c r="J1378" i="61" s="1"/>
  <c r="I1386" i="61"/>
  <c r="J1386" i="61" s="1"/>
  <c r="I1394" i="61"/>
  <c r="J1394" i="61" s="1"/>
  <c r="I1402" i="61"/>
  <c r="J1402" i="61" s="1"/>
  <c r="I1410" i="61"/>
  <c r="J1410" i="61" s="1"/>
  <c r="I1418" i="61"/>
  <c r="J1418" i="61" s="1"/>
  <c r="I1426" i="61"/>
  <c r="J1426" i="61" s="1"/>
  <c r="I1434" i="61"/>
  <c r="J1434" i="61" s="1"/>
  <c r="I1442" i="61"/>
  <c r="J1442" i="61" s="1"/>
  <c r="I1450" i="61"/>
  <c r="J1450" i="61" s="1"/>
  <c r="I1458" i="61"/>
  <c r="J1458" i="61" s="1"/>
  <c r="I1466" i="61"/>
  <c r="J1466" i="61" s="1"/>
  <c r="I1474" i="61"/>
  <c r="J1474" i="61" s="1"/>
  <c r="I1482" i="61"/>
  <c r="J1482" i="61" s="1"/>
  <c r="I1490" i="61"/>
  <c r="J1490" i="61" s="1"/>
  <c r="I1498" i="61"/>
  <c r="J1498" i="61" s="1"/>
  <c r="I1506" i="61"/>
  <c r="J1506" i="61" s="1"/>
  <c r="I1514" i="61"/>
  <c r="J1514" i="61" s="1"/>
  <c r="I1522" i="61"/>
  <c r="J1522" i="61" s="1"/>
  <c r="I1530" i="61"/>
  <c r="J1530" i="61" s="1"/>
  <c r="I1538" i="61"/>
  <c r="J1538" i="61" s="1"/>
  <c r="I1546" i="61"/>
  <c r="J1546" i="61" s="1"/>
  <c r="I1554" i="61"/>
  <c r="J1554" i="61" s="1"/>
  <c r="I1562" i="61"/>
  <c r="J1562" i="61" s="1"/>
  <c r="I1570" i="61"/>
  <c r="J1570" i="61" s="1"/>
  <c r="I1578" i="61"/>
  <c r="J1578" i="61" s="1"/>
  <c r="I1586" i="61"/>
  <c r="J1586" i="61" s="1"/>
  <c r="I1594" i="61"/>
  <c r="J1594" i="61" s="1"/>
  <c r="I1602" i="61"/>
  <c r="J1602" i="61" s="1"/>
  <c r="I1610" i="61"/>
  <c r="J1610" i="61" s="1"/>
  <c r="I1618" i="61"/>
  <c r="J1618" i="61" s="1"/>
  <c r="I1626" i="61"/>
  <c r="J1626" i="61" s="1"/>
  <c r="I1634" i="61"/>
  <c r="J1634" i="61" s="1"/>
  <c r="I1642" i="61"/>
  <c r="J1642" i="61" s="1"/>
  <c r="I1650" i="61"/>
  <c r="J1650" i="61" s="1"/>
  <c r="I1658" i="61"/>
  <c r="J1658" i="61" s="1"/>
  <c r="I1666" i="61"/>
  <c r="J1666" i="61" s="1"/>
  <c r="I1674" i="61"/>
  <c r="J1674" i="61" s="1"/>
  <c r="I1682" i="61"/>
  <c r="J1682" i="61" s="1"/>
  <c r="I1690" i="61"/>
  <c r="J1690" i="61" s="1"/>
  <c r="I1698" i="61"/>
  <c r="J1698" i="61" s="1"/>
  <c r="I1706" i="61"/>
  <c r="J1706" i="61" s="1"/>
  <c r="I1714" i="61"/>
  <c r="J1714" i="61" s="1"/>
  <c r="I1722" i="61"/>
  <c r="J1722" i="61" s="1"/>
  <c r="I1730" i="61"/>
  <c r="J1730" i="61" s="1"/>
  <c r="I1738" i="61"/>
  <c r="J1738" i="61" s="1"/>
  <c r="I1746" i="61"/>
  <c r="J1746" i="61" s="1"/>
  <c r="I1754" i="61"/>
  <c r="J1754" i="61" s="1"/>
  <c r="I1762" i="61"/>
  <c r="J1762" i="61" s="1"/>
  <c r="I1770" i="61"/>
  <c r="J1770" i="61" s="1"/>
  <c r="I1778" i="61"/>
  <c r="J1778" i="61" s="1"/>
  <c r="I1786" i="61"/>
  <c r="J1786" i="61" s="1"/>
  <c r="I1794" i="61"/>
  <c r="J1794" i="61" s="1"/>
  <c r="I1802" i="61"/>
  <c r="J1802" i="61" s="1"/>
  <c r="I1810" i="61"/>
  <c r="J1810" i="61" s="1"/>
  <c r="I1818" i="61"/>
  <c r="J1818" i="61" s="1"/>
  <c r="I1826" i="61"/>
  <c r="J1826" i="61" s="1"/>
  <c r="I250" i="61"/>
  <c r="J250" i="61" s="1"/>
  <c r="I636" i="61"/>
  <c r="J636" i="61" s="1"/>
  <c r="I724" i="61"/>
  <c r="J724" i="61" s="1"/>
  <c r="I788" i="61"/>
  <c r="J788" i="61" s="1"/>
  <c r="I852" i="61"/>
  <c r="J852" i="61" s="1"/>
  <c r="I916" i="61"/>
  <c r="J916" i="61" s="1"/>
  <c r="I980" i="61"/>
  <c r="J980" i="61" s="1"/>
  <c r="I1044" i="61"/>
  <c r="J1044" i="61" s="1"/>
  <c r="I1108" i="61"/>
  <c r="J1108" i="61" s="1"/>
  <c r="I1172" i="61"/>
  <c r="J1172" i="61" s="1"/>
  <c r="I1224" i="61"/>
  <c r="J1224" i="61" s="1"/>
  <c r="I1242" i="61"/>
  <c r="J1242" i="61" s="1"/>
  <c r="I1251" i="61"/>
  <c r="J1251" i="61" s="1"/>
  <c r="I1259" i="61"/>
  <c r="J1259" i="61" s="1"/>
  <c r="I1267" i="61"/>
  <c r="J1267" i="61" s="1"/>
  <c r="I1275" i="61"/>
  <c r="J1275" i="61" s="1"/>
  <c r="I1283" i="61"/>
  <c r="J1283" i="61" s="1"/>
  <c r="I1291" i="61"/>
  <c r="J1291" i="61" s="1"/>
  <c r="I1299" i="61"/>
  <c r="J1299" i="61" s="1"/>
  <c r="I1307" i="61"/>
  <c r="J1307" i="61" s="1"/>
  <c r="I1315" i="61"/>
  <c r="J1315" i="61" s="1"/>
  <c r="I1323" i="61"/>
  <c r="J1323" i="61" s="1"/>
  <c r="I1331" i="61"/>
  <c r="J1331" i="61" s="1"/>
  <c r="I1339" i="61"/>
  <c r="J1339" i="61" s="1"/>
  <c r="I1347" i="61"/>
  <c r="J1347" i="61" s="1"/>
  <c r="I1355" i="61"/>
  <c r="J1355" i="61" s="1"/>
  <c r="I1363" i="61"/>
  <c r="J1363" i="61" s="1"/>
  <c r="I1371" i="61"/>
  <c r="J1371" i="61" s="1"/>
  <c r="I314" i="61"/>
  <c r="J314" i="61" s="1"/>
  <c r="I652" i="61"/>
  <c r="J652" i="61" s="1"/>
  <c r="I732" i="61"/>
  <c r="J732" i="61" s="1"/>
  <c r="I796" i="61"/>
  <c r="J796" i="61" s="1"/>
  <c r="I860" i="61"/>
  <c r="J860" i="61" s="1"/>
  <c r="I924" i="61"/>
  <c r="J924" i="61" s="1"/>
  <c r="I988" i="61"/>
  <c r="J988" i="61" s="1"/>
  <c r="I1052" i="61"/>
  <c r="J1052" i="61" s="1"/>
  <c r="I1116" i="61"/>
  <c r="J1116" i="61" s="1"/>
  <c r="I1180" i="61"/>
  <c r="J1180" i="61" s="1"/>
  <c r="I1228" i="61"/>
  <c r="J1228" i="61" s="1"/>
  <c r="I1244" i="61"/>
  <c r="J1244" i="61" s="1"/>
  <c r="I1252" i="61"/>
  <c r="J1252" i="61" s="1"/>
  <c r="I1260" i="61"/>
  <c r="J1260" i="61" s="1"/>
  <c r="I1268" i="61"/>
  <c r="J1268" i="61" s="1"/>
  <c r="I1276" i="61"/>
  <c r="J1276" i="61" s="1"/>
  <c r="I1284" i="61"/>
  <c r="J1284" i="61" s="1"/>
  <c r="I1292" i="61"/>
  <c r="J1292" i="61" s="1"/>
  <c r="I1300" i="61"/>
  <c r="J1300" i="61" s="1"/>
  <c r="I1308" i="61"/>
  <c r="J1308" i="61" s="1"/>
  <c r="I1316" i="61"/>
  <c r="J1316" i="61" s="1"/>
  <c r="I1324" i="61"/>
  <c r="J1324" i="61" s="1"/>
  <c r="I1332" i="61"/>
  <c r="J1332" i="61" s="1"/>
  <c r="I1340" i="61"/>
  <c r="J1340" i="61" s="1"/>
  <c r="I1348" i="61"/>
  <c r="J1348" i="61" s="1"/>
  <c r="I1356" i="61"/>
  <c r="J1356" i="61" s="1"/>
  <c r="I1364" i="61"/>
  <c r="J1364" i="61" s="1"/>
  <c r="I1372" i="61"/>
  <c r="J1372" i="61" s="1"/>
  <c r="I1380" i="61"/>
  <c r="J1380" i="61" s="1"/>
  <c r="I1388" i="61"/>
  <c r="J1388" i="61" s="1"/>
  <c r="I1396" i="61"/>
  <c r="J1396" i="61" s="1"/>
  <c r="I1404" i="61"/>
  <c r="J1404" i="61" s="1"/>
  <c r="I1412" i="61"/>
  <c r="J1412" i="61" s="1"/>
  <c r="I1420" i="61"/>
  <c r="J1420" i="61" s="1"/>
  <c r="I1428" i="61"/>
  <c r="J1428" i="61" s="1"/>
  <c r="I1436" i="61"/>
  <c r="J1436" i="61" s="1"/>
  <c r="I1444" i="61"/>
  <c r="J1444" i="61" s="1"/>
  <c r="I1452" i="61"/>
  <c r="J1452" i="61" s="1"/>
  <c r="I1460" i="61"/>
  <c r="J1460" i="61" s="1"/>
  <c r="I1468" i="61"/>
  <c r="J1468" i="61" s="1"/>
  <c r="I1476" i="61"/>
  <c r="J1476" i="61" s="1"/>
  <c r="I1484" i="61"/>
  <c r="J1484" i="61" s="1"/>
  <c r="I1492" i="61"/>
  <c r="J1492" i="61" s="1"/>
  <c r="I1500" i="61"/>
  <c r="J1500" i="61" s="1"/>
  <c r="I1508" i="61"/>
  <c r="J1508" i="61" s="1"/>
  <c r="I1516" i="61"/>
  <c r="J1516" i="61" s="1"/>
  <c r="I1524" i="61"/>
  <c r="J1524" i="61" s="1"/>
  <c r="I378" i="61"/>
  <c r="J378" i="61" s="1"/>
  <c r="I668" i="61"/>
  <c r="J668" i="61" s="1"/>
  <c r="I740" i="61"/>
  <c r="J740" i="61" s="1"/>
  <c r="I804" i="61"/>
  <c r="J804" i="61" s="1"/>
  <c r="I868" i="61"/>
  <c r="J868" i="61" s="1"/>
  <c r="I932" i="61"/>
  <c r="J932" i="61" s="1"/>
  <c r="I996" i="61"/>
  <c r="J996" i="61" s="1"/>
  <c r="I1060" i="61"/>
  <c r="J1060" i="61" s="1"/>
  <c r="I1124" i="61"/>
  <c r="J1124" i="61" s="1"/>
  <c r="I1188" i="61"/>
  <c r="J1188" i="61" s="1"/>
  <c r="I1230" i="61"/>
  <c r="J1230" i="61" s="1"/>
  <c r="I1245" i="61"/>
  <c r="J1245" i="61" s="1"/>
  <c r="I1253" i="61"/>
  <c r="J1253" i="61" s="1"/>
  <c r="I1261" i="61"/>
  <c r="J1261" i="61" s="1"/>
  <c r="I1269" i="61"/>
  <c r="J1269" i="61" s="1"/>
  <c r="I1277" i="61"/>
  <c r="J1277" i="61" s="1"/>
  <c r="I1285" i="61"/>
  <c r="J1285" i="61" s="1"/>
  <c r="I1293" i="61"/>
  <c r="J1293" i="61" s="1"/>
  <c r="I1301" i="61"/>
  <c r="J1301" i="61" s="1"/>
  <c r="I1309" i="61"/>
  <c r="J1309" i="61" s="1"/>
  <c r="I1317" i="61"/>
  <c r="J1317" i="61" s="1"/>
  <c r="I1325" i="61"/>
  <c r="J1325" i="61" s="1"/>
  <c r="I1333" i="61"/>
  <c r="J1333" i="61" s="1"/>
  <c r="I1341" i="61"/>
  <c r="J1341" i="61" s="1"/>
  <c r="I1349" i="61"/>
  <c r="J1349" i="61" s="1"/>
  <c r="I1357" i="61"/>
  <c r="J1357" i="61" s="1"/>
  <c r="I1365" i="61"/>
  <c r="J1365" i="61" s="1"/>
  <c r="I1373" i="61"/>
  <c r="J1373" i="61" s="1"/>
  <c r="I1381" i="61"/>
  <c r="J1381" i="61" s="1"/>
  <c r="I1389" i="61"/>
  <c r="J1389" i="61" s="1"/>
  <c r="I1397" i="61"/>
  <c r="J1397" i="61" s="1"/>
  <c r="I1405" i="61"/>
  <c r="J1405" i="61" s="1"/>
  <c r="I1413" i="61"/>
  <c r="J1413" i="61" s="1"/>
  <c r="I1421" i="61"/>
  <c r="J1421" i="61" s="1"/>
  <c r="I1429" i="61"/>
  <c r="J1429" i="61" s="1"/>
  <c r="I1437" i="61"/>
  <c r="J1437" i="61" s="1"/>
  <c r="I1445" i="61"/>
  <c r="J1445" i="61" s="1"/>
  <c r="I1453" i="61"/>
  <c r="J1453" i="61" s="1"/>
  <c r="I1461" i="61"/>
  <c r="J1461" i="61" s="1"/>
  <c r="I1469" i="61"/>
  <c r="J1469" i="61" s="1"/>
  <c r="I1477" i="61"/>
  <c r="J1477" i="61" s="1"/>
  <c r="I1485" i="61"/>
  <c r="J1485" i="61" s="1"/>
  <c r="I1493" i="61"/>
  <c r="J1493" i="61" s="1"/>
  <c r="I1501" i="61"/>
  <c r="J1501" i="61" s="1"/>
  <c r="I1509" i="61"/>
  <c r="J1509" i="61" s="1"/>
  <c r="I1517" i="61"/>
  <c r="J1517" i="61" s="1"/>
  <c r="I1525" i="61"/>
  <c r="J1525" i="61" s="1"/>
  <c r="I1533" i="61"/>
  <c r="J1533" i="61" s="1"/>
  <c r="I1541" i="61"/>
  <c r="J1541" i="61" s="1"/>
  <c r="I1549" i="61"/>
  <c r="J1549" i="61" s="1"/>
  <c r="I1557" i="61"/>
  <c r="J1557" i="61" s="1"/>
  <c r="I1565" i="61"/>
  <c r="J1565" i="61" s="1"/>
  <c r="I1573" i="61"/>
  <c r="J1573" i="61" s="1"/>
  <c r="I1581" i="61"/>
  <c r="J1581" i="61" s="1"/>
  <c r="I1589" i="61"/>
  <c r="J1589" i="61" s="1"/>
  <c r="I1597" i="61"/>
  <c r="J1597" i="61" s="1"/>
  <c r="I1605" i="61"/>
  <c r="J1605" i="61" s="1"/>
  <c r="I1613" i="61"/>
  <c r="J1613" i="61" s="1"/>
  <c r="I1621" i="61"/>
  <c r="J1621" i="61" s="1"/>
  <c r="I1629" i="61"/>
  <c r="J1629" i="61" s="1"/>
  <c r="I1637" i="61"/>
  <c r="J1637" i="61" s="1"/>
  <c r="I1645" i="61"/>
  <c r="J1645" i="61" s="1"/>
  <c r="I1653" i="61"/>
  <c r="J1653" i="61" s="1"/>
  <c r="I1661" i="61"/>
  <c r="J1661" i="61" s="1"/>
  <c r="I1669" i="61"/>
  <c r="J1669" i="61" s="1"/>
  <c r="I1677" i="61"/>
  <c r="J1677" i="61" s="1"/>
  <c r="I1685" i="61"/>
  <c r="J1685" i="61" s="1"/>
  <c r="I1693" i="61"/>
  <c r="J1693" i="61" s="1"/>
  <c r="I1701" i="61"/>
  <c r="J1701" i="61" s="1"/>
  <c r="I1709" i="61"/>
  <c r="J1709" i="61" s="1"/>
  <c r="I1717" i="61"/>
  <c r="J1717" i="61" s="1"/>
  <c r="I1725" i="61"/>
  <c r="J1725" i="61" s="1"/>
  <c r="I1733" i="61"/>
  <c r="J1733" i="61" s="1"/>
  <c r="I1741" i="61"/>
  <c r="J1741" i="61" s="1"/>
  <c r="I1749" i="61"/>
  <c r="J1749" i="61" s="1"/>
  <c r="I1757" i="61"/>
  <c r="J1757" i="61" s="1"/>
  <c r="I1765" i="61"/>
  <c r="J1765" i="61" s="1"/>
  <c r="I1773" i="61"/>
  <c r="J1773" i="61" s="1"/>
  <c r="I1781" i="61"/>
  <c r="J1781" i="61" s="1"/>
  <c r="I1789" i="61"/>
  <c r="J1789" i="61" s="1"/>
  <c r="I1797" i="61"/>
  <c r="J1797" i="61" s="1"/>
  <c r="I1805" i="61"/>
  <c r="J1805" i="61" s="1"/>
  <c r="I1813" i="61"/>
  <c r="J1813" i="61" s="1"/>
  <c r="I1821" i="61"/>
  <c r="J1821" i="61" s="1"/>
  <c r="I1829" i="61"/>
  <c r="J1829" i="61" s="1"/>
  <c r="I506" i="61"/>
  <c r="J506" i="61" s="1"/>
  <c r="I692" i="61"/>
  <c r="J692" i="61" s="1"/>
  <c r="I756" i="61"/>
  <c r="J756" i="61" s="1"/>
  <c r="I820" i="61"/>
  <c r="J820" i="61" s="1"/>
  <c r="I884" i="61"/>
  <c r="J884" i="61" s="1"/>
  <c r="I948" i="61"/>
  <c r="J948" i="61" s="1"/>
  <c r="I1012" i="61"/>
  <c r="J1012" i="61" s="1"/>
  <c r="I1076" i="61"/>
  <c r="J1076" i="61" s="1"/>
  <c r="I1140" i="61"/>
  <c r="J1140" i="61" s="1"/>
  <c r="I1204" i="61"/>
  <c r="J1204" i="61" s="1"/>
  <c r="I1236" i="61"/>
  <c r="J1236" i="61" s="1"/>
  <c r="I1247" i="61"/>
  <c r="J1247" i="61" s="1"/>
  <c r="I1255" i="61"/>
  <c r="J1255" i="61" s="1"/>
  <c r="I1263" i="61"/>
  <c r="J1263" i="61" s="1"/>
  <c r="I1271" i="61"/>
  <c r="J1271" i="61" s="1"/>
  <c r="I1279" i="61"/>
  <c r="J1279" i="61" s="1"/>
  <c r="I1287" i="61"/>
  <c r="J1287" i="61" s="1"/>
  <c r="I1295" i="61"/>
  <c r="J1295" i="61" s="1"/>
  <c r="I1303" i="61"/>
  <c r="J1303" i="61" s="1"/>
  <c r="I1311" i="61"/>
  <c r="J1311" i="61" s="1"/>
  <c r="I1319" i="61"/>
  <c r="J1319" i="61" s="1"/>
  <c r="I1327" i="61"/>
  <c r="J1327" i="61" s="1"/>
  <c r="I1335" i="61"/>
  <c r="J1335" i="61" s="1"/>
  <c r="I1343" i="61"/>
  <c r="J1343" i="61" s="1"/>
  <c r="I1351" i="61"/>
  <c r="J1351" i="61" s="1"/>
  <c r="I1359" i="61"/>
  <c r="J1359" i="61" s="1"/>
  <c r="I1367" i="61"/>
  <c r="J1367" i="61" s="1"/>
  <c r="I1375" i="61"/>
  <c r="J1375" i="61" s="1"/>
  <c r="I1383" i="61"/>
  <c r="J1383" i="61" s="1"/>
  <c r="I1391" i="61"/>
  <c r="J1391" i="61" s="1"/>
  <c r="I1399" i="61"/>
  <c r="J1399" i="61" s="1"/>
  <c r="I1407" i="61"/>
  <c r="J1407" i="61" s="1"/>
  <c r="I1415" i="61"/>
  <c r="J1415" i="61" s="1"/>
  <c r="I1423" i="61"/>
  <c r="J1423" i="61" s="1"/>
  <c r="I1431" i="61"/>
  <c r="J1431" i="61" s="1"/>
  <c r="I1439" i="61"/>
  <c r="J1439" i="61" s="1"/>
  <c r="I1447" i="61"/>
  <c r="J1447" i="61" s="1"/>
  <c r="I1455" i="61"/>
  <c r="J1455" i="61" s="1"/>
  <c r="I1463" i="61"/>
  <c r="J1463" i="61" s="1"/>
  <c r="I1471" i="61"/>
  <c r="J1471" i="61" s="1"/>
  <c r="I1479" i="61"/>
  <c r="J1479" i="61" s="1"/>
  <c r="I1487" i="61"/>
  <c r="J1487" i="61" s="1"/>
  <c r="I1495" i="61"/>
  <c r="J1495" i="61" s="1"/>
  <c r="I1503" i="61"/>
  <c r="J1503" i="61" s="1"/>
  <c r="I1511" i="61"/>
  <c r="J1511" i="61" s="1"/>
  <c r="I1519" i="61"/>
  <c r="J1519" i="61" s="1"/>
  <c r="I1527" i="61"/>
  <c r="J1527" i="61" s="1"/>
  <c r="I1535" i="61"/>
  <c r="J1535" i="61" s="1"/>
  <c r="I1543" i="61"/>
  <c r="J1543" i="61" s="1"/>
  <c r="I1551" i="61"/>
  <c r="J1551" i="61" s="1"/>
  <c r="I1559" i="61"/>
  <c r="J1559" i="61" s="1"/>
  <c r="I1567" i="61"/>
  <c r="J1567" i="61" s="1"/>
  <c r="I1575" i="61"/>
  <c r="J1575" i="61" s="1"/>
  <c r="I1583" i="61"/>
  <c r="J1583" i="61" s="1"/>
  <c r="I1591" i="61"/>
  <c r="J1591" i="61" s="1"/>
  <c r="I1599" i="61"/>
  <c r="J1599" i="61" s="1"/>
  <c r="I1607" i="61"/>
  <c r="J1607" i="61" s="1"/>
  <c r="I1615" i="61"/>
  <c r="J1615" i="61" s="1"/>
  <c r="I1623" i="61"/>
  <c r="J1623" i="61" s="1"/>
  <c r="I1631" i="61"/>
  <c r="J1631" i="61" s="1"/>
  <c r="I1639" i="61"/>
  <c r="J1639" i="61" s="1"/>
  <c r="I1647" i="61"/>
  <c r="J1647" i="61" s="1"/>
  <c r="I1655" i="61"/>
  <c r="J1655" i="61" s="1"/>
  <c r="I1663" i="61"/>
  <c r="J1663" i="61" s="1"/>
  <c r="I1671" i="61"/>
  <c r="J1671" i="61" s="1"/>
  <c r="I1679" i="61"/>
  <c r="J1679" i="61" s="1"/>
  <c r="I1687" i="61"/>
  <c r="J1687" i="61" s="1"/>
  <c r="I1695" i="61"/>
  <c r="J1695" i="61" s="1"/>
  <c r="I1703" i="61"/>
  <c r="J1703" i="61" s="1"/>
  <c r="I1711" i="61"/>
  <c r="J1711" i="61" s="1"/>
  <c r="I442" i="61"/>
  <c r="J442" i="61" s="1"/>
  <c r="I1132" i="61"/>
  <c r="J1132" i="61" s="1"/>
  <c r="I1286" i="61"/>
  <c r="J1286" i="61" s="1"/>
  <c r="I1350" i="61"/>
  <c r="J1350" i="61" s="1"/>
  <c r="I1395" i="61"/>
  <c r="J1395" i="61" s="1"/>
  <c r="I1427" i="61"/>
  <c r="J1427" i="61" s="1"/>
  <c r="I1459" i="61"/>
  <c r="J1459" i="61" s="1"/>
  <c r="I1491" i="61"/>
  <c r="J1491" i="61" s="1"/>
  <c r="I1523" i="61"/>
  <c r="J1523" i="61" s="1"/>
  <c r="I1547" i="61"/>
  <c r="J1547" i="61" s="1"/>
  <c r="I1566" i="61"/>
  <c r="J1566" i="61" s="1"/>
  <c r="I1588" i="61"/>
  <c r="J1588" i="61" s="1"/>
  <c r="I1611" i="61"/>
  <c r="J1611" i="61" s="1"/>
  <c r="I1630" i="61"/>
  <c r="J1630" i="61" s="1"/>
  <c r="I1652" i="61"/>
  <c r="J1652" i="61" s="1"/>
  <c r="I1675" i="61"/>
  <c r="J1675" i="61" s="1"/>
  <c r="I1694" i="61"/>
  <c r="J1694" i="61" s="1"/>
  <c r="I1716" i="61"/>
  <c r="J1716" i="61" s="1"/>
  <c r="I1732" i="61"/>
  <c r="J1732" i="61" s="1"/>
  <c r="I1748" i="61"/>
  <c r="J1748" i="61" s="1"/>
  <c r="I1759" i="61"/>
  <c r="J1759" i="61" s="1"/>
  <c r="I1769" i="61"/>
  <c r="J1769" i="61" s="1"/>
  <c r="I1780" i="61"/>
  <c r="J1780" i="61" s="1"/>
  <c r="I1791" i="61"/>
  <c r="J1791" i="61" s="1"/>
  <c r="I1801" i="61"/>
  <c r="J1801" i="61" s="1"/>
  <c r="I1812" i="61"/>
  <c r="J1812" i="61" s="1"/>
  <c r="I1823" i="61"/>
  <c r="J1823" i="61" s="1"/>
  <c r="I1833" i="61"/>
  <c r="J1833" i="61" s="1"/>
  <c r="I1841" i="61"/>
  <c r="J1841" i="61" s="1"/>
  <c r="I1849" i="61"/>
  <c r="J1849" i="61" s="1"/>
  <c r="I1857" i="61"/>
  <c r="J1857" i="61" s="1"/>
  <c r="I1865" i="61"/>
  <c r="J1865" i="61" s="1"/>
  <c r="I1873" i="61"/>
  <c r="J1873" i="61" s="1"/>
  <c r="I1881" i="61"/>
  <c r="J1881" i="61" s="1"/>
  <c r="I1889" i="61"/>
  <c r="J1889" i="61" s="1"/>
  <c r="I1897" i="61"/>
  <c r="J1897" i="61" s="1"/>
  <c r="I1905" i="61"/>
  <c r="J1905" i="61" s="1"/>
  <c r="I1913" i="61"/>
  <c r="J1913" i="61" s="1"/>
  <c r="I1921" i="61"/>
  <c r="J1921" i="61" s="1"/>
  <c r="I1929" i="61"/>
  <c r="J1929" i="61" s="1"/>
  <c r="I1937" i="61"/>
  <c r="J1937" i="61" s="1"/>
  <c r="I1945" i="61"/>
  <c r="J1945" i="61" s="1"/>
  <c r="I1953" i="61"/>
  <c r="J1953" i="61" s="1"/>
  <c r="I1961" i="61"/>
  <c r="J1961" i="61" s="1"/>
  <c r="I1969" i="61"/>
  <c r="J1969" i="61" s="1"/>
  <c r="I1977" i="61"/>
  <c r="J1977" i="61" s="1"/>
  <c r="I1985" i="61"/>
  <c r="J1985" i="61" s="1"/>
  <c r="I1993" i="61"/>
  <c r="J1993" i="61" s="1"/>
  <c r="I2001" i="61"/>
  <c r="J2001" i="61" s="1"/>
  <c r="I2009" i="61"/>
  <c r="J2009" i="61" s="1"/>
  <c r="I2017" i="61"/>
  <c r="J2017" i="61" s="1"/>
  <c r="I2025" i="61"/>
  <c r="J2025" i="61" s="1"/>
  <c r="I2033" i="61"/>
  <c r="J2033" i="61" s="1"/>
  <c r="I2041" i="61"/>
  <c r="J2041" i="61" s="1"/>
  <c r="I2049" i="61"/>
  <c r="J2049" i="61" s="1"/>
  <c r="I2057" i="61"/>
  <c r="J2057" i="61" s="1"/>
  <c r="I2065" i="61"/>
  <c r="J2065" i="61" s="1"/>
  <c r="I2073" i="61"/>
  <c r="J2073" i="61" s="1"/>
  <c r="I2081" i="61"/>
  <c r="J2081" i="61" s="1"/>
  <c r="I2089" i="61"/>
  <c r="J2089" i="61" s="1"/>
  <c r="I2097" i="61"/>
  <c r="J2097" i="61" s="1"/>
  <c r="I2105" i="61"/>
  <c r="J2105" i="61" s="1"/>
  <c r="I2113" i="61"/>
  <c r="J2113" i="61" s="1"/>
  <c r="I2121" i="61"/>
  <c r="J2121" i="61" s="1"/>
  <c r="I2129" i="61"/>
  <c r="J2129" i="61" s="1"/>
  <c r="I2137" i="61"/>
  <c r="J2137" i="61" s="1"/>
  <c r="I2145" i="61"/>
  <c r="J2145" i="61" s="1"/>
  <c r="I2153" i="61"/>
  <c r="J2153" i="61" s="1"/>
  <c r="I2161" i="61"/>
  <c r="J2161" i="61" s="1"/>
  <c r="I684" i="61"/>
  <c r="J684" i="61" s="1"/>
  <c r="I1196" i="61"/>
  <c r="J1196" i="61" s="1"/>
  <c r="I1294" i="61"/>
  <c r="J1294" i="61" s="1"/>
  <c r="I1358" i="61"/>
  <c r="J1358" i="61" s="1"/>
  <c r="I1398" i="61"/>
  <c r="J1398" i="61" s="1"/>
  <c r="I1430" i="61"/>
  <c r="J1430" i="61" s="1"/>
  <c r="I1462" i="61"/>
  <c r="J1462" i="61" s="1"/>
  <c r="I1494" i="61"/>
  <c r="J1494" i="61" s="1"/>
  <c r="I1526" i="61"/>
  <c r="J1526" i="61" s="1"/>
  <c r="I1548" i="61"/>
  <c r="J1548" i="61" s="1"/>
  <c r="I1571" i="61"/>
  <c r="J1571" i="61" s="1"/>
  <c r="I1590" i="61"/>
  <c r="J1590" i="61" s="1"/>
  <c r="I1612" i="61"/>
  <c r="J1612" i="61" s="1"/>
  <c r="I1635" i="61"/>
  <c r="J1635" i="61" s="1"/>
  <c r="I1654" i="61"/>
  <c r="J1654" i="61" s="1"/>
  <c r="I1676" i="61"/>
  <c r="J1676" i="61" s="1"/>
  <c r="I1699" i="61"/>
  <c r="J1699" i="61" s="1"/>
  <c r="I1718" i="61"/>
  <c r="J1718" i="61" s="1"/>
  <c r="I1734" i="61"/>
  <c r="J1734" i="61" s="1"/>
  <c r="I1750" i="61"/>
  <c r="J1750" i="61" s="1"/>
  <c r="I1760" i="61"/>
  <c r="J1760" i="61" s="1"/>
  <c r="I1771" i="61"/>
  <c r="J1771" i="61" s="1"/>
  <c r="I1782" i="61"/>
  <c r="J1782" i="61" s="1"/>
  <c r="I1792" i="61"/>
  <c r="J1792" i="61" s="1"/>
  <c r="I1803" i="61"/>
  <c r="J1803" i="61" s="1"/>
  <c r="I1814" i="61"/>
  <c r="J1814" i="61" s="1"/>
  <c r="I1824" i="61"/>
  <c r="J1824" i="61" s="1"/>
  <c r="I1834" i="61"/>
  <c r="J1834" i="61" s="1"/>
  <c r="I1842" i="61"/>
  <c r="J1842" i="61" s="1"/>
  <c r="I1850" i="61"/>
  <c r="J1850" i="61" s="1"/>
  <c r="I1858" i="61"/>
  <c r="J1858" i="61" s="1"/>
  <c r="I1866" i="61"/>
  <c r="J1866" i="61" s="1"/>
  <c r="I1874" i="61"/>
  <c r="J1874" i="61" s="1"/>
  <c r="I1882" i="61"/>
  <c r="J1882" i="61" s="1"/>
  <c r="I1890" i="61"/>
  <c r="J1890" i="61" s="1"/>
  <c r="I1898" i="61"/>
  <c r="J1898" i="61" s="1"/>
  <c r="I1906" i="61"/>
  <c r="J1906" i="61" s="1"/>
  <c r="I1914" i="61"/>
  <c r="J1914" i="61" s="1"/>
  <c r="I1922" i="61"/>
  <c r="J1922" i="61" s="1"/>
  <c r="I1930" i="61"/>
  <c r="J1930" i="61" s="1"/>
  <c r="I1938" i="61"/>
  <c r="J1938" i="61" s="1"/>
  <c r="I1946" i="61"/>
  <c r="J1946" i="61" s="1"/>
  <c r="I1954" i="61"/>
  <c r="J1954" i="61" s="1"/>
  <c r="I1962" i="61"/>
  <c r="J1962" i="61" s="1"/>
  <c r="I1970" i="61"/>
  <c r="J1970" i="61" s="1"/>
  <c r="I1978" i="61"/>
  <c r="J1978" i="61" s="1"/>
  <c r="I1986" i="61"/>
  <c r="J1986" i="61" s="1"/>
  <c r="I1994" i="61"/>
  <c r="J1994" i="61" s="1"/>
  <c r="I2002" i="61"/>
  <c r="J2002" i="61" s="1"/>
  <c r="I2010" i="61"/>
  <c r="J2010" i="61" s="1"/>
  <c r="I2018" i="61"/>
  <c r="J2018" i="61" s="1"/>
  <c r="I2026" i="61"/>
  <c r="J2026" i="61" s="1"/>
  <c r="I2034" i="61"/>
  <c r="J2034" i="61" s="1"/>
  <c r="I2042" i="61"/>
  <c r="J2042" i="61" s="1"/>
  <c r="I2050" i="61"/>
  <c r="J2050" i="61" s="1"/>
  <c r="I2058" i="61"/>
  <c r="J2058" i="61" s="1"/>
  <c r="I2066" i="61"/>
  <c r="J2066" i="61" s="1"/>
  <c r="I2074" i="61"/>
  <c r="J2074" i="61" s="1"/>
  <c r="I2082" i="61"/>
  <c r="J2082" i="61" s="1"/>
  <c r="I2090" i="61"/>
  <c r="J2090" i="61" s="1"/>
  <c r="I2098" i="61"/>
  <c r="J2098" i="61" s="1"/>
  <c r="I2106" i="61"/>
  <c r="J2106" i="61" s="1"/>
  <c r="I2114" i="61"/>
  <c r="J2114" i="61" s="1"/>
  <c r="I2122" i="61"/>
  <c r="J2122" i="61" s="1"/>
  <c r="I2130" i="61"/>
  <c r="J2130" i="61" s="1"/>
  <c r="I2138" i="61"/>
  <c r="J2138" i="61" s="1"/>
  <c r="I2146" i="61"/>
  <c r="J2146" i="61" s="1"/>
  <c r="I2154" i="61"/>
  <c r="J2154" i="61" s="1"/>
  <c r="I2162" i="61"/>
  <c r="J2162" i="61" s="1"/>
  <c r="K2162" i="61" s="1"/>
  <c r="I748" i="61"/>
  <c r="J748" i="61" s="1"/>
  <c r="I1232" i="61"/>
  <c r="J1232" i="61" s="1"/>
  <c r="I1302" i="61"/>
  <c r="J1302" i="61" s="1"/>
  <c r="I1366" i="61"/>
  <c r="J1366" i="61" s="1"/>
  <c r="I1403" i="61"/>
  <c r="J1403" i="61" s="1"/>
  <c r="I1435" i="61"/>
  <c r="J1435" i="61" s="1"/>
  <c r="I1467" i="61"/>
  <c r="J1467" i="61" s="1"/>
  <c r="I1499" i="61"/>
  <c r="J1499" i="61" s="1"/>
  <c r="I1531" i="61"/>
  <c r="J1531" i="61" s="1"/>
  <c r="I1550" i="61"/>
  <c r="J1550" i="61" s="1"/>
  <c r="I1572" i="61"/>
  <c r="J1572" i="61" s="1"/>
  <c r="I1595" i="61"/>
  <c r="J1595" i="61" s="1"/>
  <c r="I1614" i="61"/>
  <c r="J1614" i="61" s="1"/>
  <c r="I1636" i="61"/>
  <c r="J1636" i="61" s="1"/>
  <c r="I1659" i="61"/>
  <c r="J1659" i="61" s="1"/>
  <c r="I1678" i="61"/>
  <c r="J1678" i="61" s="1"/>
  <c r="I1700" i="61"/>
  <c r="J1700" i="61" s="1"/>
  <c r="I1719" i="61"/>
  <c r="J1719" i="61" s="1"/>
  <c r="I1735" i="61"/>
  <c r="J1735" i="61" s="1"/>
  <c r="I1751" i="61"/>
  <c r="J1751" i="61" s="1"/>
  <c r="I1761" i="61"/>
  <c r="J1761" i="61" s="1"/>
  <c r="I1772" i="61"/>
  <c r="J1772" i="61" s="1"/>
  <c r="I1783" i="61"/>
  <c r="J1783" i="61" s="1"/>
  <c r="I1793" i="61"/>
  <c r="J1793" i="61" s="1"/>
  <c r="I1804" i="61"/>
  <c r="J1804" i="61" s="1"/>
  <c r="I1815" i="61"/>
  <c r="J1815" i="61" s="1"/>
  <c r="I1825" i="61"/>
  <c r="J1825" i="61" s="1"/>
  <c r="I1835" i="61"/>
  <c r="J1835" i="61" s="1"/>
  <c r="I1843" i="61"/>
  <c r="J1843" i="61" s="1"/>
  <c r="I1851" i="61"/>
  <c r="J1851" i="61" s="1"/>
  <c r="I1859" i="61"/>
  <c r="J1859" i="61" s="1"/>
  <c r="I1867" i="61"/>
  <c r="J1867" i="61" s="1"/>
  <c r="I1875" i="61"/>
  <c r="J1875" i="61" s="1"/>
  <c r="I1883" i="61"/>
  <c r="J1883" i="61" s="1"/>
  <c r="I1891" i="61"/>
  <c r="J1891" i="61" s="1"/>
  <c r="I1899" i="61"/>
  <c r="J1899" i="61" s="1"/>
  <c r="I1907" i="61"/>
  <c r="J1907" i="61" s="1"/>
  <c r="I1915" i="61"/>
  <c r="J1915" i="61" s="1"/>
  <c r="I1923" i="61"/>
  <c r="J1923" i="61" s="1"/>
  <c r="I1931" i="61"/>
  <c r="J1931" i="61" s="1"/>
  <c r="I1939" i="61"/>
  <c r="J1939" i="61" s="1"/>
  <c r="I1947" i="61"/>
  <c r="J1947" i="61" s="1"/>
  <c r="I1955" i="61"/>
  <c r="J1955" i="61" s="1"/>
  <c r="I1963" i="61"/>
  <c r="J1963" i="61" s="1"/>
  <c r="I1971" i="61"/>
  <c r="J1971" i="61" s="1"/>
  <c r="I1979" i="61"/>
  <c r="J1979" i="61" s="1"/>
  <c r="I1987" i="61"/>
  <c r="J1987" i="61" s="1"/>
  <c r="I1995" i="61"/>
  <c r="J1995" i="61" s="1"/>
  <c r="I2003" i="61"/>
  <c r="J2003" i="61" s="1"/>
  <c r="I2011" i="61"/>
  <c r="J2011" i="61" s="1"/>
  <c r="I2019" i="61"/>
  <c r="J2019" i="61" s="1"/>
  <c r="I2027" i="61"/>
  <c r="J2027" i="61" s="1"/>
  <c r="I2035" i="61"/>
  <c r="J2035" i="61" s="1"/>
  <c r="I2043" i="61"/>
  <c r="J2043" i="61" s="1"/>
  <c r="I2051" i="61"/>
  <c r="J2051" i="61" s="1"/>
  <c r="I2059" i="61"/>
  <c r="J2059" i="61" s="1"/>
  <c r="I2067" i="61"/>
  <c r="J2067" i="61" s="1"/>
  <c r="I2075" i="61"/>
  <c r="J2075" i="61" s="1"/>
  <c r="I2083" i="61"/>
  <c r="J2083" i="61" s="1"/>
  <c r="I2091" i="61"/>
  <c r="J2091" i="61" s="1"/>
  <c r="I2099" i="61"/>
  <c r="J2099" i="61" s="1"/>
  <c r="I2107" i="61"/>
  <c r="J2107" i="61" s="1"/>
  <c r="I2115" i="61"/>
  <c r="J2115" i="61" s="1"/>
  <c r="I2123" i="61"/>
  <c r="J2123" i="61" s="1"/>
  <c r="I2131" i="61"/>
  <c r="J2131" i="61" s="1"/>
  <c r="I2139" i="61"/>
  <c r="J2139" i="61" s="1"/>
  <c r="I2147" i="61"/>
  <c r="J2147" i="61" s="1"/>
  <c r="I2155" i="61"/>
  <c r="J2155" i="61" s="1"/>
  <c r="I3" i="61"/>
  <c r="J3" i="61" s="1"/>
  <c r="I812" i="61"/>
  <c r="J812" i="61" s="1"/>
  <c r="I1246" i="61"/>
  <c r="J1246" i="61" s="1"/>
  <c r="I1310" i="61"/>
  <c r="J1310" i="61" s="1"/>
  <c r="I1374" i="61"/>
  <c r="J1374" i="61" s="1"/>
  <c r="I1406" i="61"/>
  <c r="J1406" i="61" s="1"/>
  <c r="I1438" i="61"/>
  <c r="J1438" i="61" s="1"/>
  <c r="I1470" i="61"/>
  <c r="J1470" i="61" s="1"/>
  <c r="I1502" i="61"/>
  <c r="J1502" i="61" s="1"/>
  <c r="I1532" i="61"/>
  <c r="J1532" i="61" s="1"/>
  <c r="I1555" i="61"/>
  <c r="J1555" i="61" s="1"/>
  <c r="I1574" i="61"/>
  <c r="J1574" i="61" s="1"/>
  <c r="I1596" i="61"/>
  <c r="J1596" i="61" s="1"/>
  <c r="I1619" i="61"/>
  <c r="J1619" i="61" s="1"/>
  <c r="I1638" i="61"/>
  <c r="J1638" i="61" s="1"/>
  <c r="I1660" i="61"/>
  <c r="J1660" i="61" s="1"/>
  <c r="I1683" i="61"/>
  <c r="J1683" i="61" s="1"/>
  <c r="I1702" i="61"/>
  <c r="J1702" i="61" s="1"/>
  <c r="I1723" i="61"/>
  <c r="J1723" i="61" s="1"/>
  <c r="I1739" i="61"/>
  <c r="J1739" i="61" s="1"/>
  <c r="I1752" i="61"/>
  <c r="J1752" i="61" s="1"/>
  <c r="I1763" i="61"/>
  <c r="J1763" i="61" s="1"/>
  <c r="I1774" i="61"/>
  <c r="J1774" i="61" s="1"/>
  <c r="I1784" i="61"/>
  <c r="J1784" i="61" s="1"/>
  <c r="I1795" i="61"/>
  <c r="J1795" i="61" s="1"/>
  <c r="I1806" i="61"/>
  <c r="J1806" i="61" s="1"/>
  <c r="I1816" i="61"/>
  <c r="J1816" i="61" s="1"/>
  <c r="I1827" i="61"/>
  <c r="J1827" i="61" s="1"/>
  <c r="I1836" i="61"/>
  <c r="J1836" i="61" s="1"/>
  <c r="I1844" i="61"/>
  <c r="J1844" i="61" s="1"/>
  <c r="I1852" i="61"/>
  <c r="J1852" i="61" s="1"/>
  <c r="I1860" i="61"/>
  <c r="J1860" i="61" s="1"/>
  <c r="I1868" i="61"/>
  <c r="J1868" i="61" s="1"/>
  <c r="I1876" i="61"/>
  <c r="J1876" i="61" s="1"/>
  <c r="I1884" i="61"/>
  <c r="J1884" i="61" s="1"/>
  <c r="I1892" i="61"/>
  <c r="J1892" i="61" s="1"/>
  <c r="I1900" i="61"/>
  <c r="J1900" i="61" s="1"/>
  <c r="I1908" i="61"/>
  <c r="J1908" i="61" s="1"/>
  <c r="I876" i="61"/>
  <c r="J876" i="61" s="1"/>
  <c r="I1254" i="61"/>
  <c r="J1254" i="61" s="1"/>
  <c r="I1318" i="61"/>
  <c r="J1318" i="61" s="1"/>
  <c r="I1379" i="61"/>
  <c r="J1379" i="61" s="1"/>
  <c r="I1411" i="61"/>
  <c r="J1411" i="61" s="1"/>
  <c r="I1443" i="61"/>
  <c r="J1443" i="61" s="1"/>
  <c r="I1475" i="61"/>
  <c r="J1475" i="61" s="1"/>
  <c r="I1507" i="61"/>
  <c r="J1507" i="61" s="1"/>
  <c r="I1534" i="61"/>
  <c r="J1534" i="61" s="1"/>
  <c r="I1556" i="61"/>
  <c r="J1556" i="61" s="1"/>
  <c r="I1579" i="61"/>
  <c r="J1579" i="61" s="1"/>
  <c r="I1598" i="61"/>
  <c r="J1598" i="61" s="1"/>
  <c r="I1620" i="61"/>
  <c r="J1620" i="61" s="1"/>
  <c r="I1643" i="61"/>
  <c r="J1643" i="61" s="1"/>
  <c r="I1662" i="61"/>
  <c r="J1662" i="61" s="1"/>
  <c r="I1684" i="61"/>
  <c r="J1684" i="61" s="1"/>
  <c r="I1707" i="61"/>
  <c r="J1707" i="61" s="1"/>
  <c r="I1724" i="61"/>
  <c r="J1724" i="61" s="1"/>
  <c r="I1740" i="61"/>
  <c r="J1740" i="61" s="1"/>
  <c r="I1753" i="61"/>
  <c r="J1753" i="61" s="1"/>
  <c r="I1764" i="61"/>
  <c r="J1764" i="61" s="1"/>
  <c r="I1775" i="61"/>
  <c r="J1775" i="61" s="1"/>
  <c r="I1785" i="61"/>
  <c r="J1785" i="61" s="1"/>
  <c r="I1796" i="61"/>
  <c r="J1796" i="61" s="1"/>
  <c r="I1807" i="61"/>
  <c r="J1807" i="61" s="1"/>
  <c r="I1817" i="61"/>
  <c r="J1817" i="61" s="1"/>
  <c r="I1828" i="61"/>
  <c r="J1828" i="61" s="1"/>
  <c r="I1837" i="61"/>
  <c r="J1837" i="61" s="1"/>
  <c r="I1845" i="61"/>
  <c r="J1845" i="61" s="1"/>
  <c r="I1853" i="61"/>
  <c r="J1853" i="61" s="1"/>
  <c r="I1861" i="61"/>
  <c r="J1861" i="61" s="1"/>
  <c r="I1869" i="61"/>
  <c r="J1869" i="61" s="1"/>
  <c r="I1877" i="61"/>
  <c r="J1877" i="61" s="1"/>
  <c r="I1885" i="61"/>
  <c r="J1885" i="61" s="1"/>
  <c r="I1893" i="61"/>
  <c r="J1893" i="61" s="1"/>
  <c r="I1901" i="61"/>
  <c r="J1901" i="61" s="1"/>
  <c r="I1909" i="61"/>
  <c r="J1909" i="61" s="1"/>
  <c r="I1917" i="61"/>
  <c r="J1917" i="61" s="1"/>
  <c r="I1925" i="61"/>
  <c r="J1925" i="61" s="1"/>
  <c r="I1933" i="61"/>
  <c r="J1933" i="61" s="1"/>
  <c r="I1941" i="61"/>
  <c r="J1941" i="61" s="1"/>
  <c r="I1949" i="61"/>
  <c r="J1949" i="61" s="1"/>
  <c r="I1957" i="61"/>
  <c r="J1957" i="61" s="1"/>
  <c r="I1965" i="61"/>
  <c r="J1965" i="61" s="1"/>
  <c r="I1973" i="61"/>
  <c r="J1973" i="61" s="1"/>
  <c r="I1981" i="61"/>
  <c r="J1981" i="61" s="1"/>
  <c r="I1989" i="61"/>
  <c r="J1989" i="61" s="1"/>
  <c r="I1997" i="61"/>
  <c r="J1997" i="61" s="1"/>
  <c r="I2005" i="61"/>
  <c r="J2005" i="61" s="1"/>
  <c r="I2013" i="61"/>
  <c r="J2013" i="61" s="1"/>
  <c r="I2021" i="61"/>
  <c r="J2021" i="61" s="1"/>
  <c r="I2029" i="61"/>
  <c r="J2029" i="61" s="1"/>
  <c r="I2037" i="61"/>
  <c r="J2037" i="61" s="1"/>
  <c r="I2045" i="61"/>
  <c r="J2045" i="61" s="1"/>
  <c r="I2053" i="61"/>
  <c r="J2053" i="61" s="1"/>
  <c r="I2061" i="61"/>
  <c r="J2061" i="61" s="1"/>
  <c r="I2069" i="61"/>
  <c r="J2069" i="61" s="1"/>
  <c r="I2077" i="61"/>
  <c r="J2077" i="61" s="1"/>
  <c r="I2085" i="61"/>
  <c r="J2085" i="61" s="1"/>
  <c r="I2093" i="61"/>
  <c r="J2093" i="61" s="1"/>
  <c r="I2101" i="61"/>
  <c r="J2101" i="61" s="1"/>
  <c r="I2109" i="61"/>
  <c r="J2109" i="61" s="1"/>
  <c r="I2117" i="61"/>
  <c r="J2117" i="61" s="1"/>
  <c r="I2125" i="61"/>
  <c r="J2125" i="61" s="1"/>
  <c r="I2133" i="61"/>
  <c r="J2133" i="61" s="1"/>
  <c r="I2141" i="61"/>
  <c r="J2141" i="61" s="1"/>
  <c r="I2149" i="61"/>
  <c r="J2149" i="61" s="1"/>
  <c r="I2157" i="61"/>
  <c r="J2157" i="61" s="1"/>
  <c r="I940" i="61"/>
  <c r="J940" i="61" s="1"/>
  <c r="I1262" i="61"/>
  <c r="J1262" i="61" s="1"/>
  <c r="I1326" i="61"/>
  <c r="J1326" i="61" s="1"/>
  <c r="I1382" i="61"/>
  <c r="J1382" i="61" s="1"/>
  <c r="I1414" i="61"/>
  <c r="J1414" i="61" s="1"/>
  <c r="I1446" i="61"/>
  <c r="J1446" i="61" s="1"/>
  <c r="I1478" i="61"/>
  <c r="J1478" i="61" s="1"/>
  <c r="I1510" i="61"/>
  <c r="J1510" i="61" s="1"/>
  <c r="I1539" i="61"/>
  <c r="J1539" i="61" s="1"/>
  <c r="I1558" i="61"/>
  <c r="J1558" i="61" s="1"/>
  <c r="I1580" i="61"/>
  <c r="J1580" i="61" s="1"/>
  <c r="I1603" i="61"/>
  <c r="J1603" i="61" s="1"/>
  <c r="I1622" i="61"/>
  <c r="J1622" i="61" s="1"/>
  <c r="I1644" i="61"/>
  <c r="J1644" i="61" s="1"/>
  <c r="I1667" i="61"/>
  <c r="J1667" i="61" s="1"/>
  <c r="I1686" i="61"/>
  <c r="J1686" i="61" s="1"/>
  <c r="I1708" i="61"/>
  <c r="J1708" i="61" s="1"/>
  <c r="I1726" i="61"/>
  <c r="J1726" i="61" s="1"/>
  <c r="I1742" i="61"/>
  <c r="J1742" i="61" s="1"/>
  <c r="I1755" i="61"/>
  <c r="J1755" i="61" s="1"/>
  <c r="I1766" i="61"/>
  <c r="J1766" i="61" s="1"/>
  <c r="I1776" i="61"/>
  <c r="J1776" i="61" s="1"/>
  <c r="I1787" i="61"/>
  <c r="J1787" i="61" s="1"/>
  <c r="I1798" i="61"/>
  <c r="J1798" i="61" s="1"/>
  <c r="I1808" i="61"/>
  <c r="J1808" i="61" s="1"/>
  <c r="I1819" i="61"/>
  <c r="J1819" i="61" s="1"/>
  <c r="I1830" i="61"/>
  <c r="J1830" i="61" s="1"/>
  <c r="I1838" i="61"/>
  <c r="J1838" i="61" s="1"/>
  <c r="I1846" i="61"/>
  <c r="J1846" i="61" s="1"/>
  <c r="I1854" i="61"/>
  <c r="J1854" i="61" s="1"/>
  <c r="I1862" i="61"/>
  <c r="J1862" i="61" s="1"/>
  <c r="I1870" i="61"/>
  <c r="J1870" i="61" s="1"/>
  <c r="I1878" i="61"/>
  <c r="J1878" i="61" s="1"/>
  <c r="I1886" i="61"/>
  <c r="J1886" i="61" s="1"/>
  <c r="I1894" i="61"/>
  <c r="J1894" i="61" s="1"/>
  <c r="I1902" i="61"/>
  <c r="J1902" i="61" s="1"/>
  <c r="I1910" i="61"/>
  <c r="J1910" i="61" s="1"/>
  <c r="I1918" i="61"/>
  <c r="J1918" i="61" s="1"/>
  <c r="I1926" i="61"/>
  <c r="J1926" i="61" s="1"/>
  <c r="I1934" i="61"/>
  <c r="J1934" i="61" s="1"/>
  <c r="I1942" i="61"/>
  <c r="J1942" i="61" s="1"/>
  <c r="I1950" i="61"/>
  <c r="J1950" i="61" s="1"/>
  <c r="I1958" i="61"/>
  <c r="J1958" i="61" s="1"/>
  <c r="I1966" i="61"/>
  <c r="J1966" i="61" s="1"/>
  <c r="I1974" i="61"/>
  <c r="J1974" i="61" s="1"/>
  <c r="I1982" i="61"/>
  <c r="J1982" i="61" s="1"/>
  <c r="I1990" i="61"/>
  <c r="J1990" i="61" s="1"/>
  <c r="I1998" i="61"/>
  <c r="J1998" i="61" s="1"/>
  <c r="I2006" i="61"/>
  <c r="J2006" i="61" s="1"/>
  <c r="I2014" i="61"/>
  <c r="J2014" i="61" s="1"/>
  <c r="I2022" i="61"/>
  <c r="J2022" i="61" s="1"/>
  <c r="I2030" i="61"/>
  <c r="J2030" i="61" s="1"/>
  <c r="I2038" i="61"/>
  <c r="J2038" i="61" s="1"/>
  <c r="I2046" i="61"/>
  <c r="J2046" i="61" s="1"/>
  <c r="I2054" i="61"/>
  <c r="J2054" i="61" s="1"/>
  <c r="I2062" i="61"/>
  <c r="J2062" i="61" s="1"/>
  <c r="I2070" i="61"/>
  <c r="J2070" i="61" s="1"/>
  <c r="I2078" i="61"/>
  <c r="J2078" i="61" s="1"/>
  <c r="I2086" i="61"/>
  <c r="J2086" i="61" s="1"/>
  <c r="I2094" i="61"/>
  <c r="J2094" i="61" s="1"/>
  <c r="I2102" i="61"/>
  <c r="J2102" i="61" s="1"/>
  <c r="I2110" i="61"/>
  <c r="J2110" i="61" s="1"/>
  <c r="I2118" i="61"/>
  <c r="J2118" i="61" s="1"/>
  <c r="I2126" i="61"/>
  <c r="J2126" i="61" s="1"/>
  <c r="I2134" i="61"/>
  <c r="J2134" i="61" s="1"/>
  <c r="I2142" i="61"/>
  <c r="J2142" i="61" s="1"/>
  <c r="I2150" i="61"/>
  <c r="J2150" i="61" s="1"/>
  <c r="I2158" i="61"/>
  <c r="J2158" i="61" s="1"/>
  <c r="I1068" i="61"/>
  <c r="J1068" i="61" s="1"/>
  <c r="I1278" i="61"/>
  <c r="J1278" i="61" s="1"/>
  <c r="I1342" i="61"/>
  <c r="J1342" i="61" s="1"/>
  <c r="I1390" i="61"/>
  <c r="J1390" i="61" s="1"/>
  <c r="I1422" i="61"/>
  <c r="J1422" i="61" s="1"/>
  <c r="I1454" i="61"/>
  <c r="J1454" i="61" s="1"/>
  <c r="I1486" i="61"/>
  <c r="J1486" i="61" s="1"/>
  <c r="I1518" i="61"/>
  <c r="J1518" i="61" s="1"/>
  <c r="I1542" i="61"/>
  <c r="J1542" i="61" s="1"/>
  <c r="I1564" i="61"/>
  <c r="J1564" i="61" s="1"/>
  <c r="I1587" i="61"/>
  <c r="J1587" i="61" s="1"/>
  <c r="I1606" i="61"/>
  <c r="J1606" i="61" s="1"/>
  <c r="I1628" i="61"/>
  <c r="J1628" i="61" s="1"/>
  <c r="I1651" i="61"/>
  <c r="J1651" i="61" s="1"/>
  <c r="I1670" i="61"/>
  <c r="J1670" i="61" s="1"/>
  <c r="I1692" i="61"/>
  <c r="J1692" i="61" s="1"/>
  <c r="I1715" i="61"/>
  <c r="J1715" i="61" s="1"/>
  <c r="I1731" i="61"/>
  <c r="J1731" i="61" s="1"/>
  <c r="I1747" i="61"/>
  <c r="J1747" i="61" s="1"/>
  <c r="I1758" i="61"/>
  <c r="J1758" i="61" s="1"/>
  <c r="I1768" i="61"/>
  <c r="J1768" i="61" s="1"/>
  <c r="I1779" i="61"/>
  <c r="J1779" i="61" s="1"/>
  <c r="I1790" i="61"/>
  <c r="J1790" i="61" s="1"/>
  <c r="I1800" i="61"/>
  <c r="J1800" i="61" s="1"/>
  <c r="I1811" i="61"/>
  <c r="J1811" i="61" s="1"/>
  <c r="I1822" i="61"/>
  <c r="J1822" i="61" s="1"/>
  <c r="I1832" i="61"/>
  <c r="J1832" i="61" s="1"/>
  <c r="I1840" i="61"/>
  <c r="J1840" i="61" s="1"/>
  <c r="I1848" i="61"/>
  <c r="J1848" i="61" s="1"/>
  <c r="I1856" i="61"/>
  <c r="J1856" i="61" s="1"/>
  <c r="I1864" i="61"/>
  <c r="J1864" i="61" s="1"/>
  <c r="I1872" i="61"/>
  <c r="J1872" i="61" s="1"/>
  <c r="I1880" i="61"/>
  <c r="J1880" i="61" s="1"/>
  <c r="I1888" i="61"/>
  <c r="J1888" i="61" s="1"/>
  <c r="I1896" i="61"/>
  <c r="J1896" i="61" s="1"/>
  <c r="I1904" i="61"/>
  <c r="J1904" i="61" s="1"/>
  <c r="I1912" i="61"/>
  <c r="J1912" i="61" s="1"/>
  <c r="I1920" i="61"/>
  <c r="J1920" i="61" s="1"/>
  <c r="I1928" i="61"/>
  <c r="J1928" i="61" s="1"/>
  <c r="I1936" i="61"/>
  <c r="J1936" i="61" s="1"/>
  <c r="I1944" i="61"/>
  <c r="J1944" i="61" s="1"/>
  <c r="I1952" i="61"/>
  <c r="J1952" i="61" s="1"/>
  <c r="I1960" i="61"/>
  <c r="J1960" i="61" s="1"/>
  <c r="I1968" i="61"/>
  <c r="J1968" i="61" s="1"/>
  <c r="I1976" i="61"/>
  <c r="J1976" i="61" s="1"/>
  <c r="I1984" i="61"/>
  <c r="J1984" i="61" s="1"/>
  <c r="I1992" i="61"/>
  <c r="J1992" i="61" s="1"/>
  <c r="I2000" i="61"/>
  <c r="J2000" i="61" s="1"/>
  <c r="I2008" i="61"/>
  <c r="J2008" i="61" s="1"/>
  <c r="I2016" i="61"/>
  <c r="J2016" i="61" s="1"/>
  <c r="I2024" i="61"/>
  <c r="J2024" i="61" s="1"/>
  <c r="I2032" i="61"/>
  <c r="J2032" i="61" s="1"/>
  <c r="I2040" i="61"/>
  <c r="J2040" i="61" s="1"/>
  <c r="I2048" i="61"/>
  <c r="J2048" i="61" s="1"/>
  <c r="I2056" i="61"/>
  <c r="J2056" i="61" s="1"/>
  <c r="I2064" i="61"/>
  <c r="J2064" i="61" s="1"/>
  <c r="I2072" i="61"/>
  <c r="J2072" i="61" s="1"/>
  <c r="I2080" i="61"/>
  <c r="J2080" i="61" s="1"/>
  <c r="I2088" i="61"/>
  <c r="J2088" i="61" s="1"/>
  <c r="I2096" i="61"/>
  <c r="J2096" i="61" s="1"/>
  <c r="I2104" i="61"/>
  <c r="J2104" i="61" s="1"/>
  <c r="I2112" i="61"/>
  <c r="J2112" i="61" s="1"/>
  <c r="I2120" i="61"/>
  <c r="J2120" i="61" s="1"/>
  <c r="I2128" i="61"/>
  <c r="J2128" i="61" s="1"/>
  <c r="I2136" i="61"/>
  <c r="J2136" i="61" s="1"/>
  <c r="I2144" i="61"/>
  <c r="J2144" i="61" s="1"/>
  <c r="I2152" i="61"/>
  <c r="J2152" i="61" s="1"/>
  <c r="I2160" i="61"/>
  <c r="J2160" i="61" s="1"/>
  <c r="I1004" i="61"/>
  <c r="J1004" i="61" s="1"/>
  <c r="I1540" i="61"/>
  <c r="J1540" i="61" s="1"/>
  <c r="I1710" i="61"/>
  <c r="J1710" i="61" s="1"/>
  <c r="I1809" i="61"/>
  <c r="J1809" i="61" s="1"/>
  <c r="I1879" i="61"/>
  <c r="J1879" i="61" s="1"/>
  <c r="I1927" i="61"/>
  <c r="J1927" i="61" s="1"/>
  <c r="I1959" i="61"/>
  <c r="J1959" i="61" s="1"/>
  <c r="I1991" i="61"/>
  <c r="J1991" i="61" s="1"/>
  <c r="I2023" i="61"/>
  <c r="J2023" i="61" s="1"/>
  <c r="I2055" i="61"/>
  <c r="J2055" i="61" s="1"/>
  <c r="I2087" i="61"/>
  <c r="J2087" i="61" s="1"/>
  <c r="I2119" i="61"/>
  <c r="J2119" i="61" s="1"/>
  <c r="I2151" i="61"/>
  <c r="J2151" i="61" s="1"/>
  <c r="I1270" i="61"/>
  <c r="J1270" i="61" s="1"/>
  <c r="I1563" i="61"/>
  <c r="J1563" i="61" s="1"/>
  <c r="I1727" i="61"/>
  <c r="J1727" i="61" s="1"/>
  <c r="I1820" i="61"/>
  <c r="J1820" i="61" s="1"/>
  <c r="I1887" i="61"/>
  <c r="J1887" i="61" s="1"/>
  <c r="I1932" i="61"/>
  <c r="J1932" i="61" s="1"/>
  <c r="I1964" i="61"/>
  <c r="J1964" i="61" s="1"/>
  <c r="I1996" i="61"/>
  <c r="J1996" i="61" s="1"/>
  <c r="I2028" i="61"/>
  <c r="J2028" i="61" s="1"/>
  <c r="I2060" i="61"/>
  <c r="J2060" i="61" s="1"/>
  <c r="I2092" i="61"/>
  <c r="J2092" i="61" s="1"/>
  <c r="I2124" i="61"/>
  <c r="J2124" i="61" s="1"/>
  <c r="I2156" i="61"/>
  <c r="J2156" i="61" s="1"/>
  <c r="I1334" i="61"/>
  <c r="J1334" i="61" s="1"/>
  <c r="I1582" i="61"/>
  <c r="J1582" i="61" s="1"/>
  <c r="I1743" i="61"/>
  <c r="J1743" i="61" s="1"/>
  <c r="I1831" i="61"/>
  <c r="J1831" i="61" s="1"/>
  <c r="I1895" i="61"/>
  <c r="J1895" i="61" s="1"/>
  <c r="I1935" i="61"/>
  <c r="J1935" i="61" s="1"/>
  <c r="I1967" i="61"/>
  <c r="J1967" i="61" s="1"/>
  <c r="I1999" i="61"/>
  <c r="J1999" i="61" s="1"/>
  <c r="I2031" i="61"/>
  <c r="J2031" i="61" s="1"/>
  <c r="I2063" i="61"/>
  <c r="J2063" i="61" s="1"/>
  <c r="I2095" i="61"/>
  <c r="J2095" i="61" s="1"/>
  <c r="I2127" i="61"/>
  <c r="J2127" i="61" s="1"/>
  <c r="I2159" i="61"/>
  <c r="J2159" i="61" s="1"/>
  <c r="I1387" i="61"/>
  <c r="J1387" i="61" s="1"/>
  <c r="I1604" i="61"/>
  <c r="J1604" i="61" s="1"/>
  <c r="I1756" i="61"/>
  <c r="J1756" i="61" s="1"/>
  <c r="I1839" i="61"/>
  <c r="J1839" i="61" s="1"/>
  <c r="I1903" i="61"/>
  <c r="J1903" i="61" s="1"/>
  <c r="I1940" i="61"/>
  <c r="J1940" i="61" s="1"/>
  <c r="I1972" i="61"/>
  <c r="J1972" i="61" s="1"/>
  <c r="I2004" i="61"/>
  <c r="J2004" i="61" s="1"/>
  <c r="I2036" i="61"/>
  <c r="J2036" i="61" s="1"/>
  <c r="I2068" i="61"/>
  <c r="J2068" i="61" s="1"/>
  <c r="I2100" i="61"/>
  <c r="J2100" i="61" s="1"/>
  <c r="I2132" i="61"/>
  <c r="J2132" i="61" s="1"/>
  <c r="I1419" i="61"/>
  <c r="J1419" i="61" s="1"/>
  <c r="I1627" i="61"/>
  <c r="J1627" i="61" s="1"/>
  <c r="I1767" i="61"/>
  <c r="J1767" i="61" s="1"/>
  <c r="I1847" i="61"/>
  <c r="J1847" i="61" s="1"/>
  <c r="I1911" i="61"/>
  <c r="J1911" i="61" s="1"/>
  <c r="I1943" i="61"/>
  <c r="J1943" i="61" s="1"/>
  <c r="I1975" i="61"/>
  <c r="J1975" i="61" s="1"/>
  <c r="I2007" i="61"/>
  <c r="J2007" i="61" s="1"/>
  <c r="I2039" i="61"/>
  <c r="J2039" i="61" s="1"/>
  <c r="I2071" i="61"/>
  <c r="J2071" i="61" s="1"/>
  <c r="I2103" i="61"/>
  <c r="J2103" i="61" s="1"/>
  <c r="I2135" i="61"/>
  <c r="J2135" i="61" s="1"/>
  <c r="I1451" i="61"/>
  <c r="J1451" i="61" s="1"/>
  <c r="I1646" i="61"/>
  <c r="J1646" i="61" s="1"/>
  <c r="I1777" i="61"/>
  <c r="J1777" i="61" s="1"/>
  <c r="I1855" i="61"/>
  <c r="J1855" i="61" s="1"/>
  <c r="I1916" i="61"/>
  <c r="J1916" i="61" s="1"/>
  <c r="I1948" i="61"/>
  <c r="J1948" i="61" s="1"/>
  <c r="I1980" i="61"/>
  <c r="J1980" i="61" s="1"/>
  <c r="I2012" i="61"/>
  <c r="J2012" i="61" s="1"/>
  <c r="I2044" i="61"/>
  <c r="J2044" i="61" s="1"/>
  <c r="I2076" i="61"/>
  <c r="J2076" i="61" s="1"/>
  <c r="I2108" i="61"/>
  <c r="J2108" i="61" s="1"/>
  <c r="I2140" i="61"/>
  <c r="J2140" i="61" s="1"/>
  <c r="I1515" i="61"/>
  <c r="J1515" i="61" s="1"/>
  <c r="I1691" i="61"/>
  <c r="J1691" i="61" s="1"/>
  <c r="I1799" i="61"/>
  <c r="J1799" i="61" s="1"/>
  <c r="I1871" i="61"/>
  <c r="J1871" i="61" s="1"/>
  <c r="I1924" i="61"/>
  <c r="J1924" i="61" s="1"/>
  <c r="I1956" i="61"/>
  <c r="J1956" i="61" s="1"/>
  <c r="I1988" i="61"/>
  <c r="J1988" i="61" s="1"/>
  <c r="I2020" i="61"/>
  <c r="J2020" i="61" s="1"/>
  <c r="I2052" i="61"/>
  <c r="J2052" i="61" s="1"/>
  <c r="I2084" i="61"/>
  <c r="J2084" i="61" s="1"/>
  <c r="I2116" i="61"/>
  <c r="J2116" i="61" s="1"/>
  <c r="I2148" i="61"/>
  <c r="J2148" i="61" s="1"/>
  <c r="I1483" i="61"/>
  <c r="J1483" i="61" s="1"/>
  <c r="I2047" i="61"/>
  <c r="J2047" i="61" s="1"/>
  <c r="I1668" i="61"/>
  <c r="J1668" i="61" s="1"/>
  <c r="I2079" i="61"/>
  <c r="J2079" i="61" s="1"/>
  <c r="I1788" i="61"/>
  <c r="J1788" i="61" s="1"/>
  <c r="I2111" i="61"/>
  <c r="J2111" i="61" s="1"/>
  <c r="I1863" i="61"/>
  <c r="J1863" i="61" s="1"/>
  <c r="I2143" i="61"/>
  <c r="J2143" i="61" s="1"/>
  <c r="I1919" i="61"/>
  <c r="J1919" i="61" s="1"/>
  <c r="I1951" i="61"/>
  <c r="J1951" i="61" s="1"/>
  <c r="I1983" i="61"/>
  <c r="J1983" i="61" s="1"/>
  <c r="I2015" i="61"/>
  <c r="J2015" i="61" s="1"/>
  <c r="J3" i="60"/>
  <c r="M3" i="60" s="1"/>
  <c r="F2161" i="61"/>
  <c r="G2161" i="61" s="1"/>
  <c r="F2153" i="61"/>
  <c r="G2153" i="61" s="1"/>
  <c r="F2145" i="61"/>
  <c r="G2145" i="61" s="1"/>
  <c r="F2137" i="61"/>
  <c r="G2137" i="61" s="1"/>
  <c r="F2129" i="61"/>
  <c r="G2129" i="61" s="1"/>
  <c r="F2121" i="61"/>
  <c r="G2121" i="61" s="1"/>
  <c r="F1801" i="61"/>
  <c r="G1801" i="61" s="1"/>
  <c r="F1793" i="61"/>
  <c r="G1793" i="61" s="1"/>
  <c r="F1785" i="61"/>
  <c r="G1785" i="61" s="1"/>
  <c r="F1777" i="61"/>
  <c r="G1777" i="61" s="1"/>
  <c r="F1769" i="61"/>
  <c r="G1769" i="61" s="1"/>
  <c r="F1761" i="61"/>
  <c r="G1761" i="61" s="1"/>
  <c r="F2160" i="61"/>
  <c r="G2160" i="61" s="1"/>
  <c r="F2152" i="61"/>
  <c r="G2152" i="61" s="1"/>
  <c r="F2144" i="61"/>
  <c r="G2144" i="61" s="1"/>
  <c r="F2136" i="61"/>
  <c r="G2136" i="61" s="1"/>
  <c r="F2128" i="61"/>
  <c r="G2128" i="61" s="1"/>
  <c r="F2120" i="61"/>
  <c r="G2120" i="61" s="1"/>
  <c r="F2159" i="61"/>
  <c r="G2159" i="61" s="1"/>
  <c r="F2151" i="61"/>
  <c r="G2151" i="61" s="1"/>
  <c r="F2143" i="61"/>
  <c r="G2143" i="61" s="1"/>
  <c r="F2135" i="61"/>
  <c r="G2135" i="61" s="1"/>
  <c r="F2127" i="61"/>
  <c r="G2127" i="61" s="1"/>
  <c r="F2119" i="61"/>
  <c r="G2119" i="61" s="1"/>
  <c r="F1799" i="61"/>
  <c r="G1799" i="61" s="1"/>
  <c r="F1791" i="61"/>
  <c r="G1791" i="61" s="1"/>
  <c r="F1783" i="61"/>
  <c r="G1783" i="61" s="1"/>
  <c r="F1775" i="61"/>
  <c r="G1775" i="61" s="1"/>
  <c r="F1767" i="61"/>
  <c r="G1767" i="61" s="1"/>
  <c r="F1759" i="61"/>
  <c r="G1759" i="61" s="1"/>
  <c r="F2158" i="61"/>
  <c r="G2158" i="61" s="1"/>
  <c r="F2150" i="61"/>
  <c r="G2150" i="61" s="1"/>
  <c r="F2142" i="61"/>
  <c r="G2142" i="61" s="1"/>
  <c r="F2134" i="61"/>
  <c r="G2134" i="61" s="1"/>
  <c r="F2126" i="61"/>
  <c r="G2126" i="61" s="1"/>
  <c r="F2118" i="61"/>
  <c r="G2118" i="61" s="1"/>
  <c r="F2157" i="61"/>
  <c r="G2157" i="61" s="1"/>
  <c r="F2149" i="61"/>
  <c r="G2149" i="61" s="1"/>
  <c r="F2141" i="61"/>
  <c r="G2141" i="61" s="1"/>
  <c r="F2133" i="61"/>
  <c r="G2133" i="61" s="1"/>
  <c r="F2125" i="61"/>
  <c r="G2125" i="61" s="1"/>
  <c r="F1797" i="61"/>
  <c r="G1797" i="61" s="1"/>
  <c r="F1789" i="61"/>
  <c r="G1789" i="61" s="1"/>
  <c r="F1781" i="61"/>
  <c r="G1781" i="61" s="1"/>
  <c r="F1773" i="61"/>
  <c r="G1773" i="61" s="1"/>
  <c r="F1765" i="61"/>
  <c r="G1765" i="61" s="1"/>
  <c r="F2156" i="61"/>
  <c r="G2156" i="61" s="1"/>
  <c r="F2148" i="61"/>
  <c r="G2148" i="61" s="1"/>
  <c r="F2140" i="61"/>
  <c r="G2140" i="61" s="1"/>
  <c r="F2132" i="61"/>
  <c r="G2132" i="61" s="1"/>
  <c r="F2124" i="61"/>
  <c r="G2124" i="61" s="1"/>
  <c r="F1796" i="61"/>
  <c r="G1796" i="61" s="1"/>
  <c r="F1788" i="61"/>
  <c r="G1788" i="61" s="1"/>
  <c r="F1780" i="61"/>
  <c r="G1780" i="61" s="1"/>
  <c r="F1772" i="61"/>
  <c r="G1772" i="61" s="1"/>
  <c r="F1764" i="61"/>
  <c r="G1764" i="61" s="1"/>
  <c r="F2155" i="61"/>
  <c r="G2155" i="61" s="1"/>
  <c r="F2147" i="61"/>
  <c r="G2147" i="61" s="1"/>
  <c r="F2139" i="61"/>
  <c r="G2139" i="61" s="1"/>
  <c r="F2131" i="61"/>
  <c r="G2131" i="61" s="1"/>
  <c r="F2123" i="61"/>
  <c r="G2123" i="61" s="1"/>
  <c r="F2122" i="61"/>
  <c r="G2122" i="61" s="1"/>
  <c r="F1802" i="61"/>
  <c r="G1802" i="61" s="1"/>
  <c r="F1786" i="61"/>
  <c r="G1786" i="61" s="1"/>
  <c r="F1770" i="61"/>
  <c r="G1770" i="61" s="1"/>
  <c r="F1800" i="61"/>
  <c r="G1800" i="61" s="1"/>
  <c r="F1784" i="61"/>
  <c r="G1784" i="61" s="1"/>
  <c r="F1768" i="61"/>
  <c r="G1768" i="61" s="1"/>
  <c r="F1438" i="61"/>
  <c r="G1438" i="61" s="1"/>
  <c r="F1430" i="61"/>
  <c r="G1430" i="61" s="1"/>
  <c r="F1422" i="61"/>
  <c r="G1422" i="61" s="1"/>
  <c r="F1414" i="61"/>
  <c r="G1414" i="61" s="1"/>
  <c r="F1406" i="61"/>
  <c r="G1406" i="61" s="1"/>
  <c r="F1398" i="61"/>
  <c r="G1398" i="61" s="1"/>
  <c r="F1798" i="61"/>
  <c r="G1798" i="61" s="1"/>
  <c r="F1782" i="61"/>
  <c r="G1782" i="61" s="1"/>
  <c r="F1766" i="61"/>
  <c r="G1766" i="61" s="1"/>
  <c r="F2162" i="61"/>
  <c r="G2162" i="61" s="1"/>
  <c r="F1795" i="61"/>
  <c r="G1795" i="61" s="1"/>
  <c r="F1779" i="61"/>
  <c r="G1779" i="61" s="1"/>
  <c r="F1763" i="61"/>
  <c r="G1763" i="61" s="1"/>
  <c r="F2154" i="61"/>
  <c r="G2154" i="61" s="1"/>
  <c r="F1794" i="61"/>
  <c r="G1794" i="61" s="1"/>
  <c r="F1778" i="61"/>
  <c r="G1778" i="61" s="1"/>
  <c r="F1762" i="61"/>
  <c r="G1762" i="61" s="1"/>
  <c r="F1435" i="61"/>
  <c r="G1435" i="61" s="1"/>
  <c r="F1427" i="61"/>
  <c r="G1427" i="61" s="1"/>
  <c r="F1419" i="61"/>
  <c r="G1419" i="61" s="1"/>
  <c r="F1411" i="61"/>
  <c r="G1411" i="61" s="1"/>
  <c r="F1403" i="61"/>
  <c r="G1403" i="61" s="1"/>
  <c r="F2146" i="61"/>
  <c r="G2146" i="61" s="1"/>
  <c r="F1792" i="61"/>
  <c r="G1792" i="61" s="1"/>
  <c r="F1776" i="61"/>
  <c r="G1776" i="61" s="1"/>
  <c r="F1760" i="61"/>
  <c r="G1760" i="61" s="1"/>
  <c r="F1442" i="61"/>
  <c r="G1442" i="61" s="1"/>
  <c r="F1434" i="61"/>
  <c r="G1434" i="61" s="1"/>
  <c r="F1426" i="61"/>
  <c r="G1426" i="61" s="1"/>
  <c r="F1418" i="61"/>
  <c r="G1418" i="61" s="1"/>
  <c r="F1410" i="61"/>
  <c r="G1410" i="61" s="1"/>
  <c r="F1402" i="61"/>
  <c r="G1402" i="61" s="1"/>
  <c r="F2130" i="61"/>
  <c r="G2130" i="61" s="1"/>
  <c r="F1787" i="61"/>
  <c r="G1787" i="61" s="1"/>
  <c r="F1771" i="61"/>
  <c r="G1771" i="61" s="1"/>
  <c r="F1440" i="61"/>
  <c r="G1440" i="61" s="1"/>
  <c r="F1432" i="61"/>
  <c r="G1432" i="61" s="1"/>
  <c r="F1424" i="61"/>
  <c r="G1424" i="61" s="1"/>
  <c r="F1416" i="61"/>
  <c r="G1416" i="61" s="1"/>
  <c r="F1408" i="61"/>
  <c r="G1408" i="61" s="1"/>
  <c r="F1400" i="61"/>
  <c r="G1400" i="61" s="1"/>
  <c r="F1437" i="61"/>
  <c r="G1437" i="61" s="1"/>
  <c r="F1421" i="61"/>
  <c r="G1421" i="61" s="1"/>
  <c r="F1405" i="61"/>
  <c r="G1405" i="61" s="1"/>
  <c r="F1082" i="61"/>
  <c r="G1082" i="61" s="1"/>
  <c r="F1074" i="61"/>
  <c r="G1074" i="61" s="1"/>
  <c r="F1066" i="61"/>
  <c r="G1066" i="61" s="1"/>
  <c r="F1058" i="61"/>
  <c r="G1058" i="61" s="1"/>
  <c r="F1050" i="61"/>
  <c r="G1050" i="61" s="1"/>
  <c r="F1042" i="61"/>
  <c r="G1042" i="61" s="1"/>
  <c r="F722" i="61"/>
  <c r="G722" i="61" s="1"/>
  <c r="F714" i="61"/>
  <c r="G714" i="61" s="1"/>
  <c r="F706" i="61"/>
  <c r="G706" i="61" s="1"/>
  <c r="F698" i="61"/>
  <c r="G698" i="61" s="1"/>
  <c r="F690" i="61"/>
  <c r="G690" i="61" s="1"/>
  <c r="F682" i="61"/>
  <c r="G682" i="61" s="1"/>
  <c r="F319" i="61"/>
  <c r="G319" i="61" s="1"/>
  <c r="F327" i="61"/>
  <c r="G327" i="61" s="1"/>
  <c r="F335" i="61"/>
  <c r="G335" i="61" s="1"/>
  <c r="F1790" i="61"/>
  <c r="G1790" i="61" s="1"/>
  <c r="F1436" i="61"/>
  <c r="G1436" i="61" s="1"/>
  <c r="F1420" i="61"/>
  <c r="G1420" i="61" s="1"/>
  <c r="F1404" i="61"/>
  <c r="G1404" i="61" s="1"/>
  <c r="F1081" i="61"/>
  <c r="G1081" i="61" s="1"/>
  <c r="F1073" i="61"/>
  <c r="G1073" i="61" s="1"/>
  <c r="F1065" i="61"/>
  <c r="G1065" i="61" s="1"/>
  <c r="F1057" i="61"/>
  <c r="G1057" i="61" s="1"/>
  <c r="F1049" i="61"/>
  <c r="G1049" i="61" s="1"/>
  <c r="F1041" i="61"/>
  <c r="G1041" i="61" s="1"/>
  <c r="F721" i="61"/>
  <c r="G721" i="61" s="1"/>
  <c r="F713" i="61"/>
  <c r="G713" i="61" s="1"/>
  <c r="F705" i="61"/>
  <c r="G705" i="61" s="1"/>
  <c r="F697" i="61"/>
  <c r="G697" i="61" s="1"/>
  <c r="F689" i="61"/>
  <c r="G689" i="61" s="1"/>
  <c r="F681" i="61"/>
  <c r="G681" i="61" s="1"/>
  <c r="F320" i="61"/>
  <c r="G320" i="61" s="1"/>
  <c r="F328" i="61"/>
  <c r="G328" i="61" s="1"/>
  <c r="F336" i="61"/>
  <c r="G336" i="61" s="1"/>
  <c r="F344" i="61"/>
  <c r="G344" i="61" s="1"/>
  <c r="F352" i="61"/>
  <c r="G352" i="61" s="1"/>
  <c r="F360" i="61"/>
  <c r="G360" i="61" s="1"/>
  <c r="F1774" i="61"/>
  <c r="G1774" i="61" s="1"/>
  <c r="F1433" i="61"/>
  <c r="G1433" i="61" s="1"/>
  <c r="F1417" i="61"/>
  <c r="G1417" i="61" s="1"/>
  <c r="F1401" i="61"/>
  <c r="G1401" i="61" s="1"/>
  <c r="F1080" i="61"/>
  <c r="G1080" i="61" s="1"/>
  <c r="F1072" i="61"/>
  <c r="G1072" i="61" s="1"/>
  <c r="F1064" i="61"/>
  <c r="G1064" i="61" s="1"/>
  <c r="F1056" i="61"/>
  <c r="G1056" i="61" s="1"/>
  <c r="F1048" i="61"/>
  <c r="G1048" i="61" s="1"/>
  <c r="F1040" i="61"/>
  <c r="G1040" i="61" s="1"/>
  <c r="F720" i="61"/>
  <c r="G720" i="61" s="1"/>
  <c r="F712" i="61"/>
  <c r="G712" i="61" s="1"/>
  <c r="F704" i="61"/>
  <c r="G704" i="61" s="1"/>
  <c r="F696" i="61"/>
  <c r="G696" i="61" s="1"/>
  <c r="F688" i="61"/>
  <c r="G688" i="61" s="1"/>
  <c r="F680" i="61"/>
  <c r="G680" i="61" s="1"/>
  <c r="F321" i="61"/>
  <c r="G321" i="61" s="1"/>
  <c r="F329" i="61"/>
  <c r="G329" i="61" s="1"/>
  <c r="F337" i="61"/>
  <c r="G337" i="61" s="1"/>
  <c r="F345" i="61"/>
  <c r="G345" i="61" s="1"/>
  <c r="F353" i="61"/>
  <c r="G353" i="61" s="1"/>
  <c r="F361" i="61"/>
  <c r="G361" i="61" s="1"/>
  <c r="F1758" i="61"/>
  <c r="G1758" i="61" s="1"/>
  <c r="F1431" i="61"/>
  <c r="G1431" i="61" s="1"/>
  <c r="F1415" i="61"/>
  <c r="G1415" i="61" s="1"/>
  <c r="F1399" i="61"/>
  <c r="G1399" i="61" s="1"/>
  <c r="F1079" i="61"/>
  <c r="G1079" i="61" s="1"/>
  <c r="F1071" i="61"/>
  <c r="G1071" i="61" s="1"/>
  <c r="F1063" i="61"/>
  <c r="G1063" i="61" s="1"/>
  <c r="F1055" i="61"/>
  <c r="G1055" i="61" s="1"/>
  <c r="F1047" i="61"/>
  <c r="G1047" i="61" s="1"/>
  <c r="F1039" i="61"/>
  <c r="G1039" i="61" s="1"/>
  <c r="F719" i="61"/>
  <c r="G719" i="61" s="1"/>
  <c r="F711" i="61"/>
  <c r="G711" i="61" s="1"/>
  <c r="F703" i="61"/>
  <c r="G703" i="61" s="1"/>
  <c r="F695" i="61"/>
  <c r="G695" i="61" s="1"/>
  <c r="F687" i="61"/>
  <c r="G687" i="61" s="1"/>
  <c r="F679" i="61"/>
  <c r="G679" i="61" s="1"/>
  <c r="F322" i="61"/>
  <c r="G322" i="61" s="1"/>
  <c r="F330" i="61"/>
  <c r="G330" i="61" s="1"/>
  <c r="F338" i="61"/>
  <c r="G338" i="61" s="1"/>
  <c r="F346" i="61"/>
  <c r="G346" i="61" s="1"/>
  <c r="F354" i="61"/>
  <c r="G354" i="61" s="1"/>
  <c r="F362" i="61"/>
  <c r="G362" i="61" s="1"/>
  <c r="F1429" i="61"/>
  <c r="G1429" i="61" s="1"/>
  <c r="F1413" i="61"/>
  <c r="G1413" i="61" s="1"/>
  <c r="F1078" i="61"/>
  <c r="G1078" i="61" s="1"/>
  <c r="F1070" i="61"/>
  <c r="G1070" i="61" s="1"/>
  <c r="F1062" i="61"/>
  <c r="G1062" i="61" s="1"/>
  <c r="F1054" i="61"/>
  <c r="G1054" i="61" s="1"/>
  <c r="F1046" i="61"/>
  <c r="G1046" i="61" s="1"/>
  <c r="F1038" i="61"/>
  <c r="G1038" i="61" s="1"/>
  <c r="F718" i="61"/>
  <c r="G718" i="61" s="1"/>
  <c r="F710" i="61"/>
  <c r="G710" i="61" s="1"/>
  <c r="F702" i="61"/>
  <c r="G702" i="61" s="1"/>
  <c r="F694" i="61"/>
  <c r="G694" i="61" s="1"/>
  <c r="F686" i="61"/>
  <c r="G686" i="61" s="1"/>
  <c r="F678" i="61"/>
  <c r="G678" i="61" s="1"/>
  <c r="F323" i="61"/>
  <c r="G323" i="61" s="1"/>
  <c r="F331" i="61"/>
  <c r="G331" i="61" s="1"/>
  <c r="F339" i="61"/>
  <c r="G339" i="61" s="1"/>
  <c r="F347" i="61"/>
  <c r="G347" i="61" s="1"/>
  <c r="F355" i="61"/>
  <c r="G355" i="61" s="1"/>
  <c r="F318" i="61"/>
  <c r="G318" i="61" s="1"/>
  <c r="F2138" i="61"/>
  <c r="G2138" i="61" s="1"/>
  <c r="F1428" i="61"/>
  <c r="G1428" i="61" s="1"/>
  <c r="F1412" i="61"/>
  <c r="G1412" i="61" s="1"/>
  <c r="F1077" i="61"/>
  <c r="G1077" i="61" s="1"/>
  <c r="F1069" i="61"/>
  <c r="G1069" i="61" s="1"/>
  <c r="F1061" i="61"/>
  <c r="G1061" i="61" s="1"/>
  <c r="F1053" i="61"/>
  <c r="G1053" i="61" s="1"/>
  <c r="F1045" i="61"/>
  <c r="G1045" i="61" s="1"/>
  <c r="F717" i="61"/>
  <c r="G717" i="61" s="1"/>
  <c r="F709" i="61"/>
  <c r="G709" i="61" s="1"/>
  <c r="F701" i="61"/>
  <c r="G701" i="61" s="1"/>
  <c r="F693" i="61"/>
  <c r="G693" i="61" s="1"/>
  <c r="F685" i="61"/>
  <c r="G685" i="61" s="1"/>
  <c r="F324" i="61"/>
  <c r="G324" i="61" s="1"/>
  <c r="F332" i="61"/>
  <c r="G332" i="61" s="1"/>
  <c r="F340" i="61"/>
  <c r="G340" i="61" s="1"/>
  <c r="F1441" i="61"/>
  <c r="G1441" i="61" s="1"/>
  <c r="F1425" i="61"/>
  <c r="G1425" i="61" s="1"/>
  <c r="F1409" i="61"/>
  <c r="G1409" i="61" s="1"/>
  <c r="F1076" i="61"/>
  <c r="G1076" i="61" s="1"/>
  <c r="F1068" i="61"/>
  <c r="G1068" i="61" s="1"/>
  <c r="F1060" i="61"/>
  <c r="G1060" i="61" s="1"/>
  <c r="F1052" i="61"/>
  <c r="G1052" i="61" s="1"/>
  <c r="F1044" i="61"/>
  <c r="G1044" i="61" s="1"/>
  <c r="F716" i="61"/>
  <c r="G716" i="61" s="1"/>
  <c r="F708" i="61"/>
  <c r="G708" i="61" s="1"/>
  <c r="F700" i="61"/>
  <c r="G700" i="61" s="1"/>
  <c r="F692" i="61"/>
  <c r="G692" i="61" s="1"/>
  <c r="F684" i="61"/>
  <c r="G684" i="61" s="1"/>
  <c r="F325" i="61"/>
  <c r="G325" i="61" s="1"/>
  <c r="F333" i="61"/>
  <c r="G333" i="61" s="1"/>
  <c r="F341" i="61"/>
  <c r="G341" i="61" s="1"/>
  <c r="F349" i="61"/>
  <c r="G349" i="61" s="1"/>
  <c r="F357" i="61"/>
  <c r="G357" i="61" s="1"/>
  <c r="F1439" i="61"/>
  <c r="G1439" i="61" s="1"/>
  <c r="F1423" i="61"/>
  <c r="G1423" i="61" s="1"/>
  <c r="F1407" i="61"/>
  <c r="G1407" i="61" s="1"/>
  <c r="F1075" i="61"/>
  <c r="G1075" i="61" s="1"/>
  <c r="F1067" i="61"/>
  <c r="G1067" i="61" s="1"/>
  <c r="F1059" i="61"/>
  <c r="G1059" i="61" s="1"/>
  <c r="F1051" i="61"/>
  <c r="G1051" i="61" s="1"/>
  <c r="F1043" i="61"/>
  <c r="G1043" i="61" s="1"/>
  <c r="F715" i="61"/>
  <c r="G715" i="61" s="1"/>
  <c r="F707" i="61"/>
  <c r="G707" i="61" s="1"/>
  <c r="F699" i="61"/>
  <c r="G699" i="61" s="1"/>
  <c r="F691" i="61"/>
  <c r="G691" i="61" s="1"/>
  <c r="F683" i="61"/>
  <c r="G683" i="61" s="1"/>
  <c r="F334" i="61"/>
  <c r="G334" i="61" s="1"/>
  <c r="F359" i="61"/>
  <c r="G359" i="61" s="1"/>
  <c r="F342" i="61"/>
  <c r="G342" i="61" s="1"/>
  <c r="F343" i="61"/>
  <c r="G343" i="61" s="1"/>
  <c r="F348" i="61"/>
  <c r="G348" i="61" s="1"/>
  <c r="F350" i="61"/>
  <c r="G350" i="61" s="1"/>
  <c r="F351" i="61"/>
  <c r="G351" i="61" s="1"/>
  <c r="F326" i="61"/>
  <c r="G326" i="61" s="1"/>
  <c r="F358" i="61"/>
  <c r="G358" i="61" s="1"/>
  <c r="F356" i="61"/>
  <c r="G356" i="61" s="1"/>
  <c r="J23" i="60"/>
  <c r="J31" i="60"/>
  <c r="J39" i="60"/>
  <c r="J47" i="60"/>
  <c r="J55" i="60"/>
  <c r="J63" i="60"/>
  <c r="J71" i="60"/>
  <c r="J79" i="60"/>
  <c r="J87" i="60"/>
  <c r="J95" i="60"/>
  <c r="J103" i="60"/>
  <c r="J111" i="60"/>
  <c r="J119" i="60"/>
  <c r="J127" i="60"/>
  <c r="J135" i="60"/>
  <c r="J143" i="60"/>
  <c r="J151" i="60"/>
  <c r="J159" i="60"/>
  <c r="J167" i="60"/>
  <c r="J175" i="60"/>
  <c r="J183" i="60"/>
  <c r="J191" i="60"/>
  <c r="J199" i="60"/>
  <c r="J207" i="60"/>
  <c r="J215" i="60"/>
  <c r="J223" i="60"/>
  <c r="J231" i="60"/>
  <c r="J239" i="60"/>
  <c r="J247" i="60"/>
  <c r="J255" i="60"/>
  <c r="J263" i="60"/>
  <c r="J271" i="60"/>
  <c r="J10" i="60"/>
  <c r="J18" i="60"/>
  <c r="J61" i="60"/>
  <c r="J117" i="60"/>
  <c r="J173" i="60"/>
  <c r="J229" i="60"/>
  <c r="J8" i="60"/>
  <c r="J38" i="60"/>
  <c r="J86" i="60"/>
  <c r="J110" i="60"/>
  <c r="J166" i="60"/>
  <c r="J214" i="60"/>
  <c r="J254" i="60"/>
  <c r="J24" i="60"/>
  <c r="J32" i="60"/>
  <c r="J40" i="60"/>
  <c r="J48" i="60"/>
  <c r="J56" i="60"/>
  <c r="J64" i="60"/>
  <c r="J72" i="60"/>
  <c r="J80" i="60"/>
  <c r="J88" i="60"/>
  <c r="J96" i="60"/>
  <c r="J104" i="60"/>
  <c r="J112" i="60"/>
  <c r="J120" i="60"/>
  <c r="J128" i="60"/>
  <c r="J136" i="60"/>
  <c r="J144" i="60"/>
  <c r="J152" i="60"/>
  <c r="J160" i="60"/>
  <c r="J168" i="60"/>
  <c r="J176" i="60"/>
  <c r="J184" i="60"/>
  <c r="J192" i="60"/>
  <c r="J200" i="60"/>
  <c r="J208" i="60"/>
  <c r="J216" i="60"/>
  <c r="J224" i="60"/>
  <c r="J232" i="60"/>
  <c r="J240" i="60"/>
  <c r="J248" i="60"/>
  <c r="J256" i="60"/>
  <c r="J264" i="60"/>
  <c r="J272" i="60"/>
  <c r="J11" i="60"/>
  <c r="J19" i="60"/>
  <c r="J37" i="60"/>
  <c r="J85" i="60"/>
  <c r="J109" i="60"/>
  <c r="J149" i="60"/>
  <c r="J197" i="60"/>
  <c r="J237" i="60"/>
  <c r="J16" i="60"/>
  <c r="J54" i="60"/>
  <c r="J102" i="60"/>
  <c r="J150" i="60"/>
  <c r="J198" i="60"/>
  <c r="J246" i="60"/>
  <c r="J25" i="60"/>
  <c r="J33" i="60"/>
  <c r="J41" i="60"/>
  <c r="J49" i="60"/>
  <c r="J57" i="60"/>
  <c r="J65" i="60"/>
  <c r="J73" i="60"/>
  <c r="J81" i="60"/>
  <c r="J89" i="60"/>
  <c r="J97" i="60"/>
  <c r="J105" i="60"/>
  <c r="J113" i="60"/>
  <c r="J121" i="60"/>
  <c r="J129" i="60"/>
  <c r="J137" i="60"/>
  <c r="J145" i="60"/>
  <c r="J153" i="60"/>
  <c r="J161" i="60"/>
  <c r="J169" i="60"/>
  <c r="J177" i="60"/>
  <c r="J185" i="60"/>
  <c r="J193" i="60"/>
  <c r="J201" i="60"/>
  <c r="J209" i="60"/>
  <c r="J217" i="60"/>
  <c r="J225" i="60"/>
  <c r="J233" i="60"/>
  <c r="J241" i="60"/>
  <c r="J249" i="60"/>
  <c r="J257" i="60"/>
  <c r="J265" i="60"/>
  <c r="J4" i="60"/>
  <c r="J12" i="60"/>
  <c r="J20" i="60"/>
  <c r="J29" i="60"/>
  <c r="J77" i="60"/>
  <c r="J93" i="60"/>
  <c r="J101" i="60"/>
  <c r="J133" i="60"/>
  <c r="J165" i="60"/>
  <c r="J213" i="60"/>
  <c r="J261" i="60"/>
  <c r="J30" i="60"/>
  <c r="J94" i="60"/>
  <c r="J126" i="60"/>
  <c r="J174" i="60"/>
  <c r="J222" i="60"/>
  <c r="J270" i="60"/>
  <c r="J26" i="60"/>
  <c r="J34" i="60"/>
  <c r="J42" i="60"/>
  <c r="J50" i="60"/>
  <c r="J58" i="60"/>
  <c r="J66" i="60"/>
  <c r="J74" i="60"/>
  <c r="J82" i="60"/>
  <c r="J90" i="60"/>
  <c r="J98" i="60"/>
  <c r="J106" i="60"/>
  <c r="J114" i="60"/>
  <c r="J122" i="60"/>
  <c r="J130" i="60"/>
  <c r="J138" i="60"/>
  <c r="J146" i="60"/>
  <c r="J154" i="60"/>
  <c r="J162" i="60"/>
  <c r="J170" i="60"/>
  <c r="J178" i="60"/>
  <c r="J186" i="60"/>
  <c r="J194" i="60"/>
  <c r="J202" i="60"/>
  <c r="J210" i="60"/>
  <c r="J218" i="60"/>
  <c r="J226" i="60"/>
  <c r="J234" i="60"/>
  <c r="J242" i="60"/>
  <c r="J250" i="60"/>
  <c r="J258" i="60"/>
  <c r="J266" i="60"/>
  <c r="J5" i="60"/>
  <c r="J13" i="60"/>
  <c r="J21" i="60"/>
  <c r="J69" i="60"/>
  <c r="J157" i="60"/>
  <c r="J205" i="60"/>
  <c r="J253" i="60"/>
  <c r="J70" i="60"/>
  <c r="J142" i="60"/>
  <c r="J190" i="60"/>
  <c r="J238" i="60"/>
  <c r="J17" i="60"/>
  <c r="J27" i="60"/>
  <c r="J35" i="60"/>
  <c r="J43" i="60"/>
  <c r="J51" i="60"/>
  <c r="J59" i="60"/>
  <c r="J67" i="60"/>
  <c r="J75" i="60"/>
  <c r="J83" i="60"/>
  <c r="J91" i="60"/>
  <c r="J99" i="60"/>
  <c r="J107" i="60"/>
  <c r="J115" i="60"/>
  <c r="J123" i="60"/>
  <c r="J131" i="60"/>
  <c r="J139" i="60"/>
  <c r="J147" i="60"/>
  <c r="J155" i="60"/>
  <c r="J163" i="60"/>
  <c r="J171" i="60"/>
  <c r="J179" i="60"/>
  <c r="J187" i="60"/>
  <c r="J195" i="60"/>
  <c r="J203" i="60"/>
  <c r="J211" i="60"/>
  <c r="J219" i="60"/>
  <c r="J227" i="60"/>
  <c r="J235" i="60"/>
  <c r="J243" i="60"/>
  <c r="J251" i="60"/>
  <c r="J259" i="60"/>
  <c r="J267" i="60"/>
  <c r="J6" i="60"/>
  <c r="J14" i="60"/>
  <c r="J22" i="60"/>
  <c r="J53" i="60"/>
  <c r="J125" i="60"/>
  <c r="J181" i="60"/>
  <c r="J221" i="60"/>
  <c r="J269" i="60"/>
  <c r="J46" i="60"/>
  <c r="J78" i="60"/>
  <c r="J118" i="60"/>
  <c r="J158" i="60"/>
  <c r="J206" i="60"/>
  <c r="J262" i="60"/>
  <c r="J28" i="60"/>
  <c r="J36" i="60"/>
  <c r="J44" i="60"/>
  <c r="J52" i="60"/>
  <c r="J60" i="60"/>
  <c r="J68" i="60"/>
  <c r="J76" i="60"/>
  <c r="J84" i="60"/>
  <c r="J92" i="60"/>
  <c r="J100" i="60"/>
  <c r="J108" i="60"/>
  <c r="J116" i="60"/>
  <c r="J124" i="60"/>
  <c r="J132" i="60"/>
  <c r="J140" i="60"/>
  <c r="J148" i="60"/>
  <c r="J156" i="60"/>
  <c r="J164" i="60"/>
  <c r="J172" i="60"/>
  <c r="J180" i="60"/>
  <c r="J188" i="60"/>
  <c r="J196" i="60"/>
  <c r="J204" i="60"/>
  <c r="J212" i="60"/>
  <c r="J220" i="60"/>
  <c r="J228" i="60"/>
  <c r="J236" i="60"/>
  <c r="J244" i="60"/>
  <c r="J252" i="60"/>
  <c r="J260" i="60"/>
  <c r="J268" i="60"/>
  <c r="J7" i="60"/>
  <c r="J15" i="60"/>
  <c r="J45" i="60"/>
  <c r="J141" i="60"/>
  <c r="J189" i="60"/>
  <c r="J245" i="60"/>
  <c r="J62" i="60"/>
  <c r="J134" i="60"/>
  <c r="J182" i="60"/>
  <c r="J230" i="60"/>
  <c r="J9" i="60"/>
  <c r="A175" i="53"/>
  <c r="H8" i="60"/>
  <c r="H16" i="60"/>
  <c r="H9" i="60"/>
  <c r="H17" i="60"/>
  <c r="H25" i="60"/>
  <c r="H33" i="60"/>
  <c r="H41" i="60"/>
  <c r="H57" i="60"/>
  <c r="H65" i="60"/>
  <c r="H73" i="60"/>
  <c r="H81" i="60"/>
  <c r="H89" i="60"/>
  <c r="H105" i="60"/>
  <c r="H113" i="60"/>
  <c r="H121" i="60"/>
  <c r="H129" i="60"/>
  <c r="H137" i="60"/>
  <c r="H145" i="60"/>
  <c r="H153" i="60"/>
  <c r="H161" i="60"/>
  <c r="H169" i="60"/>
  <c r="H177" i="60"/>
  <c r="H193" i="60"/>
  <c r="H201" i="60"/>
  <c r="H209" i="60"/>
  <c r="H217" i="60"/>
  <c r="H225" i="60"/>
  <c r="H233" i="60"/>
  <c r="H241" i="60"/>
  <c r="H249" i="60"/>
  <c r="H257" i="60"/>
  <c r="H265" i="60"/>
  <c r="H10" i="60"/>
  <c r="H18" i="60"/>
  <c r="H26" i="60"/>
  <c r="H34" i="60"/>
  <c r="H42" i="60"/>
  <c r="H58" i="60"/>
  <c r="H66" i="60"/>
  <c r="H74" i="60"/>
  <c r="H82" i="60"/>
  <c r="H90" i="60"/>
  <c r="H98" i="60"/>
  <c r="H106" i="60"/>
  <c r="H114" i="60"/>
  <c r="H122" i="60"/>
  <c r="H130" i="60"/>
  <c r="H146" i="60"/>
  <c r="H154" i="60"/>
  <c r="H162" i="60"/>
  <c r="H170" i="60"/>
  <c r="H178" i="60"/>
  <c r="H194" i="60"/>
  <c r="H202" i="60"/>
  <c r="H210" i="60"/>
  <c r="H218" i="60"/>
  <c r="H226" i="60"/>
  <c r="H234" i="60"/>
  <c r="H242" i="60"/>
  <c r="H250" i="60"/>
  <c r="H258" i="60"/>
  <c r="H266" i="60"/>
  <c r="H12" i="60"/>
  <c r="H20" i="60"/>
  <c r="H28" i="60"/>
  <c r="H36" i="60"/>
  <c r="H44" i="60"/>
  <c r="H60" i="60"/>
  <c r="H68" i="60"/>
  <c r="H76" i="60"/>
  <c r="H84" i="60"/>
  <c r="H92" i="60"/>
  <c r="H100" i="60"/>
  <c r="H108" i="60"/>
  <c r="H116" i="60"/>
  <c r="H124" i="60"/>
  <c r="H132" i="60"/>
  <c r="H148" i="60"/>
  <c r="H156" i="60"/>
  <c r="H164" i="60"/>
  <c r="H172" i="60"/>
  <c r="H180" i="60"/>
  <c r="H188" i="60"/>
  <c r="H196" i="60"/>
  <c r="H204" i="60"/>
  <c r="H212" i="60"/>
  <c r="H220" i="60"/>
  <c r="H236" i="60"/>
  <c r="H244" i="60"/>
  <c r="H252" i="60"/>
  <c r="H260" i="60"/>
  <c r="H268" i="60"/>
  <c r="H13" i="60"/>
  <c r="H21" i="60"/>
  <c r="H29" i="60"/>
  <c r="H37" i="60"/>
  <c r="H45" i="60"/>
  <c r="H53" i="60"/>
  <c r="H61" i="60"/>
  <c r="H69" i="60"/>
  <c r="H77" i="60"/>
  <c r="H85" i="60"/>
  <c r="H101" i="60"/>
  <c r="H109" i="60"/>
  <c r="H117" i="60"/>
  <c r="H125" i="60"/>
  <c r="H133" i="60"/>
  <c r="H149" i="60"/>
  <c r="H157" i="60"/>
  <c r="H165" i="60"/>
  <c r="H173" i="60"/>
  <c r="H181" i="60"/>
  <c r="H189" i="60"/>
  <c r="H197" i="60"/>
  <c r="H205" i="60"/>
  <c r="H213" i="60"/>
  <c r="H221" i="60"/>
  <c r="H237" i="60"/>
  <c r="H245" i="60"/>
  <c r="H253" i="60"/>
  <c r="H261" i="60"/>
  <c r="H269" i="60"/>
  <c r="H24" i="60"/>
  <c r="H40" i="60"/>
  <c r="H67" i="60"/>
  <c r="H83" i="60"/>
  <c r="H111" i="60"/>
  <c r="H127" i="60"/>
  <c r="H152" i="60"/>
  <c r="H168" i="60"/>
  <c r="H198" i="60"/>
  <c r="H214" i="60"/>
  <c r="H240" i="60"/>
  <c r="H256" i="60"/>
  <c r="H272" i="60"/>
  <c r="H27" i="60"/>
  <c r="H43" i="60"/>
  <c r="H54" i="60"/>
  <c r="H70" i="60"/>
  <c r="H86" i="60"/>
  <c r="H112" i="60"/>
  <c r="H128" i="60"/>
  <c r="H155" i="60"/>
  <c r="H171" i="60"/>
  <c r="H199" i="60"/>
  <c r="H215" i="60"/>
  <c r="H243" i="60"/>
  <c r="H259" i="60"/>
  <c r="H11" i="60"/>
  <c r="H30" i="60"/>
  <c r="H46" i="60"/>
  <c r="H55" i="60"/>
  <c r="H71" i="60"/>
  <c r="H87" i="60"/>
  <c r="H99" i="60"/>
  <c r="H115" i="60"/>
  <c r="H131" i="60"/>
  <c r="H158" i="60"/>
  <c r="H174" i="60"/>
  <c r="H200" i="60"/>
  <c r="H216" i="60"/>
  <c r="H246" i="60"/>
  <c r="H262" i="60"/>
  <c r="H14" i="60"/>
  <c r="H31" i="60"/>
  <c r="H47" i="60"/>
  <c r="H56" i="60"/>
  <c r="H72" i="60"/>
  <c r="H88" i="60"/>
  <c r="H102" i="60"/>
  <c r="H118" i="60"/>
  <c r="H134" i="60"/>
  <c r="H143" i="60"/>
  <c r="H159" i="60"/>
  <c r="H175" i="60"/>
  <c r="H203" i="60"/>
  <c r="H219" i="60"/>
  <c r="H247" i="60"/>
  <c r="H263" i="60"/>
  <c r="H15" i="60"/>
  <c r="H32" i="60"/>
  <c r="H59" i="60"/>
  <c r="H75" i="60"/>
  <c r="H91" i="60"/>
  <c r="H103" i="60"/>
  <c r="H119" i="60"/>
  <c r="H135" i="60"/>
  <c r="H144" i="60"/>
  <c r="H160" i="60"/>
  <c r="H176" i="60"/>
  <c r="H190" i="60"/>
  <c r="H206" i="60"/>
  <c r="H222" i="60"/>
  <c r="H248" i="60"/>
  <c r="H264" i="60"/>
  <c r="H19" i="60"/>
  <c r="H35" i="60"/>
  <c r="H62" i="60"/>
  <c r="H78" i="60"/>
  <c r="H104" i="60"/>
  <c r="H120" i="60"/>
  <c r="H136" i="60"/>
  <c r="H147" i="60"/>
  <c r="H163" i="60"/>
  <c r="H179" i="60"/>
  <c r="H191" i="60"/>
  <c r="H207" i="60"/>
  <c r="H223" i="60"/>
  <c r="H235" i="60"/>
  <c r="H251" i="60"/>
  <c r="H267" i="60"/>
  <c r="H23" i="60"/>
  <c r="H39" i="60"/>
  <c r="H64" i="60"/>
  <c r="H80" i="60"/>
  <c r="H110" i="60"/>
  <c r="H126" i="60"/>
  <c r="H151" i="60"/>
  <c r="H167" i="60"/>
  <c r="H195" i="60"/>
  <c r="H211" i="60"/>
  <c r="H227" i="60"/>
  <c r="H239" i="60"/>
  <c r="H255" i="60"/>
  <c r="H271" i="60"/>
  <c r="H63" i="60"/>
  <c r="H123" i="60"/>
  <c r="H182" i="60"/>
  <c r="H224" i="60"/>
  <c r="H270" i="60"/>
  <c r="H22" i="60"/>
  <c r="H79" i="60"/>
  <c r="H38" i="60"/>
  <c r="H107" i="60"/>
  <c r="H208" i="60"/>
  <c r="H254" i="60"/>
  <c r="H150" i="60"/>
  <c r="H192" i="60"/>
  <c r="H238" i="60"/>
  <c r="H166" i="60"/>
  <c r="L239" i="60"/>
  <c r="L267" i="60"/>
  <c r="L254" i="60"/>
  <c r="L244" i="60"/>
  <c r="L250" i="60"/>
  <c r="L247" i="60"/>
  <c r="L232" i="60"/>
  <c r="L262" i="60"/>
  <c r="L236" i="60"/>
  <c r="L266" i="60"/>
  <c r="L229" i="60"/>
  <c r="L255" i="60"/>
  <c r="L240" i="60"/>
  <c r="L270" i="60"/>
  <c r="L258" i="60"/>
  <c r="L252" i="60"/>
  <c r="L269" i="60"/>
  <c r="L263" i="60"/>
  <c r="L248" i="60"/>
  <c r="L233" i="60"/>
  <c r="L242" i="60"/>
  <c r="L271" i="60"/>
  <c r="L256" i="60"/>
  <c r="L241" i="60"/>
  <c r="L235" i="60"/>
  <c r="L261" i="60"/>
  <c r="L264" i="60"/>
  <c r="L249" i="60"/>
  <c r="L243" i="60"/>
  <c r="L230" i="60"/>
  <c r="L234" i="60"/>
  <c r="L245" i="60"/>
  <c r="L231" i="60"/>
  <c r="L265" i="60"/>
  <c r="L259" i="60"/>
  <c r="L246" i="60"/>
  <c r="L260" i="60"/>
  <c r="L272" i="60"/>
  <c r="L251" i="60"/>
  <c r="L228" i="60"/>
  <c r="L237" i="60"/>
  <c r="L257" i="60"/>
  <c r="L238" i="60"/>
  <c r="L253" i="60"/>
  <c r="L268" i="60"/>
  <c r="M42" i="54"/>
  <c r="L209" i="54"/>
  <c r="M209" i="54" s="1"/>
  <c r="L217" i="54"/>
  <c r="M217" i="54" s="1"/>
  <c r="L225" i="54"/>
  <c r="M225" i="54" s="1"/>
  <c r="L233" i="54"/>
  <c r="M233" i="54" s="1"/>
  <c r="L241" i="54"/>
  <c r="M241" i="54" s="1"/>
  <c r="L210" i="54"/>
  <c r="M210" i="54" s="1"/>
  <c r="L218" i="54"/>
  <c r="M218" i="54" s="1"/>
  <c r="L234" i="54"/>
  <c r="M234" i="54" s="1"/>
  <c r="L235" i="54"/>
  <c r="M235" i="54" s="1"/>
  <c r="L205" i="54"/>
  <c r="M205" i="54" s="1"/>
  <c r="L229" i="54"/>
  <c r="M229" i="54" s="1"/>
  <c r="L216" i="54"/>
  <c r="M216" i="54" s="1"/>
  <c r="L226" i="54"/>
  <c r="M226" i="54" s="1"/>
  <c r="L242" i="54"/>
  <c r="M242" i="54" s="1"/>
  <c r="L221" i="54"/>
  <c r="M221" i="54" s="1"/>
  <c r="L208" i="54"/>
  <c r="M208" i="54" s="1"/>
  <c r="L203" i="54"/>
  <c r="M203" i="54" s="1"/>
  <c r="L211" i="54"/>
  <c r="M211" i="54" s="1"/>
  <c r="L219" i="54"/>
  <c r="M219" i="54" s="1"/>
  <c r="L227" i="54"/>
  <c r="M227" i="54" s="1"/>
  <c r="L213" i="54"/>
  <c r="M213" i="54" s="1"/>
  <c r="L204" i="54"/>
  <c r="M204" i="54" s="1"/>
  <c r="L212" i="54"/>
  <c r="M212" i="54" s="1"/>
  <c r="L220" i="54"/>
  <c r="M220" i="54" s="1"/>
  <c r="L228" i="54"/>
  <c r="M228" i="54" s="1"/>
  <c r="L236" i="54"/>
  <c r="M236" i="54" s="1"/>
  <c r="L237" i="54"/>
  <c r="M237" i="54" s="1"/>
  <c r="L224" i="54"/>
  <c r="M224" i="54" s="1"/>
  <c r="L206" i="54"/>
  <c r="M206" i="54" s="1"/>
  <c r="L214" i="54"/>
  <c r="M214" i="54" s="1"/>
  <c r="L222" i="54"/>
  <c r="M222" i="54" s="1"/>
  <c r="L230" i="54"/>
  <c r="M230" i="54" s="1"/>
  <c r="L238" i="54"/>
  <c r="M238" i="54" s="1"/>
  <c r="L240" i="54"/>
  <c r="M240" i="54" s="1"/>
  <c r="L207" i="54"/>
  <c r="M207" i="54" s="1"/>
  <c r="L215" i="54"/>
  <c r="M215" i="54" s="1"/>
  <c r="L223" i="54"/>
  <c r="M223" i="54" s="1"/>
  <c r="L231" i="54"/>
  <c r="M231" i="54" s="1"/>
  <c r="L239" i="54"/>
  <c r="M239" i="54" s="1"/>
  <c r="L232" i="54"/>
  <c r="M232" i="54" s="1"/>
  <c r="L163" i="54" l="1"/>
  <c r="M163" i="54" s="1"/>
  <c r="M4" i="60"/>
  <c r="M5" i="60"/>
  <c r="L57" i="60"/>
  <c r="L80" i="54"/>
  <c r="M80" i="54" s="1"/>
  <c r="L55" i="54"/>
  <c r="M55" i="54" s="1"/>
  <c r="L56" i="60"/>
  <c r="L74" i="54"/>
  <c r="M74" i="54" s="1"/>
  <c r="L73" i="54"/>
  <c r="M73" i="54" s="1"/>
  <c r="L56" i="54"/>
  <c r="M56" i="54" s="1"/>
  <c r="L66" i="54"/>
  <c r="M66" i="54" s="1"/>
  <c r="L87" i="60"/>
  <c r="L46" i="54"/>
  <c r="M46" i="54" s="1"/>
  <c r="L50" i="54"/>
  <c r="M50" i="54" s="1"/>
  <c r="L69" i="60"/>
  <c r="L76" i="54"/>
  <c r="M76" i="54" s="1"/>
  <c r="L84" i="60"/>
  <c r="L69" i="54"/>
  <c r="M69" i="54" s="1"/>
  <c r="L49" i="54"/>
  <c r="M49" i="54" s="1"/>
  <c r="L80" i="60"/>
  <c r="L63" i="60"/>
  <c r="L65" i="54"/>
  <c r="M65" i="54" s="1"/>
  <c r="L54" i="60"/>
  <c r="L55" i="60"/>
  <c r="L91" i="60"/>
  <c r="L75" i="54"/>
  <c r="M75" i="54" s="1"/>
  <c r="L63" i="54"/>
  <c r="M63" i="54" s="1"/>
  <c r="L59" i="54"/>
  <c r="M59" i="54" s="1"/>
  <c r="L73" i="60"/>
  <c r="L62" i="60"/>
  <c r="M6" i="60"/>
  <c r="L47" i="54"/>
  <c r="M47" i="54" s="1"/>
  <c r="L61" i="54"/>
  <c r="M61" i="54" s="1"/>
  <c r="L67" i="54"/>
  <c r="M67" i="54" s="1"/>
  <c r="L58" i="54"/>
  <c r="M58" i="54" s="1"/>
  <c r="L57" i="54"/>
  <c r="M57" i="54" s="1"/>
  <c r="L59" i="60"/>
  <c r="L67" i="60"/>
  <c r="L72" i="60"/>
  <c r="L86" i="60"/>
  <c r="L48" i="60"/>
  <c r="M48" i="60" s="1"/>
  <c r="L74" i="60"/>
  <c r="L64" i="54"/>
  <c r="M64" i="54" s="1"/>
  <c r="L78" i="54"/>
  <c r="M78" i="54" s="1"/>
  <c r="L68" i="54"/>
  <c r="M68" i="54" s="1"/>
  <c r="L51" i="54"/>
  <c r="M51" i="54" s="1"/>
  <c r="L72" i="54"/>
  <c r="M72" i="54" s="1"/>
  <c r="L65" i="60"/>
  <c r="L88" i="60"/>
  <c r="L53" i="60"/>
  <c r="L71" i="60"/>
  <c r="L60" i="60"/>
  <c r="L75" i="60"/>
  <c r="L48" i="54"/>
  <c r="M48" i="54" s="1"/>
  <c r="L43" i="54"/>
  <c r="M43" i="54" s="1"/>
  <c r="L68" i="60"/>
  <c r="L58" i="60"/>
  <c r="L92" i="60"/>
  <c r="L82" i="60"/>
  <c r="L66" i="60"/>
  <c r="L81" i="60"/>
  <c r="L70" i="54"/>
  <c r="M70" i="54" s="1"/>
  <c r="L77" i="54"/>
  <c r="M77" i="54" s="1"/>
  <c r="L79" i="54"/>
  <c r="M79" i="54" s="1"/>
  <c r="L62" i="54"/>
  <c r="M62" i="54" s="1"/>
  <c r="L52" i="54"/>
  <c r="M52" i="54" s="1"/>
  <c r="L45" i="54"/>
  <c r="M45" i="54" s="1"/>
  <c r="L53" i="54"/>
  <c r="M53" i="54" s="1"/>
  <c r="L77" i="60"/>
  <c r="L76" i="60"/>
  <c r="L49" i="60"/>
  <c r="M49" i="60" s="1"/>
  <c r="L50" i="60"/>
  <c r="M50" i="60" s="1"/>
  <c r="L70" i="60"/>
  <c r="L60" i="54"/>
  <c r="M60" i="54" s="1"/>
  <c r="L71" i="54"/>
  <c r="M71" i="54" s="1"/>
  <c r="L54" i="54"/>
  <c r="M54" i="54" s="1"/>
  <c r="L44" i="54"/>
  <c r="M44" i="54" s="1"/>
  <c r="L82" i="54"/>
  <c r="M82" i="54" s="1"/>
  <c r="L81" i="54"/>
  <c r="M81" i="54" s="1"/>
  <c r="L52" i="60"/>
  <c r="M52" i="60" s="1"/>
  <c r="L61" i="60"/>
  <c r="L64" i="60"/>
  <c r="L85" i="60"/>
  <c r="L83" i="60"/>
  <c r="L90" i="60"/>
  <c r="L51" i="60"/>
  <c r="M51" i="60" s="1"/>
  <c r="L79" i="60"/>
  <c r="L78" i="60"/>
  <c r="L144" i="54"/>
  <c r="M144" i="54" s="1"/>
  <c r="L151" i="60"/>
  <c r="L179" i="60"/>
  <c r="M7" i="60"/>
  <c r="D54" i="59"/>
  <c r="Q54" i="59" s="1"/>
  <c r="L108" i="54"/>
  <c r="M108" i="54" s="1"/>
  <c r="L97" i="54"/>
  <c r="M97" i="54" s="1"/>
  <c r="L116" i="54"/>
  <c r="M116" i="54" s="1"/>
  <c r="L120" i="54"/>
  <c r="M120" i="54" s="1"/>
  <c r="L92" i="54"/>
  <c r="M92" i="54" s="1"/>
  <c r="L89" i="54"/>
  <c r="M89" i="54" s="1"/>
  <c r="L117" i="60"/>
  <c r="L107" i="54"/>
  <c r="M107" i="54" s="1"/>
  <c r="L119" i="54"/>
  <c r="M119" i="54" s="1"/>
  <c r="L99" i="54"/>
  <c r="M99" i="54" s="1"/>
  <c r="L115" i="60"/>
  <c r="L112" i="54"/>
  <c r="M112" i="54" s="1"/>
  <c r="L83" i="54"/>
  <c r="M83" i="54" s="1"/>
  <c r="L128" i="60"/>
  <c r="L118" i="54"/>
  <c r="M118" i="54" s="1"/>
  <c r="L106" i="54"/>
  <c r="M106" i="54" s="1"/>
  <c r="L116" i="60"/>
  <c r="L102" i="54"/>
  <c r="M102" i="54" s="1"/>
  <c r="L98" i="54"/>
  <c r="M98" i="54" s="1"/>
  <c r="L104" i="60"/>
  <c r="L129" i="60"/>
  <c r="L107" i="60"/>
  <c r="L111" i="60"/>
  <c r="L104" i="54"/>
  <c r="M104" i="54" s="1"/>
  <c r="L110" i="54"/>
  <c r="M110" i="54" s="1"/>
  <c r="L100" i="54"/>
  <c r="M100" i="54" s="1"/>
  <c r="L91" i="54"/>
  <c r="M91" i="54" s="1"/>
  <c r="L90" i="54"/>
  <c r="M90" i="54" s="1"/>
  <c r="L95" i="60"/>
  <c r="M95" i="60" s="1"/>
  <c r="L102" i="60"/>
  <c r="L113" i="60"/>
  <c r="L135" i="60"/>
  <c r="L134" i="60"/>
  <c r="L111" i="54"/>
  <c r="M111" i="54" s="1"/>
  <c r="L94" i="54"/>
  <c r="M94" i="54" s="1"/>
  <c r="L84" i="54"/>
  <c r="M84" i="54" s="1"/>
  <c r="L88" i="54"/>
  <c r="M88" i="54" s="1"/>
  <c r="L101" i="54"/>
  <c r="M101" i="54" s="1"/>
  <c r="L106" i="60"/>
  <c r="L121" i="60"/>
  <c r="L122" i="60"/>
  <c r="L97" i="60"/>
  <c r="M97" i="60" s="1"/>
  <c r="L119" i="60"/>
  <c r="L103" i="54"/>
  <c r="M103" i="54" s="1"/>
  <c r="L86" i="54"/>
  <c r="M86" i="54" s="1"/>
  <c r="L96" i="54"/>
  <c r="M96" i="54" s="1"/>
  <c r="L93" i="54"/>
  <c r="M93" i="54" s="1"/>
  <c r="L121" i="54"/>
  <c r="M121" i="54" s="1"/>
  <c r="L123" i="60"/>
  <c r="L118" i="60"/>
  <c r="L136" i="60"/>
  <c r="L101" i="60"/>
  <c r="L112" i="60"/>
  <c r="L109" i="60"/>
  <c r="L95" i="54"/>
  <c r="M95" i="54" s="1"/>
  <c r="L117" i="54"/>
  <c r="M117" i="54" s="1"/>
  <c r="L109" i="54"/>
  <c r="M109" i="54" s="1"/>
  <c r="L122" i="54"/>
  <c r="M122" i="54" s="1"/>
  <c r="L113" i="54"/>
  <c r="M113" i="54" s="1"/>
  <c r="L98" i="60"/>
  <c r="L131" i="60"/>
  <c r="L124" i="60"/>
  <c r="L108" i="60"/>
  <c r="L127" i="60"/>
  <c r="L125" i="60"/>
  <c r="L87" i="54"/>
  <c r="M87" i="54" s="1"/>
  <c r="L85" i="54"/>
  <c r="M85" i="54" s="1"/>
  <c r="L115" i="54"/>
  <c r="M115" i="54" s="1"/>
  <c r="L114" i="54"/>
  <c r="M114" i="54" s="1"/>
  <c r="L105" i="54"/>
  <c r="M105" i="54" s="1"/>
  <c r="L133" i="60"/>
  <c r="L137" i="60"/>
  <c r="L130" i="60"/>
  <c r="L99" i="60"/>
  <c r="L100" i="60"/>
  <c r="L126" i="60"/>
  <c r="L110" i="60"/>
  <c r="L103" i="60"/>
  <c r="L94" i="60"/>
  <c r="M94" i="60" s="1"/>
  <c r="L105" i="60"/>
  <c r="L93" i="60"/>
  <c r="M93" i="60" s="1"/>
  <c r="L96" i="60"/>
  <c r="M96" i="60" s="1"/>
  <c r="L114" i="60"/>
  <c r="L120" i="60"/>
  <c r="L193" i="60"/>
  <c r="L194" i="60"/>
  <c r="L201" i="54"/>
  <c r="M201" i="54" s="1"/>
  <c r="L185" i="54"/>
  <c r="M185" i="54" s="1"/>
  <c r="L212" i="60"/>
  <c r="L189" i="60"/>
  <c r="L174" i="54"/>
  <c r="M174" i="54" s="1"/>
  <c r="L198" i="60"/>
  <c r="L168" i="54"/>
  <c r="M168" i="54" s="1"/>
  <c r="L213" i="60"/>
  <c r="L181" i="54"/>
  <c r="M181" i="54" s="1"/>
  <c r="L166" i="54"/>
  <c r="M166" i="54" s="1"/>
  <c r="L195" i="54"/>
  <c r="M195" i="54" s="1"/>
  <c r="L193" i="54"/>
  <c r="M193" i="54" s="1"/>
  <c r="L221" i="60"/>
  <c r="L204" i="60"/>
  <c r="L210" i="60"/>
  <c r="L177" i="54"/>
  <c r="M177" i="54" s="1"/>
  <c r="L195" i="60"/>
  <c r="L214" i="60"/>
  <c r="L190" i="60"/>
  <c r="L191" i="54"/>
  <c r="M191" i="54" s="1"/>
  <c r="L216" i="60"/>
  <c r="L209" i="60"/>
  <c r="L197" i="54"/>
  <c r="M197" i="54" s="1"/>
  <c r="L173" i="54"/>
  <c r="M173" i="54" s="1"/>
  <c r="L184" i="60"/>
  <c r="M184" i="60" s="1"/>
  <c r="L175" i="54"/>
  <c r="M175" i="54" s="1"/>
  <c r="L172" i="54"/>
  <c r="M172" i="54" s="1"/>
  <c r="L194" i="54"/>
  <c r="M194" i="54" s="1"/>
  <c r="L215" i="60"/>
  <c r="L219" i="60"/>
  <c r="L202" i="54"/>
  <c r="M202" i="54" s="1"/>
  <c r="L164" i="54"/>
  <c r="M164" i="54" s="1"/>
  <c r="L208" i="60"/>
  <c r="L205" i="60"/>
  <c r="L225" i="60"/>
  <c r="L189" i="54"/>
  <c r="M189" i="54" s="1"/>
  <c r="L183" i="54"/>
  <c r="M183" i="54" s="1"/>
  <c r="L167" i="54"/>
  <c r="M167" i="54" s="1"/>
  <c r="L186" i="54"/>
  <c r="M186" i="54" s="1"/>
  <c r="L184" i="54"/>
  <c r="M184" i="54" s="1"/>
  <c r="L200" i="54"/>
  <c r="M200" i="54" s="1"/>
  <c r="L165" i="54"/>
  <c r="M165" i="54" s="1"/>
  <c r="L187" i="60"/>
  <c r="M187" i="60" s="1"/>
  <c r="L226" i="60"/>
  <c r="L191" i="60"/>
  <c r="L202" i="60"/>
  <c r="L201" i="60"/>
  <c r="L196" i="60"/>
  <c r="L227" i="60"/>
  <c r="L197" i="60"/>
  <c r="L203" i="60"/>
  <c r="L187" i="54"/>
  <c r="M187" i="54" s="1"/>
  <c r="L223" i="60"/>
  <c r="L218" i="60"/>
  <c r="L222" i="60"/>
  <c r="L199" i="60"/>
  <c r="L211" i="60"/>
  <c r="L224" i="60"/>
  <c r="L198" i="54"/>
  <c r="M198" i="54" s="1"/>
  <c r="L178" i="54"/>
  <c r="M178" i="54" s="1"/>
  <c r="L192" i="54"/>
  <c r="M192" i="54" s="1"/>
  <c r="L190" i="54"/>
  <c r="M190" i="54" s="1"/>
  <c r="L188" i="54"/>
  <c r="M188" i="54" s="1"/>
  <c r="L179" i="54"/>
  <c r="M179" i="54" s="1"/>
  <c r="L170" i="54"/>
  <c r="M170" i="54" s="1"/>
  <c r="L186" i="60"/>
  <c r="M186" i="60" s="1"/>
  <c r="L185" i="60"/>
  <c r="M185" i="60" s="1"/>
  <c r="L192" i="60"/>
  <c r="L220" i="60"/>
  <c r="L217" i="60"/>
  <c r="L196" i="54"/>
  <c r="M196" i="54" s="1"/>
  <c r="L169" i="54"/>
  <c r="M169" i="54" s="1"/>
  <c r="L199" i="54"/>
  <c r="M199" i="54" s="1"/>
  <c r="L182" i="54"/>
  <c r="M182" i="54" s="1"/>
  <c r="L180" i="54"/>
  <c r="M180" i="54" s="1"/>
  <c r="L171" i="54"/>
  <c r="M171" i="54" s="1"/>
  <c r="L176" i="54"/>
  <c r="M176" i="54" s="1"/>
  <c r="L188" i="60"/>
  <c r="L200" i="60"/>
  <c r="L207" i="60"/>
  <c r="L206" i="60"/>
  <c r="L148" i="60"/>
  <c r="L140" i="60"/>
  <c r="M140" i="60" s="1"/>
  <c r="L174" i="60"/>
  <c r="L154" i="54"/>
  <c r="M154" i="54" s="1"/>
  <c r="L126" i="54"/>
  <c r="M126" i="54" s="1"/>
  <c r="L153" i="60"/>
  <c r="L144" i="60"/>
  <c r="L162" i="54"/>
  <c r="M162" i="54" s="1"/>
  <c r="L152" i="54"/>
  <c r="M152" i="54" s="1"/>
  <c r="L170" i="60"/>
  <c r="L165" i="60"/>
  <c r="L157" i="54"/>
  <c r="M157" i="54" s="1"/>
  <c r="L127" i="54"/>
  <c r="M127" i="54" s="1"/>
  <c r="L181" i="60"/>
  <c r="L147" i="54"/>
  <c r="M147" i="54" s="1"/>
  <c r="L143" i="54"/>
  <c r="M143" i="54" s="1"/>
  <c r="L173" i="60"/>
  <c r="L155" i="54"/>
  <c r="M155" i="54" s="1"/>
  <c r="L137" i="54"/>
  <c r="M137" i="54" s="1"/>
  <c r="L145" i="60"/>
  <c r="L161" i="54"/>
  <c r="M161" i="54" s="1"/>
  <c r="L145" i="54"/>
  <c r="M145" i="54" s="1"/>
  <c r="L141" i="54"/>
  <c r="M141" i="54" s="1"/>
  <c r="L180" i="60"/>
  <c r="L151" i="54"/>
  <c r="M151" i="54" s="1"/>
  <c r="L134" i="54"/>
  <c r="M134" i="54" s="1"/>
  <c r="L124" i="54"/>
  <c r="M124" i="54" s="1"/>
  <c r="L136" i="54"/>
  <c r="M136" i="54" s="1"/>
  <c r="L133" i="54"/>
  <c r="M133" i="54" s="1"/>
  <c r="L164" i="60"/>
  <c r="L146" i="60"/>
  <c r="L138" i="60"/>
  <c r="M138" i="60" s="1"/>
  <c r="L175" i="60"/>
  <c r="L147" i="60"/>
  <c r="L154" i="60"/>
  <c r="L177" i="60"/>
  <c r="L149" i="60"/>
  <c r="L139" i="60"/>
  <c r="M139" i="60" s="1"/>
  <c r="L176" i="60"/>
  <c r="L163" i="60"/>
  <c r="L157" i="60"/>
  <c r="L167" i="60"/>
  <c r="L178" i="60"/>
  <c r="L161" i="60"/>
  <c r="L150" i="60"/>
  <c r="L141" i="60"/>
  <c r="M141" i="60" s="1"/>
  <c r="L152" i="60"/>
  <c r="L135" i="54"/>
  <c r="M135" i="54" s="1"/>
  <c r="L128" i="54"/>
  <c r="M128" i="54" s="1"/>
  <c r="L149" i="54"/>
  <c r="M149" i="54" s="1"/>
  <c r="L125" i="54"/>
  <c r="M125" i="54" s="1"/>
  <c r="L153" i="54"/>
  <c r="M153" i="54" s="1"/>
  <c r="L172" i="60"/>
  <c r="L166" i="60"/>
  <c r="L169" i="60"/>
  <c r="L168" i="60"/>
  <c r="L158" i="54"/>
  <c r="M158" i="54" s="1"/>
  <c r="L148" i="54"/>
  <c r="M148" i="54" s="1"/>
  <c r="L139" i="54"/>
  <c r="M139" i="54" s="1"/>
  <c r="L146" i="54"/>
  <c r="M146" i="54" s="1"/>
  <c r="L129" i="54"/>
  <c r="M129" i="54" s="1"/>
  <c r="L159" i="60"/>
  <c r="L158" i="60"/>
  <c r="L142" i="60"/>
  <c r="M142" i="60" s="1"/>
  <c r="L160" i="60"/>
  <c r="L160" i="54"/>
  <c r="M160" i="54" s="1"/>
  <c r="L150" i="54"/>
  <c r="M150" i="54" s="1"/>
  <c r="L140" i="54"/>
  <c r="M140" i="54" s="1"/>
  <c r="L131" i="54"/>
  <c r="M131" i="54" s="1"/>
  <c r="L138" i="54"/>
  <c r="M138" i="54" s="1"/>
  <c r="L156" i="60"/>
  <c r="L171" i="60"/>
  <c r="L155" i="60"/>
  <c r="L159" i="54"/>
  <c r="M159" i="54" s="1"/>
  <c r="L142" i="54"/>
  <c r="M142" i="54" s="1"/>
  <c r="L132" i="54"/>
  <c r="M132" i="54" s="1"/>
  <c r="L123" i="54"/>
  <c r="M123" i="54" s="1"/>
  <c r="L130" i="54"/>
  <c r="M130" i="54" s="1"/>
  <c r="L182" i="60"/>
  <c r="L143" i="60"/>
  <c r="L162" i="60"/>
  <c r="K1792" i="61"/>
  <c r="M1792" i="61" s="1"/>
  <c r="K713" i="61"/>
  <c r="M713" i="61" s="1"/>
  <c r="K334" i="61"/>
  <c r="M334" i="61" s="1"/>
  <c r="L55" i="59"/>
  <c r="K1801" i="61"/>
  <c r="M1801" i="61" s="1"/>
  <c r="K55" i="59"/>
  <c r="K54" i="59"/>
  <c r="X54" i="59" s="1"/>
  <c r="K1162" i="61"/>
  <c r="M1162" i="61" s="1"/>
  <c r="K270" i="61"/>
  <c r="M270" i="61" s="1"/>
  <c r="K568" i="61"/>
  <c r="M568" i="61" s="1"/>
  <c r="K170" i="61"/>
  <c r="M170" i="61" s="1"/>
  <c r="K256" i="61"/>
  <c r="M256" i="61" s="1"/>
  <c r="K420" i="61"/>
  <c r="M420" i="61" s="1"/>
  <c r="K1452" i="61"/>
  <c r="M1452" i="61" s="1"/>
  <c r="K842" i="61"/>
  <c r="M842" i="61" s="1"/>
  <c r="K462" i="61"/>
  <c r="M462" i="61" s="1"/>
  <c r="K894" i="61"/>
  <c r="M894" i="61" s="1"/>
  <c r="K1490" i="61"/>
  <c r="M1490" i="61" s="1"/>
  <c r="K199" i="61"/>
  <c r="M199" i="61" s="1"/>
  <c r="K1463" i="61"/>
  <c r="M1463" i="61" s="1"/>
  <c r="K205" i="61"/>
  <c r="M205" i="61" s="1"/>
  <c r="K92" i="61"/>
  <c r="M92" i="61" s="1"/>
  <c r="K226" i="61"/>
  <c r="M226" i="61" s="1"/>
  <c r="M229" i="60"/>
  <c r="K2160" i="61"/>
  <c r="M2160" i="61" s="1"/>
  <c r="K1721" i="61"/>
  <c r="M1721" i="61" s="1"/>
  <c r="K220" i="61"/>
  <c r="M220" i="61" s="1"/>
  <c r="M228" i="60"/>
  <c r="K99" i="61"/>
  <c r="M99" i="61" s="1"/>
  <c r="K436" i="61"/>
  <c r="M436" i="61" s="1"/>
  <c r="K1609" i="61"/>
  <c r="M1609" i="61" s="1"/>
  <c r="K398" i="61"/>
  <c r="M398" i="61" s="1"/>
  <c r="K2048" i="61"/>
  <c r="M2048" i="61" s="1"/>
  <c r="K198" i="61"/>
  <c r="M198" i="61" s="1"/>
  <c r="K670" i="61"/>
  <c r="M670" i="61" s="1"/>
  <c r="K463" i="61"/>
  <c r="M463" i="61" s="1"/>
  <c r="K262" i="61"/>
  <c r="M262" i="61" s="1"/>
  <c r="K564" i="61"/>
  <c r="M564" i="61" s="1"/>
  <c r="K1225" i="61"/>
  <c r="M1225" i="61" s="1"/>
  <c r="K235" i="61"/>
  <c r="M235" i="61" s="1"/>
  <c r="K988" i="61"/>
  <c r="M988" i="61" s="1"/>
  <c r="K829" i="61"/>
  <c r="M829" i="61" s="1"/>
  <c r="K1840" i="61"/>
  <c r="M1840" i="61" s="1"/>
  <c r="K1527" i="61"/>
  <c r="M1527" i="61" s="1"/>
  <c r="K1417" i="61"/>
  <c r="M1417" i="61" s="1"/>
  <c r="K1761" i="61"/>
  <c r="M1761" i="61" s="1"/>
  <c r="K1205" i="61"/>
  <c r="M1205" i="61" s="1"/>
  <c r="K1087" i="61"/>
  <c r="M1087" i="61" s="1"/>
  <c r="K1554" i="61"/>
  <c r="M1554" i="61" s="1"/>
  <c r="K655" i="61"/>
  <c r="M655" i="61" s="1"/>
  <c r="K1497" i="61"/>
  <c r="M1497" i="61" s="1"/>
  <c r="K1847" i="61"/>
  <c r="M1847" i="61" s="1"/>
  <c r="K1728" i="61"/>
  <c r="M1728" i="61" s="1"/>
  <c r="K1772" i="61"/>
  <c r="M1772" i="61" s="1"/>
  <c r="K1911" i="61"/>
  <c r="M1911" i="61" s="1"/>
  <c r="K1773" i="61"/>
  <c r="M1773" i="61" s="1"/>
  <c r="M231" i="60"/>
  <c r="K1280" i="61"/>
  <c r="M1280" i="61" s="1"/>
  <c r="K271" i="61"/>
  <c r="M271" i="61" s="1"/>
  <c r="K1410" i="61"/>
  <c r="M1410" i="61" s="1"/>
  <c r="K624" i="61"/>
  <c r="M624" i="61" s="1"/>
  <c r="K1044" i="61"/>
  <c r="M1044" i="61" s="1"/>
  <c r="K1655" i="61"/>
  <c r="M1655" i="61" s="1"/>
  <c r="K1344" i="61"/>
  <c r="M1344" i="61" s="1"/>
  <c r="K1234" i="61"/>
  <c r="M1234" i="61" s="1"/>
  <c r="K1149" i="61"/>
  <c r="M1149" i="61" s="1"/>
  <c r="K298" i="61"/>
  <c r="M298" i="61" s="1"/>
  <c r="K1929" i="61"/>
  <c r="M1929" i="61" s="1"/>
  <c r="K21" i="61"/>
  <c r="M21" i="61" s="1"/>
  <c r="K809" i="61"/>
  <c r="M809" i="61" s="1"/>
  <c r="K755" i="61"/>
  <c r="M755" i="61" s="1"/>
  <c r="K724" i="61"/>
  <c r="M724" i="61" s="1"/>
  <c r="K1077" i="61"/>
  <c r="M1077" i="61" s="1"/>
  <c r="K1335" i="61"/>
  <c r="M1335" i="61" s="1"/>
  <c r="K1536" i="61"/>
  <c r="M1536" i="61" s="1"/>
  <c r="K1019" i="61"/>
  <c r="M1019" i="61" s="1"/>
  <c r="K868" i="61"/>
  <c r="M868" i="61" s="1"/>
  <c r="K1680" i="61"/>
  <c r="M1680" i="61" s="1"/>
  <c r="K1369" i="61"/>
  <c r="M1369" i="61" s="1"/>
  <c r="K1570" i="61"/>
  <c r="M1570" i="61" s="1"/>
  <c r="K1580" i="61"/>
  <c r="M1580" i="61" s="1"/>
  <c r="K1574" i="61"/>
  <c r="M1574" i="61" s="1"/>
  <c r="K17" i="61"/>
  <c r="M17" i="61" s="1"/>
  <c r="K2121" i="61"/>
  <c r="M2121" i="61" s="1"/>
  <c r="K1600" i="61"/>
  <c r="M1600" i="61" s="1"/>
  <c r="K1289" i="61"/>
  <c r="M1289" i="61" s="1"/>
  <c r="K2016" i="61"/>
  <c r="M2016" i="61" s="1"/>
  <c r="K1888" i="61"/>
  <c r="M1888" i="61" s="1"/>
  <c r="K1968" i="61"/>
  <c r="M1968" i="61" s="1"/>
  <c r="K819" i="61"/>
  <c r="M819" i="61" s="1"/>
  <c r="K1141" i="61"/>
  <c r="M1141" i="61" s="1"/>
  <c r="K1399" i="61"/>
  <c r="M1399" i="61" s="1"/>
  <c r="K632" i="61"/>
  <c r="M632" i="61" s="1"/>
  <c r="K591" i="61"/>
  <c r="M591" i="61" s="1"/>
  <c r="K512" i="61"/>
  <c r="M512" i="61" s="1"/>
  <c r="K1744" i="61"/>
  <c r="M1744" i="61" s="1"/>
  <c r="K1644" i="61"/>
  <c r="M1644" i="61" s="1"/>
  <c r="K26" i="61"/>
  <c r="M26" i="61" s="1"/>
  <c r="K118" i="61"/>
  <c r="M118" i="61" s="1"/>
  <c r="K1096" i="61"/>
  <c r="M1096" i="61" s="1"/>
  <c r="K937" i="61"/>
  <c r="M937" i="61" s="1"/>
  <c r="K1034" i="61"/>
  <c r="M1034" i="61" s="1"/>
  <c r="K675" i="61"/>
  <c r="M675" i="61" s="1"/>
  <c r="K1353" i="61"/>
  <c r="M1353" i="61" s="1"/>
  <c r="K107" i="61"/>
  <c r="M107" i="61" s="1"/>
  <c r="K618" i="61"/>
  <c r="M618" i="61" s="1"/>
  <c r="K1708" i="61"/>
  <c r="M1708" i="61" s="1"/>
  <c r="K1755" i="61"/>
  <c r="M1755" i="61" s="1"/>
  <c r="K1697" i="61"/>
  <c r="M1697" i="61" s="1"/>
  <c r="K186" i="61"/>
  <c r="M186" i="61" s="1"/>
  <c r="K1338" i="61"/>
  <c r="M1338" i="61" s="1"/>
  <c r="K1899" i="61"/>
  <c r="M1899" i="61" s="1"/>
  <c r="K1098" i="61"/>
  <c r="M1098" i="61" s="1"/>
  <c r="K1215" i="61"/>
  <c r="M1215" i="61" s="1"/>
  <c r="K206" i="61"/>
  <c r="M206" i="61" s="1"/>
  <c r="K177" i="61"/>
  <c r="M177" i="61" s="1"/>
  <c r="K1021" i="61"/>
  <c r="M1021" i="61" s="1"/>
  <c r="K371" i="61"/>
  <c r="M371" i="61" s="1"/>
  <c r="K1250" i="61"/>
  <c r="M1250" i="61" s="1"/>
  <c r="K1260" i="61"/>
  <c r="M1260" i="61" s="1"/>
  <c r="K1856" i="61"/>
  <c r="M1856" i="61" s="1"/>
  <c r="K748" i="61"/>
  <c r="M748" i="61" s="1"/>
  <c r="K1713" i="61"/>
  <c r="M1713" i="61" s="1"/>
  <c r="K1402" i="61"/>
  <c r="M1402" i="61" s="1"/>
  <c r="K1282" i="61"/>
  <c r="M1282" i="61" s="1"/>
  <c r="K1833" i="61"/>
  <c r="M1833" i="61" s="1"/>
  <c r="K518" i="61"/>
  <c r="M518" i="61" s="1"/>
  <c r="K821" i="61"/>
  <c r="M821" i="61" s="1"/>
  <c r="K1591" i="61"/>
  <c r="M1591" i="61" s="1"/>
  <c r="K1481" i="61"/>
  <c r="M1481" i="61" s="1"/>
  <c r="K391" i="61"/>
  <c r="M391" i="61" s="1"/>
  <c r="K1625" i="61"/>
  <c r="M1625" i="61" s="1"/>
  <c r="K1865" i="61"/>
  <c r="M1865" i="61" s="1"/>
  <c r="K1730" i="61"/>
  <c r="M1730" i="61" s="1"/>
  <c r="K55" i="61"/>
  <c r="M55" i="61" s="1"/>
  <c r="K645" i="61"/>
  <c r="M645" i="61" s="1"/>
  <c r="K191" i="61"/>
  <c r="M191" i="61" s="1"/>
  <c r="K703" i="61"/>
  <c r="M703" i="61" s="1"/>
  <c r="K137" i="61"/>
  <c r="M137" i="61" s="1"/>
  <c r="K666" i="61"/>
  <c r="M666" i="61" s="1"/>
  <c r="K776" i="61"/>
  <c r="M776" i="61" s="1"/>
  <c r="K523" i="61"/>
  <c r="M523" i="61" s="1"/>
  <c r="K251" i="61"/>
  <c r="M251" i="61" s="1"/>
  <c r="K1075" i="61"/>
  <c r="M1075" i="61" s="1"/>
  <c r="K885" i="61"/>
  <c r="M885" i="61" s="1"/>
  <c r="K1063" i="61"/>
  <c r="M1063" i="61" s="1"/>
  <c r="K630" i="61"/>
  <c r="M630" i="61" s="1"/>
  <c r="K1545" i="61"/>
  <c r="M1545" i="61" s="1"/>
  <c r="K62" i="61"/>
  <c r="M62" i="61" s="1"/>
  <c r="K397" i="61"/>
  <c r="M397" i="61" s="1"/>
  <c r="K455" i="61"/>
  <c r="M455" i="61" s="1"/>
  <c r="K376" i="61"/>
  <c r="M376" i="61" s="1"/>
  <c r="K305" i="61"/>
  <c r="M305" i="61" s="1"/>
  <c r="K418" i="61"/>
  <c r="M418" i="61" s="1"/>
  <c r="K340" i="61"/>
  <c r="M340" i="61" s="1"/>
  <c r="K978" i="61"/>
  <c r="M978" i="61" s="1"/>
  <c r="K827" i="61"/>
  <c r="M827" i="61" s="1"/>
  <c r="K796" i="61"/>
  <c r="M796" i="61" s="1"/>
  <c r="K277" i="61"/>
  <c r="M277" i="61" s="1"/>
  <c r="K335" i="61"/>
  <c r="M335" i="61" s="1"/>
  <c r="K185" i="61"/>
  <c r="M185" i="61" s="1"/>
  <c r="K1188" i="61"/>
  <c r="M1188" i="61" s="1"/>
  <c r="K1689" i="61"/>
  <c r="M1689" i="61" s="1"/>
  <c r="K1378" i="61"/>
  <c r="M1378" i="61" s="1"/>
  <c r="K1299" i="61"/>
  <c r="M1299" i="61" s="1"/>
  <c r="K1388" i="61"/>
  <c r="M1388" i="61" s="1"/>
  <c r="K2039" i="61"/>
  <c r="M2039" i="61" s="1"/>
  <c r="K142" i="61"/>
  <c r="M142" i="61" s="1"/>
  <c r="K477" i="61"/>
  <c r="M477" i="61" s="1"/>
  <c r="K498" i="61"/>
  <c r="M498" i="61" s="1"/>
  <c r="K484" i="61"/>
  <c r="M484" i="61" s="1"/>
  <c r="K907" i="61"/>
  <c r="M907" i="61" s="1"/>
  <c r="K876" i="61"/>
  <c r="M876" i="61" s="1"/>
  <c r="K1530" i="61"/>
  <c r="M1530" i="61" s="1"/>
  <c r="K1961" i="61"/>
  <c r="M1961" i="61" s="1"/>
  <c r="K1594" i="61"/>
  <c r="M1594" i="61" s="1"/>
  <c r="K319" i="61"/>
  <c r="M319" i="61" s="1"/>
  <c r="K240" i="61"/>
  <c r="M240" i="61" s="1"/>
  <c r="K1013" i="61"/>
  <c r="M1013" i="61" s="1"/>
  <c r="K1271" i="61"/>
  <c r="M1271" i="61" s="1"/>
  <c r="K1783" i="61"/>
  <c r="M1783" i="61" s="1"/>
  <c r="K1472" i="61"/>
  <c r="M1472" i="61" s="1"/>
  <c r="K1673" i="61"/>
  <c r="M1673" i="61" s="1"/>
  <c r="K1362" i="61"/>
  <c r="M1362" i="61" s="1"/>
  <c r="K2112" i="61"/>
  <c r="M2112" i="61" s="1"/>
  <c r="K2057" i="61"/>
  <c r="M2057" i="61" s="1"/>
  <c r="K2095" i="61"/>
  <c r="M2095" i="61" s="1"/>
  <c r="K1996" i="61"/>
  <c r="M1996" i="61" s="1"/>
  <c r="K1977" i="61"/>
  <c r="M1977" i="61" s="1"/>
  <c r="K1857" i="61"/>
  <c r="M1857" i="61" s="1"/>
  <c r="K1967" i="61"/>
  <c r="M1967" i="61" s="1"/>
  <c r="K1094" i="61"/>
  <c r="M1094" i="61" s="1"/>
  <c r="K563" i="61"/>
  <c r="M563" i="61" s="1"/>
  <c r="K847" i="61"/>
  <c r="M847" i="61" s="1"/>
  <c r="K1058" i="61"/>
  <c r="M1058" i="61" s="1"/>
  <c r="K717" i="61"/>
  <c r="M717" i="61" s="1"/>
  <c r="K157" i="61"/>
  <c r="M157" i="61" s="1"/>
  <c r="K766" i="61"/>
  <c r="M766" i="61" s="1"/>
  <c r="K1319" i="61"/>
  <c r="M1319" i="61" s="1"/>
  <c r="K1520" i="61"/>
  <c r="M1520" i="61" s="1"/>
  <c r="K1988" i="61"/>
  <c r="M1988" i="61" s="1"/>
  <c r="K89" i="61"/>
  <c r="M89" i="61" s="1"/>
  <c r="K1984" i="61"/>
  <c r="M1984" i="61" s="1"/>
  <c r="K2071" i="61"/>
  <c r="M2071" i="61" s="1"/>
  <c r="K2105" i="61"/>
  <c r="M2105" i="61" s="1"/>
  <c r="K2125" i="61"/>
  <c r="M2125" i="61" s="1"/>
  <c r="K1877" i="61"/>
  <c r="M1877" i="61" s="1"/>
  <c r="K2098" i="61"/>
  <c r="M2098" i="61" s="1"/>
  <c r="K255" i="61"/>
  <c r="M255" i="61" s="1"/>
  <c r="K176" i="61"/>
  <c r="M176" i="61" s="1"/>
  <c r="K688" i="61"/>
  <c r="M688" i="61" s="1"/>
  <c r="K218" i="61"/>
  <c r="M218" i="61" s="1"/>
  <c r="K84" i="61"/>
  <c r="M84" i="61" s="1"/>
  <c r="K651" i="61"/>
  <c r="M651" i="61" s="1"/>
  <c r="K778" i="61"/>
  <c r="M778" i="61" s="1"/>
  <c r="K542" i="61"/>
  <c r="M542" i="61" s="1"/>
  <c r="K1108" i="61"/>
  <c r="M1108" i="61" s="1"/>
  <c r="K949" i="61"/>
  <c r="M949" i="61" s="1"/>
  <c r="K1198" i="61"/>
  <c r="M1198" i="61" s="1"/>
  <c r="K1719" i="61"/>
  <c r="M1719" i="61" s="1"/>
  <c r="K1408" i="61"/>
  <c r="M1408" i="61" s="1"/>
  <c r="K927" i="61"/>
  <c r="M927" i="61" s="1"/>
  <c r="K1298" i="61"/>
  <c r="M1298" i="61" s="1"/>
  <c r="K126" i="61"/>
  <c r="M126" i="61" s="1"/>
  <c r="K440" i="61"/>
  <c r="M440" i="61" s="1"/>
  <c r="K369" i="61"/>
  <c r="M369" i="61" s="1"/>
  <c r="K482" i="61"/>
  <c r="M482" i="61" s="1"/>
  <c r="K860" i="61"/>
  <c r="M860" i="61" s="1"/>
  <c r="K691" i="61"/>
  <c r="M691" i="61" s="1"/>
  <c r="K1213" i="61"/>
  <c r="M1213" i="61" s="1"/>
  <c r="K141" i="61"/>
  <c r="M141" i="61" s="1"/>
  <c r="K399" i="61"/>
  <c r="M399" i="61" s="1"/>
  <c r="K320" i="61"/>
  <c r="M320" i="61" s="1"/>
  <c r="K362" i="61"/>
  <c r="M362" i="61" s="1"/>
  <c r="K284" i="61"/>
  <c r="M284" i="61" s="1"/>
  <c r="K771" i="61"/>
  <c r="M771" i="61" s="1"/>
  <c r="K740" i="61"/>
  <c r="M740" i="61" s="1"/>
  <c r="K379" i="61"/>
  <c r="M379" i="61" s="1"/>
  <c r="K1351" i="61"/>
  <c r="M1351" i="61" s="1"/>
  <c r="K692" i="61"/>
  <c r="M692" i="61" s="1"/>
  <c r="K1552" i="61"/>
  <c r="M1552" i="61" s="1"/>
  <c r="K1241" i="61"/>
  <c r="M1241" i="61" s="1"/>
  <c r="K1753" i="61"/>
  <c r="M1753" i="61" s="1"/>
  <c r="K1442" i="61"/>
  <c r="M1442" i="61" s="1"/>
  <c r="K1363" i="61"/>
  <c r="M1363" i="61" s="1"/>
  <c r="K1057" i="61"/>
  <c r="M1057" i="61" s="1"/>
  <c r="K2103" i="61"/>
  <c r="M2103" i="61" s="1"/>
  <c r="K1993" i="61"/>
  <c r="M1993" i="61" s="1"/>
  <c r="K492" i="61"/>
  <c r="M492" i="61" s="1"/>
  <c r="K971" i="61"/>
  <c r="M971" i="61" s="1"/>
  <c r="K940" i="61"/>
  <c r="M940" i="61" s="1"/>
  <c r="K678" i="61"/>
  <c r="M678" i="61" s="1"/>
  <c r="K400" i="61"/>
  <c r="M400" i="61" s="1"/>
  <c r="K442" i="61"/>
  <c r="M442" i="61" s="1"/>
  <c r="K1064" i="61"/>
  <c r="M1064" i="61" s="1"/>
  <c r="K158" i="61"/>
  <c r="M158" i="61" s="1"/>
  <c r="K243" i="61"/>
  <c r="M243" i="61" s="1"/>
  <c r="K1704" i="61"/>
  <c r="M1704" i="61" s="1"/>
  <c r="K1393" i="61"/>
  <c r="M1393" i="61" s="1"/>
  <c r="K1785" i="61"/>
  <c r="M1785" i="61" s="1"/>
  <c r="K1474" i="61"/>
  <c r="M1474" i="61" s="1"/>
  <c r="K2135" i="61"/>
  <c r="M2135" i="61" s="1"/>
  <c r="K2080" i="61"/>
  <c r="M2080" i="61" s="1"/>
  <c r="K2025" i="61"/>
  <c r="M2025" i="61" s="1"/>
  <c r="K1216" i="61"/>
  <c r="M1216" i="61" s="1"/>
  <c r="K10" i="61"/>
  <c r="M10" i="61" s="1"/>
  <c r="K30" i="61"/>
  <c r="M30" i="61" s="1"/>
  <c r="K1370" i="61"/>
  <c r="M1370" i="61" s="1"/>
  <c r="K2031" i="61"/>
  <c r="M2031" i="61" s="1"/>
  <c r="K1976" i="61"/>
  <c r="M1976" i="61" s="1"/>
  <c r="K1921" i="61"/>
  <c r="M1921" i="61" s="1"/>
  <c r="K2019" i="61"/>
  <c r="M2019" i="61" s="1"/>
  <c r="K1941" i="61"/>
  <c r="M1941" i="61" s="1"/>
  <c r="K1932" i="61"/>
  <c r="M1932" i="61" s="1"/>
  <c r="K1885" i="61"/>
  <c r="M1885" i="61" s="1"/>
  <c r="K2065" i="61"/>
  <c r="M2065" i="61" s="1"/>
  <c r="M230" i="60"/>
  <c r="K61" i="61"/>
  <c r="M61" i="61" s="1"/>
  <c r="K261" i="61"/>
  <c r="M261" i="61" s="1"/>
  <c r="K282" i="61"/>
  <c r="M282" i="61" s="1"/>
  <c r="K204" i="61"/>
  <c r="M204" i="61" s="1"/>
  <c r="K904" i="61"/>
  <c r="M904" i="61" s="1"/>
  <c r="K745" i="61"/>
  <c r="M745" i="61" s="1"/>
  <c r="K609" i="61"/>
  <c r="M609" i="61" s="1"/>
  <c r="K1172" i="61"/>
  <c r="M1172" i="61" s="1"/>
  <c r="K1105" i="61"/>
  <c r="M1105" i="61" s="1"/>
  <c r="K525" i="61"/>
  <c r="M525" i="61" s="1"/>
  <c r="K583" i="61"/>
  <c r="M583" i="61" s="1"/>
  <c r="K504" i="61"/>
  <c r="M504" i="61" s="1"/>
  <c r="K428" i="61"/>
  <c r="M428" i="61" s="1"/>
  <c r="K955" i="61"/>
  <c r="M955" i="61" s="1"/>
  <c r="K765" i="61"/>
  <c r="M765" i="61" s="1"/>
  <c r="K550" i="61"/>
  <c r="M550" i="61" s="1"/>
  <c r="K1535" i="61"/>
  <c r="M1535" i="61" s="1"/>
  <c r="K1224" i="61"/>
  <c r="M1224" i="61" s="1"/>
  <c r="K70" i="61"/>
  <c r="M70" i="61" s="1"/>
  <c r="K405" i="61"/>
  <c r="M405" i="61" s="1"/>
  <c r="K342" i="61"/>
  <c r="M342" i="61" s="1"/>
  <c r="K384" i="61"/>
  <c r="M384" i="61" s="1"/>
  <c r="K348" i="61"/>
  <c r="M348" i="61" s="1"/>
  <c r="K986" i="61"/>
  <c r="M986" i="61" s="1"/>
  <c r="K835" i="61"/>
  <c r="M835" i="61" s="1"/>
  <c r="K804" i="61"/>
  <c r="M804" i="61" s="1"/>
  <c r="K1157" i="61"/>
  <c r="M1157" i="61" s="1"/>
  <c r="K1415" i="61"/>
  <c r="M1415" i="61" s="1"/>
  <c r="K958" i="61"/>
  <c r="M958" i="61" s="1"/>
  <c r="K1616" i="61"/>
  <c r="M1616" i="61" s="1"/>
  <c r="K1305" i="61"/>
  <c r="M1305" i="61" s="1"/>
  <c r="K1817" i="61"/>
  <c r="M1817" i="61" s="1"/>
  <c r="K1506" i="61"/>
  <c r="M1506" i="61" s="1"/>
  <c r="K1427" i="61"/>
  <c r="M1427" i="61" s="1"/>
  <c r="K1516" i="61"/>
  <c r="M1516" i="61" s="1"/>
  <c r="K1193" i="61"/>
  <c r="M1193" i="61" s="1"/>
  <c r="K8" i="61"/>
  <c r="M8" i="61" s="1"/>
  <c r="K513" i="61"/>
  <c r="M513" i="61" s="1"/>
  <c r="K363" i="61"/>
  <c r="M363" i="61" s="1"/>
  <c r="K1035" i="61"/>
  <c r="M1035" i="61" s="1"/>
  <c r="K464" i="61"/>
  <c r="M464" i="61" s="1"/>
  <c r="K506" i="61"/>
  <c r="M506" i="61" s="1"/>
  <c r="K179" i="61"/>
  <c r="M179" i="61" s="1"/>
  <c r="K1066" i="61"/>
  <c r="M1066" i="61" s="1"/>
  <c r="K725" i="61"/>
  <c r="M725" i="61" s="1"/>
  <c r="K1495" i="61"/>
  <c r="M1495" i="61" s="1"/>
  <c r="K1151" i="61"/>
  <c r="M1151" i="61" s="1"/>
  <c r="K1200" i="61"/>
  <c r="M1200" i="61" s="1"/>
  <c r="K1256" i="61"/>
  <c r="M1256" i="61" s="1"/>
  <c r="K1768" i="61"/>
  <c r="M1768" i="61" s="1"/>
  <c r="K1457" i="61"/>
  <c r="M1457" i="61" s="1"/>
  <c r="K1447" i="61"/>
  <c r="M1447" i="61" s="1"/>
  <c r="K1648" i="61"/>
  <c r="M1648" i="61" s="1"/>
  <c r="K1337" i="61"/>
  <c r="M1337" i="61" s="1"/>
  <c r="K1538" i="61"/>
  <c r="M1538" i="61" s="1"/>
  <c r="K2144" i="61"/>
  <c r="M2144" i="61" s="1"/>
  <c r="K2089" i="61"/>
  <c r="M2089" i="61" s="1"/>
  <c r="K1831" i="61"/>
  <c r="M1831" i="61" s="1"/>
  <c r="K1810" i="61"/>
  <c r="M1810" i="61" s="1"/>
  <c r="K2090" i="61"/>
  <c r="M2090" i="61" s="1"/>
  <c r="K1434" i="61"/>
  <c r="M1434" i="61" s="1"/>
  <c r="K2040" i="61"/>
  <c r="M2040" i="61" s="1"/>
  <c r="K1985" i="61"/>
  <c r="M1985" i="61" s="1"/>
  <c r="K1930" i="61"/>
  <c r="M1930" i="61" s="1"/>
  <c r="K2083" i="61"/>
  <c r="M2083" i="61" s="1"/>
  <c r="K2052" i="61"/>
  <c r="M2052" i="61" s="1"/>
  <c r="K1874" i="61"/>
  <c r="M1874" i="61" s="1"/>
  <c r="K1068" i="61"/>
  <c r="M1068" i="61" s="1"/>
  <c r="K1712" i="61"/>
  <c r="M1712" i="61" s="1"/>
  <c r="K1401" i="61"/>
  <c r="M1401" i="61" s="1"/>
  <c r="K2153" i="61"/>
  <c r="M2153" i="61" s="1"/>
  <c r="K1942" i="61"/>
  <c r="M1942" i="61" s="1"/>
  <c r="K389" i="61"/>
  <c r="M389" i="61" s="1"/>
  <c r="K326" i="61"/>
  <c r="M326" i="61" s="1"/>
  <c r="K447" i="61"/>
  <c r="M447" i="61" s="1"/>
  <c r="K368" i="61"/>
  <c r="M368" i="61" s="1"/>
  <c r="K297" i="61"/>
  <c r="M297" i="61" s="1"/>
  <c r="K410" i="61"/>
  <c r="M410" i="61" s="1"/>
  <c r="K332" i="61"/>
  <c r="M332" i="61" s="1"/>
  <c r="K1032" i="61"/>
  <c r="M1032" i="61" s="1"/>
  <c r="K873" i="61"/>
  <c r="M873" i="61" s="1"/>
  <c r="K970" i="61"/>
  <c r="M970" i="61" s="1"/>
  <c r="K788" i="61"/>
  <c r="M788" i="61" s="1"/>
  <c r="K547" i="61"/>
  <c r="M547" i="61" s="1"/>
  <c r="K43" i="61"/>
  <c r="M43" i="61" s="1"/>
  <c r="K87" i="61"/>
  <c r="M87" i="61" s="1"/>
  <c r="K653" i="61"/>
  <c r="M653" i="61" s="1"/>
  <c r="K153" i="61"/>
  <c r="M153" i="61" s="1"/>
  <c r="K674" i="61"/>
  <c r="M674" i="61" s="1"/>
  <c r="K722" i="61"/>
  <c r="M722" i="61" s="1"/>
  <c r="K1083" i="61"/>
  <c r="M1083" i="61" s="1"/>
  <c r="K1052" i="61"/>
  <c r="M1052" i="61" s="1"/>
  <c r="K1086" i="61"/>
  <c r="M1086" i="61" s="1"/>
  <c r="K1663" i="61"/>
  <c r="M1663" i="61" s="1"/>
  <c r="K64" i="61"/>
  <c r="M64" i="61" s="1"/>
  <c r="K533" i="61"/>
  <c r="M533" i="61" s="1"/>
  <c r="K470" i="61"/>
  <c r="M470" i="61" s="1"/>
  <c r="K441" i="61"/>
  <c r="M441" i="61" s="1"/>
  <c r="K554" i="61"/>
  <c r="M554" i="61" s="1"/>
  <c r="K617" i="61"/>
  <c r="M617" i="61" s="1"/>
  <c r="K1176" i="61"/>
  <c r="M1176" i="61" s="1"/>
  <c r="K1114" i="61"/>
  <c r="M1114" i="61" s="1"/>
  <c r="K963" i="61"/>
  <c r="M963" i="61" s="1"/>
  <c r="K932" i="61"/>
  <c r="M932" i="61" s="1"/>
  <c r="K1433" i="61"/>
  <c r="M1433" i="61" s="1"/>
  <c r="K1333" i="61"/>
  <c r="M1333" i="61" s="1"/>
  <c r="K1738" i="61"/>
  <c r="M1738" i="61" s="1"/>
  <c r="K221" i="61"/>
  <c r="M221" i="61" s="1"/>
  <c r="K145" i="61"/>
  <c r="M145" i="61" s="1"/>
  <c r="K242" i="61"/>
  <c r="M242" i="61" s="1"/>
  <c r="K156" i="61"/>
  <c r="M156" i="61" s="1"/>
  <c r="K864" i="61"/>
  <c r="M864" i="61" s="1"/>
  <c r="K1132" i="61"/>
  <c r="M1132" i="61" s="1"/>
  <c r="K1633" i="61"/>
  <c r="M1633" i="61" s="1"/>
  <c r="K592" i="61"/>
  <c r="M592" i="61" s="1"/>
  <c r="K1695" i="61"/>
  <c r="M1695" i="61" s="1"/>
  <c r="K1208" i="61"/>
  <c r="M1208" i="61" s="1"/>
  <c r="K1575" i="61"/>
  <c r="M1575" i="61" s="1"/>
  <c r="K1264" i="61"/>
  <c r="M1264" i="61" s="1"/>
  <c r="K1776" i="61"/>
  <c r="M1776" i="61" s="1"/>
  <c r="K1465" i="61"/>
  <c r="M1465" i="61" s="1"/>
  <c r="K1802" i="61"/>
  <c r="M1802" i="61" s="1"/>
  <c r="K1820" i="61"/>
  <c r="M1820" i="61" s="1"/>
  <c r="K1904" i="61"/>
  <c r="M1904" i="61" s="1"/>
  <c r="K1849" i="61"/>
  <c r="M1849" i="61" s="1"/>
  <c r="K1947" i="61"/>
  <c r="M1947" i="61" s="1"/>
  <c r="K1869" i="61"/>
  <c r="M1869" i="61" s="1"/>
  <c r="K2138" i="61"/>
  <c r="M2138" i="61" s="1"/>
  <c r="K2113" i="61"/>
  <c r="M2113" i="61" s="1"/>
  <c r="K2155" i="61"/>
  <c r="M2155" i="61" s="1"/>
  <c r="K2146" i="61"/>
  <c r="M2146" i="61" s="1"/>
  <c r="K474" i="61"/>
  <c r="M474" i="61" s="1"/>
  <c r="K1664" i="61"/>
  <c r="M1664" i="61" s="1"/>
  <c r="K1808" i="61"/>
  <c r="M1808" i="61" s="1"/>
  <c r="K285" i="61"/>
  <c r="M285" i="61" s="1"/>
  <c r="K290" i="61"/>
  <c r="M290" i="61" s="1"/>
  <c r="K1563" i="61"/>
  <c r="M1563" i="61" s="1"/>
  <c r="M183" i="60"/>
  <c r="K106" i="61"/>
  <c r="M106" i="61" s="1"/>
  <c r="K112" i="61"/>
  <c r="M112" i="61" s="1"/>
  <c r="K581" i="61"/>
  <c r="M581" i="61" s="1"/>
  <c r="K639" i="61"/>
  <c r="M639" i="61" s="1"/>
  <c r="K560" i="61"/>
  <c r="M560" i="61" s="1"/>
  <c r="K489" i="61"/>
  <c r="M489" i="61" s="1"/>
  <c r="K602" i="61"/>
  <c r="M602" i="61" s="1"/>
  <c r="K171" i="61"/>
  <c r="M171" i="61" s="1"/>
  <c r="K588" i="61"/>
  <c r="M588" i="61" s="1"/>
  <c r="K980" i="61"/>
  <c r="M980" i="61" s="1"/>
  <c r="K855" i="61"/>
  <c r="M855" i="61" s="1"/>
  <c r="K1123" i="61"/>
  <c r="M1123" i="61" s="1"/>
  <c r="K241" i="61"/>
  <c r="M241" i="61" s="1"/>
  <c r="K354" i="61"/>
  <c r="M354" i="61" s="1"/>
  <c r="K914" i="61"/>
  <c r="M914" i="61" s="1"/>
  <c r="K732" i="61"/>
  <c r="M732" i="61" s="1"/>
  <c r="K192" i="61"/>
  <c r="M192" i="61" s="1"/>
  <c r="K704" i="61"/>
  <c r="M704" i="61" s="1"/>
  <c r="K234" i="61"/>
  <c r="M234" i="61" s="1"/>
  <c r="K683" i="61"/>
  <c r="M683" i="61" s="1"/>
  <c r="K574" i="61"/>
  <c r="M574" i="61" s="1"/>
  <c r="K1124" i="61"/>
  <c r="M1124" i="61" s="1"/>
  <c r="K965" i="61"/>
  <c r="M965" i="61" s="1"/>
  <c r="K1314" i="61"/>
  <c r="M1314" i="61" s="1"/>
  <c r="K1235" i="61"/>
  <c r="M1235" i="61" s="1"/>
  <c r="K1324" i="61"/>
  <c r="M1324" i="61" s="1"/>
  <c r="K1975" i="61"/>
  <c r="M1975" i="61" s="1"/>
  <c r="K1920" i="61"/>
  <c r="M1920" i="61" s="1"/>
  <c r="K994" i="61"/>
  <c r="M994" i="61" s="1"/>
  <c r="K1825" i="61"/>
  <c r="M1825" i="61" s="1"/>
  <c r="K1777" i="61"/>
  <c r="M1777" i="61" s="1"/>
  <c r="K1466" i="61"/>
  <c r="M1466" i="61" s="1"/>
  <c r="K1657" i="61"/>
  <c r="M1657" i="61" s="1"/>
  <c r="K2007" i="61"/>
  <c r="M2007" i="61" s="1"/>
  <c r="K1952" i="61"/>
  <c r="M1952" i="61" s="1"/>
  <c r="K1897" i="61"/>
  <c r="M1897" i="61" s="1"/>
  <c r="K2096" i="61"/>
  <c r="M2096" i="61" s="1"/>
  <c r="K2041" i="61"/>
  <c r="M2041" i="61" s="1"/>
  <c r="K2139" i="61"/>
  <c r="M2139" i="61" s="1"/>
  <c r="K2061" i="61"/>
  <c r="M2061" i="61" s="1"/>
  <c r="K1634" i="61"/>
  <c r="M1634" i="61" s="1"/>
  <c r="K1860" i="61"/>
  <c r="M1860" i="61" s="1"/>
  <c r="M2162" i="61"/>
  <c r="H49" i="67"/>
  <c r="I49" i="67" s="1"/>
  <c r="J49" i="67" s="1"/>
  <c r="F139" i="66"/>
  <c r="H34" i="67"/>
  <c r="I34" i="67" s="1"/>
  <c r="J34" i="67" s="1"/>
  <c r="E139" i="66"/>
  <c r="H83" i="67"/>
  <c r="I83" i="67" s="1"/>
  <c r="J83" i="67" s="1"/>
  <c r="H133" i="66"/>
  <c r="H113" i="67"/>
  <c r="I113" i="67" s="1"/>
  <c r="J113" i="67" s="1"/>
  <c r="J133" i="66"/>
  <c r="H101" i="67"/>
  <c r="I101" i="67" s="1"/>
  <c r="J101" i="67" s="1"/>
  <c r="I127" i="66"/>
  <c r="H19" i="67"/>
  <c r="I19" i="67" s="1"/>
  <c r="J19" i="67" s="1"/>
  <c r="D139" i="66"/>
  <c r="H64" i="67"/>
  <c r="I64" i="67" s="1"/>
  <c r="J64" i="67" s="1"/>
  <c r="G139" i="66"/>
  <c r="H56" i="67"/>
  <c r="I56" i="67" s="1"/>
  <c r="J56" i="67" s="1"/>
  <c r="F127" i="66"/>
  <c r="H124" i="67"/>
  <c r="I124" i="67" s="1"/>
  <c r="J124" i="67" s="1"/>
  <c r="K139" i="66"/>
  <c r="H53" i="67"/>
  <c r="I53" i="67" s="1"/>
  <c r="J53" i="67" s="1"/>
  <c r="F133" i="66"/>
  <c r="H128" i="67"/>
  <c r="I128" i="67" s="1"/>
  <c r="J128" i="67" s="1"/>
  <c r="K133" i="66"/>
  <c r="H41" i="67"/>
  <c r="I41" i="67" s="1"/>
  <c r="J41" i="67" s="1"/>
  <c r="E127" i="66"/>
  <c r="H94" i="67"/>
  <c r="I94" i="67" s="1"/>
  <c r="J94" i="67" s="1"/>
  <c r="I139" i="66"/>
  <c r="H71" i="67"/>
  <c r="I71" i="67" s="1"/>
  <c r="J71" i="67" s="1"/>
  <c r="G127" i="66"/>
  <c r="H38" i="67"/>
  <c r="I38" i="67" s="1"/>
  <c r="J38" i="67" s="1"/>
  <c r="E133" i="66"/>
  <c r="H26" i="67"/>
  <c r="I26" i="67" s="1"/>
  <c r="J26" i="67" s="1"/>
  <c r="D127" i="66"/>
  <c r="H98" i="67"/>
  <c r="I98" i="67" s="1"/>
  <c r="J98" i="67" s="1"/>
  <c r="I133" i="66"/>
  <c r="H116" i="67"/>
  <c r="I116" i="67" s="1"/>
  <c r="J116" i="67" s="1"/>
  <c r="J127" i="66"/>
  <c r="H52" i="67"/>
  <c r="I52" i="67" s="1"/>
  <c r="J52" i="67" s="1"/>
  <c r="F143" i="66"/>
  <c r="H67" i="67"/>
  <c r="I67" i="67" s="1"/>
  <c r="J67" i="67" s="1"/>
  <c r="G143" i="66"/>
  <c r="H127" i="67"/>
  <c r="I127" i="67" s="1"/>
  <c r="J127" i="67" s="1"/>
  <c r="K143" i="66"/>
  <c r="H7" i="67"/>
  <c r="I7" i="67" s="1"/>
  <c r="J7" i="67" s="1"/>
  <c r="C143" i="66"/>
  <c r="H23" i="67"/>
  <c r="I23" i="67" s="1"/>
  <c r="J23" i="67" s="1"/>
  <c r="D133" i="66"/>
  <c r="H79" i="67"/>
  <c r="I79" i="67" s="1"/>
  <c r="J79" i="67" s="1"/>
  <c r="H139" i="66"/>
  <c r="H11" i="67"/>
  <c r="I11" i="67" s="1"/>
  <c r="J11" i="67" s="1"/>
  <c r="C127" i="66"/>
  <c r="G133" i="66"/>
  <c r="H68" i="67"/>
  <c r="I68" i="67" s="1"/>
  <c r="J68" i="67" s="1"/>
  <c r="H82" i="67"/>
  <c r="I82" i="67" s="1"/>
  <c r="J82" i="67" s="1"/>
  <c r="H143" i="66"/>
  <c r="H131" i="67"/>
  <c r="I131" i="67" s="1"/>
  <c r="J131" i="67" s="1"/>
  <c r="K127" i="66"/>
  <c r="H97" i="67"/>
  <c r="I97" i="67" s="1"/>
  <c r="J97" i="67" s="1"/>
  <c r="I143" i="66"/>
  <c r="H112" i="67"/>
  <c r="I112" i="67" s="1"/>
  <c r="J112" i="67" s="1"/>
  <c r="J143" i="66"/>
  <c r="H8" i="67"/>
  <c r="I8" i="67" s="1"/>
  <c r="J8" i="67" s="1"/>
  <c r="C133" i="66"/>
  <c r="H22" i="67"/>
  <c r="I22" i="67" s="1"/>
  <c r="J22" i="67" s="1"/>
  <c r="D143" i="66"/>
  <c r="H86" i="67"/>
  <c r="I86" i="67" s="1"/>
  <c r="J86" i="67" s="1"/>
  <c r="H127" i="66"/>
  <c r="H4" i="67"/>
  <c r="I4" i="67" s="1"/>
  <c r="J4" i="67" s="1"/>
  <c r="C139" i="66"/>
  <c r="H37" i="67"/>
  <c r="I37" i="67" s="1"/>
  <c r="J37" i="67" s="1"/>
  <c r="E143" i="66"/>
  <c r="H109" i="67"/>
  <c r="I109" i="67" s="1"/>
  <c r="J109" i="67" s="1"/>
  <c r="J139" i="66"/>
  <c r="K167" i="61"/>
  <c r="M167" i="61" s="1"/>
  <c r="K50" i="61"/>
  <c r="M50" i="61" s="1"/>
  <c r="K56" i="61"/>
  <c r="M56" i="61" s="1"/>
  <c r="K433" i="61"/>
  <c r="M433" i="61" s="1"/>
  <c r="K546" i="61"/>
  <c r="M546" i="61" s="1"/>
  <c r="K601" i="61"/>
  <c r="M601" i="61" s="1"/>
  <c r="K1168" i="61"/>
  <c r="M1168" i="61" s="1"/>
  <c r="K1106" i="61"/>
  <c r="M1106" i="61" s="1"/>
  <c r="K924" i="61"/>
  <c r="M924" i="61" s="1"/>
  <c r="K313" i="61"/>
  <c r="M313" i="61" s="1"/>
  <c r="K426" i="61"/>
  <c r="M426" i="61" s="1"/>
  <c r="K1048" i="61"/>
  <c r="M1048" i="61" s="1"/>
  <c r="K889" i="61"/>
  <c r="M889" i="61" s="1"/>
  <c r="K579" i="61"/>
  <c r="M579" i="61" s="1"/>
  <c r="K1195" i="61"/>
  <c r="M1195" i="61" s="1"/>
  <c r="K130" i="61"/>
  <c r="M130" i="61" s="1"/>
  <c r="K136" i="61"/>
  <c r="M136" i="61" s="1"/>
  <c r="K605" i="61"/>
  <c r="M605" i="61" s="1"/>
  <c r="K127" i="61"/>
  <c r="M127" i="61" s="1"/>
  <c r="K663" i="61"/>
  <c r="M663" i="61" s="1"/>
  <c r="K584" i="61"/>
  <c r="M584" i="61" s="1"/>
  <c r="K626" i="61"/>
  <c r="M626" i="61" s="1"/>
  <c r="K736" i="61"/>
  <c r="M736" i="61" s="1"/>
  <c r="K636" i="61"/>
  <c r="M636" i="61" s="1"/>
  <c r="K1186" i="61"/>
  <c r="M1186" i="61" s="1"/>
  <c r="K1004" i="61"/>
  <c r="M1004" i="61" s="1"/>
  <c r="K845" i="61"/>
  <c r="M845" i="61" s="1"/>
  <c r="K951" i="61"/>
  <c r="M951" i="61" s="1"/>
  <c r="K1615" i="61"/>
  <c r="M1615" i="61" s="1"/>
  <c r="K1304" i="61"/>
  <c r="M1304" i="61" s="1"/>
  <c r="K1816" i="61"/>
  <c r="M1816" i="61" s="1"/>
  <c r="K1505" i="61"/>
  <c r="M1505" i="61" s="1"/>
  <c r="K105" i="61"/>
  <c r="M105" i="61" s="1"/>
  <c r="K125" i="61"/>
  <c r="M125" i="61" s="1"/>
  <c r="K325" i="61"/>
  <c r="M325" i="61" s="1"/>
  <c r="K383" i="61"/>
  <c r="M383" i="61" s="1"/>
  <c r="K304" i="61"/>
  <c r="M304" i="61" s="1"/>
  <c r="K233" i="61"/>
  <c r="M233" i="61" s="1"/>
  <c r="K346" i="61"/>
  <c r="M346" i="61" s="1"/>
  <c r="K268" i="61"/>
  <c r="M268" i="61" s="1"/>
  <c r="K968" i="61"/>
  <c r="M968" i="61" s="1"/>
  <c r="K906" i="61"/>
  <c r="M906" i="61" s="1"/>
  <c r="K267" i="61"/>
  <c r="M267" i="61" s="1"/>
  <c r="K1737" i="61"/>
  <c r="M1737" i="61" s="1"/>
  <c r="K1426" i="61"/>
  <c r="M1426" i="61" s="1"/>
  <c r="K114" i="61"/>
  <c r="M114" i="61" s="1"/>
  <c r="K120" i="61"/>
  <c r="M120" i="61" s="1"/>
  <c r="K589" i="61"/>
  <c r="M589" i="61" s="1"/>
  <c r="K63" i="61"/>
  <c r="M63" i="61" s="1"/>
  <c r="K647" i="61"/>
  <c r="M647" i="61" s="1"/>
  <c r="K497" i="61"/>
  <c r="M497" i="61" s="1"/>
  <c r="K610" i="61"/>
  <c r="M610" i="61" s="1"/>
  <c r="K720" i="61"/>
  <c r="M720" i="61" s="1"/>
  <c r="K604" i="61"/>
  <c r="M604" i="61" s="1"/>
  <c r="K1170" i="61"/>
  <c r="M1170" i="61" s="1"/>
  <c r="K887" i="61"/>
  <c r="M887" i="61" s="1"/>
  <c r="K1599" i="61"/>
  <c r="M1599" i="61" s="1"/>
  <c r="K134" i="61"/>
  <c r="M134" i="61" s="1"/>
  <c r="K469" i="61"/>
  <c r="M469" i="61" s="1"/>
  <c r="K406" i="61"/>
  <c r="M406" i="61" s="1"/>
  <c r="K527" i="61"/>
  <c r="M527" i="61" s="1"/>
  <c r="K448" i="61"/>
  <c r="M448" i="61" s="1"/>
  <c r="K377" i="61"/>
  <c r="M377" i="61" s="1"/>
  <c r="K490" i="61"/>
  <c r="M490" i="61" s="1"/>
  <c r="K452" i="61"/>
  <c r="M452" i="61" s="1"/>
  <c r="K1112" i="61"/>
  <c r="M1112" i="61" s="1"/>
  <c r="K953" i="61"/>
  <c r="M953" i="61" s="1"/>
  <c r="K1050" i="61"/>
  <c r="M1050" i="61" s="1"/>
  <c r="K899" i="61"/>
  <c r="M899" i="61" s="1"/>
  <c r="K707" i="61"/>
  <c r="M707" i="61" s="1"/>
  <c r="K54" i="61"/>
  <c r="M54" i="61" s="1"/>
  <c r="K711" i="61"/>
  <c r="M711" i="61" s="1"/>
  <c r="K784" i="61"/>
  <c r="M784" i="61" s="1"/>
  <c r="K539" i="61"/>
  <c r="M539" i="61" s="1"/>
  <c r="K315" i="61"/>
  <c r="M315" i="61" s="1"/>
  <c r="K893" i="61"/>
  <c r="M893" i="61" s="1"/>
  <c r="K58" i="61"/>
  <c r="M58" i="61" s="1"/>
  <c r="K460" i="61"/>
  <c r="M460" i="61" s="1"/>
  <c r="K773" i="61"/>
  <c r="M773" i="61" s="1"/>
  <c r="K614" i="61"/>
  <c r="M614" i="61" s="1"/>
  <c r="K1543" i="61"/>
  <c r="M1543" i="61" s="1"/>
  <c r="K1232" i="61"/>
  <c r="M1232" i="61" s="1"/>
  <c r="K1007" i="61"/>
  <c r="M1007" i="61" s="1"/>
  <c r="K709" i="61"/>
  <c r="M709" i="61" s="1"/>
  <c r="K1033" i="61"/>
  <c r="M1033" i="61" s="1"/>
  <c r="K1606" i="61"/>
  <c r="M1606" i="61" s="1"/>
  <c r="K1350" i="61"/>
  <c r="M1350" i="61" s="1"/>
  <c r="K123" i="61"/>
  <c r="M123" i="61" s="1"/>
  <c r="K279" i="61"/>
  <c r="M279" i="61" s="1"/>
  <c r="K200" i="61"/>
  <c r="M200" i="61" s="1"/>
  <c r="K39" i="61"/>
  <c r="M39" i="61" s="1"/>
  <c r="K699" i="61"/>
  <c r="M699" i="61" s="1"/>
  <c r="K802" i="61"/>
  <c r="M802" i="61" s="1"/>
  <c r="K590" i="61"/>
  <c r="M590" i="61" s="1"/>
  <c r="K529" i="61"/>
  <c r="M529" i="61" s="1"/>
  <c r="K73" i="61"/>
  <c r="M73" i="61" s="1"/>
  <c r="K453" i="61"/>
  <c r="M453" i="61" s="1"/>
  <c r="K390" i="61"/>
  <c r="M390" i="61" s="1"/>
  <c r="K511" i="61"/>
  <c r="M511" i="61" s="1"/>
  <c r="K432" i="61"/>
  <c r="M432" i="61" s="1"/>
  <c r="K361" i="61"/>
  <c r="M361" i="61" s="1"/>
  <c r="K388" i="61"/>
  <c r="M388" i="61" s="1"/>
  <c r="K883" i="61"/>
  <c r="M883" i="61" s="1"/>
  <c r="K852" i="61"/>
  <c r="M852" i="61" s="1"/>
  <c r="K708" i="61"/>
  <c r="M708" i="61" s="1"/>
  <c r="K42" i="61"/>
  <c r="M42" i="61" s="1"/>
  <c r="K48" i="61"/>
  <c r="M48" i="61" s="1"/>
  <c r="K517" i="61"/>
  <c r="M517" i="61" s="1"/>
  <c r="K454" i="61"/>
  <c r="M454" i="61" s="1"/>
  <c r="K575" i="61"/>
  <c r="M575" i="61" s="1"/>
  <c r="K496" i="61"/>
  <c r="M496" i="61" s="1"/>
  <c r="K425" i="61"/>
  <c r="M425" i="61" s="1"/>
  <c r="K538" i="61"/>
  <c r="M538" i="61" s="1"/>
  <c r="K585" i="61"/>
  <c r="M585" i="61" s="1"/>
  <c r="K1160" i="61"/>
  <c r="M1160" i="61" s="1"/>
  <c r="K396" i="61"/>
  <c r="M396" i="61" s="1"/>
  <c r="K947" i="61"/>
  <c r="M947" i="61" s="1"/>
  <c r="K916" i="61"/>
  <c r="M916" i="61" s="1"/>
  <c r="K757" i="61"/>
  <c r="M757" i="61" s="1"/>
  <c r="K451" i="61"/>
  <c r="M451" i="61" s="1"/>
  <c r="K966" i="61"/>
  <c r="M966" i="61" s="1"/>
  <c r="K582" i="61"/>
  <c r="M582" i="61" s="1"/>
  <c r="K69" i="61"/>
  <c r="M69" i="61" s="1"/>
  <c r="K269" i="61"/>
  <c r="M269" i="61" s="1"/>
  <c r="K710" i="61"/>
  <c r="M710" i="61" s="1"/>
  <c r="K1011" i="61"/>
  <c r="M1011" i="61" s="1"/>
  <c r="K903" i="61"/>
  <c r="M903" i="61" s="1"/>
  <c r="K133" i="61"/>
  <c r="M133" i="61" s="1"/>
  <c r="K333" i="61"/>
  <c r="M333" i="61" s="1"/>
  <c r="K312" i="61"/>
  <c r="M312" i="61" s="1"/>
  <c r="K276" i="61"/>
  <c r="M276" i="61" s="1"/>
  <c r="K976" i="61"/>
  <c r="M976" i="61" s="1"/>
  <c r="K817" i="61"/>
  <c r="M817" i="61" s="1"/>
  <c r="K763" i="61"/>
  <c r="M763" i="61" s="1"/>
  <c r="K331" i="61"/>
  <c r="M331" i="61" s="1"/>
  <c r="K1085" i="61"/>
  <c r="M1085" i="61" s="1"/>
  <c r="K1343" i="61"/>
  <c r="M1343" i="61" s="1"/>
  <c r="K628" i="61"/>
  <c r="M628" i="61" s="1"/>
  <c r="K115" i="61"/>
  <c r="M115" i="61" s="1"/>
  <c r="K213" i="61"/>
  <c r="M213" i="61" s="1"/>
  <c r="K124" i="61"/>
  <c r="M124" i="61" s="1"/>
  <c r="K140" i="61"/>
  <c r="M140" i="61" s="1"/>
  <c r="K856" i="61"/>
  <c r="M856" i="61" s="1"/>
  <c r="K794" i="61"/>
  <c r="M794" i="61" s="1"/>
  <c r="K500" i="61"/>
  <c r="M500" i="61" s="1"/>
  <c r="K1040" i="61"/>
  <c r="M1040" i="61" s="1"/>
  <c r="K881" i="61"/>
  <c r="M881" i="61" s="1"/>
  <c r="K1407" i="61"/>
  <c r="M1407" i="61" s="1"/>
  <c r="K926" i="61"/>
  <c r="M926" i="61" s="1"/>
  <c r="K77" i="61"/>
  <c r="M77" i="61" s="1"/>
  <c r="K214" i="61"/>
  <c r="M214" i="61" s="1"/>
  <c r="K920" i="61"/>
  <c r="M920" i="61" s="1"/>
  <c r="K761" i="61"/>
  <c r="M761" i="61" s="1"/>
  <c r="K858" i="61"/>
  <c r="M858" i="61" s="1"/>
  <c r="K702" i="61"/>
  <c r="M702" i="61" s="1"/>
  <c r="K641" i="61"/>
  <c r="M641" i="61" s="1"/>
  <c r="K1029" i="61"/>
  <c r="M1029" i="61" s="1"/>
  <c r="K1287" i="61"/>
  <c r="M1287" i="61" s="1"/>
  <c r="K1799" i="61"/>
  <c r="M1799" i="61" s="1"/>
  <c r="K1488" i="61"/>
  <c r="M1488" i="61" s="1"/>
  <c r="K1137" i="61"/>
  <c r="M1137" i="61" s="1"/>
  <c r="K1589" i="61"/>
  <c r="M1589" i="61" s="1"/>
  <c r="K97" i="61"/>
  <c r="M97" i="61" s="1"/>
  <c r="K414" i="61"/>
  <c r="M414" i="61" s="1"/>
  <c r="K535" i="61"/>
  <c r="M535" i="61" s="1"/>
  <c r="K456" i="61"/>
  <c r="M456" i="61" s="1"/>
  <c r="K385" i="61"/>
  <c r="M385" i="61" s="1"/>
  <c r="K1120" i="61"/>
  <c r="M1120" i="61" s="1"/>
  <c r="K961" i="61"/>
  <c r="M961" i="61" s="1"/>
  <c r="K197" i="61"/>
  <c r="M197" i="61" s="1"/>
  <c r="K60" i="61"/>
  <c r="M60" i="61" s="1"/>
  <c r="K840" i="61"/>
  <c r="M840" i="61" s="1"/>
  <c r="K81" i="61"/>
  <c r="M81" i="61" s="1"/>
  <c r="K461" i="61"/>
  <c r="M461" i="61" s="1"/>
  <c r="K519" i="61"/>
  <c r="M519" i="61" s="1"/>
  <c r="K1104" i="61"/>
  <c r="M1104" i="61" s="1"/>
  <c r="K945" i="61"/>
  <c r="M945" i="61" s="1"/>
  <c r="K1042" i="61"/>
  <c r="M1042" i="61" s="1"/>
  <c r="K891" i="61"/>
  <c r="M891" i="61" s="1"/>
  <c r="K1471" i="61"/>
  <c r="M1471" i="61" s="1"/>
  <c r="K1103" i="61"/>
  <c r="M1103" i="61" s="1"/>
  <c r="K341" i="61"/>
  <c r="M341" i="61" s="1"/>
  <c r="K278" i="61"/>
  <c r="M278" i="61" s="1"/>
  <c r="K249" i="61"/>
  <c r="M249" i="61" s="1"/>
  <c r="K984" i="61"/>
  <c r="M984" i="61" s="1"/>
  <c r="K825" i="61"/>
  <c r="M825" i="61" s="1"/>
  <c r="K922" i="61"/>
  <c r="M922" i="61" s="1"/>
  <c r="K1093" i="61"/>
  <c r="M1093" i="61" s="1"/>
  <c r="K1653" i="61"/>
  <c r="M1653" i="61" s="1"/>
  <c r="K66" i="61"/>
  <c r="M66" i="61" s="1"/>
  <c r="K72" i="61"/>
  <c r="M72" i="61" s="1"/>
  <c r="K541" i="61"/>
  <c r="M541" i="61" s="1"/>
  <c r="K478" i="61"/>
  <c r="M478" i="61" s="1"/>
  <c r="K599" i="61"/>
  <c r="M599" i="61" s="1"/>
  <c r="K520" i="61"/>
  <c r="M520" i="61" s="1"/>
  <c r="K449" i="61"/>
  <c r="M449" i="61" s="1"/>
  <c r="K562" i="61"/>
  <c r="M562" i="61" s="1"/>
  <c r="K633" i="61"/>
  <c r="M633" i="61" s="1"/>
  <c r="K1184" i="61"/>
  <c r="M1184" i="61" s="1"/>
  <c r="K1122" i="61"/>
  <c r="M1122" i="61" s="1"/>
  <c r="K781" i="61"/>
  <c r="M781" i="61" s="1"/>
  <c r="K1551" i="61"/>
  <c r="M1551" i="61" s="1"/>
  <c r="K1240" i="61"/>
  <c r="M1240" i="61" s="1"/>
  <c r="K1752" i="61"/>
  <c r="M1752" i="61" s="1"/>
  <c r="K1441" i="61"/>
  <c r="M1441" i="61" s="1"/>
  <c r="K41" i="61"/>
  <c r="M41" i="61" s="1"/>
  <c r="K1515" i="61"/>
  <c r="M1515" i="61" s="1"/>
  <c r="K973" i="61"/>
  <c r="M973" i="61" s="1"/>
  <c r="K1231" i="61"/>
  <c r="M1231" i="61" s="1"/>
  <c r="K1743" i="61"/>
  <c r="M1743" i="61" s="1"/>
  <c r="K1432" i="61"/>
  <c r="M1432" i="61" s="1"/>
  <c r="K1006" i="61"/>
  <c r="M1006" i="61" s="1"/>
  <c r="K138" i="61"/>
  <c r="M138" i="61" s="1"/>
  <c r="K144" i="61"/>
  <c r="M144" i="61" s="1"/>
  <c r="K613" i="61"/>
  <c r="M613" i="61" s="1"/>
  <c r="K147" i="61"/>
  <c r="M147" i="61" s="1"/>
  <c r="K671" i="61"/>
  <c r="M671" i="61" s="1"/>
  <c r="K521" i="61"/>
  <c r="M521" i="61" s="1"/>
  <c r="K634" i="61"/>
  <c r="M634" i="61" s="1"/>
  <c r="K744" i="61"/>
  <c r="M744" i="61" s="1"/>
  <c r="K395" i="61"/>
  <c r="M395" i="61" s="1"/>
  <c r="K652" i="61"/>
  <c r="M652" i="61" s="1"/>
  <c r="K1194" i="61"/>
  <c r="M1194" i="61" s="1"/>
  <c r="K1043" i="61"/>
  <c r="M1043" i="61" s="1"/>
  <c r="K1012" i="61"/>
  <c r="M1012" i="61" s="1"/>
  <c r="K853" i="61"/>
  <c r="M853" i="61" s="1"/>
  <c r="K977" i="61"/>
  <c r="M977" i="61" s="1"/>
  <c r="K1623" i="61"/>
  <c r="M1623" i="61" s="1"/>
  <c r="K1312" i="61"/>
  <c r="M1312" i="61" s="1"/>
  <c r="K75" i="61"/>
  <c r="M75" i="61" s="1"/>
  <c r="K173" i="61"/>
  <c r="M173" i="61" s="1"/>
  <c r="K685" i="61"/>
  <c r="M685" i="61" s="1"/>
  <c r="K231" i="61"/>
  <c r="M231" i="61" s="1"/>
  <c r="K132" i="61"/>
  <c r="M132" i="61" s="1"/>
  <c r="K664" i="61"/>
  <c r="M664" i="61" s="1"/>
  <c r="K194" i="61"/>
  <c r="M194" i="61" s="1"/>
  <c r="K706" i="61"/>
  <c r="M706" i="61" s="1"/>
  <c r="K816" i="61"/>
  <c r="M816" i="61" s="1"/>
  <c r="K603" i="61"/>
  <c r="M603" i="61" s="1"/>
  <c r="K754" i="61"/>
  <c r="M754" i="61" s="1"/>
  <c r="K467" i="61"/>
  <c r="M467" i="61" s="1"/>
  <c r="K323" i="61"/>
  <c r="M323" i="61" s="1"/>
  <c r="K1084" i="61"/>
  <c r="M1084" i="61" s="1"/>
  <c r="K925" i="61"/>
  <c r="M925" i="61" s="1"/>
  <c r="K1150" i="61"/>
  <c r="M1150" i="61" s="1"/>
  <c r="K1384" i="61"/>
  <c r="M1384" i="61" s="1"/>
  <c r="K831" i="61"/>
  <c r="M831" i="61" s="1"/>
  <c r="K1585" i="61"/>
  <c r="M1585" i="61" s="1"/>
  <c r="K1274" i="61"/>
  <c r="M1274" i="61" s="1"/>
  <c r="K90" i="61"/>
  <c r="M90" i="61" s="1"/>
  <c r="K96" i="61"/>
  <c r="M96" i="61" s="1"/>
  <c r="K565" i="61"/>
  <c r="M565" i="61" s="1"/>
  <c r="K502" i="61"/>
  <c r="M502" i="61" s="1"/>
  <c r="K623" i="61"/>
  <c r="M623" i="61" s="1"/>
  <c r="K544" i="61"/>
  <c r="M544" i="61" s="1"/>
  <c r="K473" i="61"/>
  <c r="M473" i="61" s="1"/>
  <c r="K586" i="61"/>
  <c r="M586" i="61" s="1"/>
  <c r="K681" i="61"/>
  <c r="M681" i="61" s="1"/>
  <c r="K556" i="61"/>
  <c r="M556" i="61" s="1"/>
  <c r="K1146" i="61"/>
  <c r="M1146" i="61" s="1"/>
  <c r="K995" i="61"/>
  <c r="M995" i="61" s="1"/>
  <c r="K964" i="61"/>
  <c r="M964" i="61" s="1"/>
  <c r="K805" i="61"/>
  <c r="M805" i="61" s="1"/>
  <c r="K791" i="61"/>
  <c r="M791" i="61" s="1"/>
  <c r="K1091" i="61"/>
  <c r="M1091" i="61" s="1"/>
  <c r="K839" i="61"/>
  <c r="M839" i="61" s="1"/>
  <c r="K1111" i="61"/>
  <c r="M1111" i="61" s="1"/>
  <c r="K1676" i="61"/>
  <c r="M1676" i="61" s="1"/>
  <c r="K1365" i="61"/>
  <c r="M1365" i="61" s="1"/>
  <c r="K1691" i="61"/>
  <c r="M1691" i="61" s="1"/>
  <c r="K1518" i="61"/>
  <c r="M1518" i="61" s="1"/>
  <c r="K1115" i="61"/>
  <c r="M1115" i="61" s="1"/>
  <c r="K53" i="61"/>
  <c r="M53" i="61" s="1"/>
  <c r="K253" i="61"/>
  <c r="M253" i="61" s="1"/>
  <c r="K190" i="61"/>
  <c r="M190" i="61" s="1"/>
  <c r="K311" i="61"/>
  <c r="M311" i="61" s="1"/>
  <c r="K232" i="61"/>
  <c r="M232" i="61" s="1"/>
  <c r="K151" i="61"/>
  <c r="M151" i="61" s="1"/>
  <c r="K274" i="61"/>
  <c r="M274" i="61" s="1"/>
  <c r="K196" i="61"/>
  <c r="M196" i="61" s="1"/>
  <c r="K896" i="61"/>
  <c r="M896" i="61" s="1"/>
  <c r="K737" i="61"/>
  <c r="M737" i="61" s="1"/>
  <c r="K834" i="61"/>
  <c r="M834" i="61" s="1"/>
  <c r="K654" i="61"/>
  <c r="M654" i="61" s="1"/>
  <c r="K593" i="61"/>
  <c r="M593" i="61" s="1"/>
  <c r="K1164" i="61"/>
  <c r="M1164" i="61" s="1"/>
  <c r="K1005" i="61"/>
  <c r="M1005" i="61" s="1"/>
  <c r="K1219" i="61"/>
  <c r="M1219" i="61" s="1"/>
  <c r="K1308" i="61"/>
  <c r="M1308" i="61" s="1"/>
  <c r="K1509" i="61"/>
  <c r="M1509" i="61" s="1"/>
  <c r="K1959" i="61"/>
  <c r="M1959" i="61" s="1"/>
  <c r="K1758" i="61"/>
  <c r="M1758" i="61" s="1"/>
  <c r="K1916" i="61"/>
  <c r="M1916" i="61" s="1"/>
  <c r="K1475" i="61"/>
  <c r="M1475" i="61" s="1"/>
  <c r="K1672" i="61"/>
  <c r="M1672" i="61" s="1"/>
  <c r="K1361" i="61"/>
  <c r="M1361" i="61" s="1"/>
  <c r="K742" i="61"/>
  <c r="M742" i="61" s="1"/>
  <c r="K1562" i="61"/>
  <c r="M1562" i="61" s="1"/>
  <c r="K782" i="61"/>
  <c r="M782" i="61" s="1"/>
  <c r="K1572" i="61"/>
  <c r="M1572" i="61" s="1"/>
  <c r="K1261" i="61"/>
  <c r="M1261" i="61" s="1"/>
  <c r="K1542" i="61"/>
  <c r="M1542" i="61" s="1"/>
  <c r="K1211" i="61"/>
  <c r="M1211" i="61" s="1"/>
  <c r="K9" i="61"/>
  <c r="M9" i="61" s="1"/>
  <c r="K1494" i="61"/>
  <c r="M1494" i="61" s="1"/>
  <c r="K1310" i="61"/>
  <c r="M1310" i="61" s="1"/>
  <c r="K2133" i="61"/>
  <c r="M2133" i="61" s="1"/>
  <c r="K1990" i="61"/>
  <c r="M1990" i="61" s="1"/>
  <c r="K975" i="61"/>
  <c r="M975" i="61" s="1"/>
  <c r="K2124" i="61"/>
  <c r="M2124" i="61" s="1"/>
  <c r="K2077" i="61"/>
  <c r="M2077" i="61" s="1"/>
  <c r="K1171" i="61"/>
  <c r="M1171" i="61" s="1"/>
  <c r="K990" i="61"/>
  <c r="M990" i="61" s="1"/>
  <c r="K1191" i="61"/>
  <c r="M1191" i="61" s="1"/>
  <c r="K1716" i="61"/>
  <c r="M1716" i="61" s="1"/>
  <c r="K1405" i="61"/>
  <c r="M1405" i="61" s="1"/>
  <c r="K1855" i="61"/>
  <c r="M1855" i="61" s="1"/>
  <c r="K1771" i="61"/>
  <c r="M1771" i="61" s="1"/>
  <c r="K1651" i="61"/>
  <c r="M1651" i="61" s="1"/>
  <c r="K1459" i="61"/>
  <c r="M1459" i="61" s="1"/>
  <c r="K1843" i="61"/>
  <c r="M1843" i="61" s="1"/>
  <c r="K1795" i="61"/>
  <c r="M1795" i="61" s="1"/>
  <c r="K1701" i="61"/>
  <c r="M1701" i="61" s="1"/>
  <c r="K2134" i="61"/>
  <c r="M2134" i="61" s="1"/>
  <c r="K23" i="61"/>
  <c r="M23" i="61" s="1"/>
  <c r="K1824" i="61"/>
  <c r="M1824" i="61" s="1"/>
  <c r="K1513" i="61"/>
  <c r="M1513" i="61" s="1"/>
  <c r="K1187" i="61"/>
  <c r="M1187" i="61" s="1"/>
  <c r="K1009" i="61"/>
  <c r="M1009" i="61" s="1"/>
  <c r="K1207" i="61"/>
  <c r="M1207" i="61" s="1"/>
  <c r="K1724" i="61"/>
  <c r="M1724" i="61" s="1"/>
  <c r="K1413" i="61"/>
  <c r="M1413" i="61" s="1"/>
  <c r="K1863" i="61"/>
  <c r="M1863" i="61" s="1"/>
  <c r="K1787" i="61"/>
  <c r="M1787" i="61" s="1"/>
  <c r="K1674" i="61"/>
  <c r="M1674" i="61" s="1"/>
  <c r="K1491" i="61"/>
  <c r="M1491" i="61" s="1"/>
  <c r="K1851" i="61"/>
  <c r="M1851" i="61" s="1"/>
  <c r="K1811" i="61"/>
  <c r="M1811" i="61" s="1"/>
  <c r="K1717" i="61"/>
  <c r="M1717" i="61" s="1"/>
  <c r="K7" i="61"/>
  <c r="M7" i="61" s="1"/>
  <c r="K1443" i="61"/>
  <c r="M1443" i="61" s="1"/>
  <c r="K1387" i="61"/>
  <c r="M1387" i="61" s="1"/>
  <c r="K1476" i="61"/>
  <c r="M1476" i="61" s="1"/>
  <c r="K1113" i="61"/>
  <c r="M1113" i="61" s="1"/>
  <c r="K1677" i="61"/>
  <c r="M1677" i="61" s="1"/>
  <c r="K2127" i="61"/>
  <c r="M2127" i="61" s="1"/>
  <c r="K2072" i="61"/>
  <c r="M2072" i="61" s="1"/>
  <c r="K2017" i="61"/>
  <c r="M2017" i="61" s="1"/>
  <c r="K1962" i="61"/>
  <c r="M1962" i="61" s="1"/>
  <c r="K2115" i="61"/>
  <c r="M2115" i="61" s="1"/>
  <c r="K2084" i="61"/>
  <c r="M2084" i="61" s="1"/>
  <c r="K2037" i="61"/>
  <c r="M2037" i="61" s="1"/>
  <c r="K1982" i="61"/>
  <c r="M1982" i="61" s="1"/>
  <c r="K1366" i="61"/>
  <c r="M1366" i="61" s="1"/>
  <c r="K998" i="61"/>
  <c r="M998" i="61" s="1"/>
  <c r="K2156" i="61"/>
  <c r="M2156" i="61" s="1"/>
  <c r="K2109" i="61"/>
  <c r="M2109" i="61" s="1"/>
  <c r="K1766" i="61"/>
  <c r="M1766" i="61" s="1"/>
  <c r="K1391" i="61"/>
  <c r="M1391" i="61" s="1"/>
  <c r="K862" i="61"/>
  <c r="M862" i="61" s="1"/>
  <c r="K1592" i="61"/>
  <c r="M1592" i="61" s="1"/>
  <c r="K1281" i="61"/>
  <c r="M1281" i="61" s="1"/>
  <c r="K1793" i="61"/>
  <c r="M1793" i="61" s="1"/>
  <c r="K1482" i="61"/>
  <c r="M1482" i="61" s="1"/>
  <c r="K1403" i="61"/>
  <c r="M1403" i="61" s="1"/>
  <c r="K1492" i="61"/>
  <c r="M1492" i="61" s="1"/>
  <c r="K1145" i="61"/>
  <c r="M1145" i="61" s="1"/>
  <c r="K444" i="61"/>
  <c r="M444" i="61" s="1"/>
  <c r="K2143" i="61"/>
  <c r="M2143" i="61" s="1"/>
  <c r="K2088" i="61"/>
  <c r="M2088" i="61" s="1"/>
  <c r="K2033" i="61"/>
  <c r="M2033" i="61" s="1"/>
  <c r="K1978" i="61"/>
  <c r="M1978" i="61" s="1"/>
  <c r="K2131" i="61"/>
  <c r="M2131" i="61" s="1"/>
  <c r="K2100" i="61"/>
  <c r="M2100" i="61" s="1"/>
  <c r="K2053" i="61"/>
  <c r="M2053" i="61" s="1"/>
  <c r="K2050" i="61"/>
  <c r="M2050" i="61" s="1"/>
  <c r="K263" i="61"/>
  <c r="M263" i="61" s="1"/>
  <c r="K184" i="61"/>
  <c r="M184" i="61" s="1"/>
  <c r="K696" i="61"/>
  <c r="M696" i="61" s="1"/>
  <c r="K116" i="61"/>
  <c r="M116" i="61" s="1"/>
  <c r="K848" i="61"/>
  <c r="M848" i="61" s="1"/>
  <c r="K667" i="61"/>
  <c r="M667" i="61" s="1"/>
  <c r="K786" i="61"/>
  <c r="M786" i="61" s="1"/>
  <c r="K558" i="61"/>
  <c r="M558" i="61" s="1"/>
  <c r="K468" i="61"/>
  <c r="M468" i="61" s="1"/>
  <c r="K1116" i="61"/>
  <c r="M1116" i="61" s="1"/>
  <c r="K957" i="61"/>
  <c r="M957" i="61" s="1"/>
  <c r="K1214" i="61"/>
  <c r="M1214" i="61" s="1"/>
  <c r="K1727" i="61"/>
  <c r="M1727" i="61" s="1"/>
  <c r="K122" i="61"/>
  <c r="M122" i="61" s="1"/>
  <c r="K128" i="61"/>
  <c r="M128" i="61" s="1"/>
  <c r="K597" i="61"/>
  <c r="M597" i="61" s="1"/>
  <c r="K95" i="61"/>
  <c r="M95" i="61" s="1"/>
  <c r="K576" i="61"/>
  <c r="M576" i="61" s="1"/>
  <c r="K505" i="61"/>
  <c r="M505" i="61" s="1"/>
  <c r="K728" i="61"/>
  <c r="M728" i="61" s="1"/>
  <c r="K299" i="61"/>
  <c r="M299" i="61" s="1"/>
  <c r="K620" i="61"/>
  <c r="M620" i="61" s="1"/>
  <c r="K1178" i="61"/>
  <c r="M1178" i="61" s="1"/>
  <c r="K1027" i="61"/>
  <c r="M1027" i="61" s="1"/>
  <c r="K996" i="61"/>
  <c r="M996" i="61" s="1"/>
  <c r="K837" i="61"/>
  <c r="M837" i="61" s="1"/>
  <c r="K919" i="61"/>
  <c r="M919" i="61" s="1"/>
  <c r="K1607" i="61"/>
  <c r="M1607" i="61" s="1"/>
  <c r="K1296" i="61"/>
  <c r="M1296" i="61" s="1"/>
  <c r="K1155" i="61"/>
  <c r="M1155" i="61" s="1"/>
  <c r="K967" i="61"/>
  <c r="M967" i="61" s="1"/>
  <c r="K1175" i="61"/>
  <c r="M1175" i="61" s="1"/>
  <c r="K1397" i="61"/>
  <c r="M1397" i="61" s="1"/>
  <c r="K1630" i="61"/>
  <c r="M1630" i="61" s="1"/>
  <c r="K1422" i="61"/>
  <c r="M1422" i="61" s="1"/>
  <c r="K85" i="61"/>
  <c r="M85" i="61" s="1"/>
  <c r="K222" i="61"/>
  <c r="M222" i="61" s="1"/>
  <c r="K343" i="61"/>
  <c r="M343" i="61" s="1"/>
  <c r="K264" i="61"/>
  <c r="M264" i="61" s="1"/>
  <c r="K193" i="61"/>
  <c r="M193" i="61" s="1"/>
  <c r="K306" i="61"/>
  <c r="M306" i="61" s="1"/>
  <c r="K228" i="61"/>
  <c r="M228" i="61" s="1"/>
  <c r="K928" i="61"/>
  <c r="M928" i="61" s="1"/>
  <c r="K769" i="61"/>
  <c r="M769" i="61" s="1"/>
  <c r="K866" i="61"/>
  <c r="M866" i="61" s="1"/>
  <c r="K715" i="61"/>
  <c r="M715" i="61" s="1"/>
  <c r="K657" i="61"/>
  <c r="M657" i="61" s="1"/>
  <c r="K1196" i="61"/>
  <c r="M1196" i="61" s="1"/>
  <c r="K1037" i="61"/>
  <c r="M1037" i="61" s="1"/>
  <c r="K1295" i="61"/>
  <c r="M1295" i="61" s="1"/>
  <c r="K1807" i="61"/>
  <c r="M1807" i="61" s="1"/>
  <c r="K1496" i="61"/>
  <c r="M1496" i="61" s="1"/>
  <c r="K1153" i="61"/>
  <c r="M1153" i="61" s="1"/>
  <c r="K67" i="61"/>
  <c r="M67" i="61" s="1"/>
  <c r="K159" i="61"/>
  <c r="M159" i="61" s="1"/>
  <c r="K677" i="61"/>
  <c r="M677" i="61" s="1"/>
  <c r="K223" i="61"/>
  <c r="M223" i="61" s="1"/>
  <c r="K100" i="61"/>
  <c r="M100" i="61" s="1"/>
  <c r="K656" i="61"/>
  <c r="M656" i="61" s="1"/>
  <c r="K698" i="61"/>
  <c r="M698" i="61" s="1"/>
  <c r="K808" i="61"/>
  <c r="M808" i="61" s="1"/>
  <c r="K587" i="61"/>
  <c r="M587" i="61" s="1"/>
  <c r="K746" i="61"/>
  <c r="M746" i="61" s="1"/>
  <c r="K435" i="61"/>
  <c r="M435" i="61" s="1"/>
  <c r="K259" i="61"/>
  <c r="M259" i="61" s="1"/>
  <c r="K1076" i="61"/>
  <c r="M1076" i="61" s="1"/>
  <c r="K917" i="61"/>
  <c r="M917" i="61" s="1"/>
  <c r="K1134" i="61"/>
  <c r="M1134" i="61" s="1"/>
  <c r="K1687" i="61"/>
  <c r="M1687" i="61" s="1"/>
  <c r="K1376" i="61"/>
  <c r="M1376" i="61" s="1"/>
  <c r="K37" i="61"/>
  <c r="M37" i="61" s="1"/>
  <c r="K237" i="61"/>
  <c r="M237" i="61" s="1"/>
  <c r="K174" i="61"/>
  <c r="M174" i="61" s="1"/>
  <c r="K295" i="61"/>
  <c r="M295" i="61" s="1"/>
  <c r="K216" i="61"/>
  <c r="M216" i="61" s="1"/>
  <c r="K103" i="61"/>
  <c r="M103" i="61" s="1"/>
  <c r="K258" i="61"/>
  <c r="M258" i="61" s="1"/>
  <c r="K180" i="61"/>
  <c r="M180" i="61" s="1"/>
  <c r="K880" i="61"/>
  <c r="M880" i="61" s="1"/>
  <c r="K721" i="61"/>
  <c r="M721" i="61" s="1"/>
  <c r="K818" i="61"/>
  <c r="M818" i="61" s="1"/>
  <c r="K622" i="61"/>
  <c r="M622" i="61" s="1"/>
  <c r="K561" i="61"/>
  <c r="M561" i="61" s="1"/>
  <c r="K1148" i="61"/>
  <c r="M1148" i="61" s="1"/>
  <c r="K989" i="61"/>
  <c r="M989" i="61" s="1"/>
  <c r="K1247" i="61"/>
  <c r="M1247" i="61" s="1"/>
  <c r="K1759" i="61"/>
  <c r="M1759" i="61" s="1"/>
  <c r="K1448" i="61"/>
  <c r="M1448" i="61" s="1"/>
  <c r="K1047" i="61"/>
  <c r="M1047" i="61" s="1"/>
  <c r="K1649" i="61"/>
  <c r="M1649" i="61" s="1"/>
  <c r="K154" i="61"/>
  <c r="M154" i="61" s="1"/>
  <c r="K160" i="61"/>
  <c r="M160" i="61" s="1"/>
  <c r="K629" i="61"/>
  <c r="M629" i="61" s="1"/>
  <c r="K175" i="61"/>
  <c r="M175" i="61" s="1"/>
  <c r="K687" i="61"/>
  <c r="M687" i="61" s="1"/>
  <c r="K608" i="61"/>
  <c r="M608" i="61" s="1"/>
  <c r="K76" i="61"/>
  <c r="M76" i="61" s="1"/>
  <c r="K650" i="61"/>
  <c r="M650" i="61" s="1"/>
  <c r="K760" i="61"/>
  <c r="M760" i="61" s="1"/>
  <c r="K459" i="61"/>
  <c r="M459" i="61" s="1"/>
  <c r="K684" i="61"/>
  <c r="M684" i="61" s="1"/>
  <c r="K1210" i="61"/>
  <c r="M1210" i="61" s="1"/>
  <c r="K1059" i="61"/>
  <c r="M1059" i="61" s="1"/>
  <c r="K1028" i="61"/>
  <c r="M1028" i="61" s="1"/>
  <c r="K869" i="61"/>
  <c r="M869" i="61" s="1"/>
  <c r="K1022" i="61"/>
  <c r="M1022" i="61" s="1"/>
  <c r="K1639" i="61"/>
  <c r="M1639" i="61" s="1"/>
  <c r="K1328" i="61"/>
  <c r="M1328" i="61" s="1"/>
  <c r="K483" i="61"/>
  <c r="M483" i="61" s="1"/>
  <c r="K1529" i="61"/>
  <c r="M1529" i="61" s="1"/>
  <c r="K1218" i="61"/>
  <c r="M1218" i="61" s="1"/>
  <c r="K1054" i="61"/>
  <c r="M1054" i="61" s="1"/>
  <c r="K1228" i="61"/>
  <c r="M1228" i="61" s="1"/>
  <c r="K1740" i="61"/>
  <c r="M1740" i="61" s="1"/>
  <c r="K1429" i="61"/>
  <c r="M1429" i="61" s="1"/>
  <c r="K1879" i="61"/>
  <c r="M1879" i="61" s="1"/>
  <c r="K1819" i="61"/>
  <c r="M1819" i="61" s="1"/>
  <c r="K1709" i="61"/>
  <c r="M1709" i="61" s="1"/>
  <c r="K1555" i="61"/>
  <c r="M1555" i="61" s="1"/>
  <c r="K117" i="61"/>
  <c r="M117" i="61" s="1"/>
  <c r="K317" i="61"/>
  <c r="M317" i="61" s="1"/>
  <c r="K254" i="61"/>
  <c r="M254" i="61" s="1"/>
  <c r="K375" i="61"/>
  <c r="M375" i="61" s="1"/>
  <c r="K296" i="61"/>
  <c r="M296" i="61" s="1"/>
  <c r="K225" i="61"/>
  <c r="M225" i="61" s="1"/>
  <c r="K338" i="61"/>
  <c r="M338" i="61" s="1"/>
  <c r="K260" i="61"/>
  <c r="M260" i="61" s="1"/>
  <c r="K960" i="61"/>
  <c r="M960" i="61" s="1"/>
  <c r="K801" i="61"/>
  <c r="M801" i="61" s="1"/>
  <c r="K898" i="61"/>
  <c r="M898" i="61" s="1"/>
  <c r="K747" i="61"/>
  <c r="M747" i="61" s="1"/>
  <c r="K716" i="61"/>
  <c r="M716" i="61" s="1"/>
  <c r="K203" i="61"/>
  <c r="M203" i="61" s="1"/>
  <c r="K1069" i="61"/>
  <c r="M1069" i="61" s="1"/>
  <c r="K1283" i="61"/>
  <c r="M1283" i="61" s="1"/>
  <c r="K1372" i="61"/>
  <c r="M1372" i="61" s="1"/>
  <c r="K783" i="61"/>
  <c r="M783" i="61" s="1"/>
  <c r="K1573" i="61"/>
  <c r="M1573" i="61" s="1"/>
  <c r="K2023" i="61"/>
  <c r="M2023" i="61" s="1"/>
  <c r="K1913" i="61"/>
  <c r="M1913" i="61" s="1"/>
  <c r="K1858" i="61"/>
  <c r="M1858" i="61" s="1"/>
  <c r="K2011" i="61"/>
  <c r="M2011" i="61" s="1"/>
  <c r="K1980" i="61"/>
  <c r="M1980" i="61" s="1"/>
  <c r="K1933" i="61"/>
  <c r="M1933" i="61" s="1"/>
  <c r="K1974" i="61"/>
  <c r="M1974" i="61" s="1"/>
  <c r="K1950" i="61"/>
  <c r="M1950" i="61" s="1"/>
  <c r="K1736" i="61"/>
  <c r="M1736" i="61" s="1"/>
  <c r="K1425" i="61"/>
  <c r="M1425" i="61" s="1"/>
  <c r="K985" i="61"/>
  <c r="M985" i="61" s="1"/>
  <c r="K646" i="61"/>
  <c r="M646" i="61" s="1"/>
  <c r="K1014" i="61"/>
  <c r="M1014" i="61" s="1"/>
  <c r="K1636" i="61"/>
  <c r="M1636" i="61" s="1"/>
  <c r="K1325" i="61"/>
  <c r="M1325" i="61" s="1"/>
  <c r="K1722" i="61"/>
  <c r="M1722" i="61" s="1"/>
  <c r="K1579" i="61"/>
  <c r="M1579" i="61" s="1"/>
  <c r="K1286" i="61"/>
  <c r="M1286" i="61" s="1"/>
  <c r="K18" i="61"/>
  <c r="M18" i="61" s="1"/>
  <c r="K1698" i="61"/>
  <c r="M1698" i="61" s="1"/>
  <c r="K1618" i="61"/>
  <c r="M1618" i="61" s="1"/>
  <c r="K1438" i="61"/>
  <c r="M1438" i="61" s="1"/>
  <c r="K822" i="61"/>
  <c r="M822" i="61" s="1"/>
  <c r="K1643" i="61"/>
  <c r="M1643" i="61" s="1"/>
  <c r="K1526" i="61"/>
  <c r="M1526" i="61" s="1"/>
  <c r="K1374" i="61"/>
  <c r="M1374" i="61" s="1"/>
  <c r="K29" i="61"/>
  <c r="M29" i="61" s="1"/>
  <c r="K2141" i="61"/>
  <c r="M2141" i="61" s="1"/>
  <c r="K2022" i="61"/>
  <c r="M2022" i="61" s="1"/>
  <c r="K1258" i="61"/>
  <c r="M1258" i="61" s="1"/>
  <c r="K1142" i="61"/>
  <c r="M1142" i="61" s="1"/>
  <c r="K1268" i="61"/>
  <c r="M1268" i="61" s="1"/>
  <c r="K1780" i="61"/>
  <c r="M1780" i="61" s="1"/>
  <c r="K1469" i="61"/>
  <c r="M1469" i="61" s="1"/>
  <c r="K1919" i="61"/>
  <c r="M1919" i="61" s="1"/>
  <c r="K1864" i="61"/>
  <c r="M1864" i="61" s="1"/>
  <c r="K1789" i="61"/>
  <c r="M1789" i="61" s="1"/>
  <c r="K1675" i="61"/>
  <c r="M1675" i="61" s="1"/>
  <c r="K1907" i="61"/>
  <c r="M1907" i="61" s="1"/>
  <c r="K1876" i="61"/>
  <c r="M1876" i="61" s="1"/>
  <c r="K1829" i="61"/>
  <c r="M1829" i="61" s="1"/>
  <c r="K1966" i="61"/>
  <c r="M1966" i="61" s="1"/>
  <c r="K2062" i="61"/>
  <c r="M2062" i="61" s="1"/>
  <c r="K799" i="61"/>
  <c r="M799" i="61" s="1"/>
  <c r="K1577" i="61"/>
  <c r="M1577" i="61" s="1"/>
  <c r="K1266" i="61"/>
  <c r="M1266" i="61" s="1"/>
  <c r="K1158" i="61"/>
  <c r="M1158" i="61" s="1"/>
  <c r="K1276" i="61"/>
  <c r="M1276" i="61" s="1"/>
  <c r="K1788" i="61"/>
  <c r="M1788" i="61" s="1"/>
  <c r="K1477" i="61"/>
  <c r="M1477" i="61" s="1"/>
  <c r="K1927" i="61"/>
  <c r="M1927" i="61" s="1"/>
  <c r="K1872" i="61"/>
  <c r="M1872" i="61" s="1"/>
  <c r="K1805" i="61"/>
  <c r="M1805" i="61" s="1"/>
  <c r="K1694" i="61"/>
  <c r="M1694" i="61" s="1"/>
  <c r="K1915" i="61"/>
  <c r="M1915" i="61" s="1"/>
  <c r="K1884" i="61"/>
  <c r="M1884" i="61" s="1"/>
  <c r="K1837" i="61"/>
  <c r="M1837" i="61" s="1"/>
  <c r="K2010" i="61"/>
  <c r="M2010" i="61" s="1"/>
  <c r="K2094" i="61"/>
  <c r="M2094" i="61" s="1"/>
  <c r="K596" i="61"/>
  <c r="M596" i="61" s="1"/>
  <c r="K1540" i="61"/>
  <c r="M1540" i="61" s="1"/>
  <c r="K1229" i="61"/>
  <c r="M1229" i="61" s="1"/>
  <c r="K1398" i="61"/>
  <c r="M1398" i="61" s="1"/>
  <c r="K32" i="61"/>
  <c r="M32" i="61" s="1"/>
  <c r="K2136" i="61"/>
  <c r="M2136" i="61" s="1"/>
  <c r="K2081" i="61"/>
  <c r="M2081" i="61" s="1"/>
  <c r="K1302" i="61"/>
  <c r="M1302" i="61" s="1"/>
  <c r="K758" i="61"/>
  <c r="M758" i="61" s="1"/>
  <c r="K2148" i="61"/>
  <c r="M2148" i="61" s="1"/>
  <c r="K2101" i="61"/>
  <c r="M2101" i="61" s="1"/>
  <c r="K1622" i="61"/>
  <c r="M1622" i="61" s="1"/>
  <c r="K1635" i="61"/>
  <c r="M1635" i="61" s="1"/>
  <c r="K1531" i="61"/>
  <c r="M1531" i="61" s="1"/>
  <c r="K1254" i="61"/>
  <c r="M1254" i="61" s="1"/>
  <c r="K14" i="61"/>
  <c r="M14" i="61" s="1"/>
  <c r="K2150" i="61"/>
  <c r="M2150" i="61" s="1"/>
  <c r="K1455" i="61"/>
  <c r="M1455" i="61" s="1"/>
  <c r="K1065" i="61"/>
  <c r="M1065" i="61" s="1"/>
  <c r="K1656" i="61"/>
  <c r="M1656" i="61" s="1"/>
  <c r="K1345" i="61"/>
  <c r="M1345" i="61" s="1"/>
  <c r="K644" i="61"/>
  <c r="M644" i="61" s="1"/>
  <c r="K1546" i="61"/>
  <c r="M1546" i="61" s="1"/>
  <c r="K718" i="61"/>
  <c r="M718" i="61" s="1"/>
  <c r="K1556" i="61"/>
  <c r="M1556" i="61" s="1"/>
  <c r="K1245" i="61"/>
  <c r="M1245" i="61" s="1"/>
  <c r="K1478" i="61"/>
  <c r="M1478" i="61" s="1"/>
  <c r="K886" i="61"/>
  <c r="M886" i="61" s="1"/>
  <c r="K2152" i="61"/>
  <c r="M2152" i="61" s="1"/>
  <c r="K2097" i="61"/>
  <c r="M2097" i="61" s="1"/>
  <c r="K1430" i="61"/>
  <c r="M1430" i="61" s="1"/>
  <c r="K1147" i="61"/>
  <c r="M1147" i="61" s="1"/>
  <c r="K5" i="61"/>
  <c r="M5" i="61" s="1"/>
  <c r="K2117" i="61"/>
  <c r="M2117" i="61" s="1"/>
  <c r="K1862" i="61"/>
  <c r="M1862" i="61" s="1"/>
  <c r="K327" i="61"/>
  <c r="M327" i="61" s="1"/>
  <c r="K248" i="61"/>
  <c r="M248" i="61" s="1"/>
  <c r="K212" i="61"/>
  <c r="M212" i="61" s="1"/>
  <c r="K912" i="61"/>
  <c r="M912" i="61" s="1"/>
  <c r="K753" i="61"/>
  <c r="M753" i="61" s="1"/>
  <c r="K850" i="61"/>
  <c r="M850" i="61" s="1"/>
  <c r="K686" i="61"/>
  <c r="M686" i="61" s="1"/>
  <c r="K625" i="61"/>
  <c r="M625" i="61" s="1"/>
  <c r="K1180" i="61"/>
  <c r="M1180" i="61" s="1"/>
  <c r="K1279" i="61"/>
  <c r="M1279" i="61" s="1"/>
  <c r="K1791" i="61"/>
  <c r="M1791" i="61" s="1"/>
  <c r="K51" i="61"/>
  <c r="M51" i="61" s="1"/>
  <c r="K119" i="61"/>
  <c r="M119" i="61" s="1"/>
  <c r="K661" i="61"/>
  <c r="M661" i="61" s="1"/>
  <c r="K207" i="61"/>
  <c r="M207" i="61" s="1"/>
  <c r="K36" i="61"/>
  <c r="M36" i="61" s="1"/>
  <c r="K640" i="61"/>
  <c r="M640" i="61" s="1"/>
  <c r="K169" i="61"/>
  <c r="M169" i="61" s="1"/>
  <c r="K682" i="61"/>
  <c r="M682" i="61" s="1"/>
  <c r="K792" i="61"/>
  <c r="M792" i="61" s="1"/>
  <c r="K555" i="61"/>
  <c r="M555" i="61" s="1"/>
  <c r="K730" i="61"/>
  <c r="M730" i="61" s="1"/>
  <c r="K47" i="61"/>
  <c r="M47" i="61" s="1"/>
  <c r="K1060" i="61"/>
  <c r="M1060" i="61" s="1"/>
  <c r="K901" i="61"/>
  <c r="M901" i="61" s="1"/>
  <c r="K1102" i="61"/>
  <c r="M1102" i="61" s="1"/>
  <c r="K1671" i="61"/>
  <c r="M1671" i="61" s="1"/>
  <c r="K1360" i="61"/>
  <c r="M1360" i="61" s="1"/>
  <c r="K735" i="61"/>
  <c r="M735" i="61" s="1"/>
  <c r="K1561" i="61"/>
  <c r="M1561" i="61" s="1"/>
  <c r="K1126" i="61"/>
  <c r="M1126" i="61" s="1"/>
  <c r="K1461" i="61"/>
  <c r="M1461" i="61" s="1"/>
  <c r="K1654" i="61"/>
  <c r="M1654" i="61" s="1"/>
  <c r="K149" i="61"/>
  <c r="M149" i="61" s="1"/>
  <c r="K349" i="61"/>
  <c r="M349" i="61" s="1"/>
  <c r="K286" i="61"/>
  <c r="M286" i="61" s="1"/>
  <c r="K407" i="61"/>
  <c r="M407" i="61" s="1"/>
  <c r="K328" i="61"/>
  <c r="M328" i="61" s="1"/>
  <c r="K257" i="61"/>
  <c r="M257" i="61" s="1"/>
  <c r="K370" i="61"/>
  <c r="M370" i="61" s="1"/>
  <c r="K292" i="61"/>
  <c r="M292" i="61" s="1"/>
  <c r="K992" i="61"/>
  <c r="M992" i="61" s="1"/>
  <c r="K833" i="61"/>
  <c r="M833" i="61" s="1"/>
  <c r="K930" i="61"/>
  <c r="M930" i="61" s="1"/>
  <c r="K779" i="61"/>
  <c r="M779" i="61" s="1"/>
  <c r="K411" i="61"/>
  <c r="M411" i="61" s="1"/>
  <c r="K1101" i="61"/>
  <c r="M1101" i="61" s="1"/>
  <c r="K1359" i="61"/>
  <c r="M1359" i="61" s="1"/>
  <c r="K734" i="61"/>
  <c r="M734" i="61" s="1"/>
  <c r="K1560" i="61"/>
  <c r="M1560" i="61" s="1"/>
  <c r="K1249" i="61"/>
  <c r="M1249" i="61" s="1"/>
  <c r="K131" i="61"/>
  <c r="M131" i="61" s="1"/>
  <c r="K229" i="61"/>
  <c r="M229" i="61" s="1"/>
  <c r="K161" i="61"/>
  <c r="M161" i="61" s="1"/>
  <c r="K287" i="61"/>
  <c r="M287" i="61" s="1"/>
  <c r="K208" i="61"/>
  <c r="M208" i="61" s="1"/>
  <c r="K71" i="61"/>
  <c r="M71" i="61" s="1"/>
  <c r="K250" i="61"/>
  <c r="M250" i="61" s="1"/>
  <c r="K172" i="61"/>
  <c r="M172" i="61" s="1"/>
  <c r="K872" i="61"/>
  <c r="M872" i="61" s="1"/>
  <c r="K712" i="61"/>
  <c r="M712" i="61" s="1"/>
  <c r="K810" i="61"/>
  <c r="M810" i="61" s="1"/>
  <c r="K606" i="61"/>
  <c r="M606" i="61" s="1"/>
  <c r="K545" i="61"/>
  <c r="M545" i="61" s="1"/>
  <c r="K1140" i="61"/>
  <c r="M1140" i="61" s="1"/>
  <c r="K981" i="61"/>
  <c r="M981" i="61" s="1"/>
  <c r="K1239" i="61"/>
  <c r="M1239" i="61" s="1"/>
  <c r="K1751" i="61"/>
  <c r="M1751" i="61" s="1"/>
  <c r="K1440" i="61"/>
  <c r="M1440" i="61" s="1"/>
  <c r="K101" i="61"/>
  <c r="M101" i="61" s="1"/>
  <c r="K301" i="61"/>
  <c r="M301" i="61" s="1"/>
  <c r="K238" i="61"/>
  <c r="M238" i="61" s="1"/>
  <c r="K359" i="61"/>
  <c r="M359" i="61" s="1"/>
  <c r="K280" i="61"/>
  <c r="M280" i="61" s="1"/>
  <c r="K209" i="61"/>
  <c r="M209" i="61" s="1"/>
  <c r="K322" i="61"/>
  <c r="M322" i="61" s="1"/>
  <c r="K244" i="61"/>
  <c r="M244" i="61" s="1"/>
  <c r="K944" i="61"/>
  <c r="M944" i="61" s="1"/>
  <c r="K785" i="61"/>
  <c r="M785" i="61" s="1"/>
  <c r="K882" i="61"/>
  <c r="M882" i="61" s="1"/>
  <c r="K731" i="61"/>
  <c r="M731" i="61" s="1"/>
  <c r="K689" i="61"/>
  <c r="M689" i="61" s="1"/>
  <c r="K1212" i="61"/>
  <c r="M1212" i="61" s="1"/>
  <c r="K1053" i="61"/>
  <c r="M1053" i="61" s="1"/>
  <c r="K1311" i="61"/>
  <c r="M1311" i="61" s="1"/>
  <c r="K1823" i="61"/>
  <c r="M1823" i="61" s="1"/>
  <c r="K1512" i="61"/>
  <c r="M1512" i="61" s="1"/>
  <c r="K1185" i="61"/>
  <c r="M1185" i="61" s="1"/>
  <c r="K83" i="61"/>
  <c r="M83" i="61" s="1"/>
  <c r="K181" i="61"/>
  <c r="M181" i="61" s="1"/>
  <c r="K693" i="61"/>
  <c r="M693" i="61" s="1"/>
  <c r="K239" i="61"/>
  <c r="M239" i="61" s="1"/>
  <c r="K148" i="61"/>
  <c r="M148" i="61" s="1"/>
  <c r="K672" i="61"/>
  <c r="M672" i="61" s="1"/>
  <c r="K202" i="61"/>
  <c r="M202" i="61" s="1"/>
  <c r="K714" i="61"/>
  <c r="M714" i="61" s="1"/>
  <c r="K824" i="61"/>
  <c r="M824" i="61" s="1"/>
  <c r="K619" i="61"/>
  <c r="M619" i="61" s="1"/>
  <c r="K762" i="61"/>
  <c r="M762" i="61" s="1"/>
  <c r="K499" i="61"/>
  <c r="M499" i="61" s="1"/>
  <c r="K372" i="61"/>
  <c r="M372" i="61" s="1"/>
  <c r="K1092" i="61"/>
  <c r="M1092" i="61" s="1"/>
  <c r="K933" i="61"/>
  <c r="M933" i="61" s="1"/>
  <c r="K1166" i="61"/>
  <c r="M1166" i="61" s="1"/>
  <c r="K1703" i="61"/>
  <c r="M1703" i="61" s="1"/>
  <c r="K1392" i="61"/>
  <c r="M1392" i="61" s="1"/>
  <c r="K863" i="61"/>
  <c r="M863" i="61" s="1"/>
  <c r="K1593" i="61"/>
  <c r="M1593" i="61" s="1"/>
  <c r="K1190" i="61"/>
  <c r="M1190" i="61" s="1"/>
  <c r="K1292" i="61"/>
  <c r="M1292" i="61" s="1"/>
  <c r="K1804" i="61"/>
  <c r="M1804" i="61" s="1"/>
  <c r="K1493" i="61"/>
  <c r="M1493" i="61" s="1"/>
  <c r="K1943" i="61"/>
  <c r="M1943" i="61" s="1"/>
  <c r="K1726" i="61"/>
  <c r="M1726" i="61" s="1"/>
  <c r="K46" i="61"/>
  <c r="M46" i="61" s="1"/>
  <c r="K381" i="61"/>
  <c r="M381" i="61" s="1"/>
  <c r="K318" i="61"/>
  <c r="M318" i="61" s="1"/>
  <c r="K439" i="61"/>
  <c r="M439" i="61" s="1"/>
  <c r="K360" i="61"/>
  <c r="M360" i="61" s="1"/>
  <c r="K289" i="61"/>
  <c r="M289" i="61" s="1"/>
  <c r="K402" i="61"/>
  <c r="M402" i="61" s="1"/>
  <c r="K324" i="61"/>
  <c r="M324" i="61" s="1"/>
  <c r="K1024" i="61"/>
  <c r="M1024" i="61" s="1"/>
  <c r="K865" i="61"/>
  <c r="M865" i="61" s="1"/>
  <c r="K962" i="61"/>
  <c r="M962" i="61" s="1"/>
  <c r="K811" i="61"/>
  <c r="M811" i="61" s="1"/>
  <c r="K780" i="61"/>
  <c r="M780" i="61" s="1"/>
  <c r="K531" i="61"/>
  <c r="M531" i="61" s="1"/>
  <c r="K1133" i="61"/>
  <c r="M1133" i="61" s="1"/>
  <c r="K1347" i="61"/>
  <c r="M1347" i="61" s="1"/>
  <c r="K1436" i="61"/>
  <c r="M1436" i="61" s="1"/>
  <c r="K1015" i="61"/>
  <c r="M1015" i="61" s="1"/>
  <c r="K1637" i="61"/>
  <c r="M1637" i="61" s="1"/>
  <c r="K2087" i="61"/>
  <c r="M2087" i="61" s="1"/>
  <c r="K2032" i="61"/>
  <c r="M2032" i="61" s="1"/>
  <c r="K1922" i="61"/>
  <c r="M1922" i="61" s="1"/>
  <c r="K2075" i="61"/>
  <c r="M2075" i="61" s="1"/>
  <c r="K2044" i="61"/>
  <c r="M2044" i="61" s="1"/>
  <c r="K1997" i="61"/>
  <c r="M1997" i="61" s="1"/>
  <c r="K1262" i="61"/>
  <c r="M1262" i="61" s="1"/>
  <c r="K1288" i="61"/>
  <c r="M1288" i="61" s="1"/>
  <c r="K1800" i="61"/>
  <c r="M1800" i="61" s="1"/>
  <c r="K1489" i="61"/>
  <c r="M1489" i="61" s="1"/>
  <c r="K1139" i="61"/>
  <c r="M1139" i="61" s="1"/>
  <c r="K935" i="61"/>
  <c r="M935" i="61" s="1"/>
  <c r="K1159" i="61"/>
  <c r="M1159" i="61" s="1"/>
  <c r="K1700" i="61"/>
  <c r="M1700" i="61" s="1"/>
  <c r="K1389" i="61"/>
  <c r="M1389" i="61" s="1"/>
  <c r="K1839" i="61"/>
  <c r="M1839" i="61" s="1"/>
  <c r="K1739" i="61"/>
  <c r="M1739" i="61" s="1"/>
  <c r="K1610" i="61"/>
  <c r="M1610" i="61" s="1"/>
  <c r="K1358" i="61"/>
  <c r="M1358" i="61" s="1"/>
  <c r="K1826" i="61"/>
  <c r="M1826" i="61" s="1"/>
  <c r="K1763" i="61"/>
  <c r="M1763" i="61" s="1"/>
  <c r="K1662" i="61"/>
  <c r="M1662" i="61" s="1"/>
  <c r="K2070" i="61"/>
  <c r="M2070" i="61" s="1"/>
  <c r="K2122" i="61"/>
  <c r="M2122" i="61" s="1"/>
  <c r="K1714" i="61"/>
  <c r="M1714" i="61" s="1"/>
  <c r="K1638" i="61"/>
  <c r="M1638" i="61" s="1"/>
  <c r="K1470" i="61"/>
  <c r="M1470" i="61" s="1"/>
  <c r="K1507" i="61"/>
  <c r="M1507" i="61" s="1"/>
  <c r="K1782" i="61"/>
  <c r="M1782" i="61" s="1"/>
  <c r="K1322" i="61"/>
  <c r="M1322" i="61" s="1"/>
  <c r="K1243" i="61"/>
  <c r="M1243" i="61" s="1"/>
  <c r="K1332" i="61"/>
  <c r="M1332" i="61" s="1"/>
  <c r="K534" i="61"/>
  <c r="M534" i="61" s="1"/>
  <c r="K1533" i="61"/>
  <c r="M1533" i="61" s="1"/>
  <c r="K1983" i="61"/>
  <c r="M1983" i="61" s="1"/>
  <c r="K1928" i="61"/>
  <c r="M1928" i="61" s="1"/>
  <c r="K1873" i="61"/>
  <c r="M1873" i="61" s="1"/>
  <c r="K1806" i="61"/>
  <c r="M1806" i="61" s="1"/>
  <c r="K1971" i="61"/>
  <c r="M1971" i="61" s="1"/>
  <c r="K1940" i="61"/>
  <c r="M1940" i="61" s="1"/>
  <c r="K1893" i="61"/>
  <c r="M1893" i="61" s="1"/>
  <c r="K1179" i="61"/>
  <c r="M1179" i="61" s="1"/>
  <c r="K2130" i="61"/>
  <c r="M2130" i="61" s="1"/>
  <c r="K1025" i="61"/>
  <c r="M1025" i="61" s="1"/>
  <c r="K1641" i="61"/>
  <c r="M1641" i="61" s="1"/>
  <c r="K1330" i="61"/>
  <c r="M1330" i="61" s="1"/>
  <c r="K1251" i="61"/>
  <c r="M1251" i="61" s="1"/>
  <c r="K1340" i="61"/>
  <c r="M1340" i="61" s="1"/>
  <c r="K598" i="61"/>
  <c r="M598" i="61" s="1"/>
  <c r="K1541" i="61"/>
  <c r="M1541" i="61" s="1"/>
  <c r="K1991" i="61"/>
  <c r="M1991" i="61" s="1"/>
  <c r="K1936" i="61"/>
  <c r="M1936" i="61" s="1"/>
  <c r="K1881" i="61"/>
  <c r="M1881" i="61" s="1"/>
  <c r="K1822" i="61"/>
  <c r="M1822" i="61" s="1"/>
  <c r="K1979" i="61"/>
  <c r="M1979" i="61" s="1"/>
  <c r="K1948" i="61"/>
  <c r="M1948" i="61" s="1"/>
  <c r="K1901" i="61"/>
  <c r="M1901" i="61" s="1"/>
  <c r="K1571" i="61"/>
  <c r="M1571" i="61" s="1"/>
  <c r="K1814" i="61"/>
  <c r="M1814" i="61" s="1"/>
  <c r="K910" i="61"/>
  <c r="M910" i="61" s="1"/>
  <c r="K1604" i="61"/>
  <c r="M1604" i="61" s="1"/>
  <c r="K1293" i="61"/>
  <c r="M1293" i="61" s="1"/>
  <c r="K1646" i="61"/>
  <c r="M1646" i="61" s="1"/>
  <c r="K1451" i="61"/>
  <c r="M1451" i="61" s="1"/>
  <c r="K612" i="61"/>
  <c r="M612" i="61" s="1"/>
  <c r="K2145" i="61"/>
  <c r="M2145" i="61" s="1"/>
  <c r="K1614" i="61"/>
  <c r="M1614" i="61" s="1"/>
  <c r="K1499" i="61"/>
  <c r="M1499" i="61" s="1"/>
  <c r="K1163" i="61"/>
  <c r="M1163" i="61" s="1"/>
  <c r="K6" i="61"/>
  <c r="M6" i="61" s="1"/>
  <c r="K2118" i="61"/>
  <c r="M2118" i="61" s="1"/>
  <c r="K1778" i="61"/>
  <c r="M1778" i="61" s="1"/>
  <c r="K1715" i="61"/>
  <c r="M1715" i="61" s="1"/>
  <c r="K1598" i="61"/>
  <c r="M1598" i="61" s="1"/>
  <c r="K1958" i="61"/>
  <c r="M1958" i="61" s="1"/>
  <c r="K2026" i="61"/>
  <c r="M2026" i="61" s="1"/>
  <c r="K1519" i="61"/>
  <c r="M1519" i="61" s="1"/>
  <c r="K1199" i="61"/>
  <c r="M1199" i="61" s="1"/>
  <c r="K1720" i="61"/>
  <c r="M1720" i="61" s="1"/>
  <c r="K1409" i="61"/>
  <c r="M1409" i="61" s="1"/>
  <c r="K934" i="61"/>
  <c r="M934" i="61" s="1"/>
  <c r="K515" i="61"/>
  <c r="M515" i="61" s="1"/>
  <c r="K969" i="61"/>
  <c r="M969" i="61" s="1"/>
  <c r="K1620" i="61"/>
  <c r="M1620" i="61" s="1"/>
  <c r="K1309" i="61"/>
  <c r="M1309" i="61" s="1"/>
  <c r="K1690" i="61"/>
  <c r="M1690" i="61" s="1"/>
  <c r="K1099" i="61"/>
  <c r="M1099" i="61" s="1"/>
  <c r="K2161" i="61"/>
  <c r="M2161" i="61" s="1"/>
  <c r="K1658" i="61"/>
  <c r="M1658" i="61" s="1"/>
  <c r="K1318" i="61"/>
  <c r="M1318" i="61" s="1"/>
  <c r="K22" i="61"/>
  <c r="M22" i="61" s="1"/>
  <c r="K20" i="61"/>
  <c r="M20" i="61" s="1"/>
  <c r="K1223" i="61"/>
  <c r="M1223" i="61" s="1"/>
  <c r="K1735" i="61"/>
  <c r="M1735" i="61" s="1"/>
  <c r="K1424" i="61"/>
  <c r="M1424" i="61" s="1"/>
  <c r="K983" i="61"/>
  <c r="M983" i="61" s="1"/>
  <c r="K419" i="61"/>
  <c r="M419" i="61" s="1"/>
  <c r="K1525" i="61"/>
  <c r="M1525" i="61" s="1"/>
  <c r="K1790" i="61"/>
  <c r="M1790" i="61" s="1"/>
  <c r="K78" i="61"/>
  <c r="M78" i="61" s="1"/>
  <c r="K413" i="61"/>
  <c r="M413" i="61" s="1"/>
  <c r="K350" i="61"/>
  <c r="M350" i="61" s="1"/>
  <c r="K471" i="61"/>
  <c r="M471" i="61" s="1"/>
  <c r="K392" i="61"/>
  <c r="M392" i="61" s="1"/>
  <c r="K321" i="61"/>
  <c r="M321" i="61" s="1"/>
  <c r="K434" i="61"/>
  <c r="M434" i="61" s="1"/>
  <c r="K356" i="61"/>
  <c r="M356" i="61" s="1"/>
  <c r="K1056" i="61"/>
  <c r="M1056" i="61" s="1"/>
  <c r="K897" i="61"/>
  <c r="M897" i="61" s="1"/>
  <c r="K843" i="61"/>
  <c r="M843" i="61" s="1"/>
  <c r="K812" i="61"/>
  <c r="M812" i="61" s="1"/>
  <c r="K595" i="61"/>
  <c r="M595" i="61" s="1"/>
  <c r="K1165" i="61"/>
  <c r="M1165" i="61" s="1"/>
  <c r="K1423" i="61"/>
  <c r="M1423" i="61" s="1"/>
  <c r="K982" i="61"/>
  <c r="M982" i="61" s="1"/>
  <c r="K1624" i="61"/>
  <c r="M1624" i="61" s="1"/>
  <c r="K1313" i="61"/>
  <c r="M1313" i="61" s="1"/>
  <c r="K93" i="61"/>
  <c r="M93" i="61" s="1"/>
  <c r="K293" i="61"/>
  <c r="M293" i="61" s="1"/>
  <c r="K230" i="61"/>
  <c r="M230" i="61" s="1"/>
  <c r="K351" i="61"/>
  <c r="M351" i="61" s="1"/>
  <c r="K272" i="61"/>
  <c r="M272" i="61" s="1"/>
  <c r="K201" i="61"/>
  <c r="M201" i="61" s="1"/>
  <c r="K314" i="61"/>
  <c r="M314" i="61" s="1"/>
  <c r="K236" i="61"/>
  <c r="M236" i="61" s="1"/>
  <c r="K936" i="61"/>
  <c r="M936" i="61" s="1"/>
  <c r="K777" i="61"/>
  <c r="M777" i="61" s="1"/>
  <c r="K874" i="61"/>
  <c r="M874" i="61" s="1"/>
  <c r="K723" i="61"/>
  <c r="M723" i="61" s="1"/>
  <c r="K673" i="61"/>
  <c r="M673" i="61" s="1"/>
  <c r="K1204" i="61"/>
  <c r="M1204" i="61" s="1"/>
  <c r="K1045" i="61"/>
  <c r="M1045" i="61" s="1"/>
  <c r="K1303" i="61"/>
  <c r="M1303" i="61" s="1"/>
  <c r="K1815" i="61"/>
  <c r="M1815" i="61" s="1"/>
  <c r="K1504" i="61"/>
  <c r="M1504" i="61" s="1"/>
  <c r="K165" i="61"/>
  <c r="M165" i="61" s="1"/>
  <c r="K365" i="61"/>
  <c r="M365" i="61" s="1"/>
  <c r="K302" i="61"/>
  <c r="M302" i="61" s="1"/>
  <c r="K423" i="61"/>
  <c r="M423" i="61" s="1"/>
  <c r="K344" i="61"/>
  <c r="M344" i="61" s="1"/>
  <c r="K273" i="61"/>
  <c r="M273" i="61" s="1"/>
  <c r="K386" i="61"/>
  <c r="M386" i="61" s="1"/>
  <c r="K308" i="61"/>
  <c r="M308" i="61" s="1"/>
  <c r="K1008" i="61"/>
  <c r="M1008" i="61" s="1"/>
  <c r="K849" i="61"/>
  <c r="M849" i="61" s="1"/>
  <c r="K946" i="61"/>
  <c r="M946" i="61" s="1"/>
  <c r="K795" i="61"/>
  <c r="M795" i="61" s="1"/>
  <c r="K764" i="61"/>
  <c r="M764" i="61" s="1"/>
  <c r="K475" i="61"/>
  <c r="M475" i="61" s="1"/>
  <c r="K1117" i="61"/>
  <c r="M1117" i="61" s="1"/>
  <c r="K1375" i="61"/>
  <c r="M1375" i="61" s="1"/>
  <c r="K798" i="61"/>
  <c r="M798" i="61" s="1"/>
  <c r="K1576" i="61"/>
  <c r="M1576" i="61" s="1"/>
  <c r="K1265" i="61"/>
  <c r="M1265" i="61" s="1"/>
  <c r="K45" i="61"/>
  <c r="M45" i="61" s="1"/>
  <c r="K245" i="61"/>
  <c r="M245" i="61" s="1"/>
  <c r="K182" i="61"/>
  <c r="M182" i="61" s="1"/>
  <c r="K303" i="61"/>
  <c r="M303" i="61" s="1"/>
  <c r="K224" i="61"/>
  <c r="M224" i="61" s="1"/>
  <c r="K135" i="61"/>
  <c r="M135" i="61" s="1"/>
  <c r="K266" i="61"/>
  <c r="M266" i="61" s="1"/>
  <c r="K188" i="61"/>
  <c r="M188" i="61" s="1"/>
  <c r="K888" i="61"/>
  <c r="M888" i="61" s="1"/>
  <c r="K729" i="61"/>
  <c r="M729" i="61" s="1"/>
  <c r="K826" i="61"/>
  <c r="M826" i="61" s="1"/>
  <c r="K638" i="61"/>
  <c r="M638" i="61" s="1"/>
  <c r="K577" i="61"/>
  <c r="M577" i="61" s="1"/>
  <c r="K1156" i="61"/>
  <c r="M1156" i="61" s="1"/>
  <c r="K997" i="61"/>
  <c r="M997" i="61" s="1"/>
  <c r="K1255" i="61"/>
  <c r="M1255" i="61" s="1"/>
  <c r="K1767" i="61"/>
  <c r="M1767" i="61" s="1"/>
  <c r="K1456" i="61"/>
  <c r="M1456" i="61" s="1"/>
  <c r="K1070" i="61"/>
  <c r="M1070" i="61" s="1"/>
  <c r="K1346" i="61"/>
  <c r="M1346" i="61" s="1"/>
  <c r="K1267" i="61"/>
  <c r="M1267" i="61" s="1"/>
  <c r="K1356" i="61"/>
  <c r="M1356" i="61" s="1"/>
  <c r="K719" i="61"/>
  <c r="M719" i="61" s="1"/>
  <c r="K1557" i="61"/>
  <c r="M1557" i="61" s="1"/>
  <c r="K65" i="61"/>
  <c r="M65" i="61" s="1"/>
  <c r="K110" i="61"/>
  <c r="M110" i="61" s="1"/>
  <c r="K445" i="61"/>
  <c r="M445" i="61" s="1"/>
  <c r="K382" i="61"/>
  <c r="M382" i="61" s="1"/>
  <c r="K503" i="61"/>
  <c r="M503" i="61" s="1"/>
  <c r="K424" i="61"/>
  <c r="M424" i="61" s="1"/>
  <c r="K353" i="61"/>
  <c r="M353" i="61" s="1"/>
  <c r="K466" i="61"/>
  <c r="M466" i="61" s="1"/>
  <c r="K355" i="61"/>
  <c r="M355" i="61" s="1"/>
  <c r="K1088" i="61"/>
  <c r="M1088" i="61" s="1"/>
  <c r="K929" i="61"/>
  <c r="M929" i="61" s="1"/>
  <c r="K1026" i="61"/>
  <c r="M1026" i="61" s="1"/>
  <c r="K875" i="61"/>
  <c r="M875" i="61" s="1"/>
  <c r="K844" i="61"/>
  <c r="M844" i="61" s="1"/>
  <c r="K659" i="61"/>
  <c r="M659" i="61" s="1"/>
  <c r="K1197" i="61"/>
  <c r="M1197" i="61" s="1"/>
  <c r="K1411" i="61"/>
  <c r="M1411" i="61" s="1"/>
  <c r="K1500" i="61"/>
  <c r="M1500" i="61" s="1"/>
  <c r="K1161" i="61"/>
  <c r="M1161" i="61" s="1"/>
  <c r="K854" i="61"/>
  <c r="M854" i="61" s="1"/>
  <c r="K2151" i="61"/>
  <c r="M2151" i="61" s="1"/>
  <c r="K1986" i="61"/>
  <c r="M1986" i="61" s="1"/>
  <c r="K2108" i="61"/>
  <c r="M2108" i="61" s="1"/>
  <c r="K2082" i="61"/>
  <c r="M2082" i="61" s="1"/>
  <c r="K1352" i="61"/>
  <c r="M1352" i="61" s="1"/>
  <c r="K694" i="61"/>
  <c r="M694" i="61" s="1"/>
  <c r="K1553" i="61"/>
  <c r="M1553" i="61" s="1"/>
  <c r="K1242" i="61"/>
  <c r="M1242" i="61" s="1"/>
  <c r="K1110" i="61"/>
  <c r="M1110" i="61" s="1"/>
  <c r="K1252" i="61"/>
  <c r="M1252" i="61" s="1"/>
  <c r="K1764" i="61"/>
  <c r="M1764" i="61" s="1"/>
  <c r="K1453" i="61"/>
  <c r="M1453" i="61" s="1"/>
  <c r="K1903" i="61"/>
  <c r="M1903" i="61" s="1"/>
  <c r="K1848" i="61"/>
  <c r="M1848" i="61" s="1"/>
  <c r="K1757" i="61"/>
  <c r="M1757" i="61" s="1"/>
  <c r="K1891" i="61"/>
  <c r="M1891" i="61" s="1"/>
  <c r="K1797" i="61"/>
  <c r="M1797" i="61" s="1"/>
  <c r="K1838" i="61"/>
  <c r="M1838" i="61" s="1"/>
  <c r="K1998" i="61"/>
  <c r="M1998" i="61" s="1"/>
  <c r="K1835" i="61"/>
  <c r="M1835" i="61" s="1"/>
  <c r="K1779" i="61"/>
  <c r="M1779" i="61" s="1"/>
  <c r="K1683" i="61"/>
  <c r="M1683" i="61" s="1"/>
  <c r="K2102" i="61"/>
  <c r="M2102" i="61" s="1"/>
  <c r="K2154" i="61"/>
  <c r="M2154" i="61" s="1"/>
  <c r="K1386" i="61"/>
  <c r="M1386" i="61" s="1"/>
  <c r="K1307" i="61"/>
  <c r="M1307" i="61" s="1"/>
  <c r="K1396" i="61"/>
  <c r="M1396" i="61" s="1"/>
  <c r="K879" i="61"/>
  <c r="M879" i="61" s="1"/>
  <c r="K1597" i="61"/>
  <c r="M1597" i="61" s="1"/>
  <c r="K2047" i="61"/>
  <c r="M2047" i="61" s="1"/>
  <c r="K1992" i="61"/>
  <c r="M1992" i="61" s="1"/>
  <c r="K1937" i="61"/>
  <c r="M1937" i="61" s="1"/>
  <c r="K1882" i="61"/>
  <c r="M1882" i="61" s="1"/>
  <c r="K2035" i="61"/>
  <c r="M2035" i="61" s="1"/>
  <c r="K2004" i="61"/>
  <c r="M2004" i="61" s="1"/>
  <c r="K1957" i="61"/>
  <c r="M1957" i="61" s="1"/>
  <c r="K2078" i="61"/>
  <c r="M2078" i="61" s="1"/>
  <c r="K2066" i="61"/>
  <c r="M2066" i="61" s="1"/>
  <c r="K1169" i="61"/>
  <c r="M1169" i="61" s="1"/>
  <c r="K1705" i="61"/>
  <c r="M1705" i="61" s="1"/>
  <c r="K1394" i="61"/>
  <c r="M1394" i="61" s="1"/>
  <c r="K1315" i="61"/>
  <c r="M1315" i="61" s="1"/>
  <c r="K1404" i="61"/>
  <c r="M1404" i="61" s="1"/>
  <c r="K911" i="61"/>
  <c r="M911" i="61" s="1"/>
  <c r="K1605" i="61"/>
  <c r="M1605" i="61" s="1"/>
  <c r="K2055" i="61"/>
  <c r="M2055" i="61" s="1"/>
  <c r="K2000" i="61"/>
  <c r="M2000" i="61" s="1"/>
  <c r="K1945" i="61"/>
  <c r="M1945" i="61" s="1"/>
  <c r="K1890" i="61"/>
  <c r="M1890" i="61" s="1"/>
  <c r="K2043" i="61"/>
  <c r="M2043" i="61" s="1"/>
  <c r="K2012" i="61"/>
  <c r="M2012" i="61" s="1"/>
  <c r="K1965" i="61"/>
  <c r="M1965" i="61" s="1"/>
  <c r="K2110" i="61"/>
  <c r="M2110" i="61" s="1"/>
  <c r="K807" i="61"/>
  <c r="M807" i="61" s="1"/>
  <c r="K1095" i="61"/>
  <c r="M1095" i="61" s="1"/>
  <c r="K1668" i="61"/>
  <c r="M1668" i="61" s="1"/>
  <c r="K1357" i="61"/>
  <c r="M1357" i="61" s="1"/>
  <c r="K1786" i="61"/>
  <c r="M1786" i="61" s="1"/>
  <c r="K1670" i="61"/>
  <c r="M1670" i="61" s="1"/>
  <c r="K1486" i="61"/>
  <c r="M1486" i="61" s="1"/>
  <c r="K950" i="61"/>
  <c r="M950" i="61" s="1"/>
  <c r="K1762" i="61"/>
  <c r="M1762" i="61" s="1"/>
  <c r="K1699" i="61"/>
  <c r="M1699" i="61" s="1"/>
  <c r="K1566" i="61"/>
  <c r="M1566" i="61" s="1"/>
  <c r="K1894" i="61"/>
  <c r="M1894" i="61" s="1"/>
  <c r="K1994" i="61"/>
  <c r="M1994" i="61" s="1"/>
  <c r="K1867" i="61"/>
  <c r="M1867" i="61" s="1"/>
  <c r="K1836" i="61"/>
  <c r="M1836" i="61" s="1"/>
  <c r="K1749" i="61"/>
  <c r="M1749" i="61" s="1"/>
  <c r="K1039" i="61"/>
  <c r="M1039" i="61" s="1"/>
  <c r="K1798" i="61"/>
  <c r="M1798" i="61" s="1"/>
  <c r="K1583" i="61"/>
  <c r="M1583" i="61" s="1"/>
  <c r="K1272" i="61"/>
  <c r="M1272" i="61" s="1"/>
  <c r="K1784" i="61"/>
  <c r="M1784" i="61" s="1"/>
  <c r="K1473" i="61"/>
  <c r="M1473" i="61" s="1"/>
  <c r="K1107" i="61"/>
  <c r="M1107" i="61" s="1"/>
  <c r="K871" i="61"/>
  <c r="M871" i="61" s="1"/>
  <c r="K1127" i="61"/>
  <c r="M1127" i="61" s="1"/>
  <c r="K1684" i="61"/>
  <c r="M1684" i="61" s="1"/>
  <c r="K1373" i="61"/>
  <c r="M1373" i="61" s="1"/>
  <c r="K1818" i="61"/>
  <c r="M1818" i="61" s="1"/>
  <c r="K1707" i="61"/>
  <c r="M1707" i="61" s="1"/>
  <c r="K1550" i="61"/>
  <c r="M1550" i="61" s="1"/>
  <c r="K1230" i="61"/>
  <c r="M1230" i="61" s="1"/>
  <c r="K1794" i="61"/>
  <c r="M1794" i="61" s="1"/>
  <c r="K1731" i="61"/>
  <c r="M1731" i="61" s="1"/>
  <c r="K1619" i="61"/>
  <c r="M1619" i="61" s="1"/>
  <c r="K2006" i="61"/>
  <c r="M2006" i="61" s="1"/>
  <c r="K2058" i="61"/>
  <c r="M2058" i="61" s="1"/>
  <c r="K211" i="61"/>
  <c r="M211" i="61" s="1"/>
  <c r="K1487" i="61"/>
  <c r="M1487" i="61" s="1"/>
  <c r="K1135" i="61"/>
  <c r="M1135" i="61" s="1"/>
  <c r="K1688" i="61"/>
  <c r="M1688" i="61" s="1"/>
  <c r="K1377" i="61"/>
  <c r="M1377" i="61" s="1"/>
  <c r="K806" i="61"/>
  <c r="M806" i="61" s="1"/>
  <c r="K357" i="61"/>
  <c r="M357" i="61" s="1"/>
  <c r="K294" i="61"/>
  <c r="M294" i="61" s="1"/>
  <c r="K415" i="61"/>
  <c r="M415" i="61" s="1"/>
  <c r="K336" i="61"/>
  <c r="M336" i="61" s="1"/>
  <c r="K265" i="61"/>
  <c r="M265" i="61" s="1"/>
  <c r="K378" i="61"/>
  <c r="M378" i="61" s="1"/>
  <c r="K300" i="61"/>
  <c r="M300" i="61" s="1"/>
  <c r="K1000" i="61"/>
  <c r="M1000" i="61" s="1"/>
  <c r="K841" i="61"/>
  <c r="M841" i="61" s="1"/>
  <c r="K938" i="61"/>
  <c r="M938" i="61" s="1"/>
  <c r="K787" i="61"/>
  <c r="M787" i="61" s="1"/>
  <c r="K756" i="61"/>
  <c r="M756" i="61" s="1"/>
  <c r="K443" i="61"/>
  <c r="M443" i="61" s="1"/>
  <c r="K1109" i="61"/>
  <c r="M1109" i="61" s="1"/>
  <c r="K1367" i="61"/>
  <c r="M1367" i="61" s="1"/>
  <c r="K49" i="61"/>
  <c r="M49" i="61" s="1"/>
  <c r="K94" i="61"/>
  <c r="M94" i="61" s="1"/>
  <c r="K429" i="61"/>
  <c r="M429" i="61" s="1"/>
  <c r="K366" i="61"/>
  <c r="M366" i="61" s="1"/>
  <c r="K487" i="61"/>
  <c r="M487" i="61" s="1"/>
  <c r="K408" i="61"/>
  <c r="M408" i="61" s="1"/>
  <c r="K337" i="61"/>
  <c r="M337" i="61" s="1"/>
  <c r="K450" i="61"/>
  <c r="M450" i="61" s="1"/>
  <c r="K227" i="61"/>
  <c r="M227" i="61" s="1"/>
  <c r="K1072" i="61"/>
  <c r="M1072" i="61" s="1"/>
  <c r="K913" i="61"/>
  <c r="M913" i="61" s="1"/>
  <c r="K1010" i="61"/>
  <c r="M1010" i="61" s="1"/>
  <c r="K859" i="61"/>
  <c r="M859" i="61" s="1"/>
  <c r="K828" i="61"/>
  <c r="M828" i="61" s="1"/>
  <c r="K627" i="61"/>
  <c r="M627" i="61" s="1"/>
  <c r="K1181" i="61"/>
  <c r="M1181" i="61" s="1"/>
  <c r="K1439" i="61"/>
  <c r="M1439" i="61" s="1"/>
  <c r="K1023" i="61"/>
  <c r="M1023" i="61" s="1"/>
  <c r="K1640" i="61"/>
  <c r="M1640" i="61" s="1"/>
  <c r="K1329" i="61"/>
  <c r="M1329" i="61" s="1"/>
  <c r="K508" i="61"/>
  <c r="M508" i="61" s="1"/>
  <c r="K109" i="61"/>
  <c r="M109" i="61" s="1"/>
  <c r="K309" i="61"/>
  <c r="M309" i="61" s="1"/>
  <c r="K246" i="61"/>
  <c r="M246" i="61" s="1"/>
  <c r="K367" i="61"/>
  <c r="M367" i="61" s="1"/>
  <c r="K288" i="61"/>
  <c r="M288" i="61" s="1"/>
  <c r="K217" i="61"/>
  <c r="M217" i="61" s="1"/>
  <c r="K330" i="61"/>
  <c r="M330" i="61" s="1"/>
  <c r="K252" i="61"/>
  <c r="M252" i="61" s="1"/>
  <c r="K952" i="61"/>
  <c r="M952" i="61" s="1"/>
  <c r="K793" i="61"/>
  <c r="M793" i="61" s="1"/>
  <c r="K890" i="61"/>
  <c r="M890" i="61" s="1"/>
  <c r="K739" i="61"/>
  <c r="M739" i="61" s="1"/>
  <c r="K705" i="61"/>
  <c r="M705" i="61" s="1"/>
  <c r="K79" i="61"/>
  <c r="M79" i="61" s="1"/>
  <c r="K1061" i="61"/>
  <c r="M1061" i="61" s="1"/>
  <c r="K139" i="61"/>
  <c r="M139" i="61" s="1"/>
  <c r="K1201" i="61"/>
  <c r="M1201" i="61" s="1"/>
  <c r="K1331" i="61"/>
  <c r="M1331" i="61" s="1"/>
  <c r="K1420" i="61"/>
  <c r="M1420" i="61" s="1"/>
  <c r="K974" i="61"/>
  <c r="M974" i="61" s="1"/>
  <c r="K1621" i="61"/>
  <c r="M1621" i="61" s="1"/>
  <c r="K129" i="61"/>
  <c r="M129" i="61" s="1"/>
  <c r="K40" i="61"/>
  <c r="M40" i="61" s="1"/>
  <c r="K509" i="61"/>
  <c r="M509" i="61" s="1"/>
  <c r="K446" i="61"/>
  <c r="M446" i="61" s="1"/>
  <c r="K567" i="61"/>
  <c r="M567" i="61" s="1"/>
  <c r="K488" i="61"/>
  <c r="M488" i="61" s="1"/>
  <c r="K417" i="61"/>
  <c r="M417" i="61" s="1"/>
  <c r="K530" i="61"/>
  <c r="M530" i="61" s="1"/>
  <c r="K569" i="61"/>
  <c r="M569" i="61" s="1"/>
  <c r="K1152" i="61"/>
  <c r="M1152" i="61" s="1"/>
  <c r="K364" i="61"/>
  <c r="M364" i="61" s="1"/>
  <c r="K1090" i="61"/>
  <c r="M1090" i="61" s="1"/>
  <c r="K939" i="61"/>
  <c r="M939" i="61" s="1"/>
  <c r="K908" i="61"/>
  <c r="M908" i="61" s="1"/>
  <c r="K749" i="61"/>
  <c r="M749" i="61" s="1"/>
  <c r="K412" i="61"/>
  <c r="M412" i="61" s="1"/>
  <c r="K750" i="61"/>
  <c r="M750" i="61" s="1"/>
  <c r="K1564" i="61"/>
  <c r="M1564" i="61" s="1"/>
  <c r="K1253" i="61"/>
  <c r="M1253" i="61" s="1"/>
  <c r="K1510" i="61"/>
  <c r="M1510" i="61" s="1"/>
  <c r="K1081" i="61"/>
  <c r="M1081" i="61" s="1"/>
  <c r="K1462" i="61"/>
  <c r="M1462" i="61" s="1"/>
  <c r="K1246" i="61"/>
  <c r="M1246" i="61" s="1"/>
  <c r="K13" i="61"/>
  <c r="M13" i="61" s="1"/>
  <c r="K1926" i="61"/>
  <c r="M1926" i="61" s="1"/>
  <c r="K1416" i="61"/>
  <c r="M1416" i="61" s="1"/>
  <c r="K959" i="61"/>
  <c r="M959" i="61" s="1"/>
  <c r="K1617" i="61"/>
  <c r="M1617" i="61" s="1"/>
  <c r="K1306" i="61"/>
  <c r="M1306" i="61" s="1"/>
  <c r="K1227" i="61"/>
  <c r="M1227" i="61" s="1"/>
  <c r="K1316" i="61"/>
  <c r="M1316" i="61" s="1"/>
  <c r="K1828" i="61"/>
  <c r="M1828" i="61" s="1"/>
  <c r="K1517" i="61"/>
  <c r="M1517" i="61" s="1"/>
  <c r="K1912" i="61"/>
  <c r="M1912" i="61" s="1"/>
  <c r="K1774" i="61"/>
  <c r="M1774" i="61" s="1"/>
  <c r="K1955" i="61"/>
  <c r="M1955" i="61" s="1"/>
  <c r="K1924" i="61"/>
  <c r="M1924" i="61" s="1"/>
  <c r="K11" i="61"/>
  <c r="M11" i="61" s="1"/>
  <c r="K1868" i="61"/>
  <c r="M1868" i="61" s="1"/>
  <c r="K1813" i="61"/>
  <c r="M1813" i="61" s="1"/>
  <c r="K1902" i="61"/>
  <c r="M1902" i="61" s="1"/>
  <c r="K2030" i="61"/>
  <c r="M2030" i="61" s="1"/>
  <c r="K1450" i="61"/>
  <c r="M1450" i="61" s="1"/>
  <c r="K1371" i="61"/>
  <c r="M1371" i="61" s="1"/>
  <c r="K1460" i="61"/>
  <c r="M1460" i="61" s="1"/>
  <c r="K1079" i="61"/>
  <c r="M1079" i="61" s="1"/>
  <c r="K1661" i="61"/>
  <c r="M1661" i="61" s="1"/>
  <c r="K2111" i="61"/>
  <c r="M2111" i="61" s="1"/>
  <c r="K2056" i="61"/>
  <c r="M2056" i="61" s="1"/>
  <c r="K2001" i="61"/>
  <c r="M2001" i="61" s="1"/>
  <c r="K1946" i="61"/>
  <c r="M1946" i="61" s="1"/>
  <c r="K2099" i="61"/>
  <c r="M2099" i="61" s="1"/>
  <c r="K2068" i="61"/>
  <c r="M2068" i="61" s="1"/>
  <c r="K2021" i="61"/>
  <c r="M2021" i="61" s="1"/>
  <c r="K1854" i="61"/>
  <c r="M1854" i="61" s="1"/>
  <c r="K1568" i="61"/>
  <c r="M1568" i="61" s="1"/>
  <c r="K1257" i="61"/>
  <c r="M1257" i="61" s="1"/>
  <c r="K1769" i="61"/>
  <c r="M1769" i="61" s="1"/>
  <c r="K1458" i="61"/>
  <c r="M1458" i="61" s="1"/>
  <c r="K1379" i="61"/>
  <c r="M1379" i="61" s="1"/>
  <c r="K1468" i="61"/>
  <c r="M1468" i="61" s="1"/>
  <c r="K1097" i="61"/>
  <c r="M1097" i="61" s="1"/>
  <c r="K1669" i="61"/>
  <c r="M1669" i="61" s="1"/>
  <c r="K2119" i="61"/>
  <c r="M2119" i="61" s="1"/>
  <c r="K2064" i="61"/>
  <c r="M2064" i="61" s="1"/>
  <c r="K2009" i="61"/>
  <c r="M2009" i="61" s="1"/>
  <c r="K1954" i="61"/>
  <c r="M1954" i="61" s="1"/>
  <c r="K2107" i="61"/>
  <c r="M2107" i="61" s="1"/>
  <c r="K2076" i="61"/>
  <c r="M2076" i="61" s="1"/>
  <c r="K2029" i="61"/>
  <c r="M2029" i="61" s="1"/>
  <c r="K1918" i="61"/>
  <c r="M1918" i="61" s="1"/>
  <c r="K1031" i="61"/>
  <c r="M1031" i="61" s="1"/>
  <c r="K1220" i="61"/>
  <c r="M1220" i="61" s="1"/>
  <c r="K1732" i="61"/>
  <c r="M1732" i="61" s="1"/>
  <c r="K1421" i="61"/>
  <c r="M1421" i="61" s="1"/>
  <c r="K1871" i="61"/>
  <c r="M1871" i="61" s="1"/>
  <c r="K1803" i="61"/>
  <c r="M1803" i="61" s="1"/>
  <c r="K1693" i="61"/>
  <c r="M1693" i="61" s="1"/>
  <c r="K1523" i="61"/>
  <c r="M1523" i="61" s="1"/>
  <c r="K1859" i="61"/>
  <c r="M1859" i="61" s="1"/>
  <c r="K1827" i="61"/>
  <c r="M1827" i="61" s="1"/>
  <c r="K1733" i="61"/>
  <c r="M1733" i="61" s="1"/>
  <c r="K31" i="61"/>
  <c r="M31" i="61" s="1"/>
  <c r="K1666" i="61"/>
  <c r="M1666" i="61" s="1"/>
  <c r="K1931" i="61"/>
  <c r="M1931" i="61" s="1"/>
  <c r="K1900" i="61"/>
  <c r="M1900" i="61" s="1"/>
  <c r="K1853" i="61"/>
  <c r="M1853" i="61" s="1"/>
  <c r="K2074" i="61"/>
  <c r="M2074" i="61" s="1"/>
  <c r="K2158" i="61"/>
  <c r="M2158" i="61" s="1"/>
  <c r="K1647" i="61"/>
  <c r="M1647" i="61" s="1"/>
  <c r="K1336" i="61"/>
  <c r="M1336" i="61" s="1"/>
  <c r="K566" i="61"/>
  <c r="M566" i="61" s="1"/>
  <c r="K1537" i="61"/>
  <c r="M1537" i="61" s="1"/>
  <c r="K1226" i="61"/>
  <c r="M1226" i="61" s="1"/>
  <c r="K1073" i="61"/>
  <c r="M1073" i="61" s="1"/>
  <c r="K1236" i="61"/>
  <c r="M1236" i="61" s="1"/>
  <c r="K1748" i="61"/>
  <c r="M1748" i="61" s="1"/>
  <c r="K1437" i="61"/>
  <c r="M1437" i="61" s="1"/>
  <c r="K1887" i="61"/>
  <c r="M1887" i="61" s="1"/>
  <c r="K1832" i="61"/>
  <c r="M1832" i="61" s="1"/>
  <c r="K1725" i="61"/>
  <c r="M1725" i="61" s="1"/>
  <c r="K1587" i="61"/>
  <c r="M1587" i="61" s="1"/>
  <c r="K1875" i="61"/>
  <c r="M1875" i="61" s="1"/>
  <c r="K1844" i="61"/>
  <c r="M1844" i="61" s="1"/>
  <c r="K1765" i="61"/>
  <c r="M1765" i="61" s="1"/>
  <c r="K1539" i="61"/>
  <c r="M1539" i="61" s="1"/>
  <c r="K1878" i="61"/>
  <c r="M1878" i="61" s="1"/>
  <c r="K86" i="61"/>
  <c r="M86" i="61" s="1"/>
  <c r="K421" i="61"/>
  <c r="M421" i="61" s="1"/>
  <c r="K358" i="61"/>
  <c r="M358" i="61" s="1"/>
  <c r="K479" i="61"/>
  <c r="M479" i="61" s="1"/>
  <c r="K329" i="61"/>
  <c r="M329" i="61" s="1"/>
  <c r="K155" i="61"/>
  <c r="M155" i="61" s="1"/>
  <c r="K905" i="61"/>
  <c r="M905" i="61" s="1"/>
  <c r="K1002" i="61"/>
  <c r="M1002" i="61" s="1"/>
  <c r="K851" i="61"/>
  <c r="M851" i="61" s="1"/>
  <c r="K820" i="61"/>
  <c r="M820" i="61" s="1"/>
  <c r="K611" i="61"/>
  <c r="M611" i="61" s="1"/>
  <c r="K1173" i="61"/>
  <c r="M1173" i="61" s="1"/>
  <c r="K1431" i="61"/>
  <c r="M1431" i="61" s="1"/>
  <c r="K1001" i="61"/>
  <c r="M1001" i="61" s="1"/>
  <c r="K113" i="61"/>
  <c r="M113" i="61" s="1"/>
  <c r="K493" i="61"/>
  <c r="M493" i="61" s="1"/>
  <c r="K430" i="61"/>
  <c r="M430" i="61" s="1"/>
  <c r="K551" i="61"/>
  <c r="M551" i="61" s="1"/>
  <c r="K472" i="61"/>
  <c r="M472" i="61" s="1"/>
  <c r="K401" i="61"/>
  <c r="M401" i="61" s="1"/>
  <c r="K514" i="61"/>
  <c r="M514" i="61" s="1"/>
  <c r="K537" i="61"/>
  <c r="M537" i="61" s="1"/>
  <c r="K1136" i="61"/>
  <c r="M1136" i="61" s="1"/>
  <c r="K1074" i="61"/>
  <c r="M1074" i="61" s="1"/>
  <c r="K923" i="61"/>
  <c r="M923" i="61" s="1"/>
  <c r="K892" i="61"/>
  <c r="M892" i="61" s="1"/>
  <c r="K733" i="61"/>
  <c r="M733" i="61" s="1"/>
  <c r="K339" i="61"/>
  <c r="M339" i="61" s="1"/>
  <c r="K1503" i="61"/>
  <c r="M1503" i="61" s="1"/>
  <c r="K1167" i="61"/>
  <c r="M1167" i="61" s="1"/>
  <c r="K870" i="61"/>
  <c r="M870" i="61" s="1"/>
  <c r="K38" i="61"/>
  <c r="M38" i="61" s="1"/>
  <c r="K373" i="61"/>
  <c r="M373" i="61" s="1"/>
  <c r="K310" i="61"/>
  <c r="M310" i="61" s="1"/>
  <c r="K431" i="61"/>
  <c r="M431" i="61" s="1"/>
  <c r="K352" i="61"/>
  <c r="M352" i="61" s="1"/>
  <c r="K281" i="61"/>
  <c r="M281" i="61" s="1"/>
  <c r="K394" i="61"/>
  <c r="M394" i="61" s="1"/>
  <c r="K316" i="61"/>
  <c r="M316" i="61" s="1"/>
  <c r="K1016" i="61"/>
  <c r="M1016" i="61" s="1"/>
  <c r="K857" i="61"/>
  <c r="M857" i="61" s="1"/>
  <c r="K954" i="61"/>
  <c r="M954" i="61" s="1"/>
  <c r="K803" i="61"/>
  <c r="M803" i="61" s="1"/>
  <c r="K772" i="61"/>
  <c r="M772" i="61" s="1"/>
  <c r="K507" i="61"/>
  <c r="M507" i="61" s="1"/>
  <c r="K1125" i="61"/>
  <c r="M1125" i="61" s="1"/>
  <c r="K1383" i="61"/>
  <c r="M1383" i="61" s="1"/>
  <c r="K830" i="61"/>
  <c r="M830" i="61" s="1"/>
  <c r="K1584" i="61"/>
  <c r="M1584" i="61" s="1"/>
  <c r="K1273" i="61"/>
  <c r="M1273" i="61" s="1"/>
  <c r="K1395" i="61"/>
  <c r="M1395" i="61" s="1"/>
  <c r="K1484" i="61"/>
  <c r="M1484" i="61" s="1"/>
  <c r="K1129" i="61"/>
  <c r="M1129" i="61" s="1"/>
  <c r="K1685" i="61"/>
  <c r="M1685" i="61" s="1"/>
  <c r="K98" i="61"/>
  <c r="M98" i="61" s="1"/>
  <c r="K104" i="61"/>
  <c r="M104" i="61" s="1"/>
  <c r="K573" i="61"/>
  <c r="M573" i="61" s="1"/>
  <c r="K510" i="61"/>
  <c r="M510" i="61" s="1"/>
  <c r="K631" i="61"/>
  <c r="M631" i="61" s="1"/>
  <c r="K552" i="61"/>
  <c r="M552" i="61" s="1"/>
  <c r="K481" i="61"/>
  <c r="M481" i="61" s="1"/>
  <c r="K594" i="61"/>
  <c r="M594" i="61" s="1"/>
  <c r="K697" i="61"/>
  <c r="M697" i="61" s="1"/>
  <c r="K572" i="61"/>
  <c r="M572" i="61" s="1"/>
  <c r="K1154" i="61"/>
  <c r="M1154" i="61" s="1"/>
  <c r="K1003" i="61"/>
  <c r="M1003" i="61" s="1"/>
  <c r="K972" i="61"/>
  <c r="M972" i="61" s="1"/>
  <c r="K813" i="61"/>
  <c r="M813" i="61" s="1"/>
  <c r="K823" i="61"/>
  <c r="M823" i="61" s="1"/>
  <c r="K991" i="61"/>
  <c r="M991" i="61" s="1"/>
  <c r="K1628" i="61"/>
  <c r="M1628" i="61" s="1"/>
  <c r="K1317" i="61"/>
  <c r="M1317" i="61" s="1"/>
  <c r="K1706" i="61"/>
  <c r="M1706" i="61" s="1"/>
  <c r="K1547" i="61"/>
  <c r="M1547" i="61" s="1"/>
  <c r="K1222" i="61"/>
  <c r="M1222" i="61" s="1"/>
  <c r="K1678" i="61"/>
  <c r="M1678" i="61" s="1"/>
  <c r="K1595" i="61"/>
  <c r="M1595" i="61" s="1"/>
  <c r="K1382" i="61"/>
  <c r="M1382" i="61" s="1"/>
  <c r="K1390" i="61"/>
  <c r="M1390" i="61" s="1"/>
  <c r="K1480" i="61"/>
  <c r="M1480" i="61" s="1"/>
  <c r="K1121" i="61"/>
  <c r="M1121" i="61" s="1"/>
  <c r="K1681" i="61"/>
  <c r="M1681" i="61" s="1"/>
  <c r="K1291" i="61"/>
  <c r="M1291" i="61" s="1"/>
  <c r="K1380" i="61"/>
  <c r="M1380" i="61" s="1"/>
  <c r="K815" i="61"/>
  <c r="M815" i="61" s="1"/>
  <c r="K1581" i="61"/>
  <c r="M1581" i="61" s="1"/>
  <c r="K1866" i="61"/>
  <c r="M1866" i="61" s="1"/>
  <c r="K2014" i="61"/>
  <c r="M2014" i="61" s="1"/>
  <c r="K2002" i="61"/>
  <c r="M2002" i="61" s="1"/>
  <c r="K1963" i="61"/>
  <c r="M1963" i="61" s="1"/>
  <c r="K35" i="61"/>
  <c r="M35" i="61" s="1"/>
  <c r="K1686" i="61"/>
  <c r="M1686" i="61" s="1"/>
  <c r="K1514" i="61"/>
  <c r="M1514" i="61" s="1"/>
  <c r="K387" i="61"/>
  <c r="M387" i="61" s="1"/>
  <c r="K1524" i="61"/>
  <c r="M1524" i="61" s="1"/>
  <c r="K1209" i="61"/>
  <c r="M1209" i="61" s="1"/>
  <c r="K1270" i="61"/>
  <c r="M1270" i="61" s="1"/>
  <c r="K16" i="61"/>
  <c r="M16" i="61" s="1"/>
  <c r="K2120" i="61"/>
  <c r="M2120" i="61" s="1"/>
  <c r="K1131" i="61"/>
  <c r="M1131" i="61" s="1"/>
  <c r="K4" i="61"/>
  <c r="M4" i="61" s="1"/>
  <c r="K2132" i="61"/>
  <c r="M2132" i="61" s="1"/>
  <c r="K2085" i="61"/>
  <c r="M2085" i="61" s="1"/>
  <c r="K19" i="61"/>
  <c r="M19" i="61" s="1"/>
  <c r="K1632" i="61"/>
  <c r="M1632" i="61" s="1"/>
  <c r="K1321" i="61"/>
  <c r="M1321" i="61" s="1"/>
  <c r="K283" i="61"/>
  <c r="M283" i="61" s="1"/>
  <c r="K1522" i="61"/>
  <c r="M1522" i="61" s="1"/>
  <c r="K532" i="61"/>
  <c r="M532" i="61" s="1"/>
  <c r="K1532" i="61"/>
  <c r="M1532" i="61" s="1"/>
  <c r="K1221" i="61"/>
  <c r="M1221" i="61" s="1"/>
  <c r="K1334" i="61"/>
  <c r="M1334" i="61" s="1"/>
  <c r="K24" i="61"/>
  <c r="M24" i="61" s="1"/>
  <c r="K2128" i="61"/>
  <c r="M2128" i="61" s="1"/>
  <c r="K2073" i="61"/>
  <c r="M2073" i="61" s="1"/>
  <c r="K1238" i="61"/>
  <c r="M1238" i="61" s="1"/>
  <c r="K12" i="61"/>
  <c r="M12" i="61" s="1"/>
  <c r="K2140" i="61"/>
  <c r="M2140" i="61" s="1"/>
  <c r="K2093" i="61"/>
  <c r="M2093" i="61" s="1"/>
  <c r="K1326" i="61"/>
  <c r="M1326" i="61" s="1"/>
  <c r="K1174" i="61"/>
  <c r="M1174" i="61" s="1"/>
  <c r="K1284" i="61"/>
  <c r="M1284" i="61" s="1"/>
  <c r="K1796" i="61"/>
  <c r="M1796" i="61" s="1"/>
  <c r="K1485" i="61"/>
  <c r="M1485" i="61" s="1"/>
  <c r="K1935" i="61"/>
  <c r="M1935" i="61" s="1"/>
  <c r="K1880" i="61"/>
  <c r="M1880" i="61" s="1"/>
  <c r="K1821" i="61"/>
  <c r="M1821" i="61" s="1"/>
  <c r="K1710" i="61"/>
  <c r="M1710" i="61" s="1"/>
  <c r="K1923" i="61"/>
  <c r="M1923" i="61" s="1"/>
  <c r="K1892" i="61"/>
  <c r="M1892" i="61" s="1"/>
  <c r="K1845" i="61"/>
  <c r="M1845" i="61" s="1"/>
  <c r="K2042" i="61"/>
  <c r="M2042" i="61" s="1"/>
  <c r="K2126" i="61"/>
  <c r="M2126" i="61" s="1"/>
  <c r="K1842" i="61"/>
  <c r="M1842" i="61" s="1"/>
  <c r="K1995" i="61"/>
  <c r="M1995" i="61" s="1"/>
  <c r="K1964" i="61"/>
  <c r="M1964" i="61" s="1"/>
  <c r="K1917" i="61"/>
  <c r="M1917" i="61" s="1"/>
  <c r="K1846" i="61"/>
  <c r="M1846" i="61" s="1"/>
  <c r="K1886" i="61"/>
  <c r="M1886" i="61" s="1"/>
  <c r="K1711" i="61"/>
  <c r="M1711" i="61" s="1"/>
  <c r="K1400" i="61"/>
  <c r="M1400" i="61" s="1"/>
  <c r="K895" i="61"/>
  <c r="M895" i="61" s="1"/>
  <c r="K1601" i="61"/>
  <c r="M1601" i="61" s="1"/>
  <c r="K1290" i="61"/>
  <c r="M1290" i="61" s="1"/>
  <c r="K1206" i="61"/>
  <c r="M1206" i="61" s="1"/>
  <c r="K1300" i="61"/>
  <c r="M1300" i="61" s="1"/>
  <c r="K1812" i="61"/>
  <c r="M1812" i="61" s="1"/>
  <c r="K1501" i="61"/>
  <c r="M1501" i="61" s="1"/>
  <c r="K1951" i="61"/>
  <c r="M1951" i="61" s="1"/>
  <c r="K1896" i="61"/>
  <c r="M1896" i="61" s="1"/>
  <c r="K1841" i="61"/>
  <c r="M1841" i="61" s="1"/>
  <c r="K1742" i="61"/>
  <c r="M1742" i="61" s="1"/>
  <c r="K1939" i="61"/>
  <c r="M1939" i="61" s="1"/>
  <c r="K1908" i="61"/>
  <c r="M1908" i="61" s="1"/>
  <c r="K1861" i="61"/>
  <c r="M1861" i="61" s="1"/>
  <c r="K2106" i="61"/>
  <c r="M2106" i="61" s="1"/>
  <c r="K27" i="61"/>
  <c r="M27" i="61" s="1"/>
  <c r="K150" i="61"/>
  <c r="M150" i="61" s="1"/>
  <c r="K485" i="61"/>
  <c r="M485" i="61" s="1"/>
  <c r="K422" i="61"/>
  <c r="M422" i="61" s="1"/>
  <c r="K543" i="61"/>
  <c r="M543" i="61" s="1"/>
  <c r="K393" i="61"/>
  <c r="M393" i="61" s="1"/>
  <c r="K516" i="61"/>
  <c r="M516" i="61" s="1"/>
  <c r="K1128" i="61"/>
  <c r="M1128" i="61" s="1"/>
  <c r="K915" i="61"/>
  <c r="M915" i="61" s="1"/>
  <c r="K884" i="61"/>
  <c r="M884" i="61" s="1"/>
  <c r="K275" i="61"/>
  <c r="M275" i="61" s="1"/>
  <c r="K82" i="61"/>
  <c r="M82" i="61" s="1"/>
  <c r="K88" i="61"/>
  <c r="M88" i="61" s="1"/>
  <c r="K557" i="61"/>
  <c r="M557" i="61" s="1"/>
  <c r="K494" i="61"/>
  <c r="M494" i="61" s="1"/>
  <c r="K615" i="61"/>
  <c r="M615" i="61" s="1"/>
  <c r="K536" i="61"/>
  <c r="M536" i="61" s="1"/>
  <c r="K465" i="61"/>
  <c r="M465" i="61" s="1"/>
  <c r="K578" i="61"/>
  <c r="M578" i="61" s="1"/>
  <c r="K665" i="61"/>
  <c r="M665" i="61" s="1"/>
  <c r="K540" i="61"/>
  <c r="M540" i="61" s="1"/>
  <c r="K1138" i="61"/>
  <c r="M1138" i="61" s="1"/>
  <c r="K987" i="61"/>
  <c r="M987" i="61" s="1"/>
  <c r="K956" i="61"/>
  <c r="M956" i="61" s="1"/>
  <c r="K797" i="61"/>
  <c r="M797" i="61" s="1"/>
  <c r="K759" i="61"/>
  <c r="M759" i="61" s="1"/>
  <c r="K1567" i="61"/>
  <c r="M1567" i="61" s="1"/>
  <c r="K1071" i="61"/>
  <c r="M1071" i="61" s="1"/>
  <c r="K57" i="61"/>
  <c r="M57" i="61" s="1"/>
  <c r="K102" i="61"/>
  <c r="M102" i="61" s="1"/>
  <c r="K437" i="61"/>
  <c r="M437" i="61" s="1"/>
  <c r="K374" i="61"/>
  <c r="M374" i="61" s="1"/>
  <c r="K495" i="61"/>
  <c r="M495" i="61" s="1"/>
  <c r="K416" i="61"/>
  <c r="M416" i="61" s="1"/>
  <c r="K345" i="61"/>
  <c r="M345" i="61" s="1"/>
  <c r="K458" i="61"/>
  <c r="M458" i="61" s="1"/>
  <c r="K291" i="61"/>
  <c r="M291" i="61" s="1"/>
  <c r="K1080" i="61"/>
  <c r="M1080" i="61" s="1"/>
  <c r="K921" i="61"/>
  <c r="M921" i="61" s="1"/>
  <c r="K1018" i="61"/>
  <c r="M1018" i="61" s="1"/>
  <c r="K867" i="61"/>
  <c r="M867" i="61" s="1"/>
  <c r="K836" i="61"/>
  <c r="M836" i="61" s="1"/>
  <c r="K643" i="61"/>
  <c r="M643" i="61" s="1"/>
  <c r="K1189" i="61"/>
  <c r="M1189" i="61" s="1"/>
  <c r="K1046" i="61"/>
  <c r="M1046" i="61" s="1"/>
  <c r="K580" i="61"/>
  <c r="M580" i="61" s="1"/>
  <c r="K660" i="61"/>
  <c r="M660" i="61" s="1"/>
  <c r="K1548" i="61"/>
  <c r="M1548" i="61" s="1"/>
  <c r="K1237" i="61"/>
  <c r="M1237" i="61" s="1"/>
  <c r="K1446" i="61"/>
  <c r="M1446" i="61" s="1"/>
  <c r="K548" i="61"/>
  <c r="M548" i="61" s="1"/>
  <c r="K162" i="61"/>
  <c r="M162" i="61" s="1"/>
  <c r="K168" i="61"/>
  <c r="M168" i="61" s="1"/>
  <c r="K637" i="61"/>
  <c r="M637" i="61" s="1"/>
  <c r="K183" i="61"/>
  <c r="M183" i="61" s="1"/>
  <c r="K695" i="61"/>
  <c r="M695" i="61" s="1"/>
  <c r="K616" i="61"/>
  <c r="M616" i="61" s="1"/>
  <c r="K108" i="61"/>
  <c r="M108" i="61" s="1"/>
  <c r="K658" i="61"/>
  <c r="M658" i="61" s="1"/>
  <c r="K768" i="61"/>
  <c r="M768" i="61" s="1"/>
  <c r="K491" i="61"/>
  <c r="M491" i="61" s="1"/>
  <c r="K700" i="61"/>
  <c r="M700" i="61" s="1"/>
  <c r="K187" i="61"/>
  <c r="M187" i="61" s="1"/>
  <c r="K1067" i="61"/>
  <c r="M1067" i="61" s="1"/>
  <c r="K1036" i="61"/>
  <c r="M1036" i="61" s="1"/>
  <c r="K877" i="61"/>
  <c r="M877" i="61" s="1"/>
  <c r="K1041" i="61"/>
  <c r="M1041" i="61" s="1"/>
  <c r="K1143" i="61"/>
  <c r="M1143" i="61" s="1"/>
  <c r="K1692" i="61"/>
  <c r="M1692" i="61" s="1"/>
  <c r="K1381" i="61"/>
  <c r="M1381" i="61" s="1"/>
  <c r="K1723" i="61"/>
  <c r="M1723" i="61" s="1"/>
  <c r="K1582" i="61"/>
  <c r="M1582" i="61" s="1"/>
  <c r="K1294" i="61"/>
  <c r="M1294" i="61" s="1"/>
  <c r="K1747" i="61"/>
  <c r="M1747" i="61" s="1"/>
  <c r="K1642" i="61"/>
  <c r="M1642" i="61" s="1"/>
  <c r="K2038" i="61"/>
  <c r="M2038" i="61" s="1"/>
  <c r="K1544" i="61"/>
  <c r="M1544" i="61" s="1"/>
  <c r="K1233" i="61"/>
  <c r="M1233" i="61" s="1"/>
  <c r="K1745" i="61"/>
  <c r="M1745" i="61" s="1"/>
  <c r="K1355" i="61"/>
  <c r="M1355" i="61" s="1"/>
  <c r="K1444" i="61"/>
  <c r="M1444" i="61" s="1"/>
  <c r="K1038" i="61"/>
  <c r="M1038" i="61" s="1"/>
  <c r="K1645" i="61"/>
  <c r="M1645" i="61" s="1"/>
  <c r="K2005" i="61"/>
  <c r="M2005" i="61" s="1"/>
  <c r="K1602" i="61"/>
  <c r="M1602" i="61" s="1"/>
  <c r="K2027" i="61"/>
  <c r="M2027" i="61" s="1"/>
  <c r="K1949" i="61"/>
  <c r="M1949" i="61" s="1"/>
  <c r="K2046" i="61"/>
  <c r="M2046" i="61" s="1"/>
  <c r="K2034" i="61"/>
  <c r="M2034" i="61" s="1"/>
  <c r="K1578" i="61"/>
  <c r="M1578" i="61" s="1"/>
  <c r="K846" i="61"/>
  <c r="M846" i="61" s="1"/>
  <c r="K1588" i="61"/>
  <c r="M1588" i="61" s="1"/>
  <c r="K1277" i="61"/>
  <c r="M1277" i="61" s="1"/>
  <c r="K1603" i="61"/>
  <c r="M1603" i="61" s="1"/>
  <c r="K1342" i="61"/>
  <c r="M1342" i="61" s="1"/>
  <c r="K25" i="61"/>
  <c r="M25" i="61" s="1"/>
  <c r="K2129" i="61"/>
  <c r="M2129" i="61" s="1"/>
  <c r="K1558" i="61"/>
  <c r="M1558" i="61" s="1"/>
  <c r="K1435" i="61"/>
  <c r="M1435" i="61" s="1"/>
  <c r="K790" i="61"/>
  <c r="M790" i="61" s="1"/>
  <c r="K2149" i="61"/>
  <c r="M2149" i="61" s="1"/>
  <c r="K2054" i="61"/>
  <c r="M2054" i="61" s="1"/>
  <c r="K1696" i="61"/>
  <c r="M1696" i="61" s="1"/>
  <c r="K1385" i="61"/>
  <c r="M1385" i="61" s="1"/>
  <c r="K838" i="61"/>
  <c r="M838" i="61" s="1"/>
  <c r="K1586" i="61"/>
  <c r="M1586" i="61" s="1"/>
  <c r="K878" i="61"/>
  <c r="M878" i="61" s="1"/>
  <c r="K1596" i="61"/>
  <c r="M1596" i="61" s="1"/>
  <c r="K1285" i="61"/>
  <c r="M1285" i="61" s="1"/>
  <c r="K1626" i="61"/>
  <c r="M1626" i="61" s="1"/>
  <c r="K1406" i="61"/>
  <c r="M1406" i="61" s="1"/>
  <c r="K33" i="61"/>
  <c r="M33" i="61" s="1"/>
  <c r="K2137" i="61"/>
  <c r="M2137" i="61" s="1"/>
  <c r="K1590" i="61"/>
  <c r="M1590" i="61" s="1"/>
  <c r="K1467" i="61"/>
  <c r="M1467" i="61" s="1"/>
  <c r="K1017" i="61"/>
  <c r="M1017" i="61" s="1"/>
  <c r="K2157" i="61"/>
  <c r="M2157" i="61" s="1"/>
  <c r="K2086" i="61"/>
  <c r="M2086" i="61" s="1"/>
  <c r="K1259" i="61"/>
  <c r="M1259" i="61" s="1"/>
  <c r="K1348" i="61"/>
  <c r="M1348" i="61" s="1"/>
  <c r="K662" i="61"/>
  <c r="M662" i="61" s="1"/>
  <c r="K1549" i="61"/>
  <c r="M1549" i="61" s="1"/>
  <c r="K1999" i="61"/>
  <c r="M1999" i="61" s="1"/>
  <c r="K1944" i="61"/>
  <c r="M1944" i="61" s="1"/>
  <c r="K1889" i="61"/>
  <c r="M1889" i="61" s="1"/>
  <c r="K1834" i="61"/>
  <c r="M1834" i="61" s="1"/>
  <c r="K1987" i="61"/>
  <c r="M1987" i="61" s="1"/>
  <c r="K1956" i="61"/>
  <c r="M1956" i="61" s="1"/>
  <c r="K1909" i="61"/>
  <c r="M1909" i="61" s="1"/>
  <c r="K1734" i="61"/>
  <c r="M1734" i="61" s="1"/>
  <c r="K1906" i="61"/>
  <c r="M1906" i="61" s="1"/>
  <c r="K2059" i="61"/>
  <c r="M2059" i="61" s="1"/>
  <c r="K2028" i="61"/>
  <c r="M2028" i="61" s="1"/>
  <c r="K1981" i="61"/>
  <c r="M1981" i="61" s="1"/>
  <c r="K15" i="61"/>
  <c r="M15" i="61" s="1"/>
  <c r="K1263" i="61"/>
  <c r="M1263" i="61" s="1"/>
  <c r="K1775" i="61"/>
  <c r="M1775" i="61" s="1"/>
  <c r="K1464" i="61"/>
  <c r="M1464" i="61" s="1"/>
  <c r="K1089" i="61"/>
  <c r="M1089" i="61" s="1"/>
  <c r="K1665" i="61"/>
  <c r="M1665" i="61" s="1"/>
  <c r="K1354" i="61"/>
  <c r="M1354" i="61" s="1"/>
  <c r="K1275" i="61"/>
  <c r="M1275" i="61" s="1"/>
  <c r="K1364" i="61"/>
  <c r="M1364" i="61" s="1"/>
  <c r="K751" i="61"/>
  <c r="M751" i="61" s="1"/>
  <c r="K1565" i="61"/>
  <c r="M1565" i="61" s="1"/>
  <c r="K2015" i="61"/>
  <c r="M2015" i="61" s="1"/>
  <c r="K1960" i="61"/>
  <c r="M1960" i="61" s="1"/>
  <c r="K1905" i="61"/>
  <c r="M1905" i="61" s="1"/>
  <c r="K1850" i="61"/>
  <c r="M1850" i="61" s="1"/>
  <c r="K2003" i="61"/>
  <c r="M2003" i="61" s="1"/>
  <c r="K1972" i="61"/>
  <c r="M1972" i="61" s="1"/>
  <c r="K1925" i="61"/>
  <c r="M1925" i="61" s="1"/>
  <c r="K1910" i="61"/>
  <c r="M1910" i="61" s="1"/>
  <c r="K28" i="61"/>
  <c r="M28" i="61" s="1"/>
  <c r="K111" i="61"/>
  <c r="M111" i="61" s="1"/>
  <c r="K1479" i="61"/>
  <c r="M1479" i="61" s="1"/>
  <c r="K1119" i="61"/>
  <c r="M1119" i="61" s="1"/>
  <c r="K774" i="61"/>
  <c r="M774" i="61" s="1"/>
  <c r="K814" i="61"/>
  <c r="M814" i="61" s="1"/>
  <c r="K1269" i="61"/>
  <c r="M1269" i="61" s="1"/>
  <c r="K1278" i="61"/>
  <c r="M1278" i="61" s="1"/>
  <c r="K59" i="61"/>
  <c r="M59" i="61" s="1"/>
  <c r="K143" i="61"/>
  <c r="M143" i="61" s="1"/>
  <c r="K669" i="61"/>
  <c r="M669" i="61" s="1"/>
  <c r="K215" i="61"/>
  <c r="M215" i="61" s="1"/>
  <c r="K68" i="61"/>
  <c r="M68" i="61" s="1"/>
  <c r="K648" i="61"/>
  <c r="M648" i="61" s="1"/>
  <c r="K178" i="61"/>
  <c r="M178" i="61" s="1"/>
  <c r="K690" i="61"/>
  <c r="M690" i="61" s="1"/>
  <c r="K800" i="61"/>
  <c r="M800" i="61" s="1"/>
  <c r="K571" i="61"/>
  <c r="M571" i="61" s="1"/>
  <c r="K738" i="61"/>
  <c r="M738" i="61" s="1"/>
  <c r="K403" i="61"/>
  <c r="M403" i="61" s="1"/>
  <c r="K195" i="61"/>
  <c r="M195" i="61" s="1"/>
  <c r="K909" i="61"/>
  <c r="M909" i="61" s="1"/>
  <c r="K1118" i="61"/>
  <c r="M1118" i="61" s="1"/>
  <c r="K1679" i="61"/>
  <c r="M1679" i="61" s="1"/>
  <c r="K1368" i="61"/>
  <c r="M1368" i="61" s="1"/>
  <c r="K767" i="61"/>
  <c r="M767" i="61" s="1"/>
  <c r="K1569" i="61"/>
  <c r="M1569" i="61" s="1"/>
  <c r="K74" i="61"/>
  <c r="M74" i="61" s="1"/>
  <c r="K80" i="61"/>
  <c r="M80" i="61" s="1"/>
  <c r="K549" i="61"/>
  <c r="M549" i="61" s="1"/>
  <c r="K486" i="61"/>
  <c r="M486" i="61" s="1"/>
  <c r="K607" i="61"/>
  <c r="M607" i="61" s="1"/>
  <c r="K528" i="61"/>
  <c r="M528" i="61" s="1"/>
  <c r="K457" i="61"/>
  <c r="M457" i="61" s="1"/>
  <c r="K570" i="61"/>
  <c r="M570" i="61" s="1"/>
  <c r="K649" i="61"/>
  <c r="M649" i="61" s="1"/>
  <c r="K1192" i="61"/>
  <c r="M1192" i="61" s="1"/>
  <c r="K524" i="61"/>
  <c r="M524" i="61" s="1"/>
  <c r="K1130" i="61"/>
  <c r="M1130" i="61" s="1"/>
  <c r="K979" i="61"/>
  <c r="M979" i="61" s="1"/>
  <c r="K948" i="61"/>
  <c r="M948" i="61" s="1"/>
  <c r="K789" i="61"/>
  <c r="M789" i="61" s="1"/>
  <c r="K727" i="61"/>
  <c r="M727" i="61" s="1"/>
  <c r="K1559" i="61"/>
  <c r="M1559" i="61" s="1"/>
  <c r="K1248" i="61"/>
  <c r="M1248" i="61" s="1"/>
  <c r="K146" i="61"/>
  <c r="M146" i="61" s="1"/>
  <c r="K152" i="61"/>
  <c r="M152" i="61" s="1"/>
  <c r="K621" i="61"/>
  <c r="M621" i="61" s="1"/>
  <c r="K163" i="61"/>
  <c r="M163" i="61" s="1"/>
  <c r="K679" i="61"/>
  <c r="M679" i="61" s="1"/>
  <c r="K600" i="61"/>
  <c r="M600" i="61" s="1"/>
  <c r="K44" i="61"/>
  <c r="M44" i="61" s="1"/>
  <c r="K642" i="61"/>
  <c r="M642" i="61" s="1"/>
  <c r="K752" i="61"/>
  <c r="M752" i="61" s="1"/>
  <c r="K427" i="61"/>
  <c r="M427" i="61" s="1"/>
  <c r="K668" i="61"/>
  <c r="M668" i="61" s="1"/>
  <c r="K1202" i="61"/>
  <c r="M1202" i="61" s="1"/>
  <c r="K1051" i="61"/>
  <c r="M1051" i="61" s="1"/>
  <c r="K1020" i="61"/>
  <c r="M1020" i="61" s="1"/>
  <c r="K861" i="61"/>
  <c r="M861" i="61" s="1"/>
  <c r="K999" i="61"/>
  <c r="M999" i="61" s="1"/>
  <c r="K1631" i="61"/>
  <c r="M1631" i="61" s="1"/>
  <c r="K1320" i="61"/>
  <c r="M1320" i="61" s="1"/>
  <c r="K219" i="61"/>
  <c r="M219" i="61" s="1"/>
  <c r="K1521" i="61"/>
  <c r="M1521" i="61" s="1"/>
  <c r="K1203" i="61"/>
  <c r="M1203" i="61" s="1"/>
  <c r="K121" i="61"/>
  <c r="M121" i="61" s="1"/>
  <c r="K166" i="61"/>
  <c r="M166" i="61" s="1"/>
  <c r="K501" i="61"/>
  <c r="M501" i="61" s="1"/>
  <c r="K438" i="61"/>
  <c r="M438" i="61" s="1"/>
  <c r="K559" i="61"/>
  <c r="M559" i="61" s="1"/>
  <c r="K480" i="61"/>
  <c r="M480" i="61" s="1"/>
  <c r="K409" i="61"/>
  <c r="M409" i="61" s="1"/>
  <c r="K522" i="61"/>
  <c r="M522" i="61" s="1"/>
  <c r="K553" i="61"/>
  <c r="M553" i="61" s="1"/>
  <c r="K1144" i="61"/>
  <c r="M1144" i="61" s="1"/>
  <c r="K307" i="61"/>
  <c r="M307" i="61" s="1"/>
  <c r="K1082" i="61"/>
  <c r="M1082" i="61" s="1"/>
  <c r="K931" i="61"/>
  <c r="M931" i="61" s="1"/>
  <c r="K900" i="61"/>
  <c r="M900" i="61" s="1"/>
  <c r="K741" i="61"/>
  <c r="M741" i="61" s="1"/>
  <c r="K380" i="61"/>
  <c r="M380" i="61" s="1"/>
  <c r="K1511" i="61"/>
  <c r="M1511" i="61" s="1"/>
  <c r="K1183" i="61"/>
  <c r="M1183" i="61" s="1"/>
  <c r="K902" i="61"/>
  <c r="M902" i="61" s="1"/>
  <c r="K347" i="61"/>
  <c r="M347" i="61" s="1"/>
  <c r="K942" i="61"/>
  <c r="M942" i="61" s="1"/>
  <c r="K1612" i="61"/>
  <c r="M1612" i="61" s="1"/>
  <c r="K1301" i="61"/>
  <c r="M1301" i="61" s="1"/>
  <c r="K1667" i="61"/>
  <c r="M1667" i="61" s="1"/>
  <c r="K1483" i="61"/>
  <c r="M1483" i="61" s="1"/>
  <c r="K918" i="61"/>
  <c r="M918" i="61" s="1"/>
  <c r="K91" i="61"/>
  <c r="M91" i="61" s="1"/>
  <c r="K189" i="61"/>
  <c r="M189" i="61" s="1"/>
  <c r="K701" i="61"/>
  <c r="M701" i="61" s="1"/>
  <c r="K247" i="61"/>
  <c r="M247" i="61" s="1"/>
  <c r="K164" i="61"/>
  <c r="M164" i="61" s="1"/>
  <c r="K680" i="61"/>
  <c r="M680" i="61" s="1"/>
  <c r="K210" i="61"/>
  <c r="M210" i="61" s="1"/>
  <c r="K52" i="61"/>
  <c r="M52" i="61" s="1"/>
  <c r="K832" i="61"/>
  <c r="M832" i="61" s="1"/>
  <c r="K635" i="61"/>
  <c r="M635" i="61" s="1"/>
  <c r="K770" i="61"/>
  <c r="M770" i="61" s="1"/>
  <c r="K526" i="61"/>
  <c r="M526" i="61" s="1"/>
  <c r="K404" i="61"/>
  <c r="M404" i="61" s="1"/>
  <c r="K1100" i="61"/>
  <c r="M1100" i="61" s="1"/>
  <c r="K941" i="61"/>
  <c r="M941" i="61" s="1"/>
  <c r="K1182" i="61"/>
  <c r="M1182" i="61" s="1"/>
  <c r="K1244" i="61"/>
  <c r="M1244" i="61" s="1"/>
  <c r="K1756" i="61"/>
  <c r="M1756" i="61" s="1"/>
  <c r="K1445" i="61"/>
  <c r="M1445" i="61" s="1"/>
  <c r="K1895" i="61"/>
  <c r="M1895" i="61" s="1"/>
  <c r="K1741" i="61"/>
  <c r="M1741" i="61" s="1"/>
  <c r="K1611" i="61"/>
  <c r="M1611" i="61" s="1"/>
  <c r="K1883" i="61"/>
  <c r="M1883" i="61" s="1"/>
  <c r="K1852" i="61"/>
  <c r="M1852" i="61" s="1"/>
  <c r="K1781" i="61"/>
  <c r="M1781" i="61" s="1"/>
  <c r="K1718" i="61"/>
  <c r="M1718" i="61" s="1"/>
  <c r="K1608" i="61"/>
  <c r="M1608" i="61" s="1"/>
  <c r="K1297" i="61"/>
  <c r="M1297" i="61" s="1"/>
  <c r="K1809" i="61"/>
  <c r="M1809" i="61" s="1"/>
  <c r="K1498" i="61"/>
  <c r="M1498" i="61" s="1"/>
  <c r="K1419" i="61"/>
  <c r="M1419" i="61" s="1"/>
  <c r="K1508" i="61"/>
  <c r="M1508" i="61" s="1"/>
  <c r="K1177" i="61"/>
  <c r="M1177" i="61" s="1"/>
  <c r="K1062" i="61"/>
  <c r="M1062" i="61" s="1"/>
  <c r="K2159" i="61"/>
  <c r="M2159" i="61" s="1"/>
  <c r="K2104" i="61"/>
  <c r="M2104" i="61" s="1"/>
  <c r="K2049" i="61"/>
  <c r="M2049" i="61" s="1"/>
  <c r="K726" i="61"/>
  <c r="M726" i="61" s="1"/>
  <c r="K2147" i="61"/>
  <c r="M2147" i="61" s="1"/>
  <c r="K2116" i="61"/>
  <c r="M2116" i="61" s="1"/>
  <c r="K2069" i="61"/>
  <c r="M2069" i="61" s="1"/>
  <c r="K2114" i="61"/>
  <c r="M2114" i="61" s="1"/>
  <c r="K1938" i="61"/>
  <c r="M1938" i="61" s="1"/>
  <c r="K2091" i="61"/>
  <c r="M2091" i="61" s="1"/>
  <c r="K2060" i="61"/>
  <c r="M2060" i="61" s="1"/>
  <c r="K2013" i="61"/>
  <c r="M2013" i="61" s="1"/>
  <c r="K1750" i="61"/>
  <c r="M1750" i="61" s="1"/>
  <c r="K1030" i="61"/>
  <c r="M1030" i="61" s="1"/>
  <c r="K743" i="61"/>
  <c r="M743" i="61" s="1"/>
  <c r="K1055" i="61"/>
  <c r="M1055" i="61" s="1"/>
  <c r="K1652" i="61"/>
  <c r="M1652" i="61" s="1"/>
  <c r="K1341" i="61"/>
  <c r="M1341" i="61" s="1"/>
  <c r="K1754" i="61"/>
  <c r="M1754" i="61" s="1"/>
  <c r="K1627" i="61"/>
  <c r="M1627" i="61" s="1"/>
  <c r="K1414" i="61"/>
  <c r="M1414" i="61" s="1"/>
  <c r="K34" i="61"/>
  <c r="M34" i="61" s="1"/>
  <c r="K1659" i="61"/>
  <c r="M1659" i="61" s="1"/>
  <c r="K1502" i="61"/>
  <c r="M1502" i="61" s="1"/>
  <c r="K1702" i="61"/>
  <c r="M1702" i="61" s="1"/>
  <c r="K1870" i="61"/>
  <c r="M1870" i="61" s="1"/>
  <c r="K1760" i="61"/>
  <c r="M1760" i="61" s="1"/>
  <c r="K1449" i="61"/>
  <c r="M1449" i="61" s="1"/>
  <c r="K1049" i="61"/>
  <c r="M1049" i="61" s="1"/>
  <c r="K775" i="61"/>
  <c r="M775" i="61" s="1"/>
  <c r="K1078" i="61"/>
  <c r="M1078" i="61" s="1"/>
  <c r="K1660" i="61"/>
  <c r="M1660" i="61" s="1"/>
  <c r="K1349" i="61"/>
  <c r="M1349" i="61" s="1"/>
  <c r="K1770" i="61"/>
  <c r="M1770" i="61" s="1"/>
  <c r="K1650" i="61"/>
  <c r="M1650" i="61" s="1"/>
  <c r="K1454" i="61"/>
  <c r="M1454" i="61" s="1"/>
  <c r="K676" i="61"/>
  <c r="M676" i="61" s="1"/>
  <c r="K1746" i="61"/>
  <c r="M1746" i="61" s="1"/>
  <c r="K1682" i="61"/>
  <c r="M1682" i="61" s="1"/>
  <c r="K1534" i="61"/>
  <c r="M1534" i="61" s="1"/>
  <c r="K1830" i="61"/>
  <c r="M1830" i="61" s="1"/>
  <c r="K1934" i="61"/>
  <c r="M1934" i="61" s="1"/>
  <c r="K1323" i="61"/>
  <c r="M1323" i="61" s="1"/>
  <c r="K1412" i="61"/>
  <c r="M1412" i="61" s="1"/>
  <c r="K943" i="61"/>
  <c r="M943" i="61" s="1"/>
  <c r="K1613" i="61"/>
  <c r="M1613" i="61" s="1"/>
  <c r="K2063" i="61"/>
  <c r="M2063" i="61" s="1"/>
  <c r="K2008" i="61"/>
  <c r="M2008" i="61" s="1"/>
  <c r="K1953" i="61"/>
  <c r="M1953" i="61" s="1"/>
  <c r="K1898" i="61"/>
  <c r="M1898" i="61" s="1"/>
  <c r="K2051" i="61"/>
  <c r="M2051" i="61" s="1"/>
  <c r="K2020" i="61"/>
  <c r="M2020" i="61" s="1"/>
  <c r="K1973" i="61"/>
  <c r="M1973" i="61" s="1"/>
  <c r="K2142" i="61"/>
  <c r="M2142" i="61" s="1"/>
  <c r="K1970" i="61"/>
  <c r="M1970" i="61" s="1"/>
  <c r="K2123" i="61"/>
  <c r="M2123" i="61" s="1"/>
  <c r="K2092" i="61"/>
  <c r="M2092" i="61" s="1"/>
  <c r="K2045" i="61"/>
  <c r="M2045" i="61" s="1"/>
  <c r="K2018" i="61"/>
  <c r="M2018" i="61" s="1"/>
  <c r="K1327" i="61"/>
  <c r="M1327" i="61" s="1"/>
  <c r="K476" i="61"/>
  <c r="M476" i="61" s="1"/>
  <c r="K1528" i="61"/>
  <c r="M1528" i="61" s="1"/>
  <c r="K1217" i="61"/>
  <c r="M1217" i="61" s="1"/>
  <c r="K1729" i="61"/>
  <c r="M1729" i="61" s="1"/>
  <c r="K1418" i="61"/>
  <c r="M1418" i="61" s="1"/>
  <c r="K1339" i="61"/>
  <c r="M1339" i="61" s="1"/>
  <c r="K1428" i="61"/>
  <c r="M1428" i="61" s="1"/>
  <c r="K993" i="61"/>
  <c r="M993" i="61" s="1"/>
  <c r="K1629" i="61"/>
  <c r="M1629" i="61" s="1"/>
  <c r="K2079" i="61"/>
  <c r="M2079" i="61" s="1"/>
  <c r="K2024" i="61"/>
  <c r="M2024" i="61" s="1"/>
  <c r="K1969" i="61"/>
  <c r="M1969" i="61" s="1"/>
  <c r="K1914" i="61"/>
  <c r="M1914" i="61" s="1"/>
  <c r="K2067" i="61"/>
  <c r="M2067" i="61" s="1"/>
  <c r="K2036" i="61"/>
  <c r="M2036" i="61" s="1"/>
  <c r="K1989" i="61"/>
  <c r="M1989" i="61" s="1"/>
  <c r="K3" i="61"/>
  <c r="M3" i="61" s="1"/>
  <c r="M232" i="60"/>
  <c r="I42" i="60"/>
  <c r="M42" i="60" s="1"/>
  <c r="I106" i="60"/>
  <c r="I67" i="60"/>
  <c r="I12" i="60"/>
  <c r="M12" i="60" s="1"/>
  <c r="I76" i="60"/>
  <c r="I62" i="60"/>
  <c r="I126" i="60"/>
  <c r="I113" i="60"/>
  <c r="I71" i="60"/>
  <c r="I174" i="60"/>
  <c r="I238" i="60"/>
  <c r="M238" i="60" s="1"/>
  <c r="I72" i="60"/>
  <c r="I175" i="60"/>
  <c r="I239" i="60"/>
  <c r="M239" i="60" s="1"/>
  <c r="I77" i="60"/>
  <c r="I176" i="60"/>
  <c r="I240" i="60"/>
  <c r="M240" i="60" s="1"/>
  <c r="I79" i="60"/>
  <c r="I177" i="60"/>
  <c r="I120" i="60"/>
  <c r="I194" i="60"/>
  <c r="M194" i="60" s="1"/>
  <c r="I258" i="60"/>
  <c r="M258" i="60" s="1"/>
  <c r="I135" i="60"/>
  <c r="I203" i="60"/>
  <c r="I267" i="60"/>
  <c r="M267" i="60" s="1"/>
  <c r="I205" i="60"/>
  <c r="I109" i="60"/>
  <c r="I11" i="60"/>
  <c r="M11" i="60" s="1"/>
  <c r="I75" i="60"/>
  <c r="I20" i="60"/>
  <c r="M20" i="60" s="1"/>
  <c r="I84" i="60"/>
  <c r="I70" i="60"/>
  <c r="I134" i="60"/>
  <c r="I57" i="60"/>
  <c r="I121" i="60"/>
  <c r="I182" i="60"/>
  <c r="I246" i="60"/>
  <c r="M246" i="60" s="1"/>
  <c r="I247" i="60"/>
  <c r="M247" i="60" s="1"/>
  <c r="I248" i="60"/>
  <c r="M248" i="60" s="1"/>
  <c r="I101" i="60"/>
  <c r="I133" i="60"/>
  <c r="I202" i="60"/>
  <c r="I266" i="60"/>
  <c r="M266" i="60" s="1"/>
  <c r="I147" i="60"/>
  <c r="I217" i="60"/>
  <c r="I58" i="60"/>
  <c r="I19" i="60"/>
  <c r="M19" i="60" s="1"/>
  <c r="I83" i="60"/>
  <c r="I28" i="60"/>
  <c r="M28" i="60" s="1"/>
  <c r="I92" i="60"/>
  <c r="I14" i="60"/>
  <c r="M14" i="60" s="1"/>
  <c r="I78" i="60"/>
  <c r="I65" i="60"/>
  <c r="I129" i="60"/>
  <c r="I112" i="60"/>
  <c r="I190" i="60"/>
  <c r="I254" i="60"/>
  <c r="M254" i="60" s="1"/>
  <c r="I114" i="60"/>
  <c r="I191" i="60"/>
  <c r="I255" i="60"/>
  <c r="M255" i="60" s="1"/>
  <c r="I117" i="60"/>
  <c r="I192" i="60"/>
  <c r="I256" i="60"/>
  <c r="M256" i="60" s="1"/>
  <c r="I119" i="60"/>
  <c r="I193" i="60"/>
  <c r="I146" i="60"/>
  <c r="I210" i="60"/>
  <c r="I21" i="60"/>
  <c r="M21" i="60" s="1"/>
  <c r="I155" i="60"/>
  <c r="I219" i="60"/>
  <c r="I249" i="60"/>
  <c r="M249" i="60" s="1"/>
  <c r="I10" i="60"/>
  <c r="M10" i="60" s="1"/>
  <c r="I74" i="60"/>
  <c r="I35" i="60"/>
  <c r="M35" i="60" s="1"/>
  <c r="I99" i="60"/>
  <c r="I44" i="60"/>
  <c r="M44" i="60" s="1"/>
  <c r="I108" i="60"/>
  <c r="I30" i="60"/>
  <c r="M30" i="60" s="1"/>
  <c r="I17" i="60"/>
  <c r="M17" i="60" s="1"/>
  <c r="I81" i="60"/>
  <c r="I145" i="60"/>
  <c r="I206" i="60"/>
  <c r="I270" i="60"/>
  <c r="M270" i="60" s="1"/>
  <c r="I207" i="60"/>
  <c r="I271" i="60"/>
  <c r="M271" i="60" s="1"/>
  <c r="I143" i="60"/>
  <c r="I208" i="60"/>
  <c r="I272" i="60"/>
  <c r="M272" i="60" s="1"/>
  <c r="I144" i="60"/>
  <c r="I39" i="60"/>
  <c r="M39" i="60" s="1"/>
  <c r="I162" i="60"/>
  <c r="I226" i="60"/>
  <c r="I63" i="60"/>
  <c r="I171" i="60"/>
  <c r="I235" i="60"/>
  <c r="M235" i="60" s="1"/>
  <c r="I69" i="60"/>
  <c r="I173" i="60"/>
  <c r="I237" i="60"/>
  <c r="M237" i="60" s="1"/>
  <c r="I123" i="60"/>
  <c r="I148" i="60"/>
  <c r="I269" i="60"/>
  <c r="M269" i="60" s="1"/>
  <c r="I220" i="60"/>
  <c r="I172" i="60"/>
  <c r="I18" i="60"/>
  <c r="M18" i="60" s="1"/>
  <c r="I82" i="60"/>
  <c r="I43" i="60"/>
  <c r="M43" i="60" s="1"/>
  <c r="I107" i="60"/>
  <c r="I116" i="60"/>
  <c r="I38" i="60"/>
  <c r="M38" i="60" s="1"/>
  <c r="I102" i="60"/>
  <c r="I25" i="60"/>
  <c r="M25" i="60" s="1"/>
  <c r="I89" i="60"/>
  <c r="M89" i="60" s="1"/>
  <c r="I150" i="60"/>
  <c r="I214" i="60"/>
  <c r="I8" i="60"/>
  <c r="M8" i="60" s="1"/>
  <c r="I151" i="60"/>
  <c r="I215" i="60"/>
  <c r="I13" i="60"/>
  <c r="M13" i="60" s="1"/>
  <c r="I152" i="60"/>
  <c r="I216" i="60"/>
  <c r="I15" i="60"/>
  <c r="M15" i="60" s="1"/>
  <c r="I153" i="60"/>
  <c r="I61" i="60"/>
  <c r="M61" i="60" s="1"/>
  <c r="I170" i="60"/>
  <c r="I234" i="60"/>
  <c r="M234" i="60" s="1"/>
  <c r="I85" i="60"/>
  <c r="I179" i="60"/>
  <c r="I243" i="60"/>
  <c r="M243" i="60" s="1"/>
  <c r="I88" i="60"/>
  <c r="I181" i="60"/>
  <c r="I245" i="60"/>
  <c r="M245" i="60" s="1"/>
  <c r="I196" i="60"/>
  <c r="I204" i="60"/>
  <c r="I45" i="60"/>
  <c r="M45" i="60" s="1"/>
  <c r="I252" i="60"/>
  <c r="M252" i="60" s="1"/>
  <c r="I34" i="60"/>
  <c r="M34" i="60" s="1"/>
  <c r="I98" i="60"/>
  <c r="I59" i="60"/>
  <c r="I68" i="60"/>
  <c r="I132" i="60"/>
  <c r="M132" i="60" s="1"/>
  <c r="I54" i="60"/>
  <c r="I118" i="60"/>
  <c r="I41" i="60"/>
  <c r="M41" i="60" s="1"/>
  <c r="I105" i="60"/>
  <c r="I166" i="60"/>
  <c r="I53" i="60"/>
  <c r="I167" i="60"/>
  <c r="I55" i="60"/>
  <c r="I168" i="60"/>
  <c r="I56" i="60"/>
  <c r="I169" i="60"/>
  <c r="I103" i="60"/>
  <c r="I250" i="60"/>
  <c r="M250" i="60" s="1"/>
  <c r="I122" i="60"/>
  <c r="I195" i="60"/>
  <c r="I259" i="60"/>
  <c r="M259" i="60" s="1"/>
  <c r="I125" i="60"/>
  <c r="I197" i="60"/>
  <c r="I261" i="60"/>
  <c r="M261" i="60" s="1"/>
  <c r="I260" i="60"/>
  <c r="M260" i="60" s="1"/>
  <c r="I268" i="60"/>
  <c r="M268" i="60" s="1"/>
  <c r="I212" i="60"/>
  <c r="I26" i="60"/>
  <c r="M26" i="60" s="1"/>
  <c r="I22" i="60"/>
  <c r="M22" i="60" s="1"/>
  <c r="I127" i="60"/>
  <c r="I263" i="60"/>
  <c r="M263" i="60" s="1"/>
  <c r="I154" i="60"/>
  <c r="I253" i="60"/>
  <c r="M253" i="60" s="1"/>
  <c r="I265" i="60"/>
  <c r="M265" i="60" s="1"/>
  <c r="I224" i="60"/>
  <c r="I36" i="60"/>
  <c r="M36" i="60" s="1"/>
  <c r="I46" i="60"/>
  <c r="M46" i="60" s="1"/>
  <c r="I73" i="60"/>
  <c r="I128" i="60"/>
  <c r="I32" i="60"/>
  <c r="M32" i="60" s="1"/>
  <c r="I264" i="60"/>
  <c r="M264" i="60" s="1"/>
  <c r="I178" i="60"/>
  <c r="I211" i="60"/>
  <c r="I149" i="60"/>
  <c r="I188" i="60"/>
  <c r="I236" i="60"/>
  <c r="M236" i="60" s="1"/>
  <c r="I87" i="60"/>
  <c r="I66" i="60"/>
  <c r="I86" i="60"/>
  <c r="I158" i="60"/>
  <c r="I37" i="60"/>
  <c r="M37" i="60" s="1"/>
  <c r="I227" i="60"/>
  <c r="I157" i="60"/>
  <c r="I225" i="60"/>
  <c r="I23" i="60"/>
  <c r="M23" i="60" s="1"/>
  <c r="I180" i="60"/>
  <c r="I163" i="60"/>
  <c r="I90" i="60"/>
  <c r="I60" i="60"/>
  <c r="I137" i="60"/>
  <c r="I198" i="60"/>
  <c r="I159" i="60"/>
  <c r="I130" i="60"/>
  <c r="I131" i="60"/>
  <c r="I218" i="60"/>
  <c r="I251" i="60"/>
  <c r="M251" i="60" s="1"/>
  <c r="I165" i="60"/>
  <c r="I257" i="60"/>
  <c r="M257" i="60" s="1"/>
  <c r="I156" i="60"/>
  <c r="I64" i="60"/>
  <c r="I27" i="60"/>
  <c r="M27" i="60" s="1"/>
  <c r="I100" i="60"/>
  <c r="I110" i="60"/>
  <c r="I222" i="60"/>
  <c r="I160" i="60"/>
  <c r="I161" i="60"/>
  <c r="I242" i="60"/>
  <c r="M242" i="60" s="1"/>
  <c r="I189" i="60"/>
  <c r="I209" i="60"/>
  <c r="I80" i="60"/>
  <c r="I124" i="60"/>
  <c r="I29" i="60"/>
  <c r="M29" i="60" s="1"/>
  <c r="I199" i="60"/>
  <c r="I40" i="60"/>
  <c r="M40" i="60" s="1"/>
  <c r="I24" i="60"/>
  <c r="M24" i="60" s="1"/>
  <c r="I213" i="60"/>
  <c r="M213" i="60" s="1"/>
  <c r="I136" i="60"/>
  <c r="I241" i="60"/>
  <c r="M241" i="60" s="1"/>
  <c r="I115" i="60"/>
  <c r="I31" i="60"/>
  <c r="M31" i="60" s="1"/>
  <c r="I244" i="60"/>
  <c r="M244" i="60" s="1"/>
  <c r="I91" i="60"/>
  <c r="M91" i="60" s="1"/>
  <c r="I9" i="60"/>
  <c r="M9" i="60" s="1"/>
  <c r="I262" i="60"/>
  <c r="M262" i="60" s="1"/>
  <c r="I223" i="60"/>
  <c r="I200" i="60"/>
  <c r="I16" i="60"/>
  <c r="M16" i="60" s="1"/>
  <c r="I104" i="60"/>
  <c r="I47" i="60"/>
  <c r="M47" i="60" s="1"/>
  <c r="I221" i="60"/>
  <c r="I201" i="60"/>
  <c r="I164" i="60"/>
  <c r="I33" i="60"/>
  <c r="M33" i="60" s="1"/>
  <c r="I111" i="60"/>
  <c r="I233" i="60"/>
  <c r="M233" i="60" s="1"/>
  <c r="N2024" i="61" l="1"/>
  <c r="N1217" i="61"/>
  <c r="N1970" i="61"/>
  <c r="N2063" i="61"/>
  <c r="N1682" i="61"/>
  <c r="N1078" i="61"/>
  <c r="N1659" i="61"/>
  <c r="N743" i="61"/>
  <c r="N91" i="61"/>
  <c r="N307" i="61"/>
  <c r="N501" i="61"/>
  <c r="N642" i="61"/>
  <c r="N1981" i="61"/>
  <c r="N1233" i="61"/>
  <c r="N1138" i="61"/>
  <c r="N1681" i="61"/>
  <c r="N551" i="61"/>
  <c r="N1468" i="61"/>
  <c r="N1331" i="61"/>
  <c r="N378" i="61"/>
  <c r="N2078" i="61"/>
  <c r="N355" i="61"/>
  <c r="N982" i="61"/>
  <c r="N1991" i="61"/>
  <c r="N289" i="61"/>
  <c r="N545" i="61"/>
  <c r="N625" i="61"/>
  <c r="N1258" i="61"/>
  <c r="N1028" i="61"/>
  <c r="N193" i="61"/>
  <c r="N2037" i="61"/>
  <c r="N1219" i="61"/>
  <c r="N1043" i="61"/>
  <c r="N1120" i="61"/>
  <c r="N133" i="61"/>
  <c r="N711" i="61"/>
  <c r="N1106" i="61"/>
  <c r="N1952" i="61"/>
  <c r="N1208" i="61"/>
  <c r="N725" i="61"/>
  <c r="N10" i="61"/>
  <c r="N176" i="61"/>
  <c r="N498" i="61"/>
  <c r="N618" i="61"/>
  <c r="N655" i="61"/>
  <c r="N713" i="61"/>
  <c r="N68" i="61"/>
  <c r="N2086" i="61"/>
  <c r="N557" i="61"/>
  <c r="N1321" i="61"/>
  <c r="N310" i="61"/>
  <c r="N1931" i="61"/>
  <c r="N1081" i="61"/>
  <c r="N337" i="61"/>
  <c r="N2110" i="61"/>
  <c r="N888" i="61"/>
  <c r="N1958" i="61"/>
  <c r="N1358" i="61"/>
  <c r="N882" i="61"/>
  <c r="N1478" i="61"/>
  <c r="N1438" i="61"/>
  <c r="N608" i="61"/>
  <c r="N1175" i="61"/>
  <c r="N1187" i="61"/>
  <c r="N791" i="61"/>
  <c r="N541" i="61"/>
  <c r="N852" i="61"/>
  <c r="N1505" i="61"/>
  <c r="N234" i="61"/>
  <c r="N43" i="61"/>
  <c r="N342" i="61"/>
  <c r="N949" i="61"/>
  <c r="N748" i="61"/>
  <c r="N198" i="61"/>
  <c r="N1244" i="61"/>
  <c r="N1192" i="61"/>
  <c r="N1603" i="61"/>
  <c r="N393" i="61"/>
  <c r="N16" i="61"/>
  <c r="N892" i="61"/>
  <c r="N2076" i="61"/>
  <c r="N939" i="61"/>
  <c r="N1688" i="61"/>
  <c r="N1903" i="61"/>
  <c r="N1204" i="61"/>
  <c r="N1614" i="61"/>
  <c r="N1922" i="61"/>
  <c r="N208" i="61"/>
  <c r="N1065" i="61"/>
  <c r="N1636" i="61"/>
  <c r="N1448" i="61"/>
  <c r="N558" i="61"/>
  <c r="N1459" i="61"/>
  <c r="N1585" i="61"/>
  <c r="N249" i="61"/>
  <c r="N425" i="61"/>
  <c r="N589" i="61"/>
  <c r="N855" i="61"/>
  <c r="N297" i="61"/>
  <c r="N428" i="61"/>
  <c r="N362" i="61"/>
  <c r="N418" i="61"/>
  <c r="N819" i="61"/>
  <c r="N1490" i="61"/>
  <c r="N2079" i="61"/>
  <c r="N1030" i="61"/>
  <c r="N1144" i="61"/>
  <c r="N74" i="61"/>
  <c r="N2157" i="61"/>
  <c r="N1692" i="61"/>
  <c r="N1939" i="61"/>
  <c r="N1632" i="61"/>
  <c r="N1154" i="61"/>
  <c r="N923" i="61"/>
  <c r="N1871" i="61"/>
  <c r="N1510" i="61"/>
  <c r="N828" i="61"/>
  <c r="N1107" i="61"/>
  <c r="N1835" i="61"/>
  <c r="N188" i="61"/>
  <c r="N1423" i="61"/>
  <c r="N1571" i="61"/>
  <c r="N1638" i="61"/>
  <c r="N1804" i="61"/>
  <c r="N1177" i="61"/>
  <c r="N902" i="61"/>
  <c r="N195" i="61"/>
  <c r="N774" i="61"/>
  <c r="N2054" i="61"/>
  <c r="N580" i="61"/>
  <c r="N1846" i="61"/>
  <c r="N1963" i="61"/>
  <c r="N954" i="61"/>
  <c r="N421" i="61"/>
  <c r="N1306" i="61"/>
  <c r="N309" i="61"/>
  <c r="N1749" i="61"/>
  <c r="N1352" i="61"/>
  <c r="N795" i="61"/>
  <c r="N356" i="61"/>
  <c r="N2130" i="61"/>
  <c r="N1166" i="61"/>
  <c r="N370" i="61"/>
  <c r="N1862" i="61"/>
  <c r="N1675" i="61"/>
  <c r="N117" i="61"/>
  <c r="N677" i="61"/>
  <c r="N2050" i="61"/>
  <c r="N1491" i="61"/>
  <c r="N196" i="61"/>
  <c r="N147" i="61"/>
  <c r="N920" i="61"/>
  <c r="N123" i="61"/>
  <c r="N636" i="61"/>
  <c r="N2162" i="61"/>
  <c r="N145" i="61"/>
  <c r="N1648" i="61"/>
  <c r="N1704" i="61"/>
  <c r="N847" i="61"/>
  <c r="N703" i="61"/>
  <c r="N1149" i="61"/>
  <c r="N1746" i="61"/>
  <c r="N1508" i="61"/>
  <c r="N918" i="61"/>
  <c r="N1559" i="61"/>
  <c r="N215" i="61"/>
  <c r="N1889" i="61"/>
  <c r="N1602" i="61"/>
  <c r="N1046" i="61"/>
  <c r="N88" i="61"/>
  <c r="N1923" i="61"/>
  <c r="N2002" i="61"/>
  <c r="N857" i="61"/>
  <c r="N1832" i="61"/>
  <c r="N2107" i="61"/>
  <c r="N1617" i="61"/>
  <c r="N109" i="61"/>
  <c r="N265" i="61"/>
  <c r="N1486" i="61"/>
  <c r="N879" i="61"/>
  <c r="N1557" i="61"/>
  <c r="N946" i="61"/>
  <c r="N1525" i="61"/>
  <c r="N1598" i="61"/>
  <c r="N1541" i="61"/>
  <c r="N2032" i="61"/>
  <c r="N1577" i="61"/>
  <c r="N1781" i="61"/>
  <c r="N999" i="61"/>
  <c r="N1834" i="61"/>
  <c r="N700" i="61"/>
  <c r="N1300" i="61"/>
  <c r="N2128" i="61"/>
  <c r="N510" i="61"/>
  <c r="N1725" i="61"/>
  <c r="N1460" i="61"/>
  <c r="N793" i="61"/>
  <c r="N871" i="61"/>
  <c r="N1597" i="61"/>
  <c r="N65" i="61"/>
  <c r="N201" i="61"/>
  <c r="N1814" i="61"/>
  <c r="N531" i="61"/>
  <c r="N1185" i="61"/>
  <c r="N1060" i="61"/>
  <c r="N1266" i="61"/>
  <c r="N1054" i="61"/>
  <c r="N1196" i="61"/>
  <c r="N862" i="61"/>
  <c r="N1361" i="61"/>
  <c r="N754" i="61"/>
  <c r="N1122" i="61"/>
  <c r="N1085" i="61"/>
  <c r="N490" i="61"/>
  <c r="N1664" i="61"/>
  <c r="N1086" i="61"/>
  <c r="N8" i="61"/>
  <c r="N971" i="61"/>
  <c r="N89" i="61"/>
  <c r="N1188" i="61"/>
  <c r="N26" i="61"/>
  <c r="N829" i="61"/>
  <c r="N568" i="61"/>
  <c r="N775" i="61"/>
  <c r="N1182" i="61"/>
  <c r="N861" i="61"/>
  <c r="N1850" i="61"/>
  <c r="N1285" i="61"/>
  <c r="N168" i="61"/>
  <c r="N543" i="61"/>
  <c r="N1174" i="61"/>
  <c r="N1121" i="61"/>
  <c r="N373" i="61"/>
  <c r="N566" i="61"/>
  <c r="N1371" i="61"/>
  <c r="N952" i="61"/>
  <c r="N1135" i="61"/>
  <c r="N911" i="61"/>
  <c r="N1197" i="61"/>
  <c r="N302" i="61"/>
  <c r="N1318" i="61"/>
  <c r="N1610" i="61"/>
  <c r="N933" i="61"/>
  <c r="N2003" i="61"/>
  <c r="N2027" i="61"/>
  <c r="N102" i="61"/>
  <c r="N1284" i="61"/>
  <c r="N1273" i="61"/>
  <c r="N820" i="61"/>
  <c r="N2068" i="61"/>
  <c r="N1109" i="61"/>
  <c r="N1605" i="61"/>
  <c r="N1767" i="61"/>
  <c r="N22" i="61"/>
  <c r="N1470" i="61"/>
  <c r="N714" i="61"/>
  <c r="N1461" i="61"/>
  <c r="N1229" i="61"/>
  <c r="N960" i="61"/>
  <c r="N435" i="61"/>
  <c r="N444" i="61"/>
  <c r="N9" i="61"/>
  <c r="N685" i="61"/>
  <c r="N1488" i="61"/>
  <c r="N73" i="61"/>
  <c r="N268" i="61"/>
  <c r="N1849" i="61"/>
  <c r="N1434" i="61"/>
  <c r="N1932" i="61"/>
  <c r="N2057" i="61"/>
  <c r="N1215" i="61"/>
  <c r="N1280" i="61"/>
  <c r="N2142" i="61"/>
  <c r="N1852" i="61"/>
  <c r="N166" i="61"/>
  <c r="N1119" i="61"/>
  <c r="N2149" i="61"/>
  <c r="N291" i="61"/>
  <c r="N1206" i="61"/>
  <c r="N1706" i="61"/>
  <c r="N430" i="61"/>
  <c r="N2099" i="61"/>
  <c r="N446" i="61"/>
  <c r="N1230" i="61"/>
  <c r="N2082" i="61"/>
  <c r="N272" i="61"/>
  <c r="N780" i="61"/>
  <c r="N1283" i="61"/>
  <c r="N2069" i="61"/>
  <c r="N832" i="61"/>
  <c r="N1248" i="61"/>
  <c r="N1275" i="61"/>
  <c r="N1381" i="61"/>
  <c r="N1080" i="61"/>
  <c r="N1892" i="61"/>
  <c r="N1003" i="61"/>
  <c r="N1803" i="61"/>
  <c r="N567" i="61"/>
  <c r="N1794" i="61"/>
  <c r="N1779" i="61"/>
  <c r="N45" i="61"/>
  <c r="N969" i="61"/>
  <c r="N1139" i="61"/>
  <c r="N1359" i="61"/>
  <c r="N2101" i="61"/>
  <c r="N1933" i="61"/>
  <c r="N721" i="61"/>
  <c r="N597" i="61"/>
  <c r="N1171" i="61"/>
  <c r="N473" i="61"/>
  <c r="N1104" i="61"/>
  <c r="N451" i="61"/>
  <c r="N887" i="61"/>
  <c r="N581" i="61"/>
  <c r="N1712" i="61"/>
  <c r="N904" i="61"/>
  <c r="N369" i="61"/>
  <c r="N1063" i="61"/>
  <c r="N1574" i="61"/>
  <c r="N1721" i="61"/>
  <c r="N1528" i="61"/>
  <c r="N2116" i="61"/>
  <c r="N1183" i="61"/>
  <c r="N649" i="61"/>
  <c r="N2028" i="61"/>
  <c r="N1544" i="61"/>
  <c r="N540" i="61"/>
  <c r="N24" i="61"/>
  <c r="N573" i="61"/>
  <c r="N851" i="61"/>
  <c r="N1379" i="61"/>
  <c r="N1090" i="61"/>
  <c r="N408" i="61"/>
  <c r="N1965" i="61"/>
  <c r="N1453" i="61"/>
  <c r="N1255" i="61"/>
  <c r="N673" i="61"/>
  <c r="N515" i="61"/>
  <c r="N1179" i="61"/>
  <c r="N1489" i="61"/>
  <c r="N202" i="61"/>
  <c r="N80" i="61"/>
  <c r="N1626" i="61"/>
  <c r="N637" i="61"/>
  <c r="N1908" i="61"/>
  <c r="N1547" i="61"/>
  <c r="N1537" i="61"/>
  <c r="N1924" i="61"/>
  <c r="N627" i="61"/>
  <c r="N950" i="61"/>
  <c r="N1411" i="61"/>
  <c r="N423" i="61"/>
  <c r="N1790" i="61"/>
  <c r="N1983" i="61"/>
  <c r="N1493" i="61"/>
  <c r="N238" i="61"/>
  <c r="N36" i="61"/>
  <c r="N1694" i="61"/>
  <c r="N1372" i="61"/>
  <c r="N237" i="61"/>
  <c r="N1027" i="61"/>
  <c r="N1113" i="61"/>
  <c r="N1115" i="61"/>
  <c r="N973" i="61"/>
  <c r="N794" i="61"/>
  <c r="N614" i="61"/>
  <c r="N130" i="61"/>
  <c r="N1975" i="61"/>
  <c r="N1176" i="61"/>
  <c r="N958" i="61"/>
  <c r="N1241" i="61"/>
  <c r="N240" i="61"/>
  <c r="N1481" i="61"/>
  <c r="N1335" i="61"/>
  <c r="N1613" i="61"/>
  <c r="N34" i="61"/>
  <c r="N52" i="61"/>
  <c r="N44" i="61"/>
  <c r="N403" i="61"/>
  <c r="N1354" i="61"/>
  <c r="N1277" i="61"/>
  <c r="N491" i="61"/>
  <c r="N57" i="61"/>
  <c r="N1917" i="61"/>
  <c r="N1270" i="61"/>
  <c r="N1584" i="61"/>
  <c r="N86" i="61"/>
  <c r="N1666" i="61"/>
  <c r="N1955" i="61"/>
  <c r="N1201" i="61"/>
  <c r="N443" i="61"/>
  <c r="N1836" i="61"/>
  <c r="N1957" i="61"/>
  <c r="N466" i="61"/>
  <c r="N1265" i="61"/>
  <c r="N434" i="61"/>
  <c r="N2145" i="61"/>
  <c r="N1533" i="61"/>
  <c r="N360" i="61"/>
  <c r="N1014" i="61"/>
  <c r="N1969" i="61"/>
  <c r="N1729" i="61"/>
  <c r="N2123" i="61"/>
  <c r="N2008" i="61"/>
  <c r="N1534" i="61"/>
  <c r="N1660" i="61"/>
  <c r="N1502" i="61"/>
  <c r="N1055" i="61"/>
  <c r="N2114" i="61"/>
  <c r="N1062" i="61"/>
  <c r="N1718" i="61"/>
  <c r="N1756" i="61"/>
  <c r="N635" i="61"/>
  <c r="N189" i="61"/>
  <c r="N347" i="61"/>
  <c r="N1082" i="61"/>
  <c r="N438" i="61"/>
  <c r="N1631" i="61"/>
  <c r="N752" i="61"/>
  <c r="N146" i="61"/>
  <c r="N524" i="61"/>
  <c r="N549" i="61"/>
  <c r="N909" i="61"/>
  <c r="N648" i="61"/>
  <c r="N814" i="61"/>
  <c r="N1972" i="61"/>
  <c r="N1364" i="61"/>
  <c r="N15" i="61"/>
  <c r="N1987" i="61"/>
  <c r="N1259" i="61"/>
  <c r="N1406" i="61"/>
  <c r="N1696" i="61"/>
  <c r="N1342" i="61"/>
  <c r="N1949" i="61"/>
  <c r="N1745" i="61"/>
  <c r="N1723" i="61"/>
  <c r="N187" i="61"/>
  <c r="N183" i="61"/>
  <c r="N660" i="61"/>
  <c r="N921" i="61"/>
  <c r="N437" i="61"/>
  <c r="N987" i="61"/>
  <c r="N494" i="61"/>
  <c r="N516" i="61"/>
  <c r="N1861" i="61"/>
  <c r="N1812" i="61"/>
  <c r="N1886" i="61"/>
  <c r="N1845" i="61"/>
  <c r="N1796" i="61"/>
  <c r="N2073" i="61"/>
  <c r="N283" i="61"/>
  <c r="N2120" i="61"/>
  <c r="N35" i="61"/>
  <c r="N1291" i="61"/>
  <c r="N1222" i="61"/>
  <c r="N972" i="61"/>
  <c r="N631" i="61"/>
  <c r="N1395" i="61"/>
  <c r="N803" i="61"/>
  <c r="N431" i="61"/>
  <c r="N733" i="61"/>
  <c r="N472" i="61"/>
  <c r="N611" i="61"/>
  <c r="N358" i="61"/>
  <c r="N1587" i="61"/>
  <c r="N1226" i="61"/>
  <c r="N1900" i="61"/>
  <c r="N1693" i="61"/>
  <c r="N2029" i="61"/>
  <c r="N1097" i="61"/>
  <c r="N2021" i="61"/>
  <c r="N1079" i="61"/>
  <c r="N11" i="61"/>
  <c r="N1227" i="61"/>
  <c r="N1462" i="61"/>
  <c r="N908" i="61"/>
  <c r="N488" i="61"/>
  <c r="N1420" i="61"/>
  <c r="N890" i="61"/>
  <c r="N246" i="61"/>
  <c r="N1181" i="61"/>
  <c r="N450" i="61"/>
  <c r="N1367" i="61"/>
  <c r="N300" i="61"/>
  <c r="N1377" i="61"/>
  <c r="N1731" i="61"/>
  <c r="N1127" i="61"/>
  <c r="N1039" i="61"/>
  <c r="N1762" i="61"/>
  <c r="N807" i="61"/>
  <c r="N2055" i="61"/>
  <c r="N2066" i="61"/>
  <c r="N2047" i="61"/>
  <c r="N1683" i="61"/>
  <c r="N1848" i="61"/>
  <c r="N694" i="61"/>
  <c r="N1500" i="61"/>
  <c r="N1088" i="61"/>
  <c r="N110" i="61"/>
  <c r="N1456" i="61"/>
  <c r="N729" i="61"/>
  <c r="N245" i="61"/>
  <c r="N764" i="61"/>
  <c r="N344" i="61"/>
  <c r="N1045" i="61"/>
  <c r="N314" i="61"/>
  <c r="N1624" i="61"/>
  <c r="N1512" i="61"/>
  <c r="N785" i="61"/>
  <c r="N301" i="61"/>
  <c r="N606" i="61"/>
  <c r="N287" i="61"/>
  <c r="N1101" i="61"/>
  <c r="N257" i="61"/>
  <c r="N1126" i="61"/>
  <c r="N47" i="61"/>
  <c r="N207" i="61"/>
  <c r="N686" i="61"/>
  <c r="N2117" i="61"/>
  <c r="N1245" i="61"/>
  <c r="N1455" i="61"/>
  <c r="N2148" i="61"/>
  <c r="N1540" i="61"/>
  <c r="N1805" i="61"/>
  <c r="N2022" i="61"/>
  <c r="N1980" i="61"/>
  <c r="N260" i="61"/>
  <c r="N1555" i="61"/>
  <c r="N1218" i="61"/>
  <c r="N1059" i="61"/>
  <c r="N687" i="61"/>
  <c r="N1759" i="61"/>
  <c r="N880" i="61"/>
  <c r="N37" i="61"/>
  <c r="N746" i="61"/>
  <c r="N159" i="61"/>
  <c r="N657" i="61"/>
  <c r="N264" i="61"/>
  <c r="N967" i="61"/>
  <c r="N1178" i="61"/>
  <c r="N128" i="61"/>
  <c r="N786" i="61"/>
  <c r="N2053" i="61"/>
  <c r="N1145" i="61"/>
  <c r="N1391" i="61"/>
  <c r="N2084" i="61"/>
  <c r="N1476" i="61"/>
  <c r="N1674" i="61"/>
  <c r="N1513" i="61"/>
  <c r="N1651" i="61"/>
  <c r="N2077" i="61"/>
  <c r="N1211" i="61"/>
  <c r="N1672" i="61"/>
  <c r="N1005" i="61"/>
  <c r="N274" i="61"/>
  <c r="N1518" i="61"/>
  <c r="N805" i="61"/>
  <c r="N544" i="61"/>
  <c r="N831" i="61"/>
  <c r="N603" i="61"/>
  <c r="N173" i="61"/>
  <c r="N1194" i="61"/>
  <c r="N613" i="61"/>
  <c r="N1515" i="61"/>
  <c r="N1184" i="61"/>
  <c r="N72" i="61"/>
  <c r="N278" i="61"/>
  <c r="N519" i="61"/>
  <c r="N385" i="61"/>
  <c r="N1799" i="61"/>
  <c r="N214" i="61"/>
  <c r="N856" i="61"/>
  <c r="N331" i="61"/>
  <c r="N903" i="61"/>
  <c r="N757" i="61"/>
  <c r="N496" i="61"/>
  <c r="N883" i="61"/>
  <c r="N529" i="61"/>
  <c r="N1350" i="61"/>
  <c r="N773" i="61"/>
  <c r="N54" i="61"/>
  <c r="N377" i="61"/>
  <c r="N1170" i="61"/>
  <c r="N120" i="61"/>
  <c r="N346" i="61"/>
  <c r="N1816" i="61"/>
  <c r="N736" i="61"/>
  <c r="N1195" i="61"/>
  <c r="N1168" i="61"/>
  <c r="N1860" i="61"/>
  <c r="N2007" i="61"/>
  <c r="N1324" i="61"/>
  <c r="N3" i="61"/>
  <c r="N1629" i="61"/>
  <c r="N476" i="61"/>
  <c r="N1973" i="61"/>
  <c r="N943" i="61"/>
  <c r="N676" i="61"/>
  <c r="N1049" i="61"/>
  <c r="N1414" i="61"/>
  <c r="N1750" i="61"/>
  <c r="N2147" i="61"/>
  <c r="N1419" i="61"/>
  <c r="N1883" i="61"/>
  <c r="N941" i="61"/>
  <c r="N210" i="61"/>
  <c r="N1483" i="61"/>
  <c r="N1618" i="61"/>
  <c r="N1989" i="61"/>
  <c r="N993" i="61"/>
  <c r="N1327" i="61"/>
  <c r="N2020" i="61"/>
  <c r="N1412" i="61"/>
  <c r="N1454" i="61"/>
  <c r="N1449" i="61"/>
  <c r="N1627" i="61"/>
  <c r="N2013" i="61"/>
  <c r="N726" i="61"/>
  <c r="N1498" i="61"/>
  <c r="N1611" i="61"/>
  <c r="N1100" i="61"/>
  <c r="N680" i="61"/>
  <c r="N1667" i="61"/>
  <c r="N380" i="61"/>
  <c r="N522" i="61"/>
  <c r="N1203" i="61"/>
  <c r="N1051" i="61"/>
  <c r="N679" i="61"/>
  <c r="N789" i="61"/>
  <c r="N457" i="61"/>
  <c r="N767" i="61"/>
  <c r="N571" i="61"/>
  <c r="N143" i="61"/>
  <c r="N111" i="61"/>
  <c r="N1960" i="61"/>
  <c r="N1089" i="61"/>
  <c r="N1906" i="61"/>
  <c r="N1999" i="61"/>
  <c r="N1467" i="61"/>
  <c r="N878" i="61"/>
  <c r="N1435" i="61"/>
  <c r="N846" i="61"/>
  <c r="N1645" i="61"/>
  <c r="N1642" i="61"/>
  <c r="N1041" i="61"/>
  <c r="N658" i="61"/>
  <c r="N548" i="61"/>
  <c r="N643" i="61"/>
  <c r="N345" i="61"/>
  <c r="N1567" i="61"/>
  <c r="N578" i="61"/>
  <c r="N275" i="61"/>
  <c r="N485" i="61"/>
  <c r="N1841" i="61"/>
  <c r="N1601" i="61"/>
  <c r="N1995" i="61"/>
  <c r="N1821" i="61"/>
  <c r="N2093" i="61"/>
  <c r="N1221" i="61"/>
  <c r="N2085" i="61"/>
  <c r="N1524" i="61"/>
  <c r="N1866" i="61"/>
  <c r="N1390" i="61"/>
  <c r="N1628" i="61"/>
  <c r="N697" i="61"/>
  <c r="N98" i="61"/>
  <c r="N1383" i="61"/>
  <c r="N316" i="61"/>
  <c r="N870" i="61"/>
  <c r="N1136" i="61"/>
  <c r="N113" i="61"/>
  <c r="N905" i="61"/>
  <c r="N1539" i="61"/>
  <c r="N1437" i="61"/>
  <c r="N1647" i="61"/>
  <c r="N1733" i="61"/>
  <c r="N1732" i="61"/>
  <c r="N2009" i="61"/>
  <c r="N1769" i="61"/>
  <c r="N2001" i="61"/>
  <c r="N2030" i="61"/>
  <c r="N1912" i="61"/>
  <c r="N1416" i="61"/>
  <c r="N2036" i="61"/>
  <c r="N1789" i="61"/>
  <c r="N2067" i="61"/>
  <c r="N1339" i="61"/>
  <c r="N2045" i="61"/>
  <c r="N1898" i="61"/>
  <c r="N1934" i="61"/>
  <c r="N1770" i="61"/>
  <c r="N1870" i="61"/>
  <c r="N1341" i="61"/>
  <c r="N2091" i="61"/>
  <c r="N2104" i="61"/>
  <c r="N1297" i="61"/>
  <c r="N1895" i="61"/>
  <c r="N526" i="61"/>
  <c r="N247" i="61"/>
  <c r="N1612" i="61"/>
  <c r="N1056" i="61"/>
  <c r="N78" i="61"/>
  <c r="N20" i="61"/>
  <c r="N1620" i="61"/>
  <c r="N2026" i="61"/>
  <c r="N1499" i="61"/>
  <c r="N910" i="61"/>
  <c r="N1936" i="61"/>
  <c r="N1025" i="61"/>
  <c r="N1928" i="61"/>
  <c r="N1507" i="61"/>
  <c r="N1826" i="61"/>
  <c r="N935" i="61"/>
  <c r="N2075" i="61"/>
  <c r="N1133" i="61"/>
  <c r="N402" i="61"/>
  <c r="N1943" i="61"/>
  <c r="N1703" i="61"/>
  <c r="N824" i="61"/>
  <c r="N83" i="61"/>
  <c r="N731" i="61"/>
  <c r="N359" i="61"/>
  <c r="N1140" i="61"/>
  <c r="N71" i="61"/>
  <c r="N734" i="61"/>
  <c r="N292" i="61"/>
  <c r="N1654" i="61"/>
  <c r="N901" i="61"/>
  <c r="N640" i="61"/>
  <c r="N1180" i="61"/>
  <c r="N327" i="61"/>
  <c r="N886" i="61"/>
  <c r="N1656" i="61"/>
  <c r="N1622" i="61"/>
  <c r="N1398" i="61"/>
  <c r="N1915" i="61"/>
  <c r="N1158" i="61"/>
  <c r="N1907" i="61"/>
  <c r="N1142" i="61"/>
  <c r="N822" i="61"/>
  <c r="N1325" i="61"/>
  <c r="N1974" i="61"/>
  <c r="N783" i="61"/>
  <c r="N801" i="61"/>
  <c r="N317" i="61"/>
  <c r="N1228" i="61"/>
  <c r="N869" i="61"/>
  <c r="N76" i="61"/>
  <c r="N1047" i="61"/>
  <c r="N818" i="61"/>
  <c r="N174" i="61"/>
  <c r="N259" i="61"/>
  <c r="N223" i="61"/>
  <c r="N1037" i="61"/>
  <c r="N306" i="61"/>
  <c r="N1397" i="61"/>
  <c r="N996" i="61"/>
  <c r="N95" i="61"/>
  <c r="N468" i="61"/>
  <c r="N263" i="61"/>
  <c r="N2143" i="61"/>
  <c r="N1592" i="61"/>
  <c r="N1982" i="61"/>
  <c r="N1677" i="61"/>
  <c r="N1851" i="61"/>
  <c r="N1009" i="61"/>
  <c r="N1843" i="61"/>
  <c r="N990" i="61"/>
  <c r="N1494" i="61"/>
  <c r="N742" i="61"/>
  <c r="N1308" i="61"/>
  <c r="N896" i="61"/>
  <c r="N53" i="61"/>
  <c r="N1091" i="61"/>
  <c r="N586" i="61"/>
  <c r="N1274" i="61"/>
  <c r="N467" i="61"/>
  <c r="N231" i="61"/>
  <c r="N1012" i="61"/>
  <c r="N671" i="61"/>
  <c r="N1231" i="61"/>
  <c r="N781" i="61"/>
  <c r="N478" i="61"/>
  <c r="N984" i="61"/>
  <c r="N945" i="61"/>
  <c r="N961" i="61"/>
  <c r="N1137" i="61"/>
  <c r="N761" i="61"/>
  <c r="N500" i="61"/>
  <c r="N1343" i="61"/>
  <c r="N333" i="61"/>
  <c r="N966" i="61"/>
  <c r="N538" i="61"/>
  <c r="N708" i="61"/>
  <c r="N453" i="61"/>
  <c r="N279" i="61"/>
  <c r="N1543" i="61"/>
  <c r="N784" i="61"/>
  <c r="N452" i="61"/>
  <c r="N1599" i="61"/>
  <c r="N63" i="61"/>
  <c r="N968" i="61"/>
  <c r="N105" i="61"/>
  <c r="N1186" i="61"/>
  <c r="N136" i="61"/>
  <c r="N924" i="61"/>
  <c r="N167" i="61"/>
  <c r="N704" i="61"/>
  <c r="N980" i="61"/>
  <c r="N112" i="61"/>
  <c r="N474" i="61"/>
  <c r="N1904" i="61"/>
  <c r="N1695" i="61"/>
  <c r="N221" i="61"/>
  <c r="N617" i="61"/>
  <c r="N1052" i="61"/>
  <c r="N547" i="61"/>
  <c r="N368" i="61"/>
  <c r="N1068" i="61"/>
  <c r="N2090" i="61"/>
  <c r="N1447" i="61"/>
  <c r="N1066" i="61"/>
  <c r="N1193" i="61"/>
  <c r="N1415" i="61"/>
  <c r="N405" i="61"/>
  <c r="N504" i="61"/>
  <c r="N204" i="61"/>
  <c r="N1941" i="61"/>
  <c r="N1216" i="61"/>
  <c r="N243" i="61"/>
  <c r="N492" i="61"/>
  <c r="N1552" i="61"/>
  <c r="N320" i="61"/>
  <c r="N440" i="61"/>
  <c r="N1108" i="61"/>
  <c r="N255" i="61"/>
  <c r="N1988" i="61"/>
  <c r="N563" i="61"/>
  <c r="N2112" i="61"/>
  <c r="N319" i="61"/>
  <c r="N477" i="61"/>
  <c r="N185" i="61"/>
  <c r="N305" i="61"/>
  <c r="N885" i="61"/>
  <c r="N191" i="61"/>
  <c r="N1591" i="61"/>
  <c r="N1856" i="61"/>
  <c r="N1098" i="61"/>
  <c r="N107" i="61"/>
  <c r="N1644" i="61"/>
  <c r="N1968" i="61"/>
  <c r="N1580" i="61"/>
  <c r="N1077" i="61"/>
  <c r="N1234" i="61"/>
  <c r="N1554" i="61"/>
  <c r="N988" i="61"/>
  <c r="N2048" i="61"/>
  <c r="N2160" i="61"/>
  <c r="N894" i="61"/>
  <c r="N270" i="61"/>
  <c r="N1792" i="61"/>
  <c r="N1511" i="61"/>
  <c r="N553" i="61"/>
  <c r="N121" i="61"/>
  <c r="N1020" i="61"/>
  <c r="N600" i="61"/>
  <c r="N727" i="61"/>
  <c r="N570" i="61"/>
  <c r="N1569" i="61"/>
  <c r="N738" i="61"/>
  <c r="N669" i="61"/>
  <c r="N1479" i="61"/>
  <c r="N1905" i="61"/>
  <c r="N1665" i="61"/>
  <c r="N2059" i="61"/>
  <c r="N1944" i="61"/>
  <c r="N1017" i="61"/>
  <c r="N1596" i="61"/>
  <c r="N790" i="61"/>
  <c r="N1588" i="61"/>
  <c r="N2005" i="61"/>
  <c r="N2038" i="61"/>
  <c r="N1143" i="61"/>
  <c r="N768" i="61"/>
  <c r="N162" i="61"/>
  <c r="N1189" i="61"/>
  <c r="N458" i="61"/>
  <c r="N1071" i="61"/>
  <c r="N665" i="61"/>
  <c r="N82" i="61"/>
  <c r="N422" i="61"/>
  <c r="N1742" i="61"/>
  <c r="N1290" i="61"/>
  <c r="N1964" i="61"/>
  <c r="N1710" i="61"/>
  <c r="N1326" i="61"/>
  <c r="N1334" i="61"/>
  <c r="N19" i="61"/>
  <c r="N1209" i="61"/>
  <c r="N2014" i="61"/>
  <c r="N1480" i="61"/>
  <c r="N1317" i="61"/>
  <c r="N572" i="61"/>
  <c r="N104" i="61"/>
  <c r="N830" i="61"/>
  <c r="N1016" i="61"/>
  <c r="N38" i="61"/>
  <c r="N1074" i="61"/>
  <c r="N493" i="61"/>
  <c r="N1002" i="61"/>
  <c r="N1878" i="61"/>
  <c r="N1887" i="61"/>
  <c r="N1336" i="61"/>
  <c r="N31" i="61"/>
  <c r="N1421" i="61"/>
  <c r="N1954" i="61"/>
  <c r="N1458" i="61"/>
  <c r="N1946" i="61"/>
  <c r="N1450" i="61"/>
  <c r="N1774" i="61"/>
  <c r="N959" i="61"/>
  <c r="N1253" i="61"/>
  <c r="N364" i="61"/>
  <c r="N509" i="61"/>
  <c r="N139" i="61"/>
  <c r="N252" i="61"/>
  <c r="N508" i="61"/>
  <c r="N859" i="61"/>
  <c r="N487" i="61"/>
  <c r="N756" i="61"/>
  <c r="N336" i="61"/>
  <c r="N1487" i="61"/>
  <c r="N1550" i="61"/>
  <c r="N1473" i="61"/>
  <c r="N1867" i="61"/>
  <c r="N1670" i="61"/>
  <c r="N2012" i="61"/>
  <c r="N1404" i="61"/>
  <c r="N2004" i="61"/>
  <c r="N1396" i="61"/>
  <c r="N1998" i="61"/>
  <c r="N1764" i="61"/>
  <c r="N2108" i="61"/>
  <c r="N659" i="61"/>
  <c r="N353" i="61"/>
  <c r="N719" i="61"/>
  <c r="N997" i="61"/>
  <c r="N266" i="61"/>
  <c r="N1576" i="61"/>
  <c r="N849" i="61"/>
  <c r="N365" i="61"/>
  <c r="N723" i="61"/>
  <c r="N351" i="61"/>
  <c r="N1165" i="61"/>
  <c r="N321" i="61"/>
  <c r="N419" i="61"/>
  <c r="N1658" i="61"/>
  <c r="N934" i="61"/>
  <c r="N1715" i="61"/>
  <c r="N612" i="61"/>
  <c r="N1901" i="61"/>
  <c r="N598" i="61"/>
  <c r="N1893" i="61"/>
  <c r="N534" i="61"/>
  <c r="N1714" i="61"/>
  <c r="N1739" i="61"/>
  <c r="N1800" i="61"/>
  <c r="N2087" i="61"/>
  <c r="N811" i="61"/>
  <c r="N439" i="61"/>
  <c r="N1292" i="61"/>
  <c r="N1092" i="61"/>
  <c r="N672" i="61"/>
  <c r="N1823" i="61"/>
  <c r="N944" i="61"/>
  <c r="N101" i="61"/>
  <c r="N810" i="61"/>
  <c r="N161" i="61"/>
  <c r="N411" i="61"/>
  <c r="N328" i="61"/>
  <c r="N1561" i="61"/>
  <c r="N730" i="61"/>
  <c r="N661" i="61"/>
  <c r="N850" i="61"/>
  <c r="N5" i="61"/>
  <c r="N1556" i="61"/>
  <c r="N2150" i="61"/>
  <c r="N1564" i="61"/>
  <c r="N1152" i="61"/>
  <c r="N40" i="61"/>
  <c r="N1061" i="61"/>
  <c r="N330" i="61"/>
  <c r="N1329" i="61"/>
  <c r="N1010" i="61"/>
  <c r="N366" i="61"/>
  <c r="N787" i="61"/>
  <c r="N415" i="61"/>
  <c r="N211" i="61"/>
  <c r="N1707" i="61"/>
  <c r="N1784" i="61"/>
  <c r="N1994" i="61"/>
  <c r="N1786" i="61"/>
  <c r="N2043" i="61"/>
  <c r="N1315" i="61"/>
  <c r="N2035" i="61"/>
  <c r="N1307" i="61"/>
  <c r="N1838" i="61"/>
  <c r="N1252" i="61"/>
  <c r="N1986" i="61"/>
  <c r="N844" i="61"/>
  <c r="N424" i="61"/>
  <c r="N1356" i="61"/>
  <c r="N1156" i="61"/>
  <c r="N135" i="61"/>
  <c r="N798" i="61"/>
  <c r="N1008" i="61"/>
  <c r="N165" i="61"/>
  <c r="N874" i="61"/>
  <c r="N230" i="61"/>
  <c r="N595" i="61"/>
  <c r="N392" i="61"/>
  <c r="N983" i="61"/>
  <c r="N2161" i="61"/>
  <c r="N1409" i="61"/>
  <c r="N1778" i="61"/>
  <c r="N1451" i="61"/>
  <c r="N1948" i="61"/>
  <c r="N1340" i="61"/>
  <c r="N1940" i="61"/>
  <c r="N1332" i="61"/>
  <c r="N2122" i="61"/>
  <c r="N1839" i="61"/>
  <c r="N1288" i="61"/>
  <c r="N1637" i="61"/>
  <c r="N962" i="61"/>
  <c r="N318" i="61"/>
  <c r="N1190" i="61"/>
  <c r="N372" i="61"/>
  <c r="N148" i="61"/>
  <c r="N1311" i="61"/>
  <c r="N244" i="61"/>
  <c r="N1440" i="61"/>
  <c r="N712" i="61"/>
  <c r="N229" i="61"/>
  <c r="N779" i="61"/>
  <c r="N407" i="61"/>
  <c r="N735" i="61"/>
  <c r="N555" i="61"/>
  <c r="N119" i="61"/>
  <c r="N753" i="61"/>
  <c r="N1147" i="61"/>
  <c r="N718" i="61"/>
  <c r="N14" i="61"/>
  <c r="N1302" i="61"/>
  <c r="N2094" i="61"/>
  <c r="N1927" i="61"/>
  <c r="N2062" i="61"/>
  <c r="N1919" i="61"/>
  <c r="N29" i="61"/>
  <c r="N18" i="61"/>
  <c r="N985" i="61"/>
  <c r="N1858" i="61"/>
  <c r="N203" i="61"/>
  <c r="N225" i="61"/>
  <c r="N1819" i="61"/>
  <c r="N483" i="61"/>
  <c r="N684" i="61"/>
  <c r="N629" i="61"/>
  <c r="N989" i="61"/>
  <c r="N258" i="61"/>
  <c r="N1687" i="61"/>
  <c r="N808" i="61"/>
  <c r="N1153" i="61"/>
  <c r="N866" i="61"/>
  <c r="N222" i="61"/>
  <c r="N1296" i="61"/>
  <c r="N299" i="61"/>
  <c r="N1727" i="61"/>
  <c r="N848" i="61"/>
  <c r="N2131" i="61"/>
  <c r="N1403" i="61"/>
  <c r="N2109" i="61"/>
  <c r="N1962" i="61"/>
  <c r="N1443" i="61"/>
  <c r="N1863" i="61"/>
  <c r="N23" i="61"/>
  <c r="N1855" i="61"/>
  <c r="N975" i="61"/>
  <c r="N1261" i="61"/>
  <c r="N1916" i="61"/>
  <c r="N593" i="61"/>
  <c r="N232" i="61"/>
  <c r="N1365" i="61"/>
  <c r="N995" i="61"/>
  <c r="N502" i="61"/>
  <c r="N1150" i="61"/>
  <c r="N1428" i="61"/>
  <c r="N2018" i="61"/>
  <c r="N2051" i="61"/>
  <c r="N1323" i="61"/>
  <c r="N1650" i="61"/>
  <c r="N1760" i="61"/>
  <c r="N1754" i="61"/>
  <c r="N2060" i="61"/>
  <c r="N2049" i="61"/>
  <c r="N1809" i="61"/>
  <c r="N1741" i="61"/>
  <c r="N404" i="61"/>
  <c r="N164" i="61"/>
  <c r="N1301" i="61"/>
  <c r="N741" i="61"/>
  <c r="N409" i="61"/>
  <c r="N1521" i="61"/>
  <c r="N1202" i="61"/>
  <c r="N163" i="61"/>
  <c r="N948" i="61"/>
  <c r="N528" i="61"/>
  <c r="N1368" i="61"/>
  <c r="N800" i="61"/>
  <c r="N59" i="61"/>
  <c r="N28" i="61"/>
  <c r="N2015" i="61"/>
  <c r="N1464" i="61"/>
  <c r="N1734" i="61"/>
  <c r="N1549" i="61"/>
  <c r="N1590" i="61"/>
  <c r="N1586" i="61"/>
  <c r="N1558" i="61"/>
  <c r="N1578" i="61"/>
  <c r="N1038" i="61"/>
  <c r="N1747" i="61"/>
  <c r="N877" i="61"/>
  <c r="N108" i="61"/>
  <c r="N1446" i="61"/>
  <c r="N836" i="61"/>
  <c r="N416" i="61"/>
  <c r="N759" i="61"/>
  <c r="N465" i="61"/>
  <c r="N884" i="61"/>
  <c r="N150" i="61"/>
  <c r="N1896" i="61"/>
  <c r="N895" i="61"/>
  <c r="N1842" i="61"/>
  <c r="N1880" i="61"/>
  <c r="N2140" i="61"/>
  <c r="N1532" i="61"/>
  <c r="N2132" i="61"/>
  <c r="N387" i="61"/>
  <c r="N1581" i="61"/>
  <c r="N1382" i="61"/>
  <c r="N991" i="61"/>
  <c r="N594" i="61"/>
  <c r="N1685" i="61"/>
  <c r="N1125" i="61"/>
  <c r="N394" i="61"/>
  <c r="N1167" i="61"/>
  <c r="N537" i="61"/>
  <c r="N1001" i="61"/>
  <c r="N155" i="61"/>
  <c r="N1765" i="61"/>
  <c r="N1748" i="61"/>
  <c r="N2158" i="61"/>
  <c r="N1827" i="61"/>
  <c r="N1220" i="61"/>
  <c r="N2064" i="61"/>
  <c r="N1257" i="61"/>
  <c r="N2056" i="61"/>
  <c r="N1902" i="61"/>
  <c r="N1517" i="61"/>
  <c r="N1926" i="61"/>
  <c r="N750" i="61"/>
  <c r="N569" i="61"/>
  <c r="N129" i="61"/>
  <c r="N79" i="61"/>
  <c r="N217" i="61"/>
  <c r="N1640" i="61"/>
  <c r="N913" i="61"/>
  <c r="N429" i="61"/>
  <c r="N938" i="61"/>
  <c r="N294" i="61"/>
  <c r="N2058" i="61"/>
  <c r="N1818" i="61"/>
  <c r="N1272" i="61"/>
  <c r="N1894" i="61"/>
  <c r="N1357" i="61"/>
  <c r="N1890" i="61"/>
  <c r="N1394" i="61"/>
  <c r="N1882" i="61"/>
  <c r="N1386" i="61"/>
  <c r="N1797" i="61"/>
  <c r="N1110" i="61"/>
  <c r="N2151" i="61"/>
  <c r="N875" i="61"/>
  <c r="N503" i="61"/>
  <c r="N1267" i="61"/>
  <c r="N577" i="61"/>
  <c r="N224" i="61"/>
  <c r="N1375" i="61"/>
  <c r="N308" i="61"/>
  <c r="N1504" i="61"/>
  <c r="N777" i="61"/>
  <c r="N293" i="61"/>
  <c r="N812" i="61"/>
  <c r="N471" i="61"/>
  <c r="N1424" i="61"/>
  <c r="N1099" i="61"/>
  <c r="N1720" i="61"/>
  <c r="N2118" i="61"/>
  <c r="N1646" i="61"/>
  <c r="N1979" i="61"/>
  <c r="N1251" i="61"/>
  <c r="N1971" i="61"/>
  <c r="N1243" i="61"/>
  <c r="N2070" i="61"/>
  <c r="N1389" i="61"/>
  <c r="N1262" i="61"/>
  <c r="N1015" i="61"/>
  <c r="N865" i="61"/>
  <c r="N381" i="61"/>
  <c r="N1593" i="61"/>
  <c r="N499" i="61"/>
  <c r="N239" i="61"/>
  <c r="N1053" i="61"/>
  <c r="N322" i="61"/>
  <c r="N1751" i="61"/>
  <c r="N872" i="61"/>
  <c r="N131" i="61"/>
  <c r="N930" i="61"/>
  <c r="N286" i="61"/>
  <c r="N1360" i="61"/>
  <c r="N792" i="61"/>
  <c r="N51" i="61"/>
  <c r="N912" i="61"/>
  <c r="N1430" i="61"/>
  <c r="N1546" i="61"/>
  <c r="N1254" i="61"/>
  <c r="N2081" i="61"/>
  <c r="N2010" i="61"/>
  <c r="N1477" i="61"/>
  <c r="N1966" i="61"/>
  <c r="N1469" i="61"/>
  <c r="N1374" i="61"/>
  <c r="N1286" i="61"/>
  <c r="N1425" i="61"/>
  <c r="N1913" i="61"/>
  <c r="N716" i="61"/>
  <c r="N296" i="61"/>
  <c r="N1879" i="61"/>
  <c r="N1328" i="61"/>
  <c r="N459" i="61"/>
  <c r="N160" i="61"/>
  <c r="N1148" i="61"/>
  <c r="N103" i="61"/>
  <c r="N1134" i="61"/>
  <c r="N698" i="61"/>
  <c r="N1496" i="61"/>
  <c r="N769" i="61"/>
  <c r="N85" i="61"/>
  <c r="N1607" i="61"/>
  <c r="N728" i="61"/>
  <c r="N1214" i="61"/>
  <c r="N116" i="61"/>
  <c r="N1978" i="61"/>
  <c r="N1482" i="61"/>
  <c r="N2156" i="61"/>
  <c r="N2017" i="61"/>
  <c r="N900" i="61"/>
  <c r="N480" i="61"/>
  <c r="N219" i="61"/>
  <c r="N668" i="61"/>
  <c r="N621" i="61"/>
  <c r="N979" i="61"/>
  <c r="N607" i="61"/>
  <c r="N1679" i="61"/>
  <c r="N690" i="61"/>
  <c r="N1278" i="61"/>
  <c r="N1910" i="61"/>
  <c r="N1565" i="61"/>
  <c r="N1775" i="61"/>
  <c r="N1909" i="61"/>
  <c r="N662" i="61"/>
  <c r="N2137" i="61"/>
  <c r="N838" i="61"/>
  <c r="N2129" i="61"/>
  <c r="N2034" i="61"/>
  <c r="N1444" i="61"/>
  <c r="N1294" i="61"/>
  <c r="N1036" i="61"/>
  <c r="N616" i="61"/>
  <c r="N1237" i="61"/>
  <c r="N867" i="61"/>
  <c r="N495" i="61"/>
  <c r="N797" i="61"/>
  <c r="N536" i="61"/>
  <c r="N915" i="61"/>
  <c r="N27" i="61"/>
  <c r="N1951" i="61"/>
  <c r="N1400" i="61"/>
  <c r="N2126" i="61"/>
  <c r="N1935" i="61"/>
  <c r="N12" i="61"/>
  <c r="N532" i="61"/>
  <c r="N4" i="61"/>
  <c r="N1514" i="61"/>
  <c r="N815" i="61"/>
  <c r="N1595" i="61"/>
  <c r="N823" i="61"/>
  <c r="N481" i="61"/>
  <c r="N1129" i="61"/>
  <c r="N507" i="61"/>
  <c r="N281" i="61"/>
  <c r="N1503" i="61"/>
  <c r="N514" i="61"/>
  <c r="N1431" i="61"/>
  <c r="N329" i="61"/>
  <c r="N1844" i="61"/>
  <c r="N1236" i="61"/>
  <c r="N2074" i="61"/>
  <c r="N1859" i="61"/>
  <c r="N1031" i="61"/>
  <c r="N2119" i="61"/>
  <c r="N1568" i="61"/>
  <c r="N2111" i="61"/>
  <c r="N1813" i="61"/>
  <c r="N1828" i="61"/>
  <c r="N13" i="61"/>
  <c r="N412" i="61"/>
  <c r="N530" i="61"/>
  <c r="N1621" i="61"/>
  <c r="N705" i="61"/>
  <c r="N288" i="61"/>
  <c r="N1023" i="61"/>
  <c r="N1072" i="61"/>
  <c r="N94" i="61"/>
  <c r="N841" i="61"/>
  <c r="N357" i="61"/>
  <c r="N2006" i="61"/>
  <c r="N1373" i="61"/>
  <c r="N1583" i="61"/>
  <c r="N1566" i="61"/>
  <c r="N1668" i="61"/>
  <c r="N1945" i="61"/>
  <c r="N1705" i="61"/>
  <c r="N1937" i="61"/>
  <c r="N2154" i="61"/>
  <c r="N1891" i="61"/>
  <c r="N1242" i="61"/>
  <c r="N854" i="61"/>
  <c r="N1026" i="61"/>
  <c r="N382" i="61"/>
  <c r="N1346" i="61"/>
  <c r="N638" i="61"/>
  <c r="N303" i="61"/>
  <c r="N1117" i="61"/>
  <c r="N386" i="61"/>
  <c r="N1815" i="61"/>
  <c r="N936" i="61"/>
  <c r="N93" i="61"/>
  <c r="N843" i="61"/>
  <c r="N350" i="61"/>
  <c r="N1735" i="61"/>
  <c r="N1690" i="61"/>
  <c r="N1199" i="61"/>
  <c r="N6" i="61"/>
  <c r="N1293" i="61"/>
  <c r="N1822" i="61"/>
  <c r="N1330" i="61"/>
  <c r="N1806" i="61"/>
  <c r="N1322" i="61"/>
  <c r="N1662" i="61"/>
  <c r="N1700" i="61"/>
  <c r="N1997" i="61"/>
  <c r="N1436" i="61"/>
  <c r="N1024" i="61"/>
  <c r="N46" i="61"/>
  <c r="N863" i="61"/>
  <c r="N762" i="61"/>
  <c r="N693" i="61"/>
  <c r="N1212" i="61"/>
  <c r="N209" i="61"/>
  <c r="N1239" i="61"/>
  <c r="N172" i="61"/>
  <c r="N1249" i="61"/>
  <c r="N833" i="61"/>
  <c r="N349" i="61"/>
  <c r="N1671" i="61"/>
  <c r="N682" i="61"/>
  <c r="N1791" i="61"/>
  <c r="N212" i="61"/>
  <c r="N2097" i="61"/>
  <c r="N644" i="61"/>
  <c r="N1531" i="61"/>
  <c r="N2136" i="61"/>
  <c r="N1837" i="61"/>
  <c r="N1788" i="61"/>
  <c r="N1829" i="61"/>
  <c r="N1780" i="61"/>
  <c r="N1526" i="61"/>
  <c r="N1579" i="61"/>
  <c r="N1736" i="61"/>
  <c r="N2023" i="61"/>
  <c r="N747" i="61"/>
  <c r="N375" i="61"/>
  <c r="N1429" i="61"/>
  <c r="N1639" i="61"/>
  <c r="N760" i="61"/>
  <c r="N154" i="61"/>
  <c r="N561" i="61"/>
  <c r="N216" i="61"/>
  <c r="N917" i="61"/>
  <c r="N656" i="61"/>
  <c r="N1807" i="61"/>
  <c r="N928" i="61"/>
  <c r="N1422" i="61"/>
  <c r="N919" i="61"/>
  <c r="N505" i="61"/>
  <c r="N957" i="61"/>
  <c r="N696" i="61"/>
  <c r="N2033" i="61"/>
  <c r="N1793" i="61"/>
  <c r="N998" i="61"/>
  <c r="N2072" i="61"/>
  <c r="N1717" i="61"/>
  <c r="N1724" i="61"/>
  <c r="N1701" i="61"/>
  <c r="N1716" i="61"/>
  <c r="N1914" i="61"/>
  <c r="N1418" i="61"/>
  <c r="N2092" i="61"/>
  <c r="N1953" i="61"/>
  <c r="N1830" i="61"/>
  <c r="N1349" i="61"/>
  <c r="N1702" i="61"/>
  <c r="N1652" i="61"/>
  <c r="N1938" i="61"/>
  <c r="N2159" i="61"/>
  <c r="N1608" i="61"/>
  <c r="N1445" i="61"/>
  <c r="N770" i="61"/>
  <c r="N701" i="61"/>
  <c r="N942" i="61"/>
  <c r="N931" i="61"/>
  <c r="N559" i="61"/>
  <c r="N1320" i="61"/>
  <c r="N427" i="61"/>
  <c r="N152" i="61"/>
  <c r="N1130" i="61"/>
  <c r="N486" i="61"/>
  <c r="N1118" i="61"/>
  <c r="N178" i="61"/>
  <c r="N1269" i="61"/>
  <c r="N1925" i="61"/>
  <c r="N751" i="61"/>
  <c r="N1263" i="61"/>
  <c r="N1956" i="61"/>
  <c r="N1348" i="61"/>
  <c r="N33" i="61"/>
  <c r="N1385" i="61"/>
  <c r="N25" i="61"/>
  <c r="N2046" i="61"/>
  <c r="N1355" i="61"/>
  <c r="N1582" i="61"/>
  <c r="N1067" i="61"/>
  <c r="N695" i="61"/>
  <c r="N1548" i="61"/>
  <c r="N1018" i="61"/>
  <c r="N374" i="61"/>
  <c r="N956" i="61"/>
  <c r="N615" i="61"/>
  <c r="N1128" i="61"/>
  <c r="N2106" i="61"/>
  <c r="N1501" i="61"/>
  <c r="N1711" i="61"/>
  <c r="N2042" i="61"/>
  <c r="N1485" i="61"/>
  <c r="N1238" i="61"/>
  <c r="N1522" i="61"/>
  <c r="N1131" i="61"/>
  <c r="N1686" i="61"/>
  <c r="N1380" i="61"/>
  <c r="N1678" i="61"/>
  <c r="N813" i="61"/>
  <c r="N552" i="61"/>
  <c r="N1484" i="61"/>
  <c r="N772" i="61"/>
  <c r="N352" i="61"/>
  <c r="N339" i="61"/>
  <c r="N401" i="61"/>
  <c r="N1173" i="61"/>
  <c r="N479" i="61"/>
  <c r="N1875" i="61"/>
  <c r="N1073" i="61"/>
  <c r="N1853" i="61"/>
  <c r="N1523" i="61"/>
  <c r="N1918" i="61"/>
  <c r="N1669" i="61"/>
  <c r="N1854" i="61"/>
  <c r="N1661" i="61"/>
  <c r="N1868" i="61"/>
  <c r="N1316" i="61"/>
  <c r="N1246" i="61"/>
  <c r="N749" i="61"/>
  <c r="N417" i="61"/>
  <c r="N974" i="61"/>
  <c r="N739" i="61"/>
  <c r="N367" i="61"/>
  <c r="N1439" i="61"/>
  <c r="N227" i="61"/>
  <c r="N49" i="61"/>
  <c r="N1000" i="61"/>
  <c r="N806" i="61"/>
  <c r="N1619" i="61"/>
  <c r="N1684" i="61"/>
  <c r="N1798" i="61"/>
  <c r="N1699" i="61"/>
  <c r="N1095" i="61"/>
  <c r="N2000" i="61"/>
  <c r="N1169" i="61"/>
  <c r="N1992" i="61"/>
  <c r="N2102" i="61"/>
  <c r="N1757" i="61"/>
  <c r="N1553" i="61"/>
  <c r="N1161" i="61"/>
  <c r="N929" i="61"/>
  <c r="N445" i="61"/>
  <c r="N1070" i="61"/>
  <c r="N826" i="61"/>
  <c r="N182" i="61"/>
  <c r="N475" i="61"/>
  <c r="N273" i="61"/>
  <c r="N1303" i="61"/>
  <c r="N236" i="61"/>
  <c r="N1313" i="61"/>
  <c r="N897" i="61"/>
  <c r="N413" i="61"/>
  <c r="N1223" i="61"/>
  <c r="N1309" i="61"/>
  <c r="N1519" i="61"/>
  <c r="N1163" i="61"/>
  <c r="N1604" i="61"/>
  <c r="N1881" i="61"/>
  <c r="N1641" i="61"/>
  <c r="N1873" i="61"/>
  <c r="N1782" i="61"/>
  <c r="N1763" i="61"/>
  <c r="N1159" i="61"/>
  <c r="N2044" i="61"/>
  <c r="N1347" i="61"/>
  <c r="N324" i="61"/>
  <c r="N1726" i="61"/>
  <c r="N1392" i="61"/>
  <c r="N619" i="61"/>
  <c r="N181" i="61"/>
  <c r="N689" i="61"/>
  <c r="N280" i="61"/>
  <c r="N981" i="61"/>
  <c r="N250" i="61"/>
  <c r="N1560" i="61"/>
  <c r="N992" i="61"/>
  <c r="N149" i="61"/>
  <c r="N1102" i="61"/>
  <c r="N169" i="61"/>
  <c r="N1279" i="61"/>
  <c r="N248" i="61"/>
  <c r="N2152" i="61"/>
  <c r="N1345" i="61"/>
  <c r="N1897" i="61"/>
  <c r="N1920" i="61"/>
  <c r="N683" i="61"/>
  <c r="N1123" i="61"/>
  <c r="N639" i="61"/>
  <c r="N1808" i="61"/>
  <c r="N1947" i="61"/>
  <c r="N1575" i="61"/>
  <c r="N242" i="61"/>
  <c r="N1114" i="61"/>
  <c r="N1663" i="61"/>
  <c r="N87" i="61"/>
  <c r="N410" i="61"/>
  <c r="N1401" i="61"/>
  <c r="N2040" i="61"/>
  <c r="N1337" i="61"/>
  <c r="N1495" i="61"/>
  <c r="N513" i="61"/>
  <c r="N1616" i="61"/>
  <c r="N384" i="61"/>
  <c r="N955" i="61"/>
  <c r="N745" i="61"/>
  <c r="N1885" i="61"/>
  <c r="N30" i="61"/>
  <c r="N1393" i="61"/>
  <c r="N940" i="61"/>
  <c r="N1753" i="61"/>
  <c r="N284" i="61"/>
  <c r="N482" i="61"/>
  <c r="N1198" i="61"/>
  <c r="N688" i="61"/>
  <c r="N1984" i="61"/>
  <c r="N1058" i="61"/>
  <c r="N2095" i="61"/>
  <c r="N1013" i="61"/>
  <c r="N484" i="61"/>
  <c r="N1689" i="61"/>
  <c r="N340" i="61"/>
  <c r="N630" i="61"/>
  <c r="N137" i="61"/>
  <c r="N391" i="61"/>
  <c r="N1713" i="61"/>
  <c r="N206" i="61"/>
  <c r="N1708" i="61"/>
  <c r="N118" i="61"/>
  <c r="N1141" i="61"/>
  <c r="N17" i="61"/>
  <c r="N1536" i="61"/>
  <c r="N298" i="61"/>
  <c r="N271" i="61"/>
  <c r="N1497" i="61"/>
  <c r="N1840" i="61"/>
  <c r="N670" i="61"/>
  <c r="N220" i="61"/>
  <c r="N199" i="61"/>
  <c r="N170" i="61"/>
  <c r="N334" i="61"/>
  <c r="N758" i="61"/>
  <c r="N596" i="61"/>
  <c r="N1872" i="61"/>
  <c r="N799" i="61"/>
  <c r="N1864" i="61"/>
  <c r="N2141" i="61"/>
  <c r="N1698" i="61"/>
  <c r="N646" i="61"/>
  <c r="N2011" i="61"/>
  <c r="N1069" i="61"/>
  <c r="N338" i="61"/>
  <c r="N1709" i="61"/>
  <c r="N1529" i="61"/>
  <c r="N1210" i="61"/>
  <c r="N175" i="61"/>
  <c r="N1247" i="61"/>
  <c r="N180" i="61"/>
  <c r="N1376" i="61"/>
  <c r="N587" i="61"/>
  <c r="N67" i="61"/>
  <c r="N715" i="61"/>
  <c r="N343" i="61"/>
  <c r="N1155" i="61"/>
  <c r="N620" i="61"/>
  <c r="N122" i="61"/>
  <c r="N667" i="61"/>
  <c r="N2100" i="61"/>
  <c r="N1492" i="61"/>
  <c r="N1766" i="61"/>
  <c r="N2115" i="61"/>
  <c r="N1387" i="61"/>
  <c r="N1787" i="61"/>
  <c r="N1824" i="61"/>
  <c r="N1771" i="61"/>
  <c r="N2124" i="61"/>
  <c r="N1542" i="61"/>
  <c r="N1475" i="61"/>
  <c r="N1164" i="61"/>
  <c r="N151" i="61"/>
  <c r="N1691" i="61"/>
  <c r="N964" i="61"/>
  <c r="N623" i="61"/>
  <c r="N1384" i="61"/>
  <c r="N816" i="61"/>
  <c r="N75" i="61"/>
  <c r="N652" i="61"/>
  <c r="N144" i="61"/>
  <c r="N41" i="61"/>
  <c r="N633" i="61"/>
  <c r="N66" i="61"/>
  <c r="N341" i="61"/>
  <c r="N461" i="61"/>
  <c r="N456" i="61"/>
  <c r="N1287" i="61"/>
  <c r="N77" i="61"/>
  <c r="N140" i="61"/>
  <c r="N763" i="61"/>
  <c r="N1011" i="61"/>
  <c r="N916" i="61"/>
  <c r="N575" i="61"/>
  <c r="N388" i="61"/>
  <c r="N590" i="61"/>
  <c r="N1606" i="61"/>
  <c r="N460" i="61"/>
  <c r="N707" i="61"/>
  <c r="N448" i="61"/>
  <c r="N604" i="61"/>
  <c r="N114" i="61"/>
  <c r="N233" i="61"/>
  <c r="N1304" i="61"/>
  <c r="N626" i="61"/>
  <c r="N579" i="61"/>
  <c r="N601" i="61"/>
  <c r="N1634" i="61"/>
  <c r="N1657" i="61"/>
  <c r="N1235" i="61"/>
  <c r="N192" i="61"/>
  <c r="N588" i="61"/>
  <c r="N106" i="61"/>
  <c r="N2146" i="61"/>
  <c r="N1820" i="61"/>
  <c r="N592" i="61"/>
  <c r="N1738" i="61"/>
  <c r="N554" i="61"/>
  <c r="N1083" i="61"/>
  <c r="N788" i="61"/>
  <c r="N447" i="61"/>
  <c r="N1874" i="61"/>
  <c r="N1810" i="61"/>
  <c r="N1457" i="61"/>
  <c r="N179" i="61"/>
  <c r="N1516" i="61"/>
  <c r="N1157" i="61"/>
  <c r="N70" i="61"/>
  <c r="N583" i="61"/>
  <c r="N282" i="61"/>
  <c r="N2019" i="61"/>
  <c r="N2025" i="61"/>
  <c r="N158" i="61"/>
  <c r="N1993" i="61"/>
  <c r="N692" i="61"/>
  <c r="N399" i="61"/>
  <c r="N126" i="61"/>
  <c r="N542" i="61"/>
  <c r="N2098" i="61"/>
  <c r="N1520" i="61"/>
  <c r="N1094" i="61"/>
  <c r="N1362" i="61"/>
  <c r="N1594" i="61"/>
  <c r="N142" i="61"/>
  <c r="N335" i="61"/>
  <c r="N376" i="61"/>
  <c r="N1075" i="61"/>
  <c r="N645" i="61"/>
  <c r="N821" i="61"/>
  <c r="N1260" i="61"/>
  <c r="N1899" i="61"/>
  <c r="N1353" i="61"/>
  <c r="N1744" i="61"/>
  <c r="N1888" i="61"/>
  <c r="N1570" i="61"/>
  <c r="N724" i="61"/>
  <c r="N1344" i="61"/>
  <c r="N1773" i="61"/>
  <c r="N1087" i="61"/>
  <c r="N235" i="61"/>
  <c r="N398" i="61"/>
  <c r="N462" i="61"/>
  <c r="N1162" i="61"/>
  <c r="N706" i="61"/>
  <c r="N1312" i="61"/>
  <c r="N395" i="61"/>
  <c r="N138" i="61"/>
  <c r="N1441" i="61"/>
  <c r="N562" i="61"/>
  <c r="N1653" i="61"/>
  <c r="N1103" i="61"/>
  <c r="N81" i="61"/>
  <c r="N535" i="61"/>
  <c r="N1029" i="61"/>
  <c r="N926" i="61"/>
  <c r="N124" i="61"/>
  <c r="N817" i="61"/>
  <c r="N710" i="61"/>
  <c r="N947" i="61"/>
  <c r="N454" i="61"/>
  <c r="N361" i="61"/>
  <c r="N802" i="61"/>
  <c r="N1033" i="61"/>
  <c r="N58" i="61"/>
  <c r="N899" i="61"/>
  <c r="N527" i="61"/>
  <c r="N720" i="61"/>
  <c r="N1426" i="61"/>
  <c r="N304" i="61"/>
  <c r="N1615" i="61"/>
  <c r="N584" i="61"/>
  <c r="N889" i="61"/>
  <c r="N546" i="61"/>
  <c r="N2061" i="61"/>
  <c r="N1466" i="61"/>
  <c r="N1314" i="61"/>
  <c r="N732" i="61"/>
  <c r="N171" i="61"/>
  <c r="N2155" i="61"/>
  <c r="N1802" i="61"/>
  <c r="N1633" i="61"/>
  <c r="N1333" i="61"/>
  <c r="N441" i="61"/>
  <c r="N722" i="61"/>
  <c r="N970" i="61"/>
  <c r="N326" i="61"/>
  <c r="N2052" i="61"/>
  <c r="N1831" i="61"/>
  <c r="N1768" i="61"/>
  <c r="N506" i="61"/>
  <c r="N1427" i="61"/>
  <c r="N804" i="61"/>
  <c r="N1224" i="61"/>
  <c r="N525" i="61"/>
  <c r="N261" i="61"/>
  <c r="N1921" i="61"/>
  <c r="N2080" i="61"/>
  <c r="N1064" i="61"/>
  <c r="N2103" i="61"/>
  <c r="N1351" i="61"/>
  <c r="N141" i="61"/>
  <c r="N1298" i="61"/>
  <c r="N778" i="61"/>
  <c r="N1877" i="61"/>
  <c r="N1319" i="61"/>
  <c r="N1967" i="61"/>
  <c r="N1673" i="61"/>
  <c r="N1961" i="61"/>
  <c r="N2039" i="61"/>
  <c r="N277" i="61"/>
  <c r="N455" i="61"/>
  <c r="N251" i="61"/>
  <c r="N55" i="61"/>
  <c r="N518" i="61"/>
  <c r="N1250" i="61"/>
  <c r="N1338" i="61"/>
  <c r="N675" i="61"/>
  <c r="N512" i="61"/>
  <c r="N2016" i="61"/>
  <c r="N1369" i="61"/>
  <c r="N755" i="61"/>
  <c r="N1655" i="61"/>
  <c r="N1911" i="61"/>
  <c r="N1205" i="61"/>
  <c r="N1225" i="61"/>
  <c r="N1609" i="61"/>
  <c r="N226" i="61"/>
  <c r="N842" i="61"/>
  <c r="N7" i="61"/>
  <c r="N1413" i="61"/>
  <c r="N2134" i="61"/>
  <c r="N1405" i="61"/>
  <c r="N1990" i="61"/>
  <c r="N1572" i="61"/>
  <c r="N1758" i="61"/>
  <c r="N654" i="61"/>
  <c r="N311" i="61"/>
  <c r="N1676" i="61"/>
  <c r="N1146" i="61"/>
  <c r="N565" i="61"/>
  <c r="N925" i="61"/>
  <c r="N194" i="61"/>
  <c r="N1623" i="61"/>
  <c r="N744" i="61"/>
  <c r="N1006" i="61"/>
  <c r="N1752" i="61"/>
  <c r="N449" i="61"/>
  <c r="N1093" i="61"/>
  <c r="N1471" i="61"/>
  <c r="N840" i="61"/>
  <c r="N414" i="61"/>
  <c r="N641" i="61"/>
  <c r="N1407" i="61"/>
  <c r="N213" i="61"/>
  <c r="N976" i="61"/>
  <c r="N269" i="61"/>
  <c r="N396" i="61"/>
  <c r="N517" i="61"/>
  <c r="N432" i="61"/>
  <c r="N699" i="61"/>
  <c r="N709" i="61"/>
  <c r="N893" i="61"/>
  <c r="N1050" i="61"/>
  <c r="N406" i="61"/>
  <c r="N610" i="61"/>
  <c r="N1737" i="61"/>
  <c r="N383" i="61"/>
  <c r="N951" i="61"/>
  <c r="N663" i="61"/>
  <c r="N1048" i="61"/>
  <c r="N433" i="61"/>
  <c r="N2139" i="61"/>
  <c r="N1777" i="61"/>
  <c r="N965" i="61"/>
  <c r="N914" i="61"/>
  <c r="N602" i="61"/>
  <c r="N1563" i="61"/>
  <c r="N2113" i="61"/>
  <c r="N1465" i="61"/>
  <c r="N1132" i="61"/>
  <c r="N1433" i="61"/>
  <c r="N470" i="61"/>
  <c r="N674" i="61"/>
  <c r="N873" i="61"/>
  <c r="N389" i="61"/>
  <c r="N2083" i="61"/>
  <c r="N2089" i="61"/>
  <c r="N1256" i="61"/>
  <c r="N464" i="61"/>
  <c r="N1506" i="61"/>
  <c r="N835" i="61"/>
  <c r="N1535" i="61"/>
  <c r="N1105" i="61"/>
  <c r="N61" i="61"/>
  <c r="N1976" i="61"/>
  <c r="N2135" i="61"/>
  <c r="N442" i="61"/>
  <c r="N1057" i="61"/>
  <c r="N379" i="61"/>
  <c r="N1213" i="61"/>
  <c r="N927" i="61"/>
  <c r="N651" i="61"/>
  <c r="N2125" i="61"/>
  <c r="N766" i="61"/>
  <c r="N1857" i="61"/>
  <c r="N1472" i="61"/>
  <c r="N1530" i="61"/>
  <c r="N1388" i="61"/>
  <c r="N796" i="61"/>
  <c r="N397" i="61"/>
  <c r="N523" i="61"/>
  <c r="N1730" i="61"/>
  <c r="N1833" i="61"/>
  <c r="N371" i="61"/>
  <c r="N186" i="61"/>
  <c r="N1034" i="61"/>
  <c r="N591" i="61"/>
  <c r="N1289" i="61"/>
  <c r="N1680" i="61"/>
  <c r="N809" i="61"/>
  <c r="N1044" i="61"/>
  <c r="N1772" i="61"/>
  <c r="N1761" i="61"/>
  <c r="N564" i="61"/>
  <c r="N436" i="61"/>
  <c r="N92" i="61"/>
  <c r="N1452" i="61"/>
  <c r="N2133" i="61"/>
  <c r="N782" i="61"/>
  <c r="N1959" i="61"/>
  <c r="N834" i="61"/>
  <c r="N190" i="61"/>
  <c r="N1111" i="61"/>
  <c r="N556" i="61"/>
  <c r="N96" i="61"/>
  <c r="N1084" i="61"/>
  <c r="N664" i="61"/>
  <c r="N977" i="61"/>
  <c r="N634" i="61"/>
  <c r="N1432" i="61"/>
  <c r="N1240" i="61"/>
  <c r="N520" i="61"/>
  <c r="N922" i="61"/>
  <c r="N891" i="61"/>
  <c r="N60" i="61"/>
  <c r="N97" i="61"/>
  <c r="N702" i="61"/>
  <c r="N881" i="61"/>
  <c r="N115" i="61"/>
  <c r="N276" i="61"/>
  <c r="N69" i="61"/>
  <c r="N1160" i="61"/>
  <c r="N48" i="61"/>
  <c r="N511" i="61"/>
  <c r="N39" i="61"/>
  <c r="N1007" i="61"/>
  <c r="N315" i="61"/>
  <c r="N953" i="61"/>
  <c r="N469" i="61"/>
  <c r="N497" i="61"/>
  <c r="N267" i="61"/>
  <c r="N325" i="61"/>
  <c r="N845" i="61"/>
  <c r="N127" i="61"/>
  <c r="N426" i="61"/>
  <c r="N56" i="61"/>
  <c r="N2041" i="61"/>
  <c r="N1825" i="61"/>
  <c r="N1124" i="61"/>
  <c r="N354" i="61"/>
  <c r="N489" i="61"/>
  <c r="N290" i="61"/>
  <c r="N2138" i="61"/>
  <c r="N1776" i="61"/>
  <c r="N864" i="61"/>
  <c r="N932" i="61"/>
  <c r="N533" i="61"/>
  <c r="N153" i="61"/>
  <c r="N1032" i="61"/>
  <c r="N1942" i="61"/>
  <c r="N1930" i="61"/>
  <c r="N2144" i="61"/>
  <c r="N1200" i="61"/>
  <c r="N1035" i="61"/>
  <c r="N1817" i="61"/>
  <c r="N986" i="61"/>
  <c r="N550" i="61"/>
  <c r="N1172" i="61"/>
  <c r="N2031" i="61"/>
  <c r="N1474" i="61"/>
  <c r="N400" i="61"/>
  <c r="N1363" i="61"/>
  <c r="N740" i="61"/>
  <c r="N691" i="61"/>
  <c r="N1408" i="61"/>
  <c r="N84" i="61"/>
  <c r="N2105" i="61"/>
  <c r="N157" i="61"/>
  <c r="N1977" i="61"/>
  <c r="N1783" i="61"/>
  <c r="N876" i="61"/>
  <c r="N1299" i="61"/>
  <c r="N827" i="61"/>
  <c r="N62" i="61"/>
  <c r="N776" i="61"/>
  <c r="N1865" i="61"/>
  <c r="N1282" i="61"/>
  <c r="N1021" i="61"/>
  <c r="N1697" i="61"/>
  <c r="N937" i="61"/>
  <c r="N632" i="61"/>
  <c r="N1600" i="61"/>
  <c r="N868" i="61"/>
  <c r="N21" i="61"/>
  <c r="N624" i="61"/>
  <c r="N1728" i="61"/>
  <c r="N1417" i="61"/>
  <c r="N262" i="61"/>
  <c r="N99" i="61"/>
  <c r="N205" i="61"/>
  <c r="N420" i="61"/>
  <c r="N1801" i="61"/>
  <c r="N1635" i="61"/>
  <c r="N32" i="61"/>
  <c r="N1884" i="61"/>
  <c r="N1276" i="61"/>
  <c r="N1876" i="61"/>
  <c r="N1268" i="61"/>
  <c r="N1643" i="61"/>
  <c r="N1722" i="61"/>
  <c r="N1950" i="61"/>
  <c r="N1573" i="61"/>
  <c r="N898" i="61"/>
  <c r="N254" i="61"/>
  <c r="N1740" i="61"/>
  <c r="N1022" i="61"/>
  <c r="N650" i="61"/>
  <c r="N1649" i="61"/>
  <c r="N622" i="61"/>
  <c r="N295" i="61"/>
  <c r="N1076" i="61"/>
  <c r="N100" i="61"/>
  <c r="N1295" i="61"/>
  <c r="N228" i="61"/>
  <c r="N1630" i="61"/>
  <c r="N837" i="61"/>
  <c r="N576" i="61"/>
  <c r="N1116" i="61"/>
  <c r="N184" i="61"/>
  <c r="N2088" i="61"/>
  <c r="N1281" i="61"/>
  <c r="N1366" i="61"/>
  <c r="N2127" i="61"/>
  <c r="N1811" i="61"/>
  <c r="N1207" i="61"/>
  <c r="N1795" i="61"/>
  <c r="N1191" i="61"/>
  <c r="N1310" i="61"/>
  <c r="N1562" i="61"/>
  <c r="N1509" i="61"/>
  <c r="N737" i="61"/>
  <c r="N253" i="61"/>
  <c r="N839" i="61"/>
  <c r="N681" i="61"/>
  <c r="N90" i="61"/>
  <c r="N323" i="61"/>
  <c r="N132" i="61"/>
  <c r="N853" i="61"/>
  <c r="N521" i="61"/>
  <c r="N1743" i="61"/>
  <c r="N1551" i="61"/>
  <c r="N599" i="61"/>
  <c r="N825" i="61"/>
  <c r="N1042" i="61"/>
  <c r="N197" i="61"/>
  <c r="N1589" i="61"/>
  <c r="N858" i="61"/>
  <c r="N1040" i="61"/>
  <c r="N628" i="61"/>
  <c r="N312" i="61"/>
  <c r="N582" i="61"/>
  <c r="N585" i="61"/>
  <c r="N42" i="61"/>
  <c r="N390" i="61"/>
  <c r="N200" i="61"/>
  <c r="N1232" i="61"/>
  <c r="N539" i="61"/>
  <c r="N1112" i="61"/>
  <c r="N134" i="61"/>
  <c r="N647" i="61"/>
  <c r="N906" i="61"/>
  <c r="N125" i="61"/>
  <c r="N1004" i="61"/>
  <c r="N605" i="61"/>
  <c r="N313" i="61"/>
  <c r="N50" i="61"/>
  <c r="N2096" i="61"/>
  <c r="N994" i="61"/>
  <c r="N574" i="61"/>
  <c r="N241" i="61"/>
  <c r="N560" i="61"/>
  <c r="N285" i="61"/>
  <c r="N1869" i="61"/>
  <c r="N1264" i="61"/>
  <c r="N156" i="61"/>
  <c r="N963" i="61"/>
  <c r="N64" i="61"/>
  <c r="N653" i="61"/>
  <c r="N332" i="61"/>
  <c r="N2153" i="61"/>
  <c r="N1985" i="61"/>
  <c r="N1538" i="61"/>
  <c r="N1151" i="61"/>
  <c r="N363" i="61"/>
  <c r="N1305" i="61"/>
  <c r="N348" i="61"/>
  <c r="N765" i="61"/>
  <c r="N609" i="61"/>
  <c r="N2065" i="61"/>
  <c r="N1370" i="61"/>
  <c r="N1785" i="61"/>
  <c r="N678" i="61"/>
  <c r="N1442" i="61"/>
  <c r="N771" i="61"/>
  <c r="N860" i="61"/>
  <c r="N1719" i="61"/>
  <c r="N218" i="61"/>
  <c r="N2071" i="61"/>
  <c r="N717" i="61"/>
  <c r="N1996" i="61"/>
  <c r="N1271" i="61"/>
  <c r="N907" i="61"/>
  <c r="N1378" i="61"/>
  <c r="N978" i="61"/>
  <c r="N1545" i="61"/>
  <c r="N666" i="61"/>
  <c r="N1625" i="61"/>
  <c r="N1402" i="61"/>
  <c r="N177" i="61"/>
  <c r="N1755" i="61"/>
  <c r="N1096" i="61"/>
  <c r="N1399" i="61"/>
  <c r="N2121" i="61"/>
  <c r="N1019" i="61"/>
  <c r="N1929" i="61"/>
  <c r="N1847" i="61"/>
  <c r="N1527" i="61"/>
  <c r="N463" i="61"/>
  <c r="N1463" i="61"/>
  <c r="N256" i="61"/>
  <c r="M151" i="60"/>
  <c r="M226" i="60"/>
  <c r="M72" i="60"/>
  <c r="M56" i="60"/>
  <c r="M62" i="60"/>
  <c r="M57" i="60"/>
  <c r="M69" i="60"/>
  <c r="M54" i="60"/>
  <c r="M58" i="60"/>
  <c r="M64" i="60"/>
  <c r="M87" i="60"/>
  <c r="M74" i="60"/>
  <c r="M88" i="60"/>
  <c r="M80" i="60"/>
  <c r="M129" i="60"/>
  <c r="M53" i="60"/>
  <c r="M92" i="60"/>
  <c r="M110" i="60"/>
  <c r="M179" i="60"/>
  <c r="M85" i="60"/>
  <c r="M82" i="60"/>
  <c r="M144" i="60"/>
  <c r="M71" i="60"/>
  <c r="M73" i="60"/>
  <c r="M63" i="60"/>
  <c r="M145" i="60"/>
  <c r="M86" i="60"/>
  <c r="M216" i="60"/>
  <c r="M223" i="60"/>
  <c r="M215" i="60"/>
  <c r="M65" i="60"/>
  <c r="M55" i="60"/>
  <c r="M78" i="60"/>
  <c r="M68" i="60"/>
  <c r="M70" i="60"/>
  <c r="M84" i="60"/>
  <c r="M217" i="60"/>
  <c r="M198" i="60"/>
  <c r="M188" i="60"/>
  <c r="M120" i="60"/>
  <c r="M76" i="60"/>
  <c r="M67" i="60"/>
  <c r="M59" i="60"/>
  <c r="M90" i="60"/>
  <c r="M105" i="60"/>
  <c r="M81" i="60"/>
  <c r="M77" i="60"/>
  <c r="M127" i="60"/>
  <c r="M75" i="60"/>
  <c r="M160" i="60"/>
  <c r="M60" i="60"/>
  <c r="M224" i="60"/>
  <c r="M214" i="60"/>
  <c r="M205" i="60"/>
  <c r="M79" i="60"/>
  <c r="M83" i="60"/>
  <c r="M66" i="60"/>
  <c r="M221" i="60"/>
  <c r="M167" i="60"/>
  <c r="M115" i="60"/>
  <c r="M162" i="60"/>
  <c r="M99" i="60"/>
  <c r="M125" i="60"/>
  <c r="M126" i="60"/>
  <c r="M104" i="60"/>
  <c r="M98" i="60"/>
  <c r="M101" i="60"/>
  <c r="M131" i="60"/>
  <c r="M169" i="60"/>
  <c r="M152" i="60"/>
  <c r="M112" i="60"/>
  <c r="M135" i="60"/>
  <c r="M220" i="60"/>
  <c r="M207" i="60"/>
  <c r="M196" i="60"/>
  <c r="M161" i="60"/>
  <c r="M137" i="60"/>
  <c r="M210" i="60"/>
  <c r="M191" i="60"/>
  <c r="M121" i="60"/>
  <c r="M177" i="60"/>
  <c r="M199" i="60"/>
  <c r="M193" i="60"/>
  <c r="M164" i="60"/>
  <c r="M159" i="60"/>
  <c r="M108" i="60"/>
  <c r="M117" i="60"/>
  <c r="M200" i="60"/>
  <c r="M209" i="60"/>
  <c r="M128" i="60"/>
  <c r="M102" i="60"/>
  <c r="M219" i="60"/>
  <c r="M201" i="60"/>
  <c r="M107" i="60"/>
  <c r="M109" i="60"/>
  <c r="M181" i="60"/>
  <c r="M153" i="60"/>
  <c r="M202" i="60"/>
  <c r="M106" i="60"/>
  <c r="M222" i="60"/>
  <c r="M166" i="60"/>
  <c r="M133" i="60"/>
  <c r="M124" i="60"/>
  <c r="M218" i="60"/>
  <c r="M103" i="60"/>
  <c r="M113" i="60"/>
  <c r="M111" i="60"/>
  <c r="M134" i="60"/>
  <c r="M130" i="60"/>
  <c r="M116" i="60"/>
  <c r="M123" i="60"/>
  <c r="M122" i="60"/>
  <c r="M189" i="60"/>
  <c r="M225" i="60"/>
  <c r="M157" i="60"/>
  <c r="M170" i="60"/>
  <c r="M148" i="60"/>
  <c r="M147" i="60"/>
  <c r="M173" i="60"/>
  <c r="M114" i="60"/>
  <c r="M119" i="60"/>
  <c r="M190" i="60"/>
  <c r="M203" i="60"/>
  <c r="M100" i="60"/>
  <c r="M136" i="60"/>
  <c r="M197" i="60"/>
  <c r="M118" i="60"/>
  <c r="M155" i="60"/>
  <c r="M175" i="60"/>
  <c r="M227" i="60"/>
  <c r="M195" i="60"/>
  <c r="M211" i="60"/>
  <c r="M212" i="60"/>
  <c r="M206" i="60"/>
  <c r="M180" i="60"/>
  <c r="M208" i="60"/>
  <c r="M204" i="60"/>
  <c r="M165" i="60"/>
  <c r="M174" i="60"/>
  <c r="M178" i="60"/>
  <c r="M154" i="60"/>
  <c r="M192" i="60"/>
  <c r="M168" i="60"/>
  <c r="M156" i="60"/>
  <c r="M182" i="60"/>
  <c r="M146" i="60"/>
  <c r="M158" i="60"/>
  <c r="M176" i="60"/>
  <c r="M149" i="60"/>
  <c r="M150" i="60"/>
  <c r="M163" i="60"/>
  <c r="M172" i="60"/>
  <c r="M171" i="60"/>
  <c r="M143" i="60"/>
  <c r="A473" i="48"/>
  <c r="A472" i="48"/>
  <c r="A471" i="48"/>
  <c r="A470" i="48"/>
  <c r="A469" i="48"/>
  <c r="A468" i="48"/>
  <c r="A467" i="48"/>
  <c r="A466" i="48"/>
  <c r="A465" i="48"/>
  <c r="A464" i="48"/>
  <c r="A463" i="48"/>
  <c r="A462" i="48"/>
  <c r="A461" i="48"/>
  <c r="A460" i="48"/>
  <c r="A459" i="48"/>
  <c r="A458" i="48"/>
  <c r="A457" i="48"/>
  <c r="A456" i="48"/>
  <c r="A455" i="48"/>
  <c r="A454" i="48"/>
  <c r="A453" i="48"/>
  <c r="A452" i="48"/>
  <c r="A451" i="48"/>
  <c r="A450" i="48"/>
  <c r="A449" i="48"/>
  <c r="A448" i="48"/>
  <c r="A447" i="48"/>
  <c r="A446" i="48"/>
  <c r="A445" i="48"/>
  <c r="A444" i="48"/>
  <c r="A443" i="48"/>
  <c r="A442" i="48"/>
  <c r="A441" i="48"/>
  <c r="A440" i="48"/>
  <c r="A439" i="48"/>
  <c r="A438" i="48"/>
  <c r="A437" i="48"/>
  <c r="A436" i="48"/>
  <c r="A435" i="48"/>
  <c r="A434" i="48"/>
  <c r="A433" i="48"/>
  <c r="A432" i="48"/>
  <c r="A431" i="48"/>
  <c r="A430" i="48"/>
  <c r="A429" i="48"/>
  <c r="A428" i="48"/>
  <c r="A427" i="48"/>
  <c r="A426" i="48"/>
  <c r="A425" i="48"/>
  <c r="A424" i="48"/>
  <c r="A423" i="48"/>
  <c r="A422" i="48"/>
  <c r="A421" i="48"/>
  <c r="A420" i="48"/>
  <c r="A419" i="48"/>
  <c r="A418" i="48"/>
  <c r="A417" i="48"/>
  <c r="A416" i="48"/>
  <c r="A415" i="48"/>
  <c r="A414" i="48"/>
  <c r="A413" i="48"/>
  <c r="A412" i="48"/>
  <c r="A411" i="48"/>
  <c r="A410" i="48"/>
  <c r="A409" i="48"/>
  <c r="A408" i="48"/>
  <c r="A407" i="48"/>
  <c r="A406" i="48"/>
  <c r="A405" i="48"/>
  <c r="A404" i="48"/>
  <c r="A403" i="48"/>
  <c r="A402" i="48"/>
  <c r="A401" i="48"/>
  <c r="A400" i="48"/>
  <c r="A399" i="48"/>
  <c r="A398" i="48"/>
  <c r="A397" i="48"/>
  <c r="A396" i="48"/>
  <c r="A395" i="48"/>
  <c r="A394" i="48"/>
  <c r="A393" i="48"/>
  <c r="A392" i="48"/>
  <c r="A391" i="48"/>
  <c r="A390" i="48"/>
  <c r="A389" i="48"/>
  <c r="A388" i="48"/>
  <c r="A387" i="48"/>
  <c r="A386" i="48"/>
  <c r="A385" i="48"/>
  <c r="A384" i="48"/>
  <c r="A383" i="48"/>
  <c r="A382" i="48"/>
  <c r="A381" i="48"/>
  <c r="A380" i="48"/>
  <c r="A379" i="48"/>
  <c r="A378" i="48"/>
  <c r="A377" i="48"/>
  <c r="A376" i="48"/>
  <c r="A375" i="48"/>
  <c r="A374" i="48"/>
  <c r="A373" i="48"/>
  <c r="A372" i="48"/>
  <c r="A371" i="48"/>
  <c r="A370" i="48"/>
  <c r="A369" i="48"/>
  <c r="A368" i="48"/>
  <c r="A367" i="48"/>
  <c r="A366" i="48"/>
  <c r="A365" i="48"/>
  <c r="A364" i="48"/>
  <c r="A363" i="48"/>
  <c r="A362" i="48"/>
  <c r="A361" i="48"/>
  <c r="A360" i="48"/>
  <c r="A359" i="48"/>
  <c r="A358" i="48"/>
  <c r="A357" i="48"/>
  <c r="A356" i="48"/>
  <c r="A355" i="48"/>
  <c r="A354" i="48"/>
  <c r="A353" i="48"/>
  <c r="A352" i="48"/>
  <c r="A351" i="48"/>
  <c r="A350" i="48"/>
  <c r="A349" i="48"/>
  <c r="A348" i="48"/>
  <c r="A347" i="48"/>
  <c r="A346" i="48"/>
  <c r="A345" i="48"/>
  <c r="A344" i="48"/>
  <c r="A343" i="48"/>
  <c r="A342" i="48"/>
  <c r="A341" i="48"/>
  <c r="A340" i="48"/>
  <c r="A339" i="48"/>
  <c r="A338" i="48"/>
  <c r="A337" i="48"/>
  <c r="A336" i="48"/>
  <c r="A335" i="48"/>
  <c r="A334" i="48"/>
  <c r="A333" i="48"/>
  <c r="A332" i="48"/>
  <c r="A331" i="48"/>
  <c r="A330" i="48"/>
  <c r="A329" i="48"/>
  <c r="A328" i="48"/>
  <c r="A327" i="48"/>
  <c r="A326" i="48"/>
  <c r="A325" i="48"/>
  <c r="A324" i="48"/>
  <c r="A323" i="48"/>
  <c r="A322" i="48"/>
  <c r="A321" i="48"/>
  <c r="A320" i="48"/>
  <c r="A319" i="48"/>
  <c r="A318" i="48"/>
  <c r="A317" i="48"/>
  <c r="A316" i="48"/>
  <c r="A315" i="48"/>
  <c r="A314" i="48"/>
  <c r="A313" i="48"/>
  <c r="A312" i="48"/>
  <c r="A311" i="48"/>
  <c r="A310" i="48"/>
  <c r="A309" i="48"/>
  <c r="A308" i="48"/>
  <c r="A307" i="48"/>
  <c r="A306" i="48"/>
  <c r="A305" i="48"/>
  <c r="A304" i="48"/>
  <c r="A303" i="48"/>
  <c r="A302" i="48"/>
  <c r="A301" i="48"/>
  <c r="A300" i="48"/>
  <c r="A299" i="48"/>
  <c r="A298" i="48"/>
  <c r="A297" i="48"/>
  <c r="A296" i="48"/>
  <c r="A295" i="48"/>
  <c r="A294" i="48"/>
  <c r="A293" i="48"/>
  <c r="A292" i="48"/>
  <c r="A291" i="48"/>
  <c r="A290" i="48"/>
  <c r="A289" i="48"/>
  <c r="A288" i="48"/>
  <c r="A287" i="48"/>
  <c r="A286" i="48"/>
  <c r="A285" i="48"/>
  <c r="A284" i="48"/>
  <c r="A283" i="48"/>
  <c r="A282" i="48"/>
  <c r="A281" i="48"/>
  <c r="A280" i="48"/>
  <c r="A279" i="48"/>
  <c r="A278" i="48"/>
  <c r="A277" i="48"/>
  <c r="A276" i="48"/>
  <c r="A275" i="48"/>
  <c r="A274" i="48"/>
  <c r="A273" i="48"/>
  <c r="A272" i="48"/>
  <c r="A271" i="48"/>
  <c r="A270" i="48"/>
  <c r="A269" i="48"/>
  <c r="A268" i="48"/>
  <c r="A267" i="48"/>
  <c r="A266" i="48"/>
  <c r="A265" i="48"/>
  <c r="A264" i="48"/>
  <c r="A263" i="48"/>
  <c r="A262" i="48"/>
  <c r="A261" i="48"/>
  <c r="A260" i="48"/>
  <c r="A259" i="48"/>
  <c r="A258" i="48"/>
  <c r="A257" i="48"/>
  <c r="A256" i="48"/>
  <c r="A255" i="48"/>
  <c r="A254" i="48"/>
  <c r="A253" i="48"/>
  <c r="A252" i="48"/>
  <c r="A251" i="48"/>
  <c r="A250" i="48"/>
  <c r="A249" i="48"/>
  <c r="A248" i="48"/>
  <c r="A247" i="48"/>
  <c r="A246" i="48"/>
  <c r="A245" i="48"/>
  <c r="A244" i="48"/>
  <c r="A243" i="48"/>
  <c r="A242" i="48"/>
  <c r="A241" i="48"/>
  <c r="A240" i="48"/>
  <c r="A239" i="48"/>
  <c r="A238" i="48"/>
  <c r="A237" i="48"/>
  <c r="A236" i="48"/>
  <c r="A235" i="48"/>
  <c r="A234" i="48"/>
  <c r="A233" i="48"/>
  <c r="A232" i="48"/>
  <c r="A231" i="48"/>
  <c r="A230" i="48"/>
  <c r="A229" i="48"/>
  <c r="A228" i="48"/>
  <c r="A227" i="48"/>
  <c r="A226" i="48"/>
  <c r="A225" i="48"/>
  <c r="A224" i="48"/>
  <c r="A223" i="48"/>
  <c r="A222" i="48"/>
  <c r="A221" i="48"/>
  <c r="A220" i="48"/>
  <c r="A219" i="48"/>
  <c r="A218" i="48"/>
  <c r="A217" i="48"/>
  <c r="A216" i="48"/>
  <c r="A215" i="48"/>
  <c r="A214" i="48"/>
  <c r="A213" i="48"/>
  <c r="A212" i="48"/>
  <c r="A211" i="48"/>
  <c r="A210" i="48"/>
  <c r="A209" i="48"/>
  <c r="A208" i="48"/>
  <c r="A207" i="48"/>
  <c r="A206" i="48"/>
  <c r="A205" i="48"/>
  <c r="A204" i="48"/>
  <c r="A203" i="48"/>
  <c r="A202" i="48"/>
  <c r="A201" i="48"/>
  <c r="A200" i="48"/>
  <c r="A199" i="48"/>
  <c r="A198" i="48"/>
  <c r="A197" i="48"/>
  <c r="A196" i="48"/>
  <c r="A195" i="48"/>
  <c r="A194" i="48"/>
  <c r="A193" i="48"/>
  <c r="A192" i="48"/>
  <c r="A191" i="48"/>
  <c r="A190" i="48"/>
  <c r="A189" i="48"/>
  <c r="A188" i="48"/>
  <c r="A187" i="48"/>
  <c r="A186" i="48"/>
  <c r="A185" i="48"/>
  <c r="A184" i="48"/>
  <c r="A183" i="48"/>
  <c r="A182" i="48"/>
  <c r="A181" i="48"/>
  <c r="A180" i="48"/>
  <c r="A179" i="48"/>
  <c r="A178" i="48"/>
  <c r="A177" i="48"/>
  <c r="A176" i="48"/>
  <c r="A175" i="48"/>
  <c r="A174" i="48"/>
  <c r="A173" i="48"/>
  <c r="A172" i="48"/>
  <c r="A171" i="48"/>
  <c r="A170" i="48"/>
  <c r="A169" i="48"/>
  <c r="A168" i="48"/>
  <c r="A167" i="48"/>
  <c r="A166" i="48"/>
  <c r="A165" i="48"/>
  <c r="A164" i="48"/>
  <c r="A163" i="48"/>
  <c r="A162" i="48"/>
  <c r="A161" i="48"/>
  <c r="A160" i="48"/>
  <c r="A159" i="48"/>
  <c r="A158" i="48"/>
  <c r="A157" i="48"/>
  <c r="A156" i="48"/>
  <c r="A155" i="48"/>
  <c r="A154" i="48"/>
  <c r="A153" i="48"/>
  <c r="A152" i="48"/>
  <c r="A151" i="48"/>
  <c r="A150" i="48"/>
  <c r="A149" i="48"/>
  <c r="A148" i="48"/>
  <c r="A147" i="48"/>
  <c r="A146" i="48"/>
  <c r="A145" i="48"/>
  <c r="A144" i="48"/>
  <c r="A143" i="48"/>
  <c r="A142" i="48"/>
  <c r="A141" i="48"/>
  <c r="A140" i="48"/>
  <c r="A139" i="48"/>
  <c r="A138" i="48"/>
  <c r="A137" i="48"/>
  <c r="A136" i="48"/>
  <c r="A135" i="48"/>
  <c r="A134" i="48"/>
  <c r="A133" i="48"/>
  <c r="A132" i="48"/>
  <c r="A131" i="48"/>
  <c r="A130" i="48"/>
  <c r="A129" i="48"/>
  <c r="A128" i="48"/>
  <c r="A127" i="48"/>
  <c r="A126" i="48"/>
  <c r="A125" i="48"/>
  <c r="A124" i="48"/>
  <c r="A123" i="48"/>
  <c r="A122" i="48"/>
  <c r="A121" i="48"/>
  <c r="A120" i="48"/>
  <c r="A119" i="48"/>
  <c r="A118" i="48"/>
  <c r="A117" i="48"/>
  <c r="A116" i="48"/>
  <c r="A115" i="48"/>
  <c r="A114" i="48"/>
  <c r="B109" i="48"/>
  <c r="A109" i="48"/>
  <c r="B108" i="48"/>
  <c r="A108" i="48"/>
  <c r="B107" i="48"/>
  <c r="A107" i="48"/>
  <c r="B106" i="48"/>
  <c r="A106" i="48"/>
  <c r="B105" i="48"/>
  <c r="A105" i="48"/>
  <c r="B104" i="48"/>
  <c r="A104" i="48"/>
  <c r="B103" i="48"/>
  <c r="A103" i="48"/>
  <c r="B102" i="48"/>
  <c r="A102" i="48"/>
  <c r="B101" i="48"/>
  <c r="A101" i="48"/>
  <c r="B100" i="48"/>
  <c r="A100" i="48"/>
  <c r="B99" i="48"/>
  <c r="A99" i="48"/>
  <c r="B98" i="48"/>
  <c r="A98" i="48"/>
  <c r="B97" i="48"/>
  <c r="A97" i="48"/>
  <c r="B96" i="48"/>
  <c r="A96" i="48"/>
  <c r="B95" i="48"/>
  <c r="A95" i="48"/>
  <c r="B94" i="48"/>
  <c r="A94" i="48"/>
  <c r="B93" i="48"/>
  <c r="A93" i="48"/>
  <c r="B92" i="48"/>
  <c r="A92" i="48"/>
  <c r="B91" i="48"/>
  <c r="A91" i="48"/>
  <c r="B90" i="48"/>
  <c r="A90" i="48"/>
  <c r="B89" i="48"/>
  <c r="A89" i="48"/>
  <c r="B88" i="48"/>
  <c r="A88" i="48"/>
  <c r="B87" i="48"/>
  <c r="A87" i="48"/>
  <c r="B86" i="48"/>
  <c r="A86" i="48"/>
  <c r="B85" i="48"/>
  <c r="A85" i="48"/>
  <c r="B84" i="48"/>
  <c r="A84" i="48"/>
  <c r="B83" i="48"/>
  <c r="A83" i="48"/>
  <c r="B82" i="48"/>
  <c r="A82" i="48"/>
  <c r="B81" i="48"/>
  <c r="A81" i="48"/>
  <c r="B80" i="48"/>
  <c r="A80" i="48"/>
  <c r="B79" i="48"/>
  <c r="A79" i="48"/>
  <c r="B78" i="48"/>
  <c r="A78" i="48"/>
  <c r="B77" i="48"/>
  <c r="A77" i="48"/>
  <c r="B76" i="48"/>
  <c r="A76" i="48"/>
  <c r="B75" i="48"/>
  <c r="A75" i="48"/>
  <c r="B74" i="48"/>
  <c r="A74" i="48"/>
  <c r="B73" i="48"/>
  <c r="A73" i="48"/>
  <c r="B72" i="48"/>
  <c r="A72" i="48"/>
  <c r="B71" i="48"/>
  <c r="A71" i="48"/>
  <c r="B70" i="48"/>
  <c r="A70" i="48"/>
  <c r="B69" i="48"/>
  <c r="A69" i="48"/>
  <c r="B68" i="48"/>
  <c r="A68" i="48"/>
  <c r="B67" i="48"/>
  <c r="A67" i="48"/>
  <c r="B66" i="48"/>
  <c r="A66" i="48"/>
  <c r="B65" i="48"/>
  <c r="A65" i="48"/>
  <c r="B64" i="48"/>
  <c r="A64" i="48"/>
  <c r="B63" i="48"/>
  <c r="A63" i="48"/>
  <c r="B62" i="48"/>
  <c r="A62" i="48"/>
  <c r="B61" i="48"/>
  <c r="A61" i="48"/>
  <c r="B60" i="48"/>
  <c r="A60" i="48"/>
  <c r="B59" i="48"/>
  <c r="A59" i="48"/>
  <c r="B58" i="48"/>
  <c r="A58" i="48"/>
  <c r="B57" i="48"/>
  <c r="A57" i="48"/>
  <c r="B56" i="48"/>
  <c r="A56" i="48"/>
  <c r="B55" i="48"/>
  <c r="A55" i="48"/>
  <c r="B54" i="48"/>
  <c r="A54" i="48"/>
  <c r="B53" i="48"/>
  <c r="A53" i="48"/>
  <c r="B52" i="48"/>
  <c r="A52" i="48"/>
  <c r="B51" i="48"/>
  <c r="A51" i="48"/>
  <c r="B50" i="48"/>
  <c r="A50" i="48"/>
  <c r="B49" i="48"/>
  <c r="A49" i="48"/>
  <c r="B48" i="48"/>
  <c r="A48" i="48"/>
  <c r="B47" i="48"/>
  <c r="A47" i="48"/>
  <c r="B46" i="48"/>
  <c r="A46" i="48"/>
  <c r="B45" i="48"/>
  <c r="A45" i="48"/>
  <c r="B44" i="48"/>
  <c r="A44" i="48"/>
  <c r="B43" i="48"/>
  <c r="A43" i="48"/>
  <c r="B42" i="48"/>
  <c r="A42" i="48"/>
  <c r="B41" i="48"/>
  <c r="A41" i="48"/>
  <c r="B40" i="48"/>
  <c r="A40" i="48"/>
  <c r="B39" i="48"/>
  <c r="A39" i="48"/>
  <c r="B38" i="48"/>
  <c r="A38" i="48"/>
  <c r="H36" i="48"/>
  <c r="H112" i="48" s="1"/>
  <c r="G36" i="48"/>
  <c r="G112" i="48" s="1"/>
  <c r="F36" i="48"/>
  <c r="F112" i="48" s="1"/>
  <c r="E36" i="48"/>
  <c r="E112" i="48" s="1"/>
  <c r="D36" i="48"/>
  <c r="D112" i="48" s="1"/>
  <c r="C36" i="48"/>
  <c r="C112" i="48" s="1"/>
  <c r="A473" i="47"/>
  <c r="A472" i="47"/>
  <c r="A471" i="47"/>
  <c r="A470" i="47"/>
  <c r="A469" i="47"/>
  <c r="A468" i="47"/>
  <c r="A467" i="47"/>
  <c r="A466" i="47"/>
  <c r="A465" i="47"/>
  <c r="A464" i="47"/>
  <c r="A463" i="47"/>
  <c r="A462" i="47"/>
  <c r="A461" i="47"/>
  <c r="A460" i="47"/>
  <c r="A459" i="47"/>
  <c r="A458" i="47"/>
  <c r="A457" i="47"/>
  <c r="A456" i="47"/>
  <c r="A455" i="47"/>
  <c r="A454" i="47"/>
  <c r="A453" i="47"/>
  <c r="A452" i="47"/>
  <c r="A451" i="47"/>
  <c r="A450" i="47"/>
  <c r="A449" i="47"/>
  <c r="A448" i="47"/>
  <c r="A447" i="47"/>
  <c r="A446" i="47"/>
  <c r="A445" i="47"/>
  <c r="A444" i="47"/>
  <c r="A443" i="47"/>
  <c r="A442" i="47"/>
  <c r="A441" i="47"/>
  <c r="A440" i="47"/>
  <c r="A439" i="47"/>
  <c r="A438" i="47"/>
  <c r="A437" i="47"/>
  <c r="A436" i="47"/>
  <c r="A435" i="47"/>
  <c r="A434" i="47"/>
  <c r="A433" i="47"/>
  <c r="A432" i="47"/>
  <c r="A431" i="47"/>
  <c r="A430" i="47"/>
  <c r="A429" i="47"/>
  <c r="A428" i="47"/>
  <c r="A427" i="47"/>
  <c r="A426" i="47"/>
  <c r="A425" i="47"/>
  <c r="A424" i="47"/>
  <c r="A423" i="47"/>
  <c r="A422" i="47"/>
  <c r="A421" i="47"/>
  <c r="A420" i="47"/>
  <c r="A419" i="47"/>
  <c r="A418" i="47"/>
  <c r="A417" i="47"/>
  <c r="A416" i="47"/>
  <c r="A415" i="47"/>
  <c r="A414" i="47"/>
  <c r="A413" i="47"/>
  <c r="A412" i="47"/>
  <c r="A411" i="47"/>
  <c r="A410" i="47"/>
  <c r="A409" i="47"/>
  <c r="A408" i="47"/>
  <c r="A407" i="47"/>
  <c r="A406" i="47"/>
  <c r="A405" i="47"/>
  <c r="A404" i="47"/>
  <c r="A403" i="47"/>
  <c r="A402" i="47"/>
  <c r="A401" i="47"/>
  <c r="A400" i="47"/>
  <c r="A399" i="47"/>
  <c r="A398" i="47"/>
  <c r="A397" i="47"/>
  <c r="A396" i="47"/>
  <c r="A395" i="47"/>
  <c r="A394" i="47"/>
  <c r="A393" i="47"/>
  <c r="A392" i="47"/>
  <c r="A391" i="47"/>
  <c r="A390" i="47"/>
  <c r="A389" i="47"/>
  <c r="A388" i="47"/>
  <c r="A387" i="47"/>
  <c r="A386" i="47"/>
  <c r="A385" i="47"/>
  <c r="A384" i="47"/>
  <c r="A383" i="47"/>
  <c r="A382" i="47"/>
  <c r="A381" i="47"/>
  <c r="A380" i="47"/>
  <c r="A379" i="47"/>
  <c r="A378" i="47"/>
  <c r="A377" i="47"/>
  <c r="A376" i="47"/>
  <c r="A375" i="47"/>
  <c r="A374" i="47"/>
  <c r="A373" i="47"/>
  <c r="A372" i="47"/>
  <c r="A371" i="47"/>
  <c r="A370" i="47"/>
  <c r="A369" i="47"/>
  <c r="A368" i="47"/>
  <c r="A367" i="47"/>
  <c r="A366" i="47"/>
  <c r="A365" i="47"/>
  <c r="A364" i="47"/>
  <c r="A363" i="47"/>
  <c r="A362" i="47"/>
  <c r="A361" i="47"/>
  <c r="A360" i="47"/>
  <c r="A359" i="47"/>
  <c r="A358" i="47"/>
  <c r="A357" i="47"/>
  <c r="A356" i="47"/>
  <c r="A355" i="47"/>
  <c r="A354" i="47"/>
  <c r="A353" i="47"/>
  <c r="A352" i="47"/>
  <c r="A351" i="47"/>
  <c r="A350" i="47"/>
  <c r="A349" i="47"/>
  <c r="A348" i="47"/>
  <c r="A347" i="47"/>
  <c r="A346" i="47"/>
  <c r="A345" i="47"/>
  <c r="A344" i="47"/>
  <c r="A343" i="47"/>
  <c r="A342" i="47"/>
  <c r="A341" i="47"/>
  <c r="A340" i="47"/>
  <c r="A339" i="47"/>
  <c r="A338" i="47"/>
  <c r="A337" i="47"/>
  <c r="A336" i="47"/>
  <c r="A335" i="47"/>
  <c r="A334" i="47"/>
  <c r="A333" i="47"/>
  <c r="A332" i="47"/>
  <c r="A331" i="47"/>
  <c r="A330" i="47"/>
  <c r="A329" i="47"/>
  <c r="A328" i="47"/>
  <c r="A327" i="47"/>
  <c r="A326" i="47"/>
  <c r="A325" i="47"/>
  <c r="A324" i="47"/>
  <c r="A323" i="47"/>
  <c r="A322" i="47"/>
  <c r="A321" i="47"/>
  <c r="A320" i="47"/>
  <c r="A319" i="47"/>
  <c r="A318" i="47"/>
  <c r="A317" i="47"/>
  <c r="A316" i="47"/>
  <c r="A315" i="47"/>
  <c r="A314" i="47"/>
  <c r="A313" i="47"/>
  <c r="A312" i="47"/>
  <c r="A311" i="47"/>
  <c r="A310" i="47"/>
  <c r="A309" i="47"/>
  <c r="A308" i="47"/>
  <c r="A307" i="47"/>
  <c r="A306" i="47"/>
  <c r="A305" i="47"/>
  <c r="A304" i="47"/>
  <c r="A303" i="47"/>
  <c r="A302" i="47"/>
  <c r="A301" i="47"/>
  <c r="A300" i="47"/>
  <c r="A299" i="47"/>
  <c r="A298" i="47"/>
  <c r="A297" i="47"/>
  <c r="A296" i="47"/>
  <c r="A295" i="47"/>
  <c r="A294" i="47"/>
  <c r="A293" i="47"/>
  <c r="A292" i="47"/>
  <c r="A291" i="47"/>
  <c r="A290" i="47"/>
  <c r="A289" i="47"/>
  <c r="A288" i="47"/>
  <c r="A287" i="47"/>
  <c r="A286" i="47"/>
  <c r="A285" i="47"/>
  <c r="A284" i="47"/>
  <c r="A283" i="47"/>
  <c r="A282" i="47"/>
  <c r="A281" i="47"/>
  <c r="A280" i="47"/>
  <c r="A279" i="47"/>
  <c r="A278" i="47"/>
  <c r="A277" i="47"/>
  <c r="A276" i="47"/>
  <c r="A275" i="47"/>
  <c r="A274" i="47"/>
  <c r="A273" i="47"/>
  <c r="A272" i="47"/>
  <c r="A271" i="47"/>
  <c r="A270" i="47"/>
  <c r="A269" i="47"/>
  <c r="A268" i="47"/>
  <c r="A267" i="47"/>
  <c r="A266" i="47"/>
  <c r="A265" i="47"/>
  <c r="A264" i="47"/>
  <c r="A263" i="47"/>
  <c r="A262" i="47"/>
  <c r="A261" i="47"/>
  <c r="A260" i="47"/>
  <c r="A259" i="47"/>
  <c r="A258" i="47"/>
  <c r="A257" i="47"/>
  <c r="A256" i="47"/>
  <c r="A255" i="47"/>
  <c r="A254" i="47"/>
  <c r="A253" i="47"/>
  <c r="A252" i="47"/>
  <c r="A251" i="47"/>
  <c r="A250" i="47"/>
  <c r="A249" i="47"/>
  <c r="A248" i="47"/>
  <c r="A247" i="47"/>
  <c r="A246" i="47"/>
  <c r="A245" i="47"/>
  <c r="A244" i="47"/>
  <c r="A243" i="47"/>
  <c r="A242" i="47"/>
  <c r="A241" i="47"/>
  <c r="A240" i="47"/>
  <c r="A239" i="47"/>
  <c r="A238" i="47"/>
  <c r="A237" i="47"/>
  <c r="A236" i="47"/>
  <c r="A235" i="47"/>
  <c r="A234" i="47"/>
  <c r="A233" i="47"/>
  <c r="A232" i="47"/>
  <c r="A231" i="47"/>
  <c r="A230" i="47"/>
  <c r="A229" i="47"/>
  <c r="A228" i="47"/>
  <c r="A227" i="47"/>
  <c r="A226" i="47"/>
  <c r="A225" i="47"/>
  <c r="A224" i="47"/>
  <c r="A223" i="47"/>
  <c r="A222" i="47"/>
  <c r="A221" i="47"/>
  <c r="A220" i="47"/>
  <c r="A219" i="47"/>
  <c r="A218" i="47"/>
  <c r="A217" i="47"/>
  <c r="A216" i="47"/>
  <c r="A215" i="47"/>
  <c r="A214" i="47"/>
  <c r="A213" i="47"/>
  <c r="A212" i="47"/>
  <c r="A211" i="47"/>
  <c r="A210" i="47"/>
  <c r="A209" i="47"/>
  <c r="A208" i="47"/>
  <c r="A207" i="47"/>
  <c r="A206" i="47"/>
  <c r="A205" i="47"/>
  <c r="A204" i="47"/>
  <c r="A203" i="47"/>
  <c r="A202" i="47"/>
  <c r="A201" i="47"/>
  <c r="A200" i="47"/>
  <c r="A199" i="47"/>
  <c r="A198" i="47"/>
  <c r="A197" i="47"/>
  <c r="A196" i="47"/>
  <c r="A195" i="47"/>
  <c r="A194" i="47"/>
  <c r="A193" i="47"/>
  <c r="A192" i="47"/>
  <c r="A191" i="47"/>
  <c r="A190" i="47"/>
  <c r="A189" i="47"/>
  <c r="A188" i="47"/>
  <c r="A187" i="47"/>
  <c r="A186" i="47"/>
  <c r="A185" i="47"/>
  <c r="A184" i="47"/>
  <c r="A183" i="47"/>
  <c r="A182" i="47"/>
  <c r="A181" i="47"/>
  <c r="A180" i="47"/>
  <c r="A179" i="47"/>
  <c r="A178" i="47"/>
  <c r="A177" i="47"/>
  <c r="A176" i="47"/>
  <c r="A175" i="47"/>
  <c r="A174" i="47"/>
  <c r="A173" i="47"/>
  <c r="A172" i="47"/>
  <c r="A171" i="47"/>
  <c r="A170" i="47"/>
  <c r="A169" i="47"/>
  <c r="A168" i="47"/>
  <c r="A167" i="47"/>
  <c r="A166" i="47"/>
  <c r="A165" i="47"/>
  <c r="A164" i="47"/>
  <c r="A163" i="47"/>
  <c r="A162" i="47"/>
  <c r="A161" i="47"/>
  <c r="A160" i="47"/>
  <c r="A159" i="47"/>
  <c r="A158" i="47"/>
  <c r="A157" i="47"/>
  <c r="A156" i="47"/>
  <c r="A155" i="47"/>
  <c r="A154" i="47"/>
  <c r="A153" i="47"/>
  <c r="A152" i="47"/>
  <c r="A151" i="47"/>
  <c r="A150" i="47"/>
  <c r="A149" i="47"/>
  <c r="A148" i="47"/>
  <c r="A147" i="47"/>
  <c r="A146" i="47"/>
  <c r="A145" i="47"/>
  <c r="A144" i="47"/>
  <c r="A143" i="47"/>
  <c r="A142" i="47"/>
  <c r="A141" i="47"/>
  <c r="A140" i="47"/>
  <c r="A139" i="47"/>
  <c r="A138" i="47"/>
  <c r="A137" i="47"/>
  <c r="A136" i="47"/>
  <c r="A135" i="47"/>
  <c r="A134" i="47"/>
  <c r="A133" i="47"/>
  <c r="A132" i="47"/>
  <c r="A131" i="47"/>
  <c r="A130" i="47"/>
  <c r="A129" i="47"/>
  <c r="A128" i="47"/>
  <c r="A127" i="47"/>
  <c r="A126" i="47"/>
  <c r="A125" i="47"/>
  <c r="A124" i="47"/>
  <c r="A123" i="47"/>
  <c r="A122" i="47"/>
  <c r="A121" i="47"/>
  <c r="A120" i="47"/>
  <c r="A119" i="47"/>
  <c r="A118" i="47"/>
  <c r="A117" i="47"/>
  <c r="A116" i="47"/>
  <c r="A115" i="47"/>
  <c r="A114" i="47"/>
  <c r="B109" i="47"/>
  <c r="A109" i="47"/>
  <c r="B108" i="47"/>
  <c r="A108" i="47"/>
  <c r="B107" i="47"/>
  <c r="A107" i="47"/>
  <c r="B106" i="47"/>
  <c r="A106" i="47"/>
  <c r="B105" i="47"/>
  <c r="A105" i="47"/>
  <c r="B104" i="47"/>
  <c r="A104" i="47"/>
  <c r="B103" i="47"/>
  <c r="A103" i="47"/>
  <c r="B102" i="47"/>
  <c r="A102" i="47"/>
  <c r="B101" i="47"/>
  <c r="A101" i="47"/>
  <c r="B100" i="47"/>
  <c r="A100" i="47"/>
  <c r="B99" i="47"/>
  <c r="A99" i="47"/>
  <c r="B98" i="47"/>
  <c r="A98" i="47"/>
  <c r="B97" i="47"/>
  <c r="A97" i="47"/>
  <c r="B96" i="47"/>
  <c r="A96" i="47"/>
  <c r="B95" i="47"/>
  <c r="A95" i="47"/>
  <c r="B94" i="47"/>
  <c r="A94" i="47"/>
  <c r="B93" i="47"/>
  <c r="A93" i="47"/>
  <c r="B92" i="47"/>
  <c r="A92" i="47"/>
  <c r="B91" i="47"/>
  <c r="A91" i="47"/>
  <c r="B90" i="47"/>
  <c r="A90" i="47"/>
  <c r="B89" i="47"/>
  <c r="A89" i="47"/>
  <c r="B88" i="47"/>
  <c r="A88" i="47"/>
  <c r="B87" i="47"/>
  <c r="A87" i="47"/>
  <c r="B86" i="47"/>
  <c r="A86" i="47"/>
  <c r="B85" i="47"/>
  <c r="A85" i="47"/>
  <c r="B84" i="47"/>
  <c r="A84" i="47"/>
  <c r="B83" i="47"/>
  <c r="A83" i="47"/>
  <c r="B82" i="47"/>
  <c r="A82" i="47"/>
  <c r="B81" i="47"/>
  <c r="A81" i="47"/>
  <c r="B80" i="47"/>
  <c r="A80" i="47"/>
  <c r="B79" i="47"/>
  <c r="A79" i="47"/>
  <c r="B78" i="47"/>
  <c r="A78" i="47"/>
  <c r="B77" i="47"/>
  <c r="A77" i="47"/>
  <c r="B76" i="47"/>
  <c r="A76" i="47"/>
  <c r="B75" i="47"/>
  <c r="A75" i="47"/>
  <c r="B74" i="47"/>
  <c r="A74" i="47"/>
  <c r="B73" i="47"/>
  <c r="A73" i="47"/>
  <c r="B72" i="47"/>
  <c r="A72" i="47"/>
  <c r="B71" i="47"/>
  <c r="A71" i="47"/>
  <c r="B70" i="47"/>
  <c r="A70" i="47"/>
  <c r="B69" i="47"/>
  <c r="A69" i="47"/>
  <c r="B68" i="47"/>
  <c r="A68" i="47"/>
  <c r="B67" i="47"/>
  <c r="A67" i="47"/>
  <c r="B66" i="47"/>
  <c r="A66" i="47"/>
  <c r="B65" i="47"/>
  <c r="A65" i="47"/>
  <c r="B64" i="47"/>
  <c r="A64" i="47"/>
  <c r="B63" i="47"/>
  <c r="A63" i="47"/>
  <c r="B62" i="47"/>
  <c r="A62" i="47"/>
  <c r="B61" i="47"/>
  <c r="A61" i="47"/>
  <c r="B60" i="47"/>
  <c r="A60" i="47"/>
  <c r="B59" i="47"/>
  <c r="A59" i="47"/>
  <c r="B58" i="47"/>
  <c r="A58" i="47"/>
  <c r="B57" i="47"/>
  <c r="A57" i="47"/>
  <c r="B56" i="47"/>
  <c r="A56" i="47"/>
  <c r="B55" i="47"/>
  <c r="A55" i="47"/>
  <c r="B54" i="47"/>
  <c r="A54" i="47"/>
  <c r="B53" i="47"/>
  <c r="A53" i="47"/>
  <c r="B52" i="47"/>
  <c r="A52" i="47"/>
  <c r="B51" i="47"/>
  <c r="A51" i="47"/>
  <c r="B50" i="47"/>
  <c r="A50" i="47"/>
  <c r="B49" i="47"/>
  <c r="A49" i="47"/>
  <c r="B48" i="47"/>
  <c r="A48" i="47"/>
  <c r="B47" i="47"/>
  <c r="A47" i="47"/>
  <c r="B46" i="47"/>
  <c r="A46" i="47"/>
  <c r="B45" i="47"/>
  <c r="A45" i="47"/>
  <c r="B44" i="47"/>
  <c r="A44" i="47"/>
  <c r="B43" i="47"/>
  <c r="A43" i="47"/>
  <c r="B42" i="47"/>
  <c r="A42" i="47"/>
  <c r="B41" i="47"/>
  <c r="A41" i="47"/>
  <c r="B40" i="47"/>
  <c r="A40" i="47"/>
  <c r="B39" i="47"/>
  <c r="A39" i="47"/>
  <c r="B38" i="47"/>
  <c r="A38" i="47"/>
  <c r="H36" i="47"/>
  <c r="H112" i="47" s="1"/>
  <c r="G36" i="47"/>
  <c r="G112" i="47" s="1"/>
  <c r="F36" i="47"/>
  <c r="F112" i="47" s="1"/>
  <c r="E36" i="47"/>
  <c r="E112" i="47" s="1"/>
  <c r="D36" i="47"/>
  <c r="D112" i="47" s="1"/>
  <c r="C36" i="47"/>
  <c r="C112" i="47" s="1"/>
  <c r="A473" i="46"/>
  <c r="A472" i="46"/>
  <c r="A471" i="46"/>
  <c r="A470" i="46"/>
  <c r="A469" i="46"/>
  <c r="A468" i="46"/>
  <c r="A467" i="46"/>
  <c r="A466" i="46"/>
  <c r="A465" i="46"/>
  <c r="A464" i="46"/>
  <c r="A463" i="46"/>
  <c r="A462" i="46"/>
  <c r="A461" i="46"/>
  <c r="A460" i="46"/>
  <c r="A459" i="46"/>
  <c r="A458" i="46"/>
  <c r="A457" i="46"/>
  <c r="A456" i="46"/>
  <c r="A455" i="46"/>
  <c r="A454" i="46"/>
  <c r="A453" i="46"/>
  <c r="A452" i="46"/>
  <c r="A451" i="46"/>
  <c r="A450" i="46"/>
  <c r="A449" i="46"/>
  <c r="A448" i="46"/>
  <c r="A447" i="46"/>
  <c r="A446" i="46"/>
  <c r="A445" i="46"/>
  <c r="A444" i="46"/>
  <c r="A443" i="46"/>
  <c r="A442" i="46"/>
  <c r="A441" i="46"/>
  <c r="A440" i="46"/>
  <c r="A439" i="46"/>
  <c r="A438" i="46"/>
  <c r="A437" i="46"/>
  <c r="A436" i="46"/>
  <c r="A435" i="46"/>
  <c r="A434" i="46"/>
  <c r="A433" i="46"/>
  <c r="A432" i="46"/>
  <c r="A431" i="46"/>
  <c r="A430" i="46"/>
  <c r="A429" i="46"/>
  <c r="A428" i="46"/>
  <c r="A427" i="46"/>
  <c r="A426" i="46"/>
  <c r="A425" i="46"/>
  <c r="A424" i="46"/>
  <c r="A423" i="46"/>
  <c r="A422" i="46"/>
  <c r="A421" i="46"/>
  <c r="A420" i="46"/>
  <c r="A419" i="46"/>
  <c r="A418" i="46"/>
  <c r="A417" i="46"/>
  <c r="A416" i="46"/>
  <c r="A415" i="46"/>
  <c r="A414" i="46"/>
  <c r="A413" i="46"/>
  <c r="A412" i="46"/>
  <c r="A411" i="46"/>
  <c r="A410" i="46"/>
  <c r="A409" i="46"/>
  <c r="A408" i="46"/>
  <c r="A407" i="46"/>
  <c r="A406" i="46"/>
  <c r="A405" i="46"/>
  <c r="A404" i="46"/>
  <c r="A403" i="46"/>
  <c r="A402" i="46"/>
  <c r="A401" i="46"/>
  <c r="A400" i="46"/>
  <c r="A399" i="46"/>
  <c r="A398" i="46"/>
  <c r="A397" i="46"/>
  <c r="A396" i="46"/>
  <c r="A395" i="46"/>
  <c r="A394" i="46"/>
  <c r="A393" i="46"/>
  <c r="A392" i="46"/>
  <c r="A391" i="46"/>
  <c r="A390" i="46"/>
  <c r="A389" i="46"/>
  <c r="A388" i="46"/>
  <c r="A387" i="46"/>
  <c r="A386" i="46"/>
  <c r="A385" i="46"/>
  <c r="A384" i="46"/>
  <c r="A383" i="46"/>
  <c r="A382" i="46"/>
  <c r="A381" i="46"/>
  <c r="A380" i="46"/>
  <c r="A379" i="46"/>
  <c r="A378" i="46"/>
  <c r="A377" i="46"/>
  <c r="A376" i="46"/>
  <c r="A375" i="46"/>
  <c r="A374" i="46"/>
  <c r="A373" i="46"/>
  <c r="A372" i="46"/>
  <c r="A371" i="46"/>
  <c r="A370" i="46"/>
  <c r="A369" i="46"/>
  <c r="A368" i="46"/>
  <c r="A367" i="46"/>
  <c r="A366" i="46"/>
  <c r="A365" i="46"/>
  <c r="A364" i="46"/>
  <c r="A363" i="46"/>
  <c r="A362" i="46"/>
  <c r="A361" i="46"/>
  <c r="A360" i="46"/>
  <c r="A359" i="46"/>
  <c r="A358" i="46"/>
  <c r="A357" i="46"/>
  <c r="A356" i="46"/>
  <c r="A355" i="46"/>
  <c r="A354" i="46"/>
  <c r="A353" i="46"/>
  <c r="A352" i="46"/>
  <c r="A351" i="46"/>
  <c r="A350" i="46"/>
  <c r="A349" i="46"/>
  <c r="A348" i="46"/>
  <c r="A347" i="46"/>
  <c r="A346" i="46"/>
  <c r="A345" i="46"/>
  <c r="A344" i="46"/>
  <c r="A343" i="46"/>
  <c r="A342" i="46"/>
  <c r="A341" i="46"/>
  <c r="A340" i="46"/>
  <c r="A339" i="46"/>
  <c r="A338" i="46"/>
  <c r="A337" i="46"/>
  <c r="A336" i="46"/>
  <c r="A335" i="46"/>
  <c r="A334" i="46"/>
  <c r="A333" i="46"/>
  <c r="A332" i="46"/>
  <c r="A331" i="46"/>
  <c r="A330" i="46"/>
  <c r="A329" i="46"/>
  <c r="A328" i="46"/>
  <c r="A327" i="46"/>
  <c r="A326" i="46"/>
  <c r="A325" i="46"/>
  <c r="A324" i="46"/>
  <c r="A323" i="46"/>
  <c r="A322" i="46"/>
  <c r="A321" i="46"/>
  <c r="A320" i="46"/>
  <c r="A319" i="46"/>
  <c r="A318" i="46"/>
  <c r="A317" i="46"/>
  <c r="A316" i="46"/>
  <c r="A315" i="46"/>
  <c r="A314" i="46"/>
  <c r="A313" i="46"/>
  <c r="A312" i="46"/>
  <c r="A311" i="46"/>
  <c r="A310" i="46"/>
  <c r="A309" i="46"/>
  <c r="A308" i="46"/>
  <c r="A307" i="46"/>
  <c r="A306" i="46"/>
  <c r="A305" i="46"/>
  <c r="A304" i="46"/>
  <c r="A303" i="46"/>
  <c r="A302" i="46"/>
  <c r="A301" i="46"/>
  <c r="A300" i="46"/>
  <c r="A299" i="46"/>
  <c r="A298" i="46"/>
  <c r="A297" i="46"/>
  <c r="A296" i="46"/>
  <c r="A295" i="46"/>
  <c r="A294" i="46"/>
  <c r="A293" i="46"/>
  <c r="A292" i="46"/>
  <c r="A291" i="46"/>
  <c r="A290" i="46"/>
  <c r="A289" i="46"/>
  <c r="A288" i="46"/>
  <c r="A287" i="46"/>
  <c r="A286" i="46"/>
  <c r="A285" i="46"/>
  <c r="A284" i="46"/>
  <c r="A283" i="46"/>
  <c r="A282" i="46"/>
  <c r="A281" i="46"/>
  <c r="A280" i="46"/>
  <c r="A279" i="46"/>
  <c r="A278" i="46"/>
  <c r="A277" i="46"/>
  <c r="A276" i="46"/>
  <c r="A275" i="46"/>
  <c r="A274" i="46"/>
  <c r="A273" i="46"/>
  <c r="A272" i="46"/>
  <c r="A271" i="46"/>
  <c r="A270" i="46"/>
  <c r="A269" i="46"/>
  <c r="A268" i="46"/>
  <c r="A267" i="46"/>
  <c r="A266" i="46"/>
  <c r="A265" i="46"/>
  <c r="A264" i="46"/>
  <c r="A263" i="46"/>
  <c r="A262" i="46"/>
  <c r="A261" i="46"/>
  <c r="A260" i="46"/>
  <c r="A259" i="46"/>
  <c r="A258" i="46"/>
  <c r="A257" i="46"/>
  <c r="A256" i="46"/>
  <c r="A255" i="46"/>
  <c r="A254" i="46"/>
  <c r="A253" i="46"/>
  <c r="A252" i="46"/>
  <c r="A251" i="46"/>
  <c r="A250" i="46"/>
  <c r="A249" i="46"/>
  <c r="A248" i="46"/>
  <c r="A247" i="46"/>
  <c r="A246" i="46"/>
  <c r="A245" i="46"/>
  <c r="A244" i="46"/>
  <c r="A243" i="46"/>
  <c r="A242" i="46"/>
  <c r="A241" i="46"/>
  <c r="A240" i="46"/>
  <c r="A239" i="46"/>
  <c r="A238" i="46"/>
  <c r="A237" i="46"/>
  <c r="A236" i="46"/>
  <c r="A235" i="46"/>
  <c r="A234" i="46"/>
  <c r="A233" i="46"/>
  <c r="A232" i="46"/>
  <c r="A231" i="46"/>
  <c r="A230" i="46"/>
  <c r="A229" i="46"/>
  <c r="A228" i="46"/>
  <c r="A227" i="46"/>
  <c r="A226" i="46"/>
  <c r="A225" i="46"/>
  <c r="A224" i="46"/>
  <c r="A223" i="46"/>
  <c r="A222" i="46"/>
  <c r="A221" i="46"/>
  <c r="A220" i="46"/>
  <c r="A219" i="46"/>
  <c r="A218" i="46"/>
  <c r="A217" i="46"/>
  <c r="A216" i="46"/>
  <c r="A215" i="46"/>
  <c r="A214" i="46"/>
  <c r="A213" i="46"/>
  <c r="A212" i="46"/>
  <c r="A211" i="46"/>
  <c r="A210" i="46"/>
  <c r="A209" i="46"/>
  <c r="A208" i="46"/>
  <c r="A207" i="46"/>
  <c r="A206" i="46"/>
  <c r="A205" i="46"/>
  <c r="A204" i="46"/>
  <c r="A203" i="46"/>
  <c r="A202" i="46"/>
  <c r="A201" i="46"/>
  <c r="A200" i="46"/>
  <c r="A199" i="46"/>
  <c r="A198" i="46"/>
  <c r="A197" i="46"/>
  <c r="A196" i="46"/>
  <c r="A195" i="46"/>
  <c r="A194" i="46"/>
  <c r="A193" i="46"/>
  <c r="A192" i="46"/>
  <c r="A191" i="46"/>
  <c r="A190" i="46"/>
  <c r="A189" i="46"/>
  <c r="A188" i="46"/>
  <c r="A187" i="46"/>
  <c r="A186" i="46"/>
  <c r="A185" i="46"/>
  <c r="A184" i="46"/>
  <c r="A183" i="46"/>
  <c r="A182" i="46"/>
  <c r="A181" i="46"/>
  <c r="A180" i="46"/>
  <c r="A179" i="46"/>
  <c r="A178" i="46"/>
  <c r="A177" i="46"/>
  <c r="A176" i="46"/>
  <c r="A175" i="46"/>
  <c r="A174" i="46"/>
  <c r="A173" i="46"/>
  <c r="A172" i="46"/>
  <c r="A171" i="46"/>
  <c r="A170" i="46"/>
  <c r="A169" i="46"/>
  <c r="A168" i="46"/>
  <c r="A167" i="46"/>
  <c r="A166" i="46"/>
  <c r="A165" i="46"/>
  <c r="A164" i="46"/>
  <c r="A163" i="46"/>
  <c r="A162" i="46"/>
  <c r="A161" i="46"/>
  <c r="A160" i="46"/>
  <c r="A159" i="46"/>
  <c r="A158" i="46"/>
  <c r="A157" i="46"/>
  <c r="A156" i="46"/>
  <c r="A155" i="46"/>
  <c r="A154" i="46"/>
  <c r="A153" i="46"/>
  <c r="A152" i="46"/>
  <c r="A151" i="46"/>
  <c r="A150" i="46"/>
  <c r="A149" i="46"/>
  <c r="A148" i="46"/>
  <c r="A147" i="46"/>
  <c r="A146" i="46"/>
  <c r="A145" i="46"/>
  <c r="A144" i="46"/>
  <c r="A143" i="46"/>
  <c r="A142" i="46"/>
  <c r="A141" i="46"/>
  <c r="A140" i="46"/>
  <c r="A139" i="46"/>
  <c r="A138" i="46"/>
  <c r="A137" i="46"/>
  <c r="A136" i="46"/>
  <c r="A135" i="46"/>
  <c r="A134" i="46"/>
  <c r="A133" i="46"/>
  <c r="A132" i="46"/>
  <c r="A131" i="46"/>
  <c r="A130" i="46"/>
  <c r="A129" i="46"/>
  <c r="A128" i="46"/>
  <c r="A127" i="46"/>
  <c r="A126" i="46"/>
  <c r="A125" i="46"/>
  <c r="A124" i="46"/>
  <c r="A123" i="46"/>
  <c r="A122" i="46"/>
  <c r="A121" i="46"/>
  <c r="A120" i="46"/>
  <c r="A119" i="46"/>
  <c r="A118" i="46"/>
  <c r="A117" i="46"/>
  <c r="A116" i="46"/>
  <c r="A115" i="46"/>
  <c r="A114" i="46"/>
  <c r="B109" i="46"/>
  <c r="A109" i="46"/>
  <c r="B108" i="46"/>
  <c r="A108" i="46"/>
  <c r="B107" i="46"/>
  <c r="A107" i="46"/>
  <c r="B106" i="46"/>
  <c r="A106" i="46"/>
  <c r="B105" i="46"/>
  <c r="A105" i="46"/>
  <c r="B104" i="46"/>
  <c r="A104" i="46"/>
  <c r="B103" i="46"/>
  <c r="A103" i="46"/>
  <c r="B102" i="46"/>
  <c r="A102" i="46"/>
  <c r="B101" i="46"/>
  <c r="A101" i="46"/>
  <c r="B100" i="46"/>
  <c r="A100" i="46"/>
  <c r="B99" i="46"/>
  <c r="A99" i="46"/>
  <c r="B98" i="46"/>
  <c r="A98" i="46"/>
  <c r="B97" i="46"/>
  <c r="A97" i="46"/>
  <c r="B96" i="46"/>
  <c r="A96" i="46"/>
  <c r="B95" i="46"/>
  <c r="A95" i="46"/>
  <c r="B94" i="46"/>
  <c r="A94" i="46"/>
  <c r="B93" i="46"/>
  <c r="A93" i="46"/>
  <c r="B92" i="46"/>
  <c r="A92" i="46"/>
  <c r="B91" i="46"/>
  <c r="A91" i="46"/>
  <c r="B90" i="46"/>
  <c r="A90" i="46"/>
  <c r="B89" i="46"/>
  <c r="A89" i="46"/>
  <c r="B88" i="46"/>
  <c r="A88" i="46"/>
  <c r="B87" i="46"/>
  <c r="A87" i="46"/>
  <c r="B86" i="46"/>
  <c r="A86" i="46"/>
  <c r="B85" i="46"/>
  <c r="A85" i="46"/>
  <c r="B84" i="46"/>
  <c r="A84" i="46"/>
  <c r="B83" i="46"/>
  <c r="A83" i="46"/>
  <c r="B82" i="46"/>
  <c r="A82" i="46"/>
  <c r="B81" i="46"/>
  <c r="A81" i="46"/>
  <c r="B80" i="46"/>
  <c r="A80" i="46"/>
  <c r="B79" i="46"/>
  <c r="A79" i="46"/>
  <c r="B78" i="46"/>
  <c r="A78" i="46"/>
  <c r="B77" i="46"/>
  <c r="A77" i="46"/>
  <c r="B76" i="46"/>
  <c r="A76" i="46"/>
  <c r="B75" i="46"/>
  <c r="A75" i="46"/>
  <c r="B74" i="46"/>
  <c r="A74" i="46"/>
  <c r="B73" i="46"/>
  <c r="A73" i="46"/>
  <c r="B72" i="46"/>
  <c r="A72" i="46"/>
  <c r="B71" i="46"/>
  <c r="A71" i="46"/>
  <c r="B70" i="46"/>
  <c r="A70" i="46"/>
  <c r="B69" i="46"/>
  <c r="A69" i="46"/>
  <c r="B68" i="46"/>
  <c r="A68" i="46"/>
  <c r="B67" i="46"/>
  <c r="A67" i="46"/>
  <c r="B66" i="46"/>
  <c r="A66" i="46"/>
  <c r="B65" i="46"/>
  <c r="A65" i="46"/>
  <c r="B64" i="46"/>
  <c r="A64" i="46"/>
  <c r="B63" i="46"/>
  <c r="A63" i="46"/>
  <c r="B62" i="46"/>
  <c r="A62" i="46"/>
  <c r="B61" i="46"/>
  <c r="A61" i="46"/>
  <c r="B60" i="46"/>
  <c r="A60" i="46"/>
  <c r="B59" i="46"/>
  <c r="A59" i="46"/>
  <c r="B58" i="46"/>
  <c r="A58" i="46"/>
  <c r="B57" i="46"/>
  <c r="A57" i="46"/>
  <c r="B56" i="46"/>
  <c r="A56" i="46"/>
  <c r="B55" i="46"/>
  <c r="A55" i="46"/>
  <c r="B54" i="46"/>
  <c r="A54" i="46"/>
  <c r="B53" i="46"/>
  <c r="A53" i="46"/>
  <c r="B52" i="46"/>
  <c r="A52" i="46"/>
  <c r="B51" i="46"/>
  <c r="A51" i="46"/>
  <c r="B50" i="46"/>
  <c r="A50" i="46"/>
  <c r="B49" i="46"/>
  <c r="A49" i="46"/>
  <c r="B48" i="46"/>
  <c r="A48" i="46"/>
  <c r="B47" i="46"/>
  <c r="A47" i="46"/>
  <c r="B46" i="46"/>
  <c r="A46" i="46"/>
  <c r="B45" i="46"/>
  <c r="A45" i="46"/>
  <c r="B44" i="46"/>
  <c r="A44" i="46"/>
  <c r="B43" i="46"/>
  <c r="A43" i="46"/>
  <c r="B42" i="46"/>
  <c r="A42" i="46"/>
  <c r="B41" i="46"/>
  <c r="A41" i="46"/>
  <c r="B40" i="46"/>
  <c r="A40" i="46"/>
  <c r="B39" i="46"/>
  <c r="A39" i="46"/>
  <c r="B38" i="46"/>
  <c r="A38" i="46"/>
  <c r="H36" i="46"/>
  <c r="H112" i="46" s="1"/>
  <c r="G36" i="46"/>
  <c r="G112" i="46" s="1"/>
  <c r="F36" i="46"/>
  <c r="F112" i="46" s="1"/>
  <c r="E36" i="46"/>
  <c r="E112" i="46" s="1"/>
  <c r="D36" i="46"/>
  <c r="D112" i="46" s="1"/>
  <c r="C36" i="46"/>
  <c r="C112" i="46" s="1"/>
  <c r="A473" i="45"/>
  <c r="A472" i="45"/>
  <c r="A471" i="45"/>
  <c r="A470" i="45"/>
  <c r="A469" i="45"/>
  <c r="A468" i="45"/>
  <c r="A467" i="45"/>
  <c r="A466" i="45"/>
  <c r="A465" i="45"/>
  <c r="A464" i="45"/>
  <c r="A463" i="45"/>
  <c r="A462" i="45"/>
  <c r="A461" i="45"/>
  <c r="A460" i="45"/>
  <c r="A459" i="45"/>
  <c r="A458" i="45"/>
  <c r="A457" i="45"/>
  <c r="A456" i="45"/>
  <c r="A455" i="45"/>
  <c r="A454" i="45"/>
  <c r="A453" i="45"/>
  <c r="A452" i="45"/>
  <c r="A451" i="45"/>
  <c r="A450" i="45"/>
  <c r="A449" i="45"/>
  <c r="A448" i="45"/>
  <c r="A447" i="45"/>
  <c r="A446" i="45"/>
  <c r="A445" i="45"/>
  <c r="A444" i="45"/>
  <c r="A443" i="45"/>
  <c r="A442" i="45"/>
  <c r="A441" i="45"/>
  <c r="A440" i="45"/>
  <c r="A439" i="45"/>
  <c r="A438" i="45"/>
  <c r="A437" i="45"/>
  <c r="A436" i="45"/>
  <c r="A435" i="45"/>
  <c r="A434" i="45"/>
  <c r="A433" i="45"/>
  <c r="A432" i="45"/>
  <c r="A431" i="45"/>
  <c r="A430" i="45"/>
  <c r="A429" i="45"/>
  <c r="A428" i="45"/>
  <c r="A427" i="45"/>
  <c r="A426" i="45"/>
  <c r="A425" i="45"/>
  <c r="A424" i="45"/>
  <c r="A423" i="45"/>
  <c r="A422" i="45"/>
  <c r="A421" i="45"/>
  <c r="A420" i="45"/>
  <c r="A419" i="45"/>
  <c r="A418" i="45"/>
  <c r="A417" i="45"/>
  <c r="A416" i="45"/>
  <c r="A415" i="45"/>
  <c r="A414" i="45"/>
  <c r="A413" i="45"/>
  <c r="A412" i="45"/>
  <c r="A411" i="45"/>
  <c r="A410" i="45"/>
  <c r="A409" i="45"/>
  <c r="A408" i="45"/>
  <c r="A407" i="45"/>
  <c r="A406" i="45"/>
  <c r="A405" i="45"/>
  <c r="A404" i="45"/>
  <c r="A403" i="45"/>
  <c r="A402" i="45"/>
  <c r="A401" i="45"/>
  <c r="A400" i="45"/>
  <c r="A399" i="45"/>
  <c r="A398" i="45"/>
  <c r="A397" i="45"/>
  <c r="A396" i="45"/>
  <c r="A395" i="45"/>
  <c r="A394" i="45"/>
  <c r="A393" i="45"/>
  <c r="A392" i="45"/>
  <c r="A391" i="45"/>
  <c r="A390" i="45"/>
  <c r="A389" i="45"/>
  <c r="A388" i="45"/>
  <c r="A387" i="45"/>
  <c r="A386" i="45"/>
  <c r="A385" i="45"/>
  <c r="A384" i="45"/>
  <c r="A383" i="45"/>
  <c r="A382" i="45"/>
  <c r="A381" i="45"/>
  <c r="A380" i="45"/>
  <c r="A379" i="45"/>
  <c r="A378" i="45"/>
  <c r="A377" i="45"/>
  <c r="A376" i="45"/>
  <c r="A375" i="45"/>
  <c r="A374" i="45"/>
  <c r="A373" i="45"/>
  <c r="A372" i="45"/>
  <c r="A371" i="45"/>
  <c r="A370" i="45"/>
  <c r="A369" i="45"/>
  <c r="A368" i="45"/>
  <c r="A367" i="45"/>
  <c r="A366" i="45"/>
  <c r="A365" i="45"/>
  <c r="A364" i="45"/>
  <c r="A363" i="45"/>
  <c r="A362" i="45"/>
  <c r="A361" i="45"/>
  <c r="A360" i="45"/>
  <c r="A359" i="45"/>
  <c r="A358" i="45"/>
  <c r="A357" i="45"/>
  <c r="A356" i="45"/>
  <c r="A355" i="45"/>
  <c r="A354" i="45"/>
  <c r="A353" i="45"/>
  <c r="A352" i="45"/>
  <c r="A351" i="45"/>
  <c r="A350" i="45"/>
  <c r="A349" i="45"/>
  <c r="A348" i="45"/>
  <c r="A347" i="45"/>
  <c r="A346" i="45"/>
  <c r="A345" i="45"/>
  <c r="A344" i="45"/>
  <c r="A343" i="45"/>
  <c r="A342" i="45"/>
  <c r="A341" i="45"/>
  <c r="A340" i="45"/>
  <c r="A339" i="45"/>
  <c r="A338" i="45"/>
  <c r="A337" i="45"/>
  <c r="A336" i="45"/>
  <c r="A335" i="45"/>
  <c r="A334" i="45"/>
  <c r="A333" i="45"/>
  <c r="A332" i="45"/>
  <c r="A331" i="45"/>
  <c r="A330" i="45"/>
  <c r="A329" i="45"/>
  <c r="A328" i="45"/>
  <c r="A327" i="45"/>
  <c r="A326" i="45"/>
  <c r="A325" i="45"/>
  <c r="A324" i="45"/>
  <c r="A323" i="45"/>
  <c r="A322" i="45"/>
  <c r="A321" i="45"/>
  <c r="A320" i="45"/>
  <c r="A319" i="45"/>
  <c r="A318" i="45"/>
  <c r="A317" i="45"/>
  <c r="A316" i="45"/>
  <c r="A315" i="45"/>
  <c r="A314" i="45"/>
  <c r="A313" i="45"/>
  <c r="A312" i="45"/>
  <c r="A311" i="45"/>
  <c r="A310" i="45"/>
  <c r="A309" i="45"/>
  <c r="A308" i="45"/>
  <c r="A307" i="45"/>
  <c r="A306" i="45"/>
  <c r="A305" i="45"/>
  <c r="A304" i="45"/>
  <c r="A303" i="45"/>
  <c r="A302" i="45"/>
  <c r="A301" i="45"/>
  <c r="A300" i="45"/>
  <c r="A299" i="45"/>
  <c r="A298" i="45"/>
  <c r="A297" i="45"/>
  <c r="A296" i="45"/>
  <c r="A295" i="45"/>
  <c r="A294" i="45"/>
  <c r="A293" i="45"/>
  <c r="A292" i="45"/>
  <c r="A291" i="45"/>
  <c r="A290" i="45"/>
  <c r="A289" i="45"/>
  <c r="A288" i="45"/>
  <c r="A287" i="45"/>
  <c r="A286" i="45"/>
  <c r="A285" i="45"/>
  <c r="A284" i="45"/>
  <c r="A283" i="45"/>
  <c r="A282" i="45"/>
  <c r="A281" i="45"/>
  <c r="A280" i="45"/>
  <c r="A279" i="45"/>
  <c r="A278" i="45"/>
  <c r="A277" i="45"/>
  <c r="A276" i="45"/>
  <c r="A275" i="45"/>
  <c r="A274" i="45"/>
  <c r="A273" i="45"/>
  <c r="A272" i="45"/>
  <c r="A271" i="45"/>
  <c r="A270" i="45"/>
  <c r="A269" i="45"/>
  <c r="A268" i="45"/>
  <c r="A267" i="45"/>
  <c r="A266" i="45"/>
  <c r="A265" i="45"/>
  <c r="A264" i="45"/>
  <c r="A263" i="45"/>
  <c r="A262" i="45"/>
  <c r="A261" i="45"/>
  <c r="A260" i="45"/>
  <c r="A259" i="45"/>
  <c r="A258" i="45"/>
  <c r="A257" i="45"/>
  <c r="A256" i="45"/>
  <c r="A255" i="45"/>
  <c r="A254" i="45"/>
  <c r="A253" i="45"/>
  <c r="A252" i="45"/>
  <c r="A251" i="45"/>
  <c r="A250" i="45"/>
  <c r="A249" i="45"/>
  <c r="A248" i="45"/>
  <c r="A247" i="45"/>
  <c r="A246" i="45"/>
  <c r="A245" i="45"/>
  <c r="A244" i="45"/>
  <c r="A243" i="45"/>
  <c r="A242" i="45"/>
  <c r="A241" i="45"/>
  <c r="A240" i="45"/>
  <c r="A239" i="45"/>
  <c r="A238" i="45"/>
  <c r="A237" i="45"/>
  <c r="A236" i="45"/>
  <c r="A235" i="45"/>
  <c r="A234" i="45"/>
  <c r="A233" i="45"/>
  <c r="A232" i="45"/>
  <c r="A231" i="45"/>
  <c r="A230" i="45"/>
  <c r="A229" i="45"/>
  <c r="A228" i="45"/>
  <c r="A227" i="45"/>
  <c r="A226" i="45"/>
  <c r="A225" i="45"/>
  <c r="A224" i="45"/>
  <c r="A223" i="45"/>
  <c r="A222" i="45"/>
  <c r="A221" i="45"/>
  <c r="A220" i="45"/>
  <c r="A219" i="45"/>
  <c r="A218" i="45"/>
  <c r="A217" i="45"/>
  <c r="A216" i="45"/>
  <c r="A215" i="45"/>
  <c r="A214" i="45"/>
  <c r="A213" i="45"/>
  <c r="A212" i="45"/>
  <c r="A211" i="45"/>
  <c r="A210" i="45"/>
  <c r="A209" i="45"/>
  <c r="A208" i="45"/>
  <c r="A207" i="45"/>
  <c r="A206" i="45"/>
  <c r="A205" i="45"/>
  <c r="A204" i="45"/>
  <c r="A203" i="45"/>
  <c r="A202" i="45"/>
  <c r="A201" i="45"/>
  <c r="A200" i="45"/>
  <c r="A199" i="45"/>
  <c r="A198" i="45"/>
  <c r="A197" i="45"/>
  <c r="A196" i="45"/>
  <c r="A195" i="45"/>
  <c r="A194" i="45"/>
  <c r="A193" i="45"/>
  <c r="A192" i="45"/>
  <c r="A191" i="45"/>
  <c r="A190" i="45"/>
  <c r="A189" i="45"/>
  <c r="A188" i="45"/>
  <c r="A187" i="45"/>
  <c r="A186" i="45"/>
  <c r="A185" i="45"/>
  <c r="A184" i="45"/>
  <c r="A183" i="45"/>
  <c r="A182" i="45"/>
  <c r="A181" i="45"/>
  <c r="A180" i="45"/>
  <c r="A179" i="45"/>
  <c r="A178" i="45"/>
  <c r="A177" i="45"/>
  <c r="A176" i="45"/>
  <c r="A175" i="45"/>
  <c r="A174" i="45"/>
  <c r="A173" i="45"/>
  <c r="A172" i="45"/>
  <c r="A171" i="45"/>
  <c r="A170" i="45"/>
  <c r="A169" i="45"/>
  <c r="A168" i="45"/>
  <c r="A167" i="45"/>
  <c r="A166" i="45"/>
  <c r="A165" i="45"/>
  <c r="A164" i="45"/>
  <c r="A163" i="45"/>
  <c r="A162" i="45"/>
  <c r="A161" i="45"/>
  <c r="A160" i="45"/>
  <c r="A159" i="45"/>
  <c r="A158" i="45"/>
  <c r="A157" i="45"/>
  <c r="A156" i="45"/>
  <c r="A155" i="45"/>
  <c r="A154" i="45"/>
  <c r="A153" i="45"/>
  <c r="A152" i="45"/>
  <c r="A151" i="45"/>
  <c r="A150" i="45"/>
  <c r="A149" i="45"/>
  <c r="A148" i="45"/>
  <c r="A147" i="45"/>
  <c r="A146" i="45"/>
  <c r="A145" i="45"/>
  <c r="A144" i="45"/>
  <c r="A143" i="45"/>
  <c r="A142" i="45"/>
  <c r="A141" i="45"/>
  <c r="A140" i="45"/>
  <c r="A139" i="45"/>
  <c r="A138" i="45"/>
  <c r="A137" i="45"/>
  <c r="A136" i="45"/>
  <c r="A135" i="45"/>
  <c r="A134" i="45"/>
  <c r="A133" i="45"/>
  <c r="A132" i="45"/>
  <c r="A131" i="45"/>
  <c r="A130" i="45"/>
  <c r="A129" i="45"/>
  <c r="A128" i="45"/>
  <c r="A127" i="45"/>
  <c r="A126" i="45"/>
  <c r="A125" i="45"/>
  <c r="A124" i="45"/>
  <c r="A123" i="45"/>
  <c r="A122" i="45"/>
  <c r="A121" i="45"/>
  <c r="A120" i="45"/>
  <c r="A119" i="45"/>
  <c r="A118" i="45"/>
  <c r="A117" i="45"/>
  <c r="A116" i="45"/>
  <c r="A115" i="45"/>
  <c r="A114" i="45"/>
  <c r="B109" i="45"/>
  <c r="A109" i="45"/>
  <c r="B108" i="45"/>
  <c r="A108" i="45"/>
  <c r="B107" i="45"/>
  <c r="A107" i="45"/>
  <c r="B106" i="45"/>
  <c r="A106" i="45"/>
  <c r="B105" i="45"/>
  <c r="A105" i="45"/>
  <c r="B104" i="45"/>
  <c r="A104" i="45"/>
  <c r="B103" i="45"/>
  <c r="A103" i="45"/>
  <c r="B102" i="45"/>
  <c r="A102" i="45"/>
  <c r="B101" i="45"/>
  <c r="A101" i="45"/>
  <c r="B100" i="45"/>
  <c r="A100" i="45"/>
  <c r="B99" i="45"/>
  <c r="A99" i="45"/>
  <c r="B98" i="45"/>
  <c r="A98" i="45"/>
  <c r="B97" i="45"/>
  <c r="A97" i="45"/>
  <c r="B96" i="45"/>
  <c r="A96" i="45"/>
  <c r="B95" i="45"/>
  <c r="A95" i="45"/>
  <c r="B94" i="45"/>
  <c r="A94" i="45"/>
  <c r="B93" i="45"/>
  <c r="A93" i="45"/>
  <c r="B92" i="45"/>
  <c r="A92" i="45"/>
  <c r="B91" i="45"/>
  <c r="A91" i="45"/>
  <c r="B90" i="45"/>
  <c r="A90" i="45"/>
  <c r="B89" i="45"/>
  <c r="A89" i="45"/>
  <c r="B88" i="45"/>
  <c r="A88" i="45"/>
  <c r="B87" i="45"/>
  <c r="A87" i="45"/>
  <c r="B86" i="45"/>
  <c r="A86" i="45"/>
  <c r="B85" i="45"/>
  <c r="A85" i="45"/>
  <c r="B84" i="45"/>
  <c r="A84" i="45"/>
  <c r="B83" i="45"/>
  <c r="A83" i="45"/>
  <c r="B82" i="45"/>
  <c r="A82" i="45"/>
  <c r="B81" i="45"/>
  <c r="A81" i="45"/>
  <c r="B80" i="45"/>
  <c r="A80" i="45"/>
  <c r="B79" i="45"/>
  <c r="A79" i="45"/>
  <c r="B78" i="45"/>
  <c r="A78" i="45"/>
  <c r="B77" i="45"/>
  <c r="A77" i="45"/>
  <c r="B76" i="45"/>
  <c r="A76" i="45"/>
  <c r="B75" i="45"/>
  <c r="A75" i="45"/>
  <c r="B74" i="45"/>
  <c r="A74" i="45"/>
  <c r="B73" i="45"/>
  <c r="A73" i="45"/>
  <c r="B72" i="45"/>
  <c r="A72" i="45"/>
  <c r="B71" i="45"/>
  <c r="A71" i="45"/>
  <c r="B70" i="45"/>
  <c r="A70" i="45"/>
  <c r="B69" i="45"/>
  <c r="A69" i="45"/>
  <c r="B68" i="45"/>
  <c r="A68" i="45"/>
  <c r="B67" i="45"/>
  <c r="A67" i="45"/>
  <c r="B66" i="45"/>
  <c r="A66" i="45"/>
  <c r="B65" i="45"/>
  <c r="A65" i="45"/>
  <c r="B64" i="45"/>
  <c r="A64" i="45"/>
  <c r="B63" i="45"/>
  <c r="A63" i="45"/>
  <c r="B62" i="45"/>
  <c r="A62" i="45"/>
  <c r="B61" i="45"/>
  <c r="A61" i="45"/>
  <c r="B60" i="45"/>
  <c r="A60" i="45"/>
  <c r="B59" i="45"/>
  <c r="A59" i="45"/>
  <c r="B58" i="45"/>
  <c r="A58" i="45"/>
  <c r="B57" i="45"/>
  <c r="A57" i="45"/>
  <c r="B56" i="45"/>
  <c r="A56" i="45"/>
  <c r="B55" i="45"/>
  <c r="A55" i="45"/>
  <c r="B54" i="45"/>
  <c r="A54" i="45"/>
  <c r="B53" i="45"/>
  <c r="A53" i="45"/>
  <c r="B52" i="45"/>
  <c r="A52" i="45"/>
  <c r="B51" i="45"/>
  <c r="A51" i="45"/>
  <c r="B50" i="45"/>
  <c r="A50" i="45"/>
  <c r="B49" i="45"/>
  <c r="A49" i="45"/>
  <c r="B48" i="45"/>
  <c r="A48" i="45"/>
  <c r="B47" i="45"/>
  <c r="A47" i="45"/>
  <c r="B46" i="45"/>
  <c r="A46" i="45"/>
  <c r="B45" i="45"/>
  <c r="A45" i="45"/>
  <c r="B44" i="45"/>
  <c r="A44" i="45"/>
  <c r="B43" i="45"/>
  <c r="A43" i="45"/>
  <c r="B42" i="45"/>
  <c r="A42" i="45"/>
  <c r="B41" i="45"/>
  <c r="A41" i="45"/>
  <c r="B40" i="45"/>
  <c r="A40" i="45"/>
  <c r="B39" i="45"/>
  <c r="A39" i="45"/>
  <c r="B38" i="45"/>
  <c r="A38" i="45"/>
  <c r="H36" i="45"/>
  <c r="H112" i="45" s="1"/>
  <c r="G36" i="45"/>
  <c r="G112" i="45" s="1"/>
  <c r="F36" i="45"/>
  <c r="F112" i="45" s="1"/>
  <c r="E36" i="45"/>
  <c r="E112" i="45" s="1"/>
  <c r="D36" i="45"/>
  <c r="D112" i="45" s="1"/>
  <c r="C36" i="45"/>
  <c r="C112" i="45" s="1"/>
  <c r="A473" i="44"/>
  <c r="A472" i="44"/>
  <c r="A471" i="44"/>
  <c r="A470" i="44"/>
  <c r="A469" i="44"/>
  <c r="A468" i="44"/>
  <c r="A467" i="44"/>
  <c r="A466" i="44"/>
  <c r="A465" i="44"/>
  <c r="A464" i="44"/>
  <c r="A463" i="44"/>
  <c r="A462" i="44"/>
  <c r="A461" i="44"/>
  <c r="A460" i="44"/>
  <c r="A459" i="44"/>
  <c r="A458" i="44"/>
  <c r="A457" i="44"/>
  <c r="A456" i="44"/>
  <c r="A455" i="44"/>
  <c r="A454" i="44"/>
  <c r="A453" i="44"/>
  <c r="A452" i="44"/>
  <c r="A451" i="44"/>
  <c r="A450" i="44"/>
  <c r="A449" i="44"/>
  <c r="A448" i="44"/>
  <c r="A447" i="44"/>
  <c r="A446" i="44"/>
  <c r="A445" i="44"/>
  <c r="A444" i="44"/>
  <c r="A443" i="44"/>
  <c r="A442" i="44"/>
  <c r="A441" i="44"/>
  <c r="A440" i="44"/>
  <c r="A439" i="44"/>
  <c r="A438" i="44"/>
  <c r="A437" i="44"/>
  <c r="A436" i="44"/>
  <c r="A435" i="44"/>
  <c r="A434" i="44"/>
  <c r="A433" i="44"/>
  <c r="A432" i="44"/>
  <c r="A431" i="44"/>
  <c r="A430" i="44"/>
  <c r="A429" i="44"/>
  <c r="A428" i="44"/>
  <c r="A427" i="44"/>
  <c r="A426" i="44"/>
  <c r="A425" i="44"/>
  <c r="A424" i="44"/>
  <c r="A423" i="44"/>
  <c r="A422" i="44"/>
  <c r="A421" i="44"/>
  <c r="A420" i="44"/>
  <c r="A419" i="44"/>
  <c r="A418" i="44"/>
  <c r="A417" i="44"/>
  <c r="A416" i="44"/>
  <c r="A415" i="44"/>
  <c r="A414" i="44"/>
  <c r="A413" i="44"/>
  <c r="A412" i="44"/>
  <c r="A411" i="44"/>
  <c r="A410" i="44"/>
  <c r="A409" i="44"/>
  <c r="A408" i="44"/>
  <c r="A407" i="44"/>
  <c r="A406" i="44"/>
  <c r="A405" i="44"/>
  <c r="A404" i="44"/>
  <c r="A403" i="44"/>
  <c r="A402" i="44"/>
  <c r="A401" i="44"/>
  <c r="A400" i="44"/>
  <c r="A399" i="44"/>
  <c r="A398" i="44"/>
  <c r="A397" i="44"/>
  <c r="A396" i="44"/>
  <c r="A395" i="44"/>
  <c r="A394" i="44"/>
  <c r="A393" i="44"/>
  <c r="A392" i="44"/>
  <c r="A391" i="44"/>
  <c r="A390" i="44"/>
  <c r="A389" i="44"/>
  <c r="A388" i="44"/>
  <c r="A387" i="44"/>
  <c r="A386" i="44"/>
  <c r="A385" i="44"/>
  <c r="A384" i="44"/>
  <c r="A383" i="44"/>
  <c r="A382" i="44"/>
  <c r="A381" i="44"/>
  <c r="A380" i="44"/>
  <c r="A379" i="44"/>
  <c r="A378" i="44"/>
  <c r="A377" i="44"/>
  <c r="A376" i="44"/>
  <c r="A375" i="44"/>
  <c r="A374" i="44"/>
  <c r="A373" i="44"/>
  <c r="A372" i="44"/>
  <c r="A371" i="44"/>
  <c r="A370" i="44"/>
  <c r="A369" i="44"/>
  <c r="A368" i="44"/>
  <c r="A367" i="44"/>
  <c r="A366" i="44"/>
  <c r="A365" i="44"/>
  <c r="A364" i="44"/>
  <c r="A363" i="44"/>
  <c r="A362" i="44"/>
  <c r="A361" i="44"/>
  <c r="A360" i="44"/>
  <c r="A359" i="44"/>
  <c r="A358" i="44"/>
  <c r="A357" i="44"/>
  <c r="A356" i="44"/>
  <c r="A355" i="44"/>
  <c r="A354" i="44"/>
  <c r="A353" i="44"/>
  <c r="A352" i="44"/>
  <c r="A351" i="44"/>
  <c r="A350" i="44"/>
  <c r="A349" i="44"/>
  <c r="A348" i="44"/>
  <c r="A347" i="44"/>
  <c r="A346" i="44"/>
  <c r="A345" i="44"/>
  <c r="A344" i="44"/>
  <c r="A343" i="44"/>
  <c r="A342" i="44"/>
  <c r="A341" i="44"/>
  <c r="A340" i="44"/>
  <c r="A339" i="44"/>
  <c r="A338" i="44"/>
  <c r="A337" i="44"/>
  <c r="A336" i="44"/>
  <c r="A335" i="44"/>
  <c r="A334" i="44"/>
  <c r="A333" i="44"/>
  <c r="A332" i="44"/>
  <c r="A331" i="44"/>
  <c r="A330" i="44"/>
  <c r="A329" i="44"/>
  <c r="A328" i="44"/>
  <c r="A327" i="44"/>
  <c r="A326" i="44"/>
  <c r="A325" i="44"/>
  <c r="A324" i="44"/>
  <c r="A323" i="44"/>
  <c r="A322" i="44"/>
  <c r="A321" i="44"/>
  <c r="A320" i="44"/>
  <c r="A319" i="44"/>
  <c r="A318" i="44"/>
  <c r="A317" i="44"/>
  <c r="A316" i="44"/>
  <c r="A315" i="44"/>
  <c r="A314" i="44"/>
  <c r="A313" i="44"/>
  <c r="A312" i="44"/>
  <c r="A311" i="44"/>
  <c r="A310" i="44"/>
  <c r="A309" i="44"/>
  <c r="A308" i="44"/>
  <c r="A307" i="44"/>
  <c r="A306" i="44"/>
  <c r="A305" i="44"/>
  <c r="A304" i="44"/>
  <c r="A303" i="44"/>
  <c r="A302" i="44"/>
  <c r="A301" i="44"/>
  <c r="A300" i="44"/>
  <c r="A299" i="44"/>
  <c r="A298" i="44"/>
  <c r="A297" i="44"/>
  <c r="A296" i="44"/>
  <c r="A295" i="44"/>
  <c r="A294" i="44"/>
  <c r="A293" i="44"/>
  <c r="A292" i="44"/>
  <c r="A291" i="44"/>
  <c r="A290" i="44"/>
  <c r="A289" i="44"/>
  <c r="A288" i="44"/>
  <c r="A287" i="44"/>
  <c r="A286" i="44"/>
  <c r="A285" i="44"/>
  <c r="A284" i="44"/>
  <c r="A283" i="44"/>
  <c r="A282" i="44"/>
  <c r="A281" i="44"/>
  <c r="A280" i="44"/>
  <c r="A279" i="44"/>
  <c r="A278" i="44"/>
  <c r="A277" i="44"/>
  <c r="A276" i="44"/>
  <c r="A275" i="44"/>
  <c r="A274" i="44"/>
  <c r="A273" i="44"/>
  <c r="A272" i="44"/>
  <c r="A271" i="44"/>
  <c r="A270" i="44"/>
  <c r="A269" i="44"/>
  <c r="A268" i="44"/>
  <c r="A267" i="44"/>
  <c r="A266" i="44"/>
  <c r="A265" i="44"/>
  <c r="A264" i="44"/>
  <c r="A263" i="44"/>
  <c r="A262" i="44"/>
  <c r="A261" i="44"/>
  <c r="A260" i="44"/>
  <c r="A259" i="44"/>
  <c r="A258" i="44"/>
  <c r="A257" i="44"/>
  <c r="A256" i="44"/>
  <c r="A255" i="44"/>
  <c r="A254" i="44"/>
  <c r="A253" i="44"/>
  <c r="A252" i="44"/>
  <c r="A251" i="44"/>
  <c r="A250" i="44"/>
  <c r="A249" i="44"/>
  <c r="A248" i="44"/>
  <c r="A247" i="44"/>
  <c r="A246" i="44"/>
  <c r="A245" i="44"/>
  <c r="A244" i="44"/>
  <c r="A243" i="44"/>
  <c r="A242" i="44"/>
  <c r="A241" i="44"/>
  <c r="A240" i="44"/>
  <c r="A239" i="44"/>
  <c r="A238" i="44"/>
  <c r="A237" i="44"/>
  <c r="A236" i="44"/>
  <c r="A235" i="44"/>
  <c r="A234" i="44"/>
  <c r="A233" i="44"/>
  <c r="A232" i="44"/>
  <c r="A231" i="44"/>
  <c r="A230" i="44"/>
  <c r="A229" i="44"/>
  <c r="A228" i="44"/>
  <c r="A227" i="44"/>
  <c r="A226" i="44"/>
  <c r="A225" i="44"/>
  <c r="A224" i="44"/>
  <c r="A223" i="44"/>
  <c r="A222" i="44"/>
  <c r="A221" i="44"/>
  <c r="A220" i="44"/>
  <c r="A219" i="44"/>
  <c r="A218" i="44"/>
  <c r="A217" i="44"/>
  <c r="A216" i="44"/>
  <c r="A215" i="44"/>
  <c r="A214" i="44"/>
  <c r="A213" i="44"/>
  <c r="A212" i="44"/>
  <c r="A211" i="44"/>
  <c r="A210" i="44"/>
  <c r="A209" i="44"/>
  <c r="A208" i="44"/>
  <c r="A207" i="44"/>
  <c r="A206" i="44"/>
  <c r="A205" i="44"/>
  <c r="A204" i="44"/>
  <c r="A203" i="44"/>
  <c r="A202" i="44"/>
  <c r="A201" i="44"/>
  <c r="A200" i="44"/>
  <c r="A199" i="44"/>
  <c r="A198" i="44"/>
  <c r="A197" i="44"/>
  <c r="A196" i="44"/>
  <c r="A195" i="44"/>
  <c r="A194" i="44"/>
  <c r="A193" i="44"/>
  <c r="A192" i="44"/>
  <c r="A191" i="44"/>
  <c r="A190" i="44"/>
  <c r="A189" i="44"/>
  <c r="A188" i="44"/>
  <c r="A187" i="44"/>
  <c r="A186" i="44"/>
  <c r="A185" i="44"/>
  <c r="A184" i="44"/>
  <c r="A183" i="44"/>
  <c r="A182" i="44"/>
  <c r="A181" i="44"/>
  <c r="A180" i="44"/>
  <c r="A179" i="44"/>
  <c r="A178" i="44"/>
  <c r="A177" i="44"/>
  <c r="A176" i="44"/>
  <c r="A175" i="44"/>
  <c r="A174" i="44"/>
  <c r="A173" i="44"/>
  <c r="A172" i="44"/>
  <c r="A171" i="44"/>
  <c r="A170" i="44"/>
  <c r="A169" i="44"/>
  <c r="A168" i="44"/>
  <c r="A167" i="44"/>
  <c r="A166" i="44"/>
  <c r="A165" i="44"/>
  <c r="A164" i="44"/>
  <c r="A163" i="44"/>
  <c r="A162" i="44"/>
  <c r="A161" i="44"/>
  <c r="A160" i="44"/>
  <c r="A159" i="44"/>
  <c r="A158" i="44"/>
  <c r="A157" i="44"/>
  <c r="A156" i="44"/>
  <c r="A155" i="44"/>
  <c r="A154" i="44"/>
  <c r="A153" i="44"/>
  <c r="A152" i="44"/>
  <c r="A151" i="44"/>
  <c r="A150" i="44"/>
  <c r="A149" i="44"/>
  <c r="A148" i="44"/>
  <c r="A147" i="44"/>
  <c r="A146" i="44"/>
  <c r="A145" i="44"/>
  <c r="A144" i="44"/>
  <c r="A143" i="44"/>
  <c r="A142" i="44"/>
  <c r="A141" i="44"/>
  <c r="A140" i="44"/>
  <c r="A139" i="44"/>
  <c r="A138" i="44"/>
  <c r="A137" i="44"/>
  <c r="A136" i="44"/>
  <c r="A135" i="44"/>
  <c r="A134" i="44"/>
  <c r="A133" i="44"/>
  <c r="A132" i="44"/>
  <c r="A131" i="44"/>
  <c r="A130" i="44"/>
  <c r="A129" i="44"/>
  <c r="A128" i="44"/>
  <c r="A127" i="44"/>
  <c r="A126" i="44"/>
  <c r="A125" i="44"/>
  <c r="A124" i="44"/>
  <c r="A123" i="44"/>
  <c r="A122" i="44"/>
  <c r="A121" i="44"/>
  <c r="A120" i="44"/>
  <c r="A119" i="44"/>
  <c r="A118" i="44"/>
  <c r="A117" i="44"/>
  <c r="A116" i="44"/>
  <c r="A115" i="44"/>
  <c r="A114" i="44"/>
  <c r="B109" i="44"/>
  <c r="A109" i="44"/>
  <c r="B108" i="44"/>
  <c r="A108" i="44"/>
  <c r="B107" i="44"/>
  <c r="A107" i="44"/>
  <c r="B106" i="44"/>
  <c r="A106" i="44"/>
  <c r="B105" i="44"/>
  <c r="A105" i="44"/>
  <c r="B104" i="44"/>
  <c r="A104" i="44"/>
  <c r="B103" i="44"/>
  <c r="A103" i="44"/>
  <c r="B102" i="44"/>
  <c r="A102" i="44"/>
  <c r="B101" i="44"/>
  <c r="A101" i="44"/>
  <c r="B100" i="44"/>
  <c r="A100" i="44"/>
  <c r="B99" i="44"/>
  <c r="A99" i="44"/>
  <c r="B98" i="44"/>
  <c r="A98" i="44"/>
  <c r="B97" i="44"/>
  <c r="A97" i="44"/>
  <c r="B96" i="44"/>
  <c r="A96" i="44"/>
  <c r="B95" i="44"/>
  <c r="A95" i="44"/>
  <c r="B94" i="44"/>
  <c r="A94" i="44"/>
  <c r="B93" i="44"/>
  <c r="A93" i="44"/>
  <c r="B92" i="44"/>
  <c r="A92" i="44"/>
  <c r="B91" i="44"/>
  <c r="A91" i="44"/>
  <c r="B90" i="44"/>
  <c r="A90" i="44"/>
  <c r="B89" i="44"/>
  <c r="A89" i="44"/>
  <c r="B88" i="44"/>
  <c r="A88" i="44"/>
  <c r="B87" i="44"/>
  <c r="A87" i="44"/>
  <c r="B86" i="44"/>
  <c r="A86" i="44"/>
  <c r="B85" i="44"/>
  <c r="A85" i="44"/>
  <c r="B84" i="44"/>
  <c r="A84" i="44"/>
  <c r="B83" i="44"/>
  <c r="A83" i="44"/>
  <c r="B82" i="44"/>
  <c r="A82" i="44"/>
  <c r="B81" i="44"/>
  <c r="A81" i="44"/>
  <c r="B80" i="44"/>
  <c r="A80" i="44"/>
  <c r="B79" i="44"/>
  <c r="A79" i="44"/>
  <c r="B78" i="44"/>
  <c r="A78" i="44"/>
  <c r="B77" i="44"/>
  <c r="A77" i="44"/>
  <c r="B76" i="44"/>
  <c r="A76" i="44"/>
  <c r="B75" i="44"/>
  <c r="A75" i="44"/>
  <c r="B74" i="44"/>
  <c r="A74" i="44"/>
  <c r="B73" i="44"/>
  <c r="A73" i="44"/>
  <c r="B72" i="44"/>
  <c r="A72" i="44"/>
  <c r="B71" i="44"/>
  <c r="A71" i="44"/>
  <c r="B70" i="44"/>
  <c r="A70" i="44"/>
  <c r="B69" i="44"/>
  <c r="A69" i="44"/>
  <c r="B68" i="44"/>
  <c r="A68" i="44"/>
  <c r="B67" i="44"/>
  <c r="A67" i="44"/>
  <c r="B66" i="44"/>
  <c r="A66" i="44"/>
  <c r="B65" i="44"/>
  <c r="A65" i="44"/>
  <c r="B64" i="44"/>
  <c r="A64" i="44"/>
  <c r="B63" i="44"/>
  <c r="A63" i="44"/>
  <c r="B62" i="44"/>
  <c r="A62" i="44"/>
  <c r="B61" i="44"/>
  <c r="A61" i="44"/>
  <c r="B60" i="44"/>
  <c r="A60" i="44"/>
  <c r="B59" i="44"/>
  <c r="A59" i="44"/>
  <c r="B58" i="44"/>
  <c r="A58" i="44"/>
  <c r="B57" i="44"/>
  <c r="A57" i="44"/>
  <c r="B56" i="44"/>
  <c r="A56" i="44"/>
  <c r="B55" i="44"/>
  <c r="A55" i="44"/>
  <c r="B54" i="44"/>
  <c r="A54" i="44"/>
  <c r="B53" i="44"/>
  <c r="A53" i="44"/>
  <c r="B52" i="44"/>
  <c r="A52" i="44"/>
  <c r="B51" i="44"/>
  <c r="A51" i="44"/>
  <c r="B50" i="44"/>
  <c r="A50" i="44"/>
  <c r="B49" i="44"/>
  <c r="A49" i="44"/>
  <c r="B48" i="44"/>
  <c r="A48" i="44"/>
  <c r="B47" i="44"/>
  <c r="A47" i="44"/>
  <c r="B46" i="44"/>
  <c r="A46" i="44"/>
  <c r="B45" i="44"/>
  <c r="A45" i="44"/>
  <c r="B44" i="44"/>
  <c r="A44" i="44"/>
  <c r="B43" i="44"/>
  <c r="A43" i="44"/>
  <c r="B42" i="44"/>
  <c r="A42" i="44"/>
  <c r="B41" i="44"/>
  <c r="A41" i="44"/>
  <c r="B40" i="44"/>
  <c r="A40" i="44"/>
  <c r="B39" i="44"/>
  <c r="A39" i="44"/>
  <c r="B38" i="44"/>
  <c r="A38" i="44"/>
  <c r="H36" i="44"/>
  <c r="H112" i="44" s="1"/>
  <c r="G36" i="44"/>
  <c r="G112" i="44" s="1"/>
  <c r="F36" i="44"/>
  <c r="F112" i="44" s="1"/>
  <c r="E36" i="44"/>
  <c r="E112" i="44" s="1"/>
  <c r="D36" i="44"/>
  <c r="D112" i="44" s="1"/>
  <c r="C36" i="44"/>
  <c r="C112" i="44" s="1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76" i="43"/>
  <c r="B76" i="43"/>
  <c r="A77" i="43"/>
  <c r="B77" i="43"/>
  <c r="A78" i="43"/>
  <c r="B78" i="43"/>
  <c r="A79" i="43"/>
  <c r="B79" i="43"/>
  <c r="A80" i="43"/>
  <c r="B80" i="43"/>
  <c r="A81" i="43"/>
  <c r="B81" i="43"/>
  <c r="A82" i="43"/>
  <c r="B82" i="43"/>
  <c r="A83" i="43"/>
  <c r="B83" i="43"/>
  <c r="A84" i="43"/>
  <c r="B84" i="43"/>
  <c r="A85" i="43"/>
  <c r="B85" i="43"/>
  <c r="A86" i="43"/>
  <c r="B86" i="43"/>
  <c r="A87" i="43"/>
  <c r="B87" i="43"/>
  <c r="A88" i="43"/>
  <c r="B88" i="43"/>
  <c r="A89" i="43"/>
  <c r="B89" i="43"/>
  <c r="A90" i="43"/>
  <c r="B90" i="43"/>
  <c r="A91" i="43"/>
  <c r="B91" i="43"/>
  <c r="A92" i="43"/>
  <c r="B92" i="43"/>
  <c r="A93" i="43"/>
  <c r="B93" i="43"/>
  <c r="A94" i="43"/>
  <c r="B94" i="43"/>
  <c r="A95" i="43"/>
  <c r="B95" i="43"/>
  <c r="A96" i="43"/>
  <c r="B96" i="43"/>
  <c r="A97" i="43"/>
  <c r="B97" i="43"/>
  <c r="A98" i="43"/>
  <c r="B98" i="43"/>
  <c r="A99" i="43"/>
  <c r="B99" i="43"/>
  <c r="A100" i="43"/>
  <c r="B100" i="43"/>
  <c r="A101" i="43"/>
  <c r="B101" i="43"/>
  <c r="A102" i="43"/>
  <c r="B102" i="43"/>
  <c r="A103" i="43"/>
  <c r="B103" i="43"/>
  <c r="A104" i="43"/>
  <c r="B104" i="43"/>
  <c r="A105" i="43"/>
  <c r="B105" i="43"/>
  <c r="A106" i="43"/>
  <c r="B106" i="43"/>
  <c r="A107" i="43"/>
  <c r="B107" i="43"/>
  <c r="A108" i="43"/>
  <c r="B108" i="43"/>
  <c r="A109" i="43"/>
  <c r="B109" i="43"/>
  <c r="A39" i="43"/>
  <c r="B39" i="43"/>
  <c r="A40" i="43"/>
  <c r="B40" i="43"/>
  <c r="A41" i="43"/>
  <c r="B41" i="43"/>
  <c r="A42" i="43"/>
  <c r="B42" i="43"/>
  <c r="A43" i="43"/>
  <c r="B43" i="43"/>
  <c r="A44" i="43"/>
  <c r="B44" i="43"/>
  <c r="A45" i="43"/>
  <c r="B45" i="43"/>
  <c r="A46" i="43"/>
  <c r="B46" i="43"/>
  <c r="A47" i="43"/>
  <c r="B47" i="43"/>
  <c r="A48" i="43"/>
  <c r="B48" i="43"/>
  <c r="A49" i="43"/>
  <c r="B49" i="43"/>
  <c r="A50" i="43"/>
  <c r="B50" i="43"/>
  <c r="A51" i="43"/>
  <c r="B51" i="43"/>
  <c r="A52" i="43"/>
  <c r="B52" i="43"/>
  <c r="A53" i="43"/>
  <c r="B53" i="43"/>
  <c r="A54" i="43"/>
  <c r="B54" i="43"/>
  <c r="A55" i="43"/>
  <c r="B55" i="43"/>
  <c r="A56" i="43"/>
  <c r="B56" i="43"/>
  <c r="A57" i="43"/>
  <c r="B57" i="43"/>
  <c r="A58" i="43"/>
  <c r="B58" i="43"/>
  <c r="A59" i="43"/>
  <c r="B59" i="43"/>
  <c r="A60" i="43"/>
  <c r="B60" i="43"/>
  <c r="A61" i="43"/>
  <c r="B61" i="43"/>
  <c r="A62" i="43"/>
  <c r="B62" i="43"/>
  <c r="A63" i="43"/>
  <c r="B63" i="43"/>
  <c r="A64" i="43"/>
  <c r="B64" i="43"/>
  <c r="A65" i="43"/>
  <c r="B65" i="43"/>
  <c r="A66" i="43"/>
  <c r="B66" i="43"/>
  <c r="A67" i="43"/>
  <c r="B67" i="43"/>
  <c r="A68" i="43"/>
  <c r="B68" i="43"/>
  <c r="A69" i="43"/>
  <c r="B69" i="43"/>
  <c r="A70" i="43"/>
  <c r="B70" i="43"/>
  <c r="A71" i="43"/>
  <c r="B71" i="43"/>
  <c r="A72" i="43"/>
  <c r="B72" i="43"/>
  <c r="A73" i="43"/>
  <c r="B73" i="43"/>
  <c r="A74" i="43"/>
  <c r="B74" i="43"/>
  <c r="A75" i="43"/>
  <c r="B75" i="43"/>
  <c r="B38" i="43"/>
  <c r="C36" i="43"/>
  <c r="C112" i="43" s="1"/>
  <c r="D36" i="43"/>
  <c r="D112" i="43" s="1"/>
  <c r="E36" i="43"/>
  <c r="E112" i="43" s="1"/>
  <c r="F36" i="43"/>
  <c r="F112" i="43" s="1"/>
  <c r="G36" i="43"/>
  <c r="G112" i="43" s="1"/>
  <c r="H36" i="43"/>
  <c r="H112" i="43" s="1"/>
  <c r="A38" i="43"/>
  <c r="A59" i="41"/>
  <c r="A71" i="41" s="1"/>
  <c r="D37" i="41"/>
  <c r="D49" i="41" s="1"/>
  <c r="D61" i="41" s="1"/>
  <c r="D73" i="41" s="1"/>
  <c r="A34" i="41"/>
  <c r="A46" i="41" s="1"/>
  <c r="A58" i="41" s="1"/>
  <c r="A70" i="41" s="1"/>
  <c r="A82" i="41" s="1"/>
  <c r="F25" i="41"/>
  <c r="F37" i="41" s="1"/>
  <c r="F49" i="41" s="1"/>
  <c r="F61" i="41" s="1"/>
  <c r="F73" i="41" s="1"/>
  <c r="E25" i="41"/>
  <c r="E37" i="41" s="1"/>
  <c r="E49" i="41" s="1"/>
  <c r="E61" i="41" s="1"/>
  <c r="E73" i="41" s="1"/>
  <c r="C12" i="41"/>
  <c r="B12" i="41"/>
  <c r="I11" i="41"/>
  <c r="C11" i="41"/>
  <c r="B11" i="41"/>
  <c r="A11" i="41"/>
  <c r="A22" i="41" s="1"/>
  <c r="A33" i="41" s="1"/>
  <c r="A45" i="41" s="1"/>
  <c r="A57" i="41" s="1"/>
  <c r="A69" i="41" s="1"/>
  <c r="A81" i="41" s="1"/>
  <c r="I10" i="41"/>
  <c r="C10" i="41"/>
  <c r="B10" i="41"/>
  <c r="A10" i="41"/>
  <c r="A21" i="41" s="1"/>
  <c r="A32" i="41" s="1"/>
  <c r="A44" i="41" s="1"/>
  <c r="A56" i="41" s="1"/>
  <c r="A68" i="41" s="1"/>
  <c r="A80" i="41" s="1"/>
  <c r="I9" i="41"/>
  <c r="C9" i="41"/>
  <c r="B9" i="41"/>
  <c r="A9" i="41"/>
  <c r="A20" i="41" s="1"/>
  <c r="A31" i="41" s="1"/>
  <c r="A43" i="41" s="1"/>
  <c r="A55" i="41" s="1"/>
  <c r="A67" i="41" s="1"/>
  <c r="A79" i="41" s="1"/>
  <c r="I8" i="41"/>
  <c r="C8" i="41"/>
  <c r="B8" i="41"/>
  <c r="A8" i="41"/>
  <c r="A19" i="41" s="1"/>
  <c r="A30" i="41" s="1"/>
  <c r="A42" i="41" s="1"/>
  <c r="A54" i="41" s="1"/>
  <c r="A66" i="41" s="1"/>
  <c r="A78" i="41" s="1"/>
  <c r="I7" i="41"/>
  <c r="C7" i="41"/>
  <c r="B7" i="41"/>
  <c r="A7" i="41"/>
  <c r="A18" i="41" s="1"/>
  <c r="A29" i="41" s="1"/>
  <c r="A41" i="41" s="1"/>
  <c r="A53" i="41" s="1"/>
  <c r="A65" i="41" s="1"/>
  <c r="A77" i="41" s="1"/>
  <c r="I6" i="41"/>
  <c r="C6" i="41"/>
  <c r="B6" i="41"/>
  <c r="A6" i="41"/>
  <c r="A17" i="41" s="1"/>
  <c r="A28" i="41" s="1"/>
  <c r="A40" i="41" s="1"/>
  <c r="A52" i="41" s="1"/>
  <c r="A64" i="41" s="1"/>
  <c r="A76" i="41" s="1"/>
  <c r="I5" i="41"/>
  <c r="C5" i="41"/>
  <c r="B5" i="41"/>
  <c r="A5" i="41"/>
  <c r="A16" i="41" s="1"/>
  <c r="A27" i="41" s="1"/>
  <c r="A39" i="41" s="1"/>
  <c r="A51" i="41" s="1"/>
  <c r="A63" i="41" s="1"/>
  <c r="A75" i="41" s="1"/>
  <c r="I4" i="41"/>
  <c r="C4" i="41"/>
  <c r="B4" i="41"/>
  <c r="A4" i="41"/>
  <c r="A15" i="41" s="1"/>
  <c r="A26" i="41" s="1"/>
  <c r="A38" i="41" s="1"/>
  <c r="A50" i="41" s="1"/>
  <c r="A62" i="41" s="1"/>
  <c r="A74" i="41" s="1"/>
  <c r="I1" i="41"/>
  <c r="A73" i="41" s="1"/>
  <c r="H1" i="41"/>
  <c r="A61" i="41" s="1"/>
  <c r="G1" i="41"/>
  <c r="A49" i="41" s="1"/>
  <c r="F1" i="41"/>
  <c r="A37" i="41" s="1"/>
  <c r="E1" i="41"/>
  <c r="A25" i="41" s="1"/>
  <c r="D1" i="41"/>
  <c r="A14" i="41" s="1"/>
  <c r="C1" i="41"/>
  <c r="A1" i="41"/>
  <c r="D22" i="41" l="1"/>
  <c r="D81" i="41" s="1"/>
  <c r="D15" i="41"/>
  <c r="D74" i="41" s="1"/>
  <c r="D16" i="41"/>
  <c r="D75" i="41" s="1"/>
  <c r="D19" i="41"/>
  <c r="D78" i="41" s="1"/>
  <c r="E22" i="41"/>
  <c r="E45" i="41" s="1"/>
  <c r="E57" i="41" s="1"/>
  <c r="E18" i="41"/>
  <c r="E77" i="41" s="1"/>
  <c r="I12" i="41"/>
  <c r="K22" i="41" s="1"/>
  <c r="F81" i="41" s="1"/>
  <c r="E21" i="41"/>
  <c r="E80" i="41" s="1"/>
  <c r="E15" i="41"/>
  <c r="E74" i="41" s="1"/>
  <c r="E16" i="41"/>
  <c r="E27" i="41" s="1"/>
  <c r="E63" i="41" s="1"/>
  <c r="D17" i="41"/>
  <c r="D76" i="41" s="1"/>
  <c r="E17" i="41"/>
  <c r="E76" i="41" s="1"/>
  <c r="D18" i="41"/>
  <c r="D29" i="41" s="1"/>
  <c r="D65" i="41" s="1"/>
  <c r="E19" i="41"/>
  <c r="E30" i="41" s="1"/>
  <c r="E66" i="41" s="1"/>
  <c r="D20" i="41"/>
  <c r="D31" i="41" s="1"/>
  <c r="D67" i="41" s="1"/>
  <c r="E20" i="41"/>
  <c r="E79" i="41" s="1"/>
  <c r="D21" i="41"/>
  <c r="D44" i="41" s="1"/>
  <c r="D56" i="41" s="1"/>
  <c r="D26" i="41" l="1"/>
  <c r="D62" i="41" s="1"/>
  <c r="D38" i="41"/>
  <c r="D50" i="41" s="1"/>
  <c r="D45" i="41"/>
  <c r="D57" i="41" s="1"/>
  <c r="D33" i="41"/>
  <c r="D69" i="41" s="1"/>
  <c r="E81" i="41"/>
  <c r="D39" i="41"/>
  <c r="D51" i="41" s="1"/>
  <c r="D79" i="41"/>
  <c r="E75" i="41"/>
  <c r="E82" i="41" s="1"/>
  <c r="K20" i="41"/>
  <c r="F79" i="41" s="1"/>
  <c r="D82" i="41"/>
  <c r="D27" i="41"/>
  <c r="D63" i="41" s="1"/>
  <c r="D23" i="41"/>
  <c r="D34" i="41" s="1"/>
  <c r="D70" i="41" s="1"/>
  <c r="D43" i="41"/>
  <c r="D55" i="41" s="1"/>
  <c r="E33" i="41"/>
  <c r="E69" i="41" s="1"/>
  <c r="D28" i="41"/>
  <c r="D64" i="41" s="1"/>
  <c r="D40" i="41"/>
  <c r="D52" i="41" s="1"/>
  <c r="E39" i="41"/>
  <c r="E51" i="41" s="1"/>
  <c r="K23" i="41"/>
  <c r="K18" i="41"/>
  <c r="F77" i="41" s="1"/>
  <c r="E42" i="41"/>
  <c r="E54" i="41" s="1"/>
  <c r="E78" i="41"/>
  <c r="K15" i="41"/>
  <c r="F74" i="41" s="1"/>
  <c r="E41" i="41"/>
  <c r="E53" i="41" s="1"/>
  <c r="K16" i="41"/>
  <c r="F75" i="41" s="1"/>
  <c r="K21" i="41"/>
  <c r="F80" i="41" s="1"/>
  <c r="K17" i="41"/>
  <c r="F76" i="41" s="1"/>
  <c r="K19" i="41"/>
  <c r="F78" i="41" s="1"/>
  <c r="D30" i="41"/>
  <c r="D66" i="41" s="1"/>
  <c r="E29" i="41"/>
  <c r="E65" i="41" s="1"/>
  <c r="D42" i="41"/>
  <c r="D54" i="41" s="1"/>
  <c r="E44" i="41"/>
  <c r="E56" i="41" s="1"/>
  <c r="E32" i="41"/>
  <c r="E68" i="41" s="1"/>
  <c r="E38" i="41"/>
  <c r="E26" i="41"/>
  <c r="E62" i="41" s="1"/>
  <c r="E23" i="41"/>
  <c r="D41" i="41"/>
  <c r="D53" i="41" s="1"/>
  <c r="D32" i="41"/>
  <c r="D68" i="41" s="1"/>
  <c r="E40" i="41"/>
  <c r="E52" i="41" s="1"/>
  <c r="D80" i="41"/>
  <c r="D77" i="41"/>
  <c r="E31" i="41"/>
  <c r="E67" i="41" s="1"/>
  <c r="E28" i="41"/>
  <c r="E64" i="41" s="1"/>
  <c r="E43" i="41"/>
  <c r="E55" i="41" s="1"/>
  <c r="E46" i="41" l="1"/>
  <c r="E47" i="41" s="1"/>
  <c r="D46" i="41"/>
  <c r="D58" i="41" s="1"/>
  <c r="D59" i="41" s="1"/>
  <c r="E50" i="41"/>
  <c r="E58" i="41" s="1"/>
  <c r="E59" i="41" s="1"/>
  <c r="F82" i="41"/>
  <c r="D71" i="41"/>
  <c r="E34" i="41"/>
  <c r="E70" i="41" s="1"/>
  <c r="E71" i="41" s="1"/>
  <c r="H102" i="48" l="1"/>
  <c r="I102" i="48" s="1"/>
  <c r="J102" i="48" s="1"/>
  <c r="K102" i="48" s="1"/>
  <c r="L102" i="48" s="1"/>
  <c r="M102" i="48" s="1"/>
  <c r="N102" i="48" s="1"/>
  <c r="O102" i="48" s="1"/>
  <c r="P102" i="48" s="1"/>
  <c r="Q102" i="48" s="1"/>
  <c r="R102" i="48" s="1"/>
  <c r="S102" i="48" s="1"/>
  <c r="H102" i="47"/>
  <c r="I102" i="47" s="1"/>
  <c r="J102" i="47" s="1"/>
  <c r="K102" i="47" s="1"/>
  <c r="L102" i="47" s="1"/>
  <c r="M102" i="47" s="1"/>
  <c r="N102" i="47" s="1"/>
  <c r="O102" i="47" s="1"/>
  <c r="P102" i="47" s="1"/>
  <c r="Q102" i="47" s="1"/>
  <c r="R102" i="47" s="1"/>
  <c r="S102" i="47" s="1"/>
  <c r="H102" i="46"/>
  <c r="I102" i="46" s="1"/>
  <c r="J102" i="46" s="1"/>
  <c r="K102" i="46" s="1"/>
  <c r="L102" i="46" s="1"/>
  <c r="M102" i="46" s="1"/>
  <c r="N102" i="46" s="1"/>
  <c r="O102" i="46" s="1"/>
  <c r="P102" i="46" s="1"/>
  <c r="Q102" i="46" s="1"/>
  <c r="R102" i="46" s="1"/>
  <c r="S102" i="46" s="1"/>
  <c r="H102" i="45"/>
  <c r="I102" i="45" s="1"/>
  <c r="J102" i="45" s="1"/>
  <c r="K102" i="45" s="1"/>
  <c r="L102" i="45" s="1"/>
  <c r="M102" i="45" s="1"/>
  <c r="N102" i="45" s="1"/>
  <c r="O102" i="45" s="1"/>
  <c r="P102" i="45" s="1"/>
  <c r="Q102" i="45" s="1"/>
  <c r="R102" i="45" s="1"/>
  <c r="S102" i="45" s="1"/>
  <c r="H102" i="44"/>
  <c r="I102" i="44" s="1"/>
  <c r="J102" i="44" s="1"/>
  <c r="K102" i="44" s="1"/>
  <c r="L102" i="44" s="1"/>
  <c r="M102" i="44" s="1"/>
  <c r="N102" i="44" s="1"/>
  <c r="O102" i="44" s="1"/>
  <c r="P102" i="44" s="1"/>
  <c r="Q102" i="44" s="1"/>
  <c r="R102" i="44" s="1"/>
  <c r="S102" i="44" s="1"/>
  <c r="H102" i="43"/>
  <c r="I102" i="43" s="1"/>
  <c r="J102" i="43" s="1"/>
  <c r="K102" i="43" s="1"/>
  <c r="L102" i="43" s="1"/>
  <c r="M102" i="43" s="1"/>
  <c r="N102" i="43" s="1"/>
  <c r="O102" i="43" s="1"/>
  <c r="P102" i="43" s="1"/>
  <c r="Q102" i="43" s="1"/>
  <c r="R102" i="43" s="1"/>
  <c r="S102" i="43" s="1"/>
  <c r="H103" i="48"/>
  <c r="I103" i="48" s="1"/>
  <c r="J103" i="48" s="1"/>
  <c r="K103" i="48" s="1"/>
  <c r="L103" i="48" s="1"/>
  <c r="M103" i="48" s="1"/>
  <c r="N103" i="48" s="1"/>
  <c r="O103" i="48" s="1"/>
  <c r="P103" i="48" s="1"/>
  <c r="Q103" i="48" s="1"/>
  <c r="R103" i="48" s="1"/>
  <c r="S103" i="48" s="1"/>
  <c r="H103" i="47"/>
  <c r="I103" i="47" s="1"/>
  <c r="J103" i="47" s="1"/>
  <c r="K103" i="47" s="1"/>
  <c r="L103" i="47" s="1"/>
  <c r="M103" i="47" s="1"/>
  <c r="N103" i="47" s="1"/>
  <c r="O103" i="47" s="1"/>
  <c r="P103" i="47" s="1"/>
  <c r="Q103" i="47" s="1"/>
  <c r="R103" i="47" s="1"/>
  <c r="S103" i="47" s="1"/>
  <c r="H103" i="46"/>
  <c r="I103" i="46" s="1"/>
  <c r="J103" i="46" s="1"/>
  <c r="K103" i="46" s="1"/>
  <c r="L103" i="46" s="1"/>
  <c r="M103" i="46" s="1"/>
  <c r="N103" i="46" s="1"/>
  <c r="O103" i="46" s="1"/>
  <c r="P103" i="46" s="1"/>
  <c r="Q103" i="46" s="1"/>
  <c r="R103" i="46" s="1"/>
  <c r="S103" i="46" s="1"/>
  <c r="H103" i="45"/>
  <c r="I103" i="45" s="1"/>
  <c r="J103" i="45" s="1"/>
  <c r="K103" i="45" s="1"/>
  <c r="L103" i="45" s="1"/>
  <c r="M103" i="45" s="1"/>
  <c r="N103" i="45" s="1"/>
  <c r="O103" i="45" s="1"/>
  <c r="P103" i="45" s="1"/>
  <c r="Q103" i="45" s="1"/>
  <c r="R103" i="45" s="1"/>
  <c r="S103" i="45" s="1"/>
  <c r="H103" i="44"/>
  <c r="I103" i="44" s="1"/>
  <c r="J103" i="44" s="1"/>
  <c r="K103" i="44" s="1"/>
  <c r="L103" i="44" s="1"/>
  <c r="M103" i="44" s="1"/>
  <c r="N103" i="44" s="1"/>
  <c r="O103" i="44" s="1"/>
  <c r="P103" i="44" s="1"/>
  <c r="Q103" i="44" s="1"/>
  <c r="R103" i="44" s="1"/>
  <c r="S103" i="44" s="1"/>
  <c r="H103" i="43"/>
  <c r="I103" i="43" s="1"/>
  <c r="J103" i="43" s="1"/>
  <c r="K103" i="43" s="1"/>
  <c r="L103" i="43" s="1"/>
  <c r="M103" i="43" s="1"/>
  <c r="N103" i="43" s="1"/>
  <c r="O103" i="43" s="1"/>
  <c r="P103" i="43" s="1"/>
  <c r="Q103" i="43" s="1"/>
  <c r="R103" i="43" s="1"/>
  <c r="S103" i="43" s="1"/>
  <c r="H47" i="48"/>
  <c r="I47" i="48" s="1"/>
  <c r="J47" i="48" s="1"/>
  <c r="K47" i="48" s="1"/>
  <c r="L47" i="48" s="1"/>
  <c r="M47" i="48" s="1"/>
  <c r="N47" i="48" s="1"/>
  <c r="O47" i="48" s="1"/>
  <c r="P47" i="48" s="1"/>
  <c r="Q47" i="48" s="1"/>
  <c r="R47" i="48" s="1"/>
  <c r="S47" i="48" s="1"/>
  <c r="H47" i="47"/>
  <c r="I47" i="47" s="1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H47" i="46"/>
  <c r="I47" i="46" s="1"/>
  <c r="J47" i="46" s="1"/>
  <c r="K47" i="46" s="1"/>
  <c r="L47" i="46" s="1"/>
  <c r="M47" i="46" s="1"/>
  <c r="N47" i="46" s="1"/>
  <c r="O47" i="46" s="1"/>
  <c r="P47" i="46" s="1"/>
  <c r="Q47" i="46" s="1"/>
  <c r="R47" i="46" s="1"/>
  <c r="S47" i="46" s="1"/>
  <c r="H47" i="44"/>
  <c r="I47" i="44" s="1"/>
  <c r="J47" i="44" s="1"/>
  <c r="K47" i="44" s="1"/>
  <c r="L47" i="44" s="1"/>
  <c r="M47" i="44" s="1"/>
  <c r="N47" i="44" s="1"/>
  <c r="O47" i="44" s="1"/>
  <c r="P47" i="44" s="1"/>
  <c r="Q47" i="44" s="1"/>
  <c r="R47" i="44" s="1"/>
  <c r="S47" i="44" s="1"/>
  <c r="H47" i="45"/>
  <c r="I47" i="45" s="1"/>
  <c r="J47" i="45" s="1"/>
  <c r="K47" i="45" s="1"/>
  <c r="L47" i="45" s="1"/>
  <c r="M47" i="45" s="1"/>
  <c r="N47" i="45" s="1"/>
  <c r="O47" i="45" s="1"/>
  <c r="P47" i="45" s="1"/>
  <c r="Q47" i="45" s="1"/>
  <c r="R47" i="45" s="1"/>
  <c r="S47" i="45" s="1"/>
  <c r="H47" i="43"/>
  <c r="I47" i="43" s="1"/>
  <c r="J47" i="43" s="1"/>
  <c r="K47" i="43" s="1"/>
  <c r="L47" i="43" s="1"/>
  <c r="M47" i="43" s="1"/>
  <c r="N47" i="43" s="1"/>
  <c r="O47" i="43" s="1"/>
  <c r="P47" i="43" s="1"/>
  <c r="Q47" i="43" s="1"/>
  <c r="R47" i="43" s="1"/>
  <c r="S47" i="43" s="1"/>
  <c r="H56" i="48"/>
  <c r="I56" i="48" s="1"/>
  <c r="J56" i="48" s="1"/>
  <c r="K56" i="48" s="1"/>
  <c r="L56" i="48" s="1"/>
  <c r="M56" i="48" s="1"/>
  <c r="N56" i="48" s="1"/>
  <c r="O56" i="48" s="1"/>
  <c r="P56" i="48" s="1"/>
  <c r="Q56" i="48" s="1"/>
  <c r="R56" i="48" s="1"/>
  <c r="S56" i="48" s="1"/>
  <c r="H56" i="47"/>
  <c r="I56" i="47" s="1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H56" i="46"/>
  <c r="I56" i="46" s="1"/>
  <c r="J56" i="46" s="1"/>
  <c r="K56" i="46" s="1"/>
  <c r="L56" i="46" s="1"/>
  <c r="M56" i="46" s="1"/>
  <c r="N56" i="46" s="1"/>
  <c r="O56" i="46" s="1"/>
  <c r="P56" i="46" s="1"/>
  <c r="Q56" i="46" s="1"/>
  <c r="R56" i="46" s="1"/>
  <c r="S56" i="46" s="1"/>
  <c r="H56" i="45"/>
  <c r="I56" i="45" s="1"/>
  <c r="J56" i="45" s="1"/>
  <c r="K56" i="45" s="1"/>
  <c r="L56" i="45" s="1"/>
  <c r="M56" i="45" s="1"/>
  <c r="N56" i="45" s="1"/>
  <c r="O56" i="45" s="1"/>
  <c r="P56" i="45" s="1"/>
  <c r="Q56" i="45" s="1"/>
  <c r="R56" i="45" s="1"/>
  <c r="S56" i="45" s="1"/>
  <c r="H56" i="44"/>
  <c r="I56" i="44" s="1"/>
  <c r="J56" i="44" s="1"/>
  <c r="K56" i="44" s="1"/>
  <c r="L56" i="44" s="1"/>
  <c r="M56" i="44" s="1"/>
  <c r="N56" i="44" s="1"/>
  <c r="O56" i="44" s="1"/>
  <c r="P56" i="44" s="1"/>
  <c r="Q56" i="44" s="1"/>
  <c r="R56" i="44" s="1"/>
  <c r="S56" i="44" s="1"/>
  <c r="H56" i="43"/>
  <c r="I56" i="43" s="1"/>
  <c r="J56" i="43" s="1"/>
  <c r="K56" i="43" s="1"/>
  <c r="L56" i="43" s="1"/>
  <c r="M56" i="43" s="1"/>
  <c r="N56" i="43" s="1"/>
  <c r="O56" i="43" s="1"/>
  <c r="P56" i="43" s="1"/>
  <c r="Q56" i="43" s="1"/>
  <c r="R56" i="43" s="1"/>
  <c r="S56" i="43" s="1"/>
  <c r="H76" i="48"/>
  <c r="I76" i="48" s="1"/>
  <c r="J76" i="48" s="1"/>
  <c r="K76" i="48" s="1"/>
  <c r="L76" i="48" s="1"/>
  <c r="M76" i="48" s="1"/>
  <c r="N76" i="48" s="1"/>
  <c r="O76" i="48" s="1"/>
  <c r="P76" i="48" s="1"/>
  <c r="Q76" i="48" s="1"/>
  <c r="R76" i="48" s="1"/>
  <c r="S76" i="48" s="1"/>
  <c r="H76" i="47"/>
  <c r="I76" i="47" s="1"/>
  <c r="J76" i="47" s="1"/>
  <c r="K76" i="47" s="1"/>
  <c r="L76" i="47" s="1"/>
  <c r="M76" i="47" s="1"/>
  <c r="N76" i="47" s="1"/>
  <c r="O76" i="47" s="1"/>
  <c r="P76" i="47" s="1"/>
  <c r="Q76" i="47" s="1"/>
  <c r="R76" i="47" s="1"/>
  <c r="S76" i="47" s="1"/>
  <c r="H76" i="46"/>
  <c r="I76" i="46" s="1"/>
  <c r="J76" i="46" s="1"/>
  <c r="K76" i="46" s="1"/>
  <c r="L76" i="46" s="1"/>
  <c r="M76" i="46" s="1"/>
  <c r="N76" i="46" s="1"/>
  <c r="O76" i="46" s="1"/>
  <c r="P76" i="46" s="1"/>
  <c r="Q76" i="46" s="1"/>
  <c r="R76" i="46" s="1"/>
  <c r="S76" i="46" s="1"/>
  <c r="H76" i="45"/>
  <c r="I76" i="45" s="1"/>
  <c r="J76" i="45" s="1"/>
  <c r="K76" i="45" s="1"/>
  <c r="L76" i="45" s="1"/>
  <c r="M76" i="45" s="1"/>
  <c r="N76" i="45" s="1"/>
  <c r="O76" i="45" s="1"/>
  <c r="P76" i="45" s="1"/>
  <c r="Q76" i="45" s="1"/>
  <c r="R76" i="45" s="1"/>
  <c r="S76" i="45" s="1"/>
  <c r="H76" i="44"/>
  <c r="I76" i="44" s="1"/>
  <c r="J76" i="44" s="1"/>
  <c r="K76" i="44" s="1"/>
  <c r="L76" i="44" s="1"/>
  <c r="M76" i="44" s="1"/>
  <c r="N76" i="44" s="1"/>
  <c r="O76" i="44" s="1"/>
  <c r="P76" i="44" s="1"/>
  <c r="Q76" i="44" s="1"/>
  <c r="R76" i="44" s="1"/>
  <c r="S76" i="44" s="1"/>
  <c r="H76" i="43"/>
  <c r="I76" i="43" s="1"/>
  <c r="J76" i="43" s="1"/>
  <c r="K76" i="43" s="1"/>
  <c r="L76" i="43" s="1"/>
  <c r="M76" i="43" s="1"/>
  <c r="N76" i="43" s="1"/>
  <c r="O76" i="43" s="1"/>
  <c r="P76" i="43" s="1"/>
  <c r="Q76" i="43" s="1"/>
  <c r="R76" i="43" s="1"/>
  <c r="S76" i="43" s="1"/>
  <c r="H99" i="48"/>
  <c r="I99" i="48" s="1"/>
  <c r="J99" i="48" s="1"/>
  <c r="K99" i="48" s="1"/>
  <c r="L99" i="48" s="1"/>
  <c r="M99" i="48" s="1"/>
  <c r="N99" i="48" s="1"/>
  <c r="O99" i="48" s="1"/>
  <c r="P99" i="48" s="1"/>
  <c r="Q99" i="48" s="1"/>
  <c r="R99" i="48" s="1"/>
  <c r="S99" i="48" s="1"/>
  <c r="H99" i="47"/>
  <c r="I99" i="47" s="1"/>
  <c r="J99" i="47" s="1"/>
  <c r="K99" i="47" s="1"/>
  <c r="L99" i="47" s="1"/>
  <c r="M99" i="47" s="1"/>
  <c r="N99" i="47" s="1"/>
  <c r="O99" i="47" s="1"/>
  <c r="P99" i="47" s="1"/>
  <c r="Q99" i="47" s="1"/>
  <c r="R99" i="47" s="1"/>
  <c r="S99" i="47" s="1"/>
  <c r="H99" i="46"/>
  <c r="I99" i="46" s="1"/>
  <c r="J99" i="46" s="1"/>
  <c r="K99" i="46" s="1"/>
  <c r="L99" i="46" s="1"/>
  <c r="M99" i="46" s="1"/>
  <c r="N99" i="46" s="1"/>
  <c r="O99" i="46" s="1"/>
  <c r="P99" i="46" s="1"/>
  <c r="Q99" i="46" s="1"/>
  <c r="R99" i="46" s="1"/>
  <c r="S99" i="46" s="1"/>
  <c r="H99" i="45"/>
  <c r="I99" i="45" s="1"/>
  <c r="J99" i="45" s="1"/>
  <c r="K99" i="45" s="1"/>
  <c r="L99" i="45" s="1"/>
  <c r="M99" i="45" s="1"/>
  <c r="N99" i="45" s="1"/>
  <c r="O99" i="45" s="1"/>
  <c r="P99" i="45" s="1"/>
  <c r="Q99" i="45" s="1"/>
  <c r="R99" i="45" s="1"/>
  <c r="S99" i="45" s="1"/>
  <c r="H99" i="44"/>
  <c r="I99" i="44" s="1"/>
  <c r="J99" i="44" s="1"/>
  <c r="K99" i="44" s="1"/>
  <c r="L99" i="44" s="1"/>
  <c r="M99" i="44" s="1"/>
  <c r="N99" i="44" s="1"/>
  <c r="O99" i="44" s="1"/>
  <c r="P99" i="44" s="1"/>
  <c r="Q99" i="44" s="1"/>
  <c r="R99" i="44" s="1"/>
  <c r="S99" i="44" s="1"/>
  <c r="H99" i="43"/>
  <c r="I99" i="43" s="1"/>
  <c r="J99" i="43" s="1"/>
  <c r="K99" i="43" s="1"/>
  <c r="L99" i="43" s="1"/>
  <c r="M99" i="43" s="1"/>
  <c r="N99" i="43" s="1"/>
  <c r="O99" i="43" s="1"/>
  <c r="P99" i="43" s="1"/>
  <c r="Q99" i="43" s="1"/>
  <c r="R99" i="43" s="1"/>
  <c r="S99" i="43" s="1"/>
  <c r="H101" i="48"/>
  <c r="I101" i="48" s="1"/>
  <c r="J101" i="48" s="1"/>
  <c r="K101" i="48" s="1"/>
  <c r="L101" i="48" s="1"/>
  <c r="M101" i="48" s="1"/>
  <c r="N101" i="48" s="1"/>
  <c r="O101" i="48" s="1"/>
  <c r="P101" i="48" s="1"/>
  <c r="Q101" i="48" s="1"/>
  <c r="R101" i="48" s="1"/>
  <c r="S101" i="48" s="1"/>
  <c r="H101" i="47"/>
  <c r="I101" i="47" s="1"/>
  <c r="J101" i="47" s="1"/>
  <c r="K101" i="47" s="1"/>
  <c r="L101" i="47" s="1"/>
  <c r="M101" i="47" s="1"/>
  <c r="N101" i="47" s="1"/>
  <c r="O101" i="47" s="1"/>
  <c r="P101" i="47" s="1"/>
  <c r="Q101" i="47" s="1"/>
  <c r="R101" i="47" s="1"/>
  <c r="S101" i="47" s="1"/>
  <c r="H101" i="46"/>
  <c r="I101" i="46" s="1"/>
  <c r="J101" i="46" s="1"/>
  <c r="K101" i="46" s="1"/>
  <c r="L101" i="46" s="1"/>
  <c r="M101" i="46" s="1"/>
  <c r="N101" i="46" s="1"/>
  <c r="O101" i="46" s="1"/>
  <c r="P101" i="46" s="1"/>
  <c r="Q101" i="46" s="1"/>
  <c r="R101" i="46" s="1"/>
  <c r="S101" i="46" s="1"/>
  <c r="H101" i="45"/>
  <c r="I101" i="45" s="1"/>
  <c r="J101" i="45" s="1"/>
  <c r="K101" i="45" s="1"/>
  <c r="L101" i="45" s="1"/>
  <c r="M101" i="45" s="1"/>
  <c r="N101" i="45" s="1"/>
  <c r="O101" i="45" s="1"/>
  <c r="P101" i="45" s="1"/>
  <c r="Q101" i="45" s="1"/>
  <c r="R101" i="45" s="1"/>
  <c r="S101" i="45" s="1"/>
  <c r="H101" i="44"/>
  <c r="I101" i="44" s="1"/>
  <c r="J101" i="44" s="1"/>
  <c r="K101" i="44" s="1"/>
  <c r="L101" i="44" s="1"/>
  <c r="M101" i="44" s="1"/>
  <c r="N101" i="44" s="1"/>
  <c r="O101" i="44" s="1"/>
  <c r="P101" i="44" s="1"/>
  <c r="Q101" i="44" s="1"/>
  <c r="R101" i="44" s="1"/>
  <c r="S101" i="44" s="1"/>
  <c r="H101" i="43"/>
  <c r="I101" i="43" s="1"/>
  <c r="J101" i="43" s="1"/>
  <c r="K101" i="43" s="1"/>
  <c r="L101" i="43" s="1"/>
  <c r="M101" i="43" s="1"/>
  <c r="N101" i="43" s="1"/>
  <c r="O101" i="43" s="1"/>
  <c r="P101" i="43" s="1"/>
  <c r="Q101" i="43" s="1"/>
  <c r="R101" i="43" s="1"/>
  <c r="S101" i="43" s="1"/>
  <c r="H53" i="48"/>
  <c r="I53" i="48" s="1"/>
  <c r="J53" i="48" s="1"/>
  <c r="K53" i="48" s="1"/>
  <c r="L53" i="48" s="1"/>
  <c r="M53" i="48" s="1"/>
  <c r="N53" i="48" s="1"/>
  <c r="O53" i="48" s="1"/>
  <c r="P53" i="48" s="1"/>
  <c r="Q53" i="48" s="1"/>
  <c r="R53" i="48" s="1"/>
  <c r="S53" i="48" s="1"/>
  <c r="H53" i="47"/>
  <c r="I53" i="47" s="1"/>
  <c r="J53" i="47" s="1"/>
  <c r="K53" i="47" s="1"/>
  <c r="L53" i="47" s="1"/>
  <c r="M53" i="47" s="1"/>
  <c r="N53" i="47" s="1"/>
  <c r="O53" i="47" s="1"/>
  <c r="P53" i="47" s="1"/>
  <c r="Q53" i="47" s="1"/>
  <c r="R53" i="47" s="1"/>
  <c r="S53" i="47" s="1"/>
  <c r="H53" i="46"/>
  <c r="I53" i="46" s="1"/>
  <c r="J53" i="46" s="1"/>
  <c r="K53" i="46" s="1"/>
  <c r="L53" i="46" s="1"/>
  <c r="M53" i="46" s="1"/>
  <c r="N53" i="46" s="1"/>
  <c r="O53" i="46" s="1"/>
  <c r="P53" i="46" s="1"/>
  <c r="Q53" i="46" s="1"/>
  <c r="R53" i="46" s="1"/>
  <c r="S53" i="46" s="1"/>
  <c r="H53" i="45"/>
  <c r="I53" i="45" s="1"/>
  <c r="J53" i="45" s="1"/>
  <c r="K53" i="45" s="1"/>
  <c r="L53" i="45" s="1"/>
  <c r="M53" i="45" s="1"/>
  <c r="N53" i="45" s="1"/>
  <c r="O53" i="45" s="1"/>
  <c r="P53" i="45" s="1"/>
  <c r="Q53" i="45" s="1"/>
  <c r="R53" i="45" s="1"/>
  <c r="S53" i="45" s="1"/>
  <c r="H53" i="44"/>
  <c r="I53" i="44" s="1"/>
  <c r="J53" i="44" s="1"/>
  <c r="K53" i="44" s="1"/>
  <c r="L53" i="44" s="1"/>
  <c r="M53" i="44" s="1"/>
  <c r="N53" i="44" s="1"/>
  <c r="O53" i="44" s="1"/>
  <c r="P53" i="44" s="1"/>
  <c r="Q53" i="44" s="1"/>
  <c r="R53" i="44" s="1"/>
  <c r="S53" i="44" s="1"/>
  <c r="H53" i="43"/>
  <c r="I53" i="43" s="1"/>
  <c r="J53" i="43" s="1"/>
  <c r="K53" i="43" s="1"/>
  <c r="L53" i="43" s="1"/>
  <c r="M53" i="43" s="1"/>
  <c r="N53" i="43" s="1"/>
  <c r="O53" i="43" s="1"/>
  <c r="P53" i="43" s="1"/>
  <c r="Q53" i="43" s="1"/>
  <c r="R53" i="43" s="1"/>
  <c r="S53" i="43" s="1"/>
  <c r="H54" i="48"/>
  <c r="I54" i="48" s="1"/>
  <c r="J54" i="48" s="1"/>
  <c r="K54" i="48" s="1"/>
  <c r="L54" i="48" s="1"/>
  <c r="M54" i="48" s="1"/>
  <c r="N54" i="48" s="1"/>
  <c r="O54" i="48" s="1"/>
  <c r="P54" i="48" s="1"/>
  <c r="Q54" i="48" s="1"/>
  <c r="R54" i="48" s="1"/>
  <c r="S54" i="48" s="1"/>
  <c r="H54" i="47"/>
  <c r="I54" i="47" s="1"/>
  <c r="J54" i="47" s="1"/>
  <c r="K54" i="47" s="1"/>
  <c r="L54" i="47" s="1"/>
  <c r="M54" i="47" s="1"/>
  <c r="N54" i="47" s="1"/>
  <c r="O54" i="47" s="1"/>
  <c r="P54" i="47" s="1"/>
  <c r="Q54" i="47" s="1"/>
  <c r="R54" i="47" s="1"/>
  <c r="S54" i="47" s="1"/>
  <c r="H54" i="46"/>
  <c r="I54" i="46" s="1"/>
  <c r="J54" i="46" s="1"/>
  <c r="K54" i="46" s="1"/>
  <c r="L54" i="46" s="1"/>
  <c r="M54" i="46" s="1"/>
  <c r="N54" i="46" s="1"/>
  <c r="O54" i="46" s="1"/>
  <c r="P54" i="46" s="1"/>
  <c r="Q54" i="46" s="1"/>
  <c r="R54" i="46" s="1"/>
  <c r="S54" i="46" s="1"/>
  <c r="H54" i="45"/>
  <c r="I54" i="45" s="1"/>
  <c r="J54" i="45" s="1"/>
  <c r="K54" i="45" s="1"/>
  <c r="L54" i="45" s="1"/>
  <c r="M54" i="45" s="1"/>
  <c r="N54" i="45" s="1"/>
  <c r="O54" i="45" s="1"/>
  <c r="P54" i="45" s="1"/>
  <c r="Q54" i="45" s="1"/>
  <c r="R54" i="45" s="1"/>
  <c r="S54" i="45" s="1"/>
  <c r="H54" i="44"/>
  <c r="I54" i="44" s="1"/>
  <c r="J54" i="44" s="1"/>
  <c r="K54" i="44" s="1"/>
  <c r="L54" i="44" s="1"/>
  <c r="M54" i="44" s="1"/>
  <c r="N54" i="44" s="1"/>
  <c r="O54" i="44" s="1"/>
  <c r="P54" i="44" s="1"/>
  <c r="Q54" i="44" s="1"/>
  <c r="R54" i="44" s="1"/>
  <c r="S54" i="44" s="1"/>
  <c r="H54" i="43"/>
  <c r="I54" i="43" s="1"/>
  <c r="J54" i="43" s="1"/>
  <c r="K54" i="43" s="1"/>
  <c r="L54" i="43" s="1"/>
  <c r="M54" i="43" s="1"/>
  <c r="N54" i="43" s="1"/>
  <c r="O54" i="43" s="1"/>
  <c r="P54" i="43" s="1"/>
  <c r="Q54" i="43" s="1"/>
  <c r="R54" i="43" s="1"/>
  <c r="S54" i="43" s="1"/>
  <c r="H63" i="48"/>
  <c r="I63" i="48" s="1"/>
  <c r="J63" i="48" s="1"/>
  <c r="K63" i="48" s="1"/>
  <c r="L63" i="48" s="1"/>
  <c r="M63" i="48" s="1"/>
  <c r="N63" i="48" s="1"/>
  <c r="O63" i="48" s="1"/>
  <c r="P63" i="48" s="1"/>
  <c r="Q63" i="48" s="1"/>
  <c r="R63" i="48" s="1"/>
  <c r="S63" i="48" s="1"/>
  <c r="H63" i="47"/>
  <c r="I63" i="47" s="1"/>
  <c r="J63" i="47" s="1"/>
  <c r="K63" i="47" s="1"/>
  <c r="L63" i="47" s="1"/>
  <c r="M63" i="47" s="1"/>
  <c r="N63" i="47" s="1"/>
  <c r="O63" i="47" s="1"/>
  <c r="P63" i="47" s="1"/>
  <c r="Q63" i="47" s="1"/>
  <c r="R63" i="47" s="1"/>
  <c r="S63" i="47" s="1"/>
  <c r="H63" i="46"/>
  <c r="I63" i="46" s="1"/>
  <c r="J63" i="46" s="1"/>
  <c r="K63" i="46" s="1"/>
  <c r="L63" i="46" s="1"/>
  <c r="M63" i="46" s="1"/>
  <c r="N63" i="46" s="1"/>
  <c r="O63" i="46" s="1"/>
  <c r="P63" i="46" s="1"/>
  <c r="Q63" i="46" s="1"/>
  <c r="R63" i="46" s="1"/>
  <c r="S63" i="46" s="1"/>
  <c r="H63" i="45"/>
  <c r="I63" i="45" s="1"/>
  <c r="J63" i="45" s="1"/>
  <c r="K63" i="45" s="1"/>
  <c r="L63" i="45" s="1"/>
  <c r="M63" i="45" s="1"/>
  <c r="N63" i="45" s="1"/>
  <c r="O63" i="45" s="1"/>
  <c r="P63" i="45" s="1"/>
  <c r="Q63" i="45" s="1"/>
  <c r="R63" i="45" s="1"/>
  <c r="S63" i="45" s="1"/>
  <c r="H63" i="44"/>
  <c r="I63" i="44" s="1"/>
  <c r="J63" i="44" s="1"/>
  <c r="K63" i="44" s="1"/>
  <c r="L63" i="44" s="1"/>
  <c r="M63" i="44" s="1"/>
  <c r="N63" i="44" s="1"/>
  <c r="O63" i="44" s="1"/>
  <c r="P63" i="44" s="1"/>
  <c r="Q63" i="44" s="1"/>
  <c r="R63" i="44" s="1"/>
  <c r="S63" i="44" s="1"/>
  <c r="H63" i="43"/>
  <c r="I63" i="43" s="1"/>
  <c r="J63" i="43" s="1"/>
  <c r="K63" i="43" s="1"/>
  <c r="L63" i="43" s="1"/>
  <c r="M63" i="43" s="1"/>
  <c r="N63" i="43" s="1"/>
  <c r="O63" i="43" s="1"/>
  <c r="P63" i="43" s="1"/>
  <c r="Q63" i="43" s="1"/>
  <c r="R63" i="43" s="1"/>
  <c r="S63" i="43" s="1"/>
  <c r="H81" i="48"/>
  <c r="I81" i="48" s="1"/>
  <c r="J81" i="48" s="1"/>
  <c r="K81" i="48" s="1"/>
  <c r="L81" i="48" s="1"/>
  <c r="M81" i="48" s="1"/>
  <c r="N81" i="48" s="1"/>
  <c r="O81" i="48" s="1"/>
  <c r="P81" i="48" s="1"/>
  <c r="Q81" i="48" s="1"/>
  <c r="R81" i="48" s="1"/>
  <c r="S81" i="48" s="1"/>
  <c r="H81" i="47"/>
  <c r="I81" i="47" s="1"/>
  <c r="J81" i="47" s="1"/>
  <c r="K81" i="47" s="1"/>
  <c r="L81" i="47" s="1"/>
  <c r="M81" i="47" s="1"/>
  <c r="N81" i="47" s="1"/>
  <c r="O81" i="47" s="1"/>
  <c r="P81" i="47" s="1"/>
  <c r="Q81" i="47" s="1"/>
  <c r="R81" i="47" s="1"/>
  <c r="S81" i="47" s="1"/>
  <c r="H81" i="46"/>
  <c r="I81" i="46" s="1"/>
  <c r="J81" i="46" s="1"/>
  <c r="K81" i="46" s="1"/>
  <c r="L81" i="46" s="1"/>
  <c r="M81" i="46" s="1"/>
  <c r="N81" i="46" s="1"/>
  <c r="O81" i="46" s="1"/>
  <c r="P81" i="46" s="1"/>
  <c r="Q81" i="46" s="1"/>
  <c r="R81" i="46" s="1"/>
  <c r="S81" i="46" s="1"/>
  <c r="H81" i="45"/>
  <c r="I81" i="45" s="1"/>
  <c r="J81" i="45" s="1"/>
  <c r="K81" i="45" s="1"/>
  <c r="L81" i="45" s="1"/>
  <c r="M81" i="45" s="1"/>
  <c r="N81" i="45" s="1"/>
  <c r="O81" i="45" s="1"/>
  <c r="P81" i="45" s="1"/>
  <c r="Q81" i="45" s="1"/>
  <c r="R81" i="45" s="1"/>
  <c r="S81" i="45" s="1"/>
  <c r="H81" i="44"/>
  <c r="I81" i="44" s="1"/>
  <c r="J81" i="44" s="1"/>
  <c r="K81" i="44" s="1"/>
  <c r="L81" i="44" s="1"/>
  <c r="M81" i="44" s="1"/>
  <c r="N81" i="44" s="1"/>
  <c r="O81" i="44" s="1"/>
  <c r="P81" i="44" s="1"/>
  <c r="Q81" i="44" s="1"/>
  <c r="R81" i="44" s="1"/>
  <c r="S81" i="44" s="1"/>
  <c r="H81" i="43"/>
  <c r="I81" i="43" s="1"/>
  <c r="J81" i="43" s="1"/>
  <c r="K81" i="43" s="1"/>
  <c r="L81" i="43" s="1"/>
  <c r="M81" i="43" s="1"/>
  <c r="N81" i="43" s="1"/>
  <c r="O81" i="43" s="1"/>
  <c r="P81" i="43" s="1"/>
  <c r="Q81" i="43" s="1"/>
  <c r="R81" i="43" s="1"/>
  <c r="S81" i="43" s="1"/>
  <c r="H100" i="48"/>
  <c r="I100" i="48" s="1"/>
  <c r="J100" i="48" s="1"/>
  <c r="K100" i="48" s="1"/>
  <c r="L100" i="48" s="1"/>
  <c r="M100" i="48" s="1"/>
  <c r="N100" i="48" s="1"/>
  <c r="O100" i="48" s="1"/>
  <c r="P100" i="48" s="1"/>
  <c r="Q100" i="48" s="1"/>
  <c r="R100" i="48" s="1"/>
  <c r="S100" i="48" s="1"/>
  <c r="H100" i="47"/>
  <c r="I100" i="47" s="1"/>
  <c r="J100" i="47" s="1"/>
  <c r="K100" i="47" s="1"/>
  <c r="L100" i="47" s="1"/>
  <c r="M100" i="47" s="1"/>
  <c r="N100" i="47" s="1"/>
  <c r="O100" i="47" s="1"/>
  <c r="P100" i="47" s="1"/>
  <c r="Q100" i="47" s="1"/>
  <c r="R100" i="47" s="1"/>
  <c r="S100" i="47" s="1"/>
  <c r="H100" i="46"/>
  <c r="I100" i="46" s="1"/>
  <c r="J100" i="46" s="1"/>
  <c r="K100" i="46" s="1"/>
  <c r="L100" i="46" s="1"/>
  <c r="M100" i="46" s="1"/>
  <c r="N100" i="46" s="1"/>
  <c r="O100" i="46" s="1"/>
  <c r="P100" i="46" s="1"/>
  <c r="Q100" i="46" s="1"/>
  <c r="R100" i="46" s="1"/>
  <c r="S100" i="46" s="1"/>
  <c r="H100" i="45"/>
  <c r="I100" i="45" s="1"/>
  <c r="J100" i="45" s="1"/>
  <c r="K100" i="45" s="1"/>
  <c r="L100" i="45" s="1"/>
  <c r="M100" i="45" s="1"/>
  <c r="N100" i="45" s="1"/>
  <c r="O100" i="45" s="1"/>
  <c r="P100" i="45" s="1"/>
  <c r="Q100" i="45" s="1"/>
  <c r="R100" i="45" s="1"/>
  <c r="S100" i="45" s="1"/>
  <c r="H100" i="44"/>
  <c r="I100" i="44" s="1"/>
  <c r="J100" i="44" s="1"/>
  <c r="K100" i="44" s="1"/>
  <c r="L100" i="44" s="1"/>
  <c r="M100" i="44" s="1"/>
  <c r="N100" i="44" s="1"/>
  <c r="O100" i="44" s="1"/>
  <c r="P100" i="44" s="1"/>
  <c r="Q100" i="44" s="1"/>
  <c r="R100" i="44" s="1"/>
  <c r="S100" i="44" s="1"/>
  <c r="H100" i="43"/>
  <c r="I100" i="43" s="1"/>
  <c r="J100" i="43" s="1"/>
  <c r="K100" i="43" s="1"/>
  <c r="L100" i="43" s="1"/>
  <c r="M100" i="43" s="1"/>
  <c r="N100" i="43" s="1"/>
  <c r="O100" i="43" s="1"/>
  <c r="P100" i="43" s="1"/>
  <c r="Q100" i="43" s="1"/>
  <c r="R100" i="43" s="1"/>
  <c r="S100" i="43" s="1"/>
  <c r="H108" i="48"/>
  <c r="I108" i="48" s="1"/>
  <c r="J108" i="48" s="1"/>
  <c r="K108" i="48" s="1"/>
  <c r="L108" i="48" s="1"/>
  <c r="M108" i="48" s="1"/>
  <c r="N108" i="48" s="1"/>
  <c r="O108" i="48" s="1"/>
  <c r="P108" i="48" s="1"/>
  <c r="Q108" i="48" s="1"/>
  <c r="R108" i="48" s="1"/>
  <c r="S108" i="48" s="1"/>
  <c r="H108" i="47"/>
  <c r="I108" i="47" s="1"/>
  <c r="J108" i="47" s="1"/>
  <c r="K108" i="47" s="1"/>
  <c r="L108" i="47" s="1"/>
  <c r="M108" i="47" s="1"/>
  <c r="N108" i="47" s="1"/>
  <c r="O108" i="47" s="1"/>
  <c r="P108" i="47" s="1"/>
  <c r="Q108" i="47" s="1"/>
  <c r="R108" i="47" s="1"/>
  <c r="S108" i="47" s="1"/>
  <c r="H108" i="46"/>
  <c r="I108" i="46" s="1"/>
  <c r="J108" i="46" s="1"/>
  <c r="K108" i="46" s="1"/>
  <c r="L108" i="46" s="1"/>
  <c r="M108" i="46" s="1"/>
  <c r="N108" i="46" s="1"/>
  <c r="O108" i="46" s="1"/>
  <c r="P108" i="46" s="1"/>
  <c r="Q108" i="46" s="1"/>
  <c r="R108" i="46" s="1"/>
  <c r="S108" i="46" s="1"/>
  <c r="H108" i="45"/>
  <c r="I108" i="45" s="1"/>
  <c r="J108" i="45" s="1"/>
  <c r="K108" i="45" s="1"/>
  <c r="L108" i="45" s="1"/>
  <c r="M108" i="45" s="1"/>
  <c r="N108" i="45" s="1"/>
  <c r="O108" i="45" s="1"/>
  <c r="P108" i="45" s="1"/>
  <c r="Q108" i="45" s="1"/>
  <c r="R108" i="45" s="1"/>
  <c r="S108" i="45" s="1"/>
  <c r="H108" i="44"/>
  <c r="I108" i="44" s="1"/>
  <c r="J108" i="44" s="1"/>
  <c r="K108" i="44" s="1"/>
  <c r="L108" i="44" s="1"/>
  <c r="M108" i="44" s="1"/>
  <c r="N108" i="44" s="1"/>
  <c r="O108" i="44" s="1"/>
  <c r="P108" i="44" s="1"/>
  <c r="Q108" i="44" s="1"/>
  <c r="R108" i="44" s="1"/>
  <c r="S108" i="44" s="1"/>
  <c r="H108" i="43"/>
  <c r="I108" i="43" s="1"/>
  <c r="J108" i="43" s="1"/>
  <c r="K108" i="43" s="1"/>
  <c r="L108" i="43" s="1"/>
  <c r="M108" i="43" s="1"/>
  <c r="N108" i="43" s="1"/>
  <c r="O108" i="43" s="1"/>
  <c r="P108" i="43" s="1"/>
  <c r="Q108" i="43" s="1"/>
  <c r="R108" i="43" s="1"/>
  <c r="S108" i="43" s="1"/>
  <c r="H51" i="48"/>
  <c r="I51" i="48" s="1"/>
  <c r="J51" i="48" s="1"/>
  <c r="K51" i="48" s="1"/>
  <c r="L51" i="48" s="1"/>
  <c r="M51" i="48" s="1"/>
  <c r="N51" i="48" s="1"/>
  <c r="O51" i="48" s="1"/>
  <c r="P51" i="48" s="1"/>
  <c r="Q51" i="48" s="1"/>
  <c r="R51" i="48" s="1"/>
  <c r="S51" i="48" s="1"/>
  <c r="H51" i="47"/>
  <c r="I51" i="47" s="1"/>
  <c r="J51" i="47" s="1"/>
  <c r="K51" i="47" s="1"/>
  <c r="L51" i="47" s="1"/>
  <c r="M51" i="47" s="1"/>
  <c r="N51" i="47" s="1"/>
  <c r="O51" i="47" s="1"/>
  <c r="P51" i="47" s="1"/>
  <c r="Q51" i="47" s="1"/>
  <c r="R51" i="47" s="1"/>
  <c r="S51" i="47" s="1"/>
  <c r="H51" i="46"/>
  <c r="I51" i="46" s="1"/>
  <c r="J51" i="46" s="1"/>
  <c r="K51" i="46" s="1"/>
  <c r="L51" i="46" s="1"/>
  <c r="M51" i="46" s="1"/>
  <c r="N51" i="46" s="1"/>
  <c r="O51" i="46" s="1"/>
  <c r="P51" i="46" s="1"/>
  <c r="Q51" i="46" s="1"/>
  <c r="R51" i="46" s="1"/>
  <c r="S51" i="46" s="1"/>
  <c r="H51" i="45"/>
  <c r="I51" i="45" s="1"/>
  <c r="J51" i="45" s="1"/>
  <c r="K51" i="45" s="1"/>
  <c r="L51" i="45" s="1"/>
  <c r="M51" i="45" s="1"/>
  <c r="N51" i="45" s="1"/>
  <c r="O51" i="45" s="1"/>
  <c r="P51" i="45" s="1"/>
  <c r="Q51" i="45" s="1"/>
  <c r="R51" i="45" s="1"/>
  <c r="S51" i="45" s="1"/>
  <c r="H51" i="44"/>
  <c r="I51" i="44" s="1"/>
  <c r="J51" i="44" s="1"/>
  <c r="K51" i="44" s="1"/>
  <c r="L51" i="44" s="1"/>
  <c r="M51" i="44" s="1"/>
  <c r="N51" i="44" s="1"/>
  <c r="O51" i="44" s="1"/>
  <c r="P51" i="44" s="1"/>
  <c r="Q51" i="44" s="1"/>
  <c r="R51" i="44" s="1"/>
  <c r="S51" i="44" s="1"/>
  <c r="H51" i="43"/>
  <c r="I51" i="43" s="1"/>
  <c r="J51" i="43" s="1"/>
  <c r="K51" i="43" s="1"/>
  <c r="L51" i="43" s="1"/>
  <c r="M51" i="43" s="1"/>
  <c r="N51" i="43" s="1"/>
  <c r="O51" i="43" s="1"/>
  <c r="P51" i="43" s="1"/>
  <c r="Q51" i="43" s="1"/>
  <c r="R51" i="43" s="1"/>
  <c r="S51" i="43" s="1"/>
  <c r="H61" i="48"/>
  <c r="I61" i="48" s="1"/>
  <c r="J61" i="48" s="1"/>
  <c r="K61" i="48" s="1"/>
  <c r="L61" i="48" s="1"/>
  <c r="M61" i="48" s="1"/>
  <c r="N61" i="48" s="1"/>
  <c r="O61" i="48" s="1"/>
  <c r="P61" i="48" s="1"/>
  <c r="Q61" i="48" s="1"/>
  <c r="R61" i="48" s="1"/>
  <c r="S61" i="48" s="1"/>
  <c r="H61" i="47"/>
  <c r="I61" i="47" s="1"/>
  <c r="J61" i="47" s="1"/>
  <c r="K61" i="47" s="1"/>
  <c r="L61" i="47" s="1"/>
  <c r="M61" i="47" s="1"/>
  <c r="N61" i="47" s="1"/>
  <c r="O61" i="47" s="1"/>
  <c r="P61" i="47" s="1"/>
  <c r="Q61" i="47" s="1"/>
  <c r="R61" i="47" s="1"/>
  <c r="S61" i="47" s="1"/>
  <c r="H61" i="46"/>
  <c r="I61" i="46" s="1"/>
  <c r="J61" i="46" s="1"/>
  <c r="K61" i="46" s="1"/>
  <c r="L61" i="46" s="1"/>
  <c r="M61" i="46" s="1"/>
  <c r="N61" i="46" s="1"/>
  <c r="O61" i="46" s="1"/>
  <c r="P61" i="46" s="1"/>
  <c r="Q61" i="46" s="1"/>
  <c r="R61" i="46" s="1"/>
  <c r="S61" i="46" s="1"/>
  <c r="H61" i="45"/>
  <c r="I61" i="45" s="1"/>
  <c r="J61" i="45" s="1"/>
  <c r="K61" i="45" s="1"/>
  <c r="L61" i="45" s="1"/>
  <c r="M61" i="45" s="1"/>
  <c r="N61" i="45" s="1"/>
  <c r="O61" i="45" s="1"/>
  <c r="P61" i="45" s="1"/>
  <c r="Q61" i="45" s="1"/>
  <c r="R61" i="45" s="1"/>
  <c r="S61" i="45" s="1"/>
  <c r="H61" i="44"/>
  <c r="I61" i="44" s="1"/>
  <c r="J61" i="44" s="1"/>
  <c r="K61" i="44" s="1"/>
  <c r="L61" i="44" s="1"/>
  <c r="M61" i="44" s="1"/>
  <c r="N61" i="44" s="1"/>
  <c r="O61" i="44" s="1"/>
  <c r="P61" i="44" s="1"/>
  <c r="Q61" i="44" s="1"/>
  <c r="R61" i="44" s="1"/>
  <c r="S61" i="44" s="1"/>
  <c r="H61" i="43"/>
  <c r="I61" i="43" s="1"/>
  <c r="J61" i="43" s="1"/>
  <c r="K61" i="43" s="1"/>
  <c r="L61" i="43" s="1"/>
  <c r="M61" i="43" s="1"/>
  <c r="N61" i="43" s="1"/>
  <c r="O61" i="43" s="1"/>
  <c r="P61" i="43" s="1"/>
  <c r="Q61" i="43" s="1"/>
  <c r="R61" i="43" s="1"/>
  <c r="S61" i="43" s="1"/>
  <c r="H62" i="48"/>
  <c r="I62" i="48" s="1"/>
  <c r="J62" i="48" s="1"/>
  <c r="K62" i="48" s="1"/>
  <c r="L62" i="48" s="1"/>
  <c r="M62" i="48" s="1"/>
  <c r="N62" i="48" s="1"/>
  <c r="O62" i="48" s="1"/>
  <c r="P62" i="48" s="1"/>
  <c r="Q62" i="48" s="1"/>
  <c r="R62" i="48" s="1"/>
  <c r="S62" i="48" s="1"/>
  <c r="H62" i="47"/>
  <c r="I62" i="47" s="1"/>
  <c r="J62" i="47" s="1"/>
  <c r="K62" i="47" s="1"/>
  <c r="L62" i="47" s="1"/>
  <c r="M62" i="47" s="1"/>
  <c r="N62" i="47" s="1"/>
  <c r="O62" i="47" s="1"/>
  <c r="P62" i="47" s="1"/>
  <c r="Q62" i="47" s="1"/>
  <c r="R62" i="47" s="1"/>
  <c r="S62" i="47" s="1"/>
  <c r="H62" i="46"/>
  <c r="I62" i="46" s="1"/>
  <c r="J62" i="46" s="1"/>
  <c r="K62" i="46" s="1"/>
  <c r="L62" i="46" s="1"/>
  <c r="M62" i="46" s="1"/>
  <c r="N62" i="46" s="1"/>
  <c r="O62" i="46" s="1"/>
  <c r="P62" i="46" s="1"/>
  <c r="Q62" i="46" s="1"/>
  <c r="R62" i="46" s="1"/>
  <c r="S62" i="46" s="1"/>
  <c r="H62" i="45"/>
  <c r="I62" i="45" s="1"/>
  <c r="J62" i="45" s="1"/>
  <c r="K62" i="45" s="1"/>
  <c r="L62" i="45" s="1"/>
  <c r="M62" i="45" s="1"/>
  <c r="N62" i="45" s="1"/>
  <c r="O62" i="45" s="1"/>
  <c r="P62" i="45" s="1"/>
  <c r="Q62" i="45" s="1"/>
  <c r="R62" i="45" s="1"/>
  <c r="S62" i="45" s="1"/>
  <c r="H62" i="44"/>
  <c r="I62" i="44" s="1"/>
  <c r="J62" i="44" s="1"/>
  <c r="K62" i="44" s="1"/>
  <c r="L62" i="44" s="1"/>
  <c r="M62" i="44" s="1"/>
  <c r="N62" i="44" s="1"/>
  <c r="O62" i="44" s="1"/>
  <c r="P62" i="44" s="1"/>
  <c r="Q62" i="44" s="1"/>
  <c r="R62" i="44" s="1"/>
  <c r="S62" i="44" s="1"/>
  <c r="H62" i="43"/>
  <c r="I62" i="43" s="1"/>
  <c r="J62" i="43" s="1"/>
  <c r="K62" i="43" s="1"/>
  <c r="L62" i="43" s="1"/>
  <c r="M62" i="43" s="1"/>
  <c r="N62" i="43" s="1"/>
  <c r="O62" i="43" s="1"/>
  <c r="P62" i="43" s="1"/>
  <c r="Q62" i="43" s="1"/>
  <c r="R62" i="43" s="1"/>
  <c r="S62" i="43" s="1"/>
  <c r="H80" i="48"/>
  <c r="I80" i="48" s="1"/>
  <c r="J80" i="48" s="1"/>
  <c r="K80" i="48" s="1"/>
  <c r="L80" i="48" s="1"/>
  <c r="M80" i="48" s="1"/>
  <c r="N80" i="48" s="1"/>
  <c r="O80" i="48" s="1"/>
  <c r="P80" i="48" s="1"/>
  <c r="Q80" i="48" s="1"/>
  <c r="R80" i="48" s="1"/>
  <c r="S80" i="48" s="1"/>
  <c r="H80" i="47"/>
  <c r="I80" i="47" s="1"/>
  <c r="J80" i="47" s="1"/>
  <c r="K80" i="47" s="1"/>
  <c r="L80" i="47" s="1"/>
  <c r="M80" i="47" s="1"/>
  <c r="N80" i="47" s="1"/>
  <c r="O80" i="47" s="1"/>
  <c r="P80" i="47" s="1"/>
  <c r="Q80" i="47" s="1"/>
  <c r="R80" i="47" s="1"/>
  <c r="S80" i="47" s="1"/>
  <c r="H80" i="46"/>
  <c r="I80" i="46" s="1"/>
  <c r="J80" i="46" s="1"/>
  <c r="K80" i="46" s="1"/>
  <c r="L80" i="46" s="1"/>
  <c r="M80" i="46" s="1"/>
  <c r="N80" i="46" s="1"/>
  <c r="O80" i="46" s="1"/>
  <c r="P80" i="46" s="1"/>
  <c r="Q80" i="46" s="1"/>
  <c r="R80" i="46" s="1"/>
  <c r="S80" i="46" s="1"/>
  <c r="H80" i="45"/>
  <c r="I80" i="45" s="1"/>
  <c r="J80" i="45" s="1"/>
  <c r="K80" i="45" s="1"/>
  <c r="L80" i="45" s="1"/>
  <c r="M80" i="45" s="1"/>
  <c r="N80" i="45" s="1"/>
  <c r="O80" i="45" s="1"/>
  <c r="P80" i="45" s="1"/>
  <c r="Q80" i="45" s="1"/>
  <c r="R80" i="45" s="1"/>
  <c r="S80" i="45" s="1"/>
  <c r="H80" i="44"/>
  <c r="I80" i="44" s="1"/>
  <c r="J80" i="44" s="1"/>
  <c r="K80" i="44" s="1"/>
  <c r="L80" i="44" s="1"/>
  <c r="M80" i="44" s="1"/>
  <c r="N80" i="44" s="1"/>
  <c r="O80" i="44" s="1"/>
  <c r="P80" i="44" s="1"/>
  <c r="Q80" i="44" s="1"/>
  <c r="R80" i="44" s="1"/>
  <c r="S80" i="44" s="1"/>
  <c r="H80" i="43"/>
  <c r="I80" i="43" s="1"/>
  <c r="J80" i="43" s="1"/>
  <c r="K80" i="43" s="1"/>
  <c r="L80" i="43" s="1"/>
  <c r="M80" i="43" s="1"/>
  <c r="N80" i="43" s="1"/>
  <c r="O80" i="43" s="1"/>
  <c r="P80" i="43" s="1"/>
  <c r="Q80" i="43" s="1"/>
  <c r="R80" i="43" s="1"/>
  <c r="S80" i="43" s="1"/>
  <c r="H98" i="48"/>
  <c r="I98" i="48" s="1"/>
  <c r="J98" i="48" s="1"/>
  <c r="K98" i="48" s="1"/>
  <c r="L98" i="48" s="1"/>
  <c r="M98" i="48" s="1"/>
  <c r="N98" i="48" s="1"/>
  <c r="O98" i="48" s="1"/>
  <c r="P98" i="48" s="1"/>
  <c r="Q98" i="48" s="1"/>
  <c r="R98" i="48" s="1"/>
  <c r="S98" i="48" s="1"/>
  <c r="H98" i="47"/>
  <c r="I98" i="47" s="1"/>
  <c r="J98" i="47" s="1"/>
  <c r="K98" i="47" s="1"/>
  <c r="L98" i="47" s="1"/>
  <c r="M98" i="47" s="1"/>
  <c r="N98" i="47" s="1"/>
  <c r="O98" i="47" s="1"/>
  <c r="P98" i="47" s="1"/>
  <c r="Q98" i="47" s="1"/>
  <c r="R98" i="47" s="1"/>
  <c r="S98" i="47" s="1"/>
  <c r="H98" i="46"/>
  <c r="I98" i="46" s="1"/>
  <c r="J98" i="46" s="1"/>
  <c r="K98" i="46" s="1"/>
  <c r="L98" i="46" s="1"/>
  <c r="M98" i="46" s="1"/>
  <c r="N98" i="46" s="1"/>
  <c r="O98" i="46" s="1"/>
  <c r="P98" i="46" s="1"/>
  <c r="Q98" i="46" s="1"/>
  <c r="R98" i="46" s="1"/>
  <c r="S98" i="46" s="1"/>
  <c r="H98" i="45"/>
  <c r="I98" i="45" s="1"/>
  <c r="J98" i="45" s="1"/>
  <c r="K98" i="45" s="1"/>
  <c r="L98" i="45" s="1"/>
  <c r="M98" i="45" s="1"/>
  <c r="N98" i="45" s="1"/>
  <c r="O98" i="45" s="1"/>
  <c r="P98" i="45" s="1"/>
  <c r="Q98" i="45" s="1"/>
  <c r="R98" i="45" s="1"/>
  <c r="S98" i="45" s="1"/>
  <c r="H98" i="44"/>
  <c r="I98" i="44" s="1"/>
  <c r="J98" i="44" s="1"/>
  <c r="K98" i="44" s="1"/>
  <c r="L98" i="44" s="1"/>
  <c r="M98" i="44" s="1"/>
  <c r="N98" i="44" s="1"/>
  <c r="O98" i="44" s="1"/>
  <c r="P98" i="44" s="1"/>
  <c r="Q98" i="44" s="1"/>
  <c r="R98" i="44" s="1"/>
  <c r="S98" i="44" s="1"/>
  <c r="H98" i="43"/>
  <c r="I98" i="43" s="1"/>
  <c r="J98" i="43" s="1"/>
  <c r="K98" i="43" s="1"/>
  <c r="L98" i="43" s="1"/>
  <c r="M98" i="43" s="1"/>
  <c r="N98" i="43" s="1"/>
  <c r="O98" i="43" s="1"/>
  <c r="P98" i="43" s="1"/>
  <c r="Q98" i="43" s="1"/>
  <c r="R98" i="43" s="1"/>
  <c r="S98" i="43" s="1"/>
  <c r="H107" i="48"/>
  <c r="I107" i="48" s="1"/>
  <c r="J107" i="48" s="1"/>
  <c r="K107" i="48" s="1"/>
  <c r="L107" i="48" s="1"/>
  <c r="M107" i="48" s="1"/>
  <c r="N107" i="48" s="1"/>
  <c r="O107" i="48" s="1"/>
  <c r="P107" i="48" s="1"/>
  <c r="Q107" i="48" s="1"/>
  <c r="R107" i="48" s="1"/>
  <c r="S107" i="48" s="1"/>
  <c r="H107" i="47"/>
  <c r="I107" i="47" s="1"/>
  <c r="J107" i="47" s="1"/>
  <c r="K107" i="47" s="1"/>
  <c r="L107" i="47" s="1"/>
  <c r="M107" i="47" s="1"/>
  <c r="N107" i="47" s="1"/>
  <c r="O107" i="47" s="1"/>
  <c r="P107" i="47" s="1"/>
  <c r="Q107" i="47" s="1"/>
  <c r="R107" i="47" s="1"/>
  <c r="S107" i="47" s="1"/>
  <c r="H107" i="46"/>
  <c r="I107" i="46" s="1"/>
  <c r="J107" i="46" s="1"/>
  <c r="K107" i="46" s="1"/>
  <c r="L107" i="46" s="1"/>
  <c r="M107" i="46" s="1"/>
  <c r="N107" i="46" s="1"/>
  <c r="O107" i="46" s="1"/>
  <c r="P107" i="46" s="1"/>
  <c r="Q107" i="46" s="1"/>
  <c r="R107" i="46" s="1"/>
  <c r="S107" i="46" s="1"/>
  <c r="H107" i="45"/>
  <c r="I107" i="45" s="1"/>
  <c r="J107" i="45" s="1"/>
  <c r="K107" i="45" s="1"/>
  <c r="L107" i="45" s="1"/>
  <c r="M107" i="45" s="1"/>
  <c r="N107" i="45" s="1"/>
  <c r="O107" i="45" s="1"/>
  <c r="P107" i="45" s="1"/>
  <c r="Q107" i="45" s="1"/>
  <c r="R107" i="45" s="1"/>
  <c r="S107" i="45" s="1"/>
  <c r="H107" i="44"/>
  <c r="I107" i="44" s="1"/>
  <c r="J107" i="44" s="1"/>
  <c r="K107" i="44" s="1"/>
  <c r="L107" i="44" s="1"/>
  <c r="M107" i="44" s="1"/>
  <c r="N107" i="44" s="1"/>
  <c r="O107" i="44" s="1"/>
  <c r="P107" i="44" s="1"/>
  <c r="Q107" i="44" s="1"/>
  <c r="R107" i="44" s="1"/>
  <c r="S107" i="44" s="1"/>
  <c r="H107" i="43"/>
  <c r="I107" i="43" s="1"/>
  <c r="J107" i="43" s="1"/>
  <c r="K107" i="43" s="1"/>
  <c r="L107" i="43" s="1"/>
  <c r="M107" i="43" s="1"/>
  <c r="N107" i="43" s="1"/>
  <c r="O107" i="43" s="1"/>
  <c r="P107" i="43" s="1"/>
  <c r="Q107" i="43" s="1"/>
  <c r="R107" i="43" s="1"/>
  <c r="S107" i="43" s="1"/>
  <c r="H50" i="48"/>
  <c r="I50" i="48" s="1"/>
  <c r="J50" i="48" s="1"/>
  <c r="K50" i="48" s="1"/>
  <c r="L50" i="48" s="1"/>
  <c r="M50" i="48" s="1"/>
  <c r="N50" i="48" s="1"/>
  <c r="O50" i="48" s="1"/>
  <c r="P50" i="48" s="1"/>
  <c r="Q50" i="48" s="1"/>
  <c r="R50" i="48" s="1"/>
  <c r="S50" i="48" s="1"/>
  <c r="H50" i="47"/>
  <c r="I50" i="47" s="1"/>
  <c r="J50" i="47" s="1"/>
  <c r="K50" i="47" s="1"/>
  <c r="L50" i="47" s="1"/>
  <c r="M50" i="47" s="1"/>
  <c r="N50" i="47" s="1"/>
  <c r="O50" i="47" s="1"/>
  <c r="P50" i="47" s="1"/>
  <c r="Q50" i="47" s="1"/>
  <c r="R50" i="47" s="1"/>
  <c r="S50" i="47" s="1"/>
  <c r="H50" i="46"/>
  <c r="I50" i="46" s="1"/>
  <c r="J50" i="46" s="1"/>
  <c r="K50" i="46" s="1"/>
  <c r="L50" i="46" s="1"/>
  <c r="M50" i="46" s="1"/>
  <c r="N50" i="46" s="1"/>
  <c r="O50" i="46" s="1"/>
  <c r="P50" i="46" s="1"/>
  <c r="Q50" i="46" s="1"/>
  <c r="R50" i="46" s="1"/>
  <c r="S50" i="46" s="1"/>
  <c r="H50" i="45"/>
  <c r="I50" i="45" s="1"/>
  <c r="J50" i="45" s="1"/>
  <c r="K50" i="45" s="1"/>
  <c r="L50" i="45" s="1"/>
  <c r="M50" i="45" s="1"/>
  <c r="N50" i="45" s="1"/>
  <c r="O50" i="45" s="1"/>
  <c r="P50" i="45" s="1"/>
  <c r="Q50" i="45" s="1"/>
  <c r="R50" i="45" s="1"/>
  <c r="S50" i="45" s="1"/>
  <c r="H50" i="44"/>
  <c r="I50" i="44" s="1"/>
  <c r="J50" i="44" s="1"/>
  <c r="K50" i="44" s="1"/>
  <c r="L50" i="44" s="1"/>
  <c r="M50" i="44" s="1"/>
  <c r="N50" i="44" s="1"/>
  <c r="O50" i="44" s="1"/>
  <c r="P50" i="44" s="1"/>
  <c r="Q50" i="44" s="1"/>
  <c r="R50" i="44" s="1"/>
  <c r="S50" i="44" s="1"/>
  <c r="H50" i="43"/>
  <c r="I50" i="43" s="1"/>
  <c r="J50" i="43" s="1"/>
  <c r="K50" i="43" s="1"/>
  <c r="L50" i="43" s="1"/>
  <c r="M50" i="43" s="1"/>
  <c r="N50" i="43" s="1"/>
  <c r="O50" i="43" s="1"/>
  <c r="P50" i="43" s="1"/>
  <c r="Q50" i="43" s="1"/>
  <c r="R50" i="43" s="1"/>
  <c r="S50" i="43" s="1"/>
  <c r="H59" i="48"/>
  <c r="I59" i="48" s="1"/>
  <c r="J59" i="48" s="1"/>
  <c r="K59" i="48" s="1"/>
  <c r="L59" i="48" s="1"/>
  <c r="M59" i="48" s="1"/>
  <c r="N59" i="48" s="1"/>
  <c r="O59" i="48" s="1"/>
  <c r="P59" i="48" s="1"/>
  <c r="Q59" i="48" s="1"/>
  <c r="R59" i="48" s="1"/>
  <c r="S59" i="48" s="1"/>
  <c r="H59" i="47"/>
  <c r="I59" i="47" s="1"/>
  <c r="J59" i="47" s="1"/>
  <c r="K59" i="47" s="1"/>
  <c r="L59" i="47" s="1"/>
  <c r="M59" i="47" s="1"/>
  <c r="N59" i="47" s="1"/>
  <c r="O59" i="47" s="1"/>
  <c r="P59" i="47" s="1"/>
  <c r="Q59" i="47" s="1"/>
  <c r="R59" i="47" s="1"/>
  <c r="S59" i="47" s="1"/>
  <c r="H59" i="46"/>
  <c r="I59" i="46" s="1"/>
  <c r="J59" i="46" s="1"/>
  <c r="K59" i="46" s="1"/>
  <c r="L59" i="46" s="1"/>
  <c r="M59" i="46" s="1"/>
  <c r="N59" i="46" s="1"/>
  <c r="O59" i="46" s="1"/>
  <c r="P59" i="46" s="1"/>
  <c r="Q59" i="46" s="1"/>
  <c r="R59" i="46" s="1"/>
  <c r="S59" i="46" s="1"/>
  <c r="H59" i="45"/>
  <c r="I59" i="45" s="1"/>
  <c r="J59" i="45" s="1"/>
  <c r="K59" i="45" s="1"/>
  <c r="L59" i="45" s="1"/>
  <c r="M59" i="45" s="1"/>
  <c r="N59" i="45" s="1"/>
  <c r="O59" i="45" s="1"/>
  <c r="P59" i="45" s="1"/>
  <c r="Q59" i="45" s="1"/>
  <c r="R59" i="45" s="1"/>
  <c r="S59" i="45" s="1"/>
  <c r="H59" i="44"/>
  <c r="I59" i="44" s="1"/>
  <c r="J59" i="44" s="1"/>
  <c r="K59" i="44" s="1"/>
  <c r="L59" i="44" s="1"/>
  <c r="M59" i="44" s="1"/>
  <c r="N59" i="44" s="1"/>
  <c r="O59" i="44" s="1"/>
  <c r="P59" i="44" s="1"/>
  <c r="Q59" i="44" s="1"/>
  <c r="R59" i="44" s="1"/>
  <c r="S59" i="44" s="1"/>
  <c r="H59" i="43"/>
  <c r="I59" i="43" s="1"/>
  <c r="J59" i="43" s="1"/>
  <c r="K59" i="43" s="1"/>
  <c r="L59" i="43" s="1"/>
  <c r="M59" i="43" s="1"/>
  <c r="N59" i="43" s="1"/>
  <c r="O59" i="43" s="1"/>
  <c r="P59" i="43" s="1"/>
  <c r="Q59" i="43" s="1"/>
  <c r="R59" i="43" s="1"/>
  <c r="S59" i="43" s="1"/>
  <c r="H79" i="48"/>
  <c r="I79" i="48" s="1"/>
  <c r="J79" i="48" s="1"/>
  <c r="K79" i="48" s="1"/>
  <c r="L79" i="48" s="1"/>
  <c r="M79" i="48" s="1"/>
  <c r="N79" i="48" s="1"/>
  <c r="O79" i="48" s="1"/>
  <c r="P79" i="48" s="1"/>
  <c r="Q79" i="48" s="1"/>
  <c r="R79" i="48" s="1"/>
  <c r="S79" i="48" s="1"/>
  <c r="H79" i="47"/>
  <c r="I79" i="47" s="1"/>
  <c r="J79" i="47" s="1"/>
  <c r="K79" i="47" s="1"/>
  <c r="L79" i="47" s="1"/>
  <c r="M79" i="47" s="1"/>
  <c r="N79" i="47" s="1"/>
  <c r="O79" i="47" s="1"/>
  <c r="P79" i="47" s="1"/>
  <c r="Q79" i="47" s="1"/>
  <c r="R79" i="47" s="1"/>
  <c r="S79" i="47" s="1"/>
  <c r="H79" i="46"/>
  <c r="I79" i="46" s="1"/>
  <c r="J79" i="46" s="1"/>
  <c r="K79" i="46" s="1"/>
  <c r="L79" i="46" s="1"/>
  <c r="M79" i="46" s="1"/>
  <c r="N79" i="46" s="1"/>
  <c r="O79" i="46" s="1"/>
  <c r="P79" i="46" s="1"/>
  <c r="Q79" i="46" s="1"/>
  <c r="R79" i="46" s="1"/>
  <c r="S79" i="46" s="1"/>
  <c r="H79" i="45"/>
  <c r="I79" i="45" s="1"/>
  <c r="J79" i="45" s="1"/>
  <c r="K79" i="45" s="1"/>
  <c r="L79" i="45" s="1"/>
  <c r="M79" i="45" s="1"/>
  <c r="N79" i="45" s="1"/>
  <c r="O79" i="45" s="1"/>
  <c r="P79" i="45" s="1"/>
  <c r="Q79" i="45" s="1"/>
  <c r="R79" i="45" s="1"/>
  <c r="S79" i="45" s="1"/>
  <c r="H79" i="44"/>
  <c r="I79" i="44" s="1"/>
  <c r="J79" i="44" s="1"/>
  <c r="K79" i="44" s="1"/>
  <c r="L79" i="44" s="1"/>
  <c r="M79" i="44" s="1"/>
  <c r="N79" i="44" s="1"/>
  <c r="O79" i="44" s="1"/>
  <c r="P79" i="44" s="1"/>
  <c r="Q79" i="44" s="1"/>
  <c r="R79" i="44" s="1"/>
  <c r="S79" i="44" s="1"/>
  <c r="H79" i="43"/>
  <c r="I79" i="43" s="1"/>
  <c r="J79" i="43" s="1"/>
  <c r="K79" i="43" s="1"/>
  <c r="L79" i="43" s="1"/>
  <c r="M79" i="43" s="1"/>
  <c r="N79" i="43" s="1"/>
  <c r="O79" i="43" s="1"/>
  <c r="P79" i="43" s="1"/>
  <c r="Q79" i="43" s="1"/>
  <c r="R79" i="43" s="1"/>
  <c r="S79" i="43" s="1"/>
  <c r="H97" i="48"/>
  <c r="I97" i="48" s="1"/>
  <c r="J97" i="48" s="1"/>
  <c r="K97" i="48" s="1"/>
  <c r="L97" i="48" s="1"/>
  <c r="M97" i="48" s="1"/>
  <c r="N97" i="48" s="1"/>
  <c r="O97" i="48" s="1"/>
  <c r="P97" i="48" s="1"/>
  <c r="Q97" i="48" s="1"/>
  <c r="R97" i="48" s="1"/>
  <c r="S97" i="48" s="1"/>
  <c r="H97" i="47"/>
  <c r="I97" i="47" s="1"/>
  <c r="J97" i="47" s="1"/>
  <c r="K97" i="47" s="1"/>
  <c r="L97" i="47" s="1"/>
  <c r="M97" i="47" s="1"/>
  <c r="N97" i="47" s="1"/>
  <c r="O97" i="47" s="1"/>
  <c r="P97" i="47" s="1"/>
  <c r="Q97" i="47" s="1"/>
  <c r="R97" i="47" s="1"/>
  <c r="S97" i="47" s="1"/>
  <c r="H97" i="46"/>
  <c r="I97" i="46" s="1"/>
  <c r="J97" i="46" s="1"/>
  <c r="K97" i="46" s="1"/>
  <c r="L97" i="46" s="1"/>
  <c r="M97" i="46" s="1"/>
  <c r="N97" i="46" s="1"/>
  <c r="O97" i="46" s="1"/>
  <c r="P97" i="46" s="1"/>
  <c r="Q97" i="46" s="1"/>
  <c r="R97" i="46" s="1"/>
  <c r="S97" i="46" s="1"/>
  <c r="H97" i="45"/>
  <c r="I97" i="45" s="1"/>
  <c r="J97" i="45" s="1"/>
  <c r="K97" i="45" s="1"/>
  <c r="L97" i="45" s="1"/>
  <c r="M97" i="45" s="1"/>
  <c r="N97" i="45" s="1"/>
  <c r="O97" i="45" s="1"/>
  <c r="P97" i="45" s="1"/>
  <c r="Q97" i="45" s="1"/>
  <c r="R97" i="45" s="1"/>
  <c r="S97" i="45" s="1"/>
  <c r="H97" i="44"/>
  <c r="I97" i="44" s="1"/>
  <c r="J97" i="44" s="1"/>
  <c r="K97" i="44" s="1"/>
  <c r="L97" i="44" s="1"/>
  <c r="M97" i="44" s="1"/>
  <c r="N97" i="44" s="1"/>
  <c r="O97" i="44" s="1"/>
  <c r="P97" i="44" s="1"/>
  <c r="Q97" i="44" s="1"/>
  <c r="R97" i="44" s="1"/>
  <c r="S97" i="44" s="1"/>
  <c r="H97" i="43"/>
  <c r="I97" i="43" s="1"/>
  <c r="J97" i="43" s="1"/>
  <c r="K97" i="43" s="1"/>
  <c r="L97" i="43" s="1"/>
  <c r="M97" i="43" s="1"/>
  <c r="N97" i="43" s="1"/>
  <c r="O97" i="43" s="1"/>
  <c r="P97" i="43" s="1"/>
  <c r="Q97" i="43" s="1"/>
  <c r="R97" i="43" s="1"/>
  <c r="S97" i="43" s="1"/>
  <c r="H106" i="48"/>
  <c r="I106" i="48" s="1"/>
  <c r="J106" i="48" s="1"/>
  <c r="K106" i="48" s="1"/>
  <c r="L106" i="48" s="1"/>
  <c r="M106" i="48" s="1"/>
  <c r="N106" i="48" s="1"/>
  <c r="O106" i="48" s="1"/>
  <c r="P106" i="48" s="1"/>
  <c r="Q106" i="48" s="1"/>
  <c r="R106" i="48" s="1"/>
  <c r="S106" i="48" s="1"/>
  <c r="H106" i="47"/>
  <c r="I106" i="47" s="1"/>
  <c r="J106" i="47" s="1"/>
  <c r="K106" i="47" s="1"/>
  <c r="L106" i="47" s="1"/>
  <c r="M106" i="47" s="1"/>
  <c r="N106" i="47" s="1"/>
  <c r="O106" i="47" s="1"/>
  <c r="P106" i="47" s="1"/>
  <c r="Q106" i="47" s="1"/>
  <c r="R106" i="47" s="1"/>
  <c r="S106" i="47" s="1"/>
  <c r="H106" i="46"/>
  <c r="I106" i="46" s="1"/>
  <c r="J106" i="46" s="1"/>
  <c r="K106" i="46" s="1"/>
  <c r="L106" i="46" s="1"/>
  <c r="M106" i="46" s="1"/>
  <c r="N106" i="46" s="1"/>
  <c r="O106" i="46" s="1"/>
  <c r="P106" i="46" s="1"/>
  <c r="Q106" i="46" s="1"/>
  <c r="R106" i="46" s="1"/>
  <c r="S106" i="46" s="1"/>
  <c r="H106" i="45"/>
  <c r="I106" i="45" s="1"/>
  <c r="J106" i="45" s="1"/>
  <c r="K106" i="45" s="1"/>
  <c r="L106" i="45" s="1"/>
  <c r="M106" i="45" s="1"/>
  <c r="N106" i="45" s="1"/>
  <c r="O106" i="45" s="1"/>
  <c r="P106" i="45" s="1"/>
  <c r="Q106" i="45" s="1"/>
  <c r="R106" i="45" s="1"/>
  <c r="S106" i="45" s="1"/>
  <c r="H106" i="44"/>
  <c r="I106" i="44" s="1"/>
  <c r="J106" i="44" s="1"/>
  <c r="K106" i="44" s="1"/>
  <c r="L106" i="44" s="1"/>
  <c r="M106" i="44" s="1"/>
  <c r="N106" i="44" s="1"/>
  <c r="O106" i="44" s="1"/>
  <c r="P106" i="44" s="1"/>
  <c r="Q106" i="44" s="1"/>
  <c r="R106" i="44" s="1"/>
  <c r="S106" i="44" s="1"/>
  <c r="H106" i="43"/>
  <c r="I106" i="43" s="1"/>
  <c r="J106" i="43" s="1"/>
  <c r="K106" i="43" s="1"/>
  <c r="L106" i="43" s="1"/>
  <c r="M106" i="43" s="1"/>
  <c r="N106" i="43" s="1"/>
  <c r="O106" i="43" s="1"/>
  <c r="P106" i="43" s="1"/>
  <c r="Q106" i="43" s="1"/>
  <c r="R106" i="43" s="1"/>
  <c r="S106" i="43" s="1"/>
  <c r="H52" i="48"/>
  <c r="I52" i="48" s="1"/>
  <c r="J52" i="48" s="1"/>
  <c r="K52" i="48" s="1"/>
  <c r="L52" i="48" s="1"/>
  <c r="M52" i="48" s="1"/>
  <c r="N52" i="48" s="1"/>
  <c r="O52" i="48" s="1"/>
  <c r="P52" i="48" s="1"/>
  <c r="Q52" i="48" s="1"/>
  <c r="R52" i="48" s="1"/>
  <c r="S52" i="48" s="1"/>
  <c r="H52" i="47"/>
  <c r="I52" i="47" s="1"/>
  <c r="J52" i="47" s="1"/>
  <c r="K52" i="47" s="1"/>
  <c r="L52" i="47" s="1"/>
  <c r="M52" i="47" s="1"/>
  <c r="N52" i="47" s="1"/>
  <c r="O52" i="47" s="1"/>
  <c r="P52" i="47" s="1"/>
  <c r="Q52" i="47" s="1"/>
  <c r="R52" i="47" s="1"/>
  <c r="S52" i="47" s="1"/>
  <c r="H52" i="46"/>
  <c r="I52" i="46" s="1"/>
  <c r="J52" i="46" s="1"/>
  <c r="K52" i="46" s="1"/>
  <c r="L52" i="46" s="1"/>
  <c r="M52" i="46" s="1"/>
  <c r="N52" i="46" s="1"/>
  <c r="O52" i="46" s="1"/>
  <c r="P52" i="46" s="1"/>
  <c r="Q52" i="46" s="1"/>
  <c r="R52" i="46" s="1"/>
  <c r="S52" i="46" s="1"/>
  <c r="H52" i="45"/>
  <c r="I52" i="45" s="1"/>
  <c r="J52" i="45" s="1"/>
  <c r="K52" i="45" s="1"/>
  <c r="L52" i="45" s="1"/>
  <c r="M52" i="45" s="1"/>
  <c r="N52" i="45" s="1"/>
  <c r="O52" i="45" s="1"/>
  <c r="P52" i="45" s="1"/>
  <c r="Q52" i="45" s="1"/>
  <c r="R52" i="45" s="1"/>
  <c r="S52" i="45" s="1"/>
  <c r="H52" i="44"/>
  <c r="I52" i="44" s="1"/>
  <c r="J52" i="44" s="1"/>
  <c r="K52" i="44" s="1"/>
  <c r="L52" i="44" s="1"/>
  <c r="M52" i="44" s="1"/>
  <c r="N52" i="44" s="1"/>
  <c r="O52" i="44" s="1"/>
  <c r="P52" i="44" s="1"/>
  <c r="Q52" i="44" s="1"/>
  <c r="R52" i="44" s="1"/>
  <c r="S52" i="44" s="1"/>
  <c r="H52" i="43"/>
  <c r="I52" i="43" s="1"/>
  <c r="J52" i="43" s="1"/>
  <c r="K52" i="43" s="1"/>
  <c r="L52" i="43" s="1"/>
  <c r="M52" i="43" s="1"/>
  <c r="N52" i="43" s="1"/>
  <c r="O52" i="43" s="1"/>
  <c r="P52" i="43" s="1"/>
  <c r="Q52" i="43" s="1"/>
  <c r="R52" i="43" s="1"/>
  <c r="S52" i="43" s="1"/>
  <c r="H60" i="48"/>
  <c r="I60" i="48" s="1"/>
  <c r="J60" i="48" s="1"/>
  <c r="K60" i="48" s="1"/>
  <c r="L60" i="48" s="1"/>
  <c r="M60" i="48" s="1"/>
  <c r="N60" i="48" s="1"/>
  <c r="O60" i="48" s="1"/>
  <c r="P60" i="48" s="1"/>
  <c r="Q60" i="48" s="1"/>
  <c r="R60" i="48" s="1"/>
  <c r="S60" i="48" s="1"/>
  <c r="H60" i="47"/>
  <c r="I60" i="47" s="1"/>
  <c r="J60" i="47" s="1"/>
  <c r="K60" i="47" s="1"/>
  <c r="L60" i="47" s="1"/>
  <c r="M60" i="47" s="1"/>
  <c r="N60" i="47" s="1"/>
  <c r="O60" i="47" s="1"/>
  <c r="P60" i="47" s="1"/>
  <c r="Q60" i="47" s="1"/>
  <c r="R60" i="47" s="1"/>
  <c r="S60" i="47" s="1"/>
  <c r="H60" i="46"/>
  <c r="I60" i="46" s="1"/>
  <c r="J60" i="46" s="1"/>
  <c r="K60" i="46" s="1"/>
  <c r="L60" i="46" s="1"/>
  <c r="M60" i="46" s="1"/>
  <c r="N60" i="46" s="1"/>
  <c r="O60" i="46" s="1"/>
  <c r="P60" i="46" s="1"/>
  <c r="Q60" i="46" s="1"/>
  <c r="R60" i="46" s="1"/>
  <c r="S60" i="46" s="1"/>
  <c r="H60" i="45"/>
  <c r="I60" i="45" s="1"/>
  <c r="J60" i="45" s="1"/>
  <c r="K60" i="45" s="1"/>
  <c r="L60" i="45" s="1"/>
  <c r="M60" i="45" s="1"/>
  <c r="N60" i="45" s="1"/>
  <c r="O60" i="45" s="1"/>
  <c r="P60" i="45" s="1"/>
  <c r="Q60" i="45" s="1"/>
  <c r="R60" i="45" s="1"/>
  <c r="S60" i="45" s="1"/>
  <c r="H60" i="44"/>
  <c r="I60" i="44" s="1"/>
  <c r="J60" i="44" s="1"/>
  <c r="K60" i="44" s="1"/>
  <c r="L60" i="44" s="1"/>
  <c r="M60" i="44" s="1"/>
  <c r="N60" i="44" s="1"/>
  <c r="O60" i="44" s="1"/>
  <c r="P60" i="44" s="1"/>
  <c r="Q60" i="44" s="1"/>
  <c r="R60" i="44" s="1"/>
  <c r="S60" i="44" s="1"/>
  <c r="H60" i="43"/>
  <c r="I60" i="43" s="1"/>
  <c r="J60" i="43" s="1"/>
  <c r="K60" i="43" s="1"/>
  <c r="L60" i="43" s="1"/>
  <c r="M60" i="43" s="1"/>
  <c r="N60" i="43" s="1"/>
  <c r="O60" i="43" s="1"/>
  <c r="P60" i="43" s="1"/>
  <c r="Q60" i="43" s="1"/>
  <c r="R60" i="43" s="1"/>
  <c r="S60" i="43" s="1"/>
  <c r="H77" i="48"/>
  <c r="I77" i="48" s="1"/>
  <c r="J77" i="48" s="1"/>
  <c r="K77" i="48" s="1"/>
  <c r="L77" i="48" s="1"/>
  <c r="M77" i="48" s="1"/>
  <c r="N77" i="48" s="1"/>
  <c r="O77" i="48" s="1"/>
  <c r="P77" i="48" s="1"/>
  <c r="Q77" i="48" s="1"/>
  <c r="R77" i="48" s="1"/>
  <c r="S77" i="48" s="1"/>
  <c r="H77" i="47"/>
  <c r="I77" i="47" s="1"/>
  <c r="J77" i="47" s="1"/>
  <c r="K77" i="47" s="1"/>
  <c r="L77" i="47" s="1"/>
  <c r="M77" i="47" s="1"/>
  <c r="N77" i="47" s="1"/>
  <c r="O77" i="47" s="1"/>
  <c r="P77" i="47" s="1"/>
  <c r="Q77" i="47" s="1"/>
  <c r="R77" i="47" s="1"/>
  <c r="S77" i="47" s="1"/>
  <c r="H77" i="46"/>
  <c r="I77" i="46" s="1"/>
  <c r="J77" i="46" s="1"/>
  <c r="K77" i="46" s="1"/>
  <c r="L77" i="46" s="1"/>
  <c r="M77" i="46" s="1"/>
  <c r="N77" i="46" s="1"/>
  <c r="O77" i="46" s="1"/>
  <c r="P77" i="46" s="1"/>
  <c r="Q77" i="46" s="1"/>
  <c r="R77" i="46" s="1"/>
  <c r="S77" i="46" s="1"/>
  <c r="H77" i="45"/>
  <c r="I77" i="45" s="1"/>
  <c r="J77" i="45" s="1"/>
  <c r="K77" i="45" s="1"/>
  <c r="L77" i="45" s="1"/>
  <c r="M77" i="45" s="1"/>
  <c r="N77" i="45" s="1"/>
  <c r="O77" i="45" s="1"/>
  <c r="P77" i="45" s="1"/>
  <c r="Q77" i="45" s="1"/>
  <c r="R77" i="45" s="1"/>
  <c r="S77" i="45" s="1"/>
  <c r="H77" i="44"/>
  <c r="I77" i="44" s="1"/>
  <c r="J77" i="44" s="1"/>
  <c r="K77" i="44" s="1"/>
  <c r="L77" i="44" s="1"/>
  <c r="M77" i="44" s="1"/>
  <c r="N77" i="44" s="1"/>
  <c r="O77" i="44" s="1"/>
  <c r="P77" i="44" s="1"/>
  <c r="Q77" i="44" s="1"/>
  <c r="R77" i="44" s="1"/>
  <c r="S77" i="44" s="1"/>
  <c r="H77" i="43"/>
  <c r="I77" i="43" s="1"/>
  <c r="J77" i="43" s="1"/>
  <c r="K77" i="43" s="1"/>
  <c r="L77" i="43" s="1"/>
  <c r="M77" i="43" s="1"/>
  <c r="N77" i="43" s="1"/>
  <c r="O77" i="43" s="1"/>
  <c r="P77" i="43" s="1"/>
  <c r="Q77" i="43" s="1"/>
  <c r="R77" i="43" s="1"/>
  <c r="S77" i="43" s="1"/>
  <c r="H78" i="48"/>
  <c r="I78" i="48" s="1"/>
  <c r="J78" i="48" s="1"/>
  <c r="K78" i="48" s="1"/>
  <c r="L78" i="48" s="1"/>
  <c r="M78" i="48" s="1"/>
  <c r="N78" i="48" s="1"/>
  <c r="O78" i="48" s="1"/>
  <c r="P78" i="48" s="1"/>
  <c r="Q78" i="48" s="1"/>
  <c r="R78" i="48" s="1"/>
  <c r="S78" i="48" s="1"/>
  <c r="H78" i="47"/>
  <c r="I78" i="47" s="1"/>
  <c r="J78" i="47" s="1"/>
  <c r="K78" i="47" s="1"/>
  <c r="L78" i="47" s="1"/>
  <c r="M78" i="47" s="1"/>
  <c r="N78" i="47" s="1"/>
  <c r="O78" i="47" s="1"/>
  <c r="P78" i="47" s="1"/>
  <c r="Q78" i="47" s="1"/>
  <c r="R78" i="47" s="1"/>
  <c r="S78" i="47" s="1"/>
  <c r="H78" i="46"/>
  <c r="I78" i="46" s="1"/>
  <c r="J78" i="46" s="1"/>
  <c r="K78" i="46" s="1"/>
  <c r="L78" i="46" s="1"/>
  <c r="M78" i="46" s="1"/>
  <c r="N78" i="46" s="1"/>
  <c r="O78" i="46" s="1"/>
  <c r="P78" i="46" s="1"/>
  <c r="Q78" i="46" s="1"/>
  <c r="R78" i="46" s="1"/>
  <c r="S78" i="46" s="1"/>
  <c r="H78" i="45"/>
  <c r="I78" i="45" s="1"/>
  <c r="J78" i="45" s="1"/>
  <c r="K78" i="45" s="1"/>
  <c r="L78" i="45" s="1"/>
  <c r="M78" i="45" s="1"/>
  <c r="N78" i="45" s="1"/>
  <c r="O78" i="45" s="1"/>
  <c r="P78" i="45" s="1"/>
  <c r="Q78" i="45" s="1"/>
  <c r="R78" i="45" s="1"/>
  <c r="S78" i="45" s="1"/>
  <c r="H78" i="44"/>
  <c r="I78" i="44" s="1"/>
  <c r="J78" i="44" s="1"/>
  <c r="K78" i="44" s="1"/>
  <c r="L78" i="44" s="1"/>
  <c r="M78" i="44" s="1"/>
  <c r="N78" i="44" s="1"/>
  <c r="O78" i="44" s="1"/>
  <c r="P78" i="44" s="1"/>
  <c r="Q78" i="44" s="1"/>
  <c r="R78" i="44" s="1"/>
  <c r="S78" i="44" s="1"/>
  <c r="H78" i="43"/>
  <c r="I78" i="43" s="1"/>
  <c r="J78" i="43" s="1"/>
  <c r="K78" i="43" s="1"/>
  <c r="L78" i="43" s="1"/>
  <c r="M78" i="43" s="1"/>
  <c r="N78" i="43" s="1"/>
  <c r="O78" i="43" s="1"/>
  <c r="P78" i="43" s="1"/>
  <c r="Q78" i="43" s="1"/>
  <c r="R78" i="43" s="1"/>
  <c r="S78" i="43" s="1"/>
  <c r="H96" i="48"/>
  <c r="I96" i="48" s="1"/>
  <c r="J96" i="48" s="1"/>
  <c r="K96" i="48" s="1"/>
  <c r="L96" i="48" s="1"/>
  <c r="M96" i="48" s="1"/>
  <c r="N96" i="48" s="1"/>
  <c r="O96" i="48" s="1"/>
  <c r="P96" i="48" s="1"/>
  <c r="Q96" i="48" s="1"/>
  <c r="R96" i="48" s="1"/>
  <c r="S96" i="48" s="1"/>
  <c r="H96" i="47"/>
  <c r="I96" i="47" s="1"/>
  <c r="J96" i="47" s="1"/>
  <c r="K96" i="47" s="1"/>
  <c r="L96" i="47" s="1"/>
  <c r="M96" i="47" s="1"/>
  <c r="N96" i="47" s="1"/>
  <c r="O96" i="47" s="1"/>
  <c r="P96" i="47" s="1"/>
  <c r="Q96" i="47" s="1"/>
  <c r="R96" i="47" s="1"/>
  <c r="S96" i="47" s="1"/>
  <c r="H96" i="46"/>
  <c r="I96" i="46" s="1"/>
  <c r="J96" i="46" s="1"/>
  <c r="K96" i="46" s="1"/>
  <c r="L96" i="46" s="1"/>
  <c r="M96" i="46" s="1"/>
  <c r="N96" i="46" s="1"/>
  <c r="O96" i="46" s="1"/>
  <c r="P96" i="46" s="1"/>
  <c r="Q96" i="46" s="1"/>
  <c r="R96" i="46" s="1"/>
  <c r="S96" i="46" s="1"/>
  <c r="H96" i="45"/>
  <c r="I96" i="45" s="1"/>
  <c r="J96" i="45" s="1"/>
  <c r="K96" i="45" s="1"/>
  <c r="L96" i="45" s="1"/>
  <c r="M96" i="45" s="1"/>
  <c r="N96" i="45" s="1"/>
  <c r="O96" i="45" s="1"/>
  <c r="P96" i="45" s="1"/>
  <c r="Q96" i="45" s="1"/>
  <c r="R96" i="45" s="1"/>
  <c r="S96" i="45" s="1"/>
  <c r="H96" i="44"/>
  <c r="I96" i="44" s="1"/>
  <c r="J96" i="44" s="1"/>
  <c r="K96" i="44" s="1"/>
  <c r="L96" i="44" s="1"/>
  <c r="M96" i="44" s="1"/>
  <c r="N96" i="44" s="1"/>
  <c r="O96" i="44" s="1"/>
  <c r="P96" i="44" s="1"/>
  <c r="Q96" i="44" s="1"/>
  <c r="R96" i="44" s="1"/>
  <c r="S96" i="44" s="1"/>
  <c r="H96" i="43"/>
  <c r="I96" i="43" s="1"/>
  <c r="J96" i="43" s="1"/>
  <c r="K96" i="43" s="1"/>
  <c r="L96" i="43" s="1"/>
  <c r="M96" i="43" s="1"/>
  <c r="N96" i="43" s="1"/>
  <c r="O96" i="43" s="1"/>
  <c r="P96" i="43" s="1"/>
  <c r="Q96" i="43" s="1"/>
  <c r="R96" i="43" s="1"/>
  <c r="S96" i="43" s="1"/>
  <c r="H109" i="48"/>
  <c r="I109" i="48" s="1"/>
  <c r="J109" i="48" s="1"/>
  <c r="K109" i="48" s="1"/>
  <c r="L109" i="48" s="1"/>
  <c r="M109" i="48" s="1"/>
  <c r="N109" i="48" s="1"/>
  <c r="O109" i="48" s="1"/>
  <c r="P109" i="48" s="1"/>
  <c r="Q109" i="48" s="1"/>
  <c r="R109" i="48" s="1"/>
  <c r="S109" i="48" s="1"/>
  <c r="H109" i="47"/>
  <c r="I109" i="47" s="1"/>
  <c r="J109" i="47" s="1"/>
  <c r="K109" i="47" s="1"/>
  <c r="L109" i="47" s="1"/>
  <c r="M109" i="47" s="1"/>
  <c r="N109" i="47" s="1"/>
  <c r="O109" i="47" s="1"/>
  <c r="P109" i="47" s="1"/>
  <c r="Q109" i="47" s="1"/>
  <c r="R109" i="47" s="1"/>
  <c r="S109" i="47" s="1"/>
  <c r="H109" i="46"/>
  <c r="I109" i="46" s="1"/>
  <c r="J109" i="46" s="1"/>
  <c r="K109" i="46" s="1"/>
  <c r="L109" i="46" s="1"/>
  <c r="M109" i="46" s="1"/>
  <c r="N109" i="46" s="1"/>
  <c r="O109" i="46" s="1"/>
  <c r="P109" i="46" s="1"/>
  <c r="Q109" i="46" s="1"/>
  <c r="R109" i="46" s="1"/>
  <c r="S109" i="46" s="1"/>
  <c r="H109" i="45"/>
  <c r="I109" i="45" s="1"/>
  <c r="J109" i="45" s="1"/>
  <c r="K109" i="45" s="1"/>
  <c r="L109" i="45" s="1"/>
  <c r="M109" i="45" s="1"/>
  <c r="N109" i="45" s="1"/>
  <c r="O109" i="45" s="1"/>
  <c r="P109" i="45" s="1"/>
  <c r="Q109" i="45" s="1"/>
  <c r="R109" i="45" s="1"/>
  <c r="S109" i="45" s="1"/>
  <c r="H109" i="44"/>
  <c r="I109" i="44" s="1"/>
  <c r="J109" i="44" s="1"/>
  <c r="K109" i="44" s="1"/>
  <c r="L109" i="44" s="1"/>
  <c r="M109" i="44" s="1"/>
  <c r="N109" i="44" s="1"/>
  <c r="O109" i="44" s="1"/>
  <c r="P109" i="44" s="1"/>
  <c r="Q109" i="44" s="1"/>
  <c r="R109" i="44" s="1"/>
  <c r="S109" i="44" s="1"/>
  <c r="H109" i="43"/>
  <c r="I109" i="43" s="1"/>
  <c r="J109" i="43" s="1"/>
  <c r="K109" i="43" s="1"/>
  <c r="L109" i="43" s="1"/>
  <c r="M109" i="43" s="1"/>
  <c r="N109" i="43" s="1"/>
  <c r="O109" i="43" s="1"/>
  <c r="P109" i="43" s="1"/>
  <c r="Q109" i="43" s="1"/>
  <c r="R109" i="43" s="1"/>
  <c r="S109" i="43" s="1"/>
  <c r="H49" i="48"/>
  <c r="I49" i="48" s="1"/>
  <c r="J49" i="48" s="1"/>
  <c r="K49" i="48" s="1"/>
  <c r="L49" i="48" s="1"/>
  <c r="M49" i="48" s="1"/>
  <c r="N49" i="48" s="1"/>
  <c r="O49" i="48" s="1"/>
  <c r="P49" i="48" s="1"/>
  <c r="Q49" i="48" s="1"/>
  <c r="R49" i="48" s="1"/>
  <c r="S49" i="48" s="1"/>
  <c r="H49" i="47"/>
  <c r="I49" i="47" s="1"/>
  <c r="J49" i="47" s="1"/>
  <c r="K49" i="47" s="1"/>
  <c r="L49" i="47" s="1"/>
  <c r="M49" i="47" s="1"/>
  <c r="N49" i="47" s="1"/>
  <c r="O49" i="47" s="1"/>
  <c r="P49" i="47" s="1"/>
  <c r="Q49" i="47" s="1"/>
  <c r="R49" i="47" s="1"/>
  <c r="S49" i="47" s="1"/>
  <c r="H49" i="46"/>
  <c r="I49" i="46" s="1"/>
  <c r="J49" i="46" s="1"/>
  <c r="K49" i="46" s="1"/>
  <c r="L49" i="46" s="1"/>
  <c r="M49" i="46" s="1"/>
  <c r="N49" i="46" s="1"/>
  <c r="O49" i="46" s="1"/>
  <c r="P49" i="46" s="1"/>
  <c r="Q49" i="46" s="1"/>
  <c r="R49" i="46" s="1"/>
  <c r="S49" i="46" s="1"/>
  <c r="H49" i="45"/>
  <c r="I49" i="45" s="1"/>
  <c r="J49" i="45" s="1"/>
  <c r="K49" i="45" s="1"/>
  <c r="L49" i="45" s="1"/>
  <c r="M49" i="45" s="1"/>
  <c r="N49" i="45" s="1"/>
  <c r="O49" i="45" s="1"/>
  <c r="P49" i="45" s="1"/>
  <c r="Q49" i="45" s="1"/>
  <c r="R49" i="45" s="1"/>
  <c r="S49" i="45" s="1"/>
  <c r="H49" i="44"/>
  <c r="I49" i="44" s="1"/>
  <c r="J49" i="44" s="1"/>
  <c r="K49" i="44" s="1"/>
  <c r="L49" i="44" s="1"/>
  <c r="M49" i="44" s="1"/>
  <c r="N49" i="44" s="1"/>
  <c r="O49" i="44" s="1"/>
  <c r="P49" i="44" s="1"/>
  <c r="Q49" i="44" s="1"/>
  <c r="R49" i="44" s="1"/>
  <c r="S49" i="44" s="1"/>
  <c r="H49" i="43"/>
  <c r="I49" i="43" s="1"/>
  <c r="J49" i="43" s="1"/>
  <c r="K49" i="43" s="1"/>
  <c r="L49" i="43" s="1"/>
  <c r="M49" i="43" s="1"/>
  <c r="N49" i="43" s="1"/>
  <c r="O49" i="43" s="1"/>
  <c r="P49" i="43" s="1"/>
  <c r="Q49" i="43" s="1"/>
  <c r="R49" i="43" s="1"/>
  <c r="S49" i="43" s="1"/>
  <c r="H58" i="48"/>
  <c r="I58" i="48" s="1"/>
  <c r="J58" i="48" s="1"/>
  <c r="K58" i="48" s="1"/>
  <c r="L58" i="48" s="1"/>
  <c r="M58" i="48" s="1"/>
  <c r="N58" i="48" s="1"/>
  <c r="O58" i="48" s="1"/>
  <c r="P58" i="48" s="1"/>
  <c r="Q58" i="48" s="1"/>
  <c r="R58" i="48" s="1"/>
  <c r="S58" i="48" s="1"/>
  <c r="H58" i="47"/>
  <c r="I58" i="47" s="1"/>
  <c r="J58" i="47" s="1"/>
  <c r="K58" i="47" s="1"/>
  <c r="L58" i="47" s="1"/>
  <c r="M58" i="47" s="1"/>
  <c r="N58" i="47" s="1"/>
  <c r="O58" i="47" s="1"/>
  <c r="P58" i="47" s="1"/>
  <c r="Q58" i="47" s="1"/>
  <c r="R58" i="47" s="1"/>
  <c r="S58" i="47" s="1"/>
  <c r="H58" i="46"/>
  <c r="I58" i="46" s="1"/>
  <c r="J58" i="46" s="1"/>
  <c r="K58" i="46" s="1"/>
  <c r="L58" i="46" s="1"/>
  <c r="M58" i="46" s="1"/>
  <c r="N58" i="46" s="1"/>
  <c r="O58" i="46" s="1"/>
  <c r="P58" i="46" s="1"/>
  <c r="Q58" i="46" s="1"/>
  <c r="R58" i="46" s="1"/>
  <c r="S58" i="46" s="1"/>
  <c r="H58" i="45"/>
  <c r="I58" i="45" s="1"/>
  <c r="J58" i="45" s="1"/>
  <c r="K58" i="45" s="1"/>
  <c r="L58" i="45" s="1"/>
  <c r="M58" i="45" s="1"/>
  <c r="N58" i="45" s="1"/>
  <c r="O58" i="45" s="1"/>
  <c r="P58" i="45" s="1"/>
  <c r="Q58" i="45" s="1"/>
  <c r="R58" i="45" s="1"/>
  <c r="S58" i="45" s="1"/>
  <c r="H58" i="44"/>
  <c r="I58" i="44" s="1"/>
  <c r="J58" i="44" s="1"/>
  <c r="K58" i="44" s="1"/>
  <c r="L58" i="44" s="1"/>
  <c r="M58" i="44" s="1"/>
  <c r="N58" i="44" s="1"/>
  <c r="O58" i="44" s="1"/>
  <c r="P58" i="44" s="1"/>
  <c r="Q58" i="44" s="1"/>
  <c r="R58" i="44" s="1"/>
  <c r="S58" i="44" s="1"/>
  <c r="H58" i="43"/>
  <c r="I58" i="43" s="1"/>
  <c r="J58" i="43" s="1"/>
  <c r="K58" i="43" s="1"/>
  <c r="L58" i="43" s="1"/>
  <c r="M58" i="43" s="1"/>
  <c r="N58" i="43" s="1"/>
  <c r="O58" i="43" s="1"/>
  <c r="P58" i="43" s="1"/>
  <c r="Q58" i="43" s="1"/>
  <c r="R58" i="43" s="1"/>
  <c r="S58" i="43" s="1"/>
  <c r="H75" i="48"/>
  <c r="I75" i="48" s="1"/>
  <c r="J75" i="48" s="1"/>
  <c r="K75" i="48" s="1"/>
  <c r="L75" i="48" s="1"/>
  <c r="M75" i="48" s="1"/>
  <c r="N75" i="48" s="1"/>
  <c r="O75" i="48" s="1"/>
  <c r="P75" i="48" s="1"/>
  <c r="Q75" i="48" s="1"/>
  <c r="R75" i="48" s="1"/>
  <c r="S75" i="48" s="1"/>
  <c r="H75" i="47"/>
  <c r="I75" i="47" s="1"/>
  <c r="J75" i="47" s="1"/>
  <c r="K75" i="47" s="1"/>
  <c r="L75" i="47" s="1"/>
  <c r="M75" i="47" s="1"/>
  <c r="N75" i="47" s="1"/>
  <c r="O75" i="47" s="1"/>
  <c r="P75" i="47" s="1"/>
  <c r="Q75" i="47" s="1"/>
  <c r="R75" i="47" s="1"/>
  <c r="S75" i="47" s="1"/>
  <c r="H75" i="46"/>
  <c r="I75" i="46" s="1"/>
  <c r="J75" i="46" s="1"/>
  <c r="K75" i="46" s="1"/>
  <c r="L75" i="46" s="1"/>
  <c r="M75" i="46" s="1"/>
  <c r="N75" i="46" s="1"/>
  <c r="O75" i="46" s="1"/>
  <c r="P75" i="46" s="1"/>
  <c r="Q75" i="46" s="1"/>
  <c r="R75" i="46" s="1"/>
  <c r="S75" i="46" s="1"/>
  <c r="H75" i="45"/>
  <c r="I75" i="45" s="1"/>
  <c r="J75" i="45" s="1"/>
  <c r="K75" i="45" s="1"/>
  <c r="L75" i="45" s="1"/>
  <c r="M75" i="45" s="1"/>
  <c r="N75" i="45" s="1"/>
  <c r="O75" i="45" s="1"/>
  <c r="P75" i="45" s="1"/>
  <c r="Q75" i="45" s="1"/>
  <c r="R75" i="45" s="1"/>
  <c r="S75" i="45" s="1"/>
  <c r="H75" i="44"/>
  <c r="I75" i="44" s="1"/>
  <c r="J75" i="44" s="1"/>
  <c r="K75" i="44" s="1"/>
  <c r="L75" i="44" s="1"/>
  <c r="M75" i="44" s="1"/>
  <c r="N75" i="44" s="1"/>
  <c r="O75" i="44" s="1"/>
  <c r="P75" i="44" s="1"/>
  <c r="Q75" i="44" s="1"/>
  <c r="R75" i="44" s="1"/>
  <c r="S75" i="44" s="1"/>
  <c r="H75" i="43"/>
  <c r="I75" i="43" s="1"/>
  <c r="J75" i="43" s="1"/>
  <c r="K75" i="43" s="1"/>
  <c r="L75" i="43" s="1"/>
  <c r="M75" i="43" s="1"/>
  <c r="N75" i="43" s="1"/>
  <c r="O75" i="43" s="1"/>
  <c r="P75" i="43" s="1"/>
  <c r="Q75" i="43" s="1"/>
  <c r="R75" i="43" s="1"/>
  <c r="S75" i="43" s="1"/>
  <c r="H95" i="48"/>
  <c r="I95" i="48" s="1"/>
  <c r="J95" i="48" s="1"/>
  <c r="K95" i="48" s="1"/>
  <c r="L95" i="48" s="1"/>
  <c r="M95" i="48" s="1"/>
  <c r="N95" i="48" s="1"/>
  <c r="O95" i="48" s="1"/>
  <c r="P95" i="48" s="1"/>
  <c r="Q95" i="48" s="1"/>
  <c r="R95" i="48" s="1"/>
  <c r="S95" i="48" s="1"/>
  <c r="H95" i="47"/>
  <c r="I95" i="47" s="1"/>
  <c r="J95" i="47" s="1"/>
  <c r="K95" i="47" s="1"/>
  <c r="L95" i="47" s="1"/>
  <c r="M95" i="47" s="1"/>
  <c r="N95" i="47" s="1"/>
  <c r="O95" i="47" s="1"/>
  <c r="P95" i="47" s="1"/>
  <c r="Q95" i="47" s="1"/>
  <c r="R95" i="47" s="1"/>
  <c r="S95" i="47" s="1"/>
  <c r="H95" i="46"/>
  <c r="I95" i="46" s="1"/>
  <c r="J95" i="46" s="1"/>
  <c r="K95" i="46" s="1"/>
  <c r="L95" i="46" s="1"/>
  <c r="M95" i="46" s="1"/>
  <c r="N95" i="46" s="1"/>
  <c r="O95" i="46" s="1"/>
  <c r="P95" i="46" s="1"/>
  <c r="Q95" i="46" s="1"/>
  <c r="R95" i="46" s="1"/>
  <c r="S95" i="46" s="1"/>
  <c r="H95" i="45"/>
  <c r="I95" i="45" s="1"/>
  <c r="J95" i="45" s="1"/>
  <c r="K95" i="45" s="1"/>
  <c r="L95" i="45" s="1"/>
  <c r="M95" i="45" s="1"/>
  <c r="N95" i="45" s="1"/>
  <c r="O95" i="45" s="1"/>
  <c r="P95" i="45" s="1"/>
  <c r="Q95" i="45" s="1"/>
  <c r="R95" i="45" s="1"/>
  <c r="S95" i="45" s="1"/>
  <c r="H95" i="44"/>
  <c r="I95" i="44" s="1"/>
  <c r="J95" i="44" s="1"/>
  <c r="K95" i="44" s="1"/>
  <c r="L95" i="44" s="1"/>
  <c r="M95" i="44" s="1"/>
  <c r="N95" i="44" s="1"/>
  <c r="O95" i="44" s="1"/>
  <c r="P95" i="44" s="1"/>
  <c r="Q95" i="44" s="1"/>
  <c r="R95" i="44" s="1"/>
  <c r="S95" i="44" s="1"/>
  <c r="H95" i="43"/>
  <c r="I95" i="43" s="1"/>
  <c r="J95" i="43" s="1"/>
  <c r="K95" i="43" s="1"/>
  <c r="L95" i="43" s="1"/>
  <c r="M95" i="43" s="1"/>
  <c r="N95" i="43" s="1"/>
  <c r="O95" i="43" s="1"/>
  <c r="P95" i="43" s="1"/>
  <c r="Q95" i="43" s="1"/>
  <c r="R95" i="43" s="1"/>
  <c r="S95" i="43" s="1"/>
  <c r="H105" i="48"/>
  <c r="I105" i="48" s="1"/>
  <c r="J105" i="48" s="1"/>
  <c r="K105" i="48" s="1"/>
  <c r="L105" i="48" s="1"/>
  <c r="M105" i="48" s="1"/>
  <c r="N105" i="48" s="1"/>
  <c r="O105" i="48" s="1"/>
  <c r="P105" i="48" s="1"/>
  <c r="Q105" i="48" s="1"/>
  <c r="R105" i="48" s="1"/>
  <c r="S105" i="48" s="1"/>
  <c r="H105" i="47"/>
  <c r="I105" i="47" s="1"/>
  <c r="J105" i="47" s="1"/>
  <c r="K105" i="47" s="1"/>
  <c r="L105" i="47" s="1"/>
  <c r="M105" i="47" s="1"/>
  <c r="N105" i="47" s="1"/>
  <c r="O105" i="47" s="1"/>
  <c r="P105" i="47" s="1"/>
  <c r="Q105" i="47" s="1"/>
  <c r="R105" i="47" s="1"/>
  <c r="S105" i="47" s="1"/>
  <c r="H105" i="46"/>
  <c r="I105" i="46" s="1"/>
  <c r="J105" i="46" s="1"/>
  <c r="K105" i="46" s="1"/>
  <c r="L105" i="46" s="1"/>
  <c r="M105" i="46" s="1"/>
  <c r="N105" i="46" s="1"/>
  <c r="O105" i="46" s="1"/>
  <c r="P105" i="46" s="1"/>
  <c r="Q105" i="46" s="1"/>
  <c r="R105" i="46" s="1"/>
  <c r="S105" i="46" s="1"/>
  <c r="H105" i="45"/>
  <c r="I105" i="45" s="1"/>
  <c r="J105" i="45" s="1"/>
  <c r="K105" i="45" s="1"/>
  <c r="L105" i="45" s="1"/>
  <c r="M105" i="45" s="1"/>
  <c r="N105" i="45" s="1"/>
  <c r="O105" i="45" s="1"/>
  <c r="P105" i="45" s="1"/>
  <c r="Q105" i="45" s="1"/>
  <c r="R105" i="45" s="1"/>
  <c r="S105" i="45" s="1"/>
  <c r="H105" i="44"/>
  <c r="I105" i="44" s="1"/>
  <c r="J105" i="44" s="1"/>
  <c r="K105" i="44" s="1"/>
  <c r="L105" i="44" s="1"/>
  <c r="M105" i="44" s="1"/>
  <c r="N105" i="44" s="1"/>
  <c r="O105" i="44" s="1"/>
  <c r="P105" i="44" s="1"/>
  <c r="Q105" i="44" s="1"/>
  <c r="R105" i="44" s="1"/>
  <c r="S105" i="44" s="1"/>
  <c r="H105" i="43"/>
  <c r="I105" i="43" s="1"/>
  <c r="J105" i="43" s="1"/>
  <c r="K105" i="43" s="1"/>
  <c r="L105" i="43" s="1"/>
  <c r="M105" i="43" s="1"/>
  <c r="N105" i="43" s="1"/>
  <c r="O105" i="43" s="1"/>
  <c r="P105" i="43" s="1"/>
  <c r="Q105" i="43" s="1"/>
  <c r="R105" i="43" s="1"/>
  <c r="S105" i="43" s="1"/>
  <c r="H48" i="48"/>
  <c r="I48" i="48" s="1"/>
  <c r="J48" i="48" s="1"/>
  <c r="K48" i="48" s="1"/>
  <c r="L48" i="48" s="1"/>
  <c r="M48" i="48" s="1"/>
  <c r="N48" i="48" s="1"/>
  <c r="O48" i="48" s="1"/>
  <c r="P48" i="48" s="1"/>
  <c r="Q48" i="48" s="1"/>
  <c r="R48" i="48" s="1"/>
  <c r="S48" i="48" s="1"/>
  <c r="H48" i="47"/>
  <c r="I48" i="47" s="1"/>
  <c r="J48" i="47" s="1"/>
  <c r="K48" i="47" s="1"/>
  <c r="L48" i="47" s="1"/>
  <c r="M48" i="47" s="1"/>
  <c r="N48" i="47" s="1"/>
  <c r="O48" i="47" s="1"/>
  <c r="P48" i="47" s="1"/>
  <c r="Q48" i="47" s="1"/>
  <c r="R48" i="47" s="1"/>
  <c r="S48" i="47" s="1"/>
  <c r="H48" i="46"/>
  <c r="I48" i="46" s="1"/>
  <c r="J48" i="46" s="1"/>
  <c r="K48" i="46" s="1"/>
  <c r="L48" i="46" s="1"/>
  <c r="M48" i="46" s="1"/>
  <c r="N48" i="46" s="1"/>
  <c r="O48" i="46" s="1"/>
  <c r="P48" i="46" s="1"/>
  <c r="Q48" i="46" s="1"/>
  <c r="R48" i="46" s="1"/>
  <c r="S48" i="46" s="1"/>
  <c r="H48" i="45"/>
  <c r="I48" i="45" s="1"/>
  <c r="J48" i="45" s="1"/>
  <c r="K48" i="45" s="1"/>
  <c r="L48" i="45" s="1"/>
  <c r="M48" i="45" s="1"/>
  <c r="N48" i="45" s="1"/>
  <c r="O48" i="45" s="1"/>
  <c r="P48" i="45" s="1"/>
  <c r="Q48" i="45" s="1"/>
  <c r="R48" i="45" s="1"/>
  <c r="S48" i="45" s="1"/>
  <c r="H48" i="44"/>
  <c r="I48" i="44" s="1"/>
  <c r="J48" i="44" s="1"/>
  <c r="K48" i="44" s="1"/>
  <c r="L48" i="44" s="1"/>
  <c r="M48" i="44" s="1"/>
  <c r="N48" i="44" s="1"/>
  <c r="O48" i="44" s="1"/>
  <c r="P48" i="44" s="1"/>
  <c r="Q48" i="44" s="1"/>
  <c r="R48" i="44" s="1"/>
  <c r="S48" i="44" s="1"/>
  <c r="H48" i="43"/>
  <c r="I48" i="43" s="1"/>
  <c r="J48" i="43" s="1"/>
  <c r="K48" i="43" s="1"/>
  <c r="L48" i="43" s="1"/>
  <c r="M48" i="43" s="1"/>
  <c r="N48" i="43" s="1"/>
  <c r="O48" i="43" s="1"/>
  <c r="P48" i="43" s="1"/>
  <c r="Q48" i="43" s="1"/>
  <c r="R48" i="43" s="1"/>
  <c r="S48" i="43" s="1"/>
  <c r="H57" i="48"/>
  <c r="I57" i="48" s="1"/>
  <c r="J57" i="48" s="1"/>
  <c r="K57" i="48" s="1"/>
  <c r="L57" i="48" s="1"/>
  <c r="M57" i="48" s="1"/>
  <c r="N57" i="48" s="1"/>
  <c r="O57" i="48" s="1"/>
  <c r="P57" i="48" s="1"/>
  <c r="Q57" i="48" s="1"/>
  <c r="R57" i="48" s="1"/>
  <c r="S57" i="48" s="1"/>
  <c r="H57" i="47"/>
  <c r="I57" i="47" s="1"/>
  <c r="J57" i="47" s="1"/>
  <c r="K57" i="47" s="1"/>
  <c r="L57" i="47" s="1"/>
  <c r="M57" i="47" s="1"/>
  <c r="N57" i="47" s="1"/>
  <c r="O57" i="47" s="1"/>
  <c r="P57" i="47" s="1"/>
  <c r="Q57" i="47" s="1"/>
  <c r="R57" i="47" s="1"/>
  <c r="S57" i="47" s="1"/>
  <c r="H57" i="46"/>
  <c r="I57" i="46" s="1"/>
  <c r="J57" i="46" s="1"/>
  <c r="K57" i="46" s="1"/>
  <c r="L57" i="46" s="1"/>
  <c r="M57" i="46" s="1"/>
  <c r="N57" i="46" s="1"/>
  <c r="O57" i="46" s="1"/>
  <c r="P57" i="46" s="1"/>
  <c r="Q57" i="46" s="1"/>
  <c r="R57" i="46" s="1"/>
  <c r="S57" i="46" s="1"/>
  <c r="H57" i="45"/>
  <c r="I57" i="45" s="1"/>
  <c r="J57" i="45" s="1"/>
  <c r="K57" i="45" s="1"/>
  <c r="L57" i="45" s="1"/>
  <c r="M57" i="45" s="1"/>
  <c r="N57" i="45" s="1"/>
  <c r="O57" i="45" s="1"/>
  <c r="P57" i="45" s="1"/>
  <c r="Q57" i="45" s="1"/>
  <c r="R57" i="45" s="1"/>
  <c r="S57" i="45" s="1"/>
  <c r="H57" i="44"/>
  <c r="I57" i="44" s="1"/>
  <c r="J57" i="44" s="1"/>
  <c r="K57" i="44" s="1"/>
  <c r="L57" i="44" s="1"/>
  <c r="M57" i="44" s="1"/>
  <c r="N57" i="44" s="1"/>
  <c r="O57" i="44" s="1"/>
  <c r="P57" i="44" s="1"/>
  <c r="Q57" i="44" s="1"/>
  <c r="R57" i="44" s="1"/>
  <c r="S57" i="44" s="1"/>
  <c r="H57" i="43"/>
  <c r="I57" i="43" s="1"/>
  <c r="J57" i="43" s="1"/>
  <c r="K57" i="43" s="1"/>
  <c r="L57" i="43" s="1"/>
  <c r="M57" i="43" s="1"/>
  <c r="N57" i="43" s="1"/>
  <c r="O57" i="43" s="1"/>
  <c r="P57" i="43" s="1"/>
  <c r="Q57" i="43" s="1"/>
  <c r="R57" i="43" s="1"/>
  <c r="S57" i="43" s="1"/>
  <c r="H82" i="48"/>
  <c r="I82" i="48" s="1"/>
  <c r="J82" i="48" s="1"/>
  <c r="K82" i="48" s="1"/>
  <c r="L82" i="48" s="1"/>
  <c r="M82" i="48" s="1"/>
  <c r="N82" i="48" s="1"/>
  <c r="O82" i="48" s="1"/>
  <c r="P82" i="48" s="1"/>
  <c r="Q82" i="48" s="1"/>
  <c r="R82" i="48" s="1"/>
  <c r="S82" i="48" s="1"/>
  <c r="H82" i="47"/>
  <c r="I82" i="47" s="1"/>
  <c r="J82" i="47" s="1"/>
  <c r="K82" i="47" s="1"/>
  <c r="L82" i="47" s="1"/>
  <c r="M82" i="47" s="1"/>
  <c r="N82" i="47" s="1"/>
  <c r="O82" i="47" s="1"/>
  <c r="P82" i="47" s="1"/>
  <c r="Q82" i="47" s="1"/>
  <c r="R82" i="47" s="1"/>
  <c r="S82" i="47" s="1"/>
  <c r="H82" i="46"/>
  <c r="I82" i="46" s="1"/>
  <c r="J82" i="46" s="1"/>
  <c r="K82" i="46" s="1"/>
  <c r="L82" i="46" s="1"/>
  <c r="M82" i="46" s="1"/>
  <c r="N82" i="46" s="1"/>
  <c r="O82" i="46" s="1"/>
  <c r="P82" i="46" s="1"/>
  <c r="Q82" i="46" s="1"/>
  <c r="R82" i="46" s="1"/>
  <c r="S82" i="46" s="1"/>
  <c r="H82" i="45"/>
  <c r="I82" i="45" s="1"/>
  <c r="J82" i="45" s="1"/>
  <c r="K82" i="45" s="1"/>
  <c r="L82" i="45" s="1"/>
  <c r="M82" i="45" s="1"/>
  <c r="N82" i="45" s="1"/>
  <c r="O82" i="45" s="1"/>
  <c r="P82" i="45" s="1"/>
  <c r="Q82" i="45" s="1"/>
  <c r="R82" i="45" s="1"/>
  <c r="S82" i="45" s="1"/>
  <c r="H82" i="44"/>
  <c r="I82" i="44" s="1"/>
  <c r="J82" i="44" s="1"/>
  <c r="K82" i="44" s="1"/>
  <c r="L82" i="44" s="1"/>
  <c r="M82" i="44" s="1"/>
  <c r="N82" i="44" s="1"/>
  <c r="O82" i="44" s="1"/>
  <c r="P82" i="44" s="1"/>
  <c r="Q82" i="44" s="1"/>
  <c r="R82" i="44" s="1"/>
  <c r="S82" i="44" s="1"/>
  <c r="H82" i="43"/>
  <c r="I82" i="43" s="1"/>
  <c r="J82" i="43" s="1"/>
  <c r="K82" i="43" s="1"/>
  <c r="L82" i="43" s="1"/>
  <c r="M82" i="43" s="1"/>
  <c r="N82" i="43" s="1"/>
  <c r="O82" i="43" s="1"/>
  <c r="P82" i="43" s="1"/>
  <c r="Q82" i="43" s="1"/>
  <c r="R82" i="43" s="1"/>
  <c r="S82" i="43" s="1"/>
  <c r="H93" i="48"/>
  <c r="I93" i="48" s="1"/>
  <c r="J93" i="48" s="1"/>
  <c r="K93" i="48" s="1"/>
  <c r="L93" i="48" s="1"/>
  <c r="M93" i="48" s="1"/>
  <c r="N93" i="48" s="1"/>
  <c r="O93" i="48" s="1"/>
  <c r="P93" i="48" s="1"/>
  <c r="Q93" i="48" s="1"/>
  <c r="R93" i="48" s="1"/>
  <c r="S93" i="48" s="1"/>
  <c r="H93" i="47"/>
  <c r="I93" i="47" s="1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H93" i="46"/>
  <c r="I93" i="46" s="1"/>
  <c r="J93" i="46" s="1"/>
  <c r="K93" i="46" s="1"/>
  <c r="L93" i="46" s="1"/>
  <c r="M93" i="46" s="1"/>
  <c r="N93" i="46" s="1"/>
  <c r="O93" i="46" s="1"/>
  <c r="P93" i="46" s="1"/>
  <c r="Q93" i="46" s="1"/>
  <c r="R93" i="46" s="1"/>
  <c r="S93" i="46" s="1"/>
  <c r="H93" i="45"/>
  <c r="I93" i="45" s="1"/>
  <c r="J93" i="45" s="1"/>
  <c r="K93" i="45" s="1"/>
  <c r="L93" i="45" s="1"/>
  <c r="M93" i="45" s="1"/>
  <c r="N93" i="45" s="1"/>
  <c r="O93" i="45" s="1"/>
  <c r="P93" i="45" s="1"/>
  <c r="Q93" i="45" s="1"/>
  <c r="R93" i="45" s="1"/>
  <c r="S93" i="45" s="1"/>
  <c r="H93" i="44"/>
  <c r="I93" i="44" s="1"/>
  <c r="J93" i="44" s="1"/>
  <c r="K93" i="44" s="1"/>
  <c r="L93" i="44" s="1"/>
  <c r="M93" i="44" s="1"/>
  <c r="N93" i="44" s="1"/>
  <c r="O93" i="44" s="1"/>
  <c r="P93" i="44" s="1"/>
  <c r="Q93" i="44" s="1"/>
  <c r="R93" i="44" s="1"/>
  <c r="S93" i="44" s="1"/>
  <c r="H93" i="43"/>
  <c r="I93" i="43" s="1"/>
  <c r="J93" i="43" s="1"/>
  <c r="K93" i="43" s="1"/>
  <c r="L93" i="43" s="1"/>
  <c r="M93" i="43" s="1"/>
  <c r="N93" i="43" s="1"/>
  <c r="O93" i="43" s="1"/>
  <c r="P93" i="43" s="1"/>
  <c r="Q93" i="43" s="1"/>
  <c r="R93" i="43" s="1"/>
  <c r="S93" i="43" s="1"/>
  <c r="H94" i="48"/>
  <c r="I94" i="48" s="1"/>
  <c r="J94" i="48" s="1"/>
  <c r="K94" i="48" s="1"/>
  <c r="L94" i="48" s="1"/>
  <c r="M94" i="48" s="1"/>
  <c r="N94" i="48" s="1"/>
  <c r="O94" i="48" s="1"/>
  <c r="P94" i="48" s="1"/>
  <c r="Q94" i="48" s="1"/>
  <c r="R94" i="48" s="1"/>
  <c r="S94" i="48" s="1"/>
  <c r="H94" i="47"/>
  <c r="I94" i="47" s="1"/>
  <c r="J94" i="47" s="1"/>
  <c r="K94" i="47" s="1"/>
  <c r="L94" i="47" s="1"/>
  <c r="M94" i="47" s="1"/>
  <c r="N94" i="47" s="1"/>
  <c r="O94" i="47" s="1"/>
  <c r="P94" i="47" s="1"/>
  <c r="Q94" i="47" s="1"/>
  <c r="R94" i="47" s="1"/>
  <c r="S94" i="47" s="1"/>
  <c r="H94" i="46"/>
  <c r="I94" i="46" s="1"/>
  <c r="J94" i="46" s="1"/>
  <c r="K94" i="46" s="1"/>
  <c r="L94" i="46" s="1"/>
  <c r="M94" i="46" s="1"/>
  <c r="N94" i="46" s="1"/>
  <c r="O94" i="46" s="1"/>
  <c r="P94" i="46" s="1"/>
  <c r="Q94" i="46" s="1"/>
  <c r="R94" i="46" s="1"/>
  <c r="S94" i="46" s="1"/>
  <c r="H94" i="45"/>
  <c r="I94" i="45" s="1"/>
  <c r="J94" i="45" s="1"/>
  <c r="K94" i="45" s="1"/>
  <c r="L94" i="45" s="1"/>
  <c r="M94" i="45" s="1"/>
  <c r="N94" i="45" s="1"/>
  <c r="O94" i="45" s="1"/>
  <c r="P94" i="45" s="1"/>
  <c r="Q94" i="45" s="1"/>
  <c r="R94" i="45" s="1"/>
  <c r="S94" i="45" s="1"/>
  <c r="H94" i="44"/>
  <c r="I94" i="44" s="1"/>
  <c r="J94" i="44" s="1"/>
  <c r="K94" i="44" s="1"/>
  <c r="L94" i="44" s="1"/>
  <c r="M94" i="44" s="1"/>
  <c r="N94" i="44" s="1"/>
  <c r="O94" i="44" s="1"/>
  <c r="P94" i="44" s="1"/>
  <c r="Q94" i="44" s="1"/>
  <c r="R94" i="44" s="1"/>
  <c r="S94" i="44" s="1"/>
  <c r="H94" i="43"/>
  <c r="I94" i="43" s="1"/>
  <c r="J94" i="43" s="1"/>
  <c r="K94" i="43" s="1"/>
  <c r="L94" i="43" s="1"/>
  <c r="M94" i="43" s="1"/>
  <c r="N94" i="43" s="1"/>
  <c r="O94" i="43" s="1"/>
  <c r="P94" i="43" s="1"/>
  <c r="Q94" i="43" s="1"/>
  <c r="R94" i="43" s="1"/>
  <c r="S94" i="43" s="1"/>
  <c r="H104" i="48"/>
  <c r="I104" i="48" s="1"/>
  <c r="J104" i="48" s="1"/>
  <c r="K104" i="48" s="1"/>
  <c r="L104" i="48" s="1"/>
  <c r="M104" i="48" s="1"/>
  <c r="N104" i="48" s="1"/>
  <c r="O104" i="48" s="1"/>
  <c r="P104" i="48" s="1"/>
  <c r="Q104" i="48" s="1"/>
  <c r="R104" i="48" s="1"/>
  <c r="S104" i="48" s="1"/>
  <c r="H104" i="47"/>
  <c r="I104" i="47" s="1"/>
  <c r="J104" i="47" s="1"/>
  <c r="K104" i="47" s="1"/>
  <c r="L104" i="47" s="1"/>
  <c r="M104" i="47" s="1"/>
  <c r="N104" i="47" s="1"/>
  <c r="O104" i="47" s="1"/>
  <c r="P104" i="47" s="1"/>
  <c r="Q104" i="47" s="1"/>
  <c r="R104" i="47" s="1"/>
  <c r="S104" i="47" s="1"/>
  <c r="H104" i="46"/>
  <c r="I104" i="46" s="1"/>
  <c r="J104" i="46" s="1"/>
  <c r="K104" i="46" s="1"/>
  <c r="L104" i="46" s="1"/>
  <c r="M104" i="46" s="1"/>
  <c r="N104" i="46" s="1"/>
  <c r="O104" i="46" s="1"/>
  <c r="P104" i="46" s="1"/>
  <c r="Q104" i="46" s="1"/>
  <c r="R104" i="46" s="1"/>
  <c r="S104" i="46" s="1"/>
  <c r="H104" i="45"/>
  <c r="I104" i="45" s="1"/>
  <c r="J104" i="45" s="1"/>
  <c r="K104" i="45" s="1"/>
  <c r="L104" i="45" s="1"/>
  <c r="M104" i="45" s="1"/>
  <c r="N104" i="45" s="1"/>
  <c r="O104" i="45" s="1"/>
  <c r="P104" i="45" s="1"/>
  <c r="Q104" i="45" s="1"/>
  <c r="R104" i="45" s="1"/>
  <c r="S104" i="45" s="1"/>
  <c r="H104" i="44"/>
  <c r="I104" i="44" s="1"/>
  <c r="J104" i="44" s="1"/>
  <c r="K104" i="44" s="1"/>
  <c r="L104" i="44" s="1"/>
  <c r="M104" i="44" s="1"/>
  <c r="N104" i="44" s="1"/>
  <c r="O104" i="44" s="1"/>
  <c r="P104" i="44" s="1"/>
  <c r="Q104" i="44" s="1"/>
  <c r="R104" i="44" s="1"/>
  <c r="S104" i="44" s="1"/>
  <c r="H104" i="43"/>
  <c r="I104" i="43" s="1"/>
  <c r="J104" i="43" s="1"/>
  <c r="K104" i="43" s="1"/>
  <c r="L104" i="43" s="1"/>
  <c r="M104" i="43" s="1"/>
  <c r="N104" i="43" s="1"/>
  <c r="O104" i="43" s="1"/>
  <c r="P104" i="43" s="1"/>
  <c r="Q104" i="43" s="1"/>
  <c r="R104" i="43" s="1"/>
  <c r="S104" i="43" s="1"/>
  <c r="H55" i="48"/>
  <c r="I55" i="48" s="1"/>
  <c r="J55" i="48" s="1"/>
  <c r="K55" i="48" s="1"/>
  <c r="L55" i="48" s="1"/>
  <c r="M55" i="48" s="1"/>
  <c r="N55" i="48" s="1"/>
  <c r="O55" i="48" s="1"/>
  <c r="P55" i="48" s="1"/>
  <c r="Q55" i="48" s="1"/>
  <c r="R55" i="48" s="1"/>
  <c r="S55" i="48" s="1"/>
  <c r="H55" i="47"/>
  <c r="I55" i="47" s="1"/>
  <c r="J55" i="47" s="1"/>
  <c r="K55" i="47" s="1"/>
  <c r="L55" i="47" s="1"/>
  <c r="M55" i="47" s="1"/>
  <c r="N55" i="47" s="1"/>
  <c r="O55" i="47" s="1"/>
  <c r="P55" i="47" s="1"/>
  <c r="Q55" i="47" s="1"/>
  <c r="R55" i="47" s="1"/>
  <c r="S55" i="47" s="1"/>
  <c r="H55" i="46"/>
  <c r="I55" i="46" s="1"/>
  <c r="J55" i="46" s="1"/>
  <c r="K55" i="46" s="1"/>
  <c r="L55" i="46" s="1"/>
  <c r="M55" i="46" s="1"/>
  <c r="N55" i="46" s="1"/>
  <c r="O55" i="46" s="1"/>
  <c r="P55" i="46" s="1"/>
  <c r="Q55" i="46" s="1"/>
  <c r="R55" i="46" s="1"/>
  <c r="S55" i="46" s="1"/>
  <c r="H55" i="45"/>
  <c r="I55" i="45" s="1"/>
  <c r="J55" i="45" s="1"/>
  <c r="K55" i="45" s="1"/>
  <c r="L55" i="45" s="1"/>
  <c r="M55" i="45" s="1"/>
  <c r="N55" i="45" s="1"/>
  <c r="O55" i="45" s="1"/>
  <c r="P55" i="45" s="1"/>
  <c r="Q55" i="45" s="1"/>
  <c r="R55" i="45" s="1"/>
  <c r="S55" i="45" s="1"/>
  <c r="H55" i="44"/>
  <c r="I55" i="44" s="1"/>
  <c r="J55" i="44" s="1"/>
  <c r="K55" i="44" s="1"/>
  <c r="L55" i="44" s="1"/>
  <c r="M55" i="44" s="1"/>
  <c r="N55" i="44" s="1"/>
  <c r="O55" i="44" s="1"/>
  <c r="P55" i="44" s="1"/>
  <c r="Q55" i="44" s="1"/>
  <c r="R55" i="44" s="1"/>
  <c r="S55" i="44" s="1"/>
  <c r="H55" i="43"/>
  <c r="I55" i="43" s="1"/>
  <c r="J55" i="43" s="1"/>
  <c r="K55" i="43" s="1"/>
  <c r="L55" i="43" s="1"/>
  <c r="M55" i="43" s="1"/>
  <c r="N55" i="43" s="1"/>
  <c r="O55" i="43" s="1"/>
  <c r="P55" i="43" s="1"/>
  <c r="Q55" i="43" s="1"/>
  <c r="R55" i="43" s="1"/>
  <c r="S55" i="43" s="1"/>
  <c r="H64" i="48"/>
  <c r="I64" i="48" s="1"/>
  <c r="J64" i="48" s="1"/>
  <c r="K64" i="48" s="1"/>
  <c r="L64" i="48" s="1"/>
  <c r="M64" i="48" s="1"/>
  <c r="N64" i="48" s="1"/>
  <c r="O64" i="48" s="1"/>
  <c r="P64" i="48" s="1"/>
  <c r="Q64" i="48" s="1"/>
  <c r="R64" i="48" s="1"/>
  <c r="S64" i="48" s="1"/>
  <c r="H64" i="47"/>
  <c r="I64" i="47" s="1"/>
  <c r="J64" i="47" s="1"/>
  <c r="K64" i="47" s="1"/>
  <c r="L64" i="47" s="1"/>
  <c r="M64" i="47" s="1"/>
  <c r="N64" i="47" s="1"/>
  <c r="O64" i="47" s="1"/>
  <c r="P64" i="47" s="1"/>
  <c r="Q64" i="47" s="1"/>
  <c r="R64" i="47" s="1"/>
  <c r="S64" i="47" s="1"/>
  <c r="H64" i="46"/>
  <c r="I64" i="46" s="1"/>
  <c r="J64" i="46" s="1"/>
  <c r="K64" i="46" s="1"/>
  <c r="L64" i="46" s="1"/>
  <c r="M64" i="46" s="1"/>
  <c r="N64" i="46" s="1"/>
  <c r="O64" i="46" s="1"/>
  <c r="P64" i="46" s="1"/>
  <c r="Q64" i="46" s="1"/>
  <c r="R64" i="46" s="1"/>
  <c r="S64" i="46" s="1"/>
  <c r="H64" i="45"/>
  <c r="I64" i="45" s="1"/>
  <c r="J64" i="45" s="1"/>
  <c r="K64" i="45" s="1"/>
  <c r="L64" i="45" s="1"/>
  <c r="M64" i="45" s="1"/>
  <c r="N64" i="45" s="1"/>
  <c r="O64" i="45" s="1"/>
  <c r="P64" i="45" s="1"/>
  <c r="Q64" i="45" s="1"/>
  <c r="R64" i="45" s="1"/>
  <c r="S64" i="45" s="1"/>
  <c r="H64" i="44"/>
  <c r="I64" i="44" s="1"/>
  <c r="J64" i="44" s="1"/>
  <c r="K64" i="44" s="1"/>
  <c r="L64" i="44" s="1"/>
  <c r="M64" i="44" s="1"/>
  <c r="N64" i="44" s="1"/>
  <c r="O64" i="44" s="1"/>
  <c r="P64" i="44" s="1"/>
  <c r="Q64" i="44" s="1"/>
  <c r="R64" i="44" s="1"/>
  <c r="S64" i="44" s="1"/>
  <c r="H64" i="43"/>
  <c r="I64" i="43" s="1"/>
  <c r="J64" i="43" s="1"/>
  <c r="K64" i="43" s="1"/>
  <c r="L64" i="43" s="1"/>
  <c r="M64" i="43" s="1"/>
  <c r="N64" i="43" s="1"/>
  <c r="O64" i="43" s="1"/>
  <c r="P64" i="43" s="1"/>
  <c r="Q64" i="43" s="1"/>
  <c r="R64" i="43" s="1"/>
  <c r="S64" i="43" s="1"/>
  <c r="H74" i="48"/>
  <c r="I74" i="48" s="1"/>
  <c r="J74" i="48" s="1"/>
  <c r="K74" i="48" s="1"/>
  <c r="L74" i="48" s="1"/>
  <c r="M74" i="48" s="1"/>
  <c r="N74" i="48" s="1"/>
  <c r="O74" i="48" s="1"/>
  <c r="P74" i="48" s="1"/>
  <c r="Q74" i="48" s="1"/>
  <c r="R74" i="48" s="1"/>
  <c r="S74" i="48" s="1"/>
  <c r="H74" i="47"/>
  <c r="I74" i="47" s="1"/>
  <c r="J74" i="47" s="1"/>
  <c r="K74" i="47" s="1"/>
  <c r="L74" i="47" s="1"/>
  <c r="M74" i="47" s="1"/>
  <c r="N74" i="47" s="1"/>
  <c r="O74" i="47" s="1"/>
  <c r="P74" i="47" s="1"/>
  <c r="Q74" i="47" s="1"/>
  <c r="R74" i="47" s="1"/>
  <c r="S74" i="47" s="1"/>
  <c r="H74" i="46"/>
  <c r="I74" i="46" s="1"/>
  <c r="J74" i="46" s="1"/>
  <c r="K74" i="46" s="1"/>
  <c r="L74" i="46" s="1"/>
  <c r="M74" i="46" s="1"/>
  <c r="N74" i="46" s="1"/>
  <c r="O74" i="46" s="1"/>
  <c r="P74" i="46" s="1"/>
  <c r="Q74" i="46" s="1"/>
  <c r="R74" i="46" s="1"/>
  <c r="S74" i="46" s="1"/>
  <c r="H74" i="45"/>
  <c r="I74" i="45" s="1"/>
  <c r="J74" i="45" s="1"/>
  <c r="K74" i="45" s="1"/>
  <c r="L74" i="45" s="1"/>
  <c r="M74" i="45" s="1"/>
  <c r="N74" i="45" s="1"/>
  <c r="O74" i="45" s="1"/>
  <c r="P74" i="45" s="1"/>
  <c r="Q74" i="45" s="1"/>
  <c r="R74" i="45" s="1"/>
  <c r="S74" i="45" s="1"/>
  <c r="H74" i="44"/>
  <c r="I74" i="44" s="1"/>
  <c r="J74" i="44" s="1"/>
  <c r="K74" i="44" s="1"/>
  <c r="L74" i="44" s="1"/>
  <c r="M74" i="44" s="1"/>
  <c r="N74" i="44" s="1"/>
  <c r="O74" i="44" s="1"/>
  <c r="P74" i="44" s="1"/>
  <c r="Q74" i="44" s="1"/>
  <c r="R74" i="44" s="1"/>
  <c r="S74" i="44" s="1"/>
  <c r="H74" i="43"/>
  <c r="I74" i="43" s="1"/>
  <c r="J74" i="43" s="1"/>
  <c r="K74" i="43" s="1"/>
  <c r="L74" i="43" s="1"/>
  <c r="M74" i="43" s="1"/>
  <c r="N74" i="43" s="1"/>
  <c r="O74" i="43" s="1"/>
  <c r="P74" i="43" s="1"/>
  <c r="Q74" i="43" s="1"/>
  <c r="R74" i="43" s="1"/>
  <c r="S74" i="43" s="1"/>
  <c r="H92" i="48"/>
  <c r="I92" i="48" s="1"/>
  <c r="J92" i="48" s="1"/>
  <c r="K92" i="48" s="1"/>
  <c r="L92" i="48" s="1"/>
  <c r="M92" i="48" s="1"/>
  <c r="N92" i="48" s="1"/>
  <c r="O92" i="48" s="1"/>
  <c r="P92" i="48" s="1"/>
  <c r="Q92" i="48" s="1"/>
  <c r="R92" i="48" s="1"/>
  <c r="S92" i="48" s="1"/>
  <c r="H92" i="47"/>
  <c r="I92" i="47" s="1"/>
  <c r="J92" i="47" s="1"/>
  <c r="K92" i="47" s="1"/>
  <c r="L92" i="47" s="1"/>
  <c r="M92" i="47" s="1"/>
  <c r="N92" i="47" s="1"/>
  <c r="O92" i="47" s="1"/>
  <c r="P92" i="47" s="1"/>
  <c r="Q92" i="47" s="1"/>
  <c r="R92" i="47" s="1"/>
  <c r="S92" i="47" s="1"/>
  <c r="H92" i="46"/>
  <c r="I92" i="46" s="1"/>
  <c r="J92" i="46" s="1"/>
  <c r="K92" i="46" s="1"/>
  <c r="L92" i="46" s="1"/>
  <c r="M92" i="46" s="1"/>
  <c r="N92" i="46" s="1"/>
  <c r="O92" i="46" s="1"/>
  <c r="P92" i="46" s="1"/>
  <c r="Q92" i="46" s="1"/>
  <c r="R92" i="46" s="1"/>
  <c r="S92" i="46" s="1"/>
  <c r="H92" i="45"/>
  <c r="I92" i="45" s="1"/>
  <c r="J92" i="45" s="1"/>
  <c r="K92" i="45" s="1"/>
  <c r="L92" i="45" s="1"/>
  <c r="M92" i="45" s="1"/>
  <c r="N92" i="45" s="1"/>
  <c r="O92" i="45" s="1"/>
  <c r="P92" i="45" s="1"/>
  <c r="Q92" i="45" s="1"/>
  <c r="R92" i="45" s="1"/>
  <c r="S92" i="45" s="1"/>
  <c r="H92" i="44"/>
  <c r="I92" i="44" s="1"/>
  <c r="J92" i="44" s="1"/>
  <c r="K92" i="44" s="1"/>
  <c r="L92" i="44" s="1"/>
  <c r="M92" i="44" s="1"/>
  <c r="N92" i="44" s="1"/>
  <c r="O92" i="44" s="1"/>
  <c r="P92" i="44" s="1"/>
  <c r="Q92" i="44" s="1"/>
  <c r="R92" i="44" s="1"/>
  <c r="S92" i="44" s="1"/>
  <c r="H92" i="43"/>
  <c r="I92" i="43" s="1"/>
  <c r="J92" i="43" s="1"/>
  <c r="K92" i="43" s="1"/>
  <c r="L92" i="43" s="1"/>
  <c r="M92" i="43" s="1"/>
  <c r="N92" i="43" s="1"/>
  <c r="O92" i="43" s="1"/>
  <c r="P92" i="43" s="1"/>
  <c r="Q92" i="43" s="1"/>
  <c r="R92" i="43" s="1"/>
  <c r="S92" i="43" s="1"/>
  <c r="H200" i="44" l="1"/>
  <c r="I200" i="44" s="1"/>
  <c r="J200" i="44" s="1"/>
  <c r="K200" i="44" s="1"/>
  <c r="L200" i="44" s="1"/>
  <c r="M200" i="44" s="1"/>
  <c r="N200" i="44" s="1"/>
  <c r="O200" i="44" s="1"/>
  <c r="P200" i="44" s="1"/>
  <c r="Q200" i="44" s="1"/>
  <c r="R200" i="44" s="1"/>
  <c r="S200" i="44" s="1"/>
  <c r="H202" i="47"/>
  <c r="I202" i="47" s="1"/>
  <c r="J202" i="47" s="1"/>
  <c r="K202" i="47" s="1"/>
  <c r="L202" i="47" s="1"/>
  <c r="M202" i="47" s="1"/>
  <c r="N202" i="47" s="1"/>
  <c r="O202" i="47" s="1"/>
  <c r="P202" i="47" s="1"/>
  <c r="Q202" i="47" s="1"/>
  <c r="R202" i="47" s="1"/>
  <c r="S202" i="47" s="1"/>
  <c r="H203" i="48"/>
  <c r="I203" i="48" s="1"/>
  <c r="J203" i="48" s="1"/>
  <c r="K203" i="48" s="1"/>
  <c r="L203" i="48" s="1"/>
  <c r="M203" i="48" s="1"/>
  <c r="N203" i="48" s="1"/>
  <c r="O203" i="48" s="1"/>
  <c r="P203" i="48" s="1"/>
  <c r="Q203" i="48" s="1"/>
  <c r="R203" i="48" s="1"/>
  <c r="S203" i="48" s="1"/>
  <c r="H199" i="44"/>
  <c r="I199" i="44" s="1"/>
  <c r="J199" i="44" s="1"/>
  <c r="K199" i="44" s="1"/>
  <c r="L199" i="44" s="1"/>
  <c r="M199" i="44" s="1"/>
  <c r="N199" i="44" s="1"/>
  <c r="O199" i="44" s="1"/>
  <c r="P199" i="44" s="1"/>
  <c r="Q199" i="44" s="1"/>
  <c r="R199" i="44" s="1"/>
  <c r="S199" i="44" s="1"/>
  <c r="H71" i="48"/>
  <c r="I71" i="48" s="1"/>
  <c r="J71" i="48" s="1"/>
  <c r="K71" i="48" s="1"/>
  <c r="L71" i="48" s="1"/>
  <c r="M71" i="48" s="1"/>
  <c r="N71" i="48" s="1"/>
  <c r="O71" i="48" s="1"/>
  <c r="P71" i="48" s="1"/>
  <c r="Q71" i="48" s="1"/>
  <c r="R71" i="48" s="1"/>
  <c r="S71" i="48" s="1"/>
  <c r="H71" i="47"/>
  <c r="I71" i="47" s="1"/>
  <c r="J71" i="47" s="1"/>
  <c r="K71" i="47" s="1"/>
  <c r="L71" i="47" s="1"/>
  <c r="M71" i="47" s="1"/>
  <c r="N71" i="47" s="1"/>
  <c r="O71" i="47" s="1"/>
  <c r="P71" i="47" s="1"/>
  <c r="Q71" i="47" s="1"/>
  <c r="R71" i="47" s="1"/>
  <c r="S71" i="47" s="1"/>
  <c r="H71" i="46"/>
  <c r="I71" i="46" s="1"/>
  <c r="J71" i="46" s="1"/>
  <c r="K71" i="46" s="1"/>
  <c r="L71" i="46" s="1"/>
  <c r="M71" i="46" s="1"/>
  <c r="N71" i="46" s="1"/>
  <c r="O71" i="46" s="1"/>
  <c r="P71" i="46" s="1"/>
  <c r="Q71" i="46" s="1"/>
  <c r="R71" i="46" s="1"/>
  <c r="S71" i="46" s="1"/>
  <c r="H71" i="45"/>
  <c r="I71" i="45" s="1"/>
  <c r="J71" i="45" s="1"/>
  <c r="K71" i="45" s="1"/>
  <c r="L71" i="45" s="1"/>
  <c r="M71" i="45" s="1"/>
  <c r="N71" i="45" s="1"/>
  <c r="O71" i="45" s="1"/>
  <c r="P71" i="45" s="1"/>
  <c r="Q71" i="45" s="1"/>
  <c r="R71" i="45" s="1"/>
  <c r="S71" i="45" s="1"/>
  <c r="H71" i="44"/>
  <c r="I71" i="44" s="1"/>
  <c r="J71" i="44" s="1"/>
  <c r="K71" i="44" s="1"/>
  <c r="L71" i="44" s="1"/>
  <c r="M71" i="44" s="1"/>
  <c r="N71" i="44" s="1"/>
  <c r="O71" i="44" s="1"/>
  <c r="P71" i="44" s="1"/>
  <c r="Q71" i="44" s="1"/>
  <c r="R71" i="44" s="1"/>
  <c r="S71" i="44" s="1"/>
  <c r="H71" i="43"/>
  <c r="I71" i="43" s="1"/>
  <c r="J71" i="43" s="1"/>
  <c r="K71" i="43" s="1"/>
  <c r="L71" i="43" s="1"/>
  <c r="M71" i="43" s="1"/>
  <c r="N71" i="43" s="1"/>
  <c r="O71" i="43" s="1"/>
  <c r="P71" i="43" s="1"/>
  <c r="Q71" i="43" s="1"/>
  <c r="R71" i="43" s="1"/>
  <c r="S71" i="43" s="1"/>
  <c r="H41" i="48"/>
  <c r="I41" i="48" s="1"/>
  <c r="J41" i="48" s="1"/>
  <c r="K41" i="48" s="1"/>
  <c r="L41" i="48" s="1"/>
  <c r="M41" i="48" s="1"/>
  <c r="N41" i="48" s="1"/>
  <c r="O41" i="48" s="1"/>
  <c r="P41" i="48" s="1"/>
  <c r="Q41" i="48" s="1"/>
  <c r="R41" i="48" s="1"/>
  <c r="S41" i="48" s="1"/>
  <c r="H41" i="47"/>
  <c r="I41" i="47" s="1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H41" i="46"/>
  <c r="I41" i="46" s="1"/>
  <c r="J41" i="46" s="1"/>
  <c r="K41" i="46" s="1"/>
  <c r="L41" i="46" s="1"/>
  <c r="M41" i="46" s="1"/>
  <c r="N41" i="46" s="1"/>
  <c r="O41" i="46" s="1"/>
  <c r="P41" i="46" s="1"/>
  <c r="Q41" i="46" s="1"/>
  <c r="R41" i="46" s="1"/>
  <c r="S41" i="46" s="1"/>
  <c r="H41" i="45"/>
  <c r="I41" i="45" s="1"/>
  <c r="J41" i="45" s="1"/>
  <c r="K41" i="45" s="1"/>
  <c r="L41" i="45" s="1"/>
  <c r="M41" i="45" s="1"/>
  <c r="N41" i="45" s="1"/>
  <c r="O41" i="45" s="1"/>
  <c r="P41" i="45" s="1"/>
  <c r="Q41" i="45" s="1"/>
  <c r="R41" i="45" s="1"/>
  <c r="S41" i="45" s="1"/>
  <c r="H41" i="44"/>
  <c r="I41" i="44" s="1"/>
  <c r="J41" i="44" s="1"/>
  <c r="K41" i="44" s="1"/>
  <c r="L41" i="44" s="1"/>
  <c r="M41" i="44" s="1"/>
  <c r="N41" i="44" s="1"/>
  <c r="O41" i="44" s="1"/>
  <c r="P41" i="44" s="1"/>
  <c r="Q41" i="44" s="1"/>
  <c r="R41" i="44" s="1"/>
  <c r="S41" i="44" s="1"/>
  <c r="H41" i="43"/>
  <c r="I41" i="43" s="1"/>
  <c r="J41" i="43" s="1"/>
  <c r="K41" i="43" s="1"/>
  <c r="L41" i="43" s="1"/>
  <c r="M41" i="43" s="1"/>
  <c r="N41" i="43" s="1"/>
  <c r="O41" i="43" s="1"/>
  <c r="P41" i="43" s="1"/>
  <c r="Q41" i="43" s="1"/>
  <c r="R41" i="43" s="1"/>
  <c r="S41" i="43" s="1"/>
  <c r="H90" i="48"/>
  <c r="I90" i="48" s="1"/>
  <c r="J90" i="48" s="1"/>
  <c r="K90" i="48" s="1"/>
  <c r="L90" i="48" s="1"/>
  <c r="M90" i="48" s="1"/>
  <c r="N90" i="48" s="1"/>
  <c r="O90" i="48" s="1"/>
  <c r="P90" i="48" s="1"/>
  <c r="Q90" i="48" s="1"/>
  <c r="R90" i="48" s="1"/>
  <c r="S90" i="48" s="1"/>
  <c r="H90" i="47"/>
  <c r="I90" i="47" s="1"/>
  <c r="J90" i="47" s="1"/>
  <c r="K90" i="47" s="1"/>
  <c r="L90" i="47" s="1"/>
  <c r="M90" i="47" s="1"/>
  <c r="N90" i="47" s="1"/>
  <c r="O90" i="47" s="1"/>
  <c r="P90" i="47" s="1"/>
  <c r="Q90" i="47" s="1"/>
  <c r="R90" i="47" s="1"/>
  <c r="S90" i="47" s="1"/>
  <c r="H90" i="46"/>
  <c r="I90" i="46" s="1"/>
  <c r="J90" i="46" s="1"/>
  <c r="K90" i="46" s="1"/>
  <c r="L90" i="46" s="1"/>
  <c r="M90" i="46" s="1"/>
  <c r="N90" i="46" s="1"/>
  <c r="O90" i="46" s="1"/>
  <c r="P90" i="46" s="1"/>
  <c r="Q90" i="46" s="1"/>
  <c r="R90" i="46" s="1"/>
  <c r="S90" i="46" s="1"/>
  <c r="H90" i="45"/>
  <c r="I90" i="45" s="1"/>
  <c r="J90" i="45" s="1"/>
  <c r="K90" i="45" s="1"/>
  <c r="L90" i="45" s="1"/>
  <c r="M90" i="45" s="1"/>
  <c r="N90" i="45" s="1"/>
  <c r="O90" i="45" s="1"/>
  <c r="P90" i="45" s="1"/>
  <c r="Q90" i="45" s="1"/>
  <c r="R90" i="45" s="1"/>
  <c r="S90" i="45" s="1"/>
  <c r="H90" i="44"/>
  <c r="I90" i="44" s="1"/>
  <c r="J90" i="44" s="1"/>
  <c r="K90" i="44" s="1"/>
  <c r="L90" i="44" s="1"/>
  <c r="M90" i="44" s="1"/>
  <c r="N90" i="44" s="1"/>
  <c r="O90" i="44" s="1"/>
  <c r="P90" i="44" s="1"/>
  <c r="Q90" i="44" s="1"/>
  <c r="R90" i="44" s="1"/>
  <c r="S90" i="44" s="1"/>
  <c r="H90" i="43"/>
  <c r="I90" i="43" s="1"/>
  <c r="J90" i="43" s="1"/>
  <c r="K90" i="43" s="1"/>
  <c r="L90" i="43" s="1"/>
  <c r="M90" i="43" s="1"/>
  <c r="N90" i="43" s="1"/>
  <c r="O90" i="43" s="1"/>
  <c r="P90" i="43" s="1"/>
  <c r="Q90" i="43" s="1"/>
  <c r="R90" i="43" s="1"/>
  <c r="S90" i="43" s="1"/>
  <c r="H69" i="48"/>
  <c r="I69" i="48" s="1"/>
  <c r="J69" i="48" s="1"/>
  <c r="K69" i="48" s="1"/>
  <c r="L69" i="48" s="1"/>
  <c r="M69" i="48" s="1"/>
  <c r="N69" i="48" s="1"/>
  <c r="O69" i="48" s="1"/>
  <c r="P69" i="48" s="1"/>
  <c r="Q69" i="48" s="1"/>
  <c r="R69" i="48" s="1"/>
  <c r="S69" i="48" s="1"/>
  <c r="H69" i="47"/>
  <c r="I69" i="47" s="1"/>
  <c r="J69" i="47" s="1"/>
  <c r="K69" i="47" s="1"/>
  <c r="L69" i="47" s="1"/>
  <c r="M69" i="47" s="1"/>
  <c r="N69" i="47" s="1"/>
  <c r="O69" i="47" s="1"/>
  <c r="P69" i="47" s="1"/>
  <c r="Q69" i="47" s="1"/>
  <c r="R69" i="47" s="1"/>
  <c r="S69" i="47" s="1"/>
  <c r="H69" i="46"/>
  <c r="I69" i="46" s="1"/>
  <c r="J69" i="46" s="1"/>
  <c r="K69" i="46" s="1"/>
  <c r="L69" i="46" s="1"/>
  <c r="M69" i="46" s="1"/>
  <c r="N69" i="46" s="1"/>
  <c r="O69" i="46" s="1"/>
  <c r="P69" i="46" s="1"/>
  <c r="Q69" i="46" s="1"/>
  <c r="R69" i="46" s="1"/>
  <c r="S69" i="46" s="1"/>
  <c r="H69" i="45"/>
  <c r="I69" i="45" s="1"/>
  <c r="J69" i="45" s="1"/>
  <c r="K69" i="45" s="1"/>
  <c r="L69" i="45" s="1"/>
  <c r="M69" i="45" s="1"/>
  <c r="N69" i="45" s="1"/>
  <c r="O69" i="45" s="1"/>
  <c r="P69" i="45" s="1"/>
  <c r="Q69" i="45" s="1"/>
  <c r="R69" i="45" s="1"/>
  <c r="S69" i="45" s="1"/>
  <c r="H69" i="44"/>
  <c r="I69" i="44" s="1"/>
  <c r="J69" i="44" s="1"/>
  <c r="K69" i="44" s="1"/>
  <c r="L69" i="44" s="1"/>
  <c r="M69" i="44" s="1"/>
  <c r="N69" i="44" s="1"/>
  <c r="O69" i="44" s="1"/>
  <c r="P69" i="44" s="1"/>
  <c r="Q69" i="44" s="1"/>
  <c r="R69" i="44" s="1"/>
  <c r="S69" i="44" s="1"/>
  <c r="H69" i="43"/>
  <c r="I69" i="43" s="1"/>
  <c r="J69" i="43" s="1"/>
  <c r="K69" i="43" s="1"/>
  <c r="L69" i="43" s="1"/>
  <c r="M69" i="43" s="1"/>
  <c r="N69" i="43" s="1"/>
  <c r="O69" i="43" s="1"/>
  <c r="P69" i="43" s="1"/>
  <c r="Q69" i="43" s="1"/>
  <c r="R69" i="43" s="1"/>
  <c r="S69" i="43" s="1"/>
  <c r="H70" i="48"/>
  <c r="I70" i="48" s="1"/>
  <c r="J70" i="48" s="1"/>
  <c r="K70" i="48" s="1"/>
  <c r="L70" i="48" s="1"/>
  <c r="M70" i="48" s="1"/>
  <c r="N70" i="48" s="1"/>
  <c r="O70" i="48" s="1"/>
  <c r="P70" i="48" s="1"/>
  <c r="Q70" i="48" s="1"/>
  <c r="R70" i="48" s="1"/>
  <c r="S70" i="48" s="1"/>
  <c r="H70" i="47"/>
  <c r="I70" i="47" s="1"/>
  <c r="J70" i="47" s="1"/>
  <c r="K70" i="47" s="1"/>
  <c r="L70" i="47" s="1"/>
  <c r="M70" i="47" s="1"/>
  <c r="N70" i="47" s="1"/>
  <c r="O70" i="47" s="1"/>
  <c r="P70" i="47" s="1"/>
  <c r="Q70" i="47" s="1"/>
  <c r="R70" i="47" s="1"/>
  <c r="S70" i="47" s="1"/>
  <c r="H70" i="46"/>
  <c r="I70" i="46" s="1"/>
  <c r="J70" i="46" s="1"/>
  <c r="K70" i="46" s="1"/>
  <c r="L70" i="46" s="1"/>
  <c r="M70" i="46" s="1"/>
  <c r="N70" i="46" s="1"/>
  <c r="O70" i="46" s="1"/>
  <c r="P70" i="46" s="1"/>
  <c r="Q70" i="46" s="1"/>
  <c r="R70" i="46" s="1"/>
  <c r="S70" i="46" s="1"/>
  <c r="H70" i="45"/>
  <c r="I70" i="45" s="1"/>
  <c r="J70" i="45" s="1"/>
  <c r="K70" i="45" s="1"/>
  <c r="L70" i="45" s="1"/>
  <c r="M70" i="45" s="1"/>
  <c r="N70" i="45" s="1"/>
  <c r="O70" i="45" s="1"/>
  <c r="P70" i="45" s="1"/>
  <c r="Q70" i="45" s="1"/>
  <c r="R70" i="45" s="1"/>
  <c r="S70" i="45" s="1"/>
  <c r="H70" i="44"/>
  <c r="I70" i="44" s="1"/>
  <c r="J70" i="44" s="1"/>
  <c r="K70" i="44" s="1"/>
  <c r="L70" i="44" s="1"/>
  <c r="M70" i="44" s="1"/>
  <c r="N70" i="44" s="1"/>
  <c r="O70" i="44" s="1"/>
  <c r="P70" i="44" s="1"/>
  <c r="Q70" i="44" s="1"/>
  <c r="R70" i="44" s="1"/>
  <c r="S70" i="44" s="1"/>
  <c r="H70" i="43"/>
  <c r="I70" i="43" s="1"/>
  <c r="J70" i="43" s="1"/>
  <c r="K70" i="43" s="1"/>
  <c r="L70" i="43" s="1"/>
  <c r="M70" i="43" s="1"/>
  <c r="N70" i="43" s="1"/>
  <c r="O70" i="43" s="1"/>
  <c r="P70" i="43" s="1"/>
  <c r="Q70" i="43" s="1"/>
  <c r="R70" i="43" s="1"/>
  <c r="S70" i="43" s="1"/>
  <c r="H40" i="48"/>
  <c r="I40" i="48" s="1"/>
  <c r="J40" i="48" s="1"/>
  <c r="K40" i="48" s="1"/>
  <c r="L40" i="48" s="1"/>
  <c r="M40" i="48" s="1"/>
  <c r="N40" i="48" s="1"/>
  <c r="O40" i="48" s="1"/>
  <c r="P40" i="48" s="1"/>
  <c r="Q40" i="48" s="1"/>
  <c r="R40" i="48" s="1"/>
  <c r="S40" i="48" s="1"/>
  <c r="H40" i="47"/>
  <c r="I40" i="47" s="1"/>
  <c r="J40" i="47" s="1"/>
  <c r="K40" i="47" s="1"/>
  <c r="L40" i="47" s="1"/>
  <c r="M40" i="47" s="1"/>
  <c r="N40" i="47" s="1"/>
  <c r="O40" i="47" s="1"/>
  <c r="P40" i="47" s="1"/>
  <c r="Q40" i="47" s="1"/>
  <c r="R40" i="47" s="1"/>
  <c r="S40" i="47" s="1"/>
  <c r="H40" i="46"/>
  <c r="I40" i="46" s="1"/>
  <c r="J40" i="46" s="1"/>
  <c r="K40" i="46" s="1"/>
  <c r="L40" i="46" s="1"/>
  <c r="M40" i="46" s="1"/>
  <c r="N40" i="46" s="1"/>
  <c r="O40" i="46" s="1"/>
  <c r="P40" i="46" s="1"/>
  <c r="Q40" i="46" s="1"/>
  <c r="R40" i="46" s="1"/>
  <c r="S40" i="46" s="1"/>
  <c r="H40" i="44"/>
  <c r="I40" i="44" s="1"/>
  <c r="J40" i="44" s="1"/>
  <c r="K40" i="44" s="1"/>
  <c r="L40" i="44" s="1"/>
  <c r="M40" i="44" s="1"/>
  <c r="N40" i="44" s="1"/>
  <c r="O40" i="44" s="1"/>
  <c r="P40" i="44" s="1"/>
  <c r="Q40" i="44" s="1"/>
  <c r="R40" i="44" s="1"/>
  <c r="S40" i="44" s="1"/>
  <c r="H40" i="45"/>
  <c r="I40" i="45" s="1"/>
  <c r="J40" i="45" s="1"/>
  <c r="K40" i="45" s="1"/>
  <c r="L40" i="45" s="1"/>
  <c r="M40" i="45" s="1"/>
  <c r="N40" i="45" s="1"/>
  <c r="O40" i="45" s="1"/>
  <c r="P40" i="45" s="1"/>
  <c r="Q40" i="45" s="1"/>
  <c r="R40" i="45" s="1"/>
  <c r="S40" i="45" s="1"/>
  <c r="H40" i="43"/>
  <c r="I40" i="43" s="1"/>
  <c r="J40" i="43" s="1"/>
  <c r="K40" i="43" s="1"/>
  <c r="L40" i="43" s="1"/>
  <c r="M40" i="43" s="1"/>
  <c r="N40" i="43" s="1"/>
  <c r="O40" i="43" s="1"/>
  <c r="P40" i="43" s="1"/>
  <c r="Q40" i="43" s="1"/>
  <c r="R40" i="43" s="1"/>
  <c r="S40" i="43" s="1"/>
  <c r="H89" i="48"/>
  <c r="I89" i="48" s="1"/>
  <c r="J89" i="48" s="1"/>
  <c r="K89" i="48" s="1"/>
  <c r="L89" i="48" s="1"/>
  <c r="M89" i="48" s="1"/>
  <c r="N89" i="48" s="1"/>
  <c r="O89" i="48" s="1"/>
  <c r="P89" i="48" s="1"/>
  <c r="Q89" i="48" s="1"/>
  <c r="R89" i="48" s="1"/>
  <c r="S89" i="48" s="1"/>
  <c r="H89" i="47"/>
  <c r="I89" i="47" s="1"/>
  <c r="J89" i="47" s="1"/>
  <c r="K89" i="47" s="1"/>
  <c r="L89" i="47" s="1"/>
  <c r="M89" i="47" s="1"/>
  <c r="N89" i="47" s="1"/>
  <c r="O89" i="47" s="1"/>
  <c r="P89" i="47" s="1"/>
  <c r="Q89" i="47" s="1"/>
  <c r="R89" i="47" s="1"/>
  <c r="S89" i="47" s="1"/>
  <c r="H89" i="46"/>
  <c r="I89" i="46" s="1"/>
  <c r="J89" i="46" s="1"/>
  <c r="K89" i="46" s="1"/>
  <c r="L89" i="46" s="1"/>
  <c r="M89" i="46" s="1"/>
  <c r="N89" i="46" s="1"/>
  <c r="O89" i="46" s="1"/>
  <c r="P89" i="46" s="1"/>
  <c r="Q89" i="46" s="1"/>
  <c r="R89" i="46" s="1"/>
  <c r="S89" i="46" s="1"/>
  <c r="H89" i="45"/>
  <c r="I89" i="45" s="1"/>
  <c r="J89" i="45" s="1"/>
  <c r="K89" i="45" s="1"/>
  <c r="L89" i="45" s="1"/>
  <c r="M89" i="45" s="1"/>
  <c r="N89" i="45" s="1"/>
  <c r="O89" i="45" s="1"/>
  <c r="P89" i="45" s="1"/>
  <c r="Q89" i="45" s="1"/>
  <c r="R89" i="45" s="1"/>
  <c r="S89" i="45" s="1"/>
  <c r="H89" i="44"/>
  <c r="I89" i="44" s="1"/>
  <c r="J89" i="44" s="1"/>
  <c r="K89" i="44" s="1"/>
  <c r="L89" i="44" s="1"/>
  <c r="M89" i="44" s="1"/>
  <c r="N89" i="44" s="1"/>
  <c r="O89" i="44" s="1"/>
  <c r="P89" i="44" s="1"/>
  <c r="Q89" i="44" s="1"/>
  <c r="R89" i="44" s="1"/>
  <c r="S89" i="44" s="1"/>
  <c r="H89" i="43"/>
  <c r="I89" i="43" s="1"/>
  <c r="J89" i="43" s="1"/>
  <c r="K89" i="43" s="1"/>
  <c r="L89" i="43" s="1"/>
  <c r="M89" i="43" s="1"/>
  <c r="N89" i="43" s="1"/>
  <c r="O89" i="43" s="1"/>
  <c r="P89" i="43" s="1"/>
  <c r="Q89" i="43" s="1"/>
  <c r="R89" i="43" s="1"/>
  <c r="S89" i="43" s="1"/>
  <c r="H39" i="48"/>
  <c r="I39" i="48" s="1"/>
  <c r="J39" i="48" s="1"/>
  <c r="K39" i="48" s="1"/>
  <c r="L39" i="48" s="1"/>
  <c r="M39" i="48" s="1"/>
  <c r="N39" i="48" s="1"/>
  <c r="O39" i="48" s="1"/>
  <c r="P39" i="48" s="1"/>
  <c r="Q39" i="48" s="1"/>
  <c r="R39" i="48" s="1"/>
  <c r="S39" i="48" s="1"/>
  <c r="H39" i="47"/>
  <c r="I39" i="47" s="1"/>
  <c r="J39" i="47" s="1"/>
  <c r="K39" i="47" s="1"/>
  <c r="L39" i="47" s="1"/>
  <c r="M39" i="47" s="1"/>
  <c r="N39" i="47" s="1"/>
  <c r="O39" i="47" s="1"/>
  <c r="P39" i="47" s="1"/>
  <c r="Q39" i="47" s="1"/>
  <c r="R39" i="47" s="1"/>
  <c r="S39" i="47" s="1"/>
  <c r="H39" i="46"/>
  <c r="I39" i="46" s="1"/>
  <c r="J39" i="46" s="1"/>
  <c r="K39" i="46" s="1"/>
  <c r="L39" i="46" s="1"/>
  <c r="M39" i="46" s="1"/>
  <c r="N39" i="46" s="1"/>
  <c r="O39" i="46" s="1"/>
  <c r="P39" i="46" s="1"/>
  <c r="Q39" i="46" s="1"/>
  <c r="R39" i="46" s="1"/>
  <c r="S39" i="46" s="1"/>
  <c r="H39" i="45"/>
  <c r="I39" i="45" s="1"/>
  <c r="J39" i="45" s="1"/>
  <c r="K39" i="45" s="1"/>
  <c r="L39" i="45" s="1"/>
  <c r="M39" i="45" s="1"/>
  <c r="N39" i="45" s="1"/>
  <c r="O39" i="45" s="1"/>
  <c r="P39" i="45" s="1"/>
  <c r="Q39" i="45" s="1"/>
  <c r="R39" i="45" s="1"/>
  <c r="S39" i="45" s="1"/>
  <c r="H39" i="44"/>
  <c r="I39" i="44" s="1"/>
  <c r="J39" i="44" s="1"/>
  <c r="K39" i="44" s="1"/>
  <c r="L39" i="44" s="1"/>
  <c r="M39" i="44" s="1"/>
  <c r="N39" i="44" s="1"/>
  <c r="O39" i="44" s="1"/>
  <c r="P39" i="44" s="1"/>
  <c r="Q39" i="44" s="1"/>
  <c r="R39" i="44" s="1"/>
  <c r="S39" i="44" s="1"/>
  <c r="H39" i="43"/>
  <c r="I39" i="43" s="1"/>
  <c r="J39" i="43" s="1"/>
  <c r="K39" i="43" s="1"/>
  <c r="L39" i="43" s="1"/>
  <c r="M39" i="43" s="1"/>
  <c r="N39" i="43" s="1"/>
  <c r="O39" i="43" s="1"/>
  <c r="P39" i="43" s="1"/>
  <c r="Q39" i="43" s="1"/>
  <c r="R39" i="43" s="1"/>
  <c r="S39" i="43" s="1"/>
  <c r="H88" i="48"/>
  <c r="I88" i="48" s="1"/>
  <c r="J88" i="48" s="1"/>
  <c r="K88" i="48" s="1"/>
  <c r="L88" i="48" s="1"/>
  <c r="M88" i="48" s="1"/>
  <c r="N88" i="48" s="1"/>
  <c r="O88" i="48" s="1"/>
  <c r="P88" i="48" s="1"/>
  <c r="Q88" i="48" s="1"/>
  <c r="R88" i="48" s="1"/>
  <c r="S88" i="48" s="1"/>
  <c r="H88" i="47"/>
  <c r="I88" i="47" s="1"/>
  <c r="J88" i="47" s="1"/>
  <c r="K88" i="47" s="1"/>
  <c r="L88" i="47" s="1"/>
  <c r="M88" i="47" s="1"/>
  <c r="N88" i="47" s="1"/>
  <c r="O88" i="47" s="1"/>
  <c r="P88" i="47" s="1"/>
  <c r="Q88" i="47" s="1"/>
  <c r="R88" i="47" s="1"/>
  <c r="S88" i="47" s="1"/>
  <c r="H88" i="46"/>
  <c r="I88" i="46" s="1"/>
  <c r="J88" i="46" s="1"/>
  <c r="K88" i="46" s="1"/>
  <c r="L88" i="46" s="1"/>
  <c r="M88" i="46" s="1"/>
  <c r="N88" i="46" s="1"/>
  <c r="O88" i="46" s="1"/>
  <c r="P88" i="46" s="1"/>
  <c r="Q88" i="46" s="1"/>
  <c r="R88" i="46" s="1"/>
  <c r="S88" i="46" s="1"/>
  <c r="H88" i="45"/>
  <c r="I88" i="45" s="1"/>
  <c r="J88" i="45" s="1"/>
  <c r="K88" i="45" s="1"/>
  <c r="L88" i="45" s="1"/>
  <c r="M88" i="45" s="1"/>
  <c r="N88" i="45" s="1"/>
  <c r="O88" i="45" s="1"/>
  <c r="P88" i="45" s="1"/>
  <c r="Q88" i="45" s="1"/>
  <c r="R88" i="45" s="1"/>
  <c r="S88" i="45" s="1"/>
  <c r="H88" i="44"/>
  <c r="I88" i="44" s="1"/>
  <c r="J88" i="44" s="1"/>
  <c r="K88" i="44" s="1"/>
  <c r="L88" i="44" s="1"/>
  <c r="M88" i="44" s="1"/>
  <c r="N88" i="44" s="1"/>
  <c r="O88" i="44" s="1"/>
  <c r="P88" i="44" s="1"/>
  <c r="Q88" i="44" s="1"/>
  <c r="R88" i="44" s="1"/>
  <c r="S88" i="44" s="1"/>
  <c r="H88" i="43"/>
  <c r="I88" i="43" s="1"/>
  <c r="J88" i="43" s="1"/>
  <c r="K88" i="43" s="1"/>
  <c r="L88" i="43" s="1"/>
  <c r="M88" i="43" s="1"/>
  <c r="N88" i="43" s="1"/>
  <c r="O88" i="43" s="1"/>
  <c r="P88" i="43" s="1"/>
  <c r="Q88" i="43" s="1"/>
  <c r="R88" i="43" s="1"/>
  <c r="S88" i="43" s="1"/>
  <c r="H83" i="48"/>
  <c r="I83" i="48" s="1"/>
  <c r="J83" i="48" s="1"/>
  <c r="K83" i="48" s="1"/>
  <c r="L83" i="48" s="1"/>
  <c r="M83" i="48" s="1"/>
  <c r="N83" i="48" s="1"/>
  <c r="O83" i="48" s="1"/>
  <c r="P83" i="48" s="1"/>
  <c r="Q83" i="48" s="1"/>
  <c r="R83" i="48" s="1"/>
  <c r="S83" i="48" s="1"/>
  <c r="H83" i="47"/>
  <c r="I83" i="47" s="1"/>
  <c r="J83" i="47" s="1"/>
  <c r="K83" i="47" s="1"/>
  <c r="L83" i="47" s="1"/>
  <c r="M83" i="47" s="1"/>
  <c r="N83" i="47" s="1"/>
  <c r="O83" i="47" s="1"/>
  <c r="P83" i="47" s="1"/>
  <c r="Q83" i="47" s="1"/>
  <c r="R83" i="47" s="1"/>
  <c r="S83" i="47" s="1"/>
  <c r="H83" i="46"/>
  <c r="I83" i="46" s="1"/>
  <c r="J83" i="46" s="1"/>
  <c r="K83" i="46" s="1"/>
  <c r="L83" i="46" s="1"/>
  <c r="M83" i="46" s="1"/>
  <c r="N83" i="46" s="1"/>
  <c r="O83" i="46" s="1"/>
  <c r="P83" i="46" s="1"/>
  <c r="Q83" i="46" s="1"/>
  <c r="R83" i="46" s="1"/>
  <c r="S83" i="46" s="1"/>
  <c r="H83" i="45"/>
  <c r="I83" i="45" s="1"/>
  <c r="J83" i="45" s="1"/>
  <c r="K83" i="45" s="1"/>
  <c r="L83" i="45" s="1"/>
  <c r="M83" i="45" s="1"/>
  <c r="N83" i="45" s="1"/>
  <c r="O83" i="45" s="1"/>
  <c r="P83" i="45" s="1"/>
  <c r="Q83" i="45" s="1"/>
  <c r="R83" i="45" s="1"/>
  <c r="S83" i="45" s="1"/>
  <c r="H83" i="44"/>
  <c r="I83" i="44" s="1"/>
  <c r="J83" i="44" s="1"/>
  <c r="K83" i="44" s="1"/>
  <c r="L83" i="44" s="1"/>
  <c r="M83" i="44" s="1"/>
  <c r="N83" i="44" s="1"/>
  <c r="O83" i="44" s="1"/>
  <c r="P83" i="44" s="1"/>
  <c r="Q83" i="44" s="1"/>
  <c r="R83" i="44" s="1"/>
  <c r="S83" i="44" s="1"/>
  <c r="H83" i="43"/>
  <c r="I83" i="43" s="1"/>
  <c r="J83" i="43" s="1"/>
  <c r="K83" i="43" s="1"/>
  <c r="L83" i="43" s="1"/>
  <c r="M83" i="43" s="1"/>
  <c r="N83" i="43" s="1"/>
  <c r="O83" i="43" s="1"/>
  <c r="P83" i="43" s="1"/>
  <c r="Q83" i="43" s="1"/>
  <c r="R83" i="43" s="1"/>
  <c r="S83" i="43" s="1"/>
  <c r="H66" i="48"/>
  <c r="I66" i="48" s="1"/>
  <c r="J66" i="48" s="1"/>
  <c r="K66" i="48" s="1"/>
  <c r="L66" i="48" s="1"/>
  <c r="M66" i="48" s="1"/>
  <c r="N66" i="48" s="1"/>
  <c r="O66" i="48" s="1"/>
  <c r="P66" i="48" s="1"/>
  <c r="Q66" i="48" s="1"/>
  <c r="R66" i="48" s="1"/>
  <c r="S66" i="48" s="1"/>
  <c r="H66" i="47"/>
  <c r="I66" i="47" s="1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H66" i="46"/>
  <c r="I66" i="46" s="1"/>
  <c r="J66" i="46" s="1"/>
  <c r="K66" i="46" s="1"/>
  <c r="L66" i="46" s="1"/>
  <c r="M66" i="46" s="1"/>
  <c r="N66" i="46" s="1"/>
  <c r="O66" i="46" s="1"/>
  <c r="P66" i="46" s="1"/>
  <c r="Q66" i="46" s="1"/>
  <c r="R66" i="46" s="1"/>
  <c r="S66" i="46" s="1"/>
  <c r="H66" i="45"/>
  <c r="I66" i="45" s="1"/>
  <c r="J66" i="45" s="1"/>
  <c r="K66" i="45" s="1"/>
  <c r="L66" i="45" s="1"/>
  <c r="M66" i="45" s="1"/>
  <c r="N66" i="45" s="1"/>
  <c r="O66" i="45" s="1"/>
  <c r="P66" i="45" s="1"/>
  <c r="Q66" i="45" s="1"/>
  <c r="R66" i="45" s="1"/>
  <c r="S66" i="45" s="1"/>
  <c r="H66" i="44"/>
  <c r="I66" i="44" s="1"/>
  <c r="J66" i="44" s="1"/>
  <c r="K66" i="44" s="1"/>
  <c r="L66" i="44" s="1"/>
  <c r="M66" i="44" s="1"/>
  <c r="N66" i="44" s="1"/>
  <c r="O66" i="44" s="1"/>
  <c r="P66" i="44" s="1"/>
  <c r="Q66" i="44" s="1"/>
  <c r="R66" i="44" s="1"/>
  <c r="S66" i="44" s="1"/>
  <c r="H66" i="43"/>
  <c r="I66" i="43" s="1"/>
  <c r="J66" i="43" s="1"/>
  <c r="K66" i="43" s="1"/>
  <c r="L66" i="43" s="1"/>
  <c r="M66" i="43" s="1"/>
  <c r="N66" i="43" s="1"/>
  <c r="O66" i="43" s="1"/>
  <c r="P66" i="43" s="1"/>
  <c r="Q66" i="43" s="1"/>
  <c r="R66" i="43" s="1"/>
  <c r="S66" i="43" s="1"/>
  <c r="H46" i="48"/>
  <c r="I46" i="48" s="1"/>
  <c r="J46" i="48" s="1"/>
  <c r="K46" i="48" s="1"/>
  <c r="L46" i="48" s="1"/>
  <c r="M46" i="48" s="1"/>
  <c r="N46" i="48" s="1"/>
  <c r="O46" i="48" s="1"/>
  <c r="P46" i="48" s="1"/>
  <c r="Q46" i="48" s="1"/>
  <c r="R46" i="48" s="1"/>
  <c r="S46" i="48" s="1"/>
  <c r="H46" i="47"/>
  <c r="I46" i="47" s="1"/>
  <c r="J46" i="47" s="1"/>
  <c r="K46" i="47" s="1"/>
  <c r="L46" i="47" s="1"/>
  <c r="M46" i="47" s="1"/>
  <c r="N46" i="47" s="1"/>
  <c r="O46" i="47" s="1"/>
  <c r="P46" i="47" s="1"/>
  <c r="Q46" i="47" s="1"/>
  <c r="R46" i="47" s="1"/>
  <c r="S46" i="47" s="1"/>
  <c r="H46" i="46"/>
  <c r="I46" i="46" s="1"/>
  <c r="J46" i="46" s="1"/>
  <c r="K46" i="46" s="1"/>
  <c r="L46" i="46" s="1"/>
  <c r="M46" i="46" s="1"/>
  <c r="N46" i="46" s="1"/>
  <c r="O46" i="46" s="1"/>
  <c r="P46" i="46" s="1"/>
  <c r="Q46" i="46" s="1"/>
  <c r="R46" i="46" s="1"/>
  <c r="S46" i="46" s="1"/>
  <c r="H46" i="45"/>
  <c r="I46" i="45" s="1"/>
  <c r="J46" i="45" s="1"/>
  <c r="K46" i="45" s="1"/>
  <c r="L46" i="45" s="1"/>
  <c r="M46" i="45" s="1"/>
  <c r="N46" i="45" s="1"/>
  <c r="O46" i="45" s="1"/>
  <c r="P46" i="45" s="1"/>
  <c r="Q46" i="45" s="1"/>
  <c r="R46" i="45" s="1"/>
  <c r="S46" i="45" s="1"/>
  <c r="H46" i="44"/>
  <c r="I46" i="44" s="1"/>
  <c r="J46" i="44" s="1"/>
  <c r="K46" i="44" s="1"/>
  <c r="L46" i="44" s="1"/>
  <c r="M46" i="44" s="1"/>
  <c r="N46" i="44" s="1"/>
  <c r="O46" i="44" s="1"/>
  <c r="P46" i="44" s="1"/>
  <c r="Q46" i="44" s="1"/>
  <c r="R46" i="44" s="1"/>
  <c r="S46" i="44" s="1"/>
  <c r="H46" i="43"/>
  <c r="I46" i="43" s="1"/>
  <c r="J46" i="43" s="1"/>
  <c r="K46" i="43" s="1"/>
  <c r="L46" i="43" s="1"/>
  <c r="M46" i="43" s="1"/>
  <c r="N46" i="43" s="1"/>
  <c r="O46" i="43" s="1"/>
  <c r="P46" i="43" s="1"/>
  <c r="Q46" i="43" s="1"/>
  <c r="R46" i="43" s="1"/>
  <c r="S46" i="43" s="1"/>
  <c r="H87" i="48"/>
  <c r="I87" i="48" s="1"/>
  <c r="J87" i="48" s="1"/>
  <c r="K87" i="48" s="1"/>
  <c r="L87" i="48" s="1"/>
  <c r="M87" i="48" s="1"/>
  <c r="N87" i="48" s="1"/>
  <c r="O87" i="48" s="1"/>
  <c r="P87" i="48" s="1"/>
  <c r="Q87" i="48" s="1"/>
  <c r="R87" i="48" s="1"/>
  <c r="S87" i="48" s="1"/>
  <c r="H87" i="47"/>
  <c r="I87" i="47" s="1"/>
  <c r="J87" i="47" s="1"/>
  <c r="K87" i="47" s="1"/>
  <c r="L87" i="47" s="1"/>
  <c r="M87" i="47" s="1"/>
  <c r="N87" i="47" s="1"/>
  <c r="O87" i="47" s="1"/>
  <c r="P87" i="47" s="1"/>
  <c r="Q87" i="47" s="1"/>
  <c r="R87" i="47" s="1"/>
  <c r="S87" i="47" s="1"/>
  <c r="H87" i="46"/>
  <c r="I87" i="46" s="1"/>
  <c r="J87" i="46" s="1"/>
  <c r="K87" i="46" s="1"/>
  <c r="L87" i="46" s="1"/>
  <c r="M87" i="46" s="1"/>
  <c r="N87" i="46" s="1"/>
  <c r="O87" i="46" s="1"/>
  <c r="P87" i="46" s="1"/>
  <c r="Q87" i="46" s="1"/>
  <c r="R87" i="46" s="1"/>
  <c r="S87" i="46" s="1"/>
  <c r="H87" i="45"/>
  <c r="I87" i="45" s="1"/>
  <c r="J87" i="45" s="1"/>
  <c r="K87" i="45" s="1"/>
  <c r="L87" i="45" s="1"/>
  <c r="M87" i="45" s="1"/>
  <c r="N87" i="45" s="1"/>
  <c r="O87" i="45" s="1"/>
  <c r="P87" i="45" s="1"/>
  <c r="Q87" i="45" s="1"/>
  <c r="R87" i="45" s="1"/>
  <c r="S87" i="45" s="1"/>
  <c r="H87" i="44"/>
  <c r="I87" i="44" s="1"/>
  <c r="J87" i="44" s="1"/>
  <c r="K87" i="44" s="1"/>
  <c r="L87" i="44" s="1"/>
  <c r="M87" i="44" s="1"/>
  <c r="N87" i="44" s="1"/>
  <c r="O87" i="44" s="1"/>
  <c r="P87" i="44" s="1"/>
  <c r="Q87" i="44" s="1"/>
  <c r="R87" i="44" s="1"/>
  <c r="S87" i="44" s="1"/>
  <c r="H87" i="43"/>
  <c r="I87" i="43" s="1"/>
  <c r="J87" i="43" s="1"/>
  <c r="K87" i="43" s="1"/>
  <c r="L87" i="43" s="1"/>
  <c r="M87" i="43" s="1"/>
  <c r="N87" i="43" s="1"/>
  <c r="O87" i="43" s="1"/>
  <c r="P87" i="43" s="1"/>
  <c r="Q87" i="43" s="1"/>
  <c r="R87" i="43" s="1"/>
  <c r="S87" i="43" s="1"/>
  <c r="H42" i="48"/>
  <c r="I42" i="48" s="1"/>
  <c r="J42" i="48" s="1"/>
  <c r="K42" i="48" s="1"/>
  <c r="L42" i="48" s="1"/>
  <c r="M42" i="48" s="1"/>
  <c r="N42" i="48" s="1"/>
  <c r="O42" i="48" s="1"/>
  <c r="P42" i="48" s="1"/>
  <c r="Q42" i="48" s="1"/>
  <c r="R42" i="48" s="1"/>
  <c r="S42" i="48" s="1"/>
  <c r="H42" i="47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H42" i="46"/>
  <c r="I42" i="46" s="1"/>
  <c r="J42" i="46" s="1"/>
  <c r="K42" i="46" s="1"/>
  <c r="L42" i="46" s="1"/>
  <c r="M42" i="46" s="1"/>
  <c r="N42" i="46" s="1"/>
  <c r="O42" i="46" s="1"/>
  <c r="P42" i="46" s="1"/>
  <c r="Q42" i="46" s="1"/>
  <c r="R42" i="46" s="1"/>
  <c r="S42" i="46" s="1"/>
  <c r="H42" i="45"/>
  <c r="I42" i="45" s="1"/>
  <c r="J42" i="45" s="1"/>
  <c r="K42" i="45" s="1"/>
  <c r="L42" i="45" s="1"/>
  <c r="M42" i="45" s="1"/>
  <c r="N42" i="45" s="1"/>
  <c r="O42" i="45" s="1"/>
  <c r="P42" i="45" s="1"/>
  <c r="Q42" i="45" s="1"/>
  <c r="R42" i="45" s="1"/>
  <c r="S42" i="45" s="1"/>
  <c r="H42" i="44"/>
  <c r="I42" i="44" s="1"/>
  <c r="J42" i="44" s="1"/>
  <c r="K42" i="44" s="1"/>
  <c r="L42" i="44" s="1"/>
  <c r="M42" i="44" s="1"/>
  <c r="N42" i="44" s="1"/>
  <c r="O42" i="44" s="1"/>
  <c r="P42" i="44" s="1"/>
  <c r="Q42" i="44" s="1"/>
  <c r="R42" i="44" s="1"/>
  <c r="S42" i="44" s="1"/>
  <c r="H42" i="43"/>
  <c r="I42" i="43" s="1"/>
  <c r="J42" i="43" s="1"/>
  <c r="K42" i="43" s="1"/>
  <c r="L42" i="43" s="1"/>
  <c r="M42" i="43" s="1"/>
  <c r="N42" i="43" s="1"/>
  <c r="O42" i="43" s="1"/>
  <c r="P42" i="43" s="1"/>
  <c r="Q42" i="43" s="1"/>
  <c r="R42" i="43" s="1"/>
  <c r="S42" i="43" s="1"/>
  <c r="H67" i="48"/>
  <c r="I67" i="48" s="1"/>
  <c r="J67" i="48" s="1"/>
  <c r="K67" i="48" s="1"/>
  <c r="L67" i="48" s="1"/>
  <c r="M67" i="48" s="1"/>
  <c r="N67" i="48" s="1"/>
  <c r="O67" i="48" s="1"/>
  <c r="P67" i="48" s="1"/>
  <c r="Q67" i="48" s="1"/>
  <c r="R67" i="48" s="1"/>
  <c r="S67" i="48" s="1"/>
  <c r="H67" i="47"/>
  <c r="I67" i="47" s="1"/>
  <c r="J67" i="47" s="1"/>
  <c r="K67" i="47" s="1"/>
  <c r="L67" i="47" s="1"/>
  <c r="M67" i="47" s="1"/>
  <c r="N67" i="47" s="1"/>
  <c r="O67" i="47" s="1"/>
  <c r="P67" i="47" s="1"/>
  <c r="Q67" i="47" s="1"/>
  <c r="R67" i="47" s="1"/>
  <c r="S67" i="47" s="1"/>
  <c r="H67" i="46"/>
  <c r="I67" i="46" s="1"/>
  <c r="J67" i="46" s="1"/>
  <c r="K67" i="46" s="1"/>
  <c r="L67" i="46" s="1"/>
  <c r="M67" i="46" s="1"/>
  <c r="N67" i="46" s="1"/>
  <c r="O67" i="46" s="1"/>
  <c r="P67" i="46" s="1"/>
  <c r="Q67" i="46" s="1"/>
  <c r="R67" i="46" s="1"/>
  <c r="S67" i="46" s="1"/>
  <c r="H67" i="45"/>
  <c r="I67" i="45" s="1"/>
  <c r="J67" i="45" s="1"/>
  <c r="K67" i="45" s="1"/>
  <c r="L67" i="45" s="1"/>
  <c r="M67" i="45" s="1"/>
  <c r="N67" i="45" s="1"/>
  <c r="O67" i="45" s="1"/>
  <c r="P67" i="45" s="1"/>
  <c r="Q67" i="45" s="1"/>
  <c r="R67" i="45" s="1"/>
  <c r="S67" i="45" s="1"/>
  <c r="H67" i="44"/>
  <c r="I67" i="44" s="1"/>
  <c r="J67" i="44" s="1"/>
  <c r="K67" i="44" s="1"/>
  <c r="L67" i="44" s="1"/>
  <c r="M67" i="44" s="1"/>
  <c r="N67" i="44" s="1"/>
  <c r="O67" i="44" s="1"/>
  <c r="P67" i="44" s="1"/>
  <c r="Q67" i="44" s="1"/>
  <c r="R67" i="44" s="1"/>
  <c r="S67" i="44" s="1"/>
  <c r="H67" i="43"/>
  <c r="I67" i="43" s="1"/>
  <c r="J67" i="43" s="1"/>
  <c r="K67" i="43" s="1"/>
  <c r="L67" i="43" s="1"/>
  <c r="M67" i="43" s="1"/>
  <c r="N67" i="43" s="1"/>
  <c r="O67" i="43" s="1"/>
  <c r="P67" i="43" s="1"/>
  <c r="Q67" i="43" s="1"/>
  <c r="R67" i="43" s="1"/>
  <c r="S67" i="43" s="1"/>
  <c r="H73" i="48"/>
  <c r="I73" i="48" s="1"/>
  <c r="J73" i="48" s="1"/>
  <c r="K73" i="48" s="1"/>
  <c r="L73" i="48" s="1"/>
  <c r="M73" i="48" s="1"/>
  <c r="N73" i="48" s="1"/>
  <c r="O73" i="48" s="1"/>
  <c r="P73" i="48" s="1"/>
  <c r="Q73" i="48" s="1"/>
  <c r="R73" i="48" s="1"/>
  <c r="S73" i="48" s="1"/>
  <c r="H73" i="47"/>
  <c r="I73" i="47" s="1"/>
  <c r="J73" i="47" s="1"/>
  <c r="K73" i="47" s="1"/>
  <c r="L73" i="47" s="1"/>
  <c r="M73" i="47" s="1"/>
  <c r="N73" i="47" s="1"/>
  <c r="O73" i="47" s="1"/>
  <c r="P73" i="47" s="1"/>
  <c r="Q73" i="47" s="1"/>
  <c r="R73" i="47" s="1"/>
  <c r="S73" i="47" s="1"/>
  <c r="H73" i="46"/>
  <c r="I73" i="46" s="1"/>
  <c r="J73" i="46" s="1"/>
  <c r="K73" i="46" s="1"/>
  <c r="L73" i="46" s="1"/>
  <c r="M73" i="46" s="1"/>
  <c r="N73" i="46" s="1"/>
  <c r="O73" i="46" s="1"/>
  <c r="P73" i="46" s="1"/>
  <c r="Q73" i="46" s="1"/>
  <c r="R73" i="46" s="1"/>
  <c r="S73" i="46" s="1"/>
  <c r="H73" i="45"/>
  <c r="I73" i="45" s="1"/>
  <c r="J73" i="45" s="1"/>
  <c r="K73" i="45" s="1"/>
  <c r="L73" i="45" s="1"/>
  <c r="M73" i="45" s="1"/>
  <c r="N73" i="45" s="1"/>
  <c r="O73" i="45" s="1"/>
  <c r="P73" i="45" s="1"/>
  <c r="Q73" i="45" s="1"/>
  <c r="R73" i="45" s="1"/>
  <c r="S73" i="45" s="1"/>
  <c r="H73" i="44"/>
  <c r="I73" i="44" s="1"/>
  <c r="J73" i="44" s="1"/>
  <c r="K73" i="44" s="1"/>
  <c r="L73" i="44" s="1"/>
  <c r="M73" i="44" s="1"/>
  <c r="N73" i="44" s="1"/>
  <c r="O73" i="44" s="1"/>
  <c r="P73" i="44" s="1"/>
  <c r="Q73" i="44" s="1"/>
  <c r="R73" i="44" s="1"/>
  <c r="S73" i="44" s="1"/>
  <c r="H73" i="43"/>
  <c r="I73" i="43" s="1"/>
  <c r="J73" i="43" s="1"/>
  <c r="K73" i="43" s="1"/>
  <c r="L73" i="43" s="1"/>
  <c r="M73" i="43" s="1"/>
  <c r="N73" i="43" s="1"/>
  <c r="O73" i="43" s="1"/>
  <c r="P73" i="43" s="1"/>
  <c r="Q73" i="43" s="1"/>
  <c r="R73" i="43" s="1"/>
  <c r="S73" i="43" s="1"/>
  <c r="H45" i="48"/>
  <c r="I45" i="48" s="1"/>
  <c r="J45" i="48" s="1"/>
  <c r="K45" i="48" s="1"/>
  <c r="L45" i="48" s="1"/>
  <c r="M45" i="48" s="1"/>
  <c r="N45" i="48" s="1"/>
  <c r="O45" i="48" s="1"/>
  <c r="P45" i="48" s="1"/>
  <c r="Q45" i="48" s="1"/>
  <c r="R45" i="48" s="1"/>
  <c r="S45" i="48" s="1"/>
  <c r="H45" i="47"/>
  <c r="I45" i="47" s="1"/>
  <c r="J45" i="47" s="1"/>
  <c r="K45" i="47" s="1"/>
  <c r="L45" i="47" s="1"/>
  <c r="M45" i="47" s="1"/>
  <c r="N45" i="47" s="1"/>
  <c r="O45" i="47" s="1"/>
  <c r="P45" i="47" s="1"/>
  <c r="Q45" i="47" s="1"/>
  <c r="R45" i="47" s="1"/>
  <c r="S45" i="47" s="1"/>
  <c r="H45" i="46"/>
  <c r="I45" i="46" s="1"/>
  <c r="J45" i="46" s="1"/>
  <c r="K45" i="46" s="1"/>
  <c r="L45" i="46" s="1"/>
  <c r="M45" i="46" s="1"/>
  <c r="N45" i="46" s="1"/>
  <c r="O45" i="46" s="1"/>
  <c r="P45" i="46" s="1"/>
  <c r="Q45" i="46" s="1"/>
  <c r="R45" i="46" s="1"/>
  <c r="S45" i="46" s="1"/>
  <c r="H45" i="45"/>
  <c r="I45" i="45" s="1"/>
  <c r="J45" i="45" s="1"/>
  <c r="K45" i="45" s="1"/>
  <c r="L45" i="45" s="1"/>
  <c r="M45" i="45" s="1"/>
  <c r="N45" i="45" s="1"/>
  <c r="O45" i="45" s="1"/>
  <c r="P45" i="45" s="1"/>
  <c r="Q45" i="45" s="1"/>
  <c r="R45" i="45" s="1"/>
  <c r="S45" i="45" s="1"/>
  <c r="H45" i="44"/>
  <c r="I45" i="44" s="1"/>
  <c r="J45" i="44" s="1"/>
  <c r="K45" i="44" s="1"/>
  <c r="L45" i="44" s="1"/>
  <c r="M45" i="44" s="1"/>
  <c r="N45" i="44" s="1"/>
  <c r="O45" i="44" s="1"/>
  <c r="P45" i="44" s="1"/>
  <c r="Q45" i="44" s="1"/>
  <c r="R45" i="44" s="1"/>
  <c r="S45" i="44" s="1"/>
  <c r="H45" i="43"/>
  <c r="I45" i="43" s="1"/>
  <c r="J45" i="43" s="1"/>
  <c r="K45" i="43" s="1"/>
  <c r="L45" i="43" s="1"/>
  <c r="M45" i="43" s="1"/>
  <c r="N45" i="43" s="1"/>
  <c r="O45" i="43" s="1"/>
  <c r="P45" i="43" s="1"/>
  <c r="Q45" i="43" s="1"/>
  <c r="R45" i="43" s="1"/>
  <c r="S45" i="43" s="1"/>
  <c r="H38" i="48"/>
  <c r="I38" i="48" s="1"/>
  <c r="J38" i="48" s="1"/>
  <c r="K38" i="48" s="1"/>
  <c r="L38" i="48" s="1"/>
  <c r="M38" i="48" s="1"/>
  <c r="N38" i="48" s="1"/>
  <c r="O38" i="48" s="1"/>
  <c r="P38" i="48" s="1"/>
  <c r="Q38" i="48" s="1"/>
  <c r="R38" i="48" s="1"/>
  <c r="S38" i="48" s="1"/>
  <c r="H38" i="47"/>
  <c r="I38" i="47" s="1"/>
  <c r="J38" i="47" s="1"/>
  <c r="K38" i="47" s="1"/>
  <c r="L38" i="47" s="1"/>
  <c r="M38" i="47" s="1"/>
  <c r="N38" i="47" s="1"/>
  <c r="O38" i="47" s="1"/>
  <c r="P38" i="47" s="1"/>
  <c r="Q38" i="47" s="1"/>
  <c r="R38" i="47" s="1"/>
  <c r="S38" i="47" s="1"/>
  <c r="H38" i="46"/>
  <c r="I38" i="46" s="1"/>
  <c r="J38" i="46" s="1"/>
  <c r="K38" i="46" s="1"/>
  <c r="L38" i="46" s="1"/>
  <c r="M38" i="46" s="1"/>
  <c r="N38" i="46" s="1"/>
  <c r="O38" i="46" s="1"/>
  <c r="P38" i="46" s="1"/>
  <c r="Q38" i="46" s="1"/>
  <c r="R38" i="46" s="1"/>
  <c r="S38" i="46" s="1"/>
  <c r="H38" i="45"/>
  <c r="I38" i="45" s="1"/>
  <c r="J38" i="45" s="1"/>
  <c r="K38" i="45" s="1"/>
  <c r="L38" i="45" s="1"/>
  <c r="M38" i="45" s="1"/>
  <c r="N38" i="45" s="1"/>
  <c r="O38" i="45" s="1"/>
  <c r="P38" i="45" s="1"/>
  <c r="Q38" i="45" s="1"/>
  <c r="R38" i="45" s="1"/>
  <c r="S38" i="45" s="1"/>
  <c r="H38" i="44"/>
  <c r="I38" i="44" s="1"/>
  <c r="J38" i="44" s="1"/>
  <c r="K38" i="44" s="1"/>
  <c r="L38" i="44" s="1"/>
  <c r="M38" i="44" s="1"/>
  <c r="N38" i="44" s="1"/>
  <c r="O38" i="44" s="1"/>
  <c r="P38" i="44" s="1"/>
  <c r="Q38" i="44" s="1"/>
  <c r="R38" i="44" s="1"/>
  <c r="S38" i="44" s="1"/>
  <c r="H38" i="43"/>
  <c r="I38" i="43" s="1"/>
  <c r="J38" i="43" s="1"/>
  <c r="K38" i="43" s="1"/>
  <c r="L38" i="43" s="1"/>
  <c r="M38" i="43" s="1"/>
  <c r="N38" i="43" s="1"/>
  <c r="O38" i="43" s="1"/>
  <c r="P38" i="43" s="1"/>
  <c r="Q38" i="43" s="1"/>
  <c r="R38" i="43" s="1"/>
  <c r="S38" i="43" s="1"/>
  <c r="H84" i="48"/>
  <c r="I84" i="48" s="1"/>
  <c r="J84" i="48" s="1"/>
  <c r="K84" i="48" s="1"/>
  <c r="L84" i="48" s="1"/>
  <c r="M84" i="48" s="1"/>
  <c r="N84" i="48" s="1"/>
  <c r="O84" i="48" s="1"/>
  <c r="P84" i="48" s="1"/>
  <c r="Q84" i="48" s="1"/>
  <c r="R84" i="48" s="1"/>
  <c r="S84" i="48" s="1"/>
  <c r="H84" i="47"/>
  <c r="I84" i="47" s="1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H84" i="46"/>
  <c r="I84" i="46" s="1"/>
  <c r="J84" i="46" s="1"/>
  <c r="K84" i="46" s="1"/>
  <c r="L84" i="46" s="1"/>
  <c r="M84" i="46" s="1"/>
  <c r="N84" i="46" s="1"/>
  <c r="O84" i="46" s="1"/>
  <c r="P84" i="46" s="1"/>
  <c r="Q84" i="46" s="1"/>
  <c r="R84" i="46" s="1"/>
  <c r="S84" i="46" s="1"/>
  <c r="H84" i="45"/>
  <c r="I84" i="45" s="1"/>
  <c r="J84" i="45" s="1"/>
  <c r="K84" i="45" s="1"/>
  <c r="L84" i="45" s="1"/>
  <c r="M84" i="45" s="1"/>
  <c r="N84" i="45" s="1"/>
  <c r="O84" i="45" s="1"/>
  <c r="P84" i="45" s="1"/>
  <c r="Q84" i="45" s="1"/>
  <c r="R84" i="45" s="1"/>
  <c r="S84" i="45" s="1"/>
  <c r="H84" i="44"/>
  <c r="I84" i="44" s="1"/>
  <c r="J84" i="44" s="1"/>
  <c r="K84" i="44" s="1"/>
  <c r="L84" i="44" s="1"/>
  <c r="M84" i="44" s="1"/>
  <c r="N84" i="44" s="1"/>
  <c r="O84" i="44" s="1"/>
  <c r="P84" i="44" s="1"/>
  <c r="Q84" i="44" s="1"/>
  <c r="R84" i="44" s="1"/>
  <c r="S84" i="44" s="1"/>
  <c r="H84" i="43"/>
  <c r="I84" i="43" s="1"/>
  <c r="J84" i="43" s="1"/>
  <c r="K84" i="43" s="1"/>
  <c r="L84" i="43" s="1"/>
  <c r="M84" i="43" s="1"/>
  <c r="N84" i="43" s="1"/>
  <c r="O84" i="43" s="1"/>
  <c r="P84" i="43" s="1"/>
  <c r="Q84" i="43" s="1"/>
  <c r="R84" i="43" s="1"/>
  <c r="S84" i="43" s="1"/>
  <c r="H65" i="48"/>
  <c r="I65" i="48" s="1"/>
  <c r="J65" i="48" s="1"/>
  <c r="K65" i="48" s="1"/>
  <c r="L65" i="48" s="1"/>
  <c r="M65" i="48" s="1"/>
  <c r="N65" i="48" s="1"/>
  <c r="O65" i="48" s="1"/>
  <c r="P65" i="48" s="1"/>
  <c r="Q65" i="48" s="1"/>
  <c r="R65" i="48" s="1"/>
  <c r="S65" i="48" s="1"/>
  <c r="H65" i="47"/>
  <c r="I65" i="47" s="1"/>
  <c r="J65" i="47" s="1"/>
  <c r="K65" i="47" s="1"/>
  <c r="L65" i="47" s="1"/>
  <c r="M65" i="47" s="1"/>
  <c r="N65" i="47" s="1"/>
  <c r="O65" i="47" s="1"/>
  <c r="P65" i="47" s="1"/>
  <c r="Q65" i="47" s="1"/>
  <c r="R65" i="47" s="1"/>
  <c r="S65" i="47" s="1"/>
  <c r="H65" i="46"/>
  <c r="I65" i="46" s="1"/>
  <c r="J65" i="46" s="1"/>
  <c r="K65" i="46" s="1"/>
  <c r="L65" i="46" s="1"/>
  <c r="M65" i="46" s="1"/>
  <c r="N65" i="46" s="1"/>
  <c r="O65" i="46" s="1"/>
  <c r="P65" i="46" s="1"/>
  <c r="Q65" i="46" s="1"/>
  <c r="R65" i="46" s="1"/>
  <c r="S65" i="46" s="1"/>
  <c r="H65" i="45"/>
  <c r="I65" i="45" s="1"/>
  <c r="J65" i="45" s="1"/>
  <c r="K65" i="45" s="1"/>
  <c r="L65" i="45" s="1"/>
  <c r="M65" i="45" s="1"/>
  <c r="N65" i="45" s="1"/>
  <c r="O65" i="45" s="1"/>
  <c r="P65" i="45" s="1"/>
  <c r="Q65" i="45" s="1"/>
  <c r="R65" i="45" s="1"/>
  <c r="S65" i="45" s="1"/>
  <c r="H65" i="44"/>
  <c r="I65" i="44" s="1"/>
  <c r="J65" i="44" s="1"/>
  <c r="K65" i="44" s="1"/>
  <c r="L65" i="44" s="1"/>
  <c r="M65" i="44" s="1"/>
  <c r="N65" i="44" s="1"/>
  <c r="O65" i="44" s="1"/>
  <c r="P65" i="44" s="1"/>
  <c r="Q65" i="44" s="1"/>
  <c r="R65" i="44" s="1"/>
  <c r="S65" i="44" s="1"/>
  <c r="H65" i="43"/>
  <c r="I65" i="43" s="1"/>
  <c r="J65" i="43" s="1"/>
  <c r="K65" i="43" s="1"/>
  <c r="L65" i="43" s="1"/>
  <c r="M65" i="43" s="1"/>
  <c r="N65" i="43" s="1"/>
  <c r="O65" i="43" s="1"/>
  <c r="P65" i="43" s="1"/>
  <c r="Q65" i="43" s="1"/>
  <c r="R65" i="43" s="1"/>
  <c r="S65" i="43" s="1"/>
  <c r="H44" i="48"/>
  <c r="I44" i="48" s="1"/>
  <c r="J44" i="48" s="1"/>
  <c r="K44" i="48" s="1"/>
  <c r="L44" i="48" s="1"/>
  <c r="M44" i="48" s="1"/>
  <c r="N44" i="48" s="1"/>
  <c r="O44" i="48" s="1"/>
  <c r="P44" i="48" s="1"/>
  <c r="Q44" i="48" s="1"/>
  <c r="R44" i="48" s="1"/>
  <c r="S44" i="48" s="1"/>
  <c r="H44" i="47"/>
  <c r="I44" i="47" s="1"/>
  <c r="J44" i="47" s="1"/>
  <c r="K44" i="47" s="1"/>
  <c r="L44" i="47" s="1"/>
  <c r="M44" i="47" s="1"/>
  <c r="N44" i="47" s="1"/>
  <c r="O44" i="47" s="1"/>
  <c r="P44" i="47" s="1"/>
  <c r="Q44" i="47" s="1"/>
  <c r="R44" i="47" s="1"/>
  <c r="S44" i="47" s="1"/>
  <c r="H44" i="46"/>
  <c r="I44" i="46" s="1"/>
  <c r="J44" i="46" s="1"/>
  <c r="K44" i="46" s="1"/>
  <c r="L44" i="46" s="1"/>
  <c r="M44" i="46" s="1"/>
  <c r="N44" i="46" s="1"/>
  <c r="O44" i="46" s="1"/>
  <c r="P44" i="46" s="1"/>
  <c r="Q44" i="46" s="1"/>
  <c r="R44" i="46" s="1"/>
  <c r="S44" i="46" s="1"/>
  <c r="H44" i="45"/>
  <c r="I44" i="45" s="1"/>
  <c r="J44" i="45" s="1"/>
  <c r="K44" i="45" s="1"/>
  <c r="L44" i="45" s="1"/>
  <c r="M44" i="45" s="1"/>
  <c r="N44" i="45" s="1"/>
  <c r="O44" i="45" s="1"/>
  <c r="P44" i="45" s="1"/>
  <c r="Q44" i="45" s="1"/>
  <c r="R44" i="45" s="1"/>
  <c r="S44" i="45" s="1"/>
  <c r="H44" i="44"/>
  <c r="I44" i="44" s="1"/>
  <c r="J44" i="44" s="1"/>
  <c r="K44" i="44" s="1"/>
  <c r="L44" i="44" s="1"/>
  <c r="M44" i="44" s="1"/>
  <c r="N44" i="44" s="1"/>
  <c r="O44" i="44" s="1"/>
  <c r="P44" i="44" s="1"/>
  <c r="Q44" i="44" s="1"/>
  <c r="R44" i="44" s="1"/>
  <c r="S44" i="44" s="1"/>
  <c r="H44" i="43"/>
  <c r="I44" i="43" s="1"/>
  <c r="J44" i="43" s="1"/>
  <c r="K44" i="43" s="1"/>
  <c r="L44" i="43" s="1"/>
  <c r="M44" i="43" s="1"/>
  <c r="N44" i="43" s="1"/>
  <c r="O44" i="43" s="1"/>
  <c r="P44" i="43" s="1"/>
  <c r="Q44" i="43" s="1"/>
  <c r="R44" i="43" s="1"/>
  <c r="S44" i="43" s="1"/>
  <c r="H85" i="48"/>
  <c r="I85" i="48" s="1"/>
  <c r="J85" i="48" s="1"/>
  <c r="K85" i="48" s="1"/>
  <c r="L85" i="48" s="1"/>
  <c r="M85" i="48" s="1"/>
  <c r="N85" i="48" s="1"/>
  <c r="O85" i="48" s="1"/>
  <c r="P85" i="48" s="1"/>
  <c r="Q85" i="48" s="1"/>
  <c r="R85" i="48" s="1"/>
  <c r="S85" i="48" s="1"/>
  <c r="H85" i="47"/>
  <c r="I85" i="47" s="1"/>
  <c r="J85" i="47" s="1"/>
  <c r="K85" i="47" s="1"/>
  <c r="L85" i="47" s="1"/>
  <c r="M85" i="47" s="1"/>
  <c r="N85" i="47" s="1"/>
  <c r="O85" i="47" s="1"/>
  <c r="P85" i="47" s="1"/>
  <c r="Q85" i="47" s="1"/>
  <c r="R85" i="47" s="1"/>
  <c r="S85" i="47" s="1"/>
  <c r="H85" i="46"/>
  <c r="I85" i="46" s="1"/>
  <c r="J85" i="46" s="1"/>
  <c r="K85" i="46" s="1"/>
  <c r="L85" i="46" s="1"/>
  <c r="M85" i="46" s="1"/>
  <c r="N85" i="46" s="1"/>
  <c r="O85" i="46" s="1"/>
  <c r="P85" i="46" s="1"/>
  <c r="Q85" i="46" s="1"/>
  <c r="R85" i="46" s="1"/>
  <c r="S85" i="46" s="1"/>
  <c r="H85" i="45"/>
  <c r="I85" i="45" s="1"/>
  <c r="J85" i="45" s="1"/>
  <c r="K85" i="45" s="1"/>
  <c r="L85" i="45" s="1"/>
  <c r="M85" i="45" s="1"/>
  <c r="N85" i="45" s="1"/>
  <c r="O85" i="45" s="1"/>
  <c r="P85" i="45" s="1"/>
  <c r="Q85" i="45" s="1"/>
  <c r="R85" i="45" s="1"/>
  <c r="S85" i="45" s="1"/>
  <c r="H85" i="44"/>
  <c r="I85" i="44" s="1"/>
  <c r="J85" i="44" s="1"/>
  <c r="K85" i="44" s="1"/>
  <c r="L85" i="44" s="1"/>
  <c r="M85" i="44" s="1"/>
  <c r="N85" i="44" s="1"/>
  <c r="O85" i="44" s="1"/>
  <c r="P85" i="44" s="1"/>
  <c r="Q85" i="44" s="1"/>
  <c r="R85" i="44" s="1"/>
  <c r="S85" i="44" s="1"/>
  <c r="H85" i="43"/>
  <c r="I85" i="43" s="1"/>
  <c r="J85" i="43" s="1"/>
  <c r="K85" i="43" s="1"/>
  <c r="L85" i="43" s="1"/>
  <c r="M85" i="43" s="1"/>
  <c r="N85" i="43" s="1"/>
  <c r="O85" i="43" s="1"/>
  <c r="P85" i="43" s="1"/>
  <c r="Q85" i="43" s="1"/>
  <c r="R85" i="43" s="1"/>
  <c r="S85" i="43" s="1"/>
  <c r="H86" i="48"/>
  <c r="I86" i="48" s="1"/>
  <c r="J86" i="48" s="1"/>
  <c r="K86" i="48" s="1"/>
  <c r="L86" i="48" s="1"/>
  <c r="M86" i="48" s="1"/>
  <c r="N86" i="48" s="1"/>
  <c r="O86" i="48" s="1"/>
  <c r="P86" i="48" s="1"/>
  <c r="Q86" i="48" s="1"/>
  <c r="R86" i="48" s="1"/>
  <c r="S86" i="48" s="1"/>
  <c r="H86" i="47"/>
  <c r="I86" i="47" s="1"/>
  <c r="J86" i="47" s="1"/>
  <c r="K86" i="47" s="1"/>
  <c r="L86" i="47" s="1"/>
  <c r="M86" i="47" s="1"/>
  <c r="N86" i="47" s="1"/>
  <c r="O86" i="47" s="1"/>
  <c r="P86" i="47" s="1"/>
  <c r="Q86" i="47" s="1"/>
  <c r="R86" i="47" s="1"/>
  <c r="S86" i="47" s="1"/>
  <c r="H86" i="46"/>
  <c r="I86" i="46" s="1"/>
  <c r="J86" i="46" s="1"/>
  <c r="K86" i="46" s="1"/>
  <c r="L86" i="46" s="1"/>
  <c r="M86" i="46" s="1"/>
  <c r="N86" i="46" s="1"/>
  <c r="O86" i="46" s="1"/>
  <c r="P86" i="46" s="1"/>
  <c r="Q86" i="46" s="1"/>
  <c r="R86" i="46" s="1"/>
  <c r="S86" i="46" s="1"/>
  <c r="H86" i="45"/>
  <c r="I86" i="45" s="1"/>
  <c r="J86" i="45" s="1"/>
  <c r="K86" i="45" s="1"/>
  <c r="L86" i="45" s="1"/>
  <c r="M86" i="45" s="1"/>
  <c r="N86" i="45" s="1"/>
  <c r="O86" i="45" s="1"/>
  <c r="P86" i="45" s="1"/>
  <c r="Q86" i="45" s="1"/>
  <c r="R86" i="45" s="1"/>
  <c r="S86" i="45" s="1"/>
  <c r="H86" i="44"/>
  <c r="I86" i="44" s="1"/>
  <c r="J86" i="44" s="1"/>
  <c r="K86" i="44" s="1"/>
  <c r="L86" i="44" s="1"/>
  <c r="M86" i="44" s="1"/>
  <c r="N86" i="44" s="1"/>
  <c r="O86" i="44" s="1"/>
  <c r="P86" i="44" s="1"/>
  <c r="Q86" i="44" s="1"/>
  <c r="R86" i="44" s="1"/>
  <c r="S86" i="44" s="1"/>
  <c r="H86" i="43"/>
  <c r="I86" i="43" s="1"/>
  <c r="J86" i="43" s="1"/>
  <c r="K86" i="43" s="1"/>
  <c r="L86" i="43" s="1"/>
  <c r="M86" i="43" s="1"/>
  <c r="N86" i="43" s="1"/>
  <c r="O86" i="43" s="1"/>
  <c r="P86" i="43" s="1"/>
  <c r="Q86" i="43" s="1"/>
  <c r="R86" i="43" s="1"/>
  <c r="S86" i="43" s="1"/>
  <c r="H72" i="48"/>
  <c r="I72" i="48" s="1"/>
  <c r="J72" i="48" s="1"/>
  <c r="K72" i="48" s="1"/>
  <c r="L72" i="48" s="1"/>
  <c r="M72" i="48" s="1"/>
  <c r="N72" i="48" s="1"/>
  <c r="O72" i="48" s="1"/>
  <c r="P72" i="48" s="1"/>
  <c r="Q72" i="48" s="1"/>
  <c r="R72" i="48" s="1"/>
  <c r="S72" i="48" s="1"/>
  <c r="H72" i="47"/>
  <c r="I72" i="47" s="1"/>
  <c r="J72" i="47" s="1"/>
  <c r="K72" i="47" s="1"/>
  <c r="L72" i="47" s="1"/>
  <c r="M72" i="47" s="1"/>
  <c r="N72" i="47" s="1"/>
  <c r="O72" i="47" s="1"/>
  <c r="P72" i="47" s="1"/>
  <c r="Q72" i="47" s="1"/>
  <c r="R72" i="47" s="1"/>
  <c r="S72" i="47" s="1"/>
  <c r="H72" i="46"/>
  <c r="I72" i="46" s="1"/>
  <c r="J72" i="46" s="1"/>
  <c r="K72" i="46" s="1"/>
  <c r="L72" i="46" s="1"/>
  <c r="M72" i="46" s="1"/>
  <c r="N72" i="46" s="1"/>
  <c r="O72" i="46" s="1"/>
  <c r="P72" i="46" s="1"/>
  <c r="Q72" i="46" s="1"/>
  <c r="R72" i="46" s="1"/>
  <c r="S72" i="46" s="1"/>
  <c r="H72" i="45"/>
  <c r="I72" i="45" s="1"/>
  <c r="J72" i="45" s="1"/>
  <c r="K72" i="45" s="1"/>
  <c r="L72" i="45" s="1"/>
  <c r="M72" i="45" s="1"/>
  <c r="N72" i="45" s="1"/>
  <c r="O72" i="45" s="1"/>
  <c r="P72" i="45" s="1"/>
  <c r="Q72" i="45" s="1"/>
  <c r="R72" i="45" s="1"/>
  <c r="S72" i="45" s="1"/>
  <c r="H72" i="44"/>
  <c r="I72" i="44" s="1"/>
  <c r="J72" i="44" s="1"/>
  <c r="K72" i="44" s="1"/>
  <c r="L72" i="44" s="1"/>
  <c r="M72" i="44" s="1"/>
  <c r="N72" i="44" s="1"/>
  <c r="O72" i="44" s="1"/>
  <c r="P72" i="44" s="1"/>
  <c r="Q72" i="44" s="1"/>
  <c r="R72" i="44" s="1"/>
  <c r="S72" i="44" s="1"/>
  <c r="H72" i="43"/>
  <c r="I72" i="43" s="1"/>
  <c r="J72" i="43" s="1"/>
  <c r="K72" i="43" s="1"/>
  <c r="L72" i="43" s="1"/>
  <c r="M72" i="43" s="1"/>
  <c r="N72" i="43" s="1"/>
  <c r="O72" i="43" s="1"/>
  <c r="P72" i="43" s="1"/>
  <c r="Q72" i="43" s="1"/>
  <c r="R72" i="43" s="1"/>
  <c r="S72" i="43" s="1"/>
  <c r="H68" i="48"/>
  <c r="I68" i="48" s="1"/>
  <c r="J68" i="48" s="1"/>
  <c r="K68" i="48" s="1"/>
  <c r="L68" i="48" s="1"/>
  <c r="M68" i="48" s="1"/>
  <c r="N68" i="48" s="1"/>
  <c r="O68" i="48" s="1"/>
  <c r="P68" i="48" s="1"/>
  <c r="Q68" i="48" s="1"/>
  <c r="R68" i="48" s="1"/>
  <c r="S68" i="48" s="1"/>
  <c r="H68" i="47"/>
  <c r="I68" i="47" s="1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H68" i="46"/>
  <c r="I68" i="46" s="1"/>
  <c r="J68" i="46" s="1"/>
  <c r="K68" i="46" s="1"/>
  <c r="L68" i="46" s="1"/>
  <c r="M68" i="46" s="1"/>
  <c r="N68" i="46" s="1"/>
  <c r="O68" i="46" s="1"/>
  <c r="P68" i="46" s="1"/>
  <c r="Q68" i="46" s="1"/>
  <c r="R68" i="46" s="1"/>
  <c r="S68" i="46" s="1"/>
  <c r="H68" i="45"/>
  <c r="I68" i="45" s="1"/>
  <c r="J68" i="45" s="1"/>
  <c r="K68" i="45" s="1"/>
  <c r="L68" i="45" s="1"/>
  <c r="M68" i="45" s="1"/>
  <c r="N68" i="45" s="1"/>
  <c r="O68" i="45" s="1"/>
  <c r="P68" i="45" s="1"/>
  <c r="Q68" i="45" s="1"/>
  <c r="R68" i="45" s="1"/>
  <c r="S68" i="45" s="1"/>
  <c r="H68" i="44"/>
  <c r="I68" i="44" s="1"/>
  <c r="J68" i="44" s="1"/>
  <c r="K68" i="44" s="1"/>
  <c r="L68" i="44" s="1"/>
  <c r="M68" i="44" s="1"/>
  <c r="N68" i="44" s="1"/>
  <c r="O68" i="44" s="1"/>
  <c r="P68" i="44" s="1"/>
  <c r="Q68" i="44" s="1"/>
  <c r="R68" i="44" s="1"/>
  <c r="S68" i="44" s="1"/>
  <c r="H68" i="43"/>
  <c r="I68" i="43" s="1"/>
  <c r="J68" i="43" s="1"/>
  <c r="K68" i="43" s="1"/>
  <c r="L68" i="43" s="1"/>
  <c r="M68" i="43" s="1"/>
  <c r="N68" i="43" s="1"/>
  <c r="O68" i="43" s="1"/>
  <c r="P68" i="43" s="1"/>
  <c r="Q68" i="43" s="1"/>
  <c r="R68" i="43" s="1"/>
  <c r="S68" i="43" s="1"/>
  <c r="H43" i="48"/>
  <c r="I43" i="48" s="1"/>
  <c r="J43" i="48" s="1"/>
  <c r="K43" i="48" s="1"/>
  <c r="L43" i="48" s="1"/>
  <c r="M43" i="48" s="1"/>
  <c r="N43" i="48" s="1"/>
  <c r="O43" i="48" s="1"/>
  <c r="P43" i="48" s="1"/>
  <c r="Q43" i="48" s="1"/>
  <c r="R43" i="48" s="1"/>
  <c r="S43" i="48" s="1"/>
  <c r="H43" i="47"/>
  <c r="I43" i="47" s="1"/>
  <c r="J43" i="47" s="1"/>
  <c r="K43" i="47" s="1"/>
  <c r="L43" i="47" s="1"/>
  <c r="M43" i="47" s="1"/>
  <c r="N43" i="47" s="1"/>
  <c r="O43" i="47" s="1"/>
  <c r="P43" i="47" s="1"/>
  <c r="Q43" i="47" s="1"/>
  <c r="R43" i="47" s="1"/>
  <c r="S43" i="47" s="1"/>
  <c r="H43" i="46"/>
  <c r="I43" i="46" s="1"/>
  <c r="J43" i="46" s="1"/>
  <c r="K43" i="46" s="1"/>
  <c r="L43" i="46" s="1"/>
  <c r="M43" i="46" s="1"/>
  <c r="N43" i="46" s="1"/>
  <c r="O43" i="46" s="1"/>
  <c r="P43" i="46" s="1"/>
  <c r="Q43" i="46" s="1"/>
  <c r="R43" i="46" s="1"/>
  <c r="S43" i="46" s="1"/>
  <c r="H43" i="45"/>
  <c r="I43" i="45" s="1"/>
  <c r="J43" i="45" s="1"/>
  <c r="K43" i="45" s="1"/>
  <c r="L43" i="45" s="1"/>
  <c r="M43" i="45" s="1"/>
  <c r="N43" i="45" s="1"/>
  <c r="O43" i="45" s="1"/>
  <c r="P43" i="45" s="1"/>
  <c r="Q43" i="45" s="1"/>
  <c r="R43" i="45" s="1"/>
  <c r="S43" i="45" s="1"/>
  <c r="H43" i="44"/>
  <c r="I43" i="44" s="1"/>
  <c r="J43" i="44" s="1"/>
  <c r="K43" i="44" s="1"/>
  <c r="L43" i="44" s="1"/>
  <c r="M43" i="44" s="1"/>
  <c r="N43" i="44" s="1"/>
  <c r="O43" i="44" s="1"/>
  <c r="P43" i="44" s="1"/>
  <c r="Q43" i="44" s="1"/>
  <c r="R43" i="44" s="1"/>
  <c r="S43" i="44" s="1"/>
  <c r="H43" i="43"/>
  <c r="I43" i="43" s="1"/>
  <c r="J43" i="43" s="1"/>
  <c r="K43" i="43" s="1"/>
  <c r="L43" i="43" s="1"/>
  <c r="M43" i="43" s="1"/>
  <c r="N43" i="43" s="1"/>
  <c r="O43" i="43" s="1"/>
  <c r="P43" i="43" s="1"/>
  <c r="Q43" i="43" s="1"/>
  <c r="R43" i="43" s="1"/>
  <c r="S43" i="43" s="1"/>
  <c r="H91" i="48"/>
  <c r="I91" i="48" s="1"/>
  <c r="J91" i="48" s="1"/>
  <c r="K91" i="48" s="1"/>
  <c r="L91" i="48" s="1"/>
  <c r="M91" i="48" s="1"/>
  <c r="N91" i="48" s="1"/>
  <c r="O91" i="48" s="1"/>
  <c r="P91" i="48" s="1"/>
  <c r="Q91" i="48" s="1"/>
  <c r="R91" i="48" s="1"/>
  <c r="S91" i="48" s="1"/>
  <c r="H91" i="47"/>
  <c r="I91" i="47" s="1"/>
  <c r="J91" i="47" s="1"/>
  <c r="K91" i="47" s="1"/>
  <c r="L91" i="47" s="1"/>
  <c r="M91" i="47" s="1"/>
  <c r="N91" i="47" s="1"/>
  <c r="O91" i="47" s="1"/>
  <c r="P91" i="47" s="1"/>
  <c r="Q91" i="47" s="1"/>
  <c r="R91" i="47" s="1"/>
  <c r="S91" i="47" s="1"/>
  <c r="H91" i="46"/>
  <c r="I91" i="46" s="1"/>
  <c r="J91" i="46" s="1"/>
  <c r="K91" i="46" s="1"/>
  <c r="L91" i="46" s="1"/>
  <c r="M91" i="46" s="1"/>
  <c r="N91" i="46" s="1"/>
  <c r="O91" i="46" s="1"/>
  <c r="P91" i="46" s="1"/>
  <c r="Q91" i="46" s="1"/>
  <c r="R91" i="46" s="1"/>
  <c r="S91" i="46" s="1"/>
  <c r="H91" i="45"/>
  <c r="I91" i="45" s="1"/>
  <c r="J91" i="45" s="1"/>
  <c r="K91" i="45" s="1"/>
  <c r="L91" i="45" s="1"/>
  <c r="M91" i="45" s="1"/>
  <c r="N91" i="45" s="1"/>
  <c r="O91" i="45" s="1"/>
  <c r="P91" i="45" s="1"/>
  <c r="Q91" i="45" s="1"/>
  <c r="R91" i="45" s="1"/>
  <c r="S91" i="45" s="1"/>
  <c r="H91" i="44"/>
  <c r="I91" i="44" s="1"/>
  <c r="J91" i="44" s="1"/>
  <c r="K91" i="44" s="1"/>
  <c r="L91" i="44" s="1"/>
  <c r="M91" i="44" s="1"/>
  <c r="N91" i="44" s="1"/>
  <c r="O91" i="44" s="1"/>
  <c r="P91" i="44" s="1"/>
  <c r="Q91" i="44" s="1"/>
  <c r="R91" i="44" s="1"/>
  <c r="S91" i="44" s="1"/>
  <c r="H91" i="43"/>
  <c r="I91" i="43" s="1"/>
  <c r="J91" i="43" s="1"/>
  <c r="K91" i="43" s="1"/>
  <c r="L91" i="43" s="1"/>
  <c r="M91" i="43" s="1"/>
  <c r="N91" i="43" s="1"/>
  <c r="O91" i="43" s="1"/>
  <c r="P91" i="43" s="1"/>
  <c r="Q91" i="43" s="1"/>
  <c r="R91" i="43" s="1"/>
  <c r="S91" i="43" s="1"/>
  <c r="H203" i="45" l="1"/>
  <c r="I203" i="45" s="1"/>
  <c r="J203" i="45" s="1"/>
  <c r="K203" i="45" s="1"/>
  <c r="L203" i="45" s="1"/>
  <c r="M203" i="45" s="1"/>
  <c r="N203" i="45" s="1"/>
  <c r="O203" i="45" s="1"/>
  <c r="P203" i="45" s="1"/>
  <c r="Q203" i="45" s="1"/>
  <c r="R203" i="45" s="1"/>
  <c r="S203" i="45" s="1"/>
  <c r="H203" i="46"/>
  <c r="I203" i="46" s="1"/>
  <c r="J203" i="46" s="1"/>
  <c r="K203" i="46" s="1"/>
  <c r="L203" i="46" s="1"/>
  <c r="M203" i="46" s="1"/>
  <c r="N203" i="46" s="1"/>
  <c r="O203" i="46" s="1"/>
  <c r="P203" i="46" s="1"/>
  <c r="Q203" i="46" s="1"/>
  <c r="R203" i="46" s="1"/>
  <c r="S203" i="46" s="1"/>
  <c r="H203" i="43"/>
  <c r="I203" i="43" s="1"/>
  <c r="J203" i="43" s="1"/>
  <c r="K203" i="43" s="1"/>
  <c r="L203" i="43" s="1"/>
  <c r="M203" i="43" s="1"/>
  <c r="N203" i="43" s="1"/>
  <c r="O203" i="43" s="1"/>
  <c r="P203" i="43" s="1"/>
  <c r="Q203" i="43" s="1"/>
  <c r="R203" i="43" s="1"/>
  <c r="S203" i="43" s="1"/>
  <c r="H203" i="44"/>
  <c r="I203" i="44" s="1"/>
  <c r="J203" i="44" s="1"/>
  <c r="K203" i="44" s="1"/>
  <c r="L203" i="44" s="1"/>
  <c r="M203" i="44" s="1"/>
  <c r="N203" i="44" s="1"/>
  <c r="O203" i="44" s="1"/>
  <c r="P203" i="44" s="1"/>
  <c r="Q203" i="44" s="1"/>
  <c r="R203" i="44" s="1"/>
  <c r="S203" i="44" s="1"/>
  <c r="H203" i="47"/>
  <c r="I203" i="47" s="1"/>
  <c r="J203" i="47" s="1"/>
  <c r="K203" i="47" s="1"/>
  <c r="L203" i="47" s="1"/>
  <c r="M203" i="47" s="1"/>
  <c r="N203" i="47" s="1"/>
  <c r="O203" i="47" s="1"/>
  <c r="P203" i="47" s="1"/>
  <c r="Q203" i="47" s="1"/>
  <c r="R203" i="47" s="1"/>
  <c r="S203" i="47" s="1"/>
  <c r="H200" i="45"/>
  <c r="I200" i="45" s="1"/>
  <c r="J200" i="45" s="1"/>
  <c r="K200" i="45" s="1"/>
  <c r="L200" i="45" s="1"/>
  <c r="M200" i="45" s="1"/>
  <c r="N200" i="45" s="1"/>
  <c r="O200" i="45" s="1"/>
  <c r="P200" i="45" s="1"/>
  <c r="Q200" i="45" s="1"/>
  <c r="R200" i="45" s="1"/>
  <c r="S200" i="45" s="1"/>
  <c r="H200" i="46"/>
  <c r="I200" i="46" s="1"/>
  <c r="J200" i="46" s="1"/>
  <c r="K200" i="46" s="1"/>
  <c r="L200" i="46" s="1"/>
  <c r="M200" i="46" s="1"/>
  <c r="N200" i="46" s="1"/>
  <c r="O200" i="46" s="1"/>
  <c r="P200" i="46" s="1"/>
  <c r="Q200" i="46" s="1"/>
  <c r="R200" i="46" s="1"/>
  <c r="S200" i="46" s="1"/>
  <c r="H202" i="44"/>
  <c r="I202" i="44" s="1"/>
  <c r="J202" i="44" s="1"/>
  <c r="K202" i="44" s="1"/>
  <c r="L202" i="44" s="1"/>
  <c r="M202" i="44" s="1"/>
  <c r="N202" i="44" s="1"/>
  <c r="O202" i="44" s="1"/>
  <c r="P202" i="44" s="1"/>
  <c r="Q202" i="44" s="1"/>
  <c r="R202" i="44" s="1"/>
  <c r="S202" i="44" s="1"/>
  <c r="H202" i="48"/>
  <c r="I202" i="48" s="1"/>
  <c r="J202" i="48" s="1"/>
  <c r="K202" i="48" s="1"/>
  <c r="L202" i="48" s="1"/>
  <c r="M202" i="48" s="1"/>
  <c r="N202" i="48" s="1"/>
  <c r="O202" i="48" s="1"/>
  <c r="P202" i="48" s="1"/>
  <c r="Q202" i="48" s="1"/>
  <c r="R202" i="48" s="1"/>
  <c r="S202" i="48" s="1"/>
  <c r="H200" i="47"/>
  <c r="I200" i="47" s="1"/>
  <c r="J200" i="47" s="1"/>
  <c r="K200" i="47" s="1"/>
  <c r="L200" i="47" s="1"/>
  <c r="M200" i="47" s="1"/>
  <c r="N200" i="47" s="1"/>
  <c r="O200" i="47" s="1"/>
  <c r="P200" i="47" s="1"/>
  <c r="Q200" i="47" s="1"/>
  <c r="R200" i="47" s="1"/>
  <c r="S200" i="47" s="1"/>
  <c r="H200" i="48"/>
  <c r="I200" i="48" s="1"/>
  <c r="J200" i="48" s="1"/>
  <c r="K200" i="48" s="1"/>
  <c r="L200" i="48" s="1"/>
  <c r="M200" i="48" s="1"/>
  <c r="N200" i="48" s="1"/>
  <c r="O200" i="48" s="1"/>
  <c r="P200" i="48" s="1"/>
  <c r="Q200" i="48" s="1"/>
  <c r="R200" i="48" s="1"/>
  <c r="S200" i="48" s="1"/>
  <c r="H200" i="43"/>
  <c r="I200" i="43" s="1"/>
  <c r="J200" i="43" s="1"/>
  <c r="K200" i="43" s="1"/>
  <c r="L200" i="43" s="1"/>
  <c r="M200" i="43" s="1"/>
  <c r="N200" i="43" s="1"/>
  <c r="O200" i="43" s="1"/>
  <c r="P200" i="43" s="1"/>
  <c r="Q200" i="43" s="1"/>
  <c r="R200" i="43" s="1"/>
  <c r="S200" i="43" s="1"/>
  <c r="H199" i="45"/>
  <c r="I199" i="45" s="1"/>
  <c r="J199" i="45" s="1"/>
  <c r="K199" i="45" s="1"/>
  <c r="L199" i="45" s="1"/>
  <c r="M199" i="45" s="1"/>
  <c r="N199" i="45" s="1"/>
  <c r="O199" i="45" s="1"/>
  <c r="P199" i="45" s="1"/>
  <c r="Q199" i="45" s="1"/>
  <c r="R199" i="45" s="1"/>
  <c r="S199" i="45" s="1"/>
  <c r="H199" i="46"/>
  <c r="I199" i="46" s="1"/>
  <c r="J199" i="46" s="1"/>
  <c r="K199" i="46" s="1"/>
  <c r="L199" i="46" s="1"/>
  <c r="M199" i="46" s="1"/>
  <c r="N199" i="46" s="1"/>
  <c r="O199" i="46" s="1"/>
  <c r="P199" i="46" s="1"/>
  <c r="Q199" i="46" s="1"/>
  <c r="R199" i="46" s="1"/>
  <c r="S199" i="46" s="1"/>
  <c r="H199" i="47"/>
  <c r="I199" i="47" s="1"/>
  <c r="J199" i="47" s="1"/>
  <c r="K199" i="47" s="1"/>
  <c r="L199" i="47" s="1"/>
  <c r="M199" i="47" s="1"/>
  <c r="N199" i="47" s="1"/>
  <c r="O199" i="47" s="1"/>
  <c r="P199" i="47" s="1"/>
  <c r="Q199" i="47" s="1"/>
  <c r="R199" i="47" s="1"/>
  <c r="S199" i="47" s="1"/>
  <c r="H199" i="48"/>
  <c r="I199" i="48" s="1"/>
  <c r="J199" i="48" s="1"/>
  <c r="K199" i="48" s="1"/>
  <c r="L199" i="48" s="1"/>
  <c r="M199" i="48" s="1"/>
  <c r="N199" i="48" s="1"/>
  <c r="O199" i="48" s="1"/>
  <c r="P199" i="48" s="1"/>
  <c r="Q199" i="48" s="1"/>
  <c r="R199" i="48" s="1"/>
  <c r="S199" i="48" s="1"/>
  <c r="H199" i="43"/>
  <c r="I199" i="43" s="1"/>
  <c r="J199" i="43" s="1"/>
  <c r="K199" i="43" s="1"/>
  <c r="L199" i="43" s="1"/>
  <c r="M199" i="43" s="1"/>
  <c r="N199" i="43" s="1"/>
  <c r="O199" i="43" s="1"/>
  <c r="P199" i="43" s="1"/>
  <c r="Q199" i="43" s="1"/>
  <c r="R199" i="43" s="1"/>
  <c r="S199" i="43" s="1"/>
  <c r="H202" i="43"/>
  <c r="I202" i="43" s="1"/>
  <c r="J202" i="43" s="1"/>
  <c r="K202" i="43" s="1"/>
  <c r="L202" i="43" s="1"/>
  <c r="M202" i="43" s="1"/>
  <c r="N202" i="43" s="1"/>
  <c r="O202" i="43" s="1"/>
  <c r="P202" i="43" s="1"/>
  <c r="Q202" i="43" s="1"/>
  <c r="R202" i="43" s="1"/>
  <c r="S202" i="43" s="1"/>
  <c r="H202" i="45"/>
  <c r="I202" i="45" s="1"/>
  <c r="J202" i="45" s="1"/>
  <c r="K202" i="45" s="1"/>
  <c r="L202" i="45" s="1"/>
  <c r="M202" i="45" s="1"/>
  <c r="N202" i="45" s="1"/>
  <c r="O202" i="45" s="1"/>
  <c r="P202" i="45" s="1"/>
  <c r="Q202" i="45" s="1"/>
  <c r="R202" i="45" s="1"/>
  <c r="S202" i="45" s="1"/>
  <c r="H202" i="46"/>
  <c r="I202" i="46" s="1"/>
  <c r="J202" i="46" s="1"/>
  <c r="K202" i="46" s="1"/>
  <c r="L202" i="46" s="1"/>
  <c r="M202" i="46" s="1"/>
  <c r="N202" i="46" s="1"/>
  <c r="O202" i="46" s="1"/>
  <c r="P202" i="46" s="1"/>
  <c r="Q202" i="46" s="1"/>
  <c r="R202" i="46" s="1"/>
  <c r="S202" i="46" s="1"/>
  <c r="H179" i="48"/>
  <c r="I179" i="48" s="1"/>
  <c r="J179" i="48" s="1"/>
  <c r="K179" i="48" s="1"/>
  <c r="L179" i="48" s="1"/>
  <c r="M179" i="48" s="1"/>
  <c r="N179" i="48" s="1"/>
  <c r="O179" i="48" s="1"/>
  <c r="P179" i="48" s="1"/>
  <c r="Q179" i="48" s="1"/>
  <c r="R179" i="48" s="1"/>
  <c r="S179" i="48" s="1"/>
  <c r="H179" i="47"/>
  <c r="I179" i="47" s="1"/>
  <c r="J179" i="47" s="1"/>
  <c r="K179" i="47" s="1"/>
  <c r="L179" i="47" s="1"/>
  <c r="M179" i="47" s="1"/>
  <c r="N179" i="47" s="1"/>
  <c r="O179" i="47" s="1"/>
  <c r="P179" i="47" s="1"/>
  <c r="Q179" i="47" s="1"/>
  <c r="R179" i="47" s="1"/>
  <c r="S179" i="47" s="1"/>
  <c r="H179" i="46"/>
  <c r="I179" i="46" s="1"/>
  <c r="J179" i="46" s="1"/>
  <c r="K179" i="46" s="1"/>
  <c r="L179" i="46" s="1"/>
  <c r="M179" i="46" s="1"/>
  <c r="N179" i="46" s="1"/>
  <c r="O179" i="46" s="1"/>
  <c r="P179" i="46" s="1"/>
  <c r="Q179" i="46" s="1"/>
  <c r="R179" i="46" s="1"/>
  <c r="S179" i="46" s="1"/>
  <c r="H179" i="45"/>
  <c r="I179" i="45" s="1"/>
  <c r="J179" i="45" s="1"/>
  <c r="K179" i="45" s="1"/>
  <c r="L179" i="45" s="1"/>
  <c r="M179" i="45" s="1"/>
  <c r="N179" i="45" s="1"/>
  <c r="O179" i="45" s="1"/>
  <c r="P179" i="45" s="1"/>
  <c r="Q179" i="45" s="1"/>
  <c r="R179" i="45" s="1"/>
  <c r="S179" i="45" s="1"/>
  <c r="H179" i="44"/>
  <c r="I179" i="44" s="1"/>
  <c r="J179" i="44" s="1"/>
  <c r="K179" i="44" s="1"/>
  <c r="L179" i="44" s="1"/>
  <c r="M179" i="44" s="1"/>
  <c r="N179" i="44" s="1"/>
  <c r="O179" i="44" s="1"/>
  <c r="P179" i="44" s="1"/>
  <c r="Q179" i="44" s="1"/>
  <c r="R179" i="44" s="1"/>
  <c r="S179" i="44" s="1"/>
  <c r="H179" i="43"/>
  <c r="I179" i="43" s="1"/>
  <c r="J179" i="43" s="1"/>
  <c r="K179" i="43" s="1"/>
  <c r="L179" i="43" s="1"/>
  <c r="M179" i="43" s="1"/>
  <c r="N179" i="43" s="1"/>
  <c r="O179" i="43" s="1"/>
  <c r="P179" i="43" s="1"/>
  <c r="Q179" i="43" s="1"/>
  <c r="R179" i="43" s="1"/>
  <c r="S179" i="43" s="1"/>
  <c r="H207" i="48"/>
  <c r="I207" i="48" s="1"/>
  <c r="J207" i="48" s="1"/>
  <c r="K207" i="48" s="1"/>
  <c r="L207" i="48" s="1"/>
  <c r="M207" i="48" s="1"/>
  <c r="N207" i="48" s="1"/>
  <c r="O207" i="48" s="1"/>
  <c r="P207" i="48" s="1"/>
  <c r="Q207" i="48" s="1"/>
  <c r="R207" i="48" s="1"/>
  <c r="S207" i="48" s="1"/>
  <c r="H207" i="47"/>
  <c r="I207" i="47" s="1"/>
  <c r="J207" i="47" s="1"/>
  <c r="K207" i="47" s="1"/>
  <c r="L207" i="47" s="1"/>
  <c r="M207" i="47" s="1"/>
  <c r="N207" i="47" s="1"/>
  <c r="O207" i="47" s="1"/>
  <c r="P207" i="47" s="1"/>
  <c r="Q207" i="47" s="1"/>
  <c r="R207" i="47" s="1"/>
  <c r="S207" i="47" s="1"/>
  <c r="H207" i="46"/>
  <c r="I207" i="46" s="1"/>
  <c r="J207" i="46" s="1"/>
  <c r="K207" i="46" s="1"/>
  <c r="L207" i="46" s="1"/>
  <c r="M207" i="46" s="1"/>
  <c r="N207" i="46" s="1"/>
  <c r="O207" i="46" s="1"/>
  <c r="P207" i="46" s="1"/>
  <c r="Q207" i="46" s="1"/>
  <c r="R207" i="46" s="1"/>
  <c r="S207" i="46" s="1"/>
  <c r="H207" i="45"/>
  <c r="I207" i="45" s="1"/>
  <c r="J207" i="45" s="1"/>
  <c r="K207" i="45" s="1"/>
  <c r="L207" i="45" s="1"/>
  <c r="M207" i="45" s="1"/>
  <c r="N207" i="45" s="1"/>
  <c r="O207" i="45" s="1"/>
  <c r="P207" i="45" s="1"/>
  <c r="Q207" i="45" s="1"/>
  <c r="R207" i="45" s="1"/>
  <c r="S207" i="45" s="1"/>
  <c r="H207" i="44"/>
  <c r="I207" i="44" s="1"/>
  <c r="J207" i="44" s="1"/>
  <c r="K207" i="44" s="1"/>
  <c r="L207" i="44" s="1"/>
  <c r="M207" i="44" s="1"/>
  <c r="N207" i="44" s="1"/>
  <c r="O207" i="44" s="1"/>
  <c r="P207" i="44" s="1"/>
  <c r="Q207" i="44" s="1"/>
  <c r="R207" i="44" s="1"/>
  <c r="S207" i="44" s="1"/>
  <c r="H207" i="43"/>
  <c r="I207" i="43" s="1"/>
  <c r="J207" i="43" s="1"/>
  <c r="K207" i="43" s="1"/>
  <c r="L207" i="43" s="1"/>
  <c r="M207" i="43" s="1"/>
  <c r="N207" i="43" s="1"/>
  <c r="O207" i="43" s="1"/>
  <c r="P207" i="43" s="1"/>
  <c r="Q207" i="43" s="1"/>
  <c r="R207" i="43" s="1"/>
  <c r="S207" i="43" s="1"/>
  <c r="H184" i="48"/>
  <c r="I184" i="48" s="1"/>
  <c r="J184" i="48" s="1"/>
  <c r="K184" i="48" s="1"/>
  <c r="L184" i="48" s="1"/>
  <c r="M184" i="48" s="1"/>
  <c r="N184" i="48" s="1"/>
  <c r="O184" i="48" s="1"/>
  <c r="P184" i="48" s="1"/>
  <c r="Q184" i="48" s="1"/>
  <c r="R184" i="48" s="1"/>
  <c r="S184" i="48" s="1"/>
  <c r="H184" i="47"/>
  <c r="I184" i="47" s="1"/>
  <c r="J184" i="47" s="1"/>
  <c r="K184" i="47" s="1"/>
  <c r="L184" i="47" s="1"/>
  <c r="M184" i="47" s="1"/>
  <c r="N184" i="47" s="1"/>
  <c r="O184" i="47" s="1"/>
  <c r="P184" i="47" s="1"/>
  <c r="Q184" i="47" s="1"/>
  <c r="R184" i="47" s="1"/>
  <c r="S184" i="47" s="1"/>
  <c r="H184" i="46"/>
  <c r="I184" i="46" s="1"/>
  <c r="J184" i="46" s="1"/>
  <c r="K184" i="46" s="1"/>
  <c r="L184" i="46" s="1"/>
  <c r="M184" i="46" s="1"/>
  <c r="N184" i="46" s="1"/>
  <c r="O184" i="46" s="1"/>
  <c r="P184" i="46" s="1"/>
  <c r="Q184" i="46" s="1"/>
  <c r="R184" i="46" s="1"/>
  <c r="S184" i="46" s="1"/>
  <c r="H184" i="45"/>
  <c r="I184" i="45" s="1"/>
  <c r="J184" i="45" s="1"/>
  <c r="K184" i="45" s="1"/>
  <c r="L184" i="45" s="1"/>
  <c r="M184" i="45" s="1"/>
  <c r="N184" i="45" s="1"/>
  <c r="O184" i="45" s="1"/>
  <c r="P184" i="45" s="1"/>
  <c r="Q184" i="45" s="1"/>
  <c r="R184" i="45" s="1"/>
  <c r="S184" i="45" s="1"/>
  <c r="H184" i="44"/>
  <c r="I184" i="44" s="1"/>
  <c r="J184" i="44" s="1"/>
  <c r="K184" i="44" s="1"/>
  <c r="L184" i="44" s="1"/>
  <c r="M184" i="44" s="1"/>
  <c r="N184" i="44" s="1"/>
  <c r="O184" i="44" s="1"/>
  <c r="P184" i="44" s="1"/>
  <c r="Q184" i="44" s="1"/>
  <c r="R184" i="44" s="1"/>
  <c r="S184" i="44" s="1"/>
  <c r="H184" i="43"/>
  <c r="I184" i="43" s="1"/>
  <c r="J184" i="43" s="1"/>
  <c r="K184" i="43" s="1"/>
  <c r="L184" i="43" s="1"/>
  <c r="M184" i="43" s="1"/>
  <c r="N184" i="43" s="1"/>
  <c r="O184" i="43" s="1"/>
  <c r="P184" i="43" s="1"/>
  <c r="Q184" i="43" s="1"/>
  <c r="R184" i="43" s="1"/>
  <c r="S184" i="43" s="1"/>
  <c r="H159" i="48"/>
  <c r="I159" i="48" s="1"/>
  <c r="J159" i="48" s="1"/>
  <c r="K159" i="48" s="1"/>
  <c r="L159" i="48" s="1"/>
  <c r="M159" i="48" s="1"/>
  <c r="N159" i="48" s="1"/>
  <c r="O159" i="48" s="1"/>
  <c r="P159" i="48" s="1"/>
  <c r="Q159" i="48" s="1"/>
  <c r="R159" i="48" s="1"/>
  <c r="S159" i="48" s="1"/>
  <c r="H159" i="47"/>
  <c r="I159" i="47" s="1"/>
  <c r="J159" i="47" s="1"/>
  <c r="K159" i="47" s="1"/>
  <c r="L159" i="47" s="1"/>
  <c r="M159" i="47" s="1"/>
  <c r="N159" i="47" s="1"/>
  <c r="O159" i="47" s="1"/>
  <c r="P159" i="47" s="1"/>
  <c r="Q159" i="47" s="1"/>
  <c r="R159" i="47" s="1"/>
  <c r="S159" i="47" s="1"/>
  <c r="H159" i="46"/>
  <c r="I159" i="46" s="1"/>
  <c r="J159" i="46" s="1"/>
  <c r="K159" i="46" s="1"/>
  <c r="L159" i="46" s="1"/>
  <c r="M159" i="46" s="1"/>
  <c r="N159" i="46" s="1"/>
  <c r="O159" i="46" s="1"/>
  <c r="P159" i="46" s="1"/>
  <c r="Q159" i="46" s="1"/>
  <c r="R159" i="46" s="1"/>
  <c r="S159" i="46" s="1"/>
  <c r="H159" i="45"/>
  <c r="I159" i="45" s="1"/>
  <c r="J159" i="45" s="1"/>
  <c r="K159" i="45" s="1"/>
  <c r="L159" i="45" s="1"/>
  <c r="M159" i="45" s="1"/>
  <c r="N159" i="45" s="1"/>
  <c r="O159" i="45" s="1"/>
  <c r="P159" i="45" s="1"/>
  <c r="Q159" i="45" s="1"/>
  <c r="R159" i="45" s="1"/>
  <c r="S159" i="45" s="1"/>
  <c r="H159" i="44"/>
  <c r="I159" i="44" s="1"/>
  <c r="J159" i="44" s="1"/>
  <c r="K159" i="44" s="1"/>
  <c r="L159" i="44" s="1"/>
  <c r="M159" i="44" s="1"/>
  <c r="N159" i="44" s="1"/>
  <c r="O159" i="44" s="1"/>
  <c r="P159" i="44" s="1"/>
  <c r="Q159" i="44" s="1"/>
  <c r="R159" i="44" s="1"/>
  <c r="S159" i="44" s="1"/>
  <c r="H159" i="43"/>
  <c r="I159" i="43" s="1"/>
  <c r="J159" i="43" s="1"/>
  <c r="K159" i="43" s="1"/>
  <c r="L159" i="43" s="1"/>
  <c r="M159" i="43" s="1"/>
  <c r="N159" i="43" s="1"/>
  <c r="O159" i="43" s="1"/>
  <c r="P159" i="43" s="1"/>
  <c r="Q159" i="43" s="1"/>
  <c r="R159" i="43" s="1"/>
  <c r="S159" i="43" s="1"/>
  <c r="H169" i="48"/>
  <c r="I169" i="48" s="1"/>
  <c r="J169" i="48" s="1"/>
  <c r="K169" i="48" s="1"/>
  <c r="L169" i="48" s="1"/>
  <c r="M169" i="48" s="1"/>
  <c r="N169" i="48" s="1"/>
  <c r="O169" i="48" s="1"/>
  <c r="P169" i="48" s="1"/>
  <c r="Q169" i="48" s="1"/>
  <c r="R169" i="48" s="1"/>
  <c r="S169" i="48" s="1"/>
  <c r="H169" i="47"/>
  <c r="I169" i="47" s="1"/>
  <c r="J169" i="47" s="1"/>
  <c r="K169" i="47" s="1"/>
  <c r="L169" i="47" s="1"/>
  <c r="M169" i="47" s="1"/>
  <c r="N169" i="47" s="1"/>
  <c r="O169" i="47" s="1"/>
  <c r="P169" i="47" s="1"/>
  <c r="Q169" i="47" s="1"/>
  <c r="R169" i="47" s="1"/>
  <c r="S169" i="47" s="1"/>
  <c r="H169" i="46"/>
  <c r="I169" i="46" s="1"/>
  <c r="J169" i="46" s="1"/>
  <c r="K169" i="46" s="1"/>
  <c r="L169" i="46" s="1"/>
  <c r="M169" i="46" s="1"/>
  <c r="N169" i="46" s="1"/>
  <c r="O169" i="46" s="1"/>
  <c r="P169" i="46" s="1"/>
  <c r="Q169" i="46" s="1"/>
  <c r="R169" i="46" s="1"/>
  <c r="S169" i="46" s="1"/>
  <c r="H169" i="45"/>
  <c r="I169" i="45" s="1"/>
  <c r="J169" i="45" s="1"/>
  <c r="K169" i="45" s="1"/>
  <c r="L169" i="45" s="1"/>
  <c r="M169" i="45" s="1"/>
  <c r="N169" i="45" s="1"/>
  <c r="O169" i="45" s="1"/>
  <c r="P169" i="45" s="1"/>
  <c r="Q169" i="45" s="1"/>
  <c r="R169" i="45" s="1"/>
  <c r="S169" i="45" s="1"/>
  <c r="H169" i="44"/>
  <c r="I169" i="44" s="1"/>
  <c r="J169" i="44" s="1"/>
  <c r="K169" i="44" s="1"/>
  <c r="L169" i="44" s="1"/>
  <c r="M169" i="44" s="1"/>
  <c r="N169" i="44" s="1"/>
  <c r="O169" i="44" s="1"/>
  <c r="P169" i="44" s="1"/>
  <c r="Q169" i="44" s="1"/>
  <c r="R169" i="44" s="1"/>
  <c r="S169" i="44" s="1"/>
  <c r="H169" i="43"/>
  <c r="I169" i="43" s="1"/>
  <c r="J169" i="43" s="1"/>
  <c r="K169" i="43" s="1"/>
  <c r="L169" i="43" s="1"/>
  <c r="M169" i="43" s="1"/>
  <c r="N169" i="43" s="1"/>
  <c r="O169" i="43" s="1"/>
  <c r="P169" i="43" s="1"/>
  <c r="Q169" i="43" s="1"/>
  <c r="R169" i="43" s="1"/>
  <c r="S169" i="43" s="1"/>
  <c r="H174" i="48"/>
  <c r="I174" i="48" s="1"/>
  <c r="J174" i="48" s="1"/>
  <c r="K174" i="48" s="1"/>
  <c r="L174" i="48" s="1"/>
  <c r="M174" i="48" s="1"/>
  <c r="N174" i="48" s="1"/>
  <c r="O174" i="48" s="1"/>
  <c r="P174" i="48" s="1"/>
  <c r="Q174" i="48" s="1"/>
  <c r="R174" i="48" s="1"/>
  <c r="S174" i="48" s="1"/>
  <c r="H174" i="47"/>
  <c r="I174" i="47" s="1"/>
  <c r="J174" i="47" s="1"/>
  <c r="K174" i="47" s="1"/>
  <c r="L174" i="47" s="1"/>
  <c r="M174" i="47" s="1"/>
  <c r="N174" i="47" s="1"/>
  <c r="O174" i="47" s="1"/>
  <c r="P174" i="47" s="1"/>
  <c r="Q174" i="47" s="1"/>
  <c r="R174" i="47" s="1"/>
  <c r="S174" i="47" s="1"/>
  <c r="H174" i="46"/>
  <c r="I174" i="46" s="1"/>
  <c r="J174" i="46" s="1"/>
  <c r="K174" i="46" s="1"/>
  <c r="L174" i="46" s="1"/>
  <c r="M174" i="46" s="1"/>
  <c r="N174" i="46" s="1"/>
  <c r="O174" i="46" s="1"/>
  <c r="P174" i="46" s="1"/>
  <c r="Q174" i="46" s="1"/>
  <c r="R174" i="46" s="1"/>
  <c r="S174" i="46" s="1"/>
  <c r="H174" i="45"/>
  <c r="I174" i="45" s="1"/>
  <c r="J174" i="45" s="1"/>
  <c r="K174" i="45" s="1"/>
  <c r="L174" i="45" s="1"/>
  <c r="M174" i="45" s="1"/>
  <c r="N174" i="45" s="1"/>
  <c r="O174" i="45" s="1"/>
  <c r="P174" i="45" s="1"/>
  <c r="Q174" i="45" s="1"/>
  <c r="R174" i="45" s="1"/>
  <c r="S174" i="45" s="1"/>
  <c r="H174" i="44"/>
  <c r="I174" i="44" s="1"/>
  <c r="J174" i="44" s="1"/>
  <c r="K174" i="44" s="1"/>
  <c r="L174" i="44" s="1"/>
  <c r="M174" i="44" s="1"/>
  <c r="N174" i="44" s="1"/>
  <c r="O174" i="44" s="1"/>
  <c r="P174" i="44" s="1"/>
  <c r="Q174" i="44" s="1"/>
  <c r="R174" i="44" s="1"/>
  <c r="S174" i="44" s="1"/>
  <c r="H174" i="43"/>
  <c r="I174" i="43" s="1"/>
  <c r="J174" i="43" s="1"/>
  <c r="K174" i="43" s="1"/>
  <c r="L174" i="43" s="1"/>
  <c r="M174" i="43" s="1"/>
  <c r="N174" i="43" s="1"/>
  <c r="O174" i="43" s="1"/>
  <c r="P174" i="43" s="1"/>
  <c r="Q174" i="43" s="1"/>
  <c r="R174" i="43" s="1"/>
  <c r="S174" i="43" s="1"/>
  <c r="H205" i="48"/>
  <c r="I205" i="48" s="1"/>
  <c r="J205" i="48" s="1"/>
  <c r="K205" i="48" s="1"/>
  <c r="L205" i="48" s="1"/>
  <c r="M205" i="48" s="1"/>
  <c r="N205" i="48" s="1"/>
  <c r="O205" i="48" s="1"/>
  <c r="P205" i="48" s="1"/>
  <c r="Q205" i="48" s="1"/>
  <c r="R205" i="48" s="1"/>
  <c r="S205" i="48" s="1"/>
  <c r="H205" i="47"/>
  <c r="I205" i="47" s="1"/>
  <c r="J205" i="47" s="1"/>
  <c r="K205" i="47" s="1"/>
  <c r="L205" i="47" s="1"/>
  <c r="M205" i="47" s="1"/>
  <c r="N205" i="47" s="1"/>
  <c r="O205" i="47" s="1"/>
  <c r="P205" i="47" s="1"/>
  <c r="Q205" i="47" s="1"/>
  <c r="R205" i="47" s="1"/>
  <c r="S205" i="47" s="1"/>
  <c r="H205" i="46"/>
  <c r="I205" i="46" s="1"/>
  <c r="J205" i="46" s="1"/>
  <c r="K205" i="46" s="1"/>
  <c r="L205" i="46" s="1"/>
  <c r="M205" i="46" s="1"/>
  <c r="N205" i="46" s="1"/>
  <c r="O205" i="46" s="1"/>
  <c r="P205" i="46" s="1"/>
  <c r="Q205" i="46" s="1"/>
  <c r="R205" i="46" s="1"/>
  <c r="S205" i="46" s="1"/>
  <c r="H205" i="45"/>
  <c r="I205" i="45" s="1"/>
  <c r="J205" i="45" s="1"/>
  <c r="K205" i="45" s="1"/>
  <c r="L205" i="45" s="1"/>
  <c r="M205" i="45" s="1"/>
  <c r="N205" i="45" s="1"/>
  <c r="O205" i="45" s="1"/>
  <c r="P205" i="45" s="1"/>
  <c r="Q205" i="45" s="1"/>
  <c r="R205" i="45" s="1"/>
  <c r="S205" i="45" s="1"/>
  <c r="H205" i="44"/>
  <c r="I205" i="44" s="1"/>
  <c r="J205" i="44" s="1"/>
  <c r="K205" i="44" s="1"/>
  <c r="L205" i="44" s="1"/>
  <c r="M205" i="44" s="1"/>
  <c r="N205" i="44" s="1"/>
  <c r="O205" i="44" s="1"/>
  <c r="P205" i="44" s="1"/>
  <c r="Q205" i="44" s="1"/>
  <c r="R205" i="44" s="1"/>
  <c r="S205" i="44" s="1"/>
  <c r="H205" i="43"/>
  <c r="I205" i="43" s="1"/>
  <c r="J205" i="43" s="1"/>
  <c r="K205" i="43" s="1"/>
  <c r="L205" i="43" s="1"/>
  <c r="M205" i="43" s="1"/>
  <c r="N205" i="43" s="1"/>
  <c r="O205" i="43" s="1"/>
  <c r="P205" i="43" s="1"/>
  <c r="Q205" i="43" s="1"/>
  <c r="R205" i="43" s="1"/>
  <c r="S205" i="43" s="1"/>
  <c r="H164" i="48"/>
  <c r="I164" i="48" s="1"/>
  <c r="J164" i="48" s="1"/>
  <c r="K164" i="48" s="1"/>
  <c r="L164" i="48" s="1"/>
  <c r="M164" i="48" s="1"/>
  <c r="N164" i="48" s="1"/>
  <c r="O164" i="48" s="1"/>
  <c r="P164" i="48" s="1"/>
  <c r="Q164" i="48" s="1"/>
  <c r="R164" i="48" s="1"/>
  <c r="S164" i="48" s="1"/>
  <c r="H164" i="47"/>
  <c r="I164" i="47" s="1"/>
  <c r="J164" i="47" s="1"/>
  <c r="K164" i="47" s="1"/>
  <c r="L164" i="47" s="1"/>
  <c r="M164" i="47" s="1"/>
  <c r="N164" i="47" s="1"/>
  <c r="O164" i="47" s="1"/>
  <c r="P164" i="47" s="1"/>
  <c r="Q164" i="47" s="1"/>
  <c r="R164" i="47" s="1"/>
  <c r="S164" i="47" s="1"/>
  <c r="H164" i="46"/>
  <c r="I164" i="46" s="1"/>
  <c r="J164" i="46" s="1"/>
  <c r="K164" i="46" s="1"/>
  <c r="L164" i="46" s="1"/>
  <c r="M164" i="46" s="1"/>
  <c r="N164" i="46" s="1"/>
  <c r="O164" i="46" s="1"/>
  <c r="P164" i="46" s="1"/>
  <c r="Q164" i="46" s="1"/>
  <c r="R164" i="46" s="1"/>
  <c r="S164" i="46" s="1"/>
  <c r="H164" i="45"/>
  <c r="I164" i="45" s="1"/>
  <c r="J164" i="45" s="1"/>
  <c r="K164" i="45" s="1"/>
  <c r="L164" i="45" s="1"/>
  <c r="M164" i="45" s="1"/>
  <c r="N164" i="45" s="1"/>
  <c r="O164" i="45" s="1"/>
  <c r="P164" i="45" s="1"/>
  <c r="Q164" i="45" s="1"/>
  <c r="R164" i="45" s="1"/>
  <c r="S164" i="45" s="1"/>
  <c r="H164" i="44"/>
  <c r="I164" i="44" s="1"/>
  <c r="J164" i="44" s="1"/>
  <c r="K164" i="44" s="1"/>
  <c r="L164" i="44" s="1"/>
  <c r="M164" i="44" s="1"/>
  <c r="N164" i="44" s="1"/>
  <c r="O164" i="44" s="1"/>
  <c r="P164" i="44" s="1"/>
  <c r="Q164" i="44" s="1"/>
  <c r="R164" i="44" s="1"/>
  <c r="S164" i="44" s="1"/>
  <c r="H164" i="43"/>
  <c r="I164" i="43" s="1"/>
  <c r="J164" i="43" s="1"/>
  <c r="K164" i="43" s="1"/>
  <c r="L164" i="43" s="1"/>
  <c r="M164" i="43" s="1"/>
  <c r="N164" i="43" s="1"/>
  <c r="O164" i="43" s="1"/>
  <c r="P164" i="43" s="1"/>
  <c r="Q164" i="43" s="1"/>
  <c r="R164" i="43" s="1"/>
  <c r="S164" i="43" s="1"/>
  <c r="H189" i="48"/>
  <c r="I189" i="48" s="1"/>
  <c r="J189" i="48" s="1"/>
  <c r="K189" i="48" s="1"/>
  <c r="L189" i="48" s="1"/>
  <c r="M189" i="48" s="1"/>
  <c r="N189" i="48" s="1"/>
  <c r="O189" i="48" s="1"/>
  <c r="P189" i="48" s="1"/>
  <c r="Q189" i="48" s="1"/>
  <c r="R189" i="48" s="1"/>
  <c r="S189" i="48" s="1"/>
  <c r="H189" i="47"/>
  <c r="I189" i="47" s="1"/>
  <c r="J189" i="47" s="1"/>
  <c r="K189" i="47" s="1"/>
  <c r="L189" i="47" s="1"/>
  <c r="M189" i="47" s="1"/>
  <c r="N189" i="47" s="1"/>
  <c r="O189" i="47" s="1"/>
  <c r="P189" i="47" s="1"/>
  <c r="Q189" i="47" s="1"/>
  <c r="R189" i="47" s="1"/>
  <c r="S189" i="47" s="1"/>
  <c r="H189" i="46"/>
  <c r="I189" i="46" s="1"/>
  <c r="J189" i="46" s="1"/>
  <c r="K189" i="46" s="1"/>
  <c r="L189" i="46" s="1"/>
  <c r="M189" i="46" s="1"/>
  <c r="N189" i="46" s="1"/>
  <c r="O189" i="46" s="1"/>
  <c r="P189" i="46" s="1"/>
  <c r="Q189" i="46" s="1"/>
  <c r="R189" i="46" s="1"/>
  <c r="S189" i="46" s="1"/>
  <c r="H189" i="45"/>
  <c r="I189" i="45" s="1"/>
  <c r="J189" i="45" s="1"/>
  <c r="K189" i="45" s="1"/>
  <c r="L189" i="45" s="1"/>
  <c r="M189" i="45" s="1"/>
  <c r="N189" i="45" s="1"/>
  <c r="O189" i="45" s="1"/>
  <c r="P189" i="45" s="1"/>
  <c r="Q189" i="45" s="1"/>
  <c r="R189" i="45" s="1"/>
  <c r="S189" i="45" s="1"/>
  <c r="H189" i="44"/>
  <c r="I189" i="44" s="1"/>
  <c r="J189" i="44" s="1"/>
  <c r="K189" i="44" s="1"/>
  <c r="L189" i="44" s="1"/>
  <c r="M189" i="44" s="1"/>
  <c r="N189" i="44" s="1"/>
  <c r="O189" i="44" s="1"/>
  <c r="P189" i="44" s="1"/>
  <c r="Q189" i="44" s="1"/>
  <c r="R189" i="44" s="1"/>
  <c r="S189" i="44" s="1"/>
  <c r="H189" i="43"/>
  <c r="I189" i="43" s="1"/>
  <c r="J189" i="43" s="1"/>
  <c r="K189" i="43" s="1"/>
  <c r="L189" i="43" s="1"/>
  <c r="M189" i="43" s="1"/>
  <c r="N189" i="43" s="1"/>
  <c r="O189" i="43" s="1"/>
  <c r="P189" i="43" s="1"/>
  <c r="Q189" i="43" s="1"/>
  <c r="R189" i="43" s="1"/>
  <c r="S189" i="43" s="1"/>
  <c r="H208" i="48"/>
  <c r="I208" i="48" s="1"/>
  <c r="J208" i="48" s="1"/>
  <c r="K208" i="48" s="1"/>
  <c r="L208" i="48" s="1"/>
  <c r="M208" i="48" s="1"/>
  <c r="N208" i="48" s="1"/>
  <c r="O208" i="48" s="1"/>
  <c r="P208" i="48" s="1"/>
  <c r="Q208" i="48" s="1"/>
  <c r="R208" i="48" s="1"/>
  <c r="S208" i="48" s="1"/>
  <c r="H208" i="47"/>
  <c r="I208" i="47" s="1"/>
  <c r="J208" i="47" s="1"/>
  <c r="K208" i="47" s="1"/>
  <c r="L208" i="47" s="1"/>
  <c r="M208" i="47" s="1"/>
  <c r="N208" i="47" s="1"/>
  <c r="O208" i="47" s="1"/>
  <c r="P208" i="47" s="1"/>
  <c r="Q208" i="47" s="1"/>
  <c r="R208" i="47" s="1"/>
  <c r="S208" i="47" s="1"/>
  <c r="H208" i="46"/>
  <c r="I208" i="46" s="1"/>
  <c r="J208" i="46" s="1"/>
  <c r="K208" i="46" s="1"/>
  <c r="L208" i="46" s="1"/>
  <c r="M208" i="46" s="1"/>
  <c r="N208" i="46" s="1"/>
  <c r="O208" i="46" s="1"/>
  <c r="P208" i="46" s="1"/>
  <c r="Q208" i="46" s="1"/>
  <c r="R208" i="46" s="1"/>
  <c r="S208" i="46" s="1"/>
  <c r="H208" i="45"/>
  <c r="I208" i="45" s="1"/>
  <c r="J208" i="45" s="1"/>
  <c r="K208" i="45" s="1"/>
  <c r="L208" i="45" s="1"/>
  <c r="M208" i="45" s="1"/>
  <c r="N208" i="45" s="1"/>
  <c r="O208" i="45" s="1"/>
  <c r="P208" i="45" s="1"/>
  <c r="Q208" i="45" s="1"/>
  <c r="R208" i="45" s="1"/>
  <c r="S208" i="45" s="1"/>
  <c r="H208" i="44"/>
  <c r="I208" i="44" s="1"/>
  <c r="J208" i="44" s="1"/>
  <c r="K208" i="44" s="1"/>
  <c r="L208" i="44" s="1"/>
  <c r="M208" i="44" s="1"/>
  <c r="N208" i="44" s="1"/>
  <c r="O208" i="44" s="1"/>
  <c r="P208" i="44" s="1"/>
  <c r="Q208" i="44" s="1"/>
  <c r="R208" i="44" s="1"/>
  <c r="S208" i="44" s="1"/>
  <c r="H208" i="43"/>
  <c r="I208" i="43" s="1"/>
  <c r="J208" i="43" s="1"/>
  <c r="K208" i="43" s="1"/>
  <c r="L208" i="43" s="1"/>
  <c r="M208" i="43" s="1"/>
  <c r="N208" i="43" s="1"/>
  <c r="O208" i="43" s="1"/>
  <c r="P208" i="43" s="1"/>
  <c r="Q208" i="43" s="1"/>
  <c r="R208" i="43" s="1"/>
  <c r="S208" i="43" s="1"/>
  <c r="H204" i="48"/>
  <c r="I204" i="48" s="1"/>
  <c r="J204" i="48" s="1"/>
  <c r="K204" i="48" s="1"/>
  <c r="L204" i="48" s="1"/>
  <c r="M204" i="48" s="1"/>
  <c r="N204" i="48" s="1"/>
  <c r="O204" i="48" s="1"/>
  <c r="P204" i="48" s="1"/>
  <c r="Q204" i="48" s="1"/>
  <c r="R204" i="48" s="1"/>
  <c r="S204" i="48" s="1"/>
  <c r="H204" i="47"/>
  <c r="I204" i="47" s="1"/>
  <c r="J204" i="47" s="1"/>
  <c r="K204" i="47" s="1"/>
  <c r="L204" i="47" s="1"/>
  <c r="M204" i="47" s="1"/>
  <c r="N204" i="47" s="1"/>
  <c r="O204" i="47" s="1"/>
  <c r="P204" i="47" s="1"/>
  <c r="Q204" i="47" s="1"/>
  <c r="R204" i="47" s="1"/>
  <c r="S204" i="47" s="1"/>
  <c r="H204" i="46"/>
  <c r="I204" i="46" s="1"/>
  <c r="J204" i="46" s="1"/>
  <c r="K204" i="46" s="1"/>
  <c r="L204" i="46" s="1"/>
  <c r="M204" i="46" s="1"/>
  <c r="N204" i="46" s="1"/>
  <c r="O204" i="46" s="1"/>
  <c r="P204" i="46" s="1"/>
  <c r="Q204" i="46" s="1"/>
  <c r="R204" i="46" s="1"/>
  <c r="S204" i="46" s="1"/>
  <c r="H204" i="45"/>
  <c r="I204" i="45" s="1"/>
  <c r="J204" i="45" s="1"/>
  <c r="K204" i="45" s="1"/>
  <c r="L204" i="45" s="1"/>
  <c r="M204" i="45" s="1"/>
  <c r="N204" i="45" s="1"/>
  <c r="O204" i="45" s="1"/>
  <c r="P204" i="45" s="1"/>
  <c r="Q204" i="45" s="1"/>
  <c r="R204" i="45" s="1"/>
  <c r="S204" i="45" s="1"/>
  <c r="H204" i="44"/>
  <c r="I204" i="44" s="1"/>
  <c r="J204" i="44" s="1"/>
  <c r="K204" i="44" s="1"/>
  <c r="L204" i="44" s="1"/>
  <c r="M204" i="44" s="1"/>
  <c r="N204" i="44" s="1"/>
  <c r="O204" i="44" s="1"/>
  <c r="P204" i="44" s="1"/>
  <c r="Q204" i="44" s="1"/>
  <c r="R204" i="44" s="1"/>
  <c r="S204" i="44" s="1"/>
  <c r="H204" i="43"/>
  <c r="I204" i="43" s="1"/>
  <c r="J204" i="43" s="1"/>
  <c r="K204" i="43" s="1"/>
  <c r="L204" i="43" s="1"/>
  <c r="M204" i="43" s="1"/>
  <c r="N204" i="43" s="1"/>
  <c r="O204" i="43" s="1"/>
  <c r="P204" i="43" s="1"/>
  <c r="Q204" i="43" s="1"/>
  <c r="R204" i="43" s="1"/>
  <c r="S204" i="43" s="1"/>
  <c r="H201" i="48"/>
  <c r="I201" i="48" s="1"/>
  <c r="J201" i="48" s="1"/>
  <c r="K201" i="48" s="1"/>
  <c r="L201" i="48" s="1"/>
  <c r="M201" i="48" s="1"/>
  <c r="N201" i="48" s="1"/>
  <c r="O201" i="48" s="1"/>
  <c r="P201" i="48" s="1"/>
  <c r="Q201" i="48" s="1"/>
  <c r="R201" i="48" s="1"/>
  <c r="S201" i="48" s="1"/>
  <c r="H201" i="47"/>
  <c r="I201" i="47" s="1"/>
  <c r="J201" i="47" s="1"/>
  <c r="K201" i="47" s="1"/>
  <c r="L201" i="47" s="1"/>
  <c r="M201" i="47" s="1"/>
  <c r="N201" i="47" s="1"/>
  <c r="O201" i="47" s="1"/>
  <c r="P201" i="47" s="1"/>
  <c r="Q201" i="47" s="1"/>
  <c r="R201" i="47" s="1"/>
  <c r="S201" i="47" s="1"/>
  <c r="H201" i="46"/>
  <c r="I201" i="46" s="1"/>
  <c r="J201" i="46" s="1"/>
  <c r="K201" i="46" s="1"/>
  <c r="L201" i="46" s="1"/>
  <c r="M201" i="46" s="1"/>
  <c r="N201" i="46" s="1"/>
  <c r="O201" i="46" s="1"/>
  <c r="P201" i="46" s="1"/>
  <c r="Q201" i="46" s="1"/>
  <c r="R201" i="46" s="1"/>
  <c r="S201" i="46" s="1"/>
  <c r="H201" i="45"/>
  <c r="I201" i="45" s="1"/>
  <c r="J201" i="45" s="1"/>
  <c r="K201" i="45" s="1"/>
  <c r="L201" i="45" s="1"/>
  <c r="M201" i="45" s="1"/>
  <c r="N201" i="45" s="1"/>
  <c r="O201" i="45" s="1"/>
  <c r="P201" i="45" s="1"/>
  <c r="Q201" i="45" s="1"/>
  <c r="R201" i="45" s="1"/>
  <c r="S201" i="45" s="1"/>
  <c r="H201" i="44"/>
  <c r="I201" i="44" s="1"/>
  <c r="J201" i="44" s="1"/>
  <c r="K201" i="44" s="1"/>
  <c r="L201" i="44" s="1"/>
  <c r="M201" i="44" s="1"/>
  <c r="N201" i="44" s="1"/>
  <c r="O201" i="44" s="1"/>
  <c r="P201" i="44" s="1"/>
  <c r="Q201" i="44" s="1"/>
  <c r="R201" i="44" s="1"/>
  <c r="S201" i="44" s="1"/>
  <c r="H201" i="43"/>
  <c r="I201" i="43" s="1"/>
  <c r="J201" i="43" s="1"/>
  <c r="K201" i="43" s="1"/>
  <c r="L201" i="43" s="1"/>
  <c r="M201" i="43" s="1"/>
  <c r="N201" i="43" s="1"/>
  <c r="O201" i="43" s="1"/>
  <c r="P201" i="43" s="1"/>
  <c r="Q201" i="43" s="1"/>
  <c r="R201" i="43" s="1"/>
  <c r="S201" i="43" s="1"/>
  <c r="H194" i="48"/>
  <c r="I194" i="48" s="1"/>
  <c r="J194" i="48" s="1"/>
  <c r="K194" i="48" s="1"/>
  <c r="L194" i="48" s="1"/>
  <c r="M194" i="48" s="1"/>
  <c r="N194" i="48" s="1"/>
  <c r="O194" i="48" s="1"/>
  <c r="P194" i="48" s="1"/>
  <c r="Q194" i="48" s="1"/>
  <c r="R194" i="48" s="1"/>
  <c r="S194" i="48" s="1"/>
  <c r="H194" i="47"/>
  <c r="I194" i="47" s="1"/>
  <c r="J194" i="47" s="1"/>
  <c r="K194" i="47" s="1"/>
  <c r="L194" i="47" s="1"/>
  <c r="M194" i="47" s="1"/>
  <c r="N194" i="47" s="1"/>
  <c r="O194" i="47" s="1"/>
  <c r="P194" i="47" s="1"/>
  <c r="Q194" i="47" s="1"/>
  <c r="R194" i="47" s="1"/>
  <c r="S194" i="47" s="1"/>
  <c r="H194" i="46"/>
  <c r="I194" i="46" s="1"/>
  <c r="J194" i="46" s="1"/>
  <c r="K194" i="46" s="1"/>
  <c r="L194" i="46" s="1"/>
  <c r="M194" i="46" s="1"/>
  <c r="N194" i="46" s="1"/>
  <c r="O194" i="46" s="1"/>
  <c r="P194" i="46" s="1"/>
  <c r="Q194" i="46" s="1"/>
  <c r="R194" i="46" s="1"/>
  <c r="S194" i="46" s="1"/>
  <c r="H194" i="45"/>
  <c r="I194" i="45" s="1"/>
  <c r="J194" i="45" s="1"/>
  <c r="K194" i="45" s="1"/>
  <c r="L194" i="45" s="1"/>
  <c r="M194" i="45" s="1"/>
  <c r="N194" i="45" s="1"/>
  <c r="O194" i="45" s="1"/>
  <c r="P194" i="45" s="1"/>
  <c r="Q194" i="45" s="1"/>
  <c r="R194" i="45" s="1"/>
  <c r="S194" i="45" s="1"/>
  <c r="H194" i="44"/>
  <c r="I194" i="44" s="1"/>
  <c r="J194" i="44" s="1"/>
  <c r="K194" i="44" s="1"/>
  <c r="L194" i="44" s="1"/>
  <c r="M194" i="44" s="1"/>
  <c r="N194" i="44" s="1"/>
  <c r="O194" i="44" s="1"/>
  <c r="P194" i="44" s="1"/>
  <c r="Q194" i="44" s="1"/>
  <c r="R194" i="44" s="1"/>
  <c r="S194" i="44" s="1"/>
  <c r="H194" i="43"/>
  <c r="I194" i="43" s="1"/>
  <c r="J194" i="43" s="1"/>
  <c r="K194" i="43" s="1"/>
  <c r="L194" i="43" s="1"/>
  <c r="M194" i="43" s="1"/>
  <c r="N194" i="43" s="1"/>
  <c r="O194" i="43" s="1"/>
  <c r="P194" i="43" s="1"/>
  <c r="Q194" i="43" s="1"/>
  <c r="R194" i="43" s="1"/>
  <c r="S194" i="43" s="1"/>
  <c r="H206" i="48"/>
  <c r="I206" i="48" s="1"/>
  <c r="J206" i="48" s="1"/>
  <c r="K206" i="48" s="1"/>
  <c r="L206" i="48" s="1"/>
  <c r="M206" i="48" s="1"/>
  <c r="N206" i="48" s="1"/>
  <c r="O206" i="48" s="1"/>
  <c r="P206" i="48" s="1"/>
  <c r="Q206" i="48" s="1"/>
  <c r="R206" i="48" s="1"/>
  <c r="S206" i="48" s="1"/>
  <c r="H206" i="47"/>
  <c r="I206" i="47" s="1"/>
  <c r="J206" i="47" s="1"/>
  <c r="K206" i="47" s="1"/>
  <c r="L206" i="47" s="1"/>
  <c r="M206" i="47" s="1"/>
  <c r="N206" i="47" s="1"/>
  <c r="O206" i="47" s="1"/>
  <c r="P206" i="47" s="1"/>
  <c r="Q206" i="47" s="1"/>
  <c r="R206" i="47" s="1"/>
  <c r="S206" i="47" s="1"/>
  <c r="H206" i="46"/>
  <c r="I206" i="46" s="1"/>
  <c r="J206" i="46" s="1"/>
  <c r="K206" i="46" s="1"/>
  <c r="L206" i="46" s="1"/>
  <c r="M206" i="46" s="1"/>
  <c r="N206" i="46" s="1"/>
  <c r="O206" i="46" s="1"/>
  <c r="P206" i="46" s="1"/>
  <c r="Q206" i="46" s="1"/>
  <c r="R206" i="46" s="1"/>
  <c r="S206" i="46" s="1"/>
  <c r="H206" i="45"/>
  <c r="I206" i="45" s="1"/>
  <c r="J206" i="45" s="1"/>
  <c r="K206" i="45" s="1"/>
  <c r="L206" i="45" s="1"/>
  <c r="M206" i="45" s="1"/>
  <c r="N206" i="45" s="1"/>
  <c r="O206" i="45" s="1"/>
  <c r="P206" i="45" s="1"/>
  <c r="Q206" i="45" s="1"/>
  <c r="R206" i="45" s="1"/>
  <c r="S206" i="45" s="1"/>
  <c r="H206" i="44"/>
  <c r="I206" i="44" s="1"/>
  <c r="J206" i="44" s="1"/>
  <c r="K206" i="44" s="1"/>
  <c r="L206" i="44" s="1"/>
  <c r="M206" i="44" s="1"/>
  <c r="N206" i="44" s="1"/>
  <c r="O206" i="44" s="1"/>
  <c r="P206" i="44" s="1"/>
  <c r="Q206" i="44" s="1"/>
  <c r="R206" i="44" s="1"/>
  <c r="S206" i="44" s="1"/>
  <c r="H206" i="43"/>
  <c r="I206" i="43" s="1"/>
  <c r="J206" i="43" s="1"/>
  <c r="K206" i="43" s="1"/>
  <c r="L206" i="43" s="1"/>
  <c r="M206" i="43" s="1"/>
  <c r="N206" i="43" s="1"/>
  <c r="O206" i="43" s="1"/>
  <c r="P206" i="43" s="1"/>
  <c r="Q206" i="43" s="1"/>
  <c r="R206" i="43" s="1"/>
  <c r="S206" i="43" s="1"/>
  <c r="H149" i="48" l="1"/>
  <c r="I149" i="48" s="1"/>
  <c r="J149" i="48" s="1"/>
  <c r="K149" i="48" s="1"/>
  <c r="L149" i="48" s="1"/>
  <c r="M149" i="48" s="1"/>
  <c r="N149" i="48" s="1"/>
  <c r="O149" i="48" s="1"/>
  <c r="P149" i="48" s="1"/>
  <c r="Q149" i="48" s="1"/>
  <c r="R149" i="48" s="1"/>
  <c r="S149" i="48" s="1"/>
  <c r="H149" i="47"/>
  <c r="I149" i="47" s="1"/>
  <c r="J149" i="47" s="1"/>
  <c r="K149" i="47" s="1"/>
  <c r="L149" i="47" s="1"/>
  <c r="M149" i="47" s="1"/>
  <c r="N149" i="47" s="1"/>
  <c r="O149" i="47" s="1"/>
  <c r="P149" i="47" s="1"/>
  <c r="Q149" i="47" s="1"/>
  <c r="R149" i="47" s="1"/>
  <c r="S149" i="47" s="1"/>
  <c r="H149" i="46"/>
  <c r="I149" i="46" s="1"/>
  <c r="J149" i="46" s="1"/>
  <c r="K149" i="46" s="1"/>
  <c r="L149" i="46" s="1"/>
  <c r="M149" i="46" s="1"/>
  <c r="N149" i="46" s="1"/>
  <c r="O149" i="46" s="1"/>
  <c r="P149" i="46" s="1"/>
  <c r="Q149" i="46" s="1"/>
  <c r="R149" i="46" s="1"/>
  <c r="S149" i="46" s="1"/>
  <c r="H149" i="45"/>
  <c r="I149" i="45" s="1"/>
  <c r="J149" i="45" s="1"/>
  <c r="K149" i="45" s="1"/>
  <c r="L149" i="45" s="1"/>
  <c r="M149" i="45" s="1"/>
  <c r="N149" i="45" s="1"/>
  <c r="O149" i="45" s="1"/>
  <c r="P149" i="45" s="1"/>
  <c r="Q149" i="45" s="1"/>
  <c r="R149" i="45" s="1"/>
  <c r="S149" i="45" s="1"/>
  <c r="H149" i="44"/>
  <c r="I149" i="44" s="1"/>
  <c r="J149" i="44" s="1"/>
  <c r="K149" i="44" s="1"/>
  <c r="L149" i="44" s="1"/>
  <c r="M149" i="44" s="1"/>
  <c r="N149" i="44" s="1"/>
  <c r="O149" i="44" s="1"/>
  <c r="P149" i="44" s="1"/>
  <c r="Q149" i="44" s="1"/>
  <c r="R149" i="44" s="1"/>
  <c r="S149" i="44" s="1"/>
  <c r="H149" i="43"/>
  <c r="I149" i="43" s="1"/>
  <c r="J149" i="43" s="1"/>
  <c r="K149" i="43" s="1"/>
  <c r="L149" i="43" s="1"/>
  <c r="M149" i="43" s="1"/>
  <c r="N149" i="43" s="1"/>
  <c r="O149" i="43" s="1"/>
  <c r="P149" i="43" s="1"/>
  <c r="Q149" i="43" s="1"/>
  <c r="R149" i="43" s="1"/>
  <c r="S149" i="43" s="1"/>
  <c r="H114" i="48"/>
  <c r="I114" i="48" s="1"/>
  <c r="J114" i="48" s="1"/>
  <c r="K114" i="48" s="1"/>
  <c r="L114" i="48" s="1"/>
  <c r="M114" i="48" s="1"/>
  <c r="N114" i="48" s="1"/>
  <c r="O114" i="48" s="1"/>
  <c r="P114" i="48" s="1"/>
  <c r="Q114" i="48" s="1"/>
  <c r="R114" i="48" s="1"/>
  <c r="S114" i="48" s="1"/>
  <c r="H114" i="47"/>
  <c r="I114" i="47" s="1"/>
  <c r="J114" i="47" s="1"/>
  <c r="K114" i="47" s="1"/>
  <c r="L114" i="47" s="1"/>
  <c r="M114" i="47" s="1"/>
  <c r="N114" i="47" s="1"/>
  <c r="O114" i="47" s="1"/>
  <c r="P114" i="47" s="1"/>
  <c r="Q114" i="47" s="1"/>
  <c r="R114" i="47" s="1"/>
  <c r="S114" i="47" s="1"/>
  <c r="H114" i="46"/>
  <c r="I114" i="46" s="1"/>
  <c r="J114" i="46" s="1"/>
  <c r="K114" i="46" s="1"/>
  <c r="L114" i="46" s="1"/>
  <c r="M114" i="46" s="1"/>
  <c r="N114" i="46" s="1"/>
  <c r="O114" i="46" s="1"/>
  <c r="P114" i="46" s="1"/>
  <c r="Q114" i="46" s="1"/>
  <c r="R114" i="46" s="1"/>
  <c r="S114" i="46" s="1"/>
  <c r="H114" i="45"/>
  <c r="I114" i="45" s="1"/>
  <c r="J114" i="45" s="1"/>
  <c r="K114" i="45" s="1"/>
  <c r="L114" i="45" s="1"/>
  <c r="M114" i="45" s="1"/>
  <c r="N114" i="45" s="1"/>
  <c r="O114" i="45" s="1"/>
  <c r="P114" i="45" s="1"/>
  <c r="Q114" i="45" s="1"/>
  <c r="R114" i="45" s="1"/>
  <c r="S114" i="45" s="1"/>
  <c r="H114" i="44"/>
  <c r="I114" i="44" s="1"/>
  <c r="J114" i="44" s="1"/>
  <c r="K114" i="44" s="1"/>
  <c r="L114" i="44" s="1"/>
  <c r="M114" i="44" s="1"/>
  <c r="N114" i="44" s="1"/>
  <c r="O114" i="44" s="1"/>
  <c r="P114" i="44" s="1"/>
  <c r="Q114" i="44" s="1"/>
  <c r="R114" i="44" s="1"/>
  <c r="S114" i="44" s="1"/>
  <c r="H114" i="43"/>
  <c r="I114" i="43" s="1"/>
  <c r="J114" i="43" s="1"/>
  <c r="K114" i="43" s="1"/>
  <c r="L114" i="43" s="1"/>
  <c r="M114" i="43" s="1"/>
  <c r="N114" i="43" s="1"/>
  <c r="O114" i="43" s="1"/>
  <c r="P114" i="43" s="1"/>
  <c r="Q114" i="43" s="1"/>
  <c r="R114" i="43" s="1"/>
  <c r="S114" i="43" s="1"/>
  <c r="H180" i="48"/>
  <c r="I180" i="48" s="1"/>
  <c r="J180" i="48" s="1"/>
  <c r="K180" i="48" s="1"/>
  <c r="L180" i="48" s="1"/>
  <c r="M180" i="48" s="1"/>
  <c r="N180" i="48" s="1"/>
  <c r="O180" i="48" s="1"/>
  <c r="P180" i="48" s="1"/>
  <c r="Q180" i="48" s="1"/>
  <c r="R180" i="48" s="1"/>
  <c r="S180" i="48" s="1"/>
  <c r="H180" i="47"/>
  <c r="I180" i="47" s="1"/>
  <c r="J180" i="47" s="1"/>
  <c r="K180" i="47" s="1"/>
  <c r="L180" i="47" s="1"/>
  <c r="M180" i="47" s="1"/>
  <c r="N180" i="47" s="1"/>
  <c r="O180" i="47" s="1"/>
  <c r="P180" i="47" s="1"/>
  <c r="Q180" i="47" s="1"/>
  <c r="R180" i="47" s="1"/>
  <c r="S180" i="47" s="1"/>
  <c r="H180" i="46"/>
  <c r="I180" i="46" s="1"/>
  <c r="J180" i="46" s="1"/>
  <c r="K180" i="46" s="1"/>
  <c r="L180" i="46" s="1"/>
  <c r="M180" i="46" s="1"/>
  <c r="N180" i="46" s="1"/>
  <c r="O180" i="46" s="1"/>
  <c r="P180" i="46" s="1"/>
  <c r="Q180" i="46" s="1"/>
  <c r="R180" i="46" s="1"/>
  <c r="S180" i="46" s="1"/>
  <c r="H180" i="45"/>
  <c r="I180" i="45" s="1"/>
  <c r="J180" i="45" s="1"/>
  <c r="K180" i="45" s="1"/>
  <c r="L180" i="45" s="1"/>
  <c r="M180" i="45" s="1"/>
  <c r="N180" i="45" s="1"/>
  <c r="O180" i="45" s="1"/>
  <c r="P180" i="45" s="1"/>
  <c r="Q180" i="45" s="1"/>
  <c r="R180" i="45" s="1"/>
  <c r="S180" i="45" s="1"/>
  <c r="H180" i="44"/>
  <c r="I180" i="44" s="1"/>
  <c r="J180" i="44" s="1"/>
  <c r="K180" i="44" s="1"/>
  <c r="L180" i="44" s="1"/>
  <c r="M180" i="44" s="1"/>
  <c r="N180" i="44" s="1"/>
  <c r="O180" i="44" s="1"/>
  <c r="P180" i="44" s="1"/>
  <c r="Q180" i="44" s="1"/>
  <c r="R180" i="44" s="1"/>
  <c r="S180" i="44" s="1"/>
  <c r="H180" i="43"/>
  <c r="I180" i="43" s="1"/>
  <c r="J180" i="43" s="1"/>
  <c r="K180" i="43" s="1"/>
  <c r="L180" i="43" s="1"/>
  <c r="M180" i="43" s="1"/>
  <c r="N180" i="43" s="1"/>
  <c r="O180" i="43" s="1"/>
  <c r="P180" i="43" s="1"/>
  <c r="Q180" i="43" s="1"/>
  <c r="R180" i="43" s="1"/>
  <c r="S180" i="43" s="1"/>
  <c r="H144" i="48"/>
  <c r="I144" i="48" s="1"/>
  <c r="J144" i="48" s="1"/>
  <c r="K144" i="48" s="1"/>
  <c r="L144" i="48" s="1"/>
  <c r="M144" i="48" s="1"/>
  <c r="N144" i="48" s="1"/>
  <c r="O144" i="48" s="1"/>
  <c r="P144" i="48" s="1"/>
  <c r="Q144" i="48" s="1"/>
  <c r="R144" i="48" s="1"/>
  <c r="S144" i="48" s="1"/>
  <c r="H144" i="47"/>
  <c r="I144" i="47" s="1"/>
  <c r="J144" i="47" s="1"/>
  <c r="K144" i="47" s="1"/>
  <c r="L144" i="47" s="1"/>
  <c r="M144" i="47" s="1"/>
  <c r="N144" i="47" s="1"/>
  <c r="O144" i="47" s="1"/>
  <c r="P144" i="47" s="1"/>
  <c r="Q144" i="47" s="1"/>
  <c r="R144" i="47" s="1"/>
  <c r="S144" i="47" s="1"/>
  <c r="H144" i="46"/>
  <c r="I144" i="46" s="1"/>
  <c r="J144" i="46" s="1"/>
  <c r="K144" i="46" s="1"/>
  <c r="L144" i="46" s="1"/>
  <c r="M144" i="46" s="1"/>
  <c r="N144" i="46" s="1"/>
  <c r="O144" i="46" s="1"/>
  <c r="P144" i="46" s="1"/>
  <c r="Q144" i="46" s="1"/>
  <c r="R144" i="46" s="1"/>
  <c r="S144" i="46" s="1"/>
  <c r="H144" i="45"/>
  <c r="I144" i="45" s="1"/>
  <c r="J144" i="45" s="1"/>
  <c r="K144" i="45" s="1"/>
  <c r="L144" i="45" s="1"/>
  <c r="M144" i="45" s="1"/>
  <c r="N144" i="45" s="1"/>
  <c r="O144" i="45" s="1"/>
  <c r="P144" i="45" s="1"/>
  <c r="Q144" i="45" s="1"/>
  <c r="R144" i="45" s="1"/>
  <c r="S144" i="45" s="1"/>
  <c r="H144" i="44"/>
  <c r="I144" i="44" s="1"/>
  <c r="J144" i="44" s="1"/>
  <c r="K144" i="44" s="1"/>
  <c r="L144" i="44" s="1"/>
  <c r="M144" i="44" s="1"/>
  <c r="N144" i="44" s="1"/>
  <c r="O144" i="44" s="1"/>
  <c r="P144" i="44" s="1"/>
  <c r="Q144" i="44" s="1"/>
  <c r="R144" i="44" s="1"/>
  <c r="S144" i="44" s="1"/>
  <c r="H144" i="43"/>
  <c r="I144" i="43" s="1"/>
  <c r="J144" i="43" s="1"/>
  <c r="K144" i="43" s="1"/>
  <c r="L144" i="43" s="1"/>
  <c r="M144" i="43" s="1"/>
  <c r="N144" i="43" s="1"/>
  <c r="O144" i="43" s="1"/>
  <c r="P144" i="43" s="1"/>
  <c r="Q144" i="43" s="1"/>
  <c r="R144" i="43" s="1"/>
  <c r="S144" i="43" s="1"/>
  <c r="H160" i="48"/>
  <c r="I160" i="48" s="1"/>
  <c r="J160" i="48" s="1"/>
  <c r="K160" i="48" s="1"/>
  <c r="L160" i="48" s="1"/>
  <c r="M160" i="48" s="1"/>
  <c r="N160" i="48" s="1"/>
  <c r="O160" i="48" s="1"/>
  <c r="P160" i="48" s="1"/>
  <c r="Q160" i="48" s="1"/>
  <c r="R160" i="48" s="1"/>
  <c r="S160" i="48" s="1"/>
  <c r="H160" i="47"/>
  <c r="I160" i="47" s="1"/>
  <c r="J160" i="47" s="1"/>
  <c r="K160" i="47" s="1"/>
  <c r="L160" i="47" s="1"/>
  <c r="M160" i="47" s="1"/>
  <c r="N160" i="47" s="1"/>
  <c r="O160" i="47" s="1"/>
  <c r="P160" i="47" s="1"/>
  <c r="Q160" i="47" s="1"/>
  <c r="R160" i="47" s="1"/>
  <c r="S160" i="47" s="1"/>
  <c r="H160" i="46"/>
  <c r="I160" i="46" s="1"/>
  <c r="J160" i="46" s="1"/>
  <c r="K160" i="46" s="1"/>
  <c r="L160" i="46" s="1"/>
  <c r="M160" i="46" s="1"/>
  <c r="N160" i="46" s="1"/>
  <c r="O160" i="46" s="1"/>
  <c r="P160" i="46" s="1"/>
  <c r="Q160" i="46" s="1"/>
  <c r="R160" i="46" s="1"/>
  <c r="S160" i="46" s="1"/>
  <c r="H160" i="45"/>
  <c r="I160" i="45" s="1"/>
  <c r="J160" i="45" s="1"/>
  <c r="K160" i="45" s="1"/>
  <c r="L160" i="45" s="1"/>
  <c r="M160" i="45" s="1"/>
  <c r="N160" i="45" s="1"/>
  <c r="O160" i="45" s="1"/>
  <c r="P160" i="45" s="1"/>
  <c r="Q160" i="45" s="1"/>
  <c r="R160" i="45" s="1"/>
  <c r="S160" i="45" s="1"/>
  <c r="H160" i="44"/>
  <c r="I160" i="44" s="1"/>
  <c r="J160" i="44" s="1"/>
  <c r="K160" i="44" s="1"/>
  <c r="L160" i="44" s="1"/>
  <c r="M160" i="44" s="1"/>
  <c r="N160" i="44" s="1"/>
  <c r="O160" i="44" s="1"/>
  <c r="P160" i="44" s="1"/>
  <c r="Q160" i="44" s="1"/>
  <c r="R160" i="44" s="1"/>
  <c r="S160" i="44" s="1"/>
  <c r="H160" i="43"/>
  <c r="I160" i="43" s="1"/>
  <c r="J160" i="43" s="1"/>
  <c r="K160" i="43" s="1"/>
  <c r="L160" i="43" s="1"/>
  <c r="M160" i="43" s="1"/>
  <c r="N160" i="43" s="1"/>
  <c r="O160" i="43" s="1"/>
  <c r="P160" i="43" s="1"/>
  <c r="Q160" i="43" s="1"/>
  <c r="R160" i="43" s="1"/>
  <c r="S160" i="43" s="1"/>
  <c r="H139" i="48"/>
  <c r="I139" i="48" s="1"/>
  <c r="J139" i="48" s="1"/>
  <c r="K139" i="48" s="1"/>
  <c r="L139" i="48" s="1"/>
  <c r="M139" i="48" s="1"/>
  <c r="N139" i="48" s="1"/>
  <c r="O139" i="48" s="1"/>
  <c r="P139" i="48" s="1"/>
  <c r="Q139" i="48" s="1"/>
  <c r="R139" i="48" s="1"/>
  <c r="S139" i="48" s="1"/>
  <c r="H139" i="47"/>
  <c r="I139" i="47" s="1"/>
  <c r="J139" i="47" s="1"/>
  <c r="K139" i="47" s="1"/>
  <c r="L139" i="47" s="1"/>
  <c r="M139" i="47" s="1"/>
  <c r="N139" i="47" s="1"/>
  <c r="O139" i="47" s="1"/>
  <c r="P139" i="47" s="1"/>
  <c r="Q139" i="47" s="1"/>
  <c r="R139" i="47" s="1"/>
  <c r="S139" i="47" s="1"/>
  <c r="H139" i="46"/>
  <c r="I139" i="46" s="1"/>
  <c r="J139" i="46" s="1"/>
  <c r="K139" i="46" s="1"/>
  <c r="L139" i="46" s="1"/>
  <c r="M139" i="46" s="1"/>
  <c r="N139" i="46" s="1"/>
  <c r="O139" i="46" s="1"/>
  <c r="P139" i="46" s="1"/>
  <c r="Q139" i="46" s="1"/>
  <c r="R139" i="46" s="1"/>
  <c r="S139" i="46" s="1"/>
  <c r="H139" i="45"/>
  <c r="I139" i="45" s="1"/>
  <c r="J139" i="45" s="1"/>
  <c r="K139" i="45" s="1"/>
  <c r="L139" i="45" s="1"/>
  <c r="M139" i="45" s="1"/>
  <c r="N139" i="45" s="1"/>
  <c r="O139" i="45" s="1"/>
  <c r="P139" i="45" s="1"/>
  <c r="Q139" i="45" s="1"/>
  <c r="R139" i="45" s="1"/>
  <c r="S139" i="45" s="1"/>
  <c r="H139" i="43"/>
  <c r="I139" i="43" s="1"/>
  <c r="J139" i="43" s="1"/>
  <c r="K139" i="43" s="1"/>
  <c r="L139" i="43" s="1"/>
  <c r="M139" i="43" s="1"/>
  <c r="N139" i="43" s="1"/>
  <c r="O139" i="43" s="1"/>
  <c r="P139" i="43" s="1"/>
  <c r="Q139" i="43" s="1"/>
  <c r="R139" i="43" s="1"/>
  <c r="S139" i="43" s="1"/>
  <c r="H139" i="44"/>
  <c r="I139" i="44" s="1"/>
  <c r="J139" i="44" s="1"/>
  <c r="K139" i="44" s="1"/>
  <c r="L139" i="44" s="1"/>
  <c r="M139" i="44" s="1"/>
  <c r="N139" i="44" s="1"/>
  <c r="O139" i="44" s="1"/>
  <c r="P139" i="44" s="1"/>
  <c r="Q139" i="44" s="1"/>
  <c r="R139" i="44" s="1"/>
  <c r="S139" i="44" s="1"/>
  <c r="H209" i="48"/>
  <c r="I209" i="48" s="1"/>
  <c r="J209" i="48" s="1"/>
  <c r="K209" i="48" s="1"/>
  <c r="L209" i="48" s="1"/>
  <c r="M209" i="48" s="1"/>
  <c r="N209" i="48" s="1"/>
  <c r="O209" i="48" s="1"/>
  <c r="P209" i="48" s="1"/>
  <c r="Q209" i="48" s="1"/>
  <c r="R209" i="48" s="1"/>
  <c r="S209" i="48" s="1"/>
  <c r="H209" i="47"/>
  <c r="I209" i="47" s="1"/>
  <c r="J209" i="47" s="1"/>
  <c r="K209" i="47" s="1"/>
  <c r="L209" i="47" s="1"/>
  <c r="M209" i="47" s="1"/>
  <c r="N209" i="47" s="1"/>
  <c r="O209" i="47" s="1"/>
  <c r="P209" i="47" s="1"/>
  <c r="Q209" i="47" s="1"/>
  <c r="R209" i="47" s="1"/>
  <c r="S209" i="47" s="1"/>
  <c r="H209" i="46"/>
  <c r="I209" i="46" s="1"/>
  <c r="J209" i="46" s="1"/>
  <c r="K209" i="46" s="1"/>
  <c r="L209" i="46" s="1"/>
  <c r="M209" i="46" s="1"/>
  <c r="N209" i="46" s="1"/>
  <c r="O209" i="46" s="1"/>
  <c r="P209" i="46" s="1"/>
  <c r="Q209" i="46" s="1"/>
  <c r="R209" i="46" s="1"/>
  <c r="S209" i="46" s="1"/>
  <c r="H209" i="45"/>
  <c r="I209" i="45" s="1"/>
  <c r="J209" i="45" s="1"/>
  <c r="K209" i="45" s="1"/>
  <c r="L209" i="45" s="1"/>
  <c r="M209" i="45" s="1"/>
  <c r="N209" i="45" s="1"/>
  <c r="O209" i="45" s="1"/>
  <c r="P209" i="45" s="1"/>
  <c r="Q209" i="45" s="1"/>
  <c r="R209" i="45" s="1"/>
  <c r="S209" i="45" s="1"/>
  <c r="H209" i="44"/>
  <c r="I209" i="44" s="1"/>
  <c r="J209" i="44" s="1"/>
  <c r="K209" i="44" s="1"/>
  <c r="L209" i="44" s="1"/>
  <c r="M209" i="44" s="1"/>
  <c r="N209" i="44" s="1"/>
  <c r="O209" i="44" s="1"/>
  <c r="P209" i="44" s="1"/>
  <c r="Q209" i="44" s="1"/>
  <c r="R209" i="44" s="1"/>
  <c r="S209" i="44" s="1"/>
  <c r="H209" i="43"/>
  <c r="I209" i="43" s="1"/>
  <c r="J209" i="43" s="1"/>
  <c r="K209" i="43" s="1"/>
  <c r="L209" i="43" s="1"/>
  <c r="M209" i="43" s="1"/>
  <c r="N209" i="43" s="1"/>
  <c r="O209" i="43" s="1"/>
  <c r="P209" i="43" s="1"/>
  <c r="Q209" i="43" s="1"/>
  <c r="R209" i="43" s="1"/>
  <c r="S209" i="43" s="1"/>
  <c r="H213" i="48"/>
  <c r="I213" i="48" s="1"/>
  <c r="J213" i="48" s="1"/>
  <c r="K213" i="48" s="1"/>
  <c r="L213" i="48" s="1"/>
  <c r="M213" i="48" s="1"/>
  <c r="N213" i="48" s="1"/>
  <c r="O213" i="48" s="1"/>
  <c r="P213" i="48" s="1"/>
  <c r="Q213" i="48" s="1"/>
  <c r="R213" i="48" s="1"/>
  <c r="S213" i="48" s="1"/>
  <c r="H213" i="47"/>
  <c r="I213" i="47" s="1"/>
  <c r="J213" i="47" s="1"/>
  <c r="K213" i="47" s="1"/>
  <c r="L213" i="47" s="1"/>
  <c r="M213" i="47" s="1"/>
  <c r="N213" i="47" s="1"/>
  <c r="O213" i="47" s="1"/>
  <c r="P213" i="47" s="1"/>
  <c r="Q213" i="47" s="1"/>
  <c r="R213" i="47" s="1"/>
  <c r="S213" i="47" s="1"/>
  <c r="H213" i="46"/>
  <c r="I213" i="46" s="1"/>
  <c r="J213" i="46" s="1"/>
  <c r="K213" i="46" s="1"/>
  <c r="L213" i="46" s="1"/>
  <c r="M213" i="46" s="1"/>
  <c r="N213" i="46" s="1"/>
  <c r="O213" i="46" s="1"/>
  <c r="P213" i="46" s="1"/>
  <c r="Q213" i="46" s="1"/>
  <c r="R213" i="46" s="1"/>
  <c r="S213" i="46" s="1"/>
  <c r="H213" i="45"/>
  <c r="I213" i="45" s="1"/>
  <c r="J213" i="45" s="1"/>
  <c r="K213" i="45" s="1"/>
  <c r="L213" i="45" s="1"/>
  <c r="M213" i="45" s="1"/>
  <c r="N213" i="45" s="1"/>
  <c r="O213" i="45" s="1"/>
  <c r="P213" i="45" s="1"/>
  <c r="Q213" i="45" s="1"/>
  <c r="R213" i="45" s="1"/>
  <c r="S213" i="45" s="1"/>
  <c r="H213" i="44"/>
  <c r="I213" i="44" s="1"/>
  <c r="J213" i="44" s="1"/>
  <c r="K213" i="44" s="1"/>
  <c r="L213" i="44" s="1"/>
  <c r="M213" i="44" s="1"/>
  <c r="N213" i="44" s="1"/>
  <c r="O213" i="44" s="1"/>
  <c r="P213" i="44" s="1"/>
  <c r="Q213" i="44" s="1"/>
  <c r="R213" i="44" s="1"/>
  <c r="S213" i="44" s="1"/>
  <c r="H213" i="43"/>
  <c r="I213" i="43" s="1"/>
  <c r="J213" i="43" s="1"/>
  <c r="K213" i="43" s="1"/>
  <c r="L213" i="43" s="1"/>
  <c r="M213" i="43" s="1"/>
  <c r="N213" i="43" s="1"/>
  <c r="O213" i="43" s="1"/>
  <c r="P213" i="43" s="1"/>
  <c r="Q213" i="43" s="1"/>
  <c r="R213" i="43" s="1"/>
  <c r="S213" i="43" s="1"/>
  <c r="H195" i="48"/>
  <c r="I195" i="48" s="1"/>
  <c r="J195" i="48" s="1"/>
  <c r="K195" i="48" s="1"/>
  <c r="L195" i="48" s="1"/>
  <c r="M195" i="48" s="1"/>
  <c r="N195" i="48" s="1"/>
  <c r="O195" i="48" s="1"/>
  <c r="P195" i="48" s="1"/>
  <c r="Q195" i="48" s="1"/>
  <c r="R195" i="48" s="1"/>
  <c r="S195" i="48" s="1"/>
  <c r="H195" i="47"/>
  <c r="I195" i="47" s="1"/>
  <c r="J195" i="47" s="1"/>
  <c r="K195" i="47" s="1"/>
  <c r="L195" i="47" s="1"/>
  <c r="M195" i="47" s="1"/>
  <c r="N195" i="47" s="1"/>
  <c r="O195" i="47" s="1"/>
  <c r="P195" i="47" s="1"/>
  <c r="Q195" i="47" s="1"/>
  <c r="R195" i="47" s="1"/>
  <c r="S195" i="47" s="1"/>
  <c r="H195" i="46"/>
  <c r="I195" i="46" s="1"/>
  <c r="J195" i="46" s="1"/>
  <c r="K195" i="46" s="1"/>
  <c r="L195" i="46" s="1"/>
  <c r="M195" i="46" s="1"/>
  <c r="N195" i="46" s="1"/>
  <c r="O195" i="46" s="1"/>
  <c r="P195" i="46" s="1"/>
  <c r="Q195" i="46" s="1"/>
  <c r="R195" i="46" s="1"/>
  <c r="S195" i="46" s="1"/>
  <c r="H195" i="45"/>
  <c r="I195" i="45" s="1"/>
  <c r="J195" i="45" s="1"/>
  <c r="K195" i="45" s="1"/>
  <c r="L195" i="45" s="1"/>
  <c r="M195" i="45" s="1"/>
  <c r="N195" i="45" s="1"/>
  <c r="O195" i="45" s="1"/>
  <c r="P195" i="45" s="1"/>
  <c r="Q195" i="45" s="1"/>
  <c r="R195" i="45" s="1"/>
  <c r="S195" i="45" s="1"/>
  <c r="H195" i="44"/>
  <c r="I195" i="44" s="1"/>
  <c r="J195" i="44" s="1"/>
  <c r="K195" i="44" s="1"/>
  <c r="L195" i="44" s="1"/>
  <c r="M195" i="44" s="1"/>
  <c r="N195" i="44" s="1"/>
  <c r="O195" i="44" s="1"/>
  <c r="P195" i="44" s="1"/>
  <c r="Q195" i="44" s="1"/>
  <c r="R195" i="44" s="1"/>
  <c r="S195" i="44" s="1"/>
  <c r="H195" i="43"/>
  <c r="I195" i="43" s="1"/>
  <c r="J195" i="43" s="1"/>
  <c r="K195" i="43" s="1"/>
  <c r="L195" i="43" s="1"/>
  <c r="M195" i="43" s="1"/>
  <c r="N195" i="43" s="1"/>
  <c r="O195" i="43" s="1"/>
  <c r="P195" i="43" s="1"/>
  <c r="Q195" i="43" s="1"/>
  <c r="R195" i="43" s="1"/>
  <c r="S195" i="43" s="1"/>
  <c r="H154" i="48"/>
  <c r="I154" i="48" s="1"/>
  <c r="J154" i="48" s="1"/>
  <c r="K154" i="48" s="1"/>
  <c r="L154" i="48" s="1"/>
  <c r="M154" i="48" s="1"/>
  <c r="N154" i="48" s="1"/>
  <c r="O154" i="48" s="1"/>
  <c r="P154" i="48" s="1"/>
  <c r="Q154" i="48" s="1"/>
  <c r="R154" i="48" s="1"/>
  <c r="S154" i="48" s="1"/>
  <c r="H154" i="47"/>
  <c r="I154" i="47" s="1"/>
  <c r="J154" i="47" s="1"/>
  <c r="K154" i="47" s="1"/>
  <c r="L154" i="47" s="1"/>
  <c r="M154" i="47" s="1"/>
  <c r="N154" i="47" s="1"/>
  <c r="O154" i="47" s="1"/>
  <c r="P154" i="47" s="1"/>
  <c r="Q154" i="47" s="1"/>
  <c r="R154" i="47" s="1"/>
  <c r="S154" i="47" s="1"/>
  <c r="H154" i="46"/>
  <c r="I154" i="46" s="1"/>
  <c r="J154" i="46" s="1"/>
  <c r="K154" i="46" s="1"/>
  <c r="L154" i="46" s="1"/>
  <c r="M154" i="46" s="1"/>
  <c r="N154" i="46" s="1"/>
  <c r="O154" i="46" s="1"/>
  <c r="P154" i="46" s="1"/>
  <c r="Q154" i="46" s="1"/>
  <c r="R154" i="46" s="1"/>
  <c r="S154" i="46" s="1"/>
  <c r="H154" i="45"/>
  <c r="I154" i="45" s="1"/>
  <c r="J154" i="45" s="1"/>
  <c r="K154" i="45" s="1"/>
  <c r="L154" i="45" s="1"/>
  <c r="M154" i="45" s="1"/>
  <c r="N154" i="45" s="1"/>
  <c r="O154" i="45" s="1"/>
  <c r="P154" i="45" s="1"/>
  <c r="Q154" i="45" s="1"/>
  <c r="R154" i="45" s="1"/>
  <c r="S154" i="45" s="1"/>
  <c r="H154" i="44"/>
  <c r="I154" i="44" s="1"/>
  <c r="J154" i="44" s="1"/>
  <c r="K154" i="44" s="1"/>
  <c r="L154" i="44" s="1"/>
  <c r="M154" i="44" s="1"/>
  <c r="N154" i="44" s="1"/>
  <c r="O154" i="44" s="1"/>
  <c r="P154" i="44" s="1"/>
  <c r="Q154" i="44" s="1"/>
  <c r="R154" i="44" s="1"/>
  <c r="S154" i="44" s="1"/>
  <c r="H154" i="43"/>
  <c r="I154" i="43" s="1"/>
  <c r="J154" i="43" s="1"/>
  <c r="K154" i="43" s="1"/>
  <c r="L154" i="43" s="1"/>
  <c r="M154" i="43" s="1"/>
  <c r="N154" i="43" s="1"/>
  <c r="O154" i="43" s="1"/>
  <c r="P154" i="43" s="1"/>
  <c r="Q154" i="43" s="1"/>
  <c r="R154" i="43" s="1"/>
  <c r="S154" i="43" s="1"/>
  <c r="H190" i="48"/>
  <c r="I190" i="48" s="1"/>
  <c r="J190" i="48" s="1"/>
  <c r="K190" i="48" s="1"/>
  <c r="L190" i="48" s="1"/>
  <c r="M190" i="48" s="1"/>
  <c r="N190" i="48" s="1"/>
  <c r="O190" i="48" s="1"/>
  <c r="P190" i="48" s="1"/>
  <c r="Q190" i="48" s="1"/>
  <c r="R190" i="48" s="1"/>
  <c r="S190" i="48" s="1"/>
  <c r="H190" i="47"/>
  <c r="I190" i="47" s="1"/>
  <c r="J190" i="47" s="1"/>
  <c r="K190" i="47" s="1"/>
  <c r="L190" i="47" s="1"/>
  <c r="M190" i="47" s="1"/>
  <c r="N190" i="47" s="1"/>
  <c r="O190" i="47" s="1"/>
  <c r="P190" i="47" s="1"/>
  <c r="Q190" i="47" s="1"/>
  <c r="R190" i="47" s="1"/>
  <c r="S190" i="47" s="1"/>
  <c r="H190" i="46"/>
  <c r="I190" i="46" s="1"/>
  <c r="J190" i="46" s="1"/>
  <c r="K190" i="46" s="1"/>
  <c r="L190" i="46" s="1"/>
  <c r="M190" i="46" s="1"/>
  <c r="N190" i="46" s="1"/>
  <c r="O190" i="46" s="1"/>
  <c r="P190" i="46" s="1"/>
  <c r="Q190" i="46" s="1"/>
  <c r="R190" i="46" s="1"/>
  <c r="S190" i="46" s="1"/>
  <c r="H190" i="45"/>
  <c r="I190" i="45" s="1"/>
  <c r="J190" i="45" s="1"/>
  <c r="K190" i="45" s="1"/>
  <c r="L190" i="45" s="1"/>
  <c r="M190" i="45" s="1"/>
  <c r="N190" i="45" s="1"/>
  <c r="O190" i="45" s="1"/>
  <c r="P190" i="45" s="1"/>
  <c r="Q190" i="45" s="1"/>
  <c r="R190" i="45" s="1"/>
  <c r="S190" i="45" s="1"/>
  <c r="H190" i="44"/>
  <c r="I190" i="44" s="1"/>
  <c r="J190" i="44" s="1"/>
  <c r="K190" i="44" s="1"/>
  <c r="L190" i="44" s="1"/>
  <c r="M190" i="44" s="1"/>
  <c r="N190" i="44" s="1"/>
  <c r="O190" i="44" s="1"/>
  <c r="P190" i="44" s="1"/>
  <c r="Q190" i="44" s="1"/>
  <c r="R190" i="44" s="1"/>
  <c r="S190" i="44" s="1"/>
  <c r="H190" i="43"/>
  <c r="I190" i="43" s="1"/>
  <c r="J190" i="43" s="1"/>
  <c r="K190" i="43" s="1"/>
  <c r="L190" i="43" s="1"/>
  <c r="M190" i="43" s="1"/>
  <c r="N190" i="43" s="1"/>
  <c r="O190" i="43" s="1"/>
  <c r="P190" i="43" s="1"/>
  <c r="Q190" i="43" s="1"/>
  <c r="R190" i="43" s="1"/>
  <c r="S190" i="43" s="1"/>
  <c r="H165" i="48"/>
  <c r="I165" i="48" s="1"/>
  <c r="J165" i="48" s="1"/>
  <c r="K165" i="48" s="1"/>
  <c r="L165" i="48" s="1"/>
  <c r="M165" i="48" s="1"/>
  <c r="N165" i="48" s="1"/>
  <c r="O165" i="48" s="1"/>
  <c r="P165" i="48" s="1"/>
  <c r="Q165" i="48" s="1"/>
  <c r="R165" i="48" s="1"/>
  <c r="S165" i="48" s="1"/>
  <c r="H165" i="47"/>
  <c r="I165" i="47" s="1"/>
  <c r="J165" i="47" s="1"/>
  <c r="K165" i="47" s="1"/>
  <c r="L165" i="47" s="1"/>
  <c r="M165" i="47" s="1"/>
  <c r="N165" i="47" s="1"/>
  <c r="O165" i="47" s="1"/>
  <c r="P165" i="47" s="1"/>
  <c r="Q165" i="47" s="1"/>
  <c r="R165" i="47" s="1"/>
  <c r="S165" i="47" s="1"/>
  <c r="H165" i="46"/>
  <c r="I165" i="46" s="1"/>
  <c r="J165" i="46" s="1"/>
  <c r="K165" i="46" s="1"/>
  <c r="L165" i="46" s="1"/>
  <c r="M165" i="46" s="1"/>
  <c r="N165" i="46" s="1"/>
  <c r="O165" i="46" s="1"/>
  <c r="P165" i="46" s="1"/>
  <c r="Q165" i="46" s="1"/>
  <c r="R165" i="46" s="1"/>
  <c r="S165" i="46" s="1"/>
  <c r="H165" i="45"/>
  <c r="I165" i="45" s="1"/>
  <c r="J165" i="45" s="1"/>
  <c r="K165" i="45" s="1"/>
  <c r="L165" i="45" s="1"/>
  <c r="M165" i="45" s="1"/>
  <c r="N165" i="45" s="1"/>
  <c r="O165" i="45" s="1"/>
  <c r="P165" i="45" s="1"/>
  <c r="Q165" i="45" s="1"/>
  <c r="R165" i="45" s="1"/>
  <c r="S165" i="45" s="1"/>
  <c r="H165" i="44"/>
  <c r="I165" i="44" s="1"/>
  <c r="J165" i="44" s="1"/>
  <c r="K165" i="44" s="1"/>
  <c r="L165" i="44" s="1"/>
  <c r="M165" i="44" s="1"/>
  <c r="N165" i="44" s="1"/>
  <c r="O165" i="44" s="1"/>
  <c r="P165" i="44" s="1"/>
  <c r="Q165" i="44" s="1"/>
  <c r="R165" i="44" s="1"/>
  <c r="S165" i="44" s="1"/>
  <c r="H165" i="43"/>
  <c r="I165" i="43" s="1"/>
  <c r="J165" i="43" s="1"/>
  <c r="K165" i="43" s="1"/>
  <c r="L165" i="43" s="1"/>
  <c r="M165" i="43" s="1"/>
  <c r="N165" i="43" s="1"/>
  <c r="O165" i="43" s="1"/>
  <c r="P165" i="43" s="1"/>
  <c r="Q165" i="43" s="1"/>
  <c r="R165" i="43" s="1"/>
  <c r="S165" i="43" s="1"/>
  <c r="H170" i="48"/>
  <c r="I170" i="48" s="1"/>
  <c r="J170" i="48" s="1"/>
  <c r="K170" i="48" s="1"/>
  <c r="L170" i="48" s="1"/>
  <c r="M170" i="48" s="1"/>
  <c r="N170" i="48" s="1"/>
  <c r="O170" i="48" s="1"/>
  <c r="P170" i="48" s="1"/>
  <c r="Q170" i="48" s="1"/>
  <c r="R170" i="48" s="1"/>
  <c r="S170" i="48" s="1"/>
  <c r="H170" i="47"/>
  <c r="I170" i="47" s="1"/>
  <c r="J170" i="47" s="1"/>
  <c r="K170" i="47" s="1"/>
  <c r="L170" i="47" s="1"/>
  <c r="M170" i="47" s="1"/>
  <c r="N170" i="47" s="1"/>
  <c r="O170" i="47" s="1"/>
  <c r="P170" i="47" s="1"/>
  <c r="Q170" i="47" s="1"/>
  <c r="R170" i="47" s="1"/>
  <c r="S170" i="47" s="1"/>
  <c r="H170" i="46"/>
  <c r="I170" i="46" s="1"/>
  <c r="J170" i="46" s="1"/>
  <c r="K170" i="46" s="1"/>
  <c r="L170" i="46" s="1"/>
  <c r="M170" i="46" s="1"/>
  <c r="N170" i="46" s="1"/>
  <c r="O170" i="46" s="1"/>
  <c r="P170" i="46" s="1"/>
  <c r="Q170" i="46" s="1"/>
  <c r="R170" i="46" s="1"/>
  <c r="S170" i="46" s="1"/>
  <c r="H170" i="45"/>
  <c r="I170" i="45" s="1"/>
  <c r="J170" i="45" s="1"/>
  <c r="K170" i="45" s="1"/>
  <c r="L170" i="45" s="1"/>
  <c r="M170" i="45" s="1"/>
  <c r="N170" i="45" s="1"/>
  <c r="O170" i="45" s="1"/>
  <c r="P170" i="45" s="1"/>
  <c r="Q170" i="45" s="1"/>
  <c r="R170" i="45" s="1"/>
  <c r="S170" i="45" s="1"/>
  <c r="H170" i="44"/>
  <c r="I170" i="44" s="1"/>
  <c r="J170" i="44" s="1"/>
  <c r="K170" i="44" s="1"/>
  <c r="L170" i="44" s="1"/>
  <c r="M170" i="44" s="1"/>
  <c r="N170" i="44" s="1"/>
  <c r="O170" i="44" s="1"/>
  <c r="P170" i="44" s="1"/>
  <c r="Q170" i="44" s="1"/>
  <c r="R170" i="44" s="1"/>
  <c r="S170" i="44" s="1"/>
  <c r="H170" i="43"/>
  <c r="I170" i="43" s="1"/>
  <c r="J170" i="43" s="1"/>
  <c r="K170" i="43" s="1"/>
  <c r="L170" i="43" s="1"/>
  <c r="M170" i="43" s="1"/>
  <c r="N170" i="43" s="1"/>
  <c r="O170" i="43" s="1"/>
  <c r="P170" i="43" s="1"/>
  <c r="Q170" i="43" s="1"/>
  <c r="R170" i="43" s="1"/>
  <c r="S170" i="43" s="1"/>
  <c r="H134" i="48"/>
  <c r="I134" i="48" s="1"/>
  <c r="J134" i="48" s="1"/>
  <c r="K134" i="48" s="1"/>
  <c r="L134" i="48" s="1"/>
  <c r="M134" i="48" s="1"/>
  <c r="N134" i="48" s="1"/>
  <c r="O134" i="48" s="1"/>
  <c r="P134" i="48" s="1"/>
  <c r="Q134" i="48" s="1"/>
  <c r="R134" i="48" s="1"/>
  <c r="S134" i="48" s="1"/>
  <c r="H134" i="47"/>
  <c r="I134" i="47" s="1"/>
  <c r="J134" i="47" s="1"/>
  <c r="K134" i="47" s="1"/>
  <c r="L134" i="47" s="1"/>
  <c r="M134" i="47" s="1"/>
  <c r="N134" i="47" s="1"/>
  <c r="O134" i="47" s="1"/>
  <c r="P134" i="47" s="1"/>
  <c r="Q134" i="47" s="1"/>
  <c r="R134" i="47" s="1"/>
  <c r="S134" i="47" s="1"/>
  <c r="H134" i="46"/>
  <c r="I134" i="46" s="1"/>
  <c r="J134" i="46" s="1"/>
  <c r="K134" i="46" s="1"/>
  <c r="L134" i="46" s="1"/>
  <c r="M134" i="46" s="1"/>
  <c r="N134" i="46" s="1"/>
  <c r="O134" i="46" s="1"/>
  <c r="P134" i="46" s="1"/>
  <c r="Q134" i="46" s="1"/>
  <c r="R134" i="46" s="1"/>
  <c r="S134" i="46" s="1"/>
  <c r="H134" i="45"/>
  <c r="I134" i="45" s="1"/>
  <c r="J134" i="45" s="1"/>
  <c r="K134" i="45" s="1"/>
  <c r="L134" i="45" s="1"/>
  <c r="M134" i="45" s="1"/>
  <c r="N134" i="45" s="1"/>
  <c r="O134" i="45" s="1"/>
  <c r="P134" i="45" s="1"/>
  <c r="Q134" i="45" s="1"/>
  <c r="R134" i="45" s="1"/>
  <c r="S134" i="45" s="1"/>
  <c r="H134" i="44"/>
  <c r="I134" i="44" s="1"/>
  <c r="J134" i="44" s="1"/>
  <c r="K134" i="44" s="1"/>
  <c r="L134" i="44" s="1"/>
  <c r="M134" i="44" s="1"/>
  <c r="N134" i="44" s="1"/>
  <c r="O134" i="44" s="1"/>
  <c r="P134" i="44" s="1"/>
  <c r="Q134" i="44" s="1"/>
  <c r="R134" i="44" s="1"/>
  <c r="S134" i="44" s="1"/>
  <c r="H134" i="43"/>
  <c r="I134" i="43" s="1"/>
  <c r="J134" i="43" s="1"/>
  <c r="K134" i="43" s="1"/>
  <c r="L134" i="43" s="1"/>
  <c r="M134" i="43" s="1"/>
  <c r="N134" i="43" s="1"/>
  <c r="O134" i="43" s="1"/>
  <c r="P134" i="43" s="1"/>
  <c r="Q134" i="43" s="1"/>
  <c r="R134" i="43" s="1"/>
  <c r="S134" i="43" s="1"/>
  <c r="H129" i="48"/>
  <c r="I129" i="48" s="1"/>
  <c r="J129" i="48" s="1"/>
  <c r="K129" i="48" s="1"/>
  <c r="L129" i="48" s="1"/>
  <c r="M129" i="48" s="1"/>
  <c r="N129" i="48" s="1"/>
  <c r="O129" i="48" s="1"/>
  <c r="P129" i="48" s="1"/>
  <c r="Q129" i="48" s="1"/>
  <c r="R129" i="48" s="1"/>
  <c r="S129" i="48" s="1"/>
  <c r="H129" i="47"/>
  <c r="I129" i="47" s="1"/>
  <c r="J129" i="47" s="1"/>
  <c r="K129" i="47" s="1"/>
  <c r="L129" i="47" s="1"/>
  <c r="M129" i="47" s="1"/>
  <c r="N129" i="47" s="1"/>
  <c r="O129" i="47" s="1"/>
  <c r="P129" i="47" s="1"/>
  <c r="Q129" i="47" s="1"/>
  <c r="R129" i="47" s="1"/>
  <c r="S129" i="47" s="1"/>
  <c r="H129" i="46"/>
  <c r="I129" i="46" s="1"/>
  <c r="J129" i="46" s="1"/>
  <c r="K129" i="46" s="1"/>
  <c r="L129" i="46" s="1"/>
  <c r="M129" i="46" s="1"/>
  <c r="N129" i="46" s="1"/>
  <c r="O129" i="46" s="1"/>
  <c r="P129" i="46" s="1"/>
  <c r="Q129" i="46" s="1"/>
  <c r="R129" i="46" s="1"/>
  <c r="S129" i="46" s="1"/>
  <c r="H129" i="45"/>
  <c r="I129" i="45" s="1"/>
  <c r="J129" i="45" s="1"/>
  <c r="K129" i="45" s="1"/>
  <c r="L129" i="45" s="1"/>
  <c r="M129" i="45" s="1"/>
  <c r="N129" i="45" s="1"/>
  <c r="O129" i="45" s="1"/>
  <c r="P129" i="45" s="1"/>
  <c r="Q129" i="45" s="1"/>
  <c r="R129" i="45" s="1"/>
  <c r="S129" i="45" s="1"/>
  <c r="H129" i="44"/>
  <c r="I129" i="44" s="1"/>
  <c r="J129" i="44" s="1"/>
  <c r="K129" i="44" s="1"/>
  <c r="L129" i="44" s="1"/>
  <c r="M129" i="44" s="1"/>
  <c r="N129" i="44" s="1"/>
  <c r="O129" i="44" s="1"/>
  <c r="P129" i="44" s="1"/>
  <c r="Q129" i="44" s="1"/>
  <c r="R129" i="44" s="1"/>
  <c r="S129" i="44" s="1"/>
  <c r="H129" i="43"/>
  <c r="I129" i="43" s="1"/>
  <c r="J129" i="43" s="1"/>
  <c r="K129" i="43" s="1"/>
  <c r="L129" i="43" s="1"/>
  <c r="M129" i="43" s="1"/>
  <c r="N129" i="43" s="1"/>
  <c r="O129" i="43" s="1"/>
  <c r="P129" i="43" s="1"/>
  <c r="Q129" i="43" s="1"/>
  <c r="R129" i="43" s="1"/>
  <c r="S129" i="43" s="1"/>
  <c r="H212" i="48"/>
  <c r="I212" i="48" s="1"/>
  <c r="J212" i="48" s="1"/>
  <c r="K212" i="48" s="1"/>
  <c r="L212" i="48" s="1"/>
  <c r="M212" i="48" s="1"/>
  <c r="N212" i="48" s="1"/>
  <c r="O212" i="48" s="1"/>
  <c r="P212" i="48" s="1"/>
  <c r="Q212" i="48" s="1"/>
  <c r="R212" i="48" s="1"/>
  <c r="S212" i="48" s="1"/>
  <c r="H212" i="47"/>
  <c r="I212" i="47" s="1"/>
  <c r="J212" i="47" s="1"/>
  <c r="K212" i="47" s="1"/>
  <c r="L212" i="47" s="1"/>
  <c r="M212" i="47" s="1"/>
  <c r="N212" i="47" s="1"/>
  <c r="O212" i="47" s="1"/>
  <c r="P212" i="47" s="1"/>
  <c r="Q212" i="47" s="1"/>
  <c r="R212" i="47" s="1"/>
  <c r="S212" i="47" s="1"/>
  <c r="H212" i="46"/>
  <c r="I212" i="46" s="1"/>
  <c r="J212" i="46" s="1"/>
  <c r="K212" i="46" s="1"/>
  <c r="L212" i="46" s="1"/>
  <c r="M212" i="46" s="1"/>
  <c r="N212" i="46" s="1"/>
  <c r="O212" i="46" s="1"/>
  <c r="P212" i="46" s="1"/>
  <c r="Q212" i="46" s="1"/>
  <c r="R212" i="46" s="1"/>
  <c r="S212" i="46" s="1"/>
  <c r="H212" i="45"/>
  <c r="I212" i="45" s="1"/>
  <c r="J212" i="45" s="1"/>
  <c r="K212" i="45" s="1"/>
  <c r="L212" i="45" s="1"/>
  <c r="M212" i="45" s="1"/>
  <c r="N212" i="45" s="1"/>
  <c r="O212" i="45" s="1"/>
  <c r="P212" i="45" s="1"/>
  <c r="Q212" i="45" s="1"/>
  <c r="R212" i="45" s="1"/>
  <c r="S212" i="45" s="1"/>
  <c r="H212" i="44"/>
  <c r="I212" i="44" s="1"/>
  <c r="J212" i="44" s="1"/>
  <c r="K212" i="44" s="1"/>
  <c r="L212" i="44" s="1"/>
  <c r="M212" i="44" s="1"/>
  <c r="N212" i="44" s="1"/>
  <c r="O212" i="44" s="1"/>
  <c r="P212" i="44" s="1"/>
  <c r="Q212" i="44" s="1"/>
  <c r="R212" i="44" s="1"/>
  <c r="S212" i="44" s="1"/>
  <c r="H212" i="43"/>
  <c r="I212" i="43" s="1"/>
  <c r="J212" i="43" s="1"/>
  <c r="K212" i="43" s="1"/>
  <c r="L212" i="43" s="1"/>
  <c r="M212" i="43" s="1"/>
  <c r="N212" i="43" s="1"/>
  <c r="O212" i="43" s="1"/>
  <c r="P212" i="43" s="1"/>
  <c r="Q212" i="43" s="1"/>
  <c r="R212" i="43" s="1"/>
  <c r="S212" i="43" s="1"/>
  <c r="H210" i="48"/>
  <c r="I210" i="48" s="1"/>
  <c r="J210" i="48" s="1"/>
  <c r="K210" i="48" s="1"/>
  <c r="L210" i="48" s="1"/>
  <c r="M210" i="48" s="1"/>
  <c r="N210" i="48" s="1"/>
  <c r="O210" i="48" s="1"/>
  <c r="P210" i="48" s="1"/>
  <c r="Q210" i="48" s="1"/>
  <c r="R210" i="48" s="1"/>
  <c r="S210" i="48" s="1"/>
  <c r="H210" i="47"/>
  <c r="I210" i="47" s="1"/>
  <c r="J210" i="47" s="1"/>
  <c r="K210" i="47" s="1"/>
  <c r="L210" i="47" s="1"/>
  <c r="M210" i="47" s="1"/>
  <c r="N210" i="47" s="1"/>
  <c r="O210" i="47" s="1"/>
  <c r="P210" i="47" s="1"/>
  <c r="Q210" i="47" s="1"/>
  <c r="R210" i="47" s="1"/>
  <c r="S210" i="47" s="1"/>
  <c r="H210" i="46"/>
  <c r="I210" i="46" s="1"/>
  <c r="J210" i="46" s="1"/>
  <c r="K210" i="46" s="1"/>
  <c r="L210" i="46" s="1"/>
  <c r="M210" i="46" s="1"/>
  <c r="N210" i="46" s="1"/>
  <c r="O210" i="46" s="1"/>
  <c r="P210" i="46" s="1"/>
  <c r="Q210" i="46" s="1"/>
  <c r="R210" i="46" s="1"/>
  <c r="S210" i="46" s="1"/>
  <c r="H210" i="45"/>
  <c r="I210" i="45" s="1"/>
  <c r="J210" i="45" s="1"/>
  <c r="K210" i="45" s="1"/>
  <c r="L210" i="45" s="1"/>
  <c r="M210" i="45" s="1"/>
  <c r="N210" i="45" s="1"/>
  <c r="O210" i="45" s="1"/>
  <c r="P210" i="45" s="1"/>
  <c r="Q210" i="45" s="1"/>
  <c r="R210" i="45" s="1"/>
  <c r="S210" i="45" s="1"/>
  <c r="H210" i="44"/>
  <c r="I210" i="44" s="1"/>
  <c r="J210" i="44" s="1"/>
  <c r="K210" i="44" s="1"/>
  <c r="L210" i="44" s="1"/>
  <c r="M210" i="44" s="1"/>
  <c r="N210" i="44" s="1"/>
  <c r="O210" i="44" s="1"/>
  <c r="P210" i="44" s="1"/>
  <c r="Q210" i="44" s="1"/>
  <c r="R210" i="44" s="1"/>
  <c r="S210" i="44" s="1"/>
  <c r="H210" i="43"/>
  <c r="I210" i="43" s="1"/>
  <c r="J210" i="43" s="1"/>
  <c r="K210" i="43" s="1"/>
  <c r="L210" i="43" s="1"/>
  <c r="M210" i="43" s="1"/>
  <c r="N210" i="43" s="1"/>
  <c r="O210" i="43" s="1"/>
  <c r="P210" i="43" s="1"/>
  <c r="Q210" i="43" s="1"/>
  <c r="R210" i="43" s="1"/>
  <c r="S210" i="43" s="1"/>
  <c r="H211" i="48"/>
  <c r="I211" i="48" s="1"/>
  <c r="J211" i="48" s="1"/>
  <c r="K211" i="48" s="1"/>
  <c r="L211" i="48" s="1"/>
  <c r="M211" i="48" s="1"/>
  <c r="N211" i="48" s="1"/>
  <c r="O211" i="48" s="1"/>
  <c r="P211" i="48" s="1"/>
  <c r="Q211" i="48" s="1"/>
  <c r="R211" i="48" s="1"/>
  <c r="S211" i="48" s="1"/>
  <c r="H211" i="47"/>
  <c r="I211" i="47" s="1"/>
  <c r="J211" i="47" s="1"/>
  <c r="K211" i="47" s="1"/>
  <c r="L211" i="47" s="1"/>
  <c r="M211" i="47" s="1"/>
  <c r="N211" i="47" s="1"/>
  <c r="O211" i="47" s="1"/>
  <c r="P211" i="47" s="1"/>
  <c r="Q211" i="47" s="1"/>
  <c r="R211" i="47" s="1"/>
  <c r="S211" i="47" s="1"/>
  <c r="H211" i="46"/>
  <c r="I211" i="46" s="1"/>
  <c r="J211" i="46" s="1"/>
  <c r="K211" i="46" s="1"/>
  <c r="L211" i="46" s="1"/>
  <c r="M211" i="46" s="1"/>
  <c r="N211" i="46" s="1"/>
  <c r="O211" i="46" s="1"/>
  <c r="P211" i="46" s="1"/>
  <c r="Q211" i="46" s="1"/>
  <c r="R211" i="46" s="1"/>
  <c r="S211" i="46" s="1"/>
  <c r="H211" i="45"/>
  <c r="I211" i="45" s="1"/>
  <c r="J211" i="45" s="1"/>
  <c r="K211" i="45" s="1"/>
  <c r="L211" i="45" s="1"/>
  <c r="M211" i="45" s="1"/>
  <c r="N211" i="45" s="1"/>
  <c r="O211" i="45" s="1"/>
  <c r="P211" i="45" s="1"/>
  <c r="Q211" i="45" s="1"/>
  <c r="R211" i="45" s="1"/>
  <c r="S211" i="45" s="1"/>
  <c r="H211" i="44"/>
  <c r="I211" i="44" s="1"/>
  <c r="J211" i="44" s="1"/>
  <c r="K211" i="44" s="1"/>
  <c r="L211" i="44" s="1"/>
  <c r="M211" i="44" s="1"/>
  <c r="N211" i="44" s="1"/>
  <c r="O211" i="44" s="1"/>
  <c r="P211" i="44" s="1"/>
  <c r="Q211" i="44" s="1"/>
  <c r="R211" i="44" s="1"/>
  <c r="S211" i="44" s="1"/>
  <c r="H211" i="43"/>
  <c r="I211" i="43" s="1"/>
  <c r="J211" i="43" s="1"/>
  <c r="K211" i="43" s="1"/>
  <c r="L211" i="43" s="1"/>
  <c r="M211" i="43" s="1"/>
  <c r="N211" i="43" s="1"/>
  <c r="O211" i="43" s="1"/>
  <c r="P211" i="43" s="1"/>
  <c r="Q211" i="43" s="1"/>
  <c r="R211" i="43" s="1"/>
  <c r="S211" i="43" s="1"/>
  <c r="H185" i="48"/>
  <c r="I185" i="48" s="1"/>
  <c r="J185" i="48" s="1"/>
  <c r="K185" i="48" s="1"/>
  <c r="L185" i="48" s="1"/>
  <c r="M185" i="48" s="1"/>
  <c r="N185" i="48" s="1"/>
  <c r="O185" i="48" s="1"/>
  <c r="P185" i="48" s="1"/>
  <c r="Q185" i="48" s="1"/>
  <c r="R185" i="48" s="1"/>
  <c r="S185" i="48" s="1"/>
  <c r="H185" i="47"/>
  <c r="I185" i="47" s="1"/>
  <c r="J185" i="47" s="1"/>
  <c r="K185" i="47" s="1"/>
  <c r="L185" i="47" s="1"/>
  <c r="M185" i="47" s="1"/>
  <c r="N185" i="47" s="1"/>
  <c r="O185" i="47" s="1"/>
  <c r="P185" i="47" s="1"/>
  <c r="Q185" i="47" s="1"/>
  <c r="R185" i="47" s="1"/>
  <c r="S185" i="47" s="1"/>
  <c r="H185" i="46"/>
  <c r="I185" i="46" s="1"/>
  <c r="J185" i="46" s="1"/>
  <c r="K185" i="46" s="1"/>
  <c r="L185" i="46" s="1"/>
  <c r="M185" i="46" s="1"/>
  <c r="N185" i="46" s="1"/>
  <c r="O185" i="46" s="1"/>
  <c r="P185" i="46" s="1"/>
  <c r="Q185" i="46" s="1"/>
  <c r="R185" i="46" s="1"/>
  <c r="S185" i="46" s="1"/>
  <c r="H185" i="45"/>
  <c r="I185" i="45" s="1"/>
  <c r="J185" i="45" s="1"/>
  <c r="K185" i="45" s="1"/>
  <c r="L185" i="45" s="1"/>
  <c r="M185" i="45" s="1"/>
  <c r="N185" i="45" s="1"/>
  <c r="O185" i="45" s="1"/>
  <c r="P185" i="45" s="1"/>
  <c r="Q185" i="45" s="1"/>
  <c r="R185" i="45" s="1"/>
  <c r="S185" i="45" s="1"/>
  <c r="H185" i="44"/>
  <c r="I185" i="44" s="1"/>
  <c r="J185" i="44" s="1"/>
  <c r="K185" i="44" s="1"/>
  <c r="L185" i="44" s="1"/>
  <c r="M185" i="44" s="1"/>
  <c r="N185" i="44" s="1"/>
  <c r="O185" i="44" s="1"/>
  <c r="P185" i="44" s="1"/>
  <c r="Q185" i="44" s="1"/>
  <c r="R185" i="44" s="1"/>
  <c r="S185" i="44" s="1"/>
  <c r="H185" i="43"/>
  <c r="I185" i="43" s="1"/>
  <c r="J185" i="43" s="1"/>
  <c r="K185" i="43" s="1"/>
  <c r="L185" i="43" s="1"/>
  <c r="M185" i="43" s="1"/>
  <c r="N185" i="43" s="1"/>
  <c r="O185" i="43" s="1"/>
  <c r="P185" i="43" s="1"/>
  <c r="Q185" i="43" s="1"/>
  <c r="R185" i="43" s="1"/>
  <c r="S185" i="43" s="1"/>
  <c r="H175" i="48"/>
  <c r="I175" i="48" s="1"/>
  <c r="J175" i="48" s="1"/>
  <c r="K175" i="48" s="1"/>
  <c r="L175" i="48" s="1"/>
  <c r="M175" i="48" s="1"/>
  <c r="N175" i="48" s="1"/>
  <c r="O175" i="48" s="1"/>
  <c r="P175" i="48" s="1"/>
  <c r="Q175" i="48" s="1"/>
  <c r="R175" i="48" s="1"/>
  <c r="S175" i="48" s="1"/>
  <c r="H175" i="47"/>
  <c r="I175" i="47" s="1"/>
  <c r="J175" i="47" s="1"/>
  <c r="K175" i="47" s="1"/>
  <c r="L175" i="47" s="1"/>
  <c r="M175" i="47" s="1"/>
  <c r="N175" i="47" s="1"/>
  <c r="O175" i="47" s="1"/>
  <c r="P175" i="47" s="1"/>
  <c r="Q175" i="47" s="1"/>
  <c r="R175" i="47" s="1"/>
  <c r="S175" i="47" s="1"/>
  <c r="H175" i="46"/>
  <c r="I175" i="46" s="1"/>
  <c r="J175" i="46" s="1"/>
  <c r="K175" i="46" s="1"/>
  <c r="L175" i="46" s="1"/>
  <c r="M175" i="46" s="1"/>
  <c r="N175" i="46" s="1"/>
  <c r="O175" i="46" s="1"/>
  <c r="P175" i="46" s="1"/>
  <c r="Q175" i="46" s="1"/>
  <c r="R175" i="46" s="1"/>
  <c r="S175" i="46" s="1"/>
  <c r="H175" i="45"/>
  <c r="I175" i="45" s="1"/>
  <c r="J175" i="45" s="1"/>
  <c r="K175" i="45" s="1"/>
  <c r="L175" i="45" s="1"/>
  <c r="M175" i="45" s="1"/>
  <c r="N175" i="45" s="1"/>
  <c r="O175" i="45" s="1"/>
  <c r="P175" i="45" s="1"/>
  <c r="Q175" i="45" s="1"/>
  <c r="R175" i="45" s="1"/>
  <c r="S175" i="45" s="1"/>
  <c r="H175" i="44"/>
  <c r="I175" i="44" s="1"/>
  <c r="J175" i="44" s="1"/>
  <c r="K175" i="44" s="1"/>
  <c r="L175" i="44" s="1"/>
  <c r="M175" i="44" s="1"/>
  <c r="N175" i="44" s="1"/>
  <c r="O175" i="44" s="1"/>
  <c r="P175" i="44" s="1"/>
  <c r="Q175" i="44" s="1"/>
  <c r="R175" i="44" s="1"/>
  <c r="S175" i="44" s="1"/>
  <c r="H175" i="43"/>
  <c r="I175" i="43" s="1"/>
  <c r="J175" i="43" s="1"/>
  <c r="K175" i="43" s="1"/>
  <c r="L175" i="43" s="1"/>
  <c r="M175" i="43" s="1"/>
  <c r="N175" i="43" s="1"/>
  <c r="O175" i="43" s="1"/>
  <c r="P175" i="43" s="1"/>
  <c r="Q175" i="43" s="1"/>
  <c r="R175" i="43" s="1"/>
  <c r="S175" i="43" s="1"/>
  <c r="H218" i="48" l="1"/>
  <c r="I218" i="48" s="1"/>
  <c r="J218" i="48" s="1"/>
  <c r="K218" i="48" s="1"/>
  <c r="L218" i="48" s="1"/>
  <c r="M218" i="48" s="1"/>
  <c r="N218" i="48" s="1"/>
  <c r="O218" i="48" s="1"/>
  <c r="P218" i="48" s="1"/>
  <c r="Q218" i="48" s="1"/>
  <c r="R218" i="48" s="1"/>
  <c r="S218" i="48" s="1"/>
  <c r="H218" i="47"/>
  <c r="I218" i="47" s="1"/>
  <c r="J218" i="47" s="1"/>
  <c r="K218" i="47" s="1"/>
  <c r="L218" i="47" s="1"/>
  <c r="M218" i="47" s="1"/>
  <c r="N218" i="47" s="1"/>
  <c r="O218" i="47" s="1"/>
  <c r="P218" i="47" s="1"/>
  <c r="Q218" i="47" s="1"/>
  <c r="R218" i="47" s="1"/>
  <c r="S218" i="47" s="1"/>
  <c r="H218" i="46"/>
  <c r="I218" i="46" s="1"/>
  <c r="J218" i="46" s="1"/>
  <c r="K218" i="46" s="1"/>
  <c r="L218" i="46" s="1"/>
  <c r="M218" i="46" s="1"/>
  <c r="N218" i="46" s="1"/>
  <c r="O218" i="46" s="1"/>
  <c r="P218" i="46" s="1"/>
  <c r="Q218" i="46" s="1"/>
  <c r="R218" i="46" s="1"/>
  <c r="S218" i="46" s="1"/>
  <c r="H218" i="45"/>
  <c r="I218" i="45" s="1"/>
  <c r="J218" i="45" s="1"/>
  <c r="K218" i="45" s="1"/>
  <c r="L218" i="45" s="1"/>
  <c r="M218" i="45" s="1"/>
  <c r="N218" i="45" s="1"/>
  <c r="O218" i="45" s="1"/>
  <c r="P218" i="45" s="1"/>
  <c r="Q218" i="45" s="1"/>
  <c r="R218" i="45" s="1"/>
  <c r="S218" i="45" s="1"/>
  <c r="H218" i="44"/>
  <c r="I218" i="44" s="1"/>
  <c r="J218" i="44" s="1"/>
  <c r="K218" i="44" s="1"/>
  <c r="L218" i="44" s="1"/>
  <c r="M218" i="44" s="1"/>
  <c r="N218" i="44" s="1"/>
  <c r="O218" i="44" s="1"/>
  <c r="P218" i="44" s="1"/>
  <c r="Q218" i="44" s="1"/>
  <c r="R218" i="44" s="1"/>
  <c r="S218" i="44" s="1"/>
  <c r="H218" i="43"/>
  <c r="I218" i="43" s="1"/>
  <c r="J218" i="43" s="1"/>
  <c r="K218" i="43" s="1"/>
  <c r="L218" i="43" s="1"/>
  <c r="M218" i="43" s="1"/>
  <c r="N218" i="43" s="1"/>
  <c r="O218" i="43" s="1"/>
  <c r="P218" i="43" s="1"/>
  <c r="Q218" i="43" s="1"/>
  <c r="R218" i="43" s="1"/>
  <c r="S218" i="43" s="1"/>
  <c r="H215" i="48"/>
  <c r="I215" i="48" s="1"/>
  <c r="J215" i="48" s="1"/>
  <c r="K215" i="48" s="1"/>
  <c r="L215" i="48" s="1"/>
  <c r="M215" i="48" s="1"/>
  <c r="N215" i="48" s="1"/>
  <c r="O215" i="48" s="1"/>
  <c r="P215" i="48" s="1"/>
  <c r="Q215" i="48" s="1"/>
  <c r="R215" i="48" s="1"/>
  <c r="S215" i="48" s="1"/>
  <c r="H215" i="47"/>
  <c r="I215" i="47" s="1"/>
  <c r="J215" i="47" s="1"/>
  <c r="K215" i="47" s="1"/>
  <c r="L215" i="47" s="1"/>
  <c r="M215" i="47" s="1"/>
  <c r="N215" i="47" s="1"/>
  <c r="O215" i="47" s="1"/>
  <c r="P215" i="47" s="1"/>
  <c r="Q215" i="47" s="1"/>
  <c r="R215" i="47" s="1"/>
  <c r="S215" i="47" s="1"/>
  <c r="H215" i="46"/>
  <c r="I215" i="46" s="1"/>
  <c r="J215" i="46" s="1"/>
  <c r="K215" i="46" s="1"/>
  <c r="L215" i="46" s="1"/>
  <c r="M215" i="46" s="1"/>
  <c r="N215" i="46" s="1"/>
  <c r="O215" i="46" s="1"/>
  <c r="P215" i="46" s="1"/>
  <c r="Q215" i="46" s="1"/>
  <c r="R215" i="46" s="1"/>
  <c r="S215" i="46" s="1"/>
  <c r="H215" i="45"/>
  <c r="I215" i="45" s="1"/>
  <c r="J215" i="45" s="1"/>
  <c r="K215" i="45" s="1"/>
  <c r="L215" i="45" s="1"/>
  <c r="M215" i="45" s="1"/>
  <c r="N215" i="45" s="1"/>
  <c r="O215" i="45" s="1"/>
  <c r="P215" i="45" s="1"/>
  <c r="Q215" i="45" s="1"/>
  <c r="R215" i="45" s="1"/>
  <c r="S215" i="45" s="1"/>
  <c r="H215" i="44"/>
  <c r="I215" i="44" s="1"/>
  <c r="J215" i="44" s="1"/>
  <c r="K215" i="44" s="1"/>
  <c r="L215" i="44" s="1"/>
  <c r="M215" i="44" s="1"/>
  <c r="N215" i="44" s="1"/>
  <c r="O215" i="44" s="1"/>
  <c r="P215" i="44" s="1"/>
  <c r="Q215" i="44" s="1"/>
  <c r="R215" i="44" s="1"/>
  <c r="S215" i="44" s="1"/>
  <c r="H215" i="43"/>
  <c r="I215" i="43" s="1"/>
  <c r="J215" i="43" s="1"/>
  <c r="K215" i="43" s="1"/>
  <c r="L215" i="43" s="1"/>
  <c r="M215" i="43" s="1"/>
  <c r="N215" i="43" s="1"/>
  <c r="O215" i="43" s="1"/>
  <c r="P215" i="43" s="1"/>
  <c r="Q215" i="43" s="1"/>
  <c r="R215" i="43" s="1"/>
  <c r="S215" i="43" s="1"/>
  <c r="H135" i="48"/>
  <c r="I135" i="48" s="1"/>
  <c r="J135" i="48" s="1"/>
  <c r="K135" i="48" s="1"/>
  <c r="L135" i="48" s="1"/>
  <c r="M135" i="48" s="1"/>
  <c r="N135" i="48" s="1"/>
  <c r="O135" i="48" s="1"/>
  <c r="P135" i="48" s="1"/>
  <c r="Q135" i="48" s="1"/>
  <c r="R135" i="48" s="1"/>
  <c r="S135" i="48" s="1"/>
  <c r="H135" i="47"/>
  <c r="I135" i="47" s="1"/>
  <c r="J135" i="47" s="1"/>
  <c r="K135" i="47" s="1"/>
  <c r="L135" i="47" s="1"/>
  <c r="M135" i="47" s="1"/>
  <c r="N135" i="47" s="1"/>
  <c r="O135" i="47" s="1"/>
  <c r="P135" i="47" s="1"/>
  <c r="Q135" i="47" s="1"/>
  <c r="R135" i="47" s="1"/>
  <c r="S135" i="47" s="1"/>
  <c r="H135" i="46"/>
  <c r="I135" i="46" s="1"/>
  <c r="J135" i="46" s="1"/>
  <c r="K135" i="46" s="1"/>
  <c r="L135" i="46" s="1"/>
  <c r="M135" i="46" s="1"/>
  <c r="N135" i="46" s="1"/>
  <c r="O135" i="46" s="1"/>
  <c r="P135" i="46" s="1"/>
  <c r="Q135" i="46" s="1"/>
  <c r="R135" i="46" s="1"/>
  <c r="S135" i="46" s="1"/>
  <c r="H135" i="45"/>
  <c r="I135" i="45" s="1"/>
  <c r="J135" i="45" s="1"/>
  <c r="K135" i="45" s="1"/>
  <c r="L135" i="45" s="1"/>
  <c r="M135" i="45" s="1"/>
  <c r="N135" i="45" s="1"/>
  <c r="O135" i="45" s="1"/>
  <c r="P135" i="45" s="1"/>
  <c r="Q135" i="45" s="1"/>
  <c r="R135" i="45" s="1"/>
  <c r="S135" i="45" s="1"/>
  <c r="H135" i="43"/>
  <c r="I135" i="43" s="1"/>
  <c r="J135" i="43" s="1"/>
  <c r="K135" i="43" s="1"/>
  <c r="L135" i="43" s="1"/>
  <c r="M135" i="43" s="1"/>
  <c r="N135" i="43" s="1"/>
  <c r="O135" i="43" s="1"/>
  <c r="P135" i="43" s="1"/>
  <c r="Q135" i="43" s="1"/>
  <c r="R135" i="43" s="1"/>
  <c r="S135" i="43" s="1"/>
  <c r="H135" i="44"/>
  <c r="I135" i="44" s="1"/>
  <c r="J135" i="44" s="1"/>
  <c r="K135" i="44" s="1"/>
  <c r="L135" i="44" s="1"/>
  <c r="M135" i="44" s="1"/>
  <c r="N135" i="44" s="1"/>
  <c r="O135" i="44" s="1"/>
  <c r="P135" i="44" s="1"/>
  <c r="Q135" i="44" s="1"/>
  <c r="R135" i="44" s="1"/>
  <c r="S135" i="44" s="1"/>
  <c r="H166" i="48"/>
  <c r="I166" i="48" s="1"/>
  <c r="J166" i="48" s="1"/>
  <c r="K166" i="48" s="1"/>
  <c r="L166" i="48" s="1"/>
  <c r="M166" i="48" s="1"/>
  <c r="N166" i="48" s="1"/>
  <c r="O166" i="48" s="1"/>
  <c r="P166" i="48" s="1"/>
  <c r="Q166" i="48" s="1"/>
  <c r="R166" i="48" s="1"/>
  <c r="S166" i="48" s="1"/>
  <c r="H166" i="47"/>
  <c r="I166" i="47" s="1"/>
  <c r="J166" i="47" s="1"/>
  <c r="K166" i="47" s="1"/>
  <c r="L166" i="47" s="1"/>
  <c r="M166" i="47" s="1"/>
  <c r="N166" i="47" s="1"/>
  <c r="O166" i="47" s="1"/>
  <c r="P166" i="47" s="1"/>
  <c r="Q166" i="47" s="1"/>
  <c r="R166" i="47" s="1"/>
  <c r="S166" i="47" s="1"/>
  <c r="H166" i="46"/>
  <c r="I166" i="46" s="1"/>
  <c r="J166" i="46" s="1"/>
  <c r="K166" i="46" s="1"/>
  <c r="L166" i="46" s="1"/>
  <c r="M166" i="46" s="1"/>
  <c r="N166" i="46" s="1"/>
  <c r="O166" i="46" s="1"/>
  <c r="P166" i="46" s="1"/>
  <c r="Q166" i="46" s="1"/>
  <c r="R166" i="46" s="1"/>
  <c r="S166" i="46" s="1"/>
  <c r="H166" i="45"/>
  <c r="I166" i="45" s="1"/>
  <c r="J166" i="45" s="1"/>
  <c r="K166" i="45" s="1"/>
  <c r="L166" i="45" s="1"/>
  <c r="M166" i="45" s="1"/>
  <c r="N166" i="45" s="1"/>
  <c r="O166" i="45" s="1"/>
  <c r="P166" i="45" s="1"/>
  <c r="Q166" i="45" s="1"/>
  <c r="R166" i="45" s="1"/>
  <c r="S166" i="45" s="1"/>
  <c r="H166" i="44"/>
  <c r="I166" i="44" s="1"/>
  <c r="J166" i="44" s="1"/>
  <c r="K166" i="44" s="1"/>
  <c r="L166" i="44" s="1"/>
  <c r="M166" i="44" s="1"/>
  <c r="N166" i="44" s="1"/>
  <c r="O166" i="44" s="1"/>
  <c r="P166" i="44" s="1"/>
  <c r="Q166" i="44" s="1"/>
  <c r="R166" i="44" s="1"/>
  <c r="S166" i="44" s="1"/>
  <c r="H166" i="43"/>
  <c r="I166" i="43" s="1"/>
  <c r="J166" i="43" s="1"/>
  <c r="K166" i="43" s="1"/>
  <c r="L166" i="43" s="1"/>
  <c r="M166" i="43" s="1"/>
  <c r="N166" i="43" s="1"/>
  <c r="O166" i="43" s="1"/>
  <c r="P166" i="43" s="1"/>
  <c r="Q166" i="43" s="1"/>
  <c r="R166" i="43" s="1"/>
  <c r="S166" i="43" s="1"/>
  <c r="H161" i="48"/>
  <c r="I161" i="48" s="1"/>
  <c r="J161" i="48" s="1"/>
  <c r="K161" i="48" s="1"/>
  <c r="L161" i="48" s="1"/>
  <c r="M161" i="48" s="1"/>
  <c r="N161" i="48" s="1"/>
  <c r="O161" i="48" s="1"/>
  <c r="P161" i="48" s="1"/>
  <c r="Q161" i="48" s="1"/>
  <c r="R161" i="48" s="1"/>
  <c r="S161" i="48" s="1"/>
  <c r="H161" i="47"/>
  <c r="I161" i="47" s="1"/>
  <c r="J161" i="47" s="1"/>
  <c r="K161" i="47" s="1"/>
  <c r="L161" i="47" s="1"/>
  <c r="M161" i="47" s="1"/>
  <c r="N161" i="47" s="1"/>
  <c r="O161" i="47" s="1"/>
  <c r="P161" i="47" s="1"/>
  <c r="Q161" i="47" s="1"/>
  <c r="R161" i="47" s="1"/>
  <c r="S161" i="47" s="1"/>
  <c r="H161" i="46"/>
  <c r="I161" i="46" s="1"/>
  <c r="J161" i="46" s="1"/>
  <c r="K161" i="46" s="1"/>
  <c r="L161" i="46" s="1"/>
  <c r="M161" i="46" s="1"/>
  <c r="N161" i="46" s="1"/>
  <c r="O161" i="46" s="1"/>
  <c r="P161" i="46" s="1"/>
  <c r="Q161" i="46" s="1"/>
  <c r="R161" i="46" s="1"/>
  <c r="S161" i="46" s="1"/>
  <c r="H161" i="45"/>
  <c r="I161" i="45" s="1"/>
  <c r="J161" i="45" s="1"/>
  <c r="K161" i="45" s="1"/>
  <c r="L161" i="45" s="1"/>
  <c r="M161" i="45" s="1"/>
  <c r="N161" i="45" s="1"/>
  <c r="O161" i="45" s="1"/>
  <c r="P161" i="45" s="1"/>
  <c r="Q161" i="45" s="1"/>
  <c r="R161" i="45" s="1"/>
  <c r="S161" i="45" s="1"/>
  <c r="H161" i="43"/>
  <c r="I161" i="43" s="1"/>
  <c r="J161" i="43" s="1"/>
  <c r="K161" i="43" s="1"/>
  <c r="L161" i="43" s="1"/>
  <c r="M161" i="43" s="1"/>
  <c r="N161" i="43" s="1"/>
  <c r="O161" i="43" s="1"/>
  <c r="P161" i="43" s="1"/>
  <c r="Q161" i="43" s="1"/>
  <c r="R161" i="43" s="1"/>
  <c r="S161" i="43" s="1"/>
  <c r="H161" i="44"/>
  <c r="I161" i="44" s="1"/>
  <c r="J161" i="44" s="1"/>
  <c r="K161" i="44" s="1"/>
  <c r="L161" i="44" s="1"/>
  <c r="M161" i="44" s="1"/>
  <c r="N161" i="44" s="1"/>
  <c r="O161" i="44" s="1"/>
  <c r="P161" i="44" s="1"/>
  <c r="Q161" i="44" s="1"/>
  <c r="R161" i="44" s="1"/>
  <c r="S161" i="44" s="1"/>
  <c r="H176" i="48"/>
  <c r="I176" i="48" s="1"/>
  <c r="J176" i="48" s="1"/>
  <c r="K176" i="48" s="1"/>
  <c r="L176" i="48" s="1"/>
  <c r="M176" i="48" s="1"/>
  <c r="N176" i="48" s="1"/>
  <c r="O176" i="48" s="1"/>
  <c r="P176" i="48" s="1"/>
  <c r="Q176" i="48" s="1"/>
  <c r="R176" i="48" s="1"/>
  <c r="S176" i="48" s="1"/>
  <c r="H176" i="47"/>
  <c r="I176" i="47" s="1"/>
  <c r="J176" i="47" s="1"/>
  <c r="K176" i="47" s="1"/>
  <c r="L176" i="47" s="1"/>
  <c r="M176" i="47" s="1"/>
  <c r="N176" i="47" s="1"/>
  <c r="O176" i="47" s="1"/>
  <c r="P176" i="47" s="1"/>
  <c r="Q176" i="47" s="1"/>
  <c r="R176" i="47" s="1"/>
  <c r="S176" i="47" s="1"/>
  <c r="H176" i="46"/>
  <c r="I176" i="46" s="1"/>
  <c r="J176" i="46" s="1"/>
  <c r="K176" i="46" s="1"/>
  <c r="L176" i="46" s="1"/>
  <c r="M176" i="46" s="1"/>
  <c r="N176" i="46" s="1"/>
  <c r="O176" i="46" s="1"/>
  <c r="P176" i="46" s="1"/>
  <c r="Q176" i="46" s="1"/>
  <c r="R176" i="46" s="1"/>
  <c r="S176" i="46" s="1"/>
  <c r="H176" i="45"/>
  <c r="I176" i="45" s="1"/>
  <c r="J176" i="45" s="1"/>
  <c r="K176" i="45" s="1"/>
  <c r="L176" i="45" s="1"/>
  <c r="M176" i="45" s="1"/>
  <c r="N176" i="45" s="1"/>
  <c r="O176" i="45" s="1"/>
  <c r="P176" i="45" s="1"/>
  <c r="Q176" i="45" s="1"/>
  <c r="R176" i="45" s="1"/>
  <c r="S176" i="45" s="1"/>
  <c r="H176" i="44"/>
  <c r="I176" i="44" s="1"/>
  <c r="J176" i="44" s="1"/>
  <c r="K176" i="44" s="1"/>
  <c r="L176" i="44" s="1"/>
  <c r="M176" i="44" s="1"/>
  <c r="N176" i="44" s="1"/>
  <c r="O176" i="44" s="1"/>
  <c r="P176" i="44" s="1"/>
  <c r="Q176" i="44" s="1"/>
  <c r="R176" i="44" s="1"/>
  <c r="S176" i="44" s="1"/>
  <c r="H176" i="43"/>
  <c r="I176" i="43" s="1"/>
  <c r="J176" i="43" s="1"/>
  <c r="K176" i="43" s="1"/>
  <c r="L176" i="43" s="1"/>
  <c r="M176" i="43" s="1"/>
  <c r="N176" i="43" s="1"/>
  <c r="O176" i="43" s="1"/>
  <c r="P176" i="43" s="1"/>
  <c r="Q176" i="43" s="1"/>
  <c r="R176" i="43" s="1"/>
  <c r="S176" i="43" s="1"/>
  <c r="H216" i="48"/>
  <c r="I216" i="48" s="1"/>
  <c r="J216" i="48" s="1"/>
  <c r="K216" i="48" s="1"/>
  <c r="L216" i="48" s="1"/>
  <c r="M216" i="48" s="1"/>
  <c r="N216" i="48" s="1"/>
  <c r="O216" i="48" s="1"/>
  <c r="P216" i="48" s="1"/>
  <c r="Q216" i="48" s="1"/>
  <c r="R216" i="48" s="1"/>
  <c r="S216" i="48" s="1"/>
  <c r="H216" i="47"/>
  <c r="I216" i="47" s="1"/>
  <c r="J216" i="47" s="1"/>
  <c r="K216" i="47" s="1"/>
  <c r="L216" i="47" s="1"/>
  <c r="M216" i="47" s="1"/>
  <c r="N216" i="47" s="1"/>
  <c r="O216" i="47" s="1"/>
  <c r="P216" i="47" s="1"/>
  <c r="Q216" i="47" s="1"/>
  <c r="R216" i="47" s="1"/>
  <c r="S216" i="47" s="1"/>
  <c r="H216" i="46"/>
  <c r="I216" i="46" s="1"/>
  <c r="J216" i="46" s="1"/>
  <c r="K216" i="46" s="1"/>
  <c r="L216" i="46" s="1"/>
  <c r="M216" i="46" s="1"/>
  <c r="N216" i="46" s="1"/>
  <c r="O216" i="46" s="1"/>
  <c r="P216" i="46" s="1"/>
  <c r="Q216" i="46" s="1"/>
  <c r="R216" i="46" s="1"/>
  <c r="S216" i="46" s="1"/>
  <c r="H216" i="45"/>
  <c r="I216" i="45" s="1"/>
  <c r="J216" i="45" s="1"/>
  <c r="K216" i="45" s="1"/>
  <c r="L216" i="45" s="1"/>
  <c r="M216" i="45" s="1"/>
  <c r="N216" i="45" s="1"/>
  <c r="O216" i="45" s="1"/>
  <c r="P216" i="45" s="1"/>
  <c r="Q216" i="45" s="1"/>
  <c r="R216" i="45" s="1"/>
  <c r="S216" i="45" s="1"/>
  <c r="H216" i="44"/>
  <c r="I216" i="44" s="1"/>
  <c r="J216" i="44" s="1"/>
  <c r="K216" i="44" s="1"/>
  <c r="L216" i="44" s="1"/>
  <c r="M216" i="44" s="1"/>
  <c r="N216" i="44" s="1"/>
  <c r="O216" i="44" s="1"/>
  <c r="P216" i="44" s="1"/>
  <c r="Q216" i="44" s="1"/>
  <c r="R216" i="44" s="1"/>
  <c r="S216" i="44" s="1"/>
  <c r="H216" i="43"/>
  <c r="I216" i="43" s="1"/>
  <c r="J216" i="43" s="1"/>
  <c r="K216" i="43" s="1"/>
  <c r="L216" i="43" s="1"/>
  <c r="M216" i="43" s="1"/>
  <c r="N216" i="43" s="1"/>
  <c r="O216" i="43" s="1"/>
  <c r="P216" i="43" s="1"/>
  <c r="Q216" i="43" s="1"/>
  <c r="R216" i="43" s="1"/>
  <c r="S216" i="43" s="1"/>
  <c r="H191" i="48"/>
  <c r="I191" i="48" s="1"/>
  <c r="J191" i="48" s="1"/>
  <c r="K191" i="48" s="1"/>
  <c r="L191" i="48" s="1"/>
  <c r="M191" i="48" s="1"/>
  <c r="N191" i="48" s="1"/>
  <c r="O191" i="48" s="1"/>
  <c r="P191" i="48" s="1"/>
  <c r="Q191" i="48" s="1"/>
  <c r="R191" i="48" s="1"/>
  <c r="S191" i="48" s="1"/>
  <c r="H191" i="47"/>
  <c r="I191" i="47" s="1"/>
  <c r="J191" i="47" s="1"/>
  <c r="K191" i="47" s="1"/>
  <c r="L191" i="47" s="1"/>
  <c r="M191" i="47" s="1"/>
  <c r="N191" i="47" s="1"/>
  <c r="O191" i="47" s="1"/>
  <c r="P191" i="47" s="1"/>
  <c r="Q191" i="47" s="1"/>
  <c r="R191" i="47" s="1"/>
  <c r="S191" i="47" s="1"/>
  <c r="H191" i="46"/>
  <c r="I191" i="46" s="1"/>
  <c r="J191" i="46" s="1"/>
  <c r="K191" i="46" s="1"/>
  <c r="L191" i="46" s="1"/>
  <c r="M191" i="46" s="1"/>
  <c r="N191" i="46" s="1"/>
  <c r="O191" i="46" s="1"/>
  <c r="P191" i="46" s="1"/>
  <c r="Q191" i="46" s="1"/>
  <c r="R191" i="46" s="1"/>
  <c r="S191" i="46" s="1"/>
  <c r="H191" i="45"/>
  <c r="I191" i="45" s="1"/>
  <c r="J191" i="45" s="1"/>
  <c r="K191" i="45" s="1"/>
  <c r="L191" i="45" s="1"/>
  <c r="M191" i="45" s="1"/>
  <c r="N191" i="45" s="1"/>
  <c r="O191" i="45" s="1"/>
  <c r="P191" i="45" s="1"/>
  <c r="Q191" i="45" s="1"/>
  <c r="R191" i="45" s="1"/>
  <c r="S191" i="45" s="1"/>
  <c r="H191" i="44"/>
  <c r="I191" i="44" s="1"/>
  <c r="J191" i="44" s="1"/>
  <c r="K191" i="44" s="1"/>
  <c r="L191" i="44" s="1"/>
  <c r="M191" i="44" s="1"/>
  <c r="N191" i="44" s="1"/>
  <c r="O191" i="44" s="1"/>
  <c r="P191" i="44" s="1"/>
  <c r="Q191" i="44" s="1"/>
  <c r="R191" i="44" s="1"/>
  <c r="S191" i="44" s="1"/>
  <c r="H191" i="43"/>
  <c r="I191" i="43" s="1"/>
  <c r="J191" i="43" s="1"/>
  <c r="K191" i="43" s="1"/>
  <c r="L191" i="43" s="1"/>
  <c r="M191" i="43" s="1"/>
  <c r="N191" i="43" s="1"/>
  <c r="O191" i="43" s="1"/>
  <c r="P191" i="43" s="1"/>
  <c r="Q191" i="43" s="1"/>
  <c r="R191" i="43" s="1"/>
  <c r="S191" i="43" s="1"/>
  <c r="H145" i="48"/>
  <c r="I145" i="48" s="1"/>
  <c r="J145" i="48" s="1"/>
  <c r="K145" i="48" s="1"/>
  <c r="L145" i="48" s="1"/>
  <c r="M145" i="48" s="1"/>
  <c r="N145" i="48" s="1"/>
  <c r="O145" i="48" s="1"/>
  <c r="P145" i="48" s="1"/>
  <c r="Q145" i="48" s="1"/>
  <c r="R145" i="48" s="1"/>
  <c r="S145" i="48" s="1"/>
  <c r="H145" i="47"/>
  <c r="I145" i="47" s="1"/>
  <c r="J145" i="47" s="1"/>
  <c r="K145" i="47" s="1"/>
  <c r="L145" i="47" s="1"/>
  <c r="M145" i="47" s="1"/>
  <c r="N145" i="47" s="1"/>
  <c r="O145" i="47" s="1"/>
  <c r="P145" i="47" s="1"/>
  <c r="Q145" i="47" s="1"/>
  <c r="R145" i="47" s="1"/>
  <c r="S145" i="47" s="1"/>
  <c r="H145" i="46"/>
  <c r="I145" i="46" s="1"/>
  <c r="J145" i="46" s="1"/>
  <c r="K145" i="46" s="1"/>
  <c r="L145" i="46" s="1"/>
  <c r="M145" i="46" s="1"/>
  <c r="N145" i="46" s="1"/>
  <c r="O145" i="46" s="1"/>
  <c r="P145" i="46" s="1"/>
  <c r="Q145" i="46" s="1"/>
  <c r="R145" i="46" s="1"/>
  <c r="S145" i="46" s="1"/>
  <c r="H145" i="45"/>
  <c r="I145" i="45" s="1"/>
  <c r="J145" i="45" s="1"/>
  <c r="K145" i="45" s="1"/>
  <c r="L145" i="45" s="1"/>
  <c r="M145" i="45" s="1"/>
  <c r="N145" i="45" s="1"/>
  <c r="O145" i="45" s="1"/>
  <c r="P145" i="45" s="1"/>
  <c r="Q145" i="45" s="1"/>
  <c r="R145" i="45" s="1"/>
  <c r="S145" i="45" s="1"/>
  <c r="H145" i="44"/>
  <c r="I145" i="44" s="1"/>
  <c r="J145" i="44" s="1"/>
  <c r="K145" i="44" s="1"/>
  <c r="L145" i="44" s="1"/>
  <c r="M145" i="44" s="1"/>
  <c r="N145" i="44" s="1"/>
  <c r="O145" i="44" s="1"/>
  <c r="P145" i="44" s="1"/>
  <c r="Q145" i="44" s="1"/>
  <c r="R145" i="44" s="1"/>
  <c r="S145" i="44" s="1"/>
  <c r="H145" i="43"/>
  <c r="I145" i="43" s="1"/>
  <c r="J145" i="43" s="1"/>
  <c r="K145" i="43" s="1"/>
  <c r="L145" i="43" s="1"/>
  <c r="M145" i="43" s="1"/>
  <c r="N145" i="43" s="1"/>
  <c r="O145" i="43" s="1"/>
  <c r="P145" i="43" s="1"/>
  <c r="Q145" i="43" s="1"/>
  <c r="R145" i="43" s="1"/>
  <c r="S145" i="43" s="1"/>
  <c r="H186" i="48"/>
  <c r="I186" i="48" s="1"/>
  <c r="J186" i="48" s="1"/>
  <c r="K186" i="48" s="1"/>
  <c r="L186" i="48" s="1"/>
  <c r="M186" i="48" s="1"/>
  <c r="N186" i="48" s="1"/>
  <c r="O186" i="48" s="1"/>
  <c r="P186" i="48" s="1"/>
  <c r="Q186" i="48" s="1"/>
  <c r="R186" i="48" s="1"/>
  <c r="S186" i="48" s="1"/>
  <c r="H186" i="47"/>
  <c r="I186" i="47" s="1"/>
  <c r="J186" i="47" s="1"/>
  <c r="K186" i="47" s="1"/>
  <c r="L186" i="47" s="1"/>
  <c r="M186" i="47" s="1"/>
  <c r="N186" i="47" s="1"/>
  <c r="O186" i="47" s="1"/>
  <c r="P186" i="47" s="1"/>
  <c r="Q186" i="47" s="1"/>
  <c r="R186" i="47" s="1"/>
  <c r="S186" i="47" s="1"/>
  <c r="H186" i="46"/>
  <c r="I186" i="46" s="1"/>
  <c r="J186" i="46" s="1"/>
  <c r="K186" i="46" s="1"/>
  <c r="L186" i="46" s="1"/>
  <c r="M186" i="46" s="1"/>
  <c r="N186" i="46" s="1"/>
  <c r="O186" i="46" s="1"/>
  <c r="P186" i="46" s="1"/>
  <c r="Q186" i="46" s="1"/>
  <c r="R186" i="46" s="1"/>
  <c r="S186" i="46" s="1"/>
  <c r="H186" i="45"/>
  <c r="I186" i="45" s="1"/>
  <c r="J186" i="45" s="1"/>
  <c r="K186" i="45" s="1"/>
  <c r="L186" i="45" s="1"/>
  <c r="M186" i="45" s="1"/>
  <c r="N186" i="45" s="1"/>
  <c r="O186" i="45" s="1"/>
  <c r="P186" i="45" s="1"/>
  <c r="Q186" i="45" s="1"/>
  <c r="R186" i="45" s="1"/>
  <c r="S186" i="45" s="1"/>
  <c r="H186" i="44"/>
  <c r="I186" i="44" s="1"/>
  <c r="J186" i="44" s="1"/>
  <c r="K186" i="44" s="1"/>
  <c r="L186" i="44" s="1"/>
  <c r="M186" i="44" s="1"/>
  <c r="N186" i="44" s="1"/>
  <c r="O186" i="44" s="1"/>
  <c r="P186" i="44" s="1"/>
  <c r="Q186" i="44" s="1"/>
  <c r="R186" i="44" s="1"/>
  <c r="S186" i="44" s="1"/>
  <c r="H186" i="43"/>
  <c r="I186" i="43" s="1"/>
  <c r="J186" i="43" s="1"/>
  <c r="K186" i="43" s="1"/>
  <c r="L186" i="43" s="1"/>
  <c r="M186" i="43" s="1"/>
  <c r="N186" i="43" s="1"/>
  <c r="O186" i="43" s="1"/>
  <c r="P186" i="43" s="1"/>
  <c r="Q186" i="43" s="1"/>
  <c r="R186" i="43" s="1"/>
  <c r="S186" i="43" s="1"/>
  <c r="H214" i="48"/>
  <c r="I214" i="48" s="1"/>
  <c r="J214" i="48" s="1"/>
  <c r="K214" i="48" s="1"/>
  <c r="L214" i="48" s="1"/>
  <c r="M214" i="48" s="1"/>
  <c r="N214" i="48" s="1"/>
  <c r="O214" i="48" s="1"/>
  <c r="P214" i="48" s="1"/>
  <c r="Q214" i="48" s="1"/>
  <c r="R214" i="48" s="1"/>
  <c r="S214" i="48" s="1"/>
  <c r="H214" i="47"/>
  <c r="I214" i="47" s="1"/>
  <c r="J214" i="47" s="1"/>
  <c r="K214" i="47" s="1"/>
  <c r="L214" i="47" s="1"/>
  <c r="M214" i="47" s="1"/>
  <c r="N214" i="47" s="1"/>
  <c r="O214" i="47" s="1"/>
  <c r="P214" i="47" s="1"/>
  <c r="Q214" i="47" s="1"/>
  <c r="R214" i="47" s="1"/>
  <c r="S214" i="47" s="1"/>
  <c r="H214" i="46"/>
  <c r="I214" i="46" s="1"/>
  <c r="J214" i="46" s="1"/>
  <c r="K214" i="46" s="1"/>
  <c r="L214" i="46" s="1"/>
  <c r="M214" i="46" s="1"/>
  <c r="N214" i="46" s="1"/>
  <c r="O214" i="46" s="1"/>
  <c r="P214" i="46" s="1"/>
  <c r="Q214" i="46" s="1"/>
  <c r="R214" i="46" s="1"/>
  <c r="S214" i="46" s="1"/>
  <c r="H214" i="45"/>
  <c r="I214" i="45" s="1"/>
  <c r="J214" i="45" s="1"/>
  <c r="K214" i="45" s="1"/>
  <c r="L214" i="45" s="1"/>
  <c r="M214" i="45" s="1"/>
  <c r="N214" i="45" s="1"/>
  <c r="O214" i="45" s="1"/>
  <c r="P214" i="45" s="1"/>
  <c r="Q214" i="45" s="1"/>
  <c r="R214" i="45" s="1"/>
  <c r="S214" i="45" s="1"/>
  <c r="H214" i="44"/>
  <c r="I214" i="44" s="1"/>
  <c r="J214" i="44" s="1"/>
  <c r="K214" i="44" s="1"/>
  <c r="L214" i="44" s="1"/>
  <c r="M214" i="44" s="1"/>
  <c r="N214" i="44" s="1"/>
  <c r="O214" i="44" s="1"/>
  <c r="P214" i="44" s="1"/>
  <c r="Q214" i="44" s="1"/>
  <c r="R214" i="44" s="1"/>
  <c r="S214" i="44" s="1"/>
  <c r="H214" i="43"/>
  <c r="I214" i="43" s="1"/>
  <c r="J214" i="43" s="1"/>
  <c r="K214" i="43" s="1"/>
  <c r="L214" i="43" s="1"/>
  <c r="M214" i="43" s="1"/>
  <c r="N214" i="43" s="1"/>
  <c r="O214" i="43" s="1"/>
  <c r="P214" i="43" s="1"/>
  <c r="Q214" i="43" s="1"/>
  <c r="R214" i="43" s="1"/>
  <c r="S214" i="43" s="1"/>
  <c r="H171" i="48"/>
  <c r="I171" i="48" s="1"/>
  <c r="J171" i="48" s="1"/>
  <c r="K171" i="48" s="1"/>
  <c r="L171" i="48" s="1"/>
  <c r="M171" i="48" s="1"/>
  <c r="N171" i="48" s="1"/>
  <c r="O171" i="48" s="1"/>
  <c r="P171" i="48" s="1"/>
  <c r="Q171" i="48" s="1"/>
  <c r="R171" i="48" s="1"/>
  <c r="S171" i="48" s="1"/>
  <c r="H171" i="47"/>
  <c r="I171" i="47" s="1"/>
  <c r="J171" i="47" s="1"/>
  <c r="K171" i="47" s="1"/>
  <c r="L171" i="47" s="1"/>
  <c r="M171" i="47" s="1"/>
  <c r="N171" i="47" s="1"/>
  <c r="O171" i="47" s="1"/>
  <c r="P171" i="47" s="1"/>
  <c r="Q171" i="47" s="1"/>
  <c r="R171" i="47" s="1"/>
  <c r="S171" i="47" s="1"/>
  <c r="H171" i="46"/>
  <c r="I171" i="46" s="1"/>
  <c r="J171" i="46" s="1"/>
  <c r="K171" i="46" s="1"/>
  <c r="L171" i="46" s="1"/>
  <c r="M171" i="46" s="1"/>
  <c r="N171" i="46" s="1"/>
  <c r="O171" i="46" s="1"/>
  <c r="P171" i="46" s="1"/>
  <c r="Q171" i="46" s="1"/>
  <c r="R171" i="46" s="1"/>
  <c r="S171" i="46" s="1"/>
  <c r="H171" i="45"/>
  <c r="I171" i="45" s="1"/>
  <c r="J171" i="45" s="1"/>
  <c r="K171" i="45" s="1"/>
  <c r="L171" i="45" s="1"/>
  <c r="M171" i="45" s="1"/>
  <c r="N171" i="45" s="1"/>
  <c r="O171" i="45" s="1"/>
  <c r="P171" i="45" s="1"/>
  <c r="Q171" i="45" s="1"/>
  <c r="R171" i="45" s="1"/>
  <c r="S171" i="45" s="1"/>
  <c r="H171" i="44"/>
  <c r="I171" i="44" s="1"/>
  <c r="J171" i="44" s="1"/>
  <c r="K171" i="44" s="1"/>
  <c r="L171" i="44" s="1"/>
  <c r="M171" i="44" s="1"/>
  <c r="N171" i="44" s="1"/>
  <c r="O171" i="44" s="1"/>
  <c r="P171" i="44" s="1"/>
  <c r="Q171" i="44" s="1"/>
  <c r="R171" i="44" s="1"/>
  <c r="S171" i="44" s="1"/>
  <c r="H171" i="43"/>
  <c r="I171" i="43" s="1"/>
  <c r="J171" i="43" s="1"/>
  <c r="K171" i="43" s="1"/>
  <c r="L171" i="43" s="1"/>
  <c r="M171" i="43" s="1"/>
  <c r="N171" i="43" s="1"/>
  <c r="O171" i="43" s="1"/>
  <c r="P171" i="43" s="1"/>
  <c r="Q171" i="43" s="1"/>
  <c r="R171" i="43" s="1"/>
  <c r="S171" i="43" s="1"/>
  <c r="H155" i="48"/>
  <c r="I155" i="48" s="1"/>
  <c r="J155" i="48" s="1"/>
  <c r="K155" i="48" s="1"/>
  <c r="L155" i="48" s="1"/>
  <c r="M155" i="48" s="1"/>
  <c r="N155" i="48" s="1"/>
  <c r="O155" i="48" s="1"/>
  <c r="P155" i="48" s="1"/>
  <c r="Q155" i="48" s="1"/>
  <c r="R155" i="48" s="1"/>
  <c r="S155" i="48" s="1"/>
  <c r="H155" i="47"/>
  <c r="I155" i="47" s="1"/>
  <c r="J155" i="47" s="1"/>
  <c r="K155" i="47" s="1"/>
  <c r="L155" i="47" s="1"/>
  <c r="M155" i="47" s="1"/>
  <c r="N155" i="47" s="1"/>
  <c r="O155" i="47" s="1"/>
  <c r="P155" i="47" s="1"/>
  <c r="Q155" i="47" s="1"/>
  <c r="R155" i="47" s="1"/>
  <c r="S155" i="47" s="1"/>
  <c r="H155" i="46"/>
  <c r="I155" i="46" s="1"/>
  <c r="J155" i="46" s="1"/>
  <c r="K155" i="46" s="1"/>
  <c r="L155" i="46" s="1"/>
  <c r="M155" i="46" s="1"/>
  <c r="N155" i="46" s="1"/>
  <c r="O155" i="46" s="1"/>
  <c r="P155" i="46" s="1"/>
  <c r="Q155" i="46" s="1"/>
  <c r="R155" i="46" s="1"/>
  <c r="S155" i="46" s="1"/>
  <c r="H155" i="45"/>
  <c r="I155" i="45" s="1"/>
  <c r="J155" i="45" s="1"/>
  <c r="K155" i="45" s="1"/>
  <c r="L155" i="45" s="1"/>
  <c r="M155" i="45" s="1"/>
  <c r="N155" i="45" s="1"/>
  <c r="O155" i="45" s="1"/>
  <c r="P155" i="45" s="1"/>
  <c r="Q155" i="45" s="1"/>
  <c r="R155" i="45" s="1"/>
  <c r="S155" i="45" s="1"/>
  <c r="H155" i="44"/>
  <c r="I155" i="44" s="1"/>
  <c r="J155" i="44" s="1"/>
  <c r="K155" i="44" s="1"/>
  <c r="L155" i="44" s="1"/>
  <c r="M155" i="44" s="1"/>
  <c r="N155" i="44" s="1"/>
  <c r="O155" i="44" s="1"/>
  <c r="P155" i="44" s="1"/>
  <c r="Q155" i="44" s="1"/>
  <c r="R155" i="44" s="1"/>
  <c r="S155" i="44" s="1"/>
  <c r="H155" i="43"/>
  <c r="I155" i="43" s="1"/>
  <c r="J155" i="43" s="1"/>
  <c r="K155" i="43" s="1"/>
  <c r="L155" i="43" s="1"/>
  <c r="M155" i="43" s="1"/>
  <c r="N155" i="43" s="1"/>
  <c r="O155" i="43" s="1"/>
  <c r="P155" i="43" s="1"/>
  <c r="Q155" i="43" s="1"/>
  <c r="R155" i="43" s="1"/>
  <c r="S155" i="43" s="1"/>
  <c r="H196" i="48"/>
  <c r="I196" i="48" s="1"/>
  <c r="J196" i="48" s="1"/>
  <c r="K196" i="48" s="1"/>
  <c r="L196" i="48" s="1"/>
  <c r="M196" i="48" s="1"/>
  <c r="N196" i="48" s="1"/>
  <c r="O196" i="48" s="1"/>
  <c r="P196" i="48" s="1"/>
  <c r="Q196" i="48" s="1"/>
  <c r="R196" i="48" s="1"/>
  <c r="S196" i="48" s="1"/>
  <c r="H196" i="47"/>
  <c r="I196" i="47" s="1"/>
  <c r="J196" i="47" s="1"/>
  <c r="K196" i="47" s="1"/>
  <c r="L196" i="47" s="1"/>
  <c r="M196" i="47" s="1"/>
  <c r="N196" i="47" s="1"/>
  <c r="O196" i="47" s="1"/>
  <c r="P196" i="47" s="1"/>
  <c r="Q196" i="47" s="1"/>
  <c r="R196" i="47" s="1"/>
  <c r="S196" i="47" s="1"/>
  <c r="H196" i="46"/>
  <c r="I196" i="46" s="1"/>
  <c r="J196" i="46" s="1"/>
  <c r="K196" i="46" s="1"/>
  <c r="L196" i="46" s="1"/>
  <c r="M196" i="46" s="1"/>
  <c r="N196" i="46" s="1"/>
  <c r="O196" i="46" s="1"/>
  <c r="P196" i="46" s="1"/>
  <c r="Q196" i="46" s="1"/>
  <c r="R196" i="46" s="1"/>
  <c r="S196" i="46" s="1"/>
  <c r="H196" i="45"/>
  <c r="I196" i="45" s="1"/>
  <c r="J196" i="45" s="1"/>
  <c r="K196" i="45" s="1"/>
  <c r="L196" i="45" s="1"/>
  <c r="M196" i="45" s="1"/>
  <c r="N196" i="45" s="1"/>
  <c r="O196" i="45" s="1"/>
  <c r="P196" i="45" s="1"/>
  <c r="Q196" i="45" s="1"/>
  <c r="R196" i="45" s="1"/>
  <c r="S196" i="45" s="1"/>
  <c r="H196" i="44"/>
  <c r="I196" i="44" s="1"/>
  <c r="J196" i="44" s="1"/>
  <c r="K196" i="44" s="1"/>
  <c r="L196" i="44" s="1"/>
  <c r="M196" i="44" s="1"/>
  <c r="N196" i="44" s="1"/>
  <c r="O196" i="44" s="1"/>
  <c r="P196" i="44" s="1"/>
  <c r="Q196" i="44" s="1"/>
  <c r="R196" i="44" s="1"/>
  <c r="S196" i="44" s="1"/>
  <c r="H196" i="43"/>
  <c r="I196" i="43" s="1"/>
  <c r="J196" i="43" s="1"/>
  <c r="K196" i="43" s="1"/>
  <c r="L196" i="43" s="1"/>
  <c r="M196" i="43" s="1"/>
  <c r="N196" i="43" s="1"/>
  <c r="O196" i="43" s="1"/>
  <c r="P196" i="43" s="1"/>
  <c r="Q196" i="43" s="1"/>
  <c r="R196" i="43" s="1"/>
  <c r="S196" i="43" s="1"/>
  <c r="H115" i="48"/>
  <c r="I115" i="48" s="1"/>
  <c r="J115" i="48" s="1"/>
  <c r="K115" i="48" s="1"/>
  <c r="L115" i="48" s="1"/>
  <c r="M115" i="48" s="1"/>
  <c r="N115" i="48" s="1"/>
  <c r="O115" i="48" s="1"/>
  <c r="P115" i="48" s="1"/>
  <c r="Q115" i="48" s="1"/>
  <c r="R115" i="48" s="1"/>
  <c r="S115" i="48" s="1"/>
  <c r="H115" i="47"/>
  <c r="I115" i="47" s="1"/>
  <c r="J115" i="47" s="1"/>
  <c r="K115" i="47" s="1"/>
  <c r="L115" i="47" s="1"/>
  <c r="M115" i="47" s="1"/>
  <c r="N115" i="47" s="1"/>
  <c r="O115" i="47" s="1"/>
  <c r="P115" i="47" s="1"/>
  <c r="Q115" i="47" s="1"/>
  <c r="R115" i="47" s="1"/>
  <c r="S115" i="47" s="1"/>
  <c r="H115" i="46"/>
  <c r="I115" i="46" s="1"/>
  <c r="J115" i="46" s="1"/>
  <c r="K115" i="46" s="1"/>
  <c r="L115" i="46" s="1"/>
  <c r="M115" i="46" s="1"/>
  <c r="N115" i="46" s="1"/>
  <c r="O115" i="46" s="1"/>
  <c r="P115" i="46" s="1"/>
  <c r="Q115" i="46" s="1"/>
  <c r="R115" i="46" s="1"/>
  <c r="S115" i="46" s="1"/>
  <c r="H115" i="45"/>
  <c r="I115" i="45" s="1"/>
  <c r="J115" i="45" s="1"/>
  <c r="K115" i="45" s="1"/>
  <c r="L115" i="45" s="1"/>
  <c r="M115" i="45" s="1"/>
  <c r="N115" i="45" s="1"/>
  <c r="O115" i="45" s="1"/>
  <c r="P115" i="45" s="1"/>
  <c r="Q115" i="45" s="1"/>
  <c r="R115" i="45" s="1"/>
  <c r="S115" i="45" s="1"/>
  <c r="H115" i="44"/>
  <c r="I115" i="44" s="1"/>
  <c r="J115" i="44" s="1"/>
  <c r="K115" i="44" s="1"/>
  <c r="L115" i="44" s="1"/>
  <c r="M115" i="44" s="1"/>
  <c r="N115" i="44" s="1"/>
  <c r="O115" i="44" s="1"/>
  <c r="P115" i="44" s="1"/>
  <c r="Q115" i="44" s="1"/>
  <c r="R115" i="44" s="1"/>
  <c r="S115" i="44" s="1"/>
  <c r="H115" i="43"/>
  <c r="I115" i="43" s="1"/>
  <c r="J115" i="43" s="1"/>
  <c r="K115" i="43" s="1"/>
  <c r="L115" i="43" s="1"/>
  <c r="M115" i="43" s="1"/>
  <c r="N115" i="43" s="1"/>
  <c r="O115" i="43" s="1"/>
  <c r="P115" i="43" s="1"/>
  <c r="Q115" i="43" s="1"/>
  <c r="R115" i="43" s="1"/>
  <c r="S115" i="43" s="1"/>
  <c r="H219" i="48"/>
  <c r="I219" i="48" s="1"/>
  <c r="J219" i="48" s="1"/>
  <c r="K219" i="48" s="1"/>
  <c r="L219" i="48" s="1"/>
  <c r="M219" i="48" s="1"/>
  <c r="N219" i="48" s="1"/>
  <c r="O219" i="48" s="1"/>
  <c r="P219" i="48" s="1"/>
  <c r="Q219" i="48" s="1"/>
  <c r="R219" i="48" s="1"/>
  <c r="S219" i="48" s="1"/>
  <c r="H219" i="47"/>
  <c r="I219" i="47" s="1"/>
  <c r="J219" i="47" s="1"/>
  <c r="K219" i="47" s="1"/>
  <c r="L219" i="47" s="1"/>
  <c r="M219" i="47" s="1"/>
  <c r="N219" i="47" s="1"/>
  <c r="O219" i="47" s="1"/>
  <c r="P219" i="47" s="1"/>
  <c r="Q219" i="47" s="1"/>
  <c r="R219" i="47" s="1"/>
  <c r="S219" i="47" s="1"/>
  <c r="H219" i="46"/>
  <c r="I219" i="46" s="1"/>
  <c r="J219" i="46" s="1"/>
  <c r="K219" i="46" s="1"/>
  <c r="L219" i="46" s="1"/>
  <c r="M219" i="46" s="1"/>
  <c r="N219" i="46" s="1"/>
  <c r="O219" i="46" s="1"/>
  <c r="P219" i="46" s="1"/>
  <c r="Q219" i="46" s="1"/>
  <c r="R219" i="46" s="1"/>
  <c r="S219" i="46" s="1"/>
  <c r="H219" i="45"/>
  <c r="I219" i="45" s="1"/>
  <c r="J219" i="45" s="1"/>
  <c r="K219" i="45" s="1"/>
  <c r="L219" i="45" s="1"/>
  <c r="M219" i="45" s="1"/>
  <c r="N219" i="45" s="1"/>
  <c r="O219" i="45" s="1"/>
  <c r="P219" i="45" s="1"/>
  <c r="Q219" i="45" s="1"/>
  <c r="R219" i="45" s="1"/>
  <c r="S219" i="45" s="1"/>
  <c r="H219" i="44"/>
  <c r="I219" i="44" s="1"/>
  <c r="J219" i="44" s="1"/>
  <c r="K219" i="44" s="1"/>
  <c r="L219" i="44" s="1"/>
  <c r="M219" i="44" s="1"/>
  <c r="N219" i="44" s="1"/>
  <c r="O219" i="44" s="1"/>
  <c r="P219" i="44" s="1"/>
  <c r="Q219" i="44" s="1"/>
  <c r="R219" i="44" s="1"/>
  <c r="S219" i="44" s="1"/>
  <c r="H219" i="43"/>
  <c r="I219" i="43" s="1"/>
  <c r="J219" i="43" s="1"/>
  <c r="K219" i="43" s="1"/>
  <c r="L219" i="43" s="1"/>
  <c r="M219" i="43" s="1"/>
  <c r="N219" i="43" s="1"/>
  <c r="O219" i="43" s="1"/>
  <c r="P219" i="43" s="1"/>
  <c r="Q219" i="43" s="1"/>
  <c r="R219" i="43" s="1"/>
  <c r="S219" i="43" s="1"/>
  <c r="H130" i="48"/>
  <c r="I130" i="48" s="1"/>
  <c r="J130" i="48" s="1"/>
  <c r="K130" i="48" s="1"/>
  <c r="L130" i="48" s="1"/>
  <c r="M130" i="48" s="1"/>
  <c r="N130" i="48" s="1"/>
  <c r="O130" i="48" s="1"/>
  <c r="P130" i="48" s="1"/>
  <c r="Q130" i="48" s="1"/>
  <c r="R130" i="48" s="1"/>
  <c r="S130" i="48" s="1"/>
  <c r="H130" i="47"/>
  <c r="I130" i="47" s="1"/>
  <c r="J130" i="47" s="1"/>
  <c r="K130" i="47" s="1"/>
  <c r="L130" i="47" s="1"/>
  <c r="M130" i="47" s="1"/>
  <c r="N130" i="47" s="1"/>
  <c r="O130" i="47" s="1"/>
  <c r="P130" i="47" s="1"/>
  <c r="Q130" i="47" s="1"/>
  <c r="R130" i="47" s="1"/>
  <c r="S130" i="47" s="1"/>
  <c r="H130" i="46"/>
  <c r="I130" i="46" s="1"/>
  <c r="J130" i="46" s="1"/>
  <c r="K130" i="46" s="1"/>
  <c r="L130" i="46" s="1"/>
  <c r="M130" i="46" s="1"/>
  <c r="N130" i="46" s="1"/>
  <c r="O130" i="46" s="1"/>
  <c r="P130" i="46" s="1"/>
  <c r="Q130" i="46" s="1"/>
  <c r="R130" i="46" s="1"/>
  <c r="S130" i="46" s="1"/>
  <c r="H130" i="45"/>
  <c r="I130" i="45" s="1"/>
  <c r="J130" i="45" s="1"/>
  <c r="K130" i="45" s="1"/>
  <c r="L130" i="45" s="1"/>
  <c r="M130" i="45" s="1"/>
  <c r="N130" i="45" s="1"/>
  <c r="O130" i="45" s="1"/>
  <c r="P130" i="45" s="1"/>
  <c r="Q130" i="45" s="1"/>
  <c r="R130" i="45" s="1"/>
  <c r="S130" i="45" s="1"/>
  <c r="H130" i="44"/>
  <c r="I130" i="44" s="1"/>
  <c r="J130" i="44" s="1"/>
  <c r="K130" i="44" s="1"/>
  <c r="L130" i="44" s="1"/>
  <c r="M130" i="44" s="1"/>
  <c r="N130" i="44" s="1"/>
  <c r="O130" i="44" s="1"/>
  <c r="P130" i="44" s="1"/>
  <c r="Q130" i="44" s="1"/>
  <c r="R130" i="44" s="1"/>
  <c r="S130" i="44" s="1"/>
  <c r="H130" i="43"/>
  <c r="I130" i="43" s="1"/>
  <c r="J130" i="43" s="1"/>
  <c r="K130" i="43" s="1"/>
  <c r="L130" i="43" s="1"/>
  <c r="M130" i="43" s="1"/>
  <c r="N130" i="43" s="1"/>
  <c r="O130" i="43" s="1"/>
  <c r="P130" i="43" s="1"/>
  <c r="Q130" i="43" s="1"/>
  <c r="R130" i="43" s="1"/>
  <c r="S130" i="43" s="1"/>
  <c r="H140" i="48"/>
  <c r="I140" i="48" s="1"/>
  <c r="J140" i="48" s="1"/>
  <c r="K140" i="48" s="1"/>
  <c r="L140" i="48" s="1"/>
  <c r="M140" i="48" s="1"/>
  <c r="N140" i="48" s="1"/>
  <c r="O140" i="48" s="1"/>
  <c r="P140" i="48" s="1"/>
  <c r="Q140" i="48" s="1"/>
  <c r="R140" i="48" s="1"/>
  <c r="S140" i="48" s="1"/>
  <c r="H140" i="47"/>
  <c r="I140" i="47" s="1"/>
  <c r="J140" i="47" s="1"/>
  <c r="K140" i="47" s="1"/>
  <c r="L140" i="47" s="1"/>
  <c r="M140" i="47" s="1"/>
  <c r="N140" i="47" s="1"/>
  <c r="O140" i="47" s="1"/>
  <c r="P140" i="47" s="1"/>
  <c r="Q140" i="47" s="1"/>
  <c r="R140" i="47" s="1"/>
  <c r="S140" i="47" s="1"/>
  <c r="H140" i="46"/>
  <c r="I140" i="46" s="1"/>
  <c r="J140" i="46" s="1"/>
  <c r="K140" i="46" s="1"/>
  <c r="L140" i="46" s="1"/>
  <c r="M140" i="46" s="1"/>
  <c r="N140" i="46" s="1"/>
  <c r="O140" i="46" s="1"/>
  <c r="P140" i="46" s="1"/>
  <c r="Q140" i="46" s="1"/>
  <c r="R140" i="46" s="1"/>
  <c r="S140" i="46" s="1"/>
  <c r="H140" i="45"/>
  <c r="I140" i="45" s="1"/>
  <c r="J140" i="45" s="1"/>
  <c r="K140" i="45" s="1"/>
  <c r="L140" i="45" s="1"/>
  <c r="M140" i="45" s="1"/>
  <c r="N140" i="45" s="1"/>
  <c r="O140" i="45" s="1"/>
  <c r="P140" i="45" s="1"/>
  <c r="Q140" i="45" s="1"/>
  <c r="R140" i="45" s="1"/>
  <c r="S140" i="45" s="1"/>
  <c r="H140" i="44"/>
  <c r="I140" i="44" s="1"/>
  <c r="J140" i="44" s="1"/>
  <c r="K140" i="44" s="1"/>
  <c r="L140" i="44" s="1"/>
  <c r="M140" i="44" s="1"/>
  <c r="N140" i="44" s="1"/>
  <c r="O140" i="44" s="1"/>
  <c r="P140" i="44" s="1"/>
  <c r="Q140" i="44" s="1"/>
  <c r="R140" i="44" s="1"/>
  <c r="S140" i="44" s="1"/>
  <c r="H140" i="43"/>
  <c r="I140" i="43" s="1"/>
  <c r="J140" i="43" s="1"/>
  <c r="K140" i="43" s="1"/>
  <c r="L140" i="43" s="1"/>
  <c r="M140" i="43" s="1"/>
  <c r="N140" i="43" s="1"/>
  <c r="O140" i="43" s="1"/>
  <c r="P140" i="43" s="1"/>
  <c r="Q140" i="43" s="1"/>
  <c r="R140" i="43" s="1"/>
  <c r="S140" i="43" s="1"/>
  <c r="H181" i="48"/>
  <c r="I181" i="48" s="1"/>
  <c r="J181" i="48" s="1"/>
  <c r="K181" i="48" s="1"/>
  <c r="L181" i="48" s="1"/>
  <c r="M181" i="48" s="1"/>
  <c r="N181" i="48" s="1"/>
  <c r="O181" i="48" s="1"/>
  <c r="P181" i="48" s="1"/>
  <c r="Q181" i="48" s="1"/>
  <c r="R181" i="48" s="1"/>
  <c r="S181" i="48" s="1"/>
  <c r="H181" i="47"/>
  <c r="I181" i="47" s="1"/>
  <c r="J181" i="47" s="1"/>
  <c r="K181" i="47" s="1"/>
  <c r="L181" i="47" s="1"/>
  <c r="M181" i="47" s="1"/>
  <c r="N181" i="47" s="1"/>
  <c r="O181" i="47" s="1"/>
  <c r="P181" i="47" s="1"/>
  <c r="Q181" i="47" s="1"/>
  <c r="R181" i="47" s="1"/>
  <c r="S181" i="47" s="1"/>
  <c r="H181" i="46"/>
  <c r="I181" i="46" s="1"/>
  <c r="J181" i="46" s="1"/>
  <c r="K181" i="46" s="1"/>
  <c r="L181" i="46" s="1"/>
  <c r="M181" i="46" s="1"/>
  <c r="N181" i="46" s="1"/>
  <c r="O181" i="46" s="1"/>
  <c r="P181" i="46" s="1"/>
  <c r="Q181" i="46" s="1"/>
  <c r="R181" i="46" s="1"/>
  <c r="S181" i="46" s="1"/>
  <c r="H181" i="45"/>
  <c r="I181" i="45" s="1"/>
  <c r="J181" i="45" s="1"/>
  <c r="K181" i="45" s="1"/>
  <c r="L181" i="45" s="1"/>
  <c r="M181" i="45" s="1"/>
  <c r="N181" i="45" s="1"/>
  <c r="O181" i="45" s="1"/>
  <c r="P181" i="45" s="1"/>
  <c r="Q181" i="45" s="1"/>
  <c r="R181" i="45" s="1"/>
  <c r="S181" i="45" s="1"/>
  <c r="H181" i="44"/>
  <c r="I181" i="44" s="1"/>
  <c r="J181" i="44" s="1"/>
  <c r="K181" i="44" s="1"/>
  <c r="L181" i="44" s="1"/>
  <c r="M181" i="44" s="1"/>
  <c r="N181" i="44" s="1"/>
  <c r="O181" i="44" s="1"/>
  <c r="P181" i="44" s="1"/>
  <c r="Q181" i="44" s="1"/>
  <c r="R181" i="44" s="1"/>
  <c r="S181" i="44" s="1"/>
  <c r="H181" i="43"/>
  <c r="I181" i="43" s="1"/>
  <c r="J181" i="43" s="1"/>
  <c r="K181" i="43" s="1"/>
  <c r="L181" i="43" s="1"/>
  <c r="M181" i="43" s="1"/>
  <c r="N181" i="43" s="1"/>
  <c r="O181" i="43" s="1"/>
  <c r="P181" i="43" s="1"/>
  <c r="Q181" i="43" s="1"/>
  <c r="R181" i="43" s="1"/>
  <c r="S181" i="43" s="1"/>
  <c r="H150" i="48"/>
  <c r="I150" i="48" s="1"/>
  <c r="J150" i="48" s="1"/>
  <c r="K150" i="48" s="1"/>
  <c r="L150" i="48" s="1"/>
  <c r="M150" i="48" s="1"/>
  <c r="N150" i="48" s="1"/>
  <c r="O150" i="48" s="1"/>
  <c r="P150" i="48" s="1"/>
  <c r="Q150" i="48" s="1"/>
  <c r="R150" i="48" s="1"/>
  <c r="S150" i="48" s="1"/>
  <c r="H150" i="47"/>
  <c r="I150" i="47" s="1"/>
  <c r="J150" i="47" s="1"/>
  <c r="K150" i="47" s="1"/>
  <c r="L150" i="47" s="1"/>
  <c r="M150" i="47" s="1"/>
  <c r="N150" i="47" s="1"/>
  <c r="O150" i="47" s="1"/>
  <c r="P150" i="47" s="1"/>
  <c r="Q150" i="47" s="1"/>
  <c r="R150" i="47" s="1"/>
  <c r="S150" i="47" s="1"/>
  <c r="H150" i="46"/>
  <c r="I150" i="46" s="1"/>
  <c r="J150" i="46" s="1"/>
  <c r="K150" i="46" s="1"/>
  <c r="L150" i="46" s="1"/>
  <c r="M150" i="46" s="1"/>
  <c r="N150" i="46" s="1"/>
  <c r="O150" i="46" s="1"/>
  <c r="P150" i="46" s="1"/>
  <c r="Q150" i="46" s="1"/>
  <c r="R150" i="46" s="1"/>
  <c r="S150" i="46" s="1"/>
  <c r="H150" i="45"/>
  <c r="I150" i="45" s="1"/>
  <c r="J150" i="45" s="1"/>
  <c r="K150" i="45" s="1"/>
  <c r="L150" i="45" s="1"/>
  <c r="M150" i="45" s="1"/>
  <c r="N150" i="45" s="1"/>
  <c r="O150" i="45" s="1"/>
  <c r="P150" i="45" s="1"/>
  <c r="Q150" i="45" s="1"/>
  <c r="R150" i="45" s="1"/>
  <c r="S150" i="45" s="1"/>
  <c r="H150" i="44"/>
  <c r="I150" i="44" s="1"/>
  <c r="J150" i="44" s="1"/>
  <c r="K150" i="44" s="1"/>
  <c r="L150" i="44" s="1"/>
  <c r="M150" i="44" s="1"/>
  <c r="N150" i="44" s="1"/>
  <c r="O150" i="44" s="1"/>
  <c r="P150" i="44" s="1"/>
  <c r="Q150" i="44" s="1"/>
  <c r="R150" i="44" s="1"/>
  <c r="S150" i="44" s="1"/>
  <c r="H150" i="43"/>
  <c r="I150" i="43" s="1"/>
  <c r="J150" i="43" s="1"/>
  <c r="K150" i="43" s="1"/>
  <c r="L150" i="43" s="1"/>
  <c r="M150" i="43" s="1"/>
  <c r="N150" i="43" s="1"/>
  <c r="O150" i="43" s="1"/>
  <c r="P150" i="43" s="1"/>
  <c r="Q150" i="43" s="1"/>
  <c r="R150" i="43" s="1"/>
  <c r="S150" i="43" s="1"/>
  <c r="H217" i="48"/>
  <c r="I217" i="48" s="1"/>
  <c r="J217" i="48" s="1"/>
  <c r="K217" i="48" s="1"/>
  <c r="L217" i="48" s="1"/>
  <c r="M217" i="48" s="1"/>
  <c r="N217" i="48" s="1"/>
  <c r="O217" i="48" s="1"/>
  <c r="P217" i="48" s="1"/>
  <c r="Q217" i="48" s="1"/>
  <c r="R217" i="48" s="1"/>
  <c r="S217" i="48" s="1"/>
  <c r="H217" i="47"/>
  <c r="I217" i="47" s="1"/>
  <c r="J217" i="47" s="1"/>
  <c r="K217" i="47" s="1"/>
  <c r="L217" i="47" s="1"/>
  <c r="M217" i="47" s="1"/>
  <c r="N217" i="47" s="1"/>
  <c r="O217" i="47" s="1"/>
  <c r="P217" i="47" s="1"/>
  <c r="Q217" i="47" s="1"/>
  <c r="R217" i="47" s="1"/>
  <c r="S217" i="47" s="1"/>
  <c r="H217" i="46"/>
  <c r="I217" i="46" s="1"/>
  <c r="J217" i="46" s="1"/>
  <c r="K217" i="46" s="1"/>
  <c r="L217" i="46" s="1"/>
  <c r="M217" i="46" s="1"/>
  <c r="N217" i="46" s="1"/>
  <c r="O217" i="46" s="1"/>
  <c r="P217" i="46" s="1"/>
  <c r="Q217" i="46" s="1"/>
  <c r="R217" i="46" s="1"/>
  <c r="S217" i="46" s="1"/>
  <c r="H217" i="45"/>
  <c r="I217" i="45" s="1"/>
  <c r="J217" i="45" s="1"/>
  <c r="K217" i="45" s="1"/>
  <c r="L217" i="45" s="1"/>
  <c r="M217" i="45" s="1"/>
  <c r="N217" i="45" s="1"/>
  <c r="O217" i="45" s="1"/>
  <c r="P217" i="45" s="1"/>
  <c r="Q217" i="45" s="1"/>
  <c r="R217" i="45" s="1"/>
  <c r="S217" i="45" s="1"/>
  <c r="H217" i="44"/>
  <c r="I217" i="44" s="1"/>
  <c r="J217" i="44" s="1"/>
  <c r="K217" i="44" s="1"/>
  <c r="L217" i="44" s="1"/>
  <c r="M217" i="44" s="1"/>
  <c r="N217" i="44" s="1"/>
  <c r="O217" i="44" s="1"/>
  <c r="P217" i="44" s="1"/>
  <c r="Q217" i="44" s="1"/>
  <c r="R217" i="44" s="1"/>
  <c r="S217" i="44" s="1"/>
  <c r="H217" i="43"/>
  <c r="I217" i="43" s="1"/>
  <c r="J217" i="43" s="1"/>
  <c r="K217" i="43" s="1"/>
  <c r="L217" i="43" s="1"/>
  <c r="M217" i="43" s="1"/>
  <c r="N217" i="43" s="1"/>
  <c r="O217" i="43" s="1"/>
  <c r="P217" i="43" s="1"/>
  <c r="Q217" i="43" s="1"/>
  <c r="R217" i="43" s="1"/>
  <c r="S217" i="43" s="1"/>
  <c r="E44" i="43" l="1"/>
  <c r="E43" i="45"/>
  <c r="E39" i="47"/>
  <c r="E46" i="47"/>
  <c r="E38" i="47"/>
  <c r="E45" i="44"/>
  <c r="E40" i="48"/>
  <c r="E40" i="47"/>
  <c r="E40" i="46"/>
  <c r="E40" i="45"/>
  <c r="E40" i="44"/>
  <c r="E40" i="43"/>
  <c r="H167" i="48"/>
  <c r="I167" i="48" s="1"/>
  <c r="J167" i="48" s="1"/>
  <c r="K167" i="48" s="1"/>
  <c r="L167" i="48" s="1"/>
  <c r="M167" i="48" s="1"/>
  <c r="N167" i="48" s="1"/>
  <c r="O167" i="48" s="1"/>
  <c r="P167" i="48" s="1"/>
  <c r="Q167" i="48" s="1"/>
  <c r="R167" i="48" s="1"/>
  <c r="S167" i="48" s="1"/>
  <c r="H167" i="47"/>
  <c r="I167" i="47" s="1"/>
  <c r="J167" i="47" s="1"/>
  <c r="K167" i="47" s="1"/>
  <c r="L167" i="47" s="1"/>
  <c r="M167" i="47" s="1"/>
  <c r="N167" i="47" s="1"/>
  <c r="O167" i="47" s="1"/>
  <c r="P167" i="47" s="1"/>
  <c r="Q167" i="47" s="1"/>
  <c r="R167" i="47" s="1"/>
  <c r="S167" i="47" s="1"/>
  <c r="H167" i="46"/>
  <c r="I167" i="46" s="1"/>
  <c r="J167" i="46" s="1"/>
  <c r="K167" i="46" s="1"/>
  <c r="L167" i="46" s="1"/>
  <c r="M167" i="46" s="1"/>
  <c r="N167" i="46" s="1"/>
  <c r="O167" i="46" s="1"/>
  <c r="P167" i="46" s="1"/>
  <c r="Q167" i="46" s="1"/>
  <c r="R167" i="46" s="1"/>
  <c r="S167" i="46" s="1"/>
  <c r="H167" i="45"/>
  <c r="I167" i="45" s="1"/>
  <c r="J167" i="45" s="1"/>
  <c r="K167" i="45" s="1"/>
  <c r="L167" i="45" s="1"/>
  <c r="M167" i="45" s="1"/>
  <c r="N167" i="45" s="1"/>
  <c r="O167" i="45" s="1"/>
  <c r="P167" i="45" s="1"/>
  <c r="Q167" i="45" s="1"/>
  <c r="R167" i="45" s="1"/>
  <c r="S167" i="45" s="1"/>
  <c r="H167" i="43"/>
  <c r="I167" i="43" s="1"/>
  <c r="J167" i="43" s="1"/>
  <c r="K167" i="43" s="1"/>
  <c r="L167" i="43" s="1"/>
  <c r="M167" i="43" s="1"/>
  <c r="N167" i="43" s="1"/>
  <c r="O167" i="43" s="1"/>
  <c r="P167" i="43" s="1"/>
  <c r="Q167" i="43" s="1"/>
  <c r="R167" i="43" s="1"/>
  <c r="S167" i="43" s="1"/>
  <c r="H167" i="44"/>
  <c r="I167" i="44" s="1"/>
  <c r="J167" i="44" s="1"/>
  <c r="K167" i="44" s="1"/>
  <c r="L167" i="44" s="1"/>
  <c r="M167" i="44" s="1"/>
  <c r="N167" i="44" s="1"/>
  <c r="O167" i="44" s="1"/>
  <c r="P167" i="44" s="1"/>
  <c r="Q167" i="44" s="1"/>
  <c r="R167" i="44" s="1"/>
  <c r="S167" i="44" s="1"/>
  <c r="H223" i="48"/>
  <c r="I223" i="48" s="1"/>
  <c r="J223" i="48" s="1"/>
  <c r="K223" i="48" s="1"/>
  <c r="L223" i="48" s="1"/>
  <c r="M223" i="48" s="1"/>
  <c r="N223" i="48" s="1"/>
  <c r="O223" i="48" s="1"/>
  <c r="P223" i="48" s="1"/>
  <c r="Q223" i="48" s="1"/>
  <c r="R223" i="48" s="1"/>
  <c r="S223" i="48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H223" i="46"/>
  <c r="I223" i="46" s="1"/>
  <c r="J223" i="46" s="1"/>
  <c r="K223" i="46" s="1"/>
  <c r="L223" i="46" s="1"/>
  <c r="M223" i="46" s="1"/>
  <c r="N223" i="46" s="1"/>
  <c r="O223" i="46" s="1"/>
  <c r="P223" i="46" s="1"/>
  <c r="Q223" i="46" s="1"/>
  <c r="R223" i="46" s="1"/>
  <c r="S223" i="46" s="1"/>
  <c r="H223" i="45"/>
  <c r="I223" i="45" s="1"/>
  <c r="J223" i="45" s="1"/>
  <c r="K223" i="45" s="1"/>
  <c r="L223" i="45" s="1"/>
  <c r="M223" i="45" s="1"/>
  <c r="N223" i="45" s="1"/>
  <c r="O223" i="45" s="1"/>
  <c r="P223" i="45" s="1"/>
  <c r="Q223" i="45" s="1"/>
  <c r="R223" i="45" s="1"/>
  <c r="S223" i="45" s="1"/>
  <c r="H223" i="44"/>
  <c r="I223" i="44" s="1"/>
  <c r="J223" i="44" s="1"/>
  <c r="K223" i="44" s="1"/>
  <c r="L223" i="44" s="1"/>
  <c r="M223" i="44" s="1"/>
  <c r="N223" i="44" s="1"/>
  <c r="O223" i="44" s="1"/>
  <c r="P223" i="44" s="1"/>
  <c r="Q223" i="44" s="1"/>
  <c r="R223" i="44" s="1"/>
  <c r="S223" i="44" s="1"/>
  <c r="H223" i="43"/>
  <c r="I223" i="43" s="1"/>
  <c r="J223" i="43" s="1"/>
  <c r="K223" i="43" s="1"/>
  <c r="L223" i="43" s="1"/>
  <c r="M223" i="43" s="1"/>
  <c r="N223" i="43" s="1"/>
  <c r="O223" i="43" s="1"/>
  <c r="P223" i="43" s="1"/>
  <c r="Q223" i="43" s="1"/>
  <c r="R223" i="43" s="1"/>
  <c r="S223" i="43" s="1"/>
  <c r="H131" i="48"/>
  <c r="I131" i="48" s="1"/>
  <c r="J131" i="48" s="1"/>
  <c r="K131" i="48" s="1"/>
  <c r="L131" i="48" s="1"/>
  <c r="M131" i="48" s="1"/>
  <c r="N131" i="48" s="1"/>
  <c r="O131" i="48" s="1"/>
  <c r="P131" i="48" s="1"/>
  <c r="Q131" i="48" s="1"/>
  <c r="R131" i="48" s="1"/>
  <c r="S131" i="48" s="1"/>
  <c r="H131" i="47"/>
  <c r="I131" i="47" s="1"/>
  <c r="J131" i="47" s="1"/>
  <c r="K131" i="47" s="1"/>
  <c r="L131" i="47" s="1"/>
  <c r="M131" i="47" s="1"/>
  <c r="N131" i="47" s="1"/>
  <c r="O131" i="47" s="1"/>
  <c r="P131" i="47" s="1"/>
  <c r="Q131" i="47" s="1"/>
  <c r="R131" i="47" s="1"/>
  <c r="S131" i="47" s="1"/>
  <c r="H131" i="46"/>
  <c r="I131" i="46" s="1"/>
  <c r="J131" i="46" s="1"/>
  <c r="K131" i="46" s="1"/>
  <c r="L131" i="46" s="1"/>
  <c r="M131" i="46" s="1"/>
  <c r="N131" i="46" s="1"/>
  <c r="O131" i="46" s="1"/>
  <c r="P131" i="46" s="1"/>
  <c r="Q131" i="46" s="1"/>
  <c r="R131" i="46" s="1"/>
  <c r="S131" i="46" s="1"/>
  <c r="H131" i="45"/>
  <c r="I131" i="45" s="1"/>
  <c r="J131" i="45" s="1"/>
  <c r="K131" i="45" s="1"/>
  <c r="L131" i="45" s="1"/>
  <c r="M131" i="45" s="1"/>
  <c r="N131" i="45" s="1"/>
  <c r="O131" i="45" s="1"/>
  <c r="P131" i="45" s="1"/>
  <c r="Q131" i="45" s="1"/>
  <c r="R131" i="45" s="1"/>
  <c r="S131" i="45" s="1"/>
  <c r="H131" i="43"/>
  <c r="I131" i="43" s="1"/>
  <c r="J131" i="43" s="1"/>
  <c r="K131" i="43" s="1"/>
  <c r="L131" i="43" s="1"/>
  <c r="M131" i="43" s="1"/>
  <c r="N131" i="43" s="1"/>
  <c r="O131" i="43" s="1"/>
  <c r="P131" i="43" s="1"/>
  <c r="Q131" i="43" s="1"/>
  <c r="R131" i="43" s="1"/>
  <c r="S131" i="43" s="1"/>
  <c r="H131" i="44"/>
  <c r="I131" i="44" s="1"/>
  <c r="J131" i="44" s="1"/>
  <c r="K131" i="44" s="1"/>
  <c r="L131" i="44" s="1"/>
  <c r="M131" i="44" s="1"/>
  <c r="N131" i="44" s="1"/>
  <c r="O131" i="44" s="1"/>
  <c r="P131" i="44" s="1"/>
  <c r="Q131" i="44" s="1"/>
  <c r="R131" i="44" s="1"/>
  <c r="S131" i="44" s="1"/>
  <c r="H197" i="48"/>
  <c r="I197" i="48" s="1"/>
  <c r="J197" i="48" s="1"/>
  <c r="K197" i="48" s="1"/>
  <c r="L197" i="48" s="1"/>
  <c r="M197" i="48" s="1"/>
  <c r="N197" i="48" s="1"/>
  <c r="O197" i="48" s="1"/>
  <c r="P197" i="48" s="1"/>
  <c r="Q197" i="48" s="1"/>
  <c r="R197" i="48" s="1"/>
  <c r="S197" i="48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H197" i="46"/>
  <c r="I197" i="46" s="1"/>
  <c r="J197" i="46" s="1"/>
  <c r="K197" i="46" s="1"/>
  <c r="L197" i="46" s="1"/>
  <c r="M197" i="46" s="1"/>
  <c r="N197" i="46" s="1"/>
  <c r="O197" i="46" s="1"/>
  <c r="P197" i="46" s="1"/>
  <c r="Q197" i="46" s="1"/>
  <c r="R197" i="46" s="1"/>
  <c r="S197" i="46" s="1"/>
  <c r="H197" i="45"/>
  <c r="I197" i="45" s="1"/>
  <c r="J197" i="45" s="1"/>
  <c r="K197" i="45" s="1"/>
  <c r="L197" i="45" s="1"/>
  <c r="M197" i="45" s="1"/>
  <c r="N197" i="45" s="1"/>
  <c r="O197" i="45" s="1"/>
  <c r="P197" i="45" s="1"/>
  <c r="Q197" i="45" s="1"/>
  <c r="R197" i="45" s="1"/>
  <c r="S197" i="45" s="1"/>
  <c r="H197" i="44"/>
  <c r="I197" i="44" s="1"/>
  <c r="J197" i="44" s="1"/>
  <c r="K197" i="44" s="1"/>
  <c r="L197" i="44" s="1"/>
  <c r="M197" i="44" s="1"/>
  <c r="N197" i="44" s="1"/>
  <c r="O197" i="44" s="1"/>
  <c r="P197" i="44" s="1"/>
  <c r="Q197" i="44" s="1"/>
  <c r="R197" i="44" s="1"/>
  <c r="S197" i="44" s="1"/>
  <c r="H197" i="43"/>
  <c r="I197" i="43" s="1"/>
  <c r="J197" i="43" s="1"/>
  <c r="K197" i="43" s="1"/>
  <c r="L197" i="43" s="1"/>
  <c r="M197" i="43" s="1"/>
  <c r="N197" i="43" s="1"/>
  <c r="O197" i="43" s="1"/>
  <c r="P197" i="43" s="1"/>
  <c r="Q197" i="43" s="1"/>
  <c r="R197" i="43" s="1"/>
  <c r="S197" i="43" s="1"/>
  <c r="H192" i="48"/>
  <c r="I192" i="48" s="1"/>
  <c r="J192" i="48" s="1"/>
  <c r="K192" i="48" s="1"/>
  <c r="L192" i="48" s="1"/>
  <c r="M192" i="48" s="1"/>
  <c r="N192" i="48" s="1"/>
  <c r="O192" i="48" s="1"/>
  <c r="P192" i="48" s="1"/>
  <c r="Q192" i="48" s="1"/>
  <c r="R192" i="48" s="1"/>
  <c r="S192" i="48" s="1"/>
  <c r="H192" i="47"/>
  <c r="I192" i="47" s="1"/>
  <c r="J192" i="47" s="1"/>
  <c r="K192" i="47" s="1"/>
  <c r="L192" i="47" s="1"/>
  <c r="M192" i="47" s="1"/>
  <c r="N192" i="47" s="1"/>
  <c r="O192" i="47" s="1"/>
  <c r="P192" i="47" s="1"/>
  <c r="Q192" i="47" s="1"/>
  <c r="R192" i="47" s="1"/>
  <c r="S192" i="47" s="1"/>
  <c r="H192" i="46"/>
  <c r="I192" i="46" s="1"/>
  <c r="J192" i="46" s="1"/>
  <c r="K192" i="46" s="1"/>
  <c r="L192" i="46" s="1"/>
  <c r="M192" i="46" s="1"/>
  <c r="N192" i="46" s="1"/>
  <c r="O192" i="46" s="1"/>
  <c r="P192" i="46" s="1"/>
  <c r="Q192" i="46" s="1"/>
  <c r="R192" i="46" s="1"/>
  <c r="S192" i="46" s="1"/>
  <c r="H192" i="45"/>
  <c r="I192" i="45" s="1"/>
  <c r="J192" i="45" s="1"/>
  <c r="K192" i="45" s="1"/>
  <c r="L192" i="45" s="1"/>
  <c r="M192" i="45" s="1"/>
  <c r="N192" i="45" s="1"/>
  <c r="O192" i="45" s="1"/>
  <c r="P192" i="45" s="1"/>
  <c r="Q192" i="45" s="1"/>
  <c r="R192" i="45" s="1"/>
  <c r="S192" i="45" s="1"/>
  <c r="H192" i="44"/>
  <c r="I192" i="44" s="1"/>
  <c r="J192" i="44" s="1"/>
  <c r="K192" i="44" s="1"/>
  <c r="L192" i="44" s="1"/>
  <c r="M192" i="44" s="1"/>
  <c r="N192" i="44" s="1"/>
  <c r="O192" i="44" s="1"/>
  <c r="P192" i="44" s="1"/>
  <c r="Q192" i="44" s="1"/>
  <c r="R192" i="44" s="1"/>
  <c r="S192" i="44" s="1"/>
  <c r="H192" i="43"/>
  <c r="I192" i="43" s="1"/>
  <c r="J192" i="43" s="1"/>
  <c r="K192" i="43" s="1"/>
  <c r="L192" i="43" s="1"/>
  <c r="M192" i="43" s="1"/>
  <c r="N192" i="43" s="1"/>
  <c r="O192" i="43" s="1"/>
  <c r="P192" i="43" s="1"/>
  <c r="Q192" i="43" s="1"/>
  <c r="R192" i="43" s="1"/>
  <c r="S192" i="43" s="1"/>
  <c r="H168" i="48"/>
  <c r="I168" i="48" s="1"/>
  <c r="J168" i="48" s="1"/>
  <c r="K168" i="48" s="1"/>
  <c r="L168" i="48" s="1"/>
  <c r="M168" i="48" s="1"/>
  <c r="N168" i="48" s="1"/>
  <c r="O168" i="48" s="1"/>
  <c r="P168" i="48" s="1"/>
  <c r="Q168" i="48" s="1"/>
  <c r="R168" i="48" s="1"/>
  <c r="S168" i="48" s="1"/>
  <c r="H168" i="47"/>
  <c r="I168" i="47" s="1"/>
  <c r="J168" i="47" s="1"/>
  <c r="K168" i="47" s="1"/>
  <c r="L168" i="47" s="1"/>
  <c r="M168" i="47" s="1"/>
  <c r="N168" i="47" s="1"/>
  <c r="O168" i="47" s="1"/>
  <c r="P168" i="47" s="1"/>
  <c r="Q168" i="47" s="1"/>
  <c r="R168" i="47" s="1"/>
  <c r="S168" i="47" s="1"/>
  <c r="H168" i="46"/>
  <c r="I168" i="46" s="1"/>
  <c r="J168" i="46" s="1"/>
  <c r="K168" i="46" s="1"/>
  <c r="L168" i="46" s="1"/>
  <c r="M168" i="46" s="1"/>
  <c r="N168" i="46" s="1"/>
  <c r="O168" i="46" s="1"/>
  <c r="P168" i="46" s="1"/>
  <c r="Q168" i="46" s="1"/>
  <c r="R168" i="46" s="1"/>
  <c r="S168" i="46" s="1"/>
  <c r="H168" i="45"/>
  <c r="I168" i="45" s="1"/>
  <c r="J168" i="45" s="1"/>
  <c r="K168" i="45" s="1"/>
  <c r="L168" i="45" s="1"/>
  <c r="M168" i="45" s="1"/>
  <c r="N168" i="45" s="1"/>
  <c r="O168" i="45" s="1"/>
  <c r="P168" i="45" s="1"/>
  <c r="Q168" i="45" s="1"/>
  <c r="R168" i="45" s="1"/>
  <c r="S168" i="45" s="1"/>
  <c r="H168" i="44"/>
  <c r="I168" i="44" s="1"/>
  <c r="J168" i="44" s="1"/>
  <c r="K168" i="44" s="1"/>
  <c r="L168" i="44" s="1"/>
  <c r="M168" i="44" s="1"/>
  <c r="N168" i="44" s="1"/>
  <c r="O168" i="44" s="1"/>
  <c r="P168" i="44" s="1"/>
  <c r="Q168" i="44" s="1"/>
  <c r="R168" i="44" s="1"/>
  <c r="S168" i="44" s="1"/>
  <c r="H168" i="43"/>
  <c r="I168" i="43" s="1"/>
  <c r="J168" i="43" s="1"/>
  <c r="K168" i="43" s="1"/>
  <c r="L168" i="43" s="1"/>
  <c r="M168" i="43" s="1"/>
  <c r="N168" i="43" s="1"/>
  <c r="O168" i="43" s="1"/>
  <c r="P168" i="43" s="1"/>
  <c r="Q168" i="43" s="1"/>
  <c r="R168" i="43" s="1"/>
  <c r="S168" i="43" s="1"/>
  <c r="H198" i="48"/>
  <c r="I198" i="48" s="1"/>
  <c r="J198" i="48" s="1"/>
  <c r="K198" i="48" s="1"/>
  <c r="L198" i="48" s="1"/>
  <c r="M198" i="48" s="1"/>
  <c r="N198" i="48" s="1"/>
  <c r="O198" i="48" s="1"/>
  <c r="P198" i="48" s="1"/>
  <c r="Q198" i="48" s="1"/>
  <c r="R198" i="48" s="1"/>
  <c r="S198" i="48" s="1"/>
  <c r="H198" i="47"/>
  <c r="I198" i="47" s="1"/>
  <c r="J198" i="47" s="1"/>
  <c r="K198" i="47" s="1"/>
  <c r="L198" i="47" s="1"/>
  <c r="M198" i="47" s="1"/>
  <c r="N198" i="47" s="1"/>
  <c r="O198" i="47" s="1"/>
  <c r="P198" i="47" s="1"/>
  <c r="Q198" i="47" s="1"/>
  <c r="R198" i="47" s="1"/>
  <c r="S198" i="47" s="1"/>
  <c r="H198" i="46"/>
  <c r="I198" i="46" s="1"/>
  <c r="J198" i="46" s="1"/>
  <c r="K198" i="46" s="1"/>
  <c r="L198" i="46" s="1"/>
  <c r="M198" i="46" s="1"/>
  <c r="N198" i="46" s="1"/>
  <c r="O198" i="46" s="1"/>
  <c r="P198" i="46" s="1"/>
  <c r="Q198" i="46" s="1"/>
  <c r="R198" i="46" s="1"/>
  <c r="S198" i="46" s="1"/>
  <c r="H198" i="45"/>
  <c r="I198" i="45" s="1"/>
  <c r="J198" i="45" s="1"/>
  <c r="K198" i="45" s="1"/>
  <c r="L198" i="45" s="1"/>
  <c r="M198" i="45" s="1"/>
  <c r="N198" i="45" s="1"/>
  <c r="O198" i="45" s="1"/>
  <c r="P198" i="45" s="1"/>
  <c r="Q198" i="45" s="1"/>
  <c r="R198" i="45" s="1"/>
  <c r="S198" i="45" s="1"/>
  <c r="H198" i="44"/>
  <c r="I198" i="44" s="1"/>
  <c r="J198" i="44" s="1"/>
  <c r="K198" i="44" s="1"/>
  <c r="L198" i="44" s="1"/>
  <c r="M198" i="44" s="1"/>
  <c r="N198" i="44" s="1"/>
  <c r="O198" i="44" s="1"/>
  <c r="P198" i="44" s="1"/>
  <c r="Q198" i="44" s="1"/>
  <c r="R198" i="44" s="1"/>
  <c r="S198" i="44" s="1"/>
  <c r="H198" i="43"/>
  <c r="I198" i="43" s="1"/>
  <c r="J198" i="43" s="1"/>
  <c r="K198" i="43" s="1"/>
  <c r="L198" i="43" s="1"/>
  <c r="M198" i="43" s="1"/>
  <c r="N198" i="43" s="1"/>
  <c r="O198" i="43" s="1"/>
  <c r="P198" i="43" s="1"/>
  <c r="Q198" i="43" s="1"/>
  <c r="R198" i="43" s="1"/>
  <c r="S198" i="43" s="1"/>
  <c r="H193" i="48"/>
  <c r="I193" i="48" s="1"/>
  <c r="J193" i="48" s="1"/>
  <c r="K193" i="48" s="1"/>
  <c r="L193" i="48" s="1"/>
  <c r="M193" i="48" s="1"/>
  <c r="N193" i="48" s="1"/>
  <c r="O193" i="48" s="1"/>
  <c r="P193" i="48" s="1"/>
  <c r="Q193" i="48" s="1"/>
  <c r="R193" i="48" s="1"/>
  <c r="S193" i="48" s="1"/>
  <c r="H193" i="47"/>
  <c r="I193" i="47" s="1"/>
  <c r="J193" i="47" s="1"/>
  <c r="K193" i="47" s="1"/>
  <c r="L193" i="47" s="1"/>
  <c r="M193" i="47" s="1"/>
  <c r="N193" i="47" s="1"/>
  <c r="O193" i="47" s="1"/>
  <c r="P193" i="47" s="1"/>
  <c r="Q193" i="47" s="1"/>
  <c r="R193" i="47" s="1"/>
  <c r="S193" i="47" s="1"/>
  <c r="H193" i="46"/>
  <c r="I193" i="46" s="1"/>
  <c r="J193" i="46" s="1"/>
  <c r="K193" i="46" s="1"/>
  <c r="L193" i="46" s="1"/>
  <c r="M193" i="46" s="1"/>
  <c r="N193" i="46" s="1"/>
  <c r="O193" i="46" s="1"/>
  <c r="P193" i="46" s="1"/>
  <c r="Q193" i="46" s="1"/>
  <c r="R193" i="46" s="1"/>
  <c r="S193" i="46" s="1"/>
  <c r="H193" i="45"/>
  <c r="I193" i="45" s="1"/>
  <c r="J193" i="45" s="1"/>
  <c r="K193" i="45" s="1"/>
  <c r="L193" i="45" s="1"/>
  <c r="M193" i="45" s="1"/>
  <c r="N193" i="45" s="1"/>
  <c r="O193" i="45" s="1"/>
  <c r="P193" i="45" s="1"/>
  <c r="Q193" i="45" s="1"/>
  <c r="R193" i="45" s="1"/>
  <c r="S193" i="45" s="1"/>
  <c r="H193" i="44"/>
  <c r="I193" i="44" s="1"/>
  <c r="J193" i="44" s="1"/>
  <c r="K193" i="44" s="1"/>
  <c r="L193" i="44" s="1"/>
  <c r="M193" i="44" s="1"/>
  <c r="N193" i="44" s="1"/>
  <c r="O193" i="44" s="1"/>
  <c r="P193" i="44" s="1"/>
  <c r="Q193" i="44" s="1"/>
  <c r="R193" i="44" s="1"/>
  <c r="S193" i="44" s="1"/>
  <c r="H193" i="43"/>
  <c r="I193" i="43" s="1"/>
  <c r="J193" i="43" s="1"/>
  <c r="K193" i="43" s="1"/>
  <c r="L193" i="43" s="1"/>
  <c r="M193" i="43" s="1"/>
  <c r="N193" i="43" s="1"/>
  <c r="O193" i="43" s="1"/>
  <c r="P193" i="43" s="1"/>
  <c r="Q193" i="43" s="1"/>
  <c r="R193" i="43" s="1"/>
  <c r="S193" i="43" s="1"/>
  <c r="H136" i="48"/>
  <c r="I136" i="48" s="1"/>
  <c r="J136" i="48" s="1"/>
  <c r="K136" i="48" s="1"/>
  <c r="L136" i="48" s="1"/>
  <c r="M136" i="48" s="1"/>
  <c r="N136" i="48" s="1"/>
  <c r="O136" i="48" s="1"/>
  <c r="P136" i="48" s="1"/>
  <c r="Q136" i="48" s="1"/>
  <c r="R136" i="48" s="1"/>
  <c r="S136" i="48" s="1"/>
  <c r="H136" i="47"/>
  <c r="I136" i="47" s="1"/>
  <c r="J136" i="47" s="1"/>
  <c r="K136" i="47" s="1"/>
  <c r="L136" i="47" s="1"/>
  <c r="M136" i="47" s="1"/>
  <c r="N136" i="47" s="1"/>
  <c r="O136" i="47" s="1"/>
  <c r="P136" i="47" s="1"/>
  <c r="Q136" i="47" s="1"/>
  <c r="R136" i="47" s="1"/>
  <c r="S136" i="47" s="1"/>
  <c r="H136" i="46"/>
  <c r="I136" i="46" s="1"/>
  <c r="J136" i="46" s="1"/>
  <c r="K136" i="46" s="1"/>
  <c r="L136" i="46" s="1"/>
  <c r="M136" i="46" s="1"/>
  <c r="N136" i="46" s="1"/>
  <c r="O136" i="46" s="1"/>
  <c r="P136" i="46" s="1"/>
  <c r="Q136" i="46" s="1"/>
  <c r="R136" i="46" s="1"/>
  <c r="S136" i="46" s="1"/>
  <c r="H136" i="45"/>
  <c r="I136" i="45" s="1"/>
  <c r="J136" i="45" s="1"/>
  <c r="K136" i="45" s="1"/>
  <c r="L136" i="45" s="1"/>
  <c r="M136" i="45" s="1"/>
  <c r="N136" i="45" s="1"/>
  <c r="O136" i="45" s="1"/>
  <c r="P136" i="45" s="1"/>
  <c r="Q136" i="45" s="1"/>
  <c r="R136" i="45" s="1"/>
  <c r="S136" i="45" s="1"/>
  <c r="H136" i="44"/>
  <c r="I136" i="44" s="1"/>
  <c r="J136" i="44" s="1"/>
  <c r="K136" i="44" s="1"/>
  <c r="L136" i="44" s="1"/>
  <c r="M136" i="44" s="1"/>
  <c r="N136" i="44" s="1"/>
  <c r="O136" i="44" s="1"/>
  <c r="P136" i="44" s="1"/>
  <c r="Q136" i="44" s="1"/>
  <c r="R136" i="44" s="1"/>
  <c r="S136" i="44" s="1"/>
  <c r="H136" i="43"/>
  <c r="I136" i="43" s="1"/>
  <c r="J136" i="43" s="1"/>
  <c r="K136" i="43" s="1"/>
  <c r="L136" i="43" s="1"/>
  <c r="M136" i="43" s="1"/>
  <c r="N136" i="43" s="1"/>
  <c r="O136" i="43" s="1"/>
  <c r="P136" i="43" s="1"/>
  <c r="Q136" i="43" s="1"/>
  <c r="R136" i="43" s="1"/>
  <c r="S136" i="43" s="1"/>
  <c r="H151" i="48"/>
  <c r="I151" i="48" s="1"/>
  <c r="J151" i="48" s="1"/>
  <c r="K151" i="48" s="1"/>
  <c r="L151" i="48" s="1"/>
  <c r="M151" i="48" s="1"/>
  <c r="N151" i="48" s="1"/>
  <c r="O151" i="48" s="1"/>
  <c r="P151" i="48" s="1"/>
  <c r="Q151" i="48" s="1"/>
  <c r="R151" i="48" s="1"/>
  <c r="S151" i="48" s="1"/>
  <c r="H151" i="47"/>
  <c r="I151" i="47" s="1"/>
  <c r="J151" i="47" s="1"/>
  <c r="K151" i="47" s="1"/>
  <c r="L151" i="47" s="1"/>
  <c r="M151" i="47" s="1"/>
  <c r="N151" i="47" s="1"/>
  <c r="O151" i="47" s="1"/>
  <c r="P151" i="47" s="1"/>
  <c r="Q151" i="47" s="1"/>
  <c r="R151" i="47" s="1"/>
  <c r="S151" i="47" s="1"/>
  <c r="H151" i="46"/>
  <c r="I151" i="46" s="1"/>
  <c r="J151" i="46" s="1"/>
  <c r="K151" i="46" s="1"/>
  <c r="L151" i="46" s="1"/>
  <c r="M151" i="46" s="1"/>
  <c r="N151" i="46" s="1"/>
  <c r="O151" i="46" s="1"/>
  <c r="P151" i="46" s="1"/>
  <c r="Q151" i="46" s="1"/>
  <c r="R151" i="46" s="1"/>
  <c r="S151" i="46" s="1"/>
  <c r="H151" i="45"/>
  <c r="I151" i="45" s="1"/>
  <c r="J151" i="45" s="1"/>
  <c r="K151" i="45" s="1"/>
  <c r="L151" i="45" s="1"/>
  <c r="M151" i="45" s="1"/>
  <c r="N151" i="45" s="1"/>
  <c r="O151" i="45" s="1"/>
  <c r="P151" i="45" s="1"/>
  <c r="Q151" i="45" s="1"/>
  <c r="R151" i="45" s="1"/>
  <c r="S151" i="45" s="1"/>
  <c r="H151" i="43"/>
  <c r="I151" i="43" s="1"/>
  <c r="J151" i="43" s="1"/>
  <c r="K151" i="43" s="1"/>
  <c r="L151" i="43" s="1"/>
  <c r="M151" i="43" s="1"/>
  <c r="N151" i="43" s="1"/>
  <c r="O151" i="43" s="1"/>
  <c r="P151" i="43" s="1"/>
  <c r="Q151" i="43" s="1"/>
  <c r="R151" i="43" s="1"/>
  <c r="S151" i="43" s="1"/>
  <c r="H151" i="44"/>
  <c r="I151" i="44" s="1"/>
  <c r="J151" i="44" s="1"/>
  <c r="K151" i="44" s="1"/>
  <c r="L151" i="44" s="1"/>
  <c r="M151" i="44" s="1"/>
  <c r="N151" i="44" s="1"/>
  <c r="O151" i="44" s="1"/>
  <c r="P151" i="44" s="1"/>
  <c r="Q151" i="44" s="1"/>
  <c r="R151" i="44" s="1"/>
  <c r="S151" i="44" s="1"/>
  <c r="H156" i="48"/>
  <c r="I156" i="48" s="1"/>
  <c r="J156" i="48" s="1"/>
  <c r="K156" i="48" s="1"/>
  <c r="L156" i="48" s="1"/>
  <c r="M156" i="48" s="1"/>
  <c r="N156" i="48" s="1"/>
  <c r="O156" i="48" s="1"/>
  <c r="P156" i="48" s="1"/>
  <c r="Q156" i="48" s="1"/>
  <c r="R156" i="48" s="1"/>
  <c r="S156" i="48" s="1"/>
  <c r="H156" i="47"/>
  <c r="I156" i="47" s="1"/>
  <c r="J156" i="47" s="1"/>
  <c r="K156" i="47" s="1"/>
  <c r="L156" i="47" s="1"/>
  <c r="M156" i="47" s="1"/>
  <c r="N156" i="47" s="1"/>
  <c r="O156" i="47" s="1"/>
  <c r="P156" i="47" s="1"/>
  <c r="Q156" i="47" s="1"/>
  <c r="R156" i="47" s="1"/>
  <c r="S156" i="47" s="1"/>
  <c r="H156" i="46"/>
  <c r="I156" i="46" s="1"/>
  <c r="J156" i="46" s="1"/>
  <c r="K156" i="46" s="1"/>
  <c r="L156" i="46" s="1"/>
  <c r="M156" i="46" s="1"/>
  <c r="N156" i="46" s="1"/>
  <c r="O156" i="46" s="1"/>
  <c r="P156" i="46" s="1"/>
  <c r="Q156" i="46" s="1"/>
  <c r="R156" i="46" s="1"/>
  <c r="S156" i="46" s="1"/>
  <c r="H156" i="45"/>
  <c r="I156" i="45" s="1"/>
  <c r="J156" i="45" s="1"/>
  <c r="K156" i="45" s="1"/>
  <c r="L156" i="45" s="1"/>
  <c r="M156" i="45" s="1"/>
  <c r="N156" i="45" s="1"/>
  <c r="O156" i="45" s="1"/>
  <c r="P156" i="45" s="1"/>
  <c r="Q156" i="45" s="1"/>
  <c r="R156" i="45" s="1"/>
  <c r="S156" i="45" s="1"/>
  <c r="H156" i="44"/>
  <c r="I156" i="44" s="1"/>
  <c r="J156" i="44" s="1"/>
  <c r="K156" i="44" s="1"/>
  <c r="L156" i="44" s="1"/>
  <c r="M156" i="44" s="1"/>
  <c r="N156" i="44" s="1"/>
  <c r="O156" i="44" s="1"/>
  <c r="P156" i="44" s="1"/>
  <c r="Q156" i="44" s="1"/>
  <c r="R156" i="44" s="1"/>
  <c r="S156" i="44" s="1"/>
  <c r="H156" i="43"/>
  <c r="I156" i="43" s="1"/>
  <c r="J156" i="43" s="1"/>
  <c r="K156" i="43" s="1"/>
  <c r="L156" i="43" s="1"/>
  <c r="M156" i="43" s="1"/>
  <c r="N156" i="43" s="1"/>
  <c r="O156" i="43" s="1"/>
  <c r="P156" i="43" s="1"/>
  <c r="Q156" i="43" s="1"/>
  <c r="R156" i="43" s="1"/>
  <c r="S156" i="43" s="1"/>
  <c r="H222" i="48"/>
  <c r="I222" i="48" s="1"/>
  <c r="J222" i="48" s="1"/>
  <c r="K222" i="48" s="1"/>
  <c r="L222" i="48" s="1"/>
  <c r="M222" i="48" s="1"/>
  <c r="N222" i="48" s="1"/>
  <c r="O222" i="48" s="1"/>
  <c r="P222" i="48" s="1"/>
  <c r="Q222" i="48" s="1"/>
  <c r="R222" i="48" s="1"/>
  <c r="S222" i="48" s="1"/>
  <c r="H222" i="47"/>
  <c r="I222" i="47" s="1"/>
  <c r="J222" i="47" s="1"/>
  <c r="K222" i="47" s="1"/>
  <c r="L222" i="47" s="1"/>
  <c r="M222" i="47" s="1"/>
  <c r="N222" i="47" s="1"/>
  <c r="O222" i="47" s="1"/>
  <c r="P222" i="47" s="1"/>
  <c r="Q222" i="47" s="1"/>
  <c r="R222" i="47" s="1"/>
  <c r="S222" i="47" s="1"/>
  <c r="H222" i="46"/>
  <c r="I222" i="46" s="1"/>
  <c r="J222" i="46" s="1"/>
  <c r="K222" i="46" s="1"/>
  <c r="L222" i="46" s="1"/>
  <c r="M222" i="46" s="1"/>
  <c r="N222" i="46" s="1"/>
  <c r="O222" i="46" s="1"/>
  <c r="P222" i="46" s="1"/>
  <c r="Q222" i="46" s="1"/>
  <c r="R222" i="46" s="1"/>
  <c r="S222" i="46" s="1"/>
  <c r="H222" i="45"/>
  <c r="I222" i="45" s="1"/>
  <c r="J222" i="45" s="1"/>
  <c r="K222" i="45" s="1"/>
  <c r="L222" i="45" s="1"/>
  <c r="M222" i="45" s="1"/>
  <c r="N222" i="45" s="1"/>
  <c r="O222" i="45" s="1"/>
  <c r="P222" i="45" s="1"/>
  <c r="Q222" i="45" s="1"/>
  <c r="R222" i="45" s="1"/>
  <c r="S222" i="45" s="1"/>
  <c r="H222" i="44"/>
  <c r="I222" i="44" s="1"/>
  <c r="J222" i="44" s="1"/>
  <c r="K222" i="44" s="1"/>
  <c r="L222" i="44" s="1"/>
  <c r="M222" i="44" s="1"/>
  <c r="N222" i="44" s="1"/>
  <c r="O222" i="44" s="1"/>
  <c r="P222" i="44" s="1"/>
  <c r="Q222" i="44" s="1"/>
  <c r="R222" i="44" s="1"/>
  <c r="S222" i="44" s="1"/>
  <c r="H222" i="43"/>
  <c r="I222" i="43" s="1"/>
  <c r="J222" i="43" s="1"/>
  <c r="K222" i="43" s="1"/>
  <c r="L222" i="43" s="1"/>
  <c r="M222" i="43" s="1"/>
  <c r="N222" i="43" s="1"/>
  <c r="O222" i="43" s="1"/>
  <c r="P222" i="43" s="1"/>
  <c r="Q222" i="43" s="1"/>
  <c r="R222" i="43" s="1"/>
  <c r="S222" i="43" s="1"/>
  <c r="H177" i="48"/>
  <c r="I177" i="48" s="1"/>
  <c r="J177" i="48" s="1"/>
  <c r="K177" i="48" s="1"/>
  <c r="L177" i="48" s="1"/>
  <c r="M177" i="48" s="1"/>
  <c r="N177" i="48" s="1"/>
  <c r="O177" i="48" s="1"/>
  <c r="P177" i="48" s="1"/>
  <c r="Q177" i="48" s="1"/>
  <c r="R177" i="48" s="1"/>
  <c r="S177" i="48" s="1"/>
  <c r="H177" i="47"/>
  <c r="I177" i="47" s="1"/>
  <c r="J177" i="47" s="1"/>
  <c r="K177" i="47" s="1"/>
  <c r="L177" i="47" s="1"/>
  <c r="M177" i="47" s="1"/>
  <c r="N177" i="47" s="1"/>
  <c r="O177" i="47" s="1"/>
  <c r="P177" i="47" s="1"/>
  <c r="Q177" i="47" s="1"/>
  <c r="R177" i="47" s="1"/>
  <c r="S177" i="47" s="1"/>
  <c r="H177" i="46"/>
  <c r="I177" i="46" s="1"/>
  <c r="J177" i="46" s="1"/>
  <c r="K177" i="46" s="1"/>
  <c r="L177" i="46" s="1"/>
  <c r="M177" i="46" s="1"/>
  <c r="N177" i="46" s="1"/>
  <c r="O177" i="46" s="1"/>
  <c r="P177" i="46" s="1"/>
  <c r="Q177" i="46" s="1"/>
  <c r="R177" i="46" s="1"/>
  <c r="S177" i="46" s="1"/>
  <c r="H177" i="45"/>
  <c r="I177" i="45" s="1"/>
  <c r="J177" i="45" s="1"/>
  <c r="K177" i="45" s="1"/>
  <c r="L177" i="45" s="1"/>
  <c r="M177" i="45" s="1"/>
  <c r="N177" i="45" s="1"/>
  <c r="O177" i="45" s="1"/>
  <c r="P177" i="45" s="1"/>
  <c r="Q177" i="45" s="1"/>
  <c r="R177" i="45" s="1"/>
  <c r="S177" i="45" s="1"/>
  <c r="H177" i="44"/>
  <c r="I177" i="44" s="1"/>
  <c r="J177" i="44" s="1"/>
  <c r="K177" i="44" s="1"/>
  <c r="L177" i="44" s="1"/>
  <c r="M177" i="44" s="1"/>
  <c r="N177" i="44" s="1"/>
  <c r="O177" i="44" s="1"/>
  <c r="P177" i="44" s="1"/>
  <c r="Q177" i="44" s="1"/>
  <c r="R177" i="44" s="1"/>
  <c r="S177" i="44" s="1"/>
  <c r="H177" i="43"/>
  <c r="I177" i="43" s="1"/>
  <c r="J177" i="43" s="1"/>
  <c r="K177" i="43" s="1"/>
  <c r="L177" i="43" s="1"/>
  <c r="M177" i="43" s="1"/>
  <c r="N177" i="43" s="1"/>
  <c r="O177" i="43" s="1"/>
  <c r="P177" i="43" s="1"/>
  <c r="Q177" i="43" s="1"/>
  <c r="R177" i="43" s="1"/>
  <c r="S177" i="43" s="1"/>
  <c r="H221" i="48"/>
  <c r="I221" i="48" s="1"/>
  <c r="J221" i="48" s="1"/>
  <c r="K221" i="48" s="1"/>
  <c r="L221" i="48" s="1"/>
  <c r="M221" i="48" s="1"/>
  <c r="N221" i="48" s="1"/>
  <c r="O221" i="48" s="1"/>
  <c r="P221" i="48" s="1"/>
  <c r="Q221" i="48" s="1"/>
  <c r="R221" i="48" s="1"/>
  <c r="S221" i="48" s="1"/>
  <c r="H221" i="47"/>
  <c r="I221" i="47" s="1"/>
  <c r="J221" i="47" s="1"/>
  <c r="K221" i="47" s="1"/>
  <c r="L221" i="47" s="1"/>
  <c r="M221" i="47" s="1"/>
  <c r="N221" i="47" s="1"/>
  <c r="O221" i="47" s="1"/>
  <c r="P221" i="47" s="1"/>
  <c r="Q221" i="47" s="1"/>
  <c r="R221" i="47" s="1"/>
  <c r="S221" i="47" s="1"/>
  <c r="H221" i="46"/>
  <c r="I221" i="46" s="1"/>
  <c r="J221" i="46" s="1"/>
  <c r="K221" i="46" s="1"/>
  <c r="L221" i="46" s="1"/>
  <c r="M221" i="46" s="1"/>
  <c r="N221" i="46" s="1"/>
  <c r="O221" i="46" s="1"/>
  <c r="P221" i="46" s="1"/>
  <c r="Q221" i="46" s="1"/>
  <c r="R221" i="46" s="1"/>
  <c r="S221" i="46" s="1"/>
  <c r="H221" i="45"/>
  <c r="I221" i="45" s="1"/>
  <c r="J221" i="45" s="1"/>
  <c r="K221" i="45" s="1"/>
  <c r="L221" i="45" s="1"/>
  <c r="M221" i="45" s="1"/>
  <c r="N221" i="45" s="1"/>
  <c r="O221" i="45" s="1"/>
  <c r="P221" i="45" s="1"/>
  <c r="Q221" i="45" s="1"/>
  <c r="R221" i="45" s="1"/>
  <c r="S221" i="45" s="1"/>
  <c r="H221" i="44"/>
  <c r="I221" i="44" s="1"/>
  <c r="J221" i="44" s="1"/>
  <c r="K221" i="44" s="1"/>
  <c r="L221" i="44" s="1"/>
  <c r="M221" i="44" s="1"/>
  <c r="N221" i="44" s="1"/>
  <c r="O221" i="44" s="1"/>
  <c r="P221" i="44" s="1"/>
  <c r="Q221" i="44" s="1"/>
  <c r="R221" i="44" s="1"/>
  <c r="S221" i="44" s="1"/>
  <c r="H221" i="43"/>
  <c r="I221" i="43" s="1"/>
  <c r="J221" i="43" s="1"/>
  <c r="K221" i="43" s="1"/>
  <c r="L221" i="43" s="1"/>
  <c r="M221" i="43" s="1"/>
  <c r="N221" i="43" s="1"/>
  <c r="O221" i="43" s="1"/>
  <c r="P221" i="43" s="1"/>
  <c r="Q221" i="43" s="1"/>
  <c r="R221" i="43" s="1"/>
  <c r="S221" i="43" s="1"/>
  <c r="H226" i="48"/>
  <c r="I226" i="48" s="1"/>
  <c r="J226" i="48" s="1"/>
  <c r="K226" i="48" s="1"/>
  <c r="L226" i="48" s="1"/>
  <c r="M226" i="48" s="1"/>
  <c r="N226" i="48" s="1"/>
  <c r="O226" i="48" s="1"/>
  <c r="P226" i="48" s="1"/>
  <c r="Q226" i="48" s="1"/>
  <c r="R226" i="48" s="1"/>
  <c r="S226" i="48" s="1"/>
  <c r="H226" i="47"/>
  <c r="I226" i="47" s="1"/>
  <c r="J226" i="47" s="1"/>
  <c r="K226" i="47" s="1"/>
  <c r="L226" i="47" s="1"/>
  <c r="M226" i="47" s="1"/>
  <c r="N226" i="47" s="1"/>
  <c r="O226" i="47" s="1"/>
  <c r="P226" i="47" s="1"/>
  <c r="Q226" i="47" s="1"/>
  <c r="R226" i="47" s="1"/>
  <c r="S226" i="47" s="1"/>
  <c r="H226" i="46"/>
  <c r="I226" i="46" s="1"/>
  <c r="J226" i="46" s="1"/>
  <c r="K226" i="46" s="1"/>
  <c r="L226" i="46" s="1"/>
  <c r="M226" i="46" s="1"/>
  <c r="N226" i="46" s="1"/>
  <c r="O226" i="46" s="1"/>
  <c r="P226" i="46" s="1"/>
  <c r="Q226" i="46" s="1"/>
  <c r="R226" i="46" s="1"/>
  <c r="S226" i="46" s="1"/>
  <c r="H226" i="45"/>
  <c r="I226" i="45" s="1"/>
  <c r="J226" i="45" s="1"/>
  <c r="K226" i="45" s="1"/>
  <c r="L226" i="45" s="1"/>
  <c r="M226" i="45" s="1"/>
  <c r="N226" i="45" s="1"/>
  <c r="O226" i="45" s="1"/>
  <c r="P226" i="45" s="1"/>
  <c r="Q226" i="45" s="1"/>
  <c r="R226" i="45" s="1"/>
  <c r="S226" i="45" s="1"/>
  <c r="H226" i="44"/>
  <c r="I226" i="44" s="1"/>
  <c r="J226" i="44" s="1"/>
  <c r="K226" i="44" s="1"/>
  <c r="L226" i="44" s="1"/>
  <c r="M226" i="44" s="1"/>
  <c r="N226" i="44" s="1"/>
  <c r="O226" i="44" s="1"/>
  <c r="P226" i="44" s="1"/>
  <c r="Q226" i="44" s="1"/>
  <c r="R226" i="44" s="1"/>
  <c r="S226" i="44" s="1"/>
  <c r="H226" i="43"/>
  <c r="I226" i="43" s="1"/>
  <c r="J226" i="43" s="1"/>
  <c r="K226" i="43" s="1"/>
  <c r="L226" i="43" s="1"/>
  <c r="M226" i="43" s="1"/>
  <c r="N226" i="43" s="1"/>
  <c r="O226" i="43" s="1"/>
  <c r="P226" i="43" s="1"/>
  <c r="Q226" i="43" s="1"/>
  <c r="R226" i="43" s="1"/>
  <c r="S226" i="43" s="1"/>
  <c r="H182" i="48"/>
  <c r="I182" i="48" s="1"/>
  <c r="J182" i="48" s="1"/>
  <c r="K182" i="48" s="1"/>
  <c r="L182" i="48" s="1"/>
  <c r="M182" i="48" s="1"/>
  <c r="N182" i="48" s="1"/>
  <c r="O182" i="48" s="1"/>
  <c r="P182" i="48" s="1"/>
  <c r="Q182" i="48" s="1"/>
  <c r="R182" i="48" s="1"/>
  <c r="S182" i="48" s="1"/>
  <c r="H182" i="47"/>
  <c r="I182" i="47" s="1"/>
  <c r="J182" i="47" s="1"/>
  <c r="K182" i="47" s="1"/>
  <c r="L182" i="47" s="1"/>
  <c r="M182" i="47" s="1"/>
  <c r="N182" i="47" s="1"/>
  <c r="O182" i="47" s="1"/>
  <c r="P182" i="47" s="1"/>
  <c r="Q182" i="47" s="1"/>
  <c r="R182" i="47" s="1"/>
  <c r="S182" i="47" s="1"/>
  <c r="H182" i="46"/>
  <c r="I182" i="46" s="1"/>
  <c r="J182" i="46" s="1"/>
  <c r="K182" i="46" s="1"/>
  <c r="L182" i="46" s="1"/>
  <c r="M182" i="46" s="1"/>
  <c r="N182" i="46" s="1"/>
  <c r="O182" i="46" s="1"/>
  <c r="P182" i="46" s="1"/>
  <c r="Q182" i="46" s="1"/>
  <c r="R182" i="46" s="1"/>
  <c r="S182" i="46" s="1"/>
  <c r="H182" i="45"/>
  <c r="I182" i="45" s="1"/>
  <c r="J182" i="45" s="1"/>
  <c r="K182" i="45" s="1"/>
  <c r="L182" i="45" s="1"/>
  <c r="M182" i="45" s="1"/>
  <c r="N182" i="45" s="1"/>
  <c r="O182" i="45" s="1"/>
  <c r="P182" i="45" s="1"/>
  <c r="Q182" i="45" s="1"/>
  <c r="R182" i="45" s="1"/>
  <c r="S182" i="45" s="1"/>
  <c r="H182" i="44"/>
  <c r="I182" i="44" s="1"/>
  <c r="J182" i="44" s="1"/>
  <c r="K182" i="44" s="1"/>
  <c r="L182" i="44" s="1"/>
  <c r="M182" i="44" s="1"/>
  <c r="N182" i="44" s="1"/>
  <c r="O182" i="44" s="1"/>
  <c r="P182" i="44" s="1"/>
  <c r="Q182" i="44" s="1"/>
  <c r="R182" i="44" s="1"/>
  <c r="S182" i="44" s="1"/>
  <c r="H182" i="43"/>
  <c r="I182" i="43" s="1"/>
  <c r="J182" i="43" s="1"/>
  <c r="K182" i="43" s="1"/>
  <c r="L182" i="43" s="1"/>
  <c r="M182" i="43" s="1"/>
  <c r="N182" i="43" s="1"/>
  <c r="O182" i="43" s="1"/>
  <c r="P182" i="43" s="1"/>
  <c r="Q182" i="43" s="1"/>
  <c r="R182" i="43" s="1"/>
  <c r="S182" i="43" s="1"/>
  <c r="H172" i="48"/>
  <c r="I172" i="48" s="1"/>
  <c r="J172" i="48" s="1"/>
  <c r="K172" i="48" s="1"/>
  <c r="L172" i="48" s="1"/>
  <c r="M172" i="48" s="1"/>
  <c r="N172" i="48" s="1"/>
  <c r="O172" i="48" s="1"/>
  <c r="P172" i="48" s="1"/>
  <c r="Q172" i="48" s="1"/>
  <c r="R172" i="48" s="1"/>
  <c r="S172" i="48" s="1"/>
  <c r="H172" i="47"/>
  <c r="I172" i="47" s="1"/>
  <c r="J172" i="47" s="1"/>
  <c r="K172" i="47" s="1"/>
  <c r="L172" i="47" s="1"/>
  <c r="M172" i="47" s="1"/>
  <c r="N172" i="47" s="1"/>
  <c r="O172" i="47" s="1"/>
  <c r="P172" i="47" s="1"/>
  <c r="Q172" i="47" s="1"/>
  <c r="R172" i="47" s="1"/>
  <c r="S172" i="47" s="1"/>
  <c r="H172" i="46"/>
  <c r="I172" i="46" s="1"/>
  <c r="J172" i="46" s="1"/>
  <c r="K172" i="46" s="1"/>
  <c r="L172" i="46" s="1"/>
  <c r="M172" i="46" s="1"/>
  <c r="N172" i="46" s="1"/>
  <c r="O172" i="46" s="1"/>
  <c r="P172" i="46" s="1"/>
  <c r="Q172" i="46" s="1"/>
  <c r="R172" i="46" s="1"/>
  <c r="S172" i="46" s="1"/>
  <c r="H172" i="45"/>
  <c r="I172" i="45" s="1"/>
  <c r="J172" i="45" s="1"/>
  <c r="K172" i="45" s="1"/>
  <c r="L172" i="45" s="1"/>
  <c r="M172" i="45" s="1"/>
  <c r="N172" i="45" s="1"/>
  <c r="O172" i="45" s="1"/>
  <c r="P172" i="45" s="1"/>
  <c r="Q172" i="45" s="1"/>
  <c r="R172" i="45" s="1"/>
  <c r="S172" i="45" s="1"/>
  <c r="H172" i="44"/>
  <c r="I172" i="44" s="1"/>
  <c r="J172" i="44" s="1"/>
  <c r="K172" i="44" s="1"/>
  <c r="L172" i="44" s="1"/>
  <c r="M172" i="44" s="1"/>
  <c r="N172" i="44" s="1"/>
  <c r="O172" i="44" s="1"/>
  <c r="P172" i="44" s="1"/>
  <c r="Q172" i="44" s="1"/>
  <c r="R172" i="44" s="1"/>
  <c r="S172" i="44" s="1"/>
  <c r="H172" i="43"/>
  <c r="I172" i="43" s="1"/>
  <c r="J172" i="43" s="1"/>
  <c r="K172" i="43" s="1"/>
  <c r="L172" i="43" s="1"/>
  <c r="M172" i="43" s="1"/>
  <c r="N172" i="43" s="1"/>
  <c r="O172" i="43" s="1"/>
  <c r="P172" i="43" s="1"/>
  <c r="Q172" i="43" s="1"/>
  <c r="R172" i="43" s="1"/>
  <c r="S172" i="43" s="1"/>
  <c r="H187" i="48"/>
  <c r="I187" i="48" s="1"/>
  <c r="J187" i="48" s="1"/>
  <c r="K187" i="48" s="1"/>
  <c r="L187" i="48" s="1"/>
  <c r="M187" i="48" s="1"/>
  <c r="N187" i="48" s="1"/>
  <c r="O187" i="48" s="1"/>
  <c r="P187" i="48" s="1"/>
  <c r="Q187" i="48" s="1"/>
  <c r="R187" i="48" s="1"/>
  <c r="S187" i="48" s="1"/>
  <c r="H187" i="47"/>
  <c r="I187" i="47" s="1"/>
  <c r="J187" i="47" s="1"/>
  <c r="K187" i="47" s="1"/>
  <c r="L187" i="47" s="1"/>
  <c r="M187" i="47" s="1"/>
  <c r="N187" i="47" s="1"/>
  <c r="O187" i="47" s="1"/>
  <c r="P187" i="47" s="1"/>
  <c r="Q187" i="47" s="1"/>
  <c r="R187" i="47" s="1"/>
  <c r="S187" i="47" s="1"/>
  <c r="H187" i="46"/>
  <c r="I187" i="46" s="1"/>
  <c r="J187" i="46" s="1"/>
  <c r="K187" i="46" s="1"/>
  <c r="L187" i="46" s="1"/>
  <c r="M187" i="46" s="1"/>
  <c r="N187" i="46" s="1"/>
  <c r="O187" i="46" s="1"/>
  <c r="P187" i="46" s="1"/>
  <c r="Q187" i="46" s="1"/>
  <c r="R187" i="46" s="1"/>
  <c r="S187" i="46" s="1"/>
  <c r="H187" i="45"/>
  <c r="I187" i="45" s="1"/>
  <c r="J187" i="45" s="1"/>
  <c r="K187" i="45" s="1"/>
  <c r="L187" i="45" s="1"/>
  <c r="M187" i="45" s="1"/>
  <c r="N187" i="45" s="1"/>
  <c r="O187" i="45" s="1"/>
  <c r="P187" i="45" s="1"/>
  <c r="Q187" i="45" s="1"/>
  <c r="R187" i="45" s="1"/>
  <c r="S187" i="45" s="1"/>
  <c r="H187" i="44"/>
  <c r="I187" i="44" s="1"/>
  <c r="J187" i="44" s="1"/>
  <c r="K187" i="44" s="1"/>
  <c r="L187" i="44" s="1"/>
  <c r="M187" i="44" s="1"/>
  <c r="N187" i="44" s="1"/>
  <c r="O187" i="44" s="1"/>
  <c r="P187" i="44" s="1"/>
  <c r="Q187" i="44" s="1"/>
  <c r="R187" i="44" s="1"/>
  <c r="S187" i="44" s="1"/>
  <c r="H187" i="43"/>
  <c r="I187" i="43" s="1"/>
  <c r="J187" i="43" s="1"/>
  <c r="K187" i="43" s="1"/>
  <c r="L187" i="43" s="1"/>
  <c r="M187" i="43" s="1"/>
  <c r="N187" i="43" s="1"/>
  <c r="O187" i="43" s="1"/>
  <c r="P187" i="43" s="1"/>
  <c r="Q187" i="43" s="1"/>
  <c r="R187" i="43" s="1"/>
  <c r="S187" i="43" s="1"/>
  <c r="H178" i="48"/>
  <c r="I178" i="48" s="1"/>
  <c r="J178" i="48" s="1"/>
  <c r="K178" i="48" s="1"/>
  <c r="L178" i="48" s="1"/>
  <c r="M178" i="48" s="1"/>
  <c r="N178" i="48" s="1"/>
  <c r="O178" i="48" s="1"/>
  <c r="P178" i="48" s="1"/>
  <c r="Q178" i="48" s="1"/>
  <c r="R178" i="48" s="1"/>
  <c r="S178" i="48" s="1"/>
  <c r="H178" i="47"/>
  <c r="I178" i="47" s="1"/>
  <c r="J178" i="47" s="1"/>
  <c r="K178" i="47" s="1"/>
  <c r="L178" i="47" s="1"/>
  <c r="M178" i="47" s="1"/>
  <c r="N178" i="47" s="1"/>
  <c r="O178" i="47" s="1"/>
  <c r="P178" i="47" s="1"/>
  <c r="Q178" i="47" s="1"/>
  <c r="R178" i="47" s="1"/>
  <c r="S178" i="47" s="1"/>
  <c r="H178" i="46"/>
  <c r="I178" i="46" s="1"/>
  <c r="J178" i="46" s="1"/>
  <c r="K178" i="46" s="1"/>
  <c r="L178" i="46" s="1"/>
  <c r="M178" i="46" s="1"/>
  <c r="N178" i="46" s="1"/>
  <c r="O178" i="46" s="1"/>
  <c r="P178" i="46" s="1"/>
  <c r="Q178" i="46" s="1"/>
  <c r="R178" i="46" s="1"/>
  <c r="S178" i="46" s="1"/>
  <c r="H178" i="45"/>
  <c r="I178" i="45" s="1"/>
  <c r="J178" i="45" s="1"/>
  <c r="K178" i="45" s="1"/>
  <c r="L178" i="45" s="1"/>
  <c r="M178" i="45" s="1"/>
  <c r="N178" i="45" s="1"/>
  <c r="O178" i="45" s="1"/>
  <c r="P178" i="45" s="1"/>
  <c r="Q178" i="45" s="1"/>
  <c r="R178" i="45" s="1"/>
  <c r="S178" i="45" s="1"/>
  <c r="H178" i="44"/>
  <c r="I178" i="44" s="1"/>
  <c r="J178" i="44" s="1"/>
  <c r="K178" i="44" s="1"/>
  <c r="L178" i="44" s="1"/>
  <c r="M178" i="44" s="1"/>
  <c r="N178" i="44" s="1"/>
  <c r="O178" i="44" s="1"/>
  <c r="P178" i="44" s="1"/>
  <c r="Q178" i="44" s="1"/>
  <c r="R178" i="44" s="1"/>
  <c r="S178" i="44" s="1"/>
  <c r="H178" i="43"/>
  <c r="I178" i="43" s="1"/>
  <c r="J178" i="43" s="1"/>
  <c r="K178" i="43" s="1"/>
  <c r="L178" i="43" s="1"/>
  <c r="M178" i="43" s="1"/>
  <c r="N178" i="43" s="1"/>
  <c r="O178" i="43" s="1"/>
  <c r="P178" i="43" s="1"/>
  <c r="Q178" i="43" s="1"/>
  <c r="R178" i="43" s="1"/>
  <c r="S178" i="43" s="1"/>
  <c r="H220" i="48"/>
  <c r="I220" i="48" s="1"/>
  <c r="J220" i="48" s="1"/>
  <c r="K220" i="48" s="1"/>
  <c r="L220" i="48" s="1"/>
  <c r="M220" i="48" s="1"/>
  <c r="N220" i="48" s="1"/>
  <c r="O220" i="48" s="1"/>
  <c r="P220" i="48" s="1"/>
  <c r="Q220" i="48" s="1"/>
  <c r="R220" i="48" s="1"/>
  <c r="S220" i="48" s="1"/>
  <c r="H220" i="47"/>
  <c r="I220" i="47" s="1"/>
  <c r="J220" i="47" s="1"/>
  <c r="K220" i="47" s="1"/>
  <c r="L220" i="47" s="1"/>
  <c r="M220" i="47" s="1"/>
  <c r="N220" i="47" s="1"/>
  <c r="O220" i="47" s="1"/>
  <c r="P220" i="47" s="1"/>
  <c r="Q220" i="47" s="1"/>
  <c r="R220" i="47" s="1"/>
  <c r="S220" i="47" s="1"/>
  <c r="H220" i="46"/>
  <c r="I220" i="46" s="1"/>
  <c r="J220" i="46" s="1"/>
  <c r="K220" i="46" s="1"/>
  <c r="L220" i="46" s="1"/>
  <c r="M220" i="46" s="1"/>
  <c r="N220" i="46" s="1"/>
  <c r="O220" i="46" s="1"/>
  <c r="P220" i="46" s="1"/>
  <c r="Q220" i="46" s="1"/>
  <c r="R220" i="46" s="1"/>
  <c r="S220" i="46" s="1"/>
  <c r="H220" i="45"/>
  <c r="I220" i="45" s="1"/>
  <c r="J220" i="45" s="1"/>
  <c r="K220" i="45" s="1"/>
  <c r="L220" i="45" s="1"/>
  <c r="M220" i="45" s="1"/>
  <c r="N220" i="45" s="1"/>
  <c r="O220" i="45" s="1"/>
  <c r="P220" i="45" s="1"/>
  <c r="Q220" i="45" s="1"/>
  <c r="R220" i="45" s="1"/>
  <c r="S220" i="45" s="1"/>
  <c r="H220" i="44"/>
  <c r="I220" i="44" s="1"/>
  <c r="J220" i="44" s="1"/>
  <c r="K220" i="44" s="1"/>
  <c r="L220" i="44" s="1"/>
  <c r="M220" i="44" s="1"/>
  <c r="N220" i="44" s="1"/>
  <c r="O220" i="44" s="1"/>
  <c r="P220" i="44" s="1"/>
  <c r="Q220" i="44" s="1"/>
  <c r="R220" i="44" s="1"/>
  <c r="S220" i="44" s="1"/>
  <c r="H220" i="43"/>
  <c r="I220" i="43" s="1"/>
  <c r="J220" i="43" s="1"/>
  <c r="K220" i="43" s="1"/>
  <c r="L220" i="43" s="1"/>
  <c r="M220" i="43" s="1"/>
  <c r="N220" i="43" s="1"/>
  <c r="O220" i="43" s="1"/>
  <c r="P220" i="43" s="1"/>
  <c r="Q220" i="43" s="1"/>
  <c r="R220" i="43" s="1"/>
  <c r="S220" i="43" s="1"/>
  <c r="H183" i="48"/>
  <c r="I183" i="48" s="1"/>
  <c r="J183" i="48" s="1"/>
  <c r="K183" i="48" s="1"/>
  <c r="L183" i="48" s="1"/>
  <c r="M183" i="48" s="1"/>
  <c r="N183" i="48" s="1"/>
  <c r="O183" i="48" s="1"/>
  <c r="P183" i="48" s="1"/>
  <c r="Q183" i="48" s="1"/>
  <c r="R183" i="48" s="1"/>
  <c r="S183" i="48" s="1"/>
  <c r="H183" i="47"/>
  <c r="I183" i="47" s="1"/>
  <c r="J183" i="47" s="1"/>
  <c r="K183" i="47" s="1"/>
  <c r="L183" i="47" s="1"/>
  <c r="M183" i="47" s="1"/>
  <c r="N183" i="47" s="1"/>
  <c r="O183" i="47" s="1"/>
  <c r="P183" i="47" s="1"/>
  <c r="Q183" i="47" s="1"/>
  <c r="R183" i="47" s="1"/>
  <c r="S183" i="47" s="1"/>
  <c r="H183" i="46"/>
  <c r="I183" i="46" s="1"/>
  <c r="J183" i="46" s="1"/>
  <c r="K183" i="46" s="1"/>
  <c r="L183" i="46" s="1"/>
  <c r="M183" i="46" s="1"/>
  <c r="N183" i="46" s="1"/>
  <c r="O183" i="46" s="1"/>
  <c r="P183" i="46" s="1"/>
  <c r="Q183" i="46" s="1"/>
  <c r="R183" i="46" s="1"/>
  <c r="S183" i="46" s="1"/>
  <c r="H183" i="45"/>
  <c r="I183" i="45" s="1"/>
  <c r="J183" i="45" s="1"/>
  <c r="K183" i="45" s="1"/>
  <c r="L183" i="45" s="1"/>
  <c r="M183" i="45" s="1"/>
  <c r="N183" i="45" s="1"/>
  <c r="O183" i="45" s="1"/>
  <c r="P183" i="45" s="1"/>
  <c r="Q183" i="45" s="1"/>
  <c r="R183" i="45" s="1"/>
  <c r="S183" i="45" s="1"/>
  <c r="H183" i="44"/>
  <c r="I183" i="44" s="1"/>
  <c r="J183" i="44" s="1"/>
  <c r="K183" i="44" s="1"/>
  <c r="L183" i="44" s="1"/>
  <c r="M183" i="44" s="1"/>
  <c r="N183" i="44" s="1"/>
  <c r="O183" i="44" s="1"/>
  <c r="P183" i="44" s="1"/>
  <c r="Q183" i="44" s="1"/>
  <c r="R183" i="44" s="1"/>
  <c r="S183" i="44" s="1"/>
  <c r="H183" i="43"/>
  <c r="I183" i="43" s="1"/>
  <c r="J183" i="43" s="1"/>
  <c r="K183" i="43" s="1"/>
  <c r="L183" i="43" s="1"/>
  <c r="M183" i="43" s="1"/>
  <c r="N183" i="43" s="1"/>
  <c r="O183" i="43" s="1"/>
  <c r="P183" i="43" s="1"/>
  <c r="Q183" i="43" s="1"/>
  <c r="R183" i="43" s="1"/>
  <c r="S183" i="43" s="1"/>
  <c r="H173" i="48"/>
  <c r="I173" i="48" s="1"/>
  <c r="J173" i="48" s="1"/>
  <c r="K173" i="48" s="1"/>
  <c r="L173" i="48" s="1"/>
  <c r="M173" i="48" s="1"/>
  <c r="N173" i="48" s="1"/>
  <c r="O173" i="48" s="1"/>
  <c r="P173" i="48" s="1"/>
  <c r="Q173" i="48" s="1"/>
  <c r="R173" i="48" s="1"/>
  <c r="S173" i="48" s="1"/>
  <c r="H173" i="47"/>
  <c r="I173" i="47" s="1"/>
  <c r="J173" i="47" s="1"/>
  <c r="K173" i="47" s="1"/>
  <c r="L173" i="47" s="1"/>
  <c r="M173" i="47" s="1"/>
  <c r="N173" i="47" s="1"/>
  <c r="O173" i="47" s="1"/>
  <c r="P173" i="47" s="1"/>
  <c r="Q173" i="47" s="1"/>
  <c r="R173" i="47" s="1"/>
  <c r="S173" i="47" s="1"/>
  <c r="H173" i="46"/>
  <c r="I173" i="46" s="1"/>
  <c r="J173" i="46" s="1"/>
  <c r="K173" i="46" s="1"/>
  <c r="L173" i="46" s="1"/>
  <c r="M173" i="46" s="1"/>
  <c r="N173" i="46" s="1"/>
  <c r="O173" i="46" s="1"/>
  <c r="P173" i="46" s="1"/>
  <c r="Q173" i="46" s="1"/>
  <c r="R173" i="46" s="1"/>
  <c r="S173" i="46" s="1"/>
  <c r="H173" i="45"/>
  <c r="I173" i="45" s="1"/>
  <c r="J173" i="45" s="1"/>
  <c r="K173" i="45" s="1"/>
  <c r="L173" i="45" s="1"/>
  <c r="M173" i="45" s="1"/>
  <c r="N173" i="45" s="1"/>
  <c r="O173" i="45" s="1"/>
  <c r="P173" i="45" s="1"/>
  <c r="Q173" i="45" s="1"/>
  <c r="R173" i="45" s="1"/>
  <c r="S173" i="45" s="1"/>
  <c r="H173" i="43"/>
  <c r="I173" i="43" s="1"/>
  <c r="J173" i="43" s="1"/>
  <c r="K173" i="43" s="1"/>
  <c r="L173" i="43" s="1"/>
  <c r="M173" i="43" s="1"/>
  <c r="N173" i="43" s="1"/>
  <c r="O173" i="43" s="1"/>
  <c r="P173" i="43" s="1"/>
  <c r="Q173" i="43" s="1"/>
  <c r="R173" i="43" s="1"/>
  <c r="S173" i="43" s="1"/>
  <c r="H173" i="44"/>
  <c r="I173" i="44" s="1"/>
  <c r="J173" i="44" s="1"/>
  <c r="K173" i="44" s="1"/>
  <c r="L173" i="44" s="1"/>
  <c r="M173" i="44" s="1"/>
  <c r="N173" i="44" s="1"/>
  <c r="O173" i="44" s="1"/>
  <c r="P173" i="44" s="1"/>
  <c r="Q173" i="44" s="1"/>
  <c r="R173" i="44" s="1"/>
  <c r="S173" i="44" s="1"/>
  <c r="H188" i="48"/>
  <c r="I188" i="48" s="1"/>
  <c r="J188" i="48" s="1"/>
  <c r="K188" i="48" s="1"/>
  <c r="L188" i="48" s="1"/>
  <c r="M188" i="48" s="1"/>
  <c r="N188" i="48" s="1"/>
  <c r="O188" i="48" s="1"/>
  <c r="P188" i="48" s="1"/>
  <c r="Q188" i="48" s="1"/>
  <c r="R188" i="48" s="1"/>
  <c r="S188" i="48" s="1"/>
  <c r="H188" i="47"/>
  <c r="I188" i="47" s="1"/>
  <c r="J188" i="47" s="1"/>
  <c r="K188" i="47" s="1"/>
  <c r="L188" i="47" s="1"/>
  <c r="M188" i="47" s="1"/>
  <c r="N188" i="47" s="1"/>
  <c r="O188" i="47" s="1"/>
  <c r="P188" i="47" s="1"/>
  <c r="Q188" i="47" s="1"/>
  <c r="R188" i="47" s="1"/>
  <c r="S188" i="47" s="1"/>
  <c r="H188" i="46"/>
  <c r="I188" i="46" s="1"/>
  <c r="J188" i="46" s="1"/>
  <c r="K188" i="46" s="1"/>
  <c r="L188" i="46" s="1"/>
  <c r="M188" i="46" s="1"/>
  <c r="N188" i="46" s="1"/>
  <c r="O188" i="46" s="1"/>
  <c r="P188" i="46" s="1"/>
  <c r="Q188" i="46" s="1"/>
  <c r="R188" i="46" s="1"/>
  <c r="S188" i="46" s="1"/>
  <c r="H188" i="45"/>
  <c r="I188" i="45" s="1"/>
  <c r="J188" i="45" s="1"/>
  <c r="K188" i="45" s="1"/>
  <c r="L188" i="45" s="1"/>
  <c r="M188" i="45" s="1"/>
  <c r="N188" i="45" s="1"/>
  <c r="O188" i="45" s="1"/>
  <c r="P188" i="45" s="1"/>
  <c r="Q188" i="45" s="1"/>
  <c r="R188" i="45" s="1"/>
  <c r="S188" i="45" s="1"/>
  <c r="H188" i="44"/>
  <c r="I188" i="44" s="1"/>
  <c r="J188" i="44" s="1"/>
  <c r="K188" i="44" s="1"/>
  <c r="L188" i="44" s="1"/>
  <c r="M188" i="44" s="1"/>
  <c r="N188" i="44" s="1"/>
  <c r="O188" i="44" s="1"/>
  <c r="P188" i="44" s="1"/>
  <c r="Q188" i="44" s="1"/>
  <c r="R188" i="44" s="1"/>
  <c r="S188" i="44" s="1"/>
  <c r="H188" i="43"/>
  <c r="I188" i="43" s="1"/>
  <c r="J188" i="43" s="1"/>
  <c r="K188" i="43" s="1"/>
  <c r="L188" i="43" s="1"/>
  <c r="M188" i="43" s="1"/>
  <c r="N188" i="43" s="1"/>
  <c r="O188" i="43" s="1"/>
  <c r="P188" i="43" s="1"/>
  <c r="Q188" i="43" s="1"/>
  <c r="R188" i="43" s="1"/>
  <c r="S188" i="43" s="1"/>
  <c r="H162" i="48"/>
  <c r="I162" i="48" s="1"/>
  <c r="J162" i="48" s="1"/>
  <c r="K162" i="48" s="1"/>
  <c r="L162" i="48" s="1"/>
  <c r="M162" i="48" s="1"/>
  <c r="N162" i="48" s="1"/>
  <c r="O162" i="48" s="1"/>
  <c r="P162" i="48" s="1"/>
  <c r="Q162" i="48" s="1"/>
  <c r="R162" i="48" s="1"/>
  <c r="S162" i="48" s="1"/>
  <c r="H162" i="47"/>
  <c r="I162" i="47" s="1"/>
  <c r="J162" i="47" s="1"/>
  <c r="K162" i="47" s="1"/>
  <c r="L162" i="47" s="1"/>
  <c r="M162" i="47" s="1"/>
  <c r="N162" i="47" s="1"/>
  <c r="O162" i="47" s="1"/>
  <c r="P162" i="47" s="1"/>
  <c r="Q162" i="47" s="1"/>
  <c r="R162" i="47" s="1"/>
  <c r="S162" i="47" s="1"/>
  <c r="H162" i="46"/>
  <c r="I162" i="46" s="1"/>
  <c r="J162" i="46" s="1"/>
  <c r="K162" i="46" s="1"/>
  <c r="L162" i="46" s="1"/>
  <c r="M162" i="46" s="1"/>
  <c r="N162" i="46" s="1"/>
  <c r="O162" i="46" s="1"/>
  <c r="P162" i="46" s="1"/>
  <c r="Q162" i="46" s="1"/>
  <c r="R162" i="46" s="1"/>
  <c r="S162" i="46" s="1"/>
  <c r="H162" i="45"/>
  <c r="I162" i="45" s="1"/>
  <c r="J162" i="45" s="1"/>
  <c r="K162" i="45" s="1"/>
  <c r="L162" i="45" s="1"/>
  <c r="M162" i="45" s="1"/>
  <c r="N162" i="45" s="1"/>
  <c r="O162" i="45" s="1"/>
  <c r="P162" i="45" s="1"/>
  <c r="Q162" i="45" s="1"/>
  <c r="R162" i="45" s="1"/>
  <c r="S162" i="45" s="1"/>
  <c r="H162" i="44"/>
  <c r="I162" i="44" s="1"/>
  <c r="J162" i="44" s="1"/>
  <c r="K162" i="44" s="1"/>
  <c r="L162" i="44" s="1"/>
  <c r="M162" i="44" s="1"/>
  <c r="N162" i="44" s="1"/>
  <c r="O162" i="44" s="1"/>
  <c r="P162" i="44" s="1"/>
  <c r="Q162" i="44" s="1"/>
  <c r="R162" i="44" s="1"/>
  <c r="S162" i="44" s="1"/>
  <c r="H162" i="43"/>
  <c r="I162" i="43" s="1"/>
  <c r="J162" i="43" s="1"/>
  <c r="K162" i="43" s="1"/>
  <c r="L162" i="43" s="1"/>
  <c r="M162" i="43" s="1"/>
  <c r="N162" i="43" s="1"/>
  <c r="O162" i="43" s="1"/>
  <c r="P162" i="43" s="1"/>
  <c r="Q162" i="43" s="1"/>
  <c r="R162" i="43" s="1"/>
  <c r="S162" i="43" s="1"/>
  <c r="H141" i="48"/>
  <c r="I141" i="48" s="1"/>
  <c r="J141" i="48" s="1"/>
  <c r="K141" i="48" s="1"/>
  <c r="L141" i="48" s="1"/>
  <c r="M141" i="48" s="1"/>
  <c r="N141" i="48" s="1"/>
  <c r="O141" i="48" s="1"/>
  <c r="P141" i="48" s="1"/>
  <c r="Q141" i="48" s="1"/>
  <c r="R141" i="48" s="1"/>
  <c r="S141" i="48" s="1"/>
  <c r="H141" i="47"/>
  <c r="I141" i="47" s="1"/>
  <c r="J141" i="47" s="1"/>
  <c r="K141" i="47" s="1"/>
  <c r="L141" i="47" s="1"/>
  <c r="M141" i="47" s="1"/>
  <c r="N141" i="47" s="1"/>
  <c r="O141" i="47" s="1"/>
  <c r="P141" i="47" s="1"/>
  <c r="Q141" i="47" s="1"/>
  <c r="R141" i="47" s="1"/>
  <c r="S141" i="47" s="1"/>
  <c r="H141" i="46"/>
  <c r="I141" i="46" s="1"/>
  <c r="J141" i="46" s="1"/>
  <c r="K141" i="46" s="1"/>
  <c r="L141" i="46" s="1"/>
  <c r="M141" i="46" s="1"/>
  <c r="N141" i="46" s="1"/>
  <c r="O141" i="46" s="1"/>
  <c r="P141" i="46" s="1"/>
  <c r="Q141" i="46" s="1"/>
  <c r="R141" i="46" s="1"/>
  <c r="S141" i="46" s="1"/>
  <c r="H141" i="45"/>
  <c r="I141" i="45" s="1"/>
  <c r="J141" i="45" s="1"/>
  <c r="K141" i="45" s="1"/>
  <c r="L141" i="45" s="1"/>
  <c r="M141" i="45" s="1"/>
  <c r="N141" i="45" s="1"/>
  <c r="O141" i="45" s="1"/>
  <c r="P141" i="45" s="1"/>
  <c r="Q141" i="45" s="1"/>
  <c r="R141" i="45" s="1"/>
  <c r="S141" i="45" s="1"/>
  <c r="H141" i="44"/>
  <c r="I141" i="44" s="1"/>
  <c r="J141" i="44" s="1"/>
  <c r="K141" i="44" s="1"/>
  <c r="L141" i="44" s="1"/>
  <c r="M141" i="44" s="1"/>
  <c r="N141" i="44" s="1"/>
  <c r="O141" i="44" s="1"/>
  <c r="P141" i="44" s="1"/>
  <c r="Q141" i="44" s="1"/>
  <c r="R141" i="44" s="1"/>
  <c r="S141" i="44" s="1"/>
  <c r="H141" i="43"/>
  <c r="I141" i="43" s="1"/>
  <c r="J141" i="43" s="1"/>
  <c r="K141" i="43" s="1"/>
  <c r="L141" i="43" s="1"/>
  <c r="M141" i="43" s="1"/>
  <c r="N141" i="43" s="1"/>
  <c r="O141" i="43" s="1"/>
  <c r="P141" i="43" s="1"/>
  <c r="Q141" i="43" s="1"/>
  <c r="R141" i="43" s="1"/>
  <c r="S141" i="43" s="1"/>
  <c r="H116" i="48"/>
  <c r="I116" i="48" s="1"/>
  <c r="J116" i="48" s="1"/>
  <c r="K116" i="48" s="1"/>
  <c r="L116" i="48" s="1"/>
  <c r="M116" i="48" s="1"/>
  <c r="N116" i="48" s="1"/>
  <c r="O116" i="48" s="1"/>
  <c r="P116" i="48" s="1"/>
  <c r="Q116" i="48" s="1"/>
  <c r="R116" i="48" s="1"/>
  <c r="S116" i="48" s="1"/>
  <c r="H116" i="47"/>
  <c r="I116" i="47" s="1"/>
  <c r="J116" i="47" s="1"/>
  <c r="K116" i="47" s="1"/>
  <c r="L116" i="47" s="1"/>
  <c r="M116" i="47" s="1"/>
  <c r="N116" i="47" s="1"/>
  <c r="O116" i="47" s="1"/>
  <c r="P116" i="47" s="1"/>
  <c r="Q116" i="47" s="1"/>
  <c r="R116" i="47" s="1"/>
  <c r="S116" i="47" s="1"/>
  <c r="H116" i="46"/>
  <c r="I116" i="46" s="1"/>
  <c r="J116" i="46" s="1"/>
  <c r="K116" i="46" s="1"/>
  <c r="L116" i="46" s="1"/>
  <c r="M116" i="46" s="1"/>
  <c r="N116" i="46" s="1"/>
  <c r="O116" i="46" s="1"/>
  <c r="P116" i="46" s="1"/>
  <c r="Q116" i="46" s="1"/>
  <c r="R116" i="46" s="1"/>
  <c r="S116" i="46" s="1"/>
  <c r="H116" i="45"/>
  <c r="I116" i="45" s="1"/>
  <c r="J116" i="45" s="1"/>
  <c r="K116" i="45" s="1"/>
  <c r="L116" i="45" s="1"/>
  <c r="M116" i="45" s="1"/>
  <c r="N116" i="45" s="1"/>
  <c r="O116" i="45" s="1"/>
  <c r="P116" i="45" s="1"/>
  <c r="Q116" i="45" s="1"/>
  <c r="R116" i="45" s="1"/>
  <c r="S116" i="45" s="1"/>
  <c r="H116" i="44"/>
  <c r="I116" i="44" s="1"/>
  <c r="J116" i="44" s="1"/>
  <c r="K116" i="44" s="1"/>
  <c r="L116" i="44" s="1"/>
  <c r="M116" i="44" s="1"/>
  <c r="N116" i="44" s="1"/>
  <c r="O116" i="44" s="1"/>
  <c r="P116" i="44" s="1"/>
  <c r="Q116" i="44" s="1"/>
  <c r="R116" i="44" s="1"/>
  <c r="S116" i="44" s="1"/>
  <c r="H116" i="43"/>
  <c r="I116" i="43" s="1"/>
  <c r="J116" i="43" s="1"/>
  <c r="K116" i="43" s="1"/>
  <c r="L116" i="43" s="1"/>
  <c r="M116" i="43" s="1"/>
  <c r="N116" i="43" s="1"/>
  <c r="O116" i="43" s="1"/>
  <c r="P116" i="43" s="1"/>
  <c r="Q116" i="43" s="1"/>
  <c r="R116" i="43" s="1"/>
  <c r="S116" i="43" s="1"/>
  <c r="H146" i="48"/>
  <c r="I146" i="48" s="1"/>
  <c r="J146" i="48" s="1"/>
  <c r="K146" i="48" s="1"/>
  <c r="L146" i="48" s="1"/>
  <c r="M146" i="48" s="1"/>
  <c r="N146" i="48" s="1"/>
  <c r="O146" i="48" s="1"/>
  <c r="P146" i="48" s="1"/>
  <c r="Q146" i="48" s="1"/>
  <c r="R146" i="48" s="1"/>
  <c r="S146" i="48" s="1"/>
  <c r="H146" i="47"/>
  <c r="I146" i="47" s="1"/>
  <c r="J146" i="47" s="1"/>
  <c r="K146" i="47" s="1"/>
  <c r="L146" i="47" s="1"/>
  <c r="M146" i="47" s="1"/>
  <c r="N146" i="47" s="1"/>
  <c r="O146" i="47" s="1"/>
  <c r="P146" i="47" s="1"/>
  <c r="Q146" i="47" s="1"/>
  <c r="R146" i="47" s="1"/>
  <c r="S146" i="47" s="1"/>
  <c r="H146" i="46"/>
  <c r="I146" i="46" s="1"/>
  <c r="J146" i="46" s="1"/>
  <c r="K146" i="46" s="1"/>
  <c r="L146" i="46" s="1"/>
  <c r="M146" i="46" s="1"/>
  <c r="N146" i="46" s="1"/>
  <c r="O146" i="46" s="1"/>
  <c r="P146" i="46" s="1"/>
  <c r="Q146" i="46" s="1"/>
  <c r="R146" i="46" s="1"/>
  <c r="S146" i="46" s="1"/>
  <c r="H146" i="45"/>
  <c r="I146" i="45" s="1"/>
  <c r="J146" i="45" s="1"/>
  <c r="K146" i="45" s="1"/>
  <c r="L146" i="45" s="1"/>
  <c r="M146" i="45" s="1"/>
  <c r="N146" i="45" s="1"/>
  <c r="O146" i="45" s="1"/>
  <c r="P146" i="45" s="1"/>
  <c r="Q146" i="45" s="1"/>
  <c r="R146" i="45" s="1"/>
  <c r="S146" i="45" s="1"/>
  <c r="H146" i="44"/>
  <c r="I146" i="44" s="1"/>
  <c r="J146" i="44" s="1"/>
  <c r="K146" i="44" s="1"/>
  <c r="L146" i="44" s="1"/>
  <c r="M146" i="44" s="1"/>
  <c r="N146" i="44" s="1"/>
  <c r="O146" i="44" s="1"/>
  <c r="P146" i="44" s="1"/>
  <c r="Q146" i="44" s="1"/>
  <c r="R146" i="44" s="1"/>
  <c r="S146" i="44" s="1"/>
  <c r="H146" i="43"/>
  <c r="I146" i="43" s="1"/>
  <c r="J146" i="43" s="1"/>
  <c r="K146" i="43" s="1"/>
  <c r="L146" i="43" s="1"/>
  <c r="M146" i="43" s="1"/>
  <c r="N146" i="43" s="1"/>
  <c r="O146" i="43" s="1"/>
  <c r="P146" i="43" s="1"/>
  <c r="Q146" i="43" s="1"/>
  <c r="R146" i="43" s="1"/>
  <c r="S146" i="43" s="1"/>
  <c r="H163" i="48"/>
  <c r="I163" i="48" s="1"/>
  <c r="J163" i="48" s="1"/>
  <c r="K163" i="48" s="1"/>
  <c r="L163" i="48" s="1"/>
  <c r="M163" i="48" s="1"/>
  <c r="N163" i="48" s="1"/>
  <c r="O163" i="48" s="1"/>
  <c r="P163" i="48" s="1"/>
  <c r="Q163" i="48" s="1"/>
  <c r="R163" i="48" s="1"/>
  <c r="S163" i="48" s="1"/>
  <c r="H163" i="47"/>
  <c r="I163" i="47" s="1"/>
  <c r="J163" i="47" s="1"/>
  <c r="K163" i="47" s="1"/>
  <c r="L163" i="47" s="1"/>
  <c r="M163" i="47" s="1"/>
  <c r="N163" i="47" s="1"/>
  <c r="O163" i="47" s="1"/>
  <c r="P163" i="47" s="1"/>
  <c r="Q163" i="47" s="1"/>
  <c r="R163" i="47" s="1"/>
  <c r="S163" i="47" s="1"/>
  <c r="H163" i="46"/>
  <c r="I163" i="46" s="1"/>
  <c r="J163" i="46" s="1"/>
  <c r="K163" i="46" s="1"/>
  <c r="L163" i="46" s="1"/>
  <c r="M163" i="46" s="1"/>
  <c r="N163" i="46" s="1"/>
  <c r="O163" i="46" s="1"/>
  <c r="P163" i="46" s="1"/>
  <c r="Q163" i="46" s="1"/>
  <c r="R163" i="46" s="1"/>
  <c r="S163" i="46" s="1"/>
  <c r="H163" i="45"/>
  <c r="I163" i="45" s="1"/>
  <c r="J163" i="45" s="1"/>
  <c r="K163" i="45" s="1"/>
  <c r="L163" i="45" s="1"/>
  <c r="M163" i="45" s="1"/>
  <c r="N163" i="45" s="1"/>
  <c r="O163" i="45" s="1"/>
  <c r="P163" i="45" s="1"/>
  <c r="Q163" i="45" s="1"/>
  <c r="R163" i="45" s="1"/>
  <c r="S163" i="45" s="1"/>
  <c r="H163" i="43"/>
  <c r="I163" i="43" s="1"/>
  <c r="J163" i="43" s="1"/>
  <c r="K163" i="43" s="1"/>
  <c r="L163" i="43" s="1"/>
  <c r="M163" i="43" s="1"/>
  <c r="N163" i="43" s="1"/>
  <c r="O163" i="43" s="1"/>
  <c r="P163" i="43" s="1"/>
  <c r="Q163" i="43" s="1"/>
  <c r="R163" i="43" s="1"/>
  <c r="S163" i="43" s="1"/>
  <c r="H163" i="44"/>
  <c r="I163" i="44" s="1"/>
  <c r="J163" i="44" s="1"/>
  <c r="K163" i="44" s="1"/>
  <c r="L163" i="44" s="1"/>
  <c r="M163" i="44" s="1"/>
  <c r="N163" i="44" s="1"/>
  <c r="O163" i="44" s="1"/>
  <c r="P163" i="44" s="1"/>
  <c r="Q163" i="44" s="1"/>
  <c r="R163" i="44" s="1"/>
  <c r="S163" i="44" s="1"/>
  <c r="E39" i="43" l="1"/>
  <c r="E39" i="44"/>
  <c r="E39" i="45"/>
  <c r="E39" i="48"/>
  <c r="E44" i="45"/>
  <c r="E44" i="46"/>
  <c r="E43" i="46"/>
  <c r="E43" i="47"/>
  <c r="E46" i="48"/>
  <c r="E42" i="44"/>
  <c r="E39" i="46"/>
  <c r="E38" i="43"/>
  <c r="E38" i="48"/>
  <c r="E41" i="44"/>
  <c r="E44" i="44"/>
  <c r="E38" i="44"/>
  <c r="E44" i="47"/>
  <c r="E38" i="45"/>
  <c r="E44" i="48"/>
  <c r="E38" i="46"/>
  <c r="E41" i="48"/>
  <c r="E45" i="46"/>
  <c r="E45" i="48"/>
  <c r="E46" i="43"/>
  <c r="E46" i="44"/>
  <c r="E46" i="45"/>
  <c r="E46" i="46"/>
  <c r="E45" i="45"/>
  <c r="E45" i="47"/>
  <c r="E43" i="48"/>
  <c r="E42" i="46"/>
  <c r="E43" i="43"/>
  <c r="E45" i="43"/>
  <c r="E42" i="47"/>
  <c r="E42" i="48"/>
  <c r="E43" i="44"/>
  <c r="E42" i="43"/>
  <c r="E41" i="43"/>
  <c r="E42" i="45"/>
  <c r="E41" i="45"/>
  <c r="E41" i="46"/>
  <c r="E41" i="47"/>
  <c r="H153" i="48"/>
  <c r="I153" i="48" s="1"/>
  <c r="J153" i="48" s="1"/>
  <c r="K153" i="48" s="1"/>
  <c r="L153" i="48" s="1"/>
  <c r="M153" i="48" s="1"/>
  <c r="N153" i="48" s="1"/>
  <c r="O153" i="48" s="1"/>
  <c r="P153" i="48" s="1"/>
  <c r="Q153" i="48" s="1"/>
  <c r="R153" i="48" s="1"/>
  <c r="S153" i="48" s="1"/>
  <c r="H153" i="47"/>
  <c r="I153" i="47" s="1"/>
  <c r="J153" i="47" s="1"/>
  <c r="K153" i="47" s="1"/>
  <c r="L153" i="47" s="1"/>
  <c r="M153" i="47" s="1"/>
  <c r="N153" i="47" s="1"/>
  <c r="O153" i="47" s="1"/>
  <c r="P153" i="47" s="1"/>
  <c r="Q153" i="47" s="1"/>
  <c r="R153" i="47" s="1"/>
  <c r="S153" i="47" s="1"/>
  <c r="H153" i="46"/>
  <c r="I153" i="46" s="1"/>
  <c r="J153" i="46" s="1"/>
  <c r="K153" i="46" s="1"/>
  <c r="L153" i="46" s="1"/>
  <c r="M153" i="46" s="1"/>
  <c r="N153" i="46" s="1"/>
  <c r="O153" i="46" s="1"/>
  <c r="P153" i="46" s="1"/>
  <c r="Q153" i="46" s="1"/>
  <c r="R153" i="46" s="1"/>
  <c r="S153" i="46" s="1"/>
  <c r="H153" i="45"/>
  <c r="I153" i="45" s="1"/>
  <c r="J153" i="45" s="1"/>
  <c r="K153" i="45" s="1"/>
  <c r="L153" i="45" s="1"/>
  <c r="M153" i="45" s="1"/>
  <c r="N153" i="45" s="1"/>
  <c r="O153" i="45" s="1"/>
  <c r="P153" i="45" s="1"/>
  <c r="Q153" i="45" s="1"/>
  <c r="R153" i="45" s="1"/>
  <c r="S153" i="45" s="1"/>
  <c r="H153" i="44"/>
  <c r="I153" i="44" s="1"/>
  <c r="J153" i="44" s="1"/>
  <c r="K153" i="44" s="1"/>
  <c r="L153" i="44" s="1"/>
  <c r="M153" i="44" s="1"/>
  <c r="N153" i="44" s="1"/>
  <c r="O153" i="44" s="1"/>
  <c r="P153" i="44" s="1"/>
  <c r="Q153" i="44" s="1"/>
  <c r="R153" i="44" s="1"/>
  <c r="S153" i="44" s="1"/>
  <c r="H153" i="43"/>
  <c r="I153" i="43" s="1"/>
  <c r="J153" i="43" s="1"/>
  <c r="K153" i="43" s="1"/>
  <c r="L153" i="43" s="1"/>
  <c r="M153" i="43" s="1"/>
  <c r="N153" i="43" s="1"/>
  <c r="O153" i="43" s="1"/>
  <c r="P153" i="43" s="1"/>
  <c r="Q153" i="43" s="1"/>
  <c r="R153" i="43" s="1"/>
  <c r="S153" i="43" s="1"/>
  <c r="H138" i="48"/>
  <c r="I138" i="48" s="1"/>
  <c r="J138" i="48" s="1"/>
  <c r="K138" i="48" s="1"/>
  <c r="L138" i="48" s="1"/>
  <c r="M138" i="48" s="1"/>
  <c r="N138" i="48" s="1"/>
  <c r="O138" i="48" s="1"/>
  <c r="P138" i="48" s="1"/>
  <c r="Q138" i="48" s="1"/>
  <c r="R138" i="48" s="1"/>
  <c r="S138" i="48" s="1"/>
  <c r="H138" i="47"/>
  <c r="I138" i="47" s="1"/>
  <c r="J138" i="47" s="1"/>
  <c r="K138" i="47" s="1"/>
  <c r="L138" i="47" s="1"/>
  <c r="M138" i="47" s="1"/>
  <c r="N138" i="47" s="1"/>
  <c r="O138" i="47" s="1"/>
  <c r="P138" i="47" s="1"/>
  <c r="Q138" i="47" s="1"/>
  <c r="R138" i="47" s="1"/>
  <c r="S138" i="47" s="1"/>
  <c r="H138" i="46"/>
  <c r="I138" i="46" s="1"/>
  <c r="J138" i="46" s="1"/>
  <c r="K138" i="46" s="1"/>
  <c r="L138" i="46" s="1"/>
  <c r="M138" i="46" s="1"/>
  <c r="N138" i="46" s="1"/>
  <c r="O138" i="46" s="1"/>
  <c r="P138" i="46" s="1"/>
  <c r="Q138" i="46" s="1"/>
  <c r="R138" i="46" s="1"/>
  <c r="S138" i="46" s="1"/>
  <c r="H138" i="45"/>
  <c r="I138" i="45" s="1"/>
  <c r="J138" i="45" s="1"/>
  <c r="K138" i="45" s="1"/>
  <c r="L138" i="45" s="1"/>
  <c r="M138" i="45" s="1"/>
  <c r="N138" i="45" s="1"/>
  <c r="O138" i="45" s="1"/>
  <c r="P138" i="45" s="1"/>
  <c r="Q138" i="45" s="1"/>
  <c r="R138" i="45" s="1"/>
  <c r="S138" i="45" s="1"/>
  <c r="H138" i="44"/>
  <c r="I138" i="44" s="1"/>
  <c r="J138" i="44" s="1"/>
  <c r="K138" i="44" s="1"/>
  <c r="L138" i="44" s="1"/>
  <c r="M138" i="44" s="1"/>
  <c r="N138" i="44" s="1"/>
  <c r="O138" i="44" s="1"/>
  <c r="P138" i="44" s="1"/>
  <c r="Q138" i="44" s="1"/>
  <c r="R138" i="44" s="1"/>
  <c r="S138" i="44" s="1"/>
  <c r="H138" i="43"/>
  <c r="I138" i="43" s="1"/>
  <c r="J138" i="43" s="1"/>
  <c r="K138" i="43" s="1"/>
  <c r="L138" i="43" s="1"/>
  <c r="M138" i="43" s="1"/>
  <c r="N138" i="43" s="1"/>
  <c r="O138" i="43" s="1"/>
  <c r="P138" i="43" s="1"/>
  <c r="Q138" i="43" s="1"/>
  <c r="R138" i="43" s="1"/>
  <c r="S138" i="43" s="1"/>
  <c r="H133" i="48"/>
  <c r="I133" i="48" s="1"/>
  <c r="J133" i="48" s="1"/>
  <c r="K133" i="48" s="1"/>
  <c r="L133" i="48" s="1"/>
  <c r="M133" i="48" s="1"/>
  <c r="N133" i="48" s="1"/>
  <c r="O133" i="48" s="1"/>
  <c r="P133" i="48" s="1"/>
  <c r="Q133" i="48" s="1"/>
  <c r="R133" i="48" s="1"/>
  <c r="S133" i="48" s="1"/>
  <c r="H133" i="47"/>
  <c r="I133" i="47" s="1"/>
  <c r="J133" i="47" s="1"/>
  <c r="K133" i="47" s="1"/>
  <c r="L133" i="47" s="1"/>
  <c r="M133" i="47" s="1"/>
  <c r="N133" i="47" s="1"/>
  <c r="O133" i="47" s="1"/>
  <c r="P133" i="47" s="1"/>
  <c r="Q133" i="47" s="1"/>
  <c r="R133" i="47" s="1"/>
  <c r="S133" i="47" s="1"/>
  <c r="H133" i="46"/>
  <c r="I133" i="46" s="1"/>
  <c r="J133" i="46" s="1"/>
  <c r="K133" i="46" s="1"/>
  <c r="L133" i="46" s="1"/>
  <c r="M133" i="46" s="1"/>
  <c r="N133" i="46" s="1"/>
  <c r="O133" i="46" s="1"/>
  <c r="P133" i="46" s="1"/>
  <c r="Q133" i="46" s="1"/>
  <c r="R133" i="46" s="1"/>
  <c r="S133" i="46" s="1"/>
  <c r="H133" i="45"/>
  <c r="I133" i="45" s="1"/>
  <c r="J133" i="45" s="1"/>
  <c r="K133" i="45" s="1"/>
  <c r="L133" i="45" s="1"/>
  <c r="M133" i="45" s="1"/>
  <c r="N133" i="45" s="1"/>
  <c r="O133" i="45" s="1"/>
  <c r="P133" i="45" s="1"/>
  <c r="Q133" i="45" s="1"/>
  <c r="R133" i="45" s="1"/>
  <c r="S133" i="45" s="1"/>
  <c r="H133" i="44"/>
  <c r="I133" i="44" s="1"/>
  <c r="J133" i="44" s="1"/>
  <c r="K133" i="44" s="1"/>
  <c r="L133" i="44" s="1"/>
  <c r="M133" i="44" s="1"/>
  <c r="N133" i="44" s="1"/>
  <c r="O133" i="44" s="1"/>
  <c r="P133" i="44" s="1"/>
  <c r="Q133" i="44" s="1"/>
  <c r="R133" i="44" s="1"/>
  <c r="S133" i="44" s="1"/>
  <c r="H133" i="43"/>
  <c r="I133" i="43" s="1"/>
  <c r="J133" i="43" s="1"/>
  <c r="K133" i="43" s="1"/>
  <c r="L133" i="43" s="1"/>
  <c r="M133" i="43" s="1"/>
  <c r="N133" i="43" s="1"/>
  <c r="O133" i="43" s="1"/>
  <c r="P133" i="43" s="1"/>
  <c r="Q133" i="43" s="1"/>
  <c r="R133" i="43" s="1"/>
  <c r="S133" i="43" s="1"/>
  <c r="H231" i="48"/>
  <c r="I231" i="48" s="1"/>
  <c r="J231" i="48" s="1"/>
  <c r="K231" i="48" s="1"/>
  <c r="L231" i="48" s="1"/>
  <c r="M231" i="48" s="1"/>
  <c r="N231" i="48" s="1"/>
  <c r="O231" i="48" s="1"/>
  <c r="P231" i="48" s="1"/>
  <c r="Q231" i="48" s="1"/>
  <c r="R231" i="48" s="1"/>
  <c r="S231" i="48" s="1"/>
  <c r="H231" i="47"/>
  <c r="I231" i="47" s="1"/>
  <c r="J231" i="47" s="1"/>
  <c r="K231" i="47" s="1"/>
  <c r="L231" i="47" s="1"/>
  <c r="M231" i="47" s="1"/>
  <c r="N231" i="47" s="1"/>
  <c r="O231" i="47" s="1"/>
  <c r="P231" i="47" s="1"/>
  <c r="Q231" i="47" s="1"/>
  <c r="R231" i="47" s="1"/>
  <c r="S231" i="47" s="1"/>
  <c r="H231" i="46"/>
  <c r="I231" i="46" s="1"/>
  <c r="J231" i="46" s="1"/>
  <c r="K231" i="46" s="1"/>
  <c r="L231" i="46" s="1"/>
  <c r="M231" i="46" s="1"/>
  <c r="N231" i="46" s="1"/>
  <c r="O231" i="46" s="1"/>
  <c r="P231" i="46" s="1"/>
  <c r="Q231" i="46" s="1"/>
  <c r="R231" i="46" s="1"/>
  <c r="S231" i="46" s="1"/>
  <c r="H231" i="45"/>
  <c r="I231" i="45" s="1"/>
  <c r="J231" i="45" s="1"/>
  <c r="K231" i="45" s="1"/>
  <c r="L231" i="45" s="1"/>
  <c r="M231" i="45" s="1"/>
  <c r="N231" i="45" s="1"/>
  <c r="O231" i="45" s="1"/>
  <c r="P231" i="45" s="1"/>
  <c r="Q231" i="45" s="1"/>
  <c r="R231" i="45" s="1"/>
  <c r="S231" i="45" s="1"/>
  <c r="H231" i="44"/>
  <c r="I231" i="44" s="1"/>
  <c r="J231" i="44" s="1"/>
  <c r="K231" i="44" s="1"/>
  <c r="L231" i="44" s="1"/>
  <c r="M231" i="44" s="1"/>
  <c r="N231" i="44" s="1"/>
  <c r="O231" i="44" s="1"/>
  <c r="P231" i="44" s="1"/>
  <c r="Q231" i="44" s="1"/>
  <c r="R231" i="44" s="1"/>
  <c r="S231" i="44" s="1"/>
  <c r="H231" i="43"/>
  <c r="I231" i="43" s="1"/>
  <c r="J231" i="43" s="1"/>
  <c r="K231" i="43" s="1"/>
  <c r="L231" i="43" s="1"/>
  <c r="M231" i="43" s="1"/>
  <c r="N231" i="43" s="1"/>
  <c r="O231" i="43" s="1"/>
  <c r="P231" i="43" s="1"/>
  <c r="Q231" i="43" s="1"/>
  <c r="R231" i="43" s="1"/>
  <c r="S231" i="43" s="1"/>
  <c r="H147" i="48"/>
  <c r="I147" i="48" s="1"/>
  <c r="J147" i="48" s="1"/>
  <c r="K147" i="48" s="1"/>
  <c r="L147" i="48" s="1"/>
  <c r="M147" i="48" s="1"/>
  <c r="N147" i="48" s="1"/>
  <c r="O147" i="48" s="1"/>
  <c r="P147" i="48" s="1"/>
  <c r="Q147" i="48" s="1"/>
  <c r="R147" i="48" s="1"/>
  <c r="S147" i="48" s="1"/>
  <c r="H147" i="47"/>
  <c r="I147" i="47" s="1"/>
  <c r="J147" i="47" s="1"/>
  <c r="K147" i="47" s="1"/>
  <c r="L147" i="47" s="1"/>
  <c r="M147" i="47" s="1"/>
  <c r="N147" i="47" s="1"/>
  <c r="O147" i="47" s="1"/>
  <c r="P147" i="47" s="1"/>
  <c r="Q147" i="47" s="1"/>
  <c r="R147" i="47" s="1"/>
  <c r="S147" i="47" s="1"/>
  <c r="H147" i="46"/>
  <c r="I147" i="46" s="1"/>
  <c r="J147" i="46" s="1"/>
  <c r="K147" i="46" s="1"/>
  <c r="L147" i="46" s="1"/>
  <c r="M147" i="46" s="1"/>
  <c r="N147" i="46" s="1"/>
  <c r="O147" i="46" s="1"/>
  <c r="P147" i="46" s="1"/>
  <c r="Q147" i="46" s="1"/>
  <c r="R147" i="46" s="1"/>
  <c r="S147" i="46" s="1"/>
  <c r="H147" i="45"/>
  <c r="I147" i="45" s="1"/>
  <c r="J147" i="45" s="1"/>
  <c r="K147" i="45" s="1"/>
  <c r="L147" i="45" s="1"/>
  <c r="M147" i="45" s="1"/>
  <c r="N147" i="45" s="1"/>
  <c r="O147" i="45" s="1"/>
  <c r="P147" i="45" s="1"/>
  <c r="Q147" i="45" s="1"/>
  <c r="R147" i="45" s="1"/>
  <c r="S147" i="45" s="1"/>
  <c r="H147" i="43"/>
  <c r="I147" i="43" s="1"/>
  <c r="J147" i="43" s="1"/>
  <c r="K147" i="43" s="1"/>
  <c r="L147" i="43" s="1"/>
  <c r="M147" i="43" s="1"/>
  <c r="N147" i="43" s="1"/>
  <c r="O147" i="43" s="1"/>
  <c r="P147" i="43" s="1"/>
  <c r="Q147" i="43" s="1"/>
  <c r="R147" i="43" s="1"/>
  <c r="S147" i="43" s="1"/>
  <c r="H147" i="44"/>
  <c r="I147" i="44" s="1"/>
  <c r="J147" i="44" s="1"/>
  <c r="K147" i="44" s="1"/>
  <c r="L147" i="44" s="1"/>
  <c r="M147" i="44" s="1"/>
  <c r="N147" i="44" s="1"/>
  <c r="O147" i="44" s="1"/>
  <c r="P147" i="44" s="1"/>
  <c r="Q147" i="44" s="1"/>
  <c r="R147" i="44" s="1"/>
  <c r="S147" i="44" s="1"/>
  <c r="H228" i="48"/>
  <c r="I228" i="48" s="1"/>
  <c r="J228" i="48" s="1"/>
  <c r="K228" i="48" s="1"/>
  <c r="L228" i="48" s="1"/>
  <c r="M228" i="48" s="1"/>
  <c r="N228" i="48" s="1"/>
  <c r="O228" i="48" s="1"/>
  <c r="P228" i="48" s="1"/>
  <c r="Q228" i="48" s="1"/>
  <c r="R228" i="48" s="1"/>
  <c r="S228" i="48" s="1"/>
  <c r="H228" i="47"/>
  <c r="I228" i="47" s="1"/>
  <c r="J228" i="47" s="1"/>
  <c r="K228" i="47" s="1"/>
  <c r="L228" i="47" s="1"/>
  <c r="M228" i="47" s="1"/>
  <c r="N228" i="47" s="1"/>
  <c r="O228" i="47" s="1"/>
  <c r="P228" i="47" s="1"/>
  <c r="Q228" i="47" s="1"/>
  <c r="R228" i="47" s="1"/>
  <c r="S228" i="47" s="1"/>
  <c r="H228" i="46"/>
  <c r="I228" i="46" s="1"/>
  <c r="J228" i="46" s="1"/>
  <c r="K228" i="46" s="1"/>
  <c r="L228" i="46" s="1"/>
  <c r="M228" i="46" s="1"/>
  <c r="N228" i="46" s="1"/>
  <c r="O228" i="46" s="1"/>
  <c r="P228" i="46" s="1"/>
  <c r="Q228" i="46" s="1"/>
  <c r="R228" i="46" s="1"/>
  <c r="S228" i="46" s="1"/>
  <c r="H228" i="45"/>
  <c r="I228" i="45" s="1"/>
  <c r="J228" i="45" s="1"/>
  <c r="K228" i="45" s="1"/>
  <c r="L228" i="45" s="1"/>
  <c r="M228" i="45" s="1"/>
  <c r="N228" i="45" s="1"/>
  <c r="O228" i="45" s="1"/>
  <c r="P228" i="45" s="1"/>
  <c r="Q228" i="45" s="1"/>
  <c r="R228" i="45" s="1"/>
  <c r="S228" i="45" s="1"/>
  <c r="H228" i="44"/>
  <c r="I228" i="44" s="1"/>
  <c r="J228" i="44" s="1"/>
  <c r="K228" i="44" s="1"/>
  <c r="L228" i="44" s="1"/>
  <c r="M228" i="44" s="1"/>
  <c r="N228" i="44" s="1"/>
  <c r="O228" i="44" s="1"/>
  <c r="P228" i="44" s="1"/>
  <c r="Q228" i="44" s="1"/>
  <c r="R228" i="44" s="1"/>
  <c r="S228" i="44" s="1"/>
  <c r="H228" i="43"/>
  <c r="I228" i="43" s="1"/>
  <c r="J228" i="43" s="1"/>
  <c r="K228" i="43" s="1"/>
  <c r="L228" i="43" s="1"/>
  <c r="M228" i="43" s="1"/>
  <c r="N228" i="43" s="1"/>
  <c r="O228" i="43" s="1"/>
  <c r="P228" i="43" s="1"/>
  <c r="Q228" i="43" s="1"/>
  <c r="R228" i="43" s="1"/>
  <c r="S228" i="43" s="1"/>
  <c r="H224" i="48"/>
  <c r="I224" i="48" s="1"/>
  <c r="J224" i="48" s="1"/>
  <c r="K224" i="48" s="1"/>
  <c r="L224" i="48" s="1"/>
  <c r="M224" i="48" s="1"/>
  <c r="N224" i="48" s="1"/>
  <c r="O224" i="48" s="1"/>
  <c r="P224" i="48" s="1"/>
  <c r="Q224" i="48" s="1"/>
  <c r="R224" i="48" s="1"/>
  <c r="S224" i="48" s="1"/>
  <c r="H224" i="47"/>
  <c r="I224" i="47" s="1"/>
  <c r="J224" i="47" s="1"/>
  <c r="K224" i="47" s="1"/>
  <c r="L224" i="47" s="1"/>
  <c r="M224" i="47" s="1"/>
  <c r="N224" i="47" s="1"/>
  <c r="O224" i="47" s="1"/>
  <c r="P224" i="47" s="1"/>
  <c r="Q224" i="47" s="1"/>
  <c r="R224" i="47" s="1"/>
  <c r="S224" i="47" s="1"/>
  <c r="H224" i="46"/>
  <c r="I224" i="46" s="1"/>
  <c r="J224" i="46" s="1"/>
  <c r="K224" i="46" s="1"/>
  <c r="L224" i="46" s="1"/>
  <c r="M224" i="46" s="1"/>
  <c r="N224" i="46" s="1"/>
  <c r="O224" i="46" s="1"/>
  <c r="P224" i="46" s="1"/>
  <c r="Q224" i="46" s="1"/>
  <c r="R224" i="46" s="1"/>
  <c r="S224" i="46" s="1"/>
  <c r="H224" i="45"/>
  <c r="I224" i="45" s="1"/>
  <c r="J224" i="45" s="1"/>
  <c r="K224" i="45" s="1"/>
  <c r="L224" i="45" s="1"/>
  <c r="M224" i="45" s="1"/>
  <c r="N224" i="45" s="1"/>
  <c r="O224" i="45" s="1"/>
  <c r="P224" i="45" s="1"/>
  <c r="Q224" i="45" s="1"/>
  <c r="R224" i="45" s="1"/>
  <c r="S224" i="45" s="1"/>
  <c r="H224" i="44"/>
  <c r="I224" i="44" s="1"/>
  <c r="J224" i="44" s="1"/>
  <c r="K224" i="44" s="1"/>
  <c r="L224" i="44" s="1"/>
  <c r="M224" i="44" s="1"/>
  <c r="N224" i="44" s="1"/>
  <c r="O224" i="44" s="1"/>
  <c r="P224" i="44" s="1"/>
  <c r="Q224" i="44" s="1"/>
  <c r="R224" i="44" s="1"/>
  <c r="S224" i="44" s="1"/>
  <c r="H224" i="43"/>
  <c r="I224" i="43" s="1"/>
  <c r="J224" i="43" s="1"/>
  <c r="K224" i="43" s="1"/>
  <c r="L224" i="43" s="1"/>
  <c r="M224" i="43" s="1"/>
  <c r="N224" i="43" s="1"/>
  <c r="O224" i="43" s="1"/>
  <c r="P224" i="43" s="1"/>
  <c r="Q224" i="43" s="1"/>
  <c r="R224" i="43" s="1"/>
  <c r="S224" i="43" s="1"/>
  <c r="H148" i="48"/>
  <c r="I148" i="48" s="1"/>
  <c r="J148" i="48" s="1"/>
  <c r="K148" i="48" s="1"/>
  <c r="L148" i="48" s="1"/>
  <c r="M148" i="48" s="1"/>
  <c r="N148" i="48" s="1"/>
  <c r="O148" i="48" s="1"/>
  <c r="P148" i="48" s="1"/>
  <c r="Q148" i="48" s="1"/>
  <c r="R148" i="48" s="1"/>
  <c r="S148" i="48" s="1"/>
  <c r="H148" i="47"/>
  <c r="I148" i="47" s="1"/>
  <c r="J148" i="47" s="1"/>
  <c r="K148" i="47" s="1"/>
  <c r="L148" i="47" s="1"/>
  <c r="M148" i="47" s="1"/>
  <c r="N148" i="47" s="1"/>
  <c r="O148" i="47" s="1"/>
  <c r="P148" i="47" s="1"/>
  <c r="Q148" i="47" s="1"/>
  <c r="R148" i="47" s="1"/>
  <c r="S148" i="47" s="1"/>
  <c r="H148" i="46"/>
  <c r="I148" i="46" s="1"/>
  <c r="J148" i="46" s="1"/>
  <c r="K148" i="46" s="1"/>
  <c r="L148" i="46" s="1"/>
  <c r="M148" i="46" s="1"/>
  <c r="N148" i="46" s="1"/>
  <c r="O148" i="46" s="1"/>
  <c r="P148" i="46" s="1"/>
  <c r="Q148" i="46" s="1"/>
  <c r="R148" i="46" s="1"/>
  <c r="S148" i="46" s="1"/>
  <c r="H148" i="45"/>
  <c r="I148" i="45" s="1"/>
  <c r="J148" i="45" s="1"/>
  <c r="K148" i="45" s="1"/>
  <c r="L148" i="45" s="1"/>
  <c r="M148" i="45" s="1"/>
  <c r="N148" i="45" s="1"/>
  <c r="O148" i="45" s="1"/>
  <c r="P148" i="45" s="1"/>
  <c r="Q148" i="45" s="1"/>
  <c r="R148" i="45" s="1"/>
  <c r="S148" i="45" s="1"/>
  <c r="H148" i="44"/>
  <c r="I148" i="44" s="1"/>
  <c r="J148" i="44" s="1"/>
  <c r="K148" i="44" s="1"/>
  <c r="L148" i="44" s="1"/>
  <c r="M148" i="44" s="1"/>
  <c r="N148" i="44" s="1"/>
  <c r="O148" i="44" s="1"/>
  <c r="P148" i="44" s="1"/>
  <c r="Q148" i="44" s="1"/>
  <c r="R148" i="44" s="1"/>
  <c r="S148" i="44" s="1"/>
  <c r="H148" i="43"/>
  <c r="I148" i="43" s="1"/>
  <c r="J148" i="43" s="1"/>
  <c r="K148" i="43" s="1"/>
  <c r="L148" i="43" s="1"/>
  <c r="M148" i="43" s="1"/>
  <c r="N148" i="43" s="1"/>
  <c r="O148" i="43" s="1"/>
  <c r="P148" i="43" s="1"/>
  <c r="Q148" i="43" s="1"/>
  <c r="R148" i="43" s="1"/>
  <c r="S148" i="43" s="1"/>
  <c r="H117" i="48"/>
  <c r="I117" i="48" s="1"/>
  <c r="J117" i="48" s="1"/>
  <c r="K117" i="48" s="1"/>
  <c r="L117" i="48" s="1"/>
  <c r="M117" i="48" s="1"/>
  <c r="N117" i="48" s="1"/>
  <c r="O117" i="48" s="1"/>
  <c r="P117" i="48" s="1"/>
  <c r="Q117" i="48" s="1"/>
  <c r="R117" i="48" s="1"/>
  <c r="S117" i="48" s="1"/>
  <c r="H117" i="47"/>
  <c r="I117" i="47" s="1"/>
  <c r="J117" i="47" s="1"/>
  <c r="K117" i="47" s="1"/>
  <c r="L117" i="47" s="1"/>
  <c r="M117" i="47" s="1"/>
  <c r="N117" i="47" s="1"/>
  <c r="O117" i="47" s="1"/>
  <c r="P117" i="47" s="1"/>
  <c r="Q117" i="47" s="1"/>
  <c r="R117" i="47" s="1"/>
  <c r="S117" i="47" s="1"/>
  <c r="H117" i="46"/>
  <c r="I117" i="46" s="1"/>
  <c r="J117" i="46" s="1"/>
  <c r="K117" i="46" s="1"/>
  <c r="L117" i="46" s="1"/>
  <c r="M117" i="46" s="1"/>
  <c r="N117" i="46" s="1"/>
  <c r="O117" i="46" s="1"/>
  <c r="P117" i="46" s="1"/>
  <c r="Q117" i="46" s="1"/>
  <c r="R117" i="46" s="1"/>
  <c r="S117" i="46" s="1"/>
  <c r="H117" i="45"/>
  <c r="I117" i="45" s="1"/>
  <c r="J117" i="45" s="1"/>
  <c r="K117" i="45" s="1"/>
  <c r="L117" i="45" s="1"/>
  <c r="M117" i="45" s="1"/>
  <c r="N117" i="45" s="1"/>
  <c r="O117" i="45" s="1"/>
  <c r="P117" i="45" s="1"/>
  <c r="Q117" i="45" s="1"/>
  <c r="R117" i="45" s="1"/>
  <c r="S117" i="45" s="1"/>
  <c r="H117" i="43"/>
  <c r="I117" i="43" s="1"/>
  <c r="J117" i="43" s="1"/>
  <c r="K117" i="43" s="1"/>
  <c r="L117" i="43" s="1"/>
  <c r="M117" i="43" s="1"/>
  <c r="N117" i="43" s="1"/>
  <c r="O117" i="43" s="1"/>
  <c r="P117" i="43" s="1"/>
  <c r="Q117" i="43" s="1"/>
  <c r="R117" i="43" s="1"/>
  <c r="S117" i="43" s="1"/>
  <c r="H117" i="44"/>
  <c r="I117" i="44" s="1"/>
  <c r="J117" i="44" s="1"/>
  <c r="K117" i="44" s="1"/>
  <c r="L117" i="44" s="1"/>
  <c r="M117" i="44" s="1"/>
  <c r="N117" i="44" s="1"/>
  <c r="O117" i="44" s="1"/>
  <c r="P117" i="44" s="1"/>
  <c r="Q117" i="44" s="1"/>
  <c r="R117" i="44" s="1"/>
  <c r="S117" i="44" s="1"/>
  <c r="H229" i="48"/>
  <c r="I229" i="48" s="1"/>
  <c r="J229" i="48" s="1"/>
  <c r="K229" i="48" s="1"/>
  <c r="L229" i="48" s="1"/>
  <c r="M229" i="48" s="1"/>
  <c r="N229" i="48" s="1"/>
  <c r="O229" i="48" s="1"/>
  <c r="P229" i="48" s="1"/>
  <c r="Q229" i="48" s="1"/>
  <c r="R229" i="48" s="1"/>
  <c r="S229" i="48" s="1"/>
  <c r="H229" i="47"/>
  <c r="I229" i="47" s="1"/>
  <c r="J229" i="47" s="1"/>
  <c r="K229" i="47" s="1"/>
  <c r="L229" i="47" s="1"/>
  <c r="M229" i="47" s="1"/>
  <c r="N229" i="47" s="1"/>
  <c r="O229" i="47" s="1"/>
  <c r="P229" i="47" s="1"/>
  <c r="Q229" i="47" s="1"/>
  <c r="R229" i="47" s="1"/>
  <c r="S229" i="47" s="1"/>
  <c r="H229" i="46"/>
  <c r="I229" i="46" s="1"/>
  <c r="J229" i="46" s="1"/>
  <c r="K229" i="46" s="1"/>
  <c r="L229" i="46" s="1"/>
  <c r="M229" i="46" s="1"/>
  <c r="N229" i="46" s="1"/>
  <c r="O229" i="46" s="1"/>
  <c r="P229" i="46" s="1"/>
  <c r="Q229" i="46" s="1"/>
  <c r="R229" i="46" s="1"/>
  <c r="S229" i="46" s="1"/>
  <c r="H229" i="45"/>
  <c r="I229" i="45" s="1"/>
  <c r="J229" i="45" s="1"/>
  <c r="K229" i="45" s="1"/>
  <c r="L229" i="45" s="1"/>
  <c r="M229" i="45" s="1"/>
  <c r="N229" i="45" s="1"/>
  <c r="O229" i="45" s="1"/>
  <c r="P229" i="45" s="1"/>
  <c r="Q229" i="45" s="1"/>
  <c r="R229" i="45" s="1"/>
  <c r="S229" i="45" s="1"/>
  <c r="H229" i="44"/>
  <c r="I229" i="44" s="1"/>
  <c r="J229" i="44" s="1"/>
  <c r="K229" i="44" s="1"/>
  <c r="L229" i="44" s="1"/>
  <c r="M229" i="44" s="1"/>
  <c r="N229" i="44" s="1"/>
  <c r="O229" i="44" s="1"/>
  <c r="P229" i="44" s="1"/>
  <c r="Q229" i="44" s="1"/>
  <c r="R229" i="44" s="1"/>
  <c r="S229" i="44" s="1"/>
  <c r="H229" i="43"/>
  <c r="I229" i="43" s="1"/>
  <c r="J229" i="43" s="1"/>
  <c r="K229" i="43" s="1"/>
  <c r="L229" i="43" s="1"/>
  <c r="M229" i="43" s="1"/>
  <c r="N229" i="43" s="1"/>
  <c r="O229" i="43" s="1"/>
  <c r="P229" i="43" s="1"/>
  <c r="Q229" i="43" s="1"/>
  <c r="R229" i="43" s="1"/>
  <c r="S229" i="43" s="1"/>
  <c r="H227" i="48"/>
  <c r="I227" i="48" s="1"/>
  <c r="J227" i="48" s="1"/>
  <c r="K227" i="48" s="1"/>
  <c r="L227" i="48" s="1"/>
  <c r="M227" i="48" s="1"/>
  <c r="N227" i="48" s="1"/>
  <c r="O227" i="48" s="1"/>
  <c r="P227" i="48" s="1"/>
  <c r="Q227" i="48" s="1"/>
  <c r="R227" i="48" s="1"/>
  <c r="S227" i="48" s="1"/>
  <c r="H227" i="47"/>
  <c r="I227" i="47" s="1"/>
  <c r="J227" i="47" s="1"/>
  <c r="K227" i="47" s="1"/>
  <c r="L227" i="47" s="1"/>
  <c r="M227" i="47" s="1"/>
  <c r="N227" i="47" s="1"/>
  <c r="O227" i="47" s="1"/>
  <c r="P227" i="47" s="1"/>
  <c r="Q227" i="47" s="1"/>
  <c r="R227" i="47" s="1"/>
  <c r="S227" i="47" s="1"/>
  <c r="H227" i="46"/>
  <c r="I227" i="46" s="1"/>
  <c r="J227" i="46" s="1"/>
  <c r="K227" i="46" s="1"/>
  <c r="L227" i="46" s="1"/>
  <c r="M227" i="46" s="1"/>
  <c r="N227" i="46" s="1"/>
  <c r="O227" i="46" s="1"/>
  <c r="P227" i="46" s="1"/>
  <c r="Q227" i="46" s="1"/>
  <c r="R227" i="46" s="1"/>
  <c r="S227" i="46" s="1"/>
  <c r="H227" i="45"/>
  <c r="I227" i="45" s="1"/>
  <c r="J227" i="45" s="1"/>
  <c r="K227" i="45" s="1"/>
  <c r="L227" i="45" s="1"/>
  <c r="M227" i="45" s="1"/>
  <c r="N227" i="45" s="1"/>
  <c r="O227" i="45" s="1"/>
  <c r="P227" i="45" s="1"/>
  <c r="Q227" i="45" s="1"/>
  <c r="R227" i="45" s="1"/>
  <c r="S227" i="45" s="1"/>
  <c r="H227" i="44"/>
  <c r="I227" i="44" s="1"/>
  <c r="J227" i="44" s="1"/>
  <c r="K227" i="44" s="1"/>
  <c r="L227" i="44" s="1"/>
  <c r="M227" i="44" s="1"/>
  <c r="N227" i="44" s="1"/>
  <c r="O227" i="44" s="1"/>
  <c r="P227" i="44" s="1"/>
  <c r="Q227" i="44" s="1"/>
  <c r="R227" i="44" s="1"/>
  <c r="S227" i="44" s="1"/>
  <c r="H227" i="43"/>
  <c r="I227" i="43" s="1"/>
  <c r="J227" i="43" s="1"/>
  <c r="K227" i="43" s="1"/>
  <c r="L227" i="43" s="1"/>
  <c r="M227" i="43" s="1"/>
  <c r="N227" i="43" s="1"/>
  <c r="O227" i="43" s="1"/>
  <c r="P227" i="43" s="1"/>
  <c r="Q227" i="43" s="1"/>
  <c r="R227" i="43" s="1"/>
  <c r="S227" i="43" s="1"/>
  <c r="H157" i="48"/>
  <c r="I157" i="48" s="1"/>
  <c r="J157" i="48" s="1"/>
  <c r="K157" i="48" s="1"/>
  <c r="L157" i="48" s="1"/>
  <c r="M157" i="48" s="1"/>
  <c r="N157" i="48" s="1"/>
  <c r="O157" i="48" s="1"/>
  <c r="P157" i="48" s="1"/>
  <c r="Q157" i="48" s="1"/>
  <c r="R157" i="48" s="1"/>
  <c r="S157" i="48" s="1"/>
  <c r="H157" i="47"/>
  <c r="I157" i="47" s="1"/>
  <c r="J157" i="47" s="1"/>
  <c r="K157" i="47" s="1"/>
  <c r="L157" i="47" s="1"/>
  <c r="M157" i="47" s="1"/>
  <c r="N157" i="47" s="1"/>
  <c r="O157" i="47" s="1"/>
  <c r="P157" i="47" s="1"/>
  <c r="Q157" i="47" s="1"/>
  <c r="R157" i="47" s="1"/>
  <c r="S157" i="47" s="1"/>
  <c r="H157" i="46"/>
  <c r="I157" i="46" s="1"/>
  <c r="J157" i="46" s="1"/>
  <c r="K157" i="46" s="1"/>
  <c r="L157" i="46" s="1"/>
  <c r="M157" i="46" s="1"/>
  <c r="N157" i="46" s="1"/>
  <c r="O157" i="46" s="1"/>
  <c r="P157" i="46" s="1"/>
  <c r="Q157" i="46" s="1"/>
  <c r="R157" i="46" s="1"/>
  <c r="S157" i="46" s="1"/>
  <c r="H157" i="45"/>
  <c r="I157" i="45" s="1"/>
  <c r="J157" i="45" s="1"/>
  <c r="K157" i="45" s="1"/>
  <c r="L157" i="45" s="1"/>
  <c r="M157" i="45" s="1"/>
  <c r="N157" i="45" s="1"/>
  <c r="O157" i="45" s="1"/>
  <c r="P157" i="45" s="1"/>
  <c r="Q157" i="45" s="1"/>
  <c r="R157" i="45" s="1"/>
  <c r="S157" i="45" s="1"/>
  <c r="H157" i="43"/>
  <c r="I157" i="43" s="1"/>
  <c r="J157" i="43" s="1"/>
  <c r="K157" i="43" s="1"/>
  <c r="L157" i="43" s="1"/>
  <c r="M157" i="43" s="1"/>
  <c r="N157" i="43" s="1"/>
  <c r="O157" i="43" s="1"/>
  <c r="P157" i="43" s="1"/>
  <c r="Q157" i="43" s="1"/>
  <c r="R157" i="43" s="1"/>
  <c r="S157" i="43" s="1"/>
  <c r="H157" i="44"/>
  <c r="I157" i="44" s="1"/>
  <c r="J157" i="44" s="1"/>
  <c r="K157" i="44" s="1"/>
  <c r="L157" i="44" s="1"/>
  <c r="M157" i="44" s="1"/>
  <c r="N157" i="44" s="1"/>
  <c r="O157" i="44" s="1"/>
  <c r="P157" i="44" s="1"/>
  <c r="Q157" i="44" s="1"/>
  <c r="R157" i="44" s="1"/>
  <c r="S157" i="44" s="1"/>
  <c r="H118" i="48"/>
  <c r="I118" i="48" s="1"/>
  <c r="J118" i="48" s="1"/>
  <c r="K118" i="48" s="1"/>
  <c r="L118" i="48" s="1"/>
  <c r="M118" i="48" s="1"/>
  <c r="N118" i="48" s="1"/>
  <c r="O118" i="48" s="1"/>
  <c r="P118" i="48" s="1"/>
  <c r="Q118" i="48" s="1"/>
  <c r="R118" i="48" s="1"/>
  <c r="S118" i="48" s="1"/>
  <c r="H118" i="47"/>
  <c r="I118" i="47" s="1"/>
  <c r="J118" i="47" s="1"/>
  <c r="K118" i="47" s="1"/>
  <c r="L118" i="47" s="1"/>
  <c r="M118" i="47" s="1"/>
  <c r="N118" i="47" s="1"/>
  <c r="O118" i="47" s="1"/>
  <c r="P118" i="47" s="1"/>
  <c r="Q118" i="47" s="1"/>
  <c r="R118" i="47" s="1"/>
  <c r="S118" i="47" s="1"/>
  <c r="H118" i="46"/>
  <c r="I118" i="46" s="1"/>
  <c r="J118" i="46" s="1"/>
  <c r="K118" i="46" s="1"/>
  <c r="L118" i="46" s="1"/>
  <c r="M118" i="46" s="1"/>
  <c r="N118" i="46" s="1"/>
  <c r="O118" i="46" s="1"/>
  <c r="P118" i="46" s="1"/>
  <c r="Q118" i="46" s="1"/>
  <c r="R118" i="46" s="1"/>
  <c r="S118" i="46" s="1"/>
  <c r="H118" i="45"/>
  <c r="I118" i="45" s="1"/>
  <c r="J118" i="45" s="1"/>
  <c r="K118" i="45" s="1"/>
  <c r="L118" i="45" s="1"/>
  <c r="M118" i="45" s="1"/>
  <c r="N118" i="45" s="1"/>
  <c r="O118" i="45" s="1"/>
  <c r="P118" i="45" s="1"/>
  <c r="Q118" i="45" s="1"/>
  <c r="R118" i="45" s="1"/>
  <c r="S118" i="45" s="1"/>
  <c r="H118" i="44"/>
  <c r="I118" i="44" s="1"/>
  <c r="J118" i="44" s="1"/>
  <c r="K118" i="44" s="1"/>
  <c r="L118" i="44" s="1"/>
  <c r="M118" i="44" s="1"/>
  <c r="N118" i="44" s="1"/>
  <c r="O118" i="44" s="1"/>
  <c r="P118" i="44" s="1"/>
  <c r="Q118" i="44" s="1"/>
  <c r="R118" i="44" s="1"/>
  <c r="S118" i="44" s="1"/>
  <c r="H118" i="43"/>
  <c r="I118" i="43" s="1"/>
  <c r="J118" i="43" s="1"/>
  <c r="K118" i="43" s="1"/>
  <c r="L118" i="43" s="1"/>
  <c r="M118" i="43" s="1"/>
  <c r="N118" i="43" s="1"/>
  <c r="O118" i="43" s="1"/>
  <c r="P118" i="43" s="1"/>
  <c r="Q118" i="43" s="1"/>
  <c r="R118" i="43" s="1"/>
  <c r="S118" i="43" s="1"/>
  <c r="H158" i="48"/>
  <c r="I158" i="48" s="1"/>
  <c r="J158" i="48" s="1"/>
  <c r="K158" i="48" s="1"/>
  <c r="L158" i="48" s="1"/>
  <c r="M158" i="48" s="1"/>
  <c r="N158" i="48" s="1"/>
  <c r="O158" i="48" s="1"/>
  <c r="P158" i="48" s="1"/>
  <c r="Q158" i="48" s="1"/>
  <c r="R158" i="48" s="1"/>
  <c r="S158" i="48" s="1"/>
  <c r="H158" i="47"/>
  <c r="I158" i="47" s="1"/>
  <c r="J158" i="47" s="1"/>
  <c r="K158" i="47" s="1"/>
  <c r="L158" i="47" s="1"/>
  <c r="M158" i="47" s="1"/>
  <c r="N158" i="47" s="1"/>
  <c r="O158" i="47" s="1"/>
  <c r="P158" i="47" s="1"/>
  <c r="Q158" i="47" s="1"/>
  <c r="R158" i="47" s="1"/>
  <c r="S158" i="47" s="1"/>
  <c r="H158" i="46"/>
  <c r="I158" i="46" s="1"/>
  <c r="J158" i="46" s="1"/>
  <c r="K158" i="46" s="1"/>
  <c r="L158" i="46" s="1"/>
  <c r="M158" i="46" s="1"/>
  <c r="N158" i="46" s="1"/>
  <c r="O158" i="46" s="1"/>
  <c r="P158" i="46" s="1"/>
  <c r="Q158" i="46" s="1"/>
  <c r="R158" i="46" s="1"/>
  <c r="S158" i="46" s="1"/>
  <c r="H158" i="45"/>
  <c r="I158" i="45" s="1"/>
  <c r="J158" i="45" s="1"/>
  <c r="K158" i="45" s="1"/>
  <c r="L158" i="45" s="1"/>
  <c r="M158" i="45" s="1"/>
  <c r="N158" i="45" s="1"/>
  <c r="O158" i="45" s="1"/>
  <c r="P158" i="45" s="1"/>
  <c r="Q158" i="45" s="1"/>
  <c r="R158" i="45" s="1"/>
  <c r="S158" i="45" s="1"/>
  <c r="H158" i="44"/>
  <c r="I158" i="44" s="1"/>
  <c r="J158" i="44" s="1"/>
  <c r="K158" i="44" s="1"/>
  <c r="L158" i="44" s="1"/>
  <c r="M158" i="44" s="1"/>
  <c r="N158" i="44" s="1"/>
  <c r="O158" i="44" s="1"/>
  <c r="P158" i="44" s="1"/>
  <c r="Q158" i="44" s="1"/>
  <c r="R158" i="44" s="1"/>
  <c r="S158" i="44" s="1"/>
  <c r="H158" i="43"/>
  <c r="I158" i="43" s="1"/>
  <c r="J158" i="43" s="1"/>
  <c r="K158" i="43" s="1"/>
  <c r="L158" i="43" s="1"/>
  <c r="M158" i="43" s="1"/>
  <c r="N158" i="43" s="1"/>
  <c r="O158" i="43" s="1"/>
  <c r="P158" i="43" s="1"/>
  <c r="Q158" i="43" s="1"/>
  <c r="R158" i="43" s="1"/>
  <c r="S158" i="43" s="1"/>
  <c r="H142" i="48"/>
  <c r="I142" i="48" s="1"/>
  <c r="J142" i="48" s="1"/>
  <c r="K142" i="48" s="1"/>
  <c r="L142" i="48" s="1"/>
  <c r="M142" i="48" s="1"/>
  <c r="N142" i="48" s="1"/>
  <c r="O142" i="48" s="1"/>
  <c r="P142" i="48" s="1"/>
  <c r="Q142" i="48" s="1"/>
  <c r="R142" i="48" s="1"/>
  <c r="S142" i="48" s="1"/>
  <c r="H142" i="47"/>
  <c r="I142" i="47" s="1"/>
  <c r="J142" i="47" s="1"/>
  <c r="K142" i="47" s="1"/>
  <c r="L142" i="47" s="1"/>
  <c r="M142" i="47" s="1"/>
  <c r="N142" i="47" s="1"/>
  <c r="O142" i="47" s="1"/>
  <c r="P142" i="47" s="1"/>
  <c r="Q142" i="47" s="1"/>
  <c r="R142" i="47" s="1"/>
  <c r="S142" i="47" s="1"/>
  <c r="H142" i="46"/>
  <c r="I142" i="46" s="1"/>
  <c r="J142" i="46" s="1"/>
  <c r="K142" i="46" s="1"/>
  <c r="L142" i="46" s="1"/>
  <c r="M142" i="46" s="1"/>
  <c r="N142" i="46" s="1"/>
  <c r="O142" i="46" s="1"/>
  <c r="P142" i="46" s="1"/>
  <c r="Q142" i="46" s="1"/>
  <c r="R142" i="46" s="1"/>
  <c r="S142" i="46" s="1"/>
  <c r="H142" i="45"/>
  <c r="I142" i="45" s="1"/>
  <c r="J142" i="45" s="1"/>
  <c r="K142" i="45" s="1"/>
  <c r="L142" i="45" s="1"/>
  <c r="M142" i="45" s="1"/>
  <c r="N142" i="45" s="1"/>
  <c r="O142" i="45" s="1"/>
  <c r="P142" i="45" s="1"/>
  <c r="Q142" i="45" s="1"/>
  <c r="R142" i="45" s="1"/>
  <c r="S142" i="45" s="1"/>
  <c r="H142" i="44"/>
  <c r="I142" i="44" s="1"/>
  <c r="J142" i="44" s="1"/>
  <c r="K142" i="44" s="1"/>
  <c r="L142" i="44" s="1"/>
  <c r="M142" i="44" s="1"/>
  <c r="N142" i="44" s="1"/>
  <c r="O142" i="44" s="1"/>
  <c r="P142" i="44" s="1"/>
  <c r="Q142" i="44" s="1"/>
  <c r="R142" i="44" s="1"/>
  <c r="S142" i="44" s="1"/>
  <c r="H142" i="43"/>
  <c r="I142" i="43" s="1"/>
  <c r="J142" i="43" s="1"/>
  <c r="K142" i="43" s="1"/>
  <c r="L142" i="43" s="1"/>
  <c r="M142" i="43" s="1"/>
  <c r="N142" i="43" s="1"/>
  <c r="O142" i="43" s="1"/>
  <c r="P142" i="43" s="1"/>
  <c r="Q142" i="43" s="1"/>
  <c r="R142" i="43" s="1"/>
  <c r="S142" i="43" s="1"/>
  <c r="H225" i="48"/>
  <c r="I225" i="48" s="1"/>
  <c r="J225" i="48" s="1"/>
  <c r="K225" i="48" s="1"/>
  <c r="L225" i="48" s="1"/>
  <c r="M225" i="48" s="1"/>
  <c r="N225" i="48" s="1"/>
  <c r="O225" i="48" s="1"/>
  <c r="P225" i="48" s="1"/>
  <c r="Q225" i="48" s="1"/>
  <c r="R225" i="48" s="1"/>
  <c r="S225" i="48" s="1"/>
  <c r="H225" i="47"/>
  <c r="I225" i="47" s="1"/>
  <c r="J225" i="47" s="1"/>
  <c r="K225" i="47" s="1"/>
  <c r="L225" i="47" s="1"/>
  <c r="M225" i="47" s="1"/>
  <c r="N225" i="47" s="1"/>
  <c r="O225" i="47" s="1"/>
  <c r="P225" i="47" s="1"/>
  <c r="Q225" i="47" s="1"/>
  <c r="R225" i="47" s="1"/>
  <c r="S225" i="47" s="1"/>
  <c r="H225" i="46"/>
  <c r="I225" i="46" s="1"/>
  <c r="J225" i="46" s="1"/>
  <c r="K225" i="46" s="1"/>
  <c r="L225" i="46" s="1"/>
  <c r="M225" i="46" s="1"/>
  <c r="N225" i="46" s="1"/>
  <c r="O225" i="46" s="1"/>
  <c r="P225" i="46" s="1"/>
  <c r="Q225" i="46" s="1"/>
  <c r="R225" i="46" s="1"/>
  <c r="S225" i="46" s="1"/>
  <c r="H225" i="45"/>
  <c r="I225" i="45" s="1"/>
  <c r="J225" i="45" s="1"/>
  <c r="K225" i="45" s="1"/>
  <c r="L225" i="45" s="1"/>
  <c r="M225" i="45" s="1"/>
  <c r="N225" i="45" s="1"/>
  <c r="O225" i="45" s="1"/>
  <c r="P225" i="45" s="1"/>
  <c r="Q225" i="45" s="1"/>
  <c r="R225" i="45" s="1"/>
  <c r="S225" i="45" s="1"/>
  <c r="H225" i="44"/>
  <c r="I225" i="44" s="1"/>
  <c r="J225" i="44" s="1"/>
  <c r="K225" i="44" s="1"/>
  <c r="L225" i="44" s="1"/>
  <c r="M225" i="44" s="1"/>
  <c r="N225" i="44" s="1"/>
  <c r="O225" i="44" s="1"/>
  <c r="P225" i="44" s="1"/>
  <c r="Q225" i="44" s="1"/>
  <c r="R225" i="44" s="1"/>
  <c r="S225" i="44" s="1"/>
  <c r="H225" i="43"/>
  <c r="I225" i="43" s="1"/>
  <c r="J225" i="43" s="1"/>
  <c r="K225" i="43" s="1"/>
  <c r="L225" i="43" s="1"/>
  <c r="M225" i="43" s="1"/>
  <c r="N225" i="43" s="1"/>
  <c r="O225" i="43" s="1"/>
  <c r="P225" i="43" s="1"/>
  <c r="Q225" i="43" s="1"/>
  <c r="R225" i="43" s="1"/>
  <c r="S225" i="43" s="1"/>
  <c r="H152" i="48"/>
  <c r="I152" i="48" s="1"/>
  <c r="J152" i="48" s="1"/>
  <c r="K152" i="48" s="1"/>
  <c r="L152" i="48" s="1"/>
  <c r="M152" i="48" s="1"/>
  <c r="N152" i="48" s="1"/>
  <c r="O152" i="48" s="1"/>
  <c r="P152" i="48" s="1"/>
  <c r="Q152" i="48" s="1"/>
  <c r="R152" i="48" s="1"/>
  <c r="S152" i="48" s="1"/>
  <c r="H152" i="47"/>
  <c r="I152" i="47" s="1"/>
  <c r="J152" i="47" s="1"/>
  <c r="K152" i="47" s="1"/>
  <c r="L152" i="47" s="1"/>
  <c r="M152" i="47" s="1"/>
  <c r="N152" i="47" s="1"/>
  <c r="O152" i="47" s="1"/>
  <c r="P152" i="47" s="1"/>
  <c r="Q152" i="47" s="1"/>
  <c r="R152" i="47" s="1"/>
  <c r="S152" i="47" s="1"/>
  <c r="H152" i="46"/>
  <c r="I152" i="46" s="1"/>
  <c r="J152" i="46" s="1"/>
  <c r="K152" i="46" s="1"/>
  <c r="L152" i="46" s="1"/>
  <c r="M152" i="46" s="1"/>
  <c r="N152" i="46" s="1"/>
  <c r="O152" i="46" s="1"/>
  <c r="P152" i="46" s="1"/>
  <c r="Q152" i="46" s="1"/>
  <c r="R152" i="46" s="1"/>
  <c r="S152" i="46" s="1"/>
  <c r="H152" i="45"/>
  <c r="I152" i="45" s="1"/>
  <c r="J152" i="45" s="1"/>
  <c r="K152" i="45" s="1"/>
  <c r="L152" i="45" s="1"/>
  <c r="M152" i="45" s="1"/>
  <c r="N152" i="45" s="1"/>
  <c r="O152" i="45" s="1"/>
  <c r="P152" i="45" s="1"/>
  <c r="Q152" i="45" s="1"/>
  <c r="R152" i="45" s="1"/>
  <c r="S152" i="45" s="1"/>
  <c r="H152" i="44"/>
  <c r="I152" i="44" s="1"/>
  <c r="J152" i="44" s="1"/>
  <c r="K152" i="44" s="1"/>
  <c r="L152" i="44" s="1"/>
  <c r="M152" i="44" s="1"/>
  <c r="N152" i="44" s="1"/>
  <c r="O152" i="44" s="1"/>
  <c r="P152" i="44" s="1"/>
  <c r="Q152" i="44" s="1"/>
  <c r="R152" i="44" s="1"/>
  <c r="S152" i="44" s="1"/>
  <c r="H152" i="43"/>
  <c r="I152" i="43" s="1"/>
  <c r="J152" i="43" s="1"/>
  <c r="K152" i="43" s="1"/>
  <c r="L152" i="43" s="1"/>
  <c r="M152" i="43" s="1"/>
  <c r="N152" i="43" s="1"/>
  <c r="O152" i="43" s="1"/>
  <c r="P152" i="43" s="1"/>
  <c r="Q152" i="43" s="1"/>
  <c r="R152" i="43" s="1"/>
  <c r="S152" i="43" s="1"/>
  <c r="H137" i="48"/>
  <c r="I137" i="48" s="1"/>
  <c r="J137" i="48" s="1"/>
  <c r="K137" i="48" s="1"/>
  <c r="L137" i="48" s="1"/>
  <c r="M137" i="48" s="1"/>
  <c r="N137" i="48" s="1"/>
  <c r="O137" i="48" s="1"/>
  <c r="P137" i="48" s="1"/>
  <c r="Q137" i="48" s="1"/>
  <c r="R137" i="48" s="1"/>
  <c r="S137" i="48" s="1"/>
  <c r="H137" i="47"/>
  <c r="I137" i="47" s="1"/>
  <c r="J137" i="47" s="1"/>
  <c r="K137" i="47" s="1"/>
  <c r="L137" i="47" s="1"/>
  <c r="M137" i="47" s="1"/>
  <c r="N137" i="47" s="1"/>
  <c r="O137" i="47" s="1"/>
  <c r="P137" i="47" s="1"/>
  <c r="Q137" i="47" s="1"/>
  <c r="R137" i="47" s="1"/>
  <c r="S137" i="47" s="1"/>
  <c r="H137" i="46"/>
  <c r="I137" i="46" s="1"/>
  <c r="J137" i="46" s="1"/>
  <c r="K137" i="46" s="1"/>
  <c r="L137" i="46" s="1"/>
  <c r="M137" i="46" s="1"/>
  <c r="N137" i="46" s="1"/>
  <c r="O137" i="46" s="1"/>
  <c r="P137" i="46" s="1"/>
  <c r="Q137" i="46" s="1"/>
  <c r="R137" i="46" s="1"/>
  <c r="S137" i="46" s="1"/>
  <c r="H137" i="45"/>
  <c r="I137" i="45" s="1"/>
  <c r="J137" i="45" s="1"/>
  <c r="K137" i="45" s="1"/>
  <c r="L137" i="45" s="1"/>
  <c r="M137" i="45" s="1"/>
  <c r="N137" i="45" s="1"/>
  <c r="O137" i="45" s="1"/>
  <c r="P137" i="45" s="1"/>
  <c r="Q137" i="45" s="1"/>
  <c r="R137" i="45" s="1"/>
  <c r="S137" i="45" s="1"/>
  <c r="H137" i="44"/>
  <c r="I137" i="44" s="1"/>
  <c r="J137" i="44" s="1"/>
  <c r="K137" i="44" s="1"/>
  <c r="L137" i="44" s="1"/>
  <c r="M137" i="44" s="1"/>
  <c r="N137" i="44" s="1"/>
  <c r="O137" i="44" s="1"/>
  <c r="P137" i="44" s="1"/>
  <c r="Q137" i="44" s="1"/>
  <c r="R137" i="44" s="1"/>
  <c r="S137" i="44" s="1"/>
  <c r="H137" i="43"/>
  <c r="I137" i="43" s="1"/>
  <c r="J137" i="43" s="1"/>
  <c r="K137" i="43" s="1"/>
  <c r="L137" i="43" s="1"/>
  <c r="M137" i="43" s="1"/>
  <c r="N137" i="43" s="1"/>
  <c r="O137" i="43" s="1"/>
  <c r="P137" i="43" s="1"/>
  <c r="Q137" i="43" s="1"/>
  <c r="R137" i="43" s="1"/>
  <c r="S137" i="43" s="1"/>
  <c r="H132" i="48"/>
  <c r="I132" i="48" s="1"/>
  <c r="J132" i="48" s="1"/>
  <c r="K132" i="48" s="1"/>
  <c r="L132" i="48" s="1"/>
  <c r="M132" i="48" s="1"/>
  <c r="N132" i="48" s="1"/>
  <c r="O132" i="48" s="1"/>
  <c r="P132" i="48" s="1"/>
  <c r="Q132" i="48" s="1"/>
  <c r="R132" i="48" s="1"/>
  <c r="S132" i="48" s="1"/>
  <c r="H132" i="47"/>
  <c r="I132" i="47" s="1"/>
  <c r="J132" i="47" s="1"/>
  <c r="K132" i="47" s="1"/>
  <c r="L132" i="47" s="1"/>
  <c r="M132" i="47" s="1"/>
  <c r="N132" i="47" s="1"/>
  <c r="O132" i="47" s="1"/>
  <c r="P132" i="47" s="1"/>
  <c r="Q132" i="47" s="1"/>
  <c r="R132" i="47" s="1"/>
  <c r="S132" i="47" s="1"/>
  <c r="H132" i="46"/>
  <c r="I132" i="46" s="1"/>
  <c r="J132" i="46" s="1"/>
  <c r="K132" i="46" s="1"/>
  <c r="L132" i="46" s="1"/>
  <c r="M132" i="46" s="1"/>
  <c r="N132" i="46" s="1"/>
  <c r="O132" i="46" s="1"/>
  <c r="P132" i="46" s="1"/>
  <c r="Q132" i="46" s="1"/>
  <c r="R132" i="46" s="1"/>
  <c r="S132" i="46" s="1"/>
  <c r="H132" i="45"/>
  <c r="I132" i="45" s="1"/>
  <c r="J132" i="45" s="1"/>
  <c r="K132" i="45" s="1"/>
  <c r="L132" i="45" s="1"/>
  <c r="M132" i="45" s="1"/>
  <c r="N132" i="45" s="1"/>
  <c r="O132" i="45" s="1"/>
  <c r="P132" i="45" s="1"/>
  <c r="Q132" i="45" s="1"/>
  <c r="R132" i="45" s="1"/>
  <c r="S132" i="45" s="1"/>
  <c r="H132" i="44"/>
  <c r="I132" i="44" s="1"/>
  <c r="J132" i="44" s="1"/>
  <c r="K132" i="44" s="1"/>
  <c r="L132" i="44" s="1"/>
  <c r="M132" i="44" s="1"/>
  <c r="N132" i="44" s="1"/>
  <c r="O132" i="44" s="1"/>
  <c r="P132" i="44" s="1"/>
  <c r="Q132" i="44" s="1"/>
  <c r="R132" i="44" s="1"/>
  <c r="S132" i="44" s="1"/>
  <c r="H132" i="43"/>
  <c r="I132" i="43" s="1"/>
  <c r="J132" i="43" s="1"/>
  <c r="K132" i="43" s="1"/>
  <c r="L132" i="43" s="1"/>
  <c r="M132" i="43" s="1"/>
  <c r="N132" i="43" s="1"/>
  <c r="O132" i="43" s="1"/>
  <c r="P132" i="43" s="1"/>
  <c r="Q132" i="43" s="1"/>
  <c r="R132" i="43" s="1"/>
  <c r="S132" i="43" s="1"/>
  <c r="H143" i="48"/>
  <c r="I143" i="48" s="1"/>
  <c r="J143" i="48" s="1"/>
  <c r="K143" i="48" s="1"/>
  <c r="L143" i="48" s="1"/>
  <c r="M143" i="48" s="1"/>
  <c r="N143" i="48" s="1"/>
  <c r="O143" i="48" s="1"/>
  <c r="P143" i="48" s="1"/>
  <c r="Q143" i="48" s="1"/>
  <c r="R143" i="48" s="1"/>
  <c r="S143" i="48" s="1"/>
  <c r="H143" i="47"/>
  <c r="I143" i="47" s="1"/>
  <c r="J143" i="47" s="1"/>
  <c r="K143" i="47" s="1"/>
  <c r="L143" i="47" s="1"/>
  <c r="M143" i="47" s="1"/>
  <c r="N143" i="47" s="1"/>
  <c r="O143" i="47" s="1"/>
  <c r="P143" i="47" s="1"/>
  <c r="Q143" i="47" s="1"/>
  <c r="R143" i="47" s="1"/>
  <c r="S143" i="47" s="1"/>
  <c r="H143" i="46"/>
  <c r="I143" i="46" s="1"/>
  <c r="J143" i="46" s="1"/>
  <c r="K143" i="46" s="1"/>
  <c r="L143" i="46" s="1"/>
  <c r="M143" i="46" s="1"/>
  <c r="N143" i="46" s="1"/>
  <c r="O143" i="46" s="1"/>
  <c r="P143" i="46" s="1"/>
  <c r="Q143" i="46" s="1"/>
  <c r="R143" i="46" s="1"/>
  <c r="S143" i="46" s="1"/>
  <c r="H143" i="45"/>
  <c r="I143" i="45" s="1"/>
  <c r="J143" i="45" s="1"/>
  <c r="K143" i="45" s="1"/>
  <c r="L143" i="45" s="1"/>
  <c r="M143" i="45" s="1"/>
  <c r="N143" i="45" s="1"/>
  <c r="O143" i="45" s="1"/>
  <c r="P143" i="45" s="1"/>
  <c r="Q143" i="45" s="1"/>
  <c r="R143" i="45" s="1"/>
  <c r="S143" i="45" s="1"/>
  <c r="H143" i="43"/>
  <c r="I143" i="43" s="1"/>
  <c r="J143" i="43" s="1"/>
  <c r="K143" i="43" s="1"/>
  <c r="L143" i="43" s="1"/>
  <c r="M143" i="43" s="1"/>
  <c r="N143" i="43" s="1"/>
  <c r="O143" i="43" s="1"/>
  <c r="P143" i="43" s="1"/>
  <c r="Q143" i="43" s="1"/>
  <c r="R143" i="43" s="1"/>
  <c r="S143" i="43" s="1"/>
  <c r="H143" i="44"/>
  <c r="I143" i="44" s="1"/>
  <c r="J143" i="44" s="1"/>
  <c r="K143" i="44" s="1"/>
  <c r="L143" i="44" s="1"/>
  <c r="M143" i="44" s="1"/>
  <c r="N143" i="44" s="1"/>
  <c r="O143" i="44" s="1"/>
  <c r="P143" i="44" s="1"/>
  <c r="Q143" i="44" s="1"/>
  <c r="R143" i="44" s="1"/>
  <c r="S143" i="44" s="1"/>
  <c r="E114" i="48" l="1"/>
  <c r="E129" i="48"/>
  <c r="E134" i="46"/>
  <c r="E149" i="48"/>
  <c r="E139" i="45"/>
  <c r="F45" i="48"/>
  <c r="F45" i="47"/>
  <c r="F45" i="46"/>
  <c r="F45" i="45"/>
  <c r="F45" i="44"/>
  <c r="F45" i="43"/>
  <c r="E154" i="48"/>
  <c r="E154" i="47"/>
  <c r="E154" i="46"/>
  <c r="E154" i="45"/>
  <c r="E154" i="44"/>
  <c r="E154" i="43"/>
  <c r="F43" i="48"/>
  <c r="F43" i="47"/>
  <c r="F43" i="46"/>
  <c r="F43" i="45"/>
  <c r="F43" i="44"/>
  <c r="F43" i="43"/>
  <c r="H230" i="48"/>
  <c r="I230" i="48" s="1"/>
  <c r="J230" i="48" s="1"/>
  <c r="K230" i="48" s="1"/>
  <c r="L230" i="48" s="1"/>
  <c r="M230" i="48" s="1"/>
  <c r="N230" i="48" s="1"/>
  <c r="O230" i="48" s="1"/>
  <c r="P230" i="48" s="1"/>
  <c r="Q230" i="48" s="1"/>
  <c r="R230" i="48" s="1"/>
  <c r="S230" i="48" s="1"/>
  <c r="H230" i="47"/>
  <c r="I230" i="47" s="1"/>
  <c r="J230" i="47" s="1"/>
  <c r="K230" i="47" s="1"/>
  <c r="L230" i="47" s="1"/>
  <c r="M230" i="47" s="1"/>
  <c r="N230" i="47" s="1"/>
  <c r="O230" i="47" s="1"/>
  <c r="P230" i="47" s="1"/>
  <c r="Q230" i="47" s="1"/>
  <c r="R230" i="47" s="1"/>
  <c r="S230" i="47" s="1"/>
  <c r="H230" i="46"/>
  <c r="I230" i="46" s="1"/>
  <c r="J230" i="46" s="1"/>
  <c r="K230" i="46" s="1"/>
  <c r="L230" i="46" s="1"/>
  <c r="M230" i="46" s="1"/>
  <c r="N230" i="46" s="1"/>
  <c r="O230" i="46" s="1"/>
  <c r="P230" i="46" s="1"/>
  <c r="Q230" i="46" s="1"/>
  <c r="R230" i="46" s="1"/>
  <c r="S230" i="46" s="1"/>
  <c r="H230" i="45"/>
  <c r="I230" i="45" s="1"/>
  <c r="J230" i="45" s="1"/>
  <c r="K230" i="45" s="1"/>
  <c r="L230" i="45" s="1"/>
  <c r="M230" i="45" s="1"/>
  <c r="N230" i="45" s="1"/>
  <c r="O230" i="45" s="1"/>
  <c r="P230" i="45" s="1"/>
  <c r="Q230" i="45" s="1"/>
  <c r="R230" i="45" s="1"/>
  <c r="S230" i="45" s="1"/>
  <c r="H230" i="44"/>
  <c r="I230" i="44" s="1"/>
  <c r="J230" i="44" s="1"/>
  <c r="K230" i="44" s="1"/>
  <c r="L230" i="44" s="1"/>
  <c r="M230" i="44" s="1"/>
  <c r="N230" i="44" s="1"/>
  <c r="O230" i="44" s="1"/>
  <c r="P230" i="44" s="1"/>
  <c r="Q230" i="44" s="1"/>
  <c r="R230" i="44" s="1"/>
  <c r="S230" i="44" s="1"/>
  <c r="H230" i="43"/>
  <c r="I230" i="43" s="1"/>
  <c r="J230" i="43" s="1"/>
  <c r="K230" i="43" s="1"/>
  <c r="L230" i="43" s="1"/>
  <c r="M230" i="43" s="1"/>
  <c r="N230" i="43" s="1"/>
  <c r="O230" i="43" s="1"/>
  <c r="P230" i="43" s="1"/>
  <c r="Q230" i="43" s="1"/>
  <c r="R230" i="43" s="1"/>
  <c r="S230" i="43" s="1"/>
  <c r="F41" i="48"/>
  <c r="F41" i="47"/>
  <c r="F41" i="46"/>
  <c r="F41" i="45"/>
  <c r="F41" i="44"/>
  <c r="F41" i="43"/>
  <c r="H232" i="48"/>
  <c r="I232" i="48" s="1"/>
  <c r="J232" i="48" s="1"/>
  <c r="K232" i="48" s="1"/>
  <c r="L232" i="48" s="1"/>
  <c r="M232" i="48" s="1"/>
  <c r="N232" i="48" s="1"/>
  <c r="O232" i="48" s="1"/>
  <c r="P232" i="48" s="1"/>
  <c r="Q232" i="48" s="1"/>
  <c r="R232" i="48" s="1"/>
  <c r="S232" i="48" s="1"/>
  <c r="H232" i="47"/>
  <c r="I232" i="47" s="1"/>
  <c r="J232" i="47" s="1"/>
  <c r="K232" i="47" s="1"/>
  <c r="L232" i="47" s="1"/>
  <c r="M232" i="47" s="1"/>
  <c r="N232" i="47" s="1"/>
  <c r="O232" i="47" s="1"/>
  <c r="P232" i="47" s="1"/>
  <c r="Q232" i="47" s="1"/>
  <c r="R232" i="47" s="1"/>
  <c r="S232" i="47" s="1"/>
  <c r="H232" i="46"/>
  <c r="I232" i="46" s="1"/>
  <c r="J232" i="46" s="1"/>
  <c r="K232" i="46" s="1"/>
  <c r="L232" i="46" s="1"/>
  <c r="M232" i="46" s="1"/>
  <c r="N232" i="46" s="1"/>
  <c r="O232" i="46" s="1"/>
  <c r="P232" i="46" s="1"/>
  <c r="Q232" i="46" s="1"/>
  <c r="R232" i="46" s="1"/>
  <c r="S232" i="46" s="1"/>
  <c r="H232" i="45"/>
  <c r="I232" i="45" s="1"/>
  <c r="J232" i="45" s="1"/>
  <c r="K232" i="45" s="1"/>
  <c r="L232" i="45" s="1"/>
  <c r="M232" i="45" s="1"/>
  <c r="N232" i="45" s="1"/>
  <c r="O232" i="45" s="1"/>
  <c r="P232" i="45" s="1"/>
  <c r="Q232" i="45" s="1"/>
  <c r="R232" i="45" s="1"/>
  <c r="S232" i="45" s="1"/>
  <c r="H232" i="44"/>
  <c r="I232" i="44" s="1"/>
  <c r="J232" i="44" s="1"/>
  <c r="K232" i="44" s="1"/>
  <c r="L232" i="44" s="1"/>
  <c r="M232" i="44" s="1"/>
  <c r="N232" i="44" s="1"/>
  <c r="O232" i="44" s="1"/>
  <c r="P232" i="44" s="1"/>
  <c r="Q232" i="44" s="1"/>
  <c r="R232" i="44" s="1"/>
  <c r="S232" i="44" s="1"/>
  <c r="H232" i="43"/>
  <c r="I232" i="43" s="1"/>
  <c r="J232" i="43" s="1"/>
  <c r="K232" i="43" s="1"/>
  <c r="L232" i="43" s="1"/>
  <c r="M232" i="43" s="1"/>
  <c r="N232" i="43" s="1"/>
  <c r="O232" i="43" s="1"/>
  <c r="P232" i="43" s="1"/>
  <c r="Q232" i="43" s="1"/>
  <c r="R232" i="43" s="1"/>
  <c r="S232" i="43" s="1"/>
  <c r="F38" i="48"/>
  <c r="F38" i="47"/>
  <c r="F38" i="46"/>
  <c r="F38" i="45"/>
  <c r="F38" i="44"/>
  <c r="F38" i="43"/>
  <c r="F46" i="48"/>
  <c r="F46" i="47"/>
  <c r="F46" i="46"/>
  <c r="F46" i="45"/>
  <c r="F46" i="44"/>
  <c r="F46" i="43"/>
  <c r="F42" i="48"/>
  <c r="F42" i="47"/>
  <c r="F42" i="46"/>
  <c r="F42" i="45"/>
  <c r="F42" i="44"/>
  <c r="F42" i="43"/>
  <c r="H233" i="48"/>
  <c r="I233" i="48" s="1"/>
  <c r="J233" i="48" s="1"/>
  <c r="K233" i="48" s="1"/>
  <c r="L233" i="48" s="1"/>
  <c r="M233" i="48" s="1"/>
  <c r="N233" i="48" s="1"/>
  <c r="O233" i="48" s="1"/>
  <c r="P233" i="48" s="1"/>
  <c r="Q233" i="48" s="1"/>
  <c r="R233" i="48" s="1"/>
  <c r="S233" i="48" s="1"/>
  <c r="H233" i="47"/>
  <c r="I233" i="47" s="1"/>
  <c r="J233" i="47" s="1"/>
  <c r="K233" i="47" s="1"/>
  <c r="L233" i="47" s="1"/>
  <c r="M233" i="47" s="1"/>
  <c r="N233" i="47" s="1"/>
  <c r="O233" i="47" s="1"/>
  <c r="P233" i="47" s="1"/>
  <c r="Q233" i="47" s="1"/>
  <c r="R233" i="47" s="1"/>
  <c r="S233" i="47" s="1"/>
  <c r="H233" i="46"/>
  <c r="I233" i="46" s="1"/>
  <c r="J233" i="46" s="1"/>
  <c r="K233" i="46" s="1"/>
  <c r="L233" i="46" s="1"/>
  <c r="M233" i="46" s="1"/>
  <c r="N233" i="46" s="1"/>
  <c r="O233" i="46" s="1"/>
  <c r="P233" i="46" s="1"/>
  <c r="Q233" i="46" s="1"/>
  <c r="R233" i="46" s="1"/>
  <c r="S233" i="46" s="1"/>
  <c r="H233" i="45"/>
  <c r="I233" i="45" s="1"/>
  <c r="J233" i="45" s="1"/>
  <c r="K233" i="45" s="1"/>
  <c r="L233" i="45" s="1"/>
  <c r="M233" i="45" s="1"/>
  <c r="N233" i="45" s="1"/>
  <c r="O233" i="45" s="1"/>
  <c r="P233" i="45" s="1"/>
  <c r="Q233" i="45" s="1"/>
  <c r="R233" i="45" s="1"/>
  <c r="S233" i="45" s="1"/>
  <c r="H233" i="44"/>
  <c r="I233" i="44" s="1"/>
  <c r="J233" i="44" s="1"/>
  <c r="K233" i="44" s="1"/>
  <c r="L233" i="44" s="1"/>
  <c r="M233" i="44" s="1"/>
  <c r="N233" i="44" s="1"/>
  <c r="O233" i="44" s="1"/>
  <c r="P233" i="44" s="1"/>
  <c r="Q233" i="44" s="1"/>
  <c r="R233" i="44" s="1"/>
  <c r="S233" i="44" s="1"/>
  <c r="H233" i="43"/>
  <c r="I233" i="43" s="1"/>
  <c r="J233" i="43" s="1"/>
  <c r="K233" i="43" s="1"/>
  <c r="L233" i="43" s="1"/>
  <c r="M233" i="43" s="1"/>
  <c r="N233" i="43" s="1"/>
  <c r="O233" i="43" s="1"/>
  <c r="P233" i="43" s="1"/>
  <c r="Q233" i="43" s="1"/>
  <c r="R233" i="43" s="1"/>
  <c r="S233" i="43" s="1"/>
  <c r="F39" i="48"/>
  <c r="F39" i="47"/>
  <c r="F39" i="46"/>
  <c r="F39" i="44"/>
  <c r="F39" i="45"/>
  <c r="F39" i="43"/>
  <c r="E144" i="48"/>
  <c r="E144" i="47"/>
  <c r="E144" i="46"/>
  <c r="E144" i="45"/>
  <c r="E144" i="44"/>
  <c r="E144" i="43"/>
  <c r="F44" i="48"/>
  <c r="F44" i="47"/>
  <c r="F44" i="46"/>
  <c r="F44" i="45"/>
  <c r="F44" i="44"/>
  <c r="F44" i="43"/>
  <c r="F40" i="48"/>
  <c r="F40" i="47"/>
  <c r="F40" i="46"/>
  <c r="F40" i="45"/>
  <c r="F40" i="44"/>
  <c r="F40" i="43"/>
  <c r="E155" i="44" l="1"/>
  <c r="D43" i="47"/>
  <c r="D38" i="48"/>
  <c r="D42" i="45"/>
  <c r="D44" i="48"/>
  <c r="D41" i="44"/>
  <c r="D40" i="44"/>
  <c r="D39" i="45"/>
  <c r="D46" i="47"/>
  <c r="E145" i="48"/>
  <c r="E114" i="45"/>
  <c r="E129" i="46"/>
  <c r="E139" i="46"/>
  <c r="E114" i="43"/>
  <c r="E114" i="44"/>
  <c r="E139" i="43"/>
  <c r="E129" i="44"/>
  <c r="E129" i="47"/>
  <c r="E114" i="46"/>
  <c r="E114" i="47"/>
  <c r="E129" i="43"/>
  <c r="E129" i="45"/>
  <c r="E134" i="44"/>
  <c r="E134" i="48"/>
  <c r="E134" i="47"/>
  <c r="E149" i="44"/>
  <c r="E149" i="43"/>
  <c r="E149" i="45"/>
  <c r="E134" i="43"/>
  <c r="E149" i="46"/>
  <c r="E134" i="45"/>
  <c r="E149" i="47"/>
  <c r="E139" i="47"/>
  <c r="E139" i="48"/>
  <c r="E139" i="44"/>
  <c r="E62" i="48"/>
  <c r="E62" i="47"/>
  <c r="E62" i="46"/>
  <c r="E62" i="45"/>
  <c r="E62" i="44"/>
  <c r="E62" i="43"/>
  <c r="E73" i="48"/>
  <c r="E73" i="47"/>
  <c r="E73" i="46"/>
  <c r="E73" i="45"/>
  <c r="E73" i="44"/>
  <c r="E73" i="43"/>
  <c r="E82" i="48"/>
  <c r="E82" i="47"/>
  <c r="E82" i="46"/>
  <c r="E82" i="45"/>
  <c r="E82" i="44"/>
  <c r="E82" i="43"/>
  <c r="E87" i="48"/>
  <c r="E87" i="47"/>
  <c r="E87" i="46"/>
  <c r="E87" i="45"/>
  <c r="E87" i="44"/>
  <c r="E87" i="43"/>
  <c r="E95" i="48"/>
  <c r="E95" i="47"/>
  <c r="E95" i="46"/>
  <c r="E95" i="45"/>
  <c r="E95" i="44"/>
  <c r="E95" i="43"/>
  <c r="E109" i="48"/>
  <c r="E109" i="47"/>
  <c r="E109" i="46"/>
  <c r="E109" i="45"/>
  <c r="E109" i="44"/>
  <c r="E109" i="43"/>
  <c r="E56" i="48"/>
  <c r="E56" i="47"/>
  <c r="E56" i="46"/>
  <c r="E56" i="45"/>
  <c r="E56" i="44"/>
  <c r="E56" i="43"/>
  <c r="E65" i="48"/>
  <c r="E65" i="47"/>
  <c r="E65" i="46"/>
  <c r="E65" i="45"/>
  <c r="E65" i="44"/>
  <c r="E65" i="43"/>
  <c r="E81" i="48"/>
  <c r="E81" i="47"/>
  <c r="E81" i="46"/>
  <c r="E81" i="45"/>
  <c r="E81" i="44"/>
  <c r="E81" i="43"/>
  <c r="E74" i="48"/>
  <c r="E74" i="47"/>
  <c r="E74" i="46"/>
  <c r="E74" i="45"/>
  <c r="E74" i="44"/>
  <c r="E74" i="43"/>
  <c r="E86" i="48"/>
  <c r="E86" i="47"/>
  <c r="E86" i="46"/>
  <c r="E86" i="45"/>
  <c r="E86" i="44"/>
  <c r="E86" i="43"/>
  <c r="E94" i="48"/>
  <c r="E94" i="47"/>
  <c r="E94" i="46"/>
  <c r="E94" i="45"/>
  <c r="E94" i="44"/>
  <c r="E94" i="43"/>
  <c r="E107" i="48"/>
  <c r="E107" i="47"/>
  <c r="E107" i="46"/>
  <c r="E107" i="45"/>
  <c r="E107" i="44"/>
  <c r="E107" i="43"/>
  <c r="H234" i="48"/>
  <c r="I234" i="48" s="1"/>
  <c r="J234" i="48" s="1"/>
  <c r="K234" i="48" s="1"/>
  <c r="L234" i="48" s="1"/>
  <c r="M234" i="48" s="1"/>
  <c r="N234" i="48" s="1"/>
  <c r="O234" i="48" s="1"/>
  <c r="P234" i="48" s="1"/>
  <c r="Q234" i="48" s="1"/>
  <c r="R234" i="48" s="1"/>
  <c r="S234" i="48" s="1"/>
  <c r="H234" i="47"/>
  <c r="I234" i="47" s="1"/>
  <c r="J234" i="47" s="1"/>
  <c r="K234" i="47" s="1"/>
  <c r="L234" i="47" s="1"/>
  <c r="M234" i="47" s="1"/>
  <c r="N234" i="47" s="1"/>
  <c r="O234" i="47" s="1"/>
  <c r="P234" i="47" s="1"/>
  <c r="Q234" i="47" s="1"/>
  <c r="R234" i="47" s="1"/>
  <c r="S234" i="47" s="1"/>
  <c r="H234" i="46"/>
  <c r="I234" i="46" s="1"/>
  <c r="J234" i="46" s="1"/>
  <c r="K234" i="46" s="1"/>
  <c r="L234" i="46" s="1"/>
  <c r="M234" i="46" s="1"/>
  <c r="N234" i="46" s="1"/>
  <c r="O234" i="46" s="1"/>
  <c r="P234" i="46" s="1"/>
  <c r="Q234" i="46" s="1"/>
  <c r="R234" i="46" s="1"/>
  <c r="S234" i="46" s="1"/>
  <c r="H234" i="45"/>
  <c r="I234" i="45" s="1"/>
  <c r="J234" i="45" s="1"/>
  <c r="K234" i="45" s="1"/>
  <c r="L234" i="45" s="1"/>
  <c r="M234" i="45" s="1"/>
  <c r="N234" i="45" s="1"/>
  <c r="O234" i="45" s="1"/>
  <c r="P234" i="45" s="1"/>
  <c r="Q234" i="45" s="1"/>
  <c r="R234" i="45" s="1"/>
  <c r="S234" i="45" s="1"/>
  <c r="H234" i="44"/>
  <c r="I234" i="44" s="1"/>
  <c r="J234" i="44" s="1"/>
  <c r="K234" i="44" s="1"/>
  <c r="L234" i="44" s="1"/>
  <c r="M234" i="44" s="1"/>
  <c r="N234" i="44" s="1"/>
  <c r="O234" i="44" s="1"/>
  <c r="P234" i="44" s="1"/>
  <c r="Q234" i="44" s="1"/>
  <c r="R234" i="44" s="1"/>
  <c r="S234" i="44" s="1"/>
  <c r="H234" i="43"/>
  <c r="I234" i="43" s="1"/>
  <c r="J234" i="43" s="1"/>
  <c r="K234" i="43" s="1"/>
  <c r="L234" i="43" s="1"/>
  <c r="M234" i="43" s="1"/>
  <c r="N234" i="43" s="1"/>
  <c r="O234" i="43" s="1"/>
  <c r="P234" i="43" s="1"/>
  <c r="Q234" i="43" s="1"/>
  <c r="R234" i="43" s="1"/>
  <c r="S234" i="43" s="1"/>
  <c r="E61" i="48"/>
  <c r="E61" i="47"/>
  <c r="E61" i="46"/>
  <c r="E61" i="45"/>
  <c r="E61" i="44"/>
  <c r="E61" i="43"/>
  <c r="E135" i="48"/>
  <c r="E135" i="47"/>
  <c r="E135" i="46"/>
  <c r="E135" i="45"/>
  <c r="E135" i="43"/>
  <c r="E135" i="44"/>
  <c r="E71" i="48"/>
  <c r="E71" i="47"/>
  <c r="E71" i="46"/>
  <c r="E71" i="45"/>
  <c r="E71" i="44"/>
  <c r="E71" i="43"/>
  <c r="E79" i="48"/>
  <c r="E79" i="47"/>
  <c r="E79" i="46"/>
  <c r="E79" i="45"/>
  <c r="E79" i="44"/>
  <c r="E79" i="43"/>
  <c r="E130" i="48"/>
  <c r="E130" i="47"/>
  <c r="E130" i="46"/>
  <c r="E130" i="45"/>
  <c r="E130" i="43"/>
  <c r="E130" i="44"/>
  <c r="E85" i="48"/>
  <c r="E85" i="47"/>
  <c r="E85" i="46"/>
  <c r="E85" i="45"/>
  <c r="E85" i="44"/>
  <c r="E85" i="43"/>
  <c r="E93" i="48"/>
  <c r="E93" i="47"/>
  <c r="E93" i="46"/>
  <c r="E93" i="45"/>
  <c r="E93" i="44"/>
  <c r="E93" i="43"/>
  <c r="E105" i="48"/>
  <c r="E105" i="47"/>
  <c r="E105" i="46"/>
  <c r="E105" i="45"/>
  <c r="E105" i="44"/>
  <c r="E105" i="43"/>
  <c r="H235" i="48"/>
  <c r="I235" i="48" s="1"/>
  <c r="J235" i="48" s="1"/>
  <c r="K235" i="48" s="1"/>
  <c r="L235" i="48" s="1"/>
  <c r="M235" i="48" s="1"/>
  <c r="N235" i="48" s="1"/>
  <c r="O235" i="48" s="1"/>
  <c r="P235" i="48" s="1"/>
  <c r="Q235" i="48" s="1"/>
  <c r="R235" i="48" s="1"/>
  <c r="S235" i="48" s="1"/>
  <c r="H235" i="47"/>
  <c r="I235" i="47" s="1"/>
  <c r="J235" i="47" s="1"/>
  <c r="K235" i="47" s="1"/>
  <c r="L235" i="47" s="1"/>
  <c r="M235" i="47" s="1"/>
  <c r="N235" i="47" s="1"/>
  <c r="O235" i="47" s="1"/>
  <c r="P235" i="47" s="1"/>
  <c r="Q235" i="47" s="1"/>
  <c r="R235" i="47" s="1"/>
  <c r="S235" i="47" s="1"/>
  <c r="H235" i="46"/>
  <c r="I235" i="46" s="1"/>
  <c r="J235" i="46" s="1"/>
  <c r="K235" i="46" s="1"/>
  <c r="L235" i="46" s="1"/>
  <c r="M235" i="46" s="1"/>
  <c r="N235" i="46" s="1"/>
  <c r="O235" i="46" s="1"/>
  <c r="P235" i="46" s="1"/>
  <c r="Q235" i="46" s="1"/>
  <c r="R235" i="46" s="1"/>
  <c r="S235" i="46" s="1"/>
  <c r="H235" i="45"/>
  <c r="I235" i="45" s="1"/>
  <c r="J235" i="45" s="1"/>
  <c r="K235" i="45" s="1"/>
  <c r="L235" i="45" s="1"/>
  <c r="M235" i="45" s="1"/>
  <c r="N235" i="45" s="1"/>
  <c r="O235" i="45" s="1"/>
  <c r="P235" i="45" s="1"/>
  <c r="Q235" i="45" s="1"/>
  <c r="R235" i="45" s="1"/>
  <c r="S235" i="45" s="1"/>
  <c r="H235" i="44"/>
  <c r="I235" i="44" s="1"/>
  <c r="J235" i="44" s="1"/>
  <c r="K235" i="44" s="1"/>
  <c r="L235" i="44" s="1"/>
  <c r="M235" i="44" s="1"/>
  <c r="N235" i="44" s="1"/>
  <c r="O235" i="44" s="1"/>
  <c r="P235" i="44" s="1"/>
  <c r="Q235" i="44" s="1"/>
  <c r="R235" i="44" s="1"/>
  <c r="S235" i="44" s="1"/>
  <c r="H235" i="43"/>
  <c r="I235" i="43" s="1"/>
  <c r="J235" i="43" s="1"/>
  <c r="K235" i="43" s="1"/>
  <c r="L235" i="43" s="1"/>
  <c r="M235" i="43" s="1"/>
  <c r="N235" i="43" s="1"/>
  <c r="O235" i="43" s="1"/>
  <c r="P235" i="43" s="1"/>
  <c r="Q235" i="43" s="1"/>
  <c r="R235" i="43" s="1"/>
  <c r="S235" i="43" s="1"/>
  <c r="E60" i="48"/>
  <c r="E60" i="47"/>
  <c r="E60" i="46"/>
  <c r="E60" i="45"/>
  <c r="E60" i="44"/>
  <c r="E60" i="43"/>
  <c r="E72" i="48"/>
  <c r="E72" i="47"/>
  <c r="E72" i="46"/>
  <c r="E72" i="45"/>
  <c r="E72" i="44"/>
  <c r="E72" i="43"/>
  <c r="E78" i="48"/>
  <c r="E78" i="47"/>
  <c r="E78" i="46"/>
  <c r="E78" i="45"/>
  <c r="E78" i="44"/>
  <c r="E78" i="43"/>
  <c r="E84" i="48"/>
  <c r="E84" i="47"/>
  <c r="E84" i="46"/>
  <c r="E84" i="45"/>
  <c r="E84" i="44"/>
  <c r="E84" i="43"/>
  <c r="E92" i="48"/>
  <c r="E92" i="47"/>
  <c r="E92" i="46"/>
  <c r="E92" i="45"/>
  <c r="E92" i="44"/>
  <c r="E92" i="43"/>
  <c r="E104" i="48"/>
  <c r="E104" i="47"/>
  <c r="E104" i="46"/>
  <c r="E104" i="45"/>
  <c r="E104" i="44"/>
  <c r="E104" i="43"/>
  <c r="E59" i="48"/>
  <c r="E59" i="47"/>
  <c r="E59" i="46"/>
  <c r="E59" i="45"/>
  <c r="E59" i="44"/>
  <c r="E59" i="43"/>
  <c r="E115" i="48"/>
  <c r="E115" i="47"/>
  <c r="E115" i="46"/>
  <c r="E115" i="45"/>
  <c r="E115" i="43"/>
  <c r="E115" i="44"/>
  <c r="E70" i="48"/>
  <c r="E70" i="47"/>
  <c r="E70" i="46"/>
  <c r="E70" i="45"/>
  <c r="E70" i="44"/>
  <c r="E70" i="43"/>
  <c r="E77" i="48"/>
  <c r="E77" i="47"/>
  <c r="E77" i="46"/>
  <c r="E77" i="45"/>
  <c r="E77" i="44"/>
  <c r="E77" i="43"/>
  <c r="E150" i="48"/>
  <c r="E150" i="47"/>
  <c r="E150" i="46"/>
  <c r="E150" i="45"/>
  <c r="E150" i="43"/>
  <c r="E150" i="44"/>
  <c r="E91" i="48"/>
  <c r="E91" i="47"/>
  <c r="E91" i="46"/>
  <c r="E91" i="45"/>
  <c r="E91" i="44"/>
  <c r="E91" i="43"/>
  <c r="E90" i="48"/>
  <c r="E90" i="47"/>
  <c r="E90" i="46"/>
  <c r="E90" i="45"/>
  <c r="E90" i="44"/>
  <c r="E90" i="43"/>
  <c r="E97" i="48"/>
  <c r="E97" i="47"/>
  <c r="E97" i="46"/>
  <c r="E97" i="45"/>
  <c r="E97" i="44"/>
  <c r="E97" i="43"/>
  <c r="E106" i="48"/>
  <c r="E106" i="47"/>
  <c r="E106" i="46"/>
  <c r="E106" i="45"/>
  <c r="E106" i="44"/>
  <c r="E106" i="43"/>
  <c r="H238" i="48"/>
  <c r="I238" i="48" s="1"/>
  <c r="J238" i="48" s="1"/>
  <c r="K238" i="48" s="1"/>
  <c r="L238" i="48" s="1"/>
  <c r="M238" i="48" s="1"/>
  <c r="N238" i="48" s="1"/>
  <c r="O238" i="48" s="1"/>
  <c r="P238" i="48" s="1"/>
  <c r="Q238" i="48" s="1"/>
  <c r="R238" i="48" s="1"/>
  <c r="S238" i="48" s="1"/>
  <c r="H238" i="47"/>
  <c r="I238" i="47" s="1"/>
  <c r="J238" i="47" s="1"/>
  <c r="K238" i="47" s="1"/>
  <c r="L238" i="47" s="1"/>
  <c r="M238" i="47" s="1"/>
  <c r="N238" i="47" s="1"/>
  <c r="O238" i="47" s="1"/>
  <c r="P238" i="47" s="1"/>
  <c r="Q238" i="47" s="1"/>
  <c r="R238" i="47" s="1"/>
  <c r="S238" i="47" s="1"/>
  <c r="H238" i="46"/>
  <c r="I238" i="46" s="1"/>
  <c r="J238" i="46" s="1"/>
  <c r="K238" i="46" s="1"/>
  <c r="L238" i="46" s="1"/>
  <c r="M238" i="46" s="1"/>
  <c r="N238" i="46" s="1"/>
  <c r="O238" i="46" s="1"/>
  <c r="P238" i="46" s="1"/>
  <c r="Q238" i="46" s="1"/>
  <c r="R238" i="46" s="1"/>
  <c r="S238" i="46" s="1"/>
  <c r="H238" i="45"/>
  <c r="I238" i="45" s="1"/>
  <c r="J238" i="45" s="1"/>
  <c r="K238" i="45" s="1"/>
  <c r="L238" i="45" s="1"/>
  <c r="M238" i="45" s="1"/>
  <c r="N238" i="45" s="1"/>
  <c r="O238" i="45" s="1"/>
  <c r="P238" i="45" s="1"/>
  <c r="Q238" i="45" s="1"/>
  <c r="R238" i="45" s="1"/>
  <c r="S238" i="45" s="1"/>
  <c r="H238" i="44"/>
  <c r="I238" i="44" s="1"/>
  <c r="J238" i="44" s="1"/>
  <c r="K238" i="44" s="1"/>
  <c r="L238" i="44" s="1"/>
  <c r="M238" i="44" s="1"/>
  <c r="N238" i="44" s="1"/>
  <c r="O238" i="44" s="1"/>
  <c r="P238" i="44" s="1"/>
  <c r="Q238" i="44" s="1"/>
  <c r="R238" i="44" s="1"/>
  <c r="S238" i="44" s="1"/>
  <c r="H238" i="43"/>
  <c r="I238" i="43" s="1"/>
  <c r="J238" i="43" s="1"/>
  <c r="K238" i="43" s="1"/>
  <c r="L238" i="43" s="1"/>
  <c r="M238" i="43" s="1"/>
  <c r="N238" i="43" s="1"/>
  <c r="O238" i="43" s="1"/>
  <c r="P238" i="43" s="1"/>
  <c r="Q238" i="43" s="1"/>
  <c r="R238" i="43" s="1"/>
  <c r="S238" i="43" s="1"/>
  <c r="E64" i="48"/>
  <c r="E64" i="47"/>
  <c r="E64" i="46"/>
  <c r="E64" i="45"/>
  <c r="E64" i="44"/>
  <c r="E64" i="43"/>
  <c r="E58" i="48"/>
  <c r="E58" i="47"/>
  <c r="E58" i="46"/>
  <c r="E58" i="45"/>
  <c r="E58" i="44"/>
  <c r="E58" i="43"/>
  <c r="E69" i="48"/>
  <c r="E69" i="47"/>
  <c r="E69" i="46"/>
  <c r="E69" i="45"/>
  <c r="E69" i="44"/>
  <c r="E69" i="43"/>
  <c r="E80" i="48"/>
  <c r="E80" i="47"/>
  <c r="E80" i="46"/>
  <c r="E80" i="45"/>
  <c r="E80" i="44"/>
  <c r="E80" i="43"/>
  <c r="E83" i="48"/>
  <c r="E83" i="47"/>
  <c r="E83" i="46"/>
  <c r="E83" i="45"/>
  <c r="E83" i="44"/>
  <c r="E83" i="43"/>
  <c r="E100" i="48"/>
  <c r="E100" i="47"/>
  <c r="E100" i="46"/>
  <c r="E100" i="45"/>
  <c r="E100" i="44"/>
  <c r="E100" i="43"/>
  <c r="E103" i="48"/>
  <c r="E103" i="47"/>
  <c r="E103" i="46"/>
  <c r="E103" i="45"/>
  <c r="E103" i="44"/>
  <c r="E103" i="43"/>
  <c r="H237" i="48"/>
  <c r="I237" i="48" s="1"/>
  <c r="J237" i="48" s="1"/>
  <c r="K237" i="48" s="1"/>
  <c r="L237" i="48" s="1"/>
  <c r="M237" i="48" s="1"/>
  <c r="N237" i="48" s="1"/>
  <c r="O237" i="48" s="1"/>
  <c r="P237" i="48" s="1"/>
  <c r="Q237" i="48" s="1"/>
  <c r="R237" i="48" s="1"/>
  <c r="S237" i="48" s="1"/>
  <c r="H237" i="47"/>
  <c r="I237" i="47" s="1"/>
  <c r="J237" i="47" s="1"/>
  <c r="K237" i="47" s="1"/>
  <c r="L237" i="47" s="1"/>
  <c r="M237" i="47" s="1"/>
  <c r="N237" i="47" s="1"/>
  <c r="O237" i="47" s="1"/>
  <c r="P237" i="47" s="1"/>
  <c r="Q237" i="47" s="1"/>
  <c r="R237" i="47" s="1"/>
  <c r="S237" i="47" s="1"/>
  <c r="H237" i="46"/>
  <c r="I237" i="46" s="1"/>
  <c r="J237" i="46" s="1"/>
  <c r="K237" i="46" s="1"/>
  <c r="L237" i="46" s="1"/>
  <c r="M237" i="46" s="1"/>
  <c r="N237" i="46" s="1"/>
  <c r="O237" i="46" s="1"/>
  <c r="P237" i="46" s="1"/>
  <c r="Q237" i="46" s="1"/>
  <c r="R237" i="46" s="1"/>
  <c r="S237" i="46" s="1"/>
  <c r="H237" i="45"/>
  <c r="I237" i="45" s="1"/>
  <c r="J237" i="45" s="1"/>
  <c r="K237" i="45" s="1"/>
  <c r="L237" i="45" s="1"/>
  <c r="M237" i="45" s="1"/>
  <c r="N237" i="45" s="1"/>
  <c r="O237" i="45" s="1"/>
  <c r="P237" i="45" s="1"/>
  <c r="Q237" i="45" s="1"/>
  <c r="R237" i="45" s="1"/>
  <c r="S237" i="45" s="1"/>
  <c r="H237" i="44"/>
  <c r="I237" i="44" s="1"/>
  <c r="J237" i="44" s="1"/>
  <c r="K237" i="44" s="1"/>
  <c r="L237" i="44" s="1"/>
  <c r="M237" i="44" s="1"/>
  <c r="N237" i="44" s="1"/>
  <c r="O237" i="44" s="1"/>
  <c r="P237" i="44" s="1"/>
  <c r="Q237" i="44" s="1"/>
  <c r="R237" i="44" s="1"/>
  <c r="S237" i="44" s="1"/>
  <c r="H237" i="43"/>
  <c r="I237" i="43" s="1"/>
  <c r="J237" i="43" s="1"/>
  <c r="K237" i="43" s="1"/>
  <c r="L237" i="43" s="1"/>
  <c r="M237" i="43" s="1"/>
  <c r="N237" i="43" s="1"/>
  <c r="O237" i="43" s="1"/>
  <c r="P237" i="43" s="1"/>
  <c r="Q237" i="43" s="1"/>
  <c r="R237" i="43" s="1"/>
  <c r="S237" i="43" s="1"/>
  <c r="E57" i="48"/>
  <c r="E57" i="47"/>
  <c r="E57" i="46"/>
  <c r="E57" i="45"/>
  <c r="E57" i="44"/>
  <c r="E57" i="43"/>
  <c r="E140" i="48"/>
  <c r="E140" i="47"/>
  <c r="E140" i="46"/>
  <c r="E140" i="45"/>
  <c r="E140" i="44"/>
  <c r="E140" i="43"/>
  <c r="E68" i="48"/>
  <c r="E68" i="47"/>
  <c r="E68" i="46"/>
  <c r="E68" i="45"/>
  <c r="E68" i="44"/>
  <c r="E68" i="43"/>
  <c r="E76" i="48"/>
  <c r="E76" i="47"/>
  <c r="E76" i="46"/>
  <c r="E76" i="45"/>
  <c r="E76" i="44"/>
  <c r="E76" i="43"/>
  <c r="E89" i="48"/>
  <c r="E89" i="47"/>
  <c r="E89" i="46"/>
  <c r="E89" i="45"/>
  <c r="E89" i="44"/>
  <c r="E89" i="43"/>
  <c r="E98" i="48"/>
  <c r="E98" i="47"/>
  <c r="E98" i="46"/>
  <c r="E98" i="45"/>
  <c r="E98" i="44"/>
  <c r="E98" i="43"/>
  <c r="E99" i="48"/>
  <c r="E99" i="47"/>
  <c r="E99" i="46"/>
  <c r="E99" i="45"/>
  <c r="E99" i="44"/>
  <c r="E99" i="43"/>
  <c r="E102" i="48"/>
  <c r="E102" i="47"/>
  <c r="E102" i="46"/>
  <c r="E102" i="45"/>
  <c r="E102" i="44"/>
  <c r="E102" i="43"/>
  <c r="H236" i="48"/>
  <c r="I236" i="48" s="1"/>
  <c r="J236" i="48" s="1"/>
  <c r="K236" i="48" s="1"/>
  <c r="L236" i="48" s="1"/>
  <c r="M236" i="48" s="1"/>
  <c r="N236" i="48" s="1"/>
  <c r="O236" i="48" s="1"/>
  <c r="P236" i="48" s="1"/>
  <c r="Q236" i="48" s="1"/>
  <c r="R236" i="48" s="1"/>
  <c r="S236" i="48" s="1"/>
  <c r="H236" i="47"/>
  <c r="I236" i="47" s="1"/>
  <c r="J236" i="47" s="1"/>
  <c r="K236" i="47" s="1"/>
  <c r="L236" i="47" s="1"/>
  <c r="M236" i="47" s="1"/>
  <c r="N236" i="47" s="1"/>
  <c r="O236" i="47" s="1"/>
  <c r="P236" i="47" s="1"/>
  <c r="Q236" i="47" s="1"/>
  <c r="R236" i="47" s="1"/>
  <c r="S236" i="47" s="1"/>
  <c r="H236" i="46"/>
  <c r="I236" i="46" s="1"/>
  <c r="J236" i="46" s="1"/>
  <c r="K236" i="46" s="1"/>
  <c r="L236" i="46" s="1"/>
  <c r="M236" i="46" s="1"/>
  <c r="N236" i="46" s="1"/>
  <c r="O236" i="46" s="1"/>
  <c r="P236" i="46" s="1"/>
  <c r="Q236" i="46" s="1"/>
  <c r="R236" i="46" s="1"/>
  <c r="S236" i="46" s="1"/>
  <c r="H236" i="45"/>
  <c r="I236" i="45" s="1"/>
  <c r="J236" i="45" s="1"/>
  <c r="K236" i="45" s="1"/>
  <c r="L236" i="45" s="1"/>
  <c r="M236" i="45" s="1"/>
  <c r="N236" i="45" s="1"/>
  <c r="O236" i="45" s="1"/>
  <c r="P236" i="45" s="1"/>
  <c r="Q236" i="45" s="1"/>
  <c r="R236" i="45" s="1"/>
  <c r="S236" i="45" s="1"/>
  <c r="H236" i="44"/>
  <c r="I236" i="44" s="1"/>
  <c r="J236" i="44" s="1"/>
  <c r="K236" i="44" s="1"/>
  <c r="L236" i="44" s="1"/>
  <c r="M236" i="44" s="1"/>
  <c r="N236" i="44" s="1"/>
  <c r="O236" i="44" s="1"/>
  <c r="P236" i="44" s="1"/>
  <c r="Q236" i="44" s="1"/>
  <c r="R236" i="44" s="1"/>
  <c r="S236" i="44" s="1"/>
  <c r="H236" i="43"/>
  <c r="I236" i="43" s="1"/>
  <c r="J236" i="43" s="1"/>
  <c r="K236" i="43" s="1"/>
  <c r="L236" i="43" s="1"/>
  <c r="M236" i="43" s="1"/>
  <c r="N236" i="43" s="1"/>
  <c r="O236" i="43" s="1"/>
  <c r="P236" i="43" s="1"/>
  <c r="Q236" i="43" s="1"/>
  <c r="R236" i="43" s="1"/>
  <c r="S236" i="43" s="1"/>
  <c r="E63" i="48"/>
  <c r="E63" i="47"/>
  <c r="E63" i="46"/>
  <c r="E63" i="45"/>
  <c r="E63" i="44"/>
  <c r="E63" i="43"/>
  <c r="E67" i="48"/>
  <c r="E67" i="47"/>
  <c r="E67" i="46"/>
  <c r="E67" i="45"/>
  <c r="E67" i="44"/>
  <c r="E67" i="43"/>
  <c r="E66" i="48"/>
  <c r="E66" i="47"/>
  <c r="E66" i="46"/>
  <c r="E66" i="45"/>
  <c r="E66" i="44"/>
  <c r="E66" i="43"/>
  <c r="E75" i="48"/>
  <c r="E75" i="47"/>
  <c r="E75" i="46"/>
  <c r="E75" i="45"/>
  <c r="E75" i="44"/>
  <c r="E75" i="43"/>
  <c r="E88" i="48"/>
  <c r="E88" i="47"/>
  <c r="E88" i="46"/>
  <c r="E88" i="45"/>
  <c r="E88" i="44"/>
  <c r="E88" i="43"/>
  <c r="E96" i="48"/>
  <c r="E96" i="47"/>
  <c r="E96" i="46"/>
  <c r="E96" i="45"/>
  <c r="E96" i="44"/>
  <c r="E96" i="43"/>
  <c r="E101" i="48"/>
  <c r="E101" i="47"/>
  <c r="E101" i="46"/>
  <c r="E101" i="45"/>
  <c r="E101" i="44"/>
  <c r="E101" i="43"/>
  <c r="E108" i="48"/>
  <c r="E108" i="47"/>
  <c r="E108" i="46"/>
  <c r="E108" i="45"/>
  <c r="E108" i="44"/>
  <c r="E108" i="43"/>
  <c r="D48" i="48"/>
  <c r="D48" i="47"/>
  <c r="D48" i="46"/>
  <c r="D48" i="45"/>
  <c r="D48" i="44"/>
  <c r="D48" i="43"/>
  <c r="D47" i="48"/>
  <c r="D47" i="46"/>
  <c r="D47" i="47"/>
  <c r="D47" i="45"/>
  <c r="D47" i="44"/>
  <c r="D47" i="43"/>
  <c r="D44" i="44"/>
  <c r="D50" i="48"/>
  <c r="D50" i="46"/>
  <c r="D50" i="47"/>
  <c r="D50" i="44"/>
  <c r="D50" i="45"/>
  <c r="D50" i="43"/>
  <c r="D53" i="48"/>
  <c r="D53" i="47"/>
  <c r="D53" i="46"/>
  <c r="D53" i="45"/>
  <c r="D53" i="44"/>
  <c r="D53" i="43"/>
  <c r="D49" i="48"/>
  <c r="D49" i="47"/>
  <c r="D49" i="46"/>
  <c r="D49" i="45"/>
  <c r="D49" i="44"/>
  <c r="D49" i="43"/>
  <c r="D51" i="48"/>
  <c r="D51" i="47"/>
  <c r="D51" i="46"/>
  <c r="D51" i="45"/>
  <c r="D51" i="44"/>
  <c r="D51" i="43"/>
  <c r="D55" i="48"/>
  <c r="D55" i="47"/>
  <c r="D55" i="46"/>
  <c r="D55" i="44"/>
  <c r="D55" i="45"/>
  <c r="D55" i="43"/>
  <c r="D54" i="48"/>
  <c r="D54" i="47"/>
  <c r="D54" i="46"/>
  <c r="D54" i="44"/>
  <c r="D54" i="45"/>
  <c r="D54" i="43"/>
  <c r="D52" i="48"/>
  <c r="D52" i="47"/>
  <c r="D52" i="46"/>
  <c r="D52" i="45"/>
  <c r="D52" i="44"/>
  <c r="D52" i="43"/>
  <c r="D41" i="45" l="1"/>
  <c r="D44" i="47"/>
  <c r="D42" i="46"/>
  <c r="D44" i="43"/>
  <c r="D44" i="45"/>
  <c r="D44" i="46"/>
  <c r="E155" i="43"/>
  <c r="E155" i="48"/>
  <c r="E155" i="45"/>
  <c r="E155" i="46"/>
  <c r="E155" i="47"/>
  <c r="D46" i="48"/>
  <c r="D43" i="48"/>
  <c r="D43" i="43"/>
  <c r="D43" i="45"/>
  <c r="D46" i="44"/>
  <c r="D43" i="44"/>
  <c r="D46" i="45"/>
  <c r="D46" i="46"/>
  <c r="D43" i="46"/>
  <c r="D46" i="43"/>
  <c r="D42" i="47"/>
  <c r="D42" i="48"/>
  <c r="D42" i="43"/>
  <c r="D42" i="44"/>
  <c r="D38" i="43"/>
  <c r="E145" i="47"/>
  <c r="D38" i="45"/>
  <c r="D38" i="44"/>
  <c r="D38" i="46"/>
  <c r="D38" i="47"/>
  <c r="E145" i="44"/>
  <c r="E145" i="45"/>
  <c r="D41" i="47"/>
  <c r="D45" i="46"/>
  <c r="D41" i="48"/>
  <c r="D41" i="43"/>
  <c r="D41" i="46"/>
  <c r="D45" i="44"/>
  <c r="D45" i="47"/>
  <c r="D45" i="48"/>
  <c r="D45" i="43"/>
  <c r="D45" i="45"/>
  <c r="D40" i="46"/>
  <c r="D39" i="46"/>
  <c r="E145" i="43"/>
  <c r="E145" i="46"/>
  <c r="D39" i="47"/>
  <c r="D39" i="48"/>
  <c r="D39" i="43"/>
  <c r="D39" i="44"/>
  <c r="D40" i="45"/>
  <c r="D40" i="47"/>
  <c r="D40" i="48"/>
  <c r="D40" i="43"/>
  <c r="E252" i="43"/>
  <c r="E251" i="43"/>
  <c r="E249" i="47"/>
  <c r="C104" i="45"/>
  <c r="E250" i="45"/>
  <c r="C103" i="48"/>
  <c r="C106" i="45"/>
  <c r="C109" i="45"/>
  <c r="C105" i="46"/>
  <c r="C107" i="48"/>
  <c r="H241" i="48"/>
  <c r="I241" i="48" s="1"/>
  <c r="J241" i="48" s="1"/>
  <c r="K241" i="48" s="1"/>
  <c r="L241" i="48" s="1"/>
  <c r="M241" i="48" s="1"/>
  <c r="N241" i="48" s="1"/>
  <c r="O241" i="48" s="1"/>
  <c r="P241" i="48" s="1"/>
  <c r="Q241" i="48" s="1"/>
  <c r="R241" i="48" s="1"/>
  <c r="S241" i="48" s="1"/>
  <c r="H241" i="47"/>
  <c r="I241" i="47" s="1"/>
  <c r="J241" i="47" s="1"/>
  <c r="K241" i="47" s="1"/>
  <c r="L241" i="47" s="1"/>
  <c r="M241" i="47" s="1"/>
  <c r="N241" i="47" s="1"/>
  <c r="O241" i="47" s="1"/>
  <c r="P241" i="47" s="1"/>
  <c r="Q241" i="47" s="1"/>
  <c r="R241" i="47" s="1"/>
  <c r="S241" i="47" s="1"/>
  <c r="H241" i="46"/>
  <c r="I241" i="46" s="1"/>
  <c r="J241" i="46" s="1"/>
  <c r="K241" i="46" s="1"/>
  <c r="L241" i="46" s="1"/>
  <c r="M241" i="46" s="1"/>
  <c r="N241" i="46" s="1"/>
  <c r="O241" i="46" s="1"/>
  <c r="P241" i="46" s="1"/>
  <c r="Q241" i="46" s="1"/>
  <c r="R241" i="46" s="1"/>
  <c r="S241" i="46" s="1"/>
  <c r="H241" i="45"/>
  <c r="I241" i="45" s="1"/>
  <c r="J241" i="45" s="1"/>
  <c r="K241" i="45" s="1"/>
  <c r="L241" i="45" s="1"/>
  <c r="M241" i="45" s="1"/>
  <c r="N241" i="45" s="1"/>
  <c r="O241" i="45" s="1"/>
  <c r="P241" i="45" s="1"/>
  <c r="Q241" i="45" s="1"/>
  <c r="R241" i="45" s="1"/>
  <c r="S241" i="45" s="1"/>
  <c r="H241" i="44"/>
  <c r="I241" i="44" s="1"/>
  <c r="J241" i="44" s="1"/>
  <c r="K241" i="44" s="1"/>
  <c r="L241" i="44" s="1"/>
  <c r="M241" i="44" s="1"/>
  <c r="N241" i="44" s="1"/>
  <c r="O241" i="44" s="1"/>
  <c r="P241" i="44" s="1"/>
  <c r="Q241" i="44" s="1"/>
  <c r="R241" i="44" s="1"/>
  <c r="S241" i="44" s="1"/>
  <c r="H241" i="43"/>
  <c r="I241" i="43" s="1"/>
  <c r="J241" i="43" s="1"/>
  <c r="K241" i="43" s="1"/>
  <c r="L241" i="43" s="1"/>
  <c r="M241" i="43" s="1"/>
  <c r="N241" i="43" s="1"/>
  <c r="O241" i="43" s="1"/>
  <c r="P241" i="43" s="1"/>
  <c r="Q241" i="43" s="1"/>
  <c r="R241" i="43" s="1"/>
  <c r="S241" i="43" s="1"/>
  <c r="E48" i="48"/>
  <c r="E48" i="47"/>
  <c r="E48" i="46"/>
  <c r="E48" i="45"/>
  <c r="E48" i="44"/>
  <c r="E48" i="43"/>
  <c r="F134" i="48"/>
  <c r="F134" i="47"/>
  <c r="F134" i="46"/>
  <c r="F134" i="45"/>
  <c r="F134" i="44"/>
  <c r="F134" i="43"/>
  <c r="E141" i="48"/>
  <c r="E141" i="47"/>
  <c r="E141" i="46"/>
  <c r="E141" i="45"/>
  <c r="E141" i="43"/>
  <c r="E141" i="44"/>
  <c r="E136" i="48"/>
  <c r="E136" i="47"/>
  <c r="E136" i="46"/>
  <c r="E136" i="45"/>
  <c r="E136" i="44"/>
  <c r="E136" i="43"/>
  <c r="E51" i="48"/>
  <c r="E51" i="47"/>
  <c r="E51" i="46"/>
  <c r="E51" i="44"/>
  <c r="E51" i="45"/>
  <c r="E51" i="43"/>
  <c r="E50" i="48"/>
  <c r="E50" i="47"/>
  <c r="E50" i="46"/>
  <c r="E50" i="45"/>
  <c r="E50" i="44"/>
  <c r="E50" i="43"/>
  <c r="H239" i="48"/>
  <c r="I239" i="48" s="1"/>
  <c r="J239" i="48" s="1"/>
  <c r="K239" i="48" s="1"/>
  <c r="L239" i="48" s="1"/>
  <c r="M239" i="48" s="1"/>
  <c r="N239" i="48" s="1"/>
  <c r="O239" i="48" s="1"/>
  <c r="P239" i="48" s="1"/>
  <c r="Q239" i="48" s="1"/>
  <c r="R239" i="48" s="1"/>
  <c r="S239" i="48" s="1"/>
  <c r="H239" i="47"/>
  <c r="I239" i="47" s="1"/>
  <c r="J239" i="47" s="1"/>
  <c r="K239" i="47" s="1"/>
  <c r="L239" i="47" s="1"/>
  <c r="M239" i="47" s="1"/>
  <c r="N239" i="47" s="1"/>
  <c r="O239" i="47" s="1"/>
  <c r="P239" i="47" s="1"/>
  <c r="Q239" i="47" s="1"/>
  <c r="R239" i="47" s="1"/>
  <c r="S239" i="47" s="1"/>
  <c r="H239" i="46"/>
  <c r="I239" i="46" s="1"/>
  <c r="J239" i="46" s="1"/>
  <c r="K239" i="46" s="1"/>
  <c r="L239" i="46" s="1"/>
  <c r="M239" i="46" s="1"/>
  <c r="N239" i="46" s="1"/>
  <c r="O239" i="46" s="1"/>
  <c r="P239" i="46" s="1"/>
  <c r="Q239" i="46" s="1"/>
  <c r="R239" i="46" s="1"/>
  <c r="S239" i="46" s="1"/>
  <c r="H239" i="45"/>
  <c r="I239" i="45" s="1"/>
  <c r="J239" i="45" s="1"/>
  <c r="K239" i="45" s="1"/>
  <c r="L239" i="45" s="1"/>
  <c r="M239" i="45" s="1"/>
  <c r="N239" i="45" s="1"/>
  <c r="O239" i="45" s="1"/>
  <c r="P239" i="45" s="1"/>
  <c r="Q239" i="45" s="1"/>
  <c r="R239" i="45" s="1"/>
  <c r="S239" i="45" s="1"/>
  <c r="H239" i="44"/>
  <c r="I239" i="44" s="1"/>
  <c r="J239" i="44" s="1"/>
  <c r="K239" i="44" s="1"/>
  <c r="L239" i="44" s="1"/>
  <c r="M239" i="44" s="1"/>
  <c r="N239" i="44" s="1"/>
  <c r="O239" i="44" s="1"/>
  <c r="P239" i="44" s="1"/>
  <c r="Q239" i="44" s="1"/>
  <c r="R239" i="44" s="1"/>
  <c r="S239" i="44" s="1"/>
  <c r="H239" i="43"/>
  <c r="I239" i="43" s="1"/>
  <c r="J239" i="43" s="1"/>
  <c r="K239" i="43" s="1"/>
  <c r="L239" i="43" s="1"/>
  <c r="M239" i="43" s="1"/>
  <c r="N239" i="43" s="1"/>
  <c r="O239" i="43" s="1"/>
  <c r="P239" i="43" s="1"/>
  <c r="Q239" i="43" s="1"/>
  <c r="R239" i="43" s="1"/>
  <c r="S239" i="43" s="1"/>
  <c r="H240" i="48"/>
  <c r="I240" i="48" s="1"/>
  <c r="J240" i="48" s="1"/>
  <c r="K240" i="48" s="1"/>
  <c r="L240" i="48" s="1"/>
  <c r="M240" i="48" s="1"/>
  <c r="N240" i="48" s="1"/>
  <c r="O240" i="48" s="1"/>
  <c r="P240" i="48" s="1"/>
  <c r="Q240" i="48" s="1"/>
  <c r="R240" i="48" s="1"/>
  <c r="S240" i="48" s="1"/>
  <c r="H240" i="47"/>
  <c r="I240" i="47" s="1"/>
  <c r="J240" i="47" s="1"/>
  <c r="K240" i="47" s="1"/>
  <c r="L240" i="47" s="1"/>
  <c r="M240" i="47" s="1"/>
  <c r="N240" i="47" s="1"/>
  <c r="O240" i="47" s="1"/>
  <c r="P240" i="47" s="1"/>
  <c r="Q240" i="47" s="1"/>
  <c r="R240" i="47" s="1"/>
  <c r="S240" i="47" s="1"/>
  <c r="H240" i="46"/>
  <c r="I240" i="46" s="1"/>
  <c r="J240" i="46" s="1"/>
  <c r="K240" i="46" s="1"/>
  <c r="L240" i="46" s="1"/>
  <c r="M240" i="46" s="1"/>
  <c r="N240" i="46" s="1"/>
  <c r="O240" i="46" s="1"/>
  <c r="P240" i="46" s="1"/>
  <c r="Q240" i="46" s="1"/>
  <c r="R240" i="46" s="1"/>
  <c r="S240" i="46" s="1"/>
  <c r="H240" i="45"/>
  <c r="I240" i="45" s="1"/>
  <c r="J240" i="45" s="1"/>
  <c r="K240" i="45" s="1"/>
  <c r="L240" i="45" s="1"/>
  <c r="M240" i="45" s="1"/>
  <c r="N240" i="45" s="1"/>
  <c r="O240" i="45" s="1"/>
  <c r="P240" i="45" s="1"/>
  <c r="Q240" i="45" s="1"/>
  <c r="R240" i="45" s="1"/>
  <c r="S240" i="45" s="1"/>
  <c r="H240" i="44"/>
  <c r="I240" i="44" s="1"/>
  <c r="J240" i="44" s="1"/>
  <c r="K240" i="44" s="1"/>
  <c r="L240" i="44" s="1"/>
  <c r="M240" i="44" s="1"/>
  <c r="N240" i="44" s="1"/>
  <c r="O240" i="44" s="1"/>
  <c r="P240" i="44" s="1"/>
  <c r="Q240" i="44" s="1"/>
  <c r="R240" i="44" s="1"/>
  <c r="S240" i="44" s="1"/>
  <c r="H240" i="43"/>
  <c r="I240" i="43" s="1"/>
  <c r="J240" i="43" s="1"/>
  <c r="K240" i="43" s="1"/>
  <c r="L240" i="43" s="1"/>
  <c r="M240" i="43" s="1"/>
  <c r="N240" i="43" s="1"/>
  <c r="O240" i="43" s="1"/>
  <c r="P240" i="43" s="1"/>
  <c r="Q240" i="43" s="1"/>
  <c r="R240" i="43" s="1"/>
  <c r="S240" i="43" s="1"/>
  <c r="E49" i="48"/>
  <c r="E49" i="47"/>
  <c r="E49" i="46"/>
  <c r="E49" i="45"/>
  <c r="E49" i="44"/>
  <c r="E49" i="43"/>
  <c r="F129" i="48"/>
  <c r="F129" i="47"/>
  <c r="F129" i="46"/>
  <c r="F129" i="45"/>
  <c r="F129" i="43"/>
  <c r="F129" i="44"/>
  <c r="F144" i="48"/>
  <c r="F144" i="47"/>
  <c r="F144" i="46"/>
  <c r="F144" i="45"/>
  <c r="F144" i="44"/>
  <c r="F144" i="43"/>
  <c r="E151" i="48"/>
  <c r="E151" i="47"/>
  <c r="E151" i="46"/>
  <c r="E151" i="45"/>
  <c r="E151" i="43"/>
  <c r="E151" i="44"/>
  <c r="F139" i="48"/>
  <c r="F139" i="47"/>
  <c r="F139" i="46"/>
  <c r="F139" i="45"/>
  <c r="F139" i="44"/>
  <c r="F139" i="43"/>
  <c r="E55" i="48"/>
  <c r="E55" i="47"/>
  <c r="E55" i="46"/>
  <c r="E55" i="45"/>
  <c r="E55" i="44"/>
  <c r="E55" i="43"/>
  <c r="H243" i="48"/>
  <c r="I243" i="48" s="1"/>
  <c r="J243" i="48" s="1"/>
  <c r="K243" i="48" s="1"/>
  <c r="L243" i="48" s="1"/>
  <c r="M243" i="48" s="1"/>
  <c r="N243" i="48" s="1"/>
  <c r="O243" i="48" s="1"/>
  <c r="P243" i="48" s="1"/>
  <c r="Q243" i="48" s="1"/>
  <c r="R243" i="48" s="1"/>
  <c r="S243" i="48" s="1"/>
  <c r="H243" i="47"/>
  <c r="I243" i="47" s="1"/>
  <c r="J243" i="47" s="1"/>
  <c r="K243" i="47" s="1"/>
  <c r="L243" i="47" s="1"/>
  <c r="M243" i="47" s="1"/>
  <c r="N243" i="47" s="1"/>
  <c r="O243" i="47" s="1"/>
  <c r="P243" i="47" s="1"/>
  <c r="Q243" i="47" s="1"/>
  <c r="R243" i="47" s="1"/>
  <c r="S243" i="47" s="1"/>
  <c r="H243" i="46"/>
  <c r="I243" i="46" s="1"/>
  <c r="J243" i="46" s="1"/>
  <c r="K243" i="46" s="1"/>
  <c r="L243" i="46" s="1"/>
  <c r="M243" i="46" s="1"/>
  <c r="N243" i="46" s="1"/>
  <c r="O243" i="46" s="1"/>
  <c r="P243" i="46" s="1"/>
  <c r="Q243" i="46" s="1"/>
  <c r="R243" i="46" s="1"/>
  <c r="S243" i="46" s="1"/>
  <c r="H243" i="45"/>
  <c r="I243" i="45" s="1"/>
  <c r="J243" i="45" s="1"/>
  <c r="K243" i="45" s="1"/>
  <c r="L243" i="45" s="1"/>
  <c r="M243" i="45" s="1"/>
  <c r="N243" i="45" s="1"/>
  <c r="O243" i="45" s="1"/>
  <c r="P243" i="45" s="1"/>
  <c r="Q243" i="45" s="1"/>
  <c r="R243" i="45" s="1"/>
  <c r="S243" i="45" s="1"/>
  <c r="H243" i="44"/>
  <c r="I243" i="44" s="1"/>
  <c r="J243" i="44" s="1"/>
  <c r="K243" i="44" s="1"/>
  <c r="L243" i="44" s="1"/>
  <c r="M243" i="44" s="1"/>
  <c r="N243" i="44" s="1"/>
  <c r="O243" i="44" s="1"/>
  <c r="P243" i="44" s="1"/>
  <c r="Q243" i="44" s="1"/>
  <c r="R243" i="44" s="1"/>
  <c r="S243" i="44" s="1"/>
  <c r="H243" i="43"/>
  <c r="I243" i="43" s="1"/>
  <c r="J243" i="43" s="1"/>
  <c r="K243" i="43" s="1"/>
  <c r="L243" i="43" s="1"/>
  <c r="M243" i="43" s="1"/>
  <c r="N243" i="43" s="1"/>
  <c r="O243" i="43" s="1"/>
  <c r="P243" i="43" s="1"/>
  <c r="Q243" i="43" s="1"/>
  <c r="R243" i="43" s="1"/>
  <c r="S243" i="43" s="1"/>
  <c r="E47" i="48"/>
  <c r="E47" i="47"/>
  <c r="E47" i="46"/>
  <c r="E47" i="45"/>
  <c r="E47" i="44"/>
  <c r="E47" i="43"/>
  <c r="F149" i="48"/>
  <c r="F149" i="47"/>
  <c r="F149" i="46"/>
  <c r="F149" i="45"/>
  <c r="F149" i="43"/>
  <c r="F149" i="44"/>
  <c r="F114" i="48"/>
  <c r="F114" i="47"/>
  <c r="F114" i="46"/>
  <c r="F114" i="45"/>
  <c r="F114" i="44"/>
  <c r="F114" i="43"/>
  <c r="E116" i="48"/>
  <c r="E116" i="47"/>
  <c r="E116" i="46"/>
  <c r="E116" i="45"/>
  <c r="E116" i="43"/>
  <c r="E116" i="44"/>
  <c r="E131" i="48"/>
  <c r="E131" i="47"/>
  <c r="E131" i="46"/>
  <c r="E131" i="45"/>
  <c r="E131" i="43"/>
  <c r="E131" i="44"/>
  <c r="E54" i="48"/>
  <c r="E54" i="47"/>
  <c r="E54" i="46"/>
  <c r="E54" i="45"/>
  <c r="E54" i="44"/>
  <c r="E54" i="43"/>
  <c r="H242" i="48"/>
  <c r="I242" i="48" s="1"/>
  <c r="J242" i="48" s="1"/>
  <c r="K242" i="48" s="1"/>
  <c r="L242" i="48" s="1"/>
  <c r="M242" i="48" s="1"/>
  <c r="N242" i="48" s="1"/>
  <c r="O242" i="48" s="1"/>
  <c r="P242" i="48" s="1"/>
  <c r="Q242" i="48" s="1"/>
  <c r="R242" i="48" s="1"/>
  <c r="S242" i="48" s="1"/>
  <c r="H242" i="47"/>
  <c r="I242" i="47" s="1"/>
  <c r="J242" i="47" s="1"/>
  <c r="K242" i="47" s="1"/>
  <c r="L242" i="47" s="1"/>
  <c r="M242" i="47" s="1"/>
  <c r="N242" i="47" s="1"/>
  <c r="O242" i="47" s="1"/>
  <c r="P242" i="47" s="1"/>
  <c r="Q242" i="47" s="1"/>
  <c r="R242" i="47" s="1"/>
  <c r="S242" i="47" s="1"/>
  <c r="H242" i="46"/>
  <c r="I242" i="46" s="1"/>
  <c r="J242" i="46" s="1"/>
  <c r="K242" i="46" s="1"/>
  <c r="L242" i="46" s="1"/>
  <c r="M242" i="46" s="1"/>
  <c r="N242" i="46" s="1"/>
  <c r="O242" i="46" s="1"/>
  <c r="P242" i="46" s="1"/>
  <c r="Q242" i="46" s="1"/>
  <c r="R242" i="46" s="1"/>
  <c r="S242" i="46" s="1"/>
  <c r="H242" i="45"/>
  <c r="I242" i="45" s="1"/>
  <c r="J242" i="45" s="1"/>
  <c r="K242" i="45" s="1"/>
  <c r="L242" i="45" s="1"/>
  <c r="M242" i="45" s="1"/>
  <c r="N242" i="45" s="1"/>
  <c r="O242" i="45" s="1"/>
  <c r="P242" i="45" s="1"/>
  <c r="Q242" i="45" s="1"/>
  <c r="R242" i="45" s="1"/>
  <c r="S242" i="45" s="1"/>
  <c r="H242" i="44"/>
  <c r="I242" i="44" s="1"/>
  <c r="J242" i="44" s="1"/>
  <c r="K242" i="44" s="1"/>
  <c r="L242" i="44" s="1"/>
  <c r="M242" i="44" s="1"/>
  <c r="N242" i="44" s="1"/>
  <c r="O242" i="44" s="1"/>
  <c r="P242" i="44" s="1"/>
  <c r="Q242" i="44" s="1"/>
  <c r="R242" i="44" s="1"/>
  <c r="S242" i="44" s="1"/>
  <c r="H242" i="43"/>
  <c r="I242" i="43" s="1"/>
  <c r="J242" i="43" s="1"/>
  <c r="K242" i="43" s="1"/>
  <c r="L242" i="43" s="1"/>
  <c r="M242" i="43" s="1"/>
  <c r="N242" i="43" s="1"/>
  <c r="O242" i="43" s="1"/>
  <c r="P242" i="43" s="1"/>
  <c r="Q242" i="43" s="1"/>
  <c r="R242" i="43" s="1"/>
  <c r="S242" i="43" s="1"/>
  <c r="H246" i="48"/>
  <c r="I246" i="48" s="1"/>
  <c r="J246" i="48" s="1"/>
  <c r="K246" i="48" s="1"/>
  <c r="L246" i="48" s="1"/>
  <c r="M246" i="48" s="1"/>
  <c r="N246" i="48" s="1"/>
  <c r="O246" i="48" s="1"/>
  <c r="P246" i="48" s="1"/>
  <c r="Q246" i="48" s="1"/>
  <c r="R246" i="48" s="1"/>
  <c r="S246" i="48" s="1"/>
  <c r="H246" i="47"/>
  <c r="I246" i="47" s="1"/>
  <c r="J246" i="47" s="1"/>
  <c r="K246" i="47" s="1"/>
  <c r="L246" i="47" s="1"/>
  <c r="M246" i="47" s="1"/>
  <c r="N246" i="47" s="1"/>
  <c r="O246" i="47" s="1"/>
  <c r="P246" i="47" s="1"/>
  <c r="Q246" i="47" s="1"/>
  <c r="R246" i="47" s="1"/>
  <c r="S246" i="47" s="1"/>
  <c r="H246" i="46"/>
  <c r="I246" i="46" s="1"/>
  <c r="J246" i="46" s="1"/>
  <c r="K246" i="46" s="1"/>
  <c r="L246" i="46" s="1"/>
  <c r="M246" i="46" s="1"/>
  <c r="N246" i="46" s="1"/>
  <c r="O246" i="46" s="1"/>
  <c r="P246" i="46" s="1"/>
  <c r="Q246" i="46" s="1"/>
  <c r="R246" i="46" s="1"/>
  <c r="S246" i="46" s="1"/>
  <c r="H246" i="45"/>
  <c r="I246" i="45" s="1"/>
  <c r="J246" i="45" s="1"/>
  <c r="K246" i="45" s="1"/>
  <c r="L246" i="45" s="1"/>
  <c r="M246" i="45" s="1"/>
  <c r="N246" i="45" s="1"/>
  <c r="O246" i="45" s="1"/>
  <c r="P246" i="45" s="1"/>
  <c r="Q246" i="45" s="1"/>
  <c r="R246" i="45" s="1"/>
  <c r="S246" i="45" s="1"/>
  <c r="H246" i="44"/>
  <c r="I246" i="44" s="1"/>
  <c r="J246" i="44" s="1"/>
  <c r="K246" i="44" s="1"/>
  <c r="L246" i="44" s="1"/>
  <c r="M246" i="44" s="1"/>
  <c r="N246" i="44" s="1"/>
  <c r="O246" i="44" s="1"/>
  <c r="P246" i="44" s="1"/>
  <c r="Q246" i="44" s="1"/>
  <c r="R246" i="44" s="1"/>
  <c r="S246" i="44" s="1"/>
  <c r="H246" i="43"/>
  <c r="I246" i="43" s="1"/>
  <c r="J246" i="43" s="1"/>
  <c r="K246" i="43" s="1"/>
  <c r="L246" i="43" s="1"/>
  <c r="M246" i="43" s="1"/>
  <c r="N246" i="43" s="1"/>
  <c r="O246" i="43" s="1"/>
  <c r="P246" i="43" s="1"/>
  <c r="Q246" i="43" s="1"/>
  <c r="R246" i="43" s="1"/>
  <c r="S246" i="43" s="1"/>
  <c r="E53" i="48"/>
  <c r="E53" i="47"/>
  <c r="E53" i="46"/>
  <c r="E53" i="45"/>
  <c r="E53" i="44"/>
  <c r="E53" i="43"/>
  <c r="E156" i="48"/>
  <c r="E156" i="47"/>
  <c r="E156" i="46"/>
  <c r="E156" i="45"/>
  <c r="E156" i="44"/>
  <c r="E156" i="43"/>
  <c r="E253" i="48"/>
  <c r="E253" i="47"/>
  <c r="E253" i="46"/>
  <c r="E253" i="45"/>
  <c r="E253" i="44"/>
  <c r="E253" i="43"/>
  <c r="E146" i="48"/>
  <c r="E146" i="47"/>
  <c r="E146" i="46"/>
  <c r="E146" i="45"/>
  <c r="E146" i="43"/>
  <c r="E146" i="44"/>
  <c r="F154" i="48"/>
  <c r="F154" i="47"/>
  <c r="F154" i="46"/>
  <c r="F154" i="45"/>
  <c r="F154" i="44"/>
  <c r="F154" i="43"/>
  <c r="E52" i="48"/>
  <c r="E52" i="47"/>
  <c r="E52" i="46"/>
  <c r="E52" i="45"/>
  <c r="E52" i="44"/>
  <c r="E52" i="43"/>
  <c r="C101" i="43"/>
  <c r="C108" i="44"/>
  <c r="C96" i="48"/>
  <c r="C96" i="47"/>
  <c r="C96" i="46"/>
  <c r="C96" i="45"/>
  <c r="C96" i="44"/>
  <c r="C96" i="43"/>
  <c r="C95" i="48"/>
  <c r="C95" i="47"/>
  <c r="C95" i="46"/>
  <c r="C95" i="45"/>
  <c r="C95" i="44"/>
  <c r="C95" i="43"/>
  <c r="C97" i="48"/>
  <c r="C97" i="47"/>
  <c r="C97" i="46"/>
  <c r="C97" i="45"/>
  <c r="C97" i="44"/>
  <c r="C97" i="43"/>
  <c r="C92" i="48"/>
  <c r="C92" i="46"/>
  <c r="C92" i="47"/>
  <c r="C92" i="45"/>
  <c r="C92" i="44"/>
  <c r="C92" i="43"/>
  <c r="C100" i="48"/>
  <c r="C100" i="47"/>
  <c r="C100" i="46"/>
  <c r="C100" i="45"/>
  <c r="C100" i="44"/>
  <c r="C100" i="43"/>
  <c r="C98" i="48"/>
  <c r="C98" i="47"/>
  <c r="C98" i="46"/>
  <c r="C98" i="45"/>
  <c r="C98" i="44"/>
  <c r="C98" i="43"/>
  <c r="C99" i="48"/>
  <c r="C99" i="47"/>
  <c r="C99" i="46"/>
  <c r="C99" i="45"/>
  <c r="C99" i="44"/>
  <c r="C99" i="43"/>
  <c r="C94" i="48"/>
  <c r="C94" i="47"/>
  <c r="C94" i="46"/>
  <c r="C94" i="45"/>
  <c r="C94" i="44"/>
  <c r="C94" i="43"/>
  <c r="C93" i="48"/>
  <c r="C93" i="46"/>
  <c r="C93" i="47"/>
  <c r="C93" i="45"/>
  <c r="C93" i="44"/>
  <c r="C93" i="43"/>
  <c r="C102" i="48"/>
  <c r="C102" i="47"/>
  <c r="C102" i="46"/>
  <c r="C102" i="45"/>
  <c r="C102" i="44"/>
  <c r="C102" i="43"/>
  <c r="D154" i="48" l="1"/>
  <c r="D114" i="45"/>
  <c r="C103" i="46"/>
  <c r="E252" i="44"/>
  <c r="E252" i="45"/>
  <c r="E252" i="46"/>
  <c r="E252" i="48"/>
  <c r="E249" i="44"/>
  <c r="E251" i="44"/>
  <c r="C108" i="43"/>
  <c r="E249" i="48"/>
  <c r="C109" i="46"/>
  <c r="E252" i="47"/>
  <c r="C108" i="45"/>
  <c r="C104" i="46"/>
  <c r="C108" i="46"/>
  <c r="C104" i="47"/>
  <c r="C108" i="48"/>
  <c r="E251" i="46"/>
  <c r="E251" i="45"/>
  <c r="C108" i="47"/>
  <c r="E251" i="47"/>
  <c r="E251" i="48"/>
  <c r="E249" i="43"/>
  <c r="E249" i="45"/>
  <c r="E249" i="46"/>
  <c r="C101" i="48"/>
  <c r="C105" i="47"/>
  <c r="C105" i="48"/>
  <c r="C103" i="45"/>
  <c r="C105" i="43"/>
  <c r="C105" i="44"/>
  <c r="C105" i="45"/>
  <c r="C104" i="48"/>
  <c r="C104" i="43"/>
  <c r="C104" i="44"/>
  <c r="E250" i="44"/>
  <c r="C103" i="47"/>
  <c r="C103" i="43"/>
  <c r="C103" i="44"/>
  <c r="C101" i="44"/>
  <c r="E250" i="46"/>
  <c r="C101" i="45"/>
  <c r="E250" i="47"/>
  <c r="C101" i="46"/>
  <c r="C106" i="46"/>
  <c r="E250" i="48"/>
  <c r="C101" i="47"/>
  <c r="E250" i="43"/>
  <c r="C109" i="48"/>
  <c r="C106" i="47"/>
  <c r="C109" i="47"/>
  <c r="C106" i="48"/>
  <c r="C109" i="43"/>
  <c r="C106" i="43"/>
  <c r="C109" i="44"/>
  <c r="C106" i="44"/>
  <c r="C107" i="47"/>
  <c r="C107" i="43"/>
  <c r="C107" i="44"/>
  <c r="C107" i="45"/>
  <c r="C107" i="46"/>
  <c r="E258" i="48"/>
  <c r="E258" i="47"/>
  <c r="E258" i="46"/>
  <c r="E258" i="45"/>
  <c r="E258" i="44"/>
  <c r="E258" i="43"/>
  <c r="E256" i="48"/>
  <c r="E256" i="47"/>
  <c r="E256" i="46"/>
  <c r="E256" i="45"/>
  <c r="E256" i="44"/>
  <c r="E256" i="43"/>
  <c r="E158" i="48"/>
  <c r="E158" i="47"/>
  <c r="E158" i="46"/>
  <c r="E158" i="45"/>
  <c r="E158" i="44"/>
  <c r="E158" i="43"/>
  <c r="F140" i="48"/>
  <c r="F140" i="47"/>
  <c r="F140" i="46"/>
  <c r="F140" i="45"/>
  <c r="F140" i="44"/>
  <c r="F140" i="43"/>
  <c r="E142" i="48"/>
  <c r="E142" i="47"/>
  <c r="E142" i="46"/>
  <c r="E142" i="45"/>
  <c r="E142" i="43"/>
  <c r="E142" i="44"/>
  <c r="E214" i="48"/>
  <c r="E214" i="47"/>
  <c r="E214" i="46"/>
  <c r="E214" i="45"/>
  <c r="E214" i="44"/>
  <c r="E214" i="43"/>
  <c r="E147" i="48"/>
  <c r="E147" i="47"/>
  <c r="E147" i="46"/>
  <c r="E147" i="45"/>
  <c r="E147" i="43"/>
  <c r="E147" i="44"/>
  <c r="E257" i="48"/>
  <c r="E257" i="47"/>
  <c r="E257" i="46"/>
  <c r="E257" i="45"/>
  <c r="E257" i="44"/>
  <c r="E257" i="43"/>
  <c r="E143" i="48"/>
  <c r="E143" i="47"/>
  <c r="E143" i="46"/>
  <c r="E143" i="45"/>
  <c r="E143" i="43"/>
  <c r="E143" i="44"/>
  <c r="E148" i="48"/>
  <c r="E148" i="47"/>
  <c r="E148" i="46"/>
  <c r="E148" i="45"/>
  <c r="E148" i="44"/>
  <c r="E148" i="43"/>
  <c r="E255" i="48"/>
  <c r="E255" i="47"/>
  <c r="E255" i="46"/>
  <c r="E255" i="45"/>
  <c r="E255" i="44"/>
  <c r="E255" i="43"/>
  <c r="E254" i="48"/>
  <c r="E254" i="47"/>
  <c r="E254" i="46"/>
  <c r="E254" i="45"/>
  <c r="E254" i="44"/>
  <c r="E254" i="43"/>
  <c r="H248" i="48"/>
  <c r="I248" i="48" s="1"/>
  <c r="J248" i="48" s="1"/>
  <c r="K248" i="48" s="1"/>
  <c r="L248" i="48" s="1"/>
  <c r="M248" i="48" s="1"/>
  <c r="N248" i="48" s="1"/>
  <c r="O248" i="48" s="1"/>
  <c r="P248" i="48" s="1"/>
  <c r="Q248" i="48" s="1"/>
  <c r="R248" i="48" s="1"/>
  <c r="S248" i="48" s="1"/>
  <c r="H248" i="47"/>
  <c r="I248" i="47" s="1"/>
  <c r="J248" i="47" s="1"/>
  <c r="K248" i="47" s="1"/>
  <c r="L248" i="47" s="1"/>
  <c r="M248" i="47" s="1"/>
  <c r="N248" i="47" s="1"/>
  <c r="O248" i="47" s="1"/>
  <c r="P248" i="47" s="1"/>
  <c r="Q248" i="47" s="1"/>
  <c r="R248" i="47" s="1"/>
  <c r="S248" i="47" s="1"/>
  <c r="H248" i="46"/>
  <c r="I248" i="46" s="1"/>
  <c r="J248" i="46" s="1"/>
  <c r="K248" i="46" s="1"/>
  <c r="L248" i="46" s="1"/>
  <c r="M248" i="46" s="1"/>
  <c r="N248" i="46" s="1"/>
  <c r="O248" i="46" s="1"/>
  <c r="P248" i="46" s="1"/>
  <c r="Q248" i="46" s="1"/>
  <c r="R248" i="46" s="1"/>
  <c r="S248" i="46" s="1"/>
  <c r="H248" i="45"/>
  <c r="I248" i="45" s="1"/>
  <c r="J248" i="45" s="1"/>
  <c r="K248" i="45" s="1"/>
  <c r="L248" i="45" s="1"/>
  <c r="M248" i="45" s="1"/>
  <c r="N248" i="45" s="1"/>
  <c r="O248" i="45" s="1"/>
  <c r="P248" i="45" s="1"/>
  <c r="Q248" i="45" s="1"/>
  <c r="R248" i="45" s="1"/>
  <c r="S248" i="45" s="1"/>
  <c r="H248" i="44"/>
  <c r="I248" i="44" s="1"/>
  <c r="J248" i="44" s="1"/>
  <c r="K248" i="44" s="1"/>
  <c r="L248" i="44" s="1"/>
  <c r="M248" i="44" s="1"/>
  <c r="N248" i="44" s="1"/>
  <c r="O248" i="44" s="1"/>
  <c r="P248" i="44" s="1"/>
  <c r="Q248" i="44" s="1"/>
  <c r="R248" i="44" s="1"/>
  <c r="S248" i="44" s="1"/>
  <c r="H248" i="43"/>
  <c r="I248" i="43" s="1"/>
  <c r="J248" i="43" s="1"/>
  <c r="K248" i="43" s="1"/>
  <c r="L248" i="43" s="1"/>
  <c r="M248" i="43" s="1"/>
  <c r="N248" i="43" s="1"/>
  <c r="O248" i="43" s="1"/>
  <c r="P248" i="43" s="1"/>
  <c r="Q248" i="43" s="1"/>
  <c r="R248" i="43" s="1"/>
  <c r="S248" i="43" s="1"/>
  <c r="E132" i="48"/>
  <c r="E132" i="47"/>
  <c r="E132" i="46"/>
  <c r="E132" i="45"/>
  <c r="E132" i="44"/>
  <c r="E132" i="43"/>
  <c r="E152" i="48"/>
  <c r="E152" i="47"/>
  <c r="E152" i="46"/>
  <c r="E152" i="45"/>
  <c r="E152" i="44"/>
  <c r="E152" i="43"/>
  <c r="H244" i="48"/>
  <c r="I244" i="48" s="1"/>
  <c r="J244" i="48" s="1"/>
  <c r="K244" i="48" s="1"/>
  <c r="L244" i="48" s="1"/>
  <c r="M244" i="48" s="1"/>
  <c r="N244" i="48" s="1"/>
  <c r="O244" i="48" s="1"/>
  <c r="P244" i="48" s="1"/>
  <c r="Q244" i="48" s="1"/>
  <c r="R244" i="48" s="1"/>
  <c r="S244" i="48" s="1"/>
  <c r="H244" i="47"/>
  <c r="I244" i="47" s="1"/>
  <c r="J244" i="47" s="1"/>
  <c r="K244" i="47" s="1"/>
  <c r="L244" i="47" s="1"/>
  <c r="M244" i="47" s="1"/>
  <c r="N244" i="47" s="1"/>
  <c r="O244" i="47" s="1"/>
  <c r="P244" i="47" s="1"/>
  <c r="Q244" i="47" s="1"/>
  <c r="R244" i="47" s="1"/>
  <c r="S244" i="47" s="1"/>
  <c r="H244" i="46"/>
  <c r="I244" i="46" s="1"/>
  <c r="J244" i="46" s="1"/>
  <c r="K244" i="46" s="1"/>
  <c r="L244" i="46" s="1"/>
  <c r="M244" i="46" s="1"/>
  <c r="N244" i="46" s="1"/>
  <c r="O244" i="46" s="1"/>
  <c r="P244" i="46" s="1"/>
  <c r="Q244" i="46" s="1"/>
  <c r="R244" i="46" s="1"/>
  <c r="S244" i="46" s="1"/>
  <c r="H244" i="45"/>
  <c r="I244" i="45" s="1"/>
  <c r="J244" i="45" s="1"/>
  <c r="K244" i="45" s="1"/>
  <c r="L244" i="45" s="1"/>
  <c r="M244" i="45" s="1"/>
  <c r="N244" i="45" s="1"/>
  <c r="O244" i="45" s="1"/>
  <c r="P244" i="45" s="1"/>
  <c r="Q244" i="45" s="1"/>
  <c r="R244" i="45" s="1"/>
  <c r="S244" i="45" s="1"/>
  <c r="H244" i="44"/>
  <c r="I244" i="44" s="1"/>
  <c r="J244" i="44" s="1"/>
  <c r="K244" i="44" s="1"/>
  <c r="L244" i="44" s="1"/>
  <c r="M244" i="44" s="1"/>
  <c r="N244" i="44" s="1"/>
  <c r="O244" i="44" s="1"/>
  <c r="P244" i="44" s="1"/>
  <c r="Q244" i="44" s="1"/>
  <c r="R244" i="44" s="1"/>
  <c r="S244" i="44" s="1"/>
  <c r="H244" i="43"/>
  <c r="I244" i="43" s="1"/>
  <c r="J244" i="43" s="1"/>
  <c r="K244" i="43" s="1"/>
  <c r="L244" i="43" s="1"/>
  <c r="M244" i="43" s="1"/>
  <c r="N244" i="43" s="1"/>
  <c r="O244" i="43" s="1"/>
  <c r="P244" i="43" s="1"/>
  <c r="Q244" i="43" s="1"/>
  <c r="R244" i="43" s="1"/>
  <c r="S244" i="43" s="1"/>
  <c r="E133" i="48"/>
  <c r="E133" i="47"/>
  <c r="E133" i="46"/>
  <c r="E133" i="45"/>
  <c r="E133" i="43"/>
  <c r="E133" i="44"/>
  <c r="F115" i="48"/>
  <c r="F115" i="47"/>
  <c r="F115" i="46"/>
  <c r="F115" i="45"/>
  <c r="F115" i="43"/>
  <c r="F115" i="44"/>
  <c r="E153" i="48"/>
  <c r="E153" i="47"/>
  <c r="E153" i="46"/>
  <c r="E153" i="45"/>
  <c r="E153" i="43"/>
  <c r="E153" i="44"/>
  <c r="F145" i="48"/>
  <c r="F145" i="47"/>
  <c r="F145" i="46"/>
  <c r="F145" i="45"/>
  <c r="F145" i="43"/>
  <c r="F145" i="44"/>
  <c r="E117" i="48"/>
  <c r="E117" i="47"/>
  <c r="E117" i="46"/>
  <c r="E117" i="45"/>
  <c r="E117" i="43"/>
  <c r="E117" i="44"/>
  <c r="F150" i="48"/>
  <c r="F150" i="47"/>
  <c r="F150" i="46"/>
  <c r="F150" i="45"/>
  <c r="F150" i="44"/>
  <c r="F150" i="43"/>
  <c r="E204" i="48"/>
  <c r="E204" i="47"/>
  <c r="E204" i="46"/>
  <c r="E204" i="45"/>
  <c r="E204" i="44"/>
  <c r="E204" i="43"/>
  <c r="E118" i="48"/>
  <c r="E118" i="47"/>
  <c r="E118" i="46"/>
  <c r="E118" i="45"/>
  <c r="E118" i="44"/>
  <c r="E118" i="43"/>
  <c r="F130" i="48"/>
  <c r="F130" i="47"/>
  <c r="F130" i="46"/>
  <c r="F130" i="45"/>
  <c r="F130" i="44"/>
  <c r="F130" i="43"/>
  <c r="E229" i="48"/>
  <c r="E229" i="47"/>
  <c r="E229" i="46"/>
  <c r="E229" i="45"/>
  <c r="E229" i="44"/>
  <c r="E229" i="43"/>
  <c r="E137" i="48"/>
  <c r="E137" i="47"/>
  <c r="E137" i="46"/>
  <c r="E137" i="45"/>
  <c r="E137" i="43"/>
  <c r="E137" i="44"/>
  <c r="F135" i="48"/>
  <c r="F135" i="47"/>
  <c r="F135" i="46"/>
  <c r="F135" i="45"/>
  <c r="F135" i="44"/>
  <c r="F135" i="43"/>
  <c r="E244" i="48"/>
  <c r="E244" i="47"/>
  <c r="E244" i="46"/>
  <c r="E244" i="45"/>
  <c r="E244" i="44"/>
  <c r="E244" i="43"/>
  <c r="E234" i="48"/>
  <c r="E234" i="47"/>
  <c r="E234" i="46"/>
  <c r="E234" i="45"/>
  <c r="E234" i="44"/>
  <c r="E234" i="43"/>
  <c r="F155" i="48"/>
  <c r="F155" i="47"/>
  <c r="F155" i="46"/>
  <c r="F155" i="45"/>
  <c r="F155" i="43"/>
  <c r="F155" i="44"/>
  <c r="H247" i="48"/>
  <c r="I247" i="48" s="1"/>
  <c r="J247" i="48" s="1"/>
  <c r="K247" i="48" s="1"/>
  <c r="L247" i="48" s="1"/>
  <c r="M247" i="48" s="1"/>
  <c r="N247" i="48" s="1"/>
  <c r="O247" i="48" s="1"/>
  <c r="P247" i="48" s="1"/>
  <c r="Q247" i="48" s="1"/>
  <c r="R247" i="48" s="1"/>
  <c r="S247" i="48" s="1"/>
  <c r="H247" i="47"/>
  <c r="I247" i="47" s="1"/>
  <c r="J247" i="47" s="1"/>
  <c r="K247" i="47" s="1"/>
  <c r="L247" i="47" s="1"/>
  <c r="M247" i="47" s="1"/>
  <c r="N247" i="47" s="1"/>
  <c r="O247" i="47" s="1"/>
  <c r="P247" i="47" s="1"/>
  <c r="Q247" i="47" s="1"/>
  <c r="R247" i="47" s="1"/>
  <c r="S247" i="47" s="1"/>
  <c r="H247" i="46"/>
  <c r="I247" i="46" s="1"/>
  <c r="J247" i="46" s="1"/>
  <c r="K247" i="46" s="1"/>
  <c r="L247" i="46" s="1"/>
  <c r="M247" i="46" s="1"/>
  <c r="N247" i="46" s="1"/>
  <c r="O247" i="46" s="1"/>
  <c r="P247" i="46" s="1"/>
  <c r="Q247" i="46" s="1"/>
  <c r="R247" i="46" s="1"/>
  <c r="S247" i="46" s="1"/>
  <c r="H247" i="45"/>
  <c r="I247" i="45" s="1"/>
  <c r="J247" i="45" s="1"/>
  <c r="K247" i="45" s="1"/>
  <c r="L247" i="45" s="1"/>
  <c r="M247" i="45" s="1"/>
  <c r="N247" i="45" s="1"/>
  <c r="O247" i="45" s="1"/>
  <c r="P247" i="45" s="1"/>
  <c r="Q247" i="45" s="1"/>
  <c r="R247" i="45" s="1"/>
  <c r="S247" i="45" s="1"/>
  <c r="H247" i="44"/>
  <c r="I247" i="44" s="1"/>
  <c r="J247" i="44" s="1"/>
  <c r="K247" i="44" s="1"/>
  <c r="L247" i="44" s="1"/>
  <c r="M247" i="44" s="1"/>
  <c r="N247" i="44" s="1"/>
  <c r="O247" i="44" s="1"/>
  <c r="P247" i="44" s="1"/>
  <c r="Q247" i="44" s="1"/>
  <c r="R247" i="44" s="1"/>
  <c r="S247" i="44" s="1"/>
  <c r="H247" i="43"/>
  <c r="I247" i="43" s="1"/>
  <c r="J247" i="43" s="1"/>
  <c r="K247" i="43" s="1"/>
  <c r="L247" i="43" s="1"/>
  <c r="M247" i="43" s="1"/>
  <c r="N247" i="43" s="1"/>
  <c r="O247" i="43" s="1"/>
  <c r="P247" i="43" s="1"/>
  <c r="Q247" i="43" s="1"/>
  <c r="R247" i="43" s="1"/>
  <c r="S247" i="43" s="1"/>
  <c r="H245" i="48"/>
  <c r="I245" i="48" s="1"/>
  <c r="J245" i="48" s="1"/>
  <c r="K245" i="48" s="1"/>
  <c r="L245" i="48" s="1"/>
  <c r="M245" i="48" s="1"/>
  <c r="N245" i="48" s="1"/>
  <c r="O245" i="48" s="1"/>
  <c r="P245" i="48" s="1"/>
  <c r="Q245" i="48" s="1"/>
  <c r="R245" i="48" s="1"/>
  <c r="S245" i="48" s="1"/>
  <c r="H245" i="47"/>
  <c r="I245" i="47" s="1"/>
  <c r="J245" i="47" s="1"/>
  <c r="K245" i="47" s="1"/>
  <c r="L245" i="47" s="1"/>
  <c r="M245" i="47" s="1"/>
  <c r="N245" i="47" s="1"/>
  <c r="O245" i="47" s="1"/>
  <c r="P245" i="47" s="1"/>
  <c r="Q245" i="47" s="1"/>
  <c r="R245" i="47" s="1"/>
  <c r="S245" i="47" s="1"/>
  <c r="H245" i="46"/>
  <c r="I245" i="46" s="1"/>
  <c r="J245" i="46" s="1"/>
  <c r="K245" i="46" s="1"/>
  <c r="L245" i="46" s="1"/>
  <c r="M245" i="46" s="1"/>
  <c r="N245" i="46" s="1"/>
  <c r="O245" i="46" s="1"/>
  <c r="P245" i="46" s="1"/>
  <c r="Q245" i="46" s="1"/>
  <c r="R245" i="46" s="1"/>
  <c r="S245" i="46" s="1"/>
  <c r="H245" i="45"/>
  <c r="I245" i="45" s="1"/>
  <c r="J245" i="45" s="1"/>
  <c r="K245" i="45" s="1"/>
  <c r="L245" i="45" s="1"/>
  <c r="M245" i="45" s="1"/>
  <c r="N245" i="45" s="1"/>
  <c r="O245" i="45" s="1"/>
  <c r="P245" i="45" s="1"/>
  <c r="Q245" i="45" s="1"/>
  <c r="R245" i="45" s="1"/>
  <c r="S245" i="45" s="1"/>
  <c r="H245" i="44"/>
  <c r="I245" i="44" s="1"/>
  <c r="J245" i="44" s="1"/>
  <c r="K245" i="44" s="1"/>
  <c r="L245" i="44" s="1"/>
  <c r="M245" i="44" s="1"/>
  <c r="N245" i="44" s="1"/>
  <c r="O245" i="44" s="1"/>
  <c r="P245" i="44" s="1"/>
  <c r="Q245" i="44" s="1"/>
  <c r="R245" i="44" s="1"/>
  <c r="S245" i="44" s="1"/>
  <c r="H245" i="43"/>
  <c r="I245" i="43" s="1"/>
  <c r="J245" i="43" s="1"/>
  <c r="K245" i="43" s="1"/>
  <c r="L245" i="43" s="1"/>
  <c r="M245" i="43" s="1"/>
  <c r="N245" i="43" s="1"/>
  <c r="O245" i="43" s="1"/>
  <c r="P245" i="43" s="1"/>
  <c r="Q245" i="43" s="1"/>
  <c r="R245" i="43" s="1"/>
  <c r="S245" i="43" s="1"/>
  <c r="E157" i="48"/>
  <c r="E157" i="47"/>
  <c r="E157" i="46"/>
  <c r="E157" i="45"/>
  <c r="E157" i="43"/>
  <c r="E157" i="44"/>
  <c r="E209" i="48"/>
  <c r="E209" i="47"/>
  <c r="E209" i="46"/>
  <c r="E209" i="45"/>
  <c r="E209" i="44"/>
  <c r="E209" i="43"/>
  <c r="E224" i="48"/>
  <c r="E224" i="47"/>
  <c r="E224" i="46"/>
  <c r="E224" i="45"/>
  <c r="E224" i="44"/>
  <c r="E224" i="43"/>
  <c r="E219" i="48"/>
  <c r="E219" i="47"/>
  <c r="E219" i="46"/>
  <c r="E219" i="45"/>
  <c r="E219" i="44"/>
  <c r="E219" i="43"/>
  <c r="E239" i="48"/>
  <c r="E239" i="47"/>
  <c r="E239" i="46"/>
  <c r="E239" i="45"/>
  <c r="E239" i="44"/>
  <c r="E239" i="43"/>
  <c r="E138" i="48"/>
  <c r="E138" i="47"/>
  <c r="E138" i="46"/>
  <c r="E138" i="45"/>
  <c r="E138" i="43"/>
  <c r="E138" i="44"/>
  <c r="C84" i="48"/>
  <c r="C84" i="47"/>
  <c r="C84" i="46"/>
  <c r="C84" i="45"/>
  <c r="C84" i="44"/>
  <c r="C84" i="43"/>
  <c r="C63" i="48"/>
  <c r="C63" i="47"/>
  <c r="C63" i="46"/>
  <c r="C63" i="45"/>
  <c r="C63" i="44"/>
  <c r="C63" i="43"/>
  <c r="C55" i="48"/>
  <c r="C55" i="47"/>
  <c r="C55" i="46"/>
  <c r="C55" i="45"/>
  <c r="C55" i="44"/>
  <c r="C55" i="43"/>
  <c r="C78" i="48"/>
  <c r="C78" i="47"/>
  <c r="C78" i="46"/>
  <c r="C78" i="45"/>
  <c r="C78" i="44"/>
  <c r="C78" i="43"/>
  <c r="C86" i="48"/>
  <c r="C86" i="47"/>
  <c r="C86" i="46"/>
  <c r="C86" i="45"/>
  <c r="C86" i="44"/>
  <c r="C86" i="43"/>
  <c r="C85" i="48"/>
  <c r="C85" i="47"/>
  <c r="C85" i="46"/>
  <c r="C85" i="45"/>
  <c r="C85" i="44"/>
  <c r="C85" i="43"/>
  <c r="C59" i="48"/>
  <c r="C59" i="47"/>
  <c r="C59" i="46"/>
  <c r="C59" i="45"/>
  <c r="C59" i="44"/>
  <c r="C59" i="43"/>
  <c r="C50" i="48"/>
  <c r="C50" i="47"/>
  <c r="C50" i="46"/>
  <c r="C50" i="45"/>
  <c r="C50" i="44"/>
  <c r="C50" i="43"/>
  <c r="C79" i="48"/>
  <c r="C79" i="47"/>
  <c r="C79" i="46"/>
  <c r="C79" i="45"/>
  <c r="C79" i="44"/>
  <c r="C79" i="43"/>
  <c r="C91" i="48"/>
  <c r="C91" i="47"/>
  <c r="C91" i="46"/>
  <c r="C91" i="45"/>
  <c r="C91" i="44"/>
  <c r="C91" i="43"/>
  <c r="C56" i="48"/>
  <c r="C56" i="47"/>
  <c r="C56" i="46"/>
  <c r="C56" i="45"/>
  <c r="C56" i="44"/>
  <c r="C56" i="43"/>
  <c r="C48" i="48"/>
  <c r="C48" i="47"/>
  <c r="C48" i="46"/>
  <c r="C48" i="45"/>
  <c r="C48" i="44"/>
  <c r="C48" i="43"/>
  <c r="C80" i="48"/>
  <c r="C80" i="47"/>
  <c r="C80" i="46"/>
  <c r="C80" i="45"/>
  <c r="C80" i="44"/>
  <c r="C80" i="43"/>
  <c r="C87" i="48"/>
  <c r="C87" i="46"/>
  <c r="C87" i="47"/>
  <c r="C87" i="45"/>
  <c r="C87" i="44"/>
  <c r="C87" i="43"/>
  <c r="C64" i="48"/>
  <c r="C64" i="47"/>
  <c r="C64" i="46"/>
  <c r="C64" i="45"/>
  <c r="C64" i="44"/>
  <c r="C64" i="43"/>
  <c r="C49" i="48"/>
  <c r="C49" i="46"/>
  <c r="C49" i="47"/>
  <c r="C49" i="45"/>
  <c r="C49" i="44"/>
  <c r="C49" i="43"/>
  <c r="C81" i="48"/>
  <c r="C81" i="47"/>
  <c r="C81" i="46"/>
  <c r="C81" i="45"/>
  <c r="C81" i="44"/>
  <c r="C81" i="43"/>
  <c r="C88" i="48"/>
  <c r="C88" i="47"/>
  <c r="C88" i="46"/>
  <c r="C88" i="45"/>
  <c r="C88" i="44"/>
  <c r="C88" i="43"/>
  <c r="C57" i="48"/>
  <c r="C57" i="47"/>
  <c r="C57" i="46"/>
  <c r="C57" i="45"/>
  <c r="C57" i="44"/>
  <c r="C57" i="43"/>
  <c r="C52" i="48"/>
  <c r="C52" i="47"/>
  <c r="C52" i="46"/>
  <c r="C52" i="45"/>
  <c r="C52" i="44"/>
  <c r="C52" i="43"/>
  <c r="C82" i="48"/>
  <c r="C82" i="46"/>
  <c r="C82" i="47"/>
  <c r="C82" i="45"/>
  <c r="C82" i="43"/>
  <c r="C82" i="44"/>
  <c r="C90" i="48"/>
  <c r="C90" i="47"/>
  <c r="C90" i="46"/>
  <c r="C90" i="45"/>
  <c r="C90" i="44"/>
  <c r="C90" i="43"/>
  <c r="C60" i="48"/>
  <c r="C60" i="47"/>
  <c r="C60" i="46"/>
  <c r="C60" i="45"/>
  <c r="C60" i="44"/>
  <c r="C60" i="43"/>
  <c r="C51" i="48"/>
  <c r="C51" i="47"/>
  <c r="C51" i="46"/>
  <c r="C51" i="45"/>
  <c r="C51" i="44"/>
  <c r="C51" i="43"/>
  <c r="C74" i="48"/>
  <c r="C74" i="47"/>
  <c r="C74" i="46"/>
  <c r="C74" i="45"/>
  <c r="C74" i="44"/>
  <c r="C74" i="43"/>
  <c r="C83" i="48"/>
  <c r="C83" i="47"/>
  <c r="C83" i="46"/>
  <c r="C83" i="45"/>
  <c r="C83" i="44"/>
  <c r="C83" i="43"/>
  <c r="C58" i="47"/>
  <c r="C58" i="48"/>
  <c r="C58" i="46"/>
  <c r="C58" i="45"/>
  <c r="C58" i="44"/>
  <c r="C58" i="43"/>
  <c r="C61" i="47"/>
  <c r="C61" i="48"/>
  <c r="C61" i="46"/>
  <c r="C61" i="45"/>
  <c r="C61" i="44"/>
  <c r="C61" i="43"/>
  <c r="C54" i="48"/>
  <c r="C54" i="47"/>
  <c r="C54" i="46"/>
  <c r="C54" i="45"/>
  <c r="C54" i="44"/>
  <c r="C54" i="43"/>
  <c r="C53" i="48"/>
  <c r="C53" i="47"/>
  <c r="C53" i="46"/>
  <c r="C53" i="45"/>
  <c r="C53" i="44"/>
  <c r="C53" i="43"/>
  <c r="C76" i="48"/>
  <c r="C76" i="47"/>
  <c r="C76" i="46"/>
  <c r="C76" i="45"/>
  <c r="C76" i="44"/>
  <c r="C76" i="43"/>
  <c r="C89" i="48"/>
  <c r="C89" i="46"/>
  <c r="C89" i="47"/>
  <c r="C89" i="45"/>
  <c r="C89" i="44"/>
  <c r="C89" i="43"/>
  <c r="C62" i="47"/>
  <c r="C62" i="48"/>
  <c r="C62" i="46"/>
  <c r="C62" i="45"/>
  <c r="C62" i="44"/>
  <c r="C62" i="43"/>
  <c r="C47" i="47"/>
  <c r="C47" i="46"/>
  <c r="C47" i="48"/>
  <c r="C47" i="45"/>
  <c r="C47" i="44"/>
  <c r="C47" i="43"/>
  <c r="C75" i="48"/>
  <c r="C75" i="47"/>
  <c r="C75" i="46"/>
  <c r="C75" i="45"/>
  <c r="C75" i="44"/>
  <c r="C75" i="43"/>
  <c r="C77" i="48"/>
  <c r="C77" i="46"/>
  <c r="C77" i="47"/>
  <c r="C77" i="45"/>
  <c r="C77" i="44"/>
  <c r="C77" i="43"/>
  <c r="D184" i="48"/>
  <c r="D184" i="47"/>
  <c r="D184" i="46"/>
  <c r="D184" i="45"/>
  <c r="D184" i="43"/>
  <c r="D184" i="44"/>
  <c r="D164" i="48"/>
  <c r="D164" i="47"/>
  <c r="D164" i="46"/>
  <c r="D164" i="43"/>
  <c r="D164" i="44"/>
  <c r="D164" i="45"/>
  <c r="D189" i="48"/>
  <c r="D189" i="47"/>
  <c r="D189" i="46"/>
  <c r="D189" i="43"/>
  <c r="D189" i="44"/>
  <c r="D189" i="45"/>
  <c r="D139" i="48"/>
  <c r="D139" i="47"/>
  <c r="D139" i="46"/>
  <c r="D139" i="45"/>
  <c r="D139" i="44"/>
  <c r="D139" i="43"/>
  <c r="D174" i="48"/>
  <c r="D174" i="47"/>
  <c r="D174" i="46"/>
  <c r="D174" i="45"/>
  <c r="D174" i="44"/>
  <c r="D174" i="43"/>
  <c r="D179" i="48"/>
  <c r="D179" i="47"/>
  <c r="D179" i="46"/>
  <c r="D179" i="45"/>
  <c r="D179" i="44"/>
  <c r="D179" i="43"/>
  <c r="D144" i="48"/>
  <c r="D144" i="47"/>
  <c r="D144" i="46"/>
  <c r="D144" i="45"/>
  <c r="D144" i="43"/>
  <c r="D144" i="44"/>
  <c r="D159" i="48"/>
  <c r="D159" i="47"/>
  <c r="D159" i="46"/>
  <c r="D159" i="45"/>
  <c r="D159" i="43"/>
  <c r="D159" i="44"/>
  <c r="D169" i="48"/>
  <c r="D169" i="47"/>
  <c r="D169" i="45"/>
  <c r="D169" i="46"/>
  <c r="D169" i="43"/>
  <c r="D169" i="44"/>
  <c r="D134" i="48"/>
  <c r="D134" i="47"/>
  <c r="D134" i="46"/>
  <c r="D134" i="45"/>
  <c r="D134" i="44"/>
  <c r="D134" i="43"/>
  <c r="D194" i="48"/>
  <c r="D194" i="47"/>
  <c r="D194" i="45"/>
  <c r="D194" i="46"/>
  <c r="D194" i="43"/>
  <c r="D194" i="44"/>
  <c r="D129" i="48"/>
  <c r="D129" i="47"/>
  <c r="D129" i="46"/>
  <c r="D129" i="43"/>
  <c r="D129" i="44"/>
  <c r="D129" i="45"/>
  <c r="D199" i="48"/>
  <c r="D199" i="47"/>
  <c r="D199" i="45"/>
  <c r="D199" i="46"/>
  <c r="D199" i="44"/>
  <c r="D199" i="43"/>
  <c r="D149" i="48"/>
  <c r="D149" i="47"/>
  <c r="D149" i="46"/>
  <c r="D149" i="43"/>
  <c r="D149" i="44"/>
  <c r="D149" i="45"/>
  <c r="D154" i="45" l="1"/>
  <c r="D154" i="46"/>
  <c r="D130" i="45"/>
  <c r="D135" i="47"/>
  <c r="D154" i="43"/>
  <c r="D154" i="44"/>
  <c r="D154" i="47"/>
  <c r="D114" i="43"/>
  <c r="D114" i="44"/>
  <c r="D114" i="48"/>
  <c r="D114" i="46"/>
  <c r="D114" i="47"/>
  <c r="E264" i="48"/>
  <c r="E264" i="47"/>
  <c r="E264" i="46"/>
  <c r="E264" i="45"/>
  <c r="E264" i="44"/>
  <c r="E264" i="43"/>
  <c r="H252" i="48"/>
  <c r="I252" i="48" s="1"/>
  <c r="J252" i="48" s="1"/>
  <c r="K252" i="48" s="1"/>
  <c r="L252" i="48" s="1"/>
  <c r="M252" i="48" s="1"/>
  <c r="N252" i="48" s="1"/>
  <c r="O252" i="48" s="1"/>
  <c r="P252" i="48" s="1"/>
  <c r="Q252" i="48" s="1"/>
  <c r="R252" i="48" s="1"/>
  <c r="S252" i="48" s="1"/>
  <c r="H252" i="47"/>
  <c r="I252" i="47" s="1"/>
  <c r="J252" i="47" s="1"/>
  <c r="K252" i="47" s="1"/>
  <c r="L252" i="47" s="1"/>
  <c r="M252" i="47" s="1"/>
  <c r="N252" i="47" s="1"/>
  <c r="O252" i="47" s="1"/>
  <c r="P252" i="47" s="1"/>
  <c r="Q252" i="47" s="1"/>
  <c r="R252" i="47" s="1"/>
  <c r="S252" i="47" s="1"/>
  <c r="H252" i="46"/>
  <c r="I252" i="46" s="1"/>
  <c r="J252" i="46" s="1"/>
  <c r="K252" i="46" s="1"/>
  <c r="L252" i="46" s="1"/>
  <c r="M252" i="46" s="1"/>
  <c r="N252" i="46" s="1"/>
  <c r="O252" i="46" s="1"/>
  <c r="P252" i="46" s="1"/>
  <c r="Q252" i="46" s="1"/>
  <c r="R252" i="46" s="1"/>
  <c r="S252" i="46" s="1"/>
  <c r="H252" i="45"/>
  <c r="I252" i="45" s="1"/>
  <c r="J252" i="45" s="1"/>
  <c r="K252" i="45" s="1"/>
  <c r="L252" i="45" s="1"/>
  <c r="M252" i="45" s="1"/>
  <c r="N252" i="45" s="1"/>
  <c r="O252" i="45" s="1"/>
  <c r="P252" i="45" s="1"/>
  <c r="Q252" i="45" s="1"/>
  <c r="R252" i="45" s="1"/>
  <c r="S252" i="45" s="1"/>
  <c r="H252" i="44"/>
  <c r="I252" i="44" s="1"/>
  <c r="J252" i="44" s="1"/>
  <c r="K252" i="44" s="1"/>
  <c r="L252" i="44" s="1"/>
  <c r="M252" i="44" s="1"/>
  <c r="N252" i="44" s="1"/>
  <c r="O252" i="44" s="1"/>
  <c r="P252" i="44" s="1"/>
  <c r="Q252" i="44" s="1"/>
  <c r="R252" i="44" s="1"/>
  <c r="S252" i="44" s="1"/>
  <c r="H252" i="43"/>
  <c r="I252" i="43" s="1"/>
  <c r="J252" i="43" s="1"/>
  <c r="K252" i="43" s="1"/>
  <c r="L252" i="43" s="1"/>
  <c r="M252" i="43" s="1"/>
  <c r="N252" i="43" s="1"/>
  <c r="O252" i="43" s="1"/>
  <c r="P252" i="43" s="1"/>
  <c r="Q252" i="43" s="1"/>
  <c r="R252" i="43" s="1"/>
  <c r="S252" i="43" s="1"/>
  <c r="E266" i="48"/>
  <c r="E266" i="47"/>
  <c r="E266" i="46"/>
  <c r="E266" i="45"/>
  <c r="E266" i="44"/>
  <c r="E266" i="43"/>
  <c r="E235" i="48"/>
  <c r="E235" i="47"/>
  <c r="E235" i="46"/>
  <c r="E235" i="45"/>
  <c r="E235" i="44"/>
  <c r="E235" i="43"/>
  <c r="E189" i="48"/>
  <c r="E189" i="47"/>
  <c r="E189" i="46"/>
  <c r="E189" i="45"/>
  <c r="E189" i="44"/>
  <c r="E189" i="43"/>
  <c r="E199" i="48"/>
  <c r="E199" i="47"/>
  <c r="E199" i="46"/>
  <c r="E199" i="45"/>
  <c r="E199" i="44"/>
  <c r="E199" i="43"/>
  <c r="E159" i="48"/>
  <c r="E159" i="47"/>
  <c r="E159" i="46"/>
  <c r="E159" i="45"/>
  <c r="E159" i="43"/>
  <c r="E159" i="44"/>
  <c r="E215" i="48"/>
  <c r="E215" i="47"/>
  <c r="E215" i="46"/>
  <c r="E215" i="45"/>
  <c r="E215" i="44"/>
  <c r="E215" i="43"/>
  <c r="F141" i="48"/>
  <c r="F141" i="47"/>
  <c r="F141" i="46"/>
  <c r="F141" i="45"/>
  <c r="F141" i="43"/>
  <c r="F141" i="44"/>
  <c r="E164" i="48"/>
  <c r="E164" i="47"/>
  <c r="E164" i="46"/>
  <c r="E164" i="45"/>
  <c r="E164" i="44"/>
  <c r="E164" i="43"/>
  <c r="E220" i="48"/>
  <c r="E220" i="47"/>
  <c r="E220" i="46"/>
  <c r="E220" i="45"/>
  <c r="E220" i="44"/>
  <c r="E220" i="43"/>
  <c r="H249" i="48"/>
  <c r="I249" i="48" s="1"/>
  <c r="J249" i="48" s="1"/>
  <c r="K249" i="48" s="1"/>
  <c r="L249" i="48" s="1"/>
  <c r="M249" i="48" s="1"/>
  <c r="N249" i="48" s="1"/>
  <c r="O249" i="48" s="1"/>
  <c r="P249" i="48" s="1"/>
  <c r="Q249" i="48" s="1"/>
  <c r="R249" i="48" s="1"/>
  <c r="S249" i="48" s="1"/>
  <c r="H249" i="47"/>
  <c r="I249" i="47" s="1"/>
  <c r="J249" i="47" s="1"/>
  <c r="K249" i="47" s="1"/>
  <c r="L249" i="47" s="1"/>
  <c r="M249" i="47" s="1"/>
  <c r="N249" i="47" s="1"/>
  <c r="O249" i="47" s="1"/>
  <c r="P249" i="47" s="1"/>
  <c r="Q249" i="47" s="1"/>
  <c r="R249" i="47" s="1"/>
  <c r="S249" i="47" s="1"/>
  <c r="H249" i="46"/>
  <c r="I249" i="46" s="1"/>
  <c r="J249" i="46" s="1"/>
  <c r="K249" i="46" s="1"/>
  <c r="L249" i="46" s="1"/>
  <c r="M249" i="46" s="1"/>
  <c r="N249" i="46" s="1"/>
  <c r="O249" i="46" s="1"/>
  <c r="P249" i="46" s="1"/>
  <c r="Q249" i="46" s="1"/>
  <c r="R249" i="46" s="1"/>
  <c r="S249" i="46" s="1"/>
  <c r="H249" i="45"/>
  <c r="I249" i="45" s="1"/>
  <c r="J249" i="45" s="1"/>
  <c r="K249" i="45" s="1"/>
  <c r="L249" i="45" s="1"/>
  <c r="M249" i="45" s="1"/>
  <c r="N249" i="45" s="1"/>
  <c r="O249" i="45" s="1"/>
  <c r="P249" i="45" s="1"/>
  <c r="Q249" i="45" s="1"/>
  <c r="R249" i="45" s="1"/>
  <c r="S249" i="45" s="1"/>
  <c r="H249" i="44"/>
  <c r="I249" i="44" s="1"/>
  <c r="J249" i="44" s="1"/>
  <c r="K249" i="44" s="1"/>
  <c r="L249" i="44" s="1"/>
  <c r="M249" i="44" s="1"/>
  <c r="N249" i="44" s="1"/>
  <c r="O249" i="44" s="1"/>
  <c r="P249" i="44" s="1"/>
  <c r="Q249" i="44" s="1"/>
  <c r="R249" i="44" s="1"/>
  <c r="S249" i="44" s="1"/>
  <c r="H249" i="43"/>
  <c r="I249" i="43" s="1"/>
  <c r="J249" i="43" s="1"/>
  <c r="K249" i="43" s="1"/>
  <c r="L249" i="43" s="1"/>
  <c r="M249" i="43" s="1"/>
  <c r="N249" i="43" s="1"/>
  <c r="O249" i="43" s="1"/>
  <c r="P249" i="43" s="1"/>
  <c r="Q249" i="43" s="1"/>
  <c r="R249" i="43" s="1"/>
  <c r="S249" i="43" s="1"/>
  <c r="F156" i="48"/>
  <c r="F156" i="47"/>
  <c r="F156" i="46"/>
  <c r="F156" i="45"/>
  <c r="F156" i="43"/>
  <c r="F156" i="44"/>
  <c r="E262" i="48"/>
  <c r="E262" i="47"/>
  <c r="E262" i="46"/>
  <c r="E262" i="45"/>
  <c r="E262" i="44"/>
  <c r="E262" i="43"/>
  <c r="E259" i="48"/>
  <c r="E259" i="47"/>
  <c r="E259" i="46"/>
  <c r="E259" i="45"/>
  <c r="E259" i="44"/>
  <c r="E259" i="43"/>
  <c r="F131" i="48"/>
  <c r="F131" i="47"/>
  <c r="F131" i="46"/>
  <c r="F131" i="45"/>
  <c r="F131" i="44"/>
  <c r="F131" i="43"/>
  <c r="E245" i="48"/>
  <c r="E245" i="47"/>
  <c r="E245" i="46"/>
  <c r="E245" i="45"/>
  <c r="E245" i="44"/>
  <c r="E245" i="43"/>
  <c r="E205" i="48"/>
  <c r="E205" i="47"/>
  <c r="E205" i="46"/>
  <c r="E205" i="45"/>
  <c r="E205" i="44"/>
  <c r="E205" i="43"/>
  <c r="E194" i="48"/>
  <c r="E194" i="47"/>
  <c r="E194" i="46"/>
  <c r="E194" i="45"/>
  <c r="E194" i="44"/>
  <c r="E194" i="43"/>
  <c r="E225" i="48"/>
  <c r="E225" i="47"/>
  <c r="E225" i="46"/>
  <c r="E225" i="45"/>
  <c r="E225" i="44"/>
  <c r="E225" i="43"/>
  <c r="H250" i="48"/>
  <c r="I250" i="48" s="1"/>
  <c r="J250" i="48" s="1"/>
  <c r="K250" i="48" s="1"/>
  <c r="L250" i="48" s="1"/>
  <c r="M250" i="48" s="1"/>
  <c r="N250" i="48" s="1"/>
  <c r="O250" i="48" s="1"/>
  <c r="P250" i="48" s="1"/>
  <c r="Q250" i="48" s="1"/>
  <c r="R250" i="48" s="1"/>
  <c r="S250" i="48" s="1"/>
  <c r="H250" i="47"/>
  <c r="I250" i="47" s="1"/>
  <c r="J250" i="47" s="1"/>
  <c r="K250" i="47" s="1"/>
  <c r="L250" i="47" s="1"/>
  <c r="M250" i="47" s="1"/>
  <c r="N250" i="47" s="1"/>
  <c r="O250" i="47" s="1"/>
  <c r="P250" i="47" s="1"/>
  <c r="Q250" i="47" s="1"/>
  <c r="R250" i="47" s="1"/>
  <c r="S250" i="47" s="1"/>
  <c r="H250" i="46"/>
  <c r="I250" i="46" s="1"/>
  <c r="J250" i="46" s="1"/>
  <c r="K250" i="46" s="1"/>
  <c r="L250" i="46" s="1"/>
  <c r="M250" i="46" s="1"/>
  <c r="N250" i="46" s="1"/>
  <c r="O250" i="46" s="1"/>
  <c r="P250" i="46" s="1"/>
  <c r="Q250" i="46" s="1"/>
  <c r="R250" i="46" s="1"/>
  <c r="S250" i="46" s="1"/>
  <c r="H250" i="45"/>
  <c r="I250" i="45" s="1"/>
  <c r="J250" i="45" s="1"/>
  <c r="K250" i="45" s="1"/>
  <c r="L250" i="45" s="1"/>
  <c r="M250" i="45" s="1"/>
  <c r="N250" i="45" s="1"/>
  <c r="O250" i="45" s="1"/>
  <c r="P250" i="45" s="1"/>
  <c r="Q250" i="45" s="1"/>
  <c r="R250" i="45" s="1"/>
  <c r="S250" i="45" s="1"/>
  <c r="H250" i="44"/>
  <c r="I250" i="44" s="1"/>
  <c r="J250" i="44" s="1"/>
  <c r="K250" i="44" s="1"/>
  <c r="L250" i="44" s="1"/>
  <c r="M250" i="44" s="1"/>
  <c r="N250" i="44" s="1"/>
  <c r="O250" i="44" s="1"/>
  <c r="P250" i="44" s="1"/>
  <c r="Q250" i="44" s="1"/>
  <c r="R250" i="44" s="1"/>
  <c r="S250" i="44" s="1"/>
  <c r="H250" i="43"/>
  <c r="I250" i="43" s="1"/>
  <c r="J250" i="43" s="1"/>
  <c r="K250" i="43" s="1"/>
  <c r="L250" i="43" s="1"/>
  <c r="M250" i="43" s="1"/>
  <c r="N250" i="43" s="1"/>
  <c r="O250" i="43" s="1"/>
  <c r="P250" i="43" s="1"/>
  <c r="Q250" i="43" s="1"/>
  <c r="R250" i="43" s="1"/>
  <c r="S250" i="43" s="1"/>
  <c r="H253" i="48"/>
  <c r="I253" i="48" s="1"/>
  <c r="J253" i="48" s="1"/>
  <c r="K253" i="48" s="1"/>
  <c r="L253" i="48" s="1"/>
  <c r="M253" i="48" s="1"/>
  <c r="N253" i="48" s="1"/>
  <c r="O253" i="48" s="1"/>
  <c r="P253" i="48" s="1"/>
  <c r="Q253" i="48" s="1"/>
  <c r="R253" i="48" s="1"/>
  <c r="S253" i="48" s="1"/>
  <c r="H253" i="47"/>
  <c r="I253" i="47" s="1"/>
  <c r="J253" i="47" s="1"/>
  <c r="K253" i="47" s="1"/>
  <c r="L253" i="47" s="1"/>
  <c r="M253" i="47" s="1"/>
  <c r="N253" i="47" s="1"/>
  <c r="O253" i="47" s="1"/>
  <c r="P253" i="47" s="1"/>
  <c r="Q253" i="47" s="1"/>
  <c r="R253" i="47" s="1"/>
  <c r="S253" i="47" s="1"/>
  <c r="H253" i="46"/>
  <c r="I253" i="46" s="1"/>
  <c r="J253" i="46" s="1"/>
  <c r="K253" i="46" s="1"/>
  <c r="L253" i="46" s="1"/>
  <c r="M253" i="46" s="1"/>
  <c r="N253" i="46" s="1"/>
  <c r="O253" i="46" s="1"/>
  <c r="P253" i="46" s="1"/>
  <c r="Q253" i="46" s="1"/>
  <c r="R253" i="46" s="1"/>
  <c r="S253" i="46" s="1"/>
  <c r="H253" i="45"/>
  <c r="I253" i="45" s="1"/>
  <c r="J253" i="45" s="1"/>
  <c r="K253" i="45" s="1"/>
  <c r="L253" i="45" s="1"/>
  <c r="M253" i="45" s="1"/>
  <c r="N253" i="45" s="1"/>
  <c r="O253" i="45" s="1"/>
  <c r="P253" i="45" s="1"/>
  <c r="Q253" i="45" s="1"/>
  <c r="R253" i="45" s="1"/>
  <c r="S253" i="45" s="1"/>
  <c r="H253" i="44"/>
  <c r="I253" i="44" s="1"/>
  <c r="J253" i="44" s="1"/>
  <c r="K253" i="44" s="1"/>
  <c r="L253" i="44" s="1"/>
  <c r="M253" i="44" s="1"/>
  <c r="N253" i="44" s="1"/>
  <c r="O253" i="44" s="1"/>
  <c r="P253" i="44" s="1"/>
  <c r="Q253" i="44" s="1"/>
  <c r="R253" i="44" s="1"/>
  <c r="S253" i="44" s="1"/>
  <c r="H253" i="43"/>
  <c r="I253" i="43" s="1"/>
  <c r="J253" i="43" s="1"/>
  <c r="K253" i="43" s="1"/>
  <c r="L253" i="43" s="1"/>
  <c r="M253" i="43" s="1"/>
  <c r="N253" i="43" s="1"/>
  <c r="O253" i="43" s="1"/>
  <c r="P253" i="43" s="1"/>
  <c r="Q253" i="43" s="1"/>
  <c r="R253" i="43" s="1"/>
  <c r="S253" i="43" s="1"/>
  <c r="E263" i="48"/>
  <c r="E263" i="47"/>
  <c r="E263" i="46"/>
  <c r="E263" i="45"/>
  <c r="E263" i="44"/>
  <c r="E263" i="43"/>
  <c r="H251" i="48"/>
  <c r="I251" i="48" s="1"/>
  <c r="J251" i="48" s="1"/>
  <c r="K251" i="48" s="1"/>
  <c r="L251" i="48" s="1"/>
  <c r="M251" i="48" s="1"/>
  <c r="N251" i="48" s="1"/>
  <c r="O251" i="48" s="1"/>
  <c r="P251" i="48" s="1"/>
  <c r="Q251" i="48" s="1"/>
  <c r="R251" i="48" s="1"/>
  <c r="S251" i="48" s="1"/>
  <c r="H251" i="47"/>
  <c r="I251" i="47" s="1"/>
  <c r="J251" i="47" s="1"/>
  <c r="K251" i="47" s="1"/>
  <c r="L251" i="47" s="1"/>
  <c r="M251" i="47" s="1"/>
  <c r="N251" i="47" s="1"/>
  <c r="O251" i="47" s="1"/>
  <c r="P251" i="47" s="1"/>
  <c r="Q251" i="47" s="1"/>
  <c r="R251" i="47" s="1"/>
  <c r="S251" i="47" s="1"/>
  <c r="H251" i="46"/>
  <c r="I251" i="46" s="1"/>
  <c r="J251" i="46" s="1"/>
  <c r="K251" i="46" s="1"/>
  <c r="L251" i="46" s="1"/>
  <c r="M251" i="46" s="1"/>
  <c r="N251" i="46" s="1"/>
  <c r="O251" i="46" s="1"/>
  <c r="P251" i="46" s="1"/>
  <c r="Q251" i="46" s="1"/>
  <c r="R251" i="46" s="1"/>
  <c r="S251" i="46" s="1"/>
  <c r="H251" i="45"/>
  <c r="I251" i="45" s="1"/>
  <c r="J251" i="45" s="1"/>
  <c r="K251" i="45" s="1"/>
  <c r="L251" i="45" s="1"/>
  <c r="M251" i="45" s="1"/>
  <c r="N251" i="45" s="1"/>
  <c r="O251" i="45" s="1"/>
  <c r="P251" i="45" s="1"/>
  <c r="Q251" i="45" s="1"/>
  <c r="R251" i="45" s="1"/>
  <c r="S251" i="45" s="1"/>
  <c r="H251" i="44"/>
  <c r="I251" i="44" s="1"/>
  <c r="J251" i="44" s="1"/>
  <c r="K251" i="44" s="1"/>
  <c r="L251" i="44" s="1"/>
  <c r="M251" i="44" s="1"/>
  <c r="N251" i="44" s="1"/>
  <c r="O251" i="44" s="1"/>
  <c r="P251" i="44" s="1"/>
  <c r="Q251" i="44" s="1"/>
  <c r="R251" i="44" s="1"/>
  <c r="S251" i="44" s="1"/>
  <c r="H251" i="43"/>
  <c r="I251" i="43" s="1"/>
  <c r="J251" i="43" s="1"/>
  <c r="K251" i="43" s="1"/>
  <c r="L251" i="43" s="1"/>
  <c r="M251" i="43" s="1"/>
  <c r="N251" i="43" s="1"/>
  <c r="O251" i="43" s="1"/>
  <c r="P251" i="43" s="1"/>
  <c r="Q251" i="43" s="1"/>
  <c r="R251" i="43" s="1"/>
  <c r="S251" i="43" s="1"/>
  <c r="F136" i="48"/>
  <c r="F136" i="47"/>
  <c r="F136" i="46"/>
  <c r="F136" i="45"/>
  <c r="F136" i="44"/>
  <c r="F136" i="43"/>
  <c r="E230" i="48"/>
  <c r="E230" i="47"/>
  <c r="E230" i="46"/>
  <c r="E230" i="45"/>
  <c r="E230" i="44"/>
  <c r="E230" i="43"/>
  <c r="F151" i="48"/>
  <c r="F151" i="47"/>
  <c r="F151" i="46"/>
  <c r="F151" i="45"/>
  <c r="F151" i="44"/>
  <c r="F151" i="43"/>
  <c r="F146" i="48"/>
  <c r="F146" i="47"/>
  <c r="F146" i="46"/>
  <c r="F146" i="45"/>
  <c r="F146" i="44"/>
  <c r="F146" i="43"/>
  <c r="E184" i="48"/>
  <c r="E184" i="47"/>
  <c r="E184" i="46"/>
  <c r="E184" i="45"/>
  <c r="E184" i="44"/>
  <c r="E184" i="43"/>
  <c r="E179" i="48"/>
  <c r="E179" i="47"/>
  <c r="E179" i="46"/>
  <c r="E179" i="45"/>
  <c r="E179" i="44"/>
  <c r="E179" i="43"/>
  <c r="E210" i="48"/>
  <c r="E210" i="47"/>
  <c r="E210" i="46"/>
  <c r="E210" i="45"/>
  <c r="E210" i="44"/>
  <c r="E210" i="43"/>
  <c r="E260" i="48"/>
  <c r="E260" i="47"/>
  <c r="E260" i="46"/>
  <c r="E260" i="45"/>
  <c r="E260" i="44"/>
  <c r="E260" i="43"/>
  <c r="F116" i="48"/>
  <c r="F116" i="47"/>
  <c r="F116" i="46"/>
  <c r="F116" i="45"/>
  <c r="F116" i="44"/>
  <c r="F116" i="43"/>
  <c r="E174" i="48"/>
  <c r="E174" i="47"/>
  <c r="E174" i="46"/>
  <c r="E174" i="45"/>
  <c r="E174" i="44"/>
  <c r="E174" i="43"/>
  <c r="E169" i="48"/>
  <c r="E169" i="47"/>
  <c r="E169" i="46"/>
  <c r="E169" i="45"/>
  <c r="E169" i="43"/>
  <c r="E169" i="44"/>
  <c r="E240" i="48"/>
  <c r="E240" i="47"/>
  <c r="E240" i="46"/>
  <c r="E240" i="45"/>
  <c r="E240" i="44"/>
  <c r="E240" i="43"/>
  <c r="E261" i="48"/>
  <c r="E261" i="47"/>
  <c r="E261" i="46"/>
  <c r="E261" i="45"/>
  <c r="E261" i="44"/>
  <c r="E261" i="43"/>
  <c r="C65" i="48"/>
  <c r="C65" i="47"/>
  <c r="C65" i="46"/>
  <c r="C65" i="45"/>
  <c r="C65" i="44"/>
  <c r="C65" i="43"/>
  <c r="C73" i="48"/>
  <c r="C73" i="47"/>
  <c r="C73" i="46"/>
  <c r="C73" i="45"/>
  <c r="C73" i="44"/>
  <c r="C73" i="43"/>
  <c r="C68" i="48"/>
  <c r="C68" i="47"/>
  <c r="C68" i="46"/>
  <c r="C68" i="45"/>
  <c r="C68" i="44"/>
  <c r="C68" i="43"/>
  <c r="C70" i="48"/>
  <c r="C70" i="47"/>
  <c r="C70" i="46"/>
  <c r="C70" i="45"/>
  <c r="C70" i="44"/>
  <c r="C70" i="43"/>
  <c r="C69" i="47"/>
  <c r="C69" i="48"/>
  <c r="C69" i="46"/>
  <c r="C69" i="45"/>
  <c r="C69" i="44"/>
  <c r="C69" i="43"/>
  <c r="C66" i="47"/>
  <c r="C66" i="48"/>
  <c r="C66" i="46"/>
  <c r="C66" i="45"/>
  <c r="C66" i="44"/>
  <c r="C66" i="43"/>
  <c r="C67" i="48"/>
  <c r="C67" i="47"/>
  <c r="C67" i="46"/>
  <c r="C67" i="45"/>
  <c r="C67" i="44"/>
  <c r="C67" i="43"/>
  <c r="C71" i="48"/>
  <c r="C71" i="47"/>
  <c r="C71" i="46"/>
  <c r="C71" i="45"/>
  <c r="C71" i="44"/>
  <c r="C71" i="43"/>
  <c r="C72" i="47"/>
  <c r="C72" i="48"/>
  <c r="C72" i="46"/>
  <c r="C72" i="45"/>
  <c r="C72" i="44"/>
  <c r="C72" i="43"/>
  <c r="D73" i="48"/>
  <c r="D73" i="47"/>
  <c r="D73" i="46"/>
  <c r="D73" i="45"/>
  <c r="D73" i="44"/>
  <c r="D73" i="43"/>
  <c r="D180" i="48"/>
  <c r="D180" i="47"/>
  <c r="D180" i="46"/>
  <c r="D180" i="44"/>
  <c r="D180" i="43"/>
  <c r="D180" i="45"/>
  <c r="D185" i="48"/>
  <c r="D185" i="47"/>
  <c r="D185" i="46"/>
  <c r="D185" i="45"/>
  <c r="D185" i="44"/>
  <c r="D185" i="43"/>
  <c r="D170" i="48"/>
  <c r="D170" i="47"/>
  <c r="D170" i="45"/>
  <c r="D170" i="46"/>
  <c r="D170" i="44"/>
  <c r="D170" i="43"/>
  <c r="D70" i="48"/>
  <c r="D70" i="47"/>
  <c r="D70" i="46"/>
  <c r="D70" i="45"/>
  <c r="D70" i="44"/>
  <c r="D70" i="43"/>
  <c r="D195" i="48"/>
  <c r="D195" i="47"/>
  <c r="D195" i="46"/>
  <c r="D195" i="45"/>
  <c r="D195" i="44"/>
  <c r="D195" i="43"/>
  <c r="D69" i="48"/>
  <c r="D69" i="47"/>
  <c r="D69" i="46"/>
  <c r="D69" i="45"/>
  <c r="D69" i="44"/>
  <c r="D69" i="43"/>
  <c r="D72" i="48"/>
  <c r="D72" i="47"/>
  <c r="D72" i="46"/>
  <c r="D72" i="45"/>
  <c r="D72" i="44"/>
  <c r="D72" i="43"/>
  <c r="D175" i="48"/>
  <c r="D175" i="47"/>
  <c r="D175" i="46"/>
  <c r="D175" i="45"/>
  <c r="D175" i="43"/>
  <c r="D175" i="44"/>
  <c r="D200" i="48"/>
  <c r="D200" i="47"/>
  <c r="D200" i="46"/>
  <c r="D200" i="45"/>
  <c r="D200" i="44"/>
  <c r="D200" i="43"/>
  <c r="D165" i="48"/>
  <c r="D165" i="47"/>
  <c r="D165" i="46"/>
  <c r="D165" i="43"/>
  <c r="D165" i="44"/>
  <c r="D165" i="45"/>
  <c r="D68" i="48"/>
  <c r="D68" i="47"/>
  <c r="D68" i="46"/>
  <c r="D68" i="45"/>
  <c r="D68" i="44"/>
  <c r="D68" i="43"/>
  <c r="D67" i="48"/>
  <c r="D67" i="47"/>
  <c r="D67" i="46"/>
  <c r="D67" i="45"/>
  <c r="D67" i="44"/>
  <c r="D67" i="43"/>
  <c r="D160" i="48"/>
  <c r="D160" i="47"/>
  <c r="D160" i="46"/>
  <c r="D160" i="43"/>
  <c r="D160" i="45"/>
  <c r="D160" i="44"/>
  <c r="D115" i="48"/>
  <c r="D115" i="47"/>
  <c r="D115" i="46"/>
  <c r="D115" i="45"/>
  <c r="D115" i="43"/>
  <c r="D115" i="44"/>
  <c r="D140" i="48"/>
  <c r="D140" i="47"/>
  <c r="D140" i="46"/>
  <c r="D140" i="43"/>
  <c r="D140" i="45"/>
  <c r="D140" i="44"/>
  <c r="D155" i="48"/>
  <c r="D155" i="47"/>
  <c r="D155" i="46"/>
  <c r="D155" i="45"/>
  <c r="D155" i="44"/>
  <c r="D155" i="43"/>
  <c r="D65" i="48"/>
  <c r="D65" i="47"/>
  <c r="D65" i="46"/>
  <c r="D65" i="44"/>
  <c r="D65" i="45"/>
  <c r="D65" i="43"/>
  <c r="D71" i="48"/>
  <c r="D71" i="47"/>
  <c r="D71" i="46"/>
  <c r="D71" i="45"/>
  <c r="D71" i="44"/>
  <c r="D71" i="43"/>
  <c r="D145" i="48"/>
  <c r="D145" i="47"/>
  <c r="D145" i="46"/>
  <c r="D145" i="43"/>
  <c r="D145" i="45"/>
  <c r="D145" i="44"/>
  <c r="D150" i="48"/>
  <c r="D150" i="47"/>
  <c r="D150" i="46"/>
  <c r="D150" i="45"/>
  <c r="D150" i="43"/>
  <c r="D150" i="44"/>
  <c r="D190" i="48"/>
  <c r="D190" i="47"/>
  <c r="D190" i="46"/>
  <c r="D190" i="45"/>
  <c r="D190" i="44"/>
  <c r="D190" i="43"/>
  <c r="D66" i="48"/>
  <c r="D66" i="47"/>
  <c r="D66" i="46"/>
  <c r="D66" i="44"/>
  <c r="D66" i="45"/>
  <c r="D66" i="43"/>
  <c r="D135" i="48" l="1"/>
  <c r="D130" i="44"/>
  <c r="D135" i="45"/>
  <c r="D135" i="46"/>
  <c r="D130" i="46"/>
  <c r="D130" i="47"/>
  <c r="D130" i="48"/>
  <c r="D130" i="43"/>
  <c r="D135" i="43"/>
  <c r="D135" i="44"/>
  <c r="C279" i="45"/>
  <c r="C281" i="48"/>
  <c r="C277" i="47"/>
  <c r="H256" i="48"/>
  <c r="I256" i="48" s="1"/>
  <c r="J256" i="48" s="1"/>
  <c r="K256" i="48" s="1"/>
  <c r="L256" i="48" s="1"/>
  <c r="M256" i="48" s="1"/>
  <c r="N256" i="48" s="1"/>
  <c r="O256" i="48" s="1"/>
  <c r="P256" i="48" s="1"/>
  <c r="Q256" i="48" s="1"/>
  <c r="R256" i="48" s="1"/>
  <c r="S256" i="48" s="1"/>
  <c r="H256" i="47"/>
  <c r="I256" i="47" s="1"/>
  <c r="J256" i="47" s="1"/>
  <c r="K256" i="47" s="1"/>
  <c r="L256" i="47" s="1"/>
  <c r="M256" i="47" s="1"/>
  <c r="N256" i="47" s="1"/>
  <c r="O256" i="47" s="1"/>
  <c r="P256" i="47" s="1"/>
  <c r="Q256" i="47" s="1"/>
  <c r="R256" i="47" s="1"/>
  <c r="S256" i="47" s="1"/>
  <c r="H256" i="46"/>
  <c r="I256" i="46" s="1"/>
  <c r="J256" i="46" s="1"/>
  <c r="K256" i="46" s="1"/>
  <c r="L256" i="46" s="1"/>
  <c r="M256" i="46" s="1"/>
  <c r="N256" i="46" s="1"/>
  <c r="O256" i="46" s="1"/>
  <c r="P256" i="46" s="1"/>
  <c r="Q256" i="46" s="1"/>
  <c r="R256" i="46" s="1"/>
  <c r="S256" i="46" s="1"/>
  <c r="H256" i="45"/>
  <c r="I256" i="45" s="1"/>
  <c r="J256" i="45" s="1"/>
  <c r="K256" i="45" s="1"/>
  <c r="L256" i="45" s="1"/>
  <c r="M256" i="45" s="1"/>
  <c r="N256" i="45" s="1"/>
  <c r="O256" i="45" s="1"/>
  <c r="P256" i="45" s="1"/>
  <c r="Q256" i="45" s="1"/>
  <c r="R256" i="45" s="1"/>
  <c r="S256" i="45" s="1"/>
  <c r="H256" i="44"/>
  <c r="I256" i="44" s="1"/>
  <c r="J256" i="44" s="1"/>
  <c r="K256" i="44" s="1"/>
  <c r="L256" i="44" s="1"/>
  <c r="M256" i="44" s="1"/>
  <c r="N256" i="44" s="1"/>
  <c r="O256" i="44" s="1"/>
  <c r="P256" i="44" s="1"/>
  <c r="Q256" i="44" s="1"/>
  <c r="R256" i="44" s="1"/>
  <c r="S256" i="44" s="1"/>
  <c r="H256" i="43"/>
  <c r="I256" i="43" s="1"/>
  <c r="J256" i="43" s="1"/>
  <c r="K256" i="43" s="1"/>
  <c r="L256" i="43" s="1"/>
  <c r="M256" i="43" s="1"/>
  <c r="N256" i="43" s="1"/>
  <c r="O256" i="43" s="1"/>
  <c r="P256" i="43" s="1"/>
  <c r="Q256" i="43" s="1"/>
  <c r="R256" i="43" s="1"/>
  <c r="S256" i="43" s="1"/>
  <c r="E268" i="48"/>
  <c r="E268" i="47"/>
  <c r="E268" i="46"/>
  <c r="E268" i="45"/>
  <c r="E268" i="44"/>
  <c r="E268" i="43"/>
  <c r="E175" i="48"/>
  <c r="E175" i="47"/>
  <c r="E175" i="46"/>
  <c r="E175" i="45"/>
  <c r="E175" i="43"/>
  <c r="E175" i="44"/>
  <c r="F53" i="48"/>
  <c r="F53" i="47"/>
  <c r="F53" i="46"/>
  <c r="F53" i="45"/>
  <c r="F53" i="44"/>
  <c r="F53" i="43"/>
  <c r="F158" i="48"/>
  <c r="F158" i="47"/>
  <c r="F158" i="46"/>
  <c r="F158" i="45"/>
  <c r="F158" i="44"/>
  <c r="F158" i="43"/>
  <c r="F153" i="48"/>
  <c r="F153" i="47"/>
  <c r="F153" i="46"/>
  <c r="F153" i="45"/>
  <c r="F153" i="43"/>
  <c r="F153" i="44"/>
  <c r="F92" i="48"/>
  <c r="F92" i="47"/>
  <c r="F92" i="46"/>
  <c r="F92" i="45"/>
  <c r="F92" i="44"/>
  <c r="F92" i="43"/>
  <c r="E267" i="48"/>
  <c r="E267" i="47"/>
  <c r="E267" i="46"/>
  <c r="E267" i="45"/>
  <c r="E267" i="44"/>
  <c r="E267" i="43"/>
  <c r="F52" i="48"/>
  <c r="F52" i="47"/>
  <c r="F52" i="46"/>
  <c r="F52" i="45"/>
  <c r="F52" i="44"/>
  <c r="F52" i="43"/>
  <c r="E180" i="48"/>
  <c r="E180" i="47"/>
  <c r="E180" i="46"/>
  <c r="E180" i="45"/>
  <c r="E180" i="44"/>
  <c r="E180" i="43"/>
  <c r="E246" i="48"/>
  <c r="E246" i="47"/>
  <c r="E246" i="46"/>
  <c r="E246" i="45"/>
  <c r="E246" i="44"/>
  <c r="E246" i="43"/>
  <c r="F142" i="48"/>
  <c r="F142" i="47"/>
  <c r="F142" i="46"/>
  <c r="F142" i="45"/>
  <c r="F142" i="44"/>
  <c r="F142" i="43"/>
  <c r="E190" i="48"/>
  <c r="E190" i="47"/>
  <c r="E190" i="46"/>
  <c r="E190" i="45"/>
  <c r="E190" i="44"/>
  <c r="E190" i="43"/>
  <c r="F100" i="48"/>
  <c r="F100" i="47"/>
  <c r="F100" i="46"/>
  <c r="F100" i="45"/>
  <c r="F100" i="44"/>
  <c r="F100" i="43"/>
  <c r="H257" i="48"/>
  <c r="I257" i="48" s="1"/>
  <c r="J257" i="48" s="1"/>
  <c r="K257" i="48" s="1"/>
  <c r="L257" i="48" s="1"/>
  <c r="M257" i="48" s="1"/>
  <c r="N257" i="48" s="1"/>
  <c r="O257" i="48" s="1"/>
  <c r="P257" i="48" s="1"/>
  <c r="Q257" i="48" s="1"/>
  <c r="R257" i="48" s="1"/>
  <c r="S257" i="48" s="1"/>
  <c r="H257" i="47"/>
  <c r="I257" i="47" s="1"/>
  <c r="J257" i="47" s="1"/>
  <c r="K257" i="47" s="1"/>
  <c r="L257" i="47" s="1"/>
  <c r="M257" i="47" s="1"/>
  <c r="N257" i="47" s="1"/>
  <c r="O257" i="47" s="1"/>
  <c r="P257" i="47" s="1"/>
  <c r="Q257" i="47" s="1"/>
  <c r="R257" i="47" s="1"/>
  <c r="S257" i="47" s="1"/>
  <c r="H257" i="46"/>
  <c r="I257" i="46" s="1"/>
  <c r="J257" i="46" s="1"/>
  <c r="K257" i="46" s="1"/>
  <c r="L257" i="46" s="1"/>
  <c r="M257" i="46" s="1"/>
  <c r="N257" i="46" s="1"/>
  <c r="O257" i="46" s="1"/>
  <c r="P257" i="46" s="1"/>
  <c r="Q257" i="46" s="1"/>
  <c r="R257" i="46" s="1"/>
  <c r="S257" i="46" s="1"/>
  <c r="H257" i="45"/>
  <c r="I257" i="45" s="1"/>
  <c r="J257" i="45" s="1"/>
  <c r="K257" i="45" s="1"/>
  <c r="L257" i="45" s="1"/>
  <c r="M257" i="45" s="1"/>
  <c r="N257" i="45" s="1"/>
  <c r="O257" i="45" s="1"/>
  <c r="P257" i="45" s="1"/>
  <c r="Q257" i="45" s="1"/>
  <c r="R257" i="45" s="1"/>
  <c r="S257" i="45" s="1"/>
  <c r="H257" i="44"/>
  <c r="I257" i="44" s="1"/>
  <c r="J257" i="44" s="1"/>
  <c r="K257" i="44" s="1"/>
  <c r="L257" i="44" s="1"/>
  <c r="M257" i="44" s="1"/>
  <c r="N257" i="44" s="1"/>
  <c r="O257" i="44" s="1"/>
  <c r="P257" i="44" s="1"/>
  <c r="Q257" i="44" s="1"/>
  <c r="R257" i="44" s="1"/>
  <c r="S257" i="44" s="1"/>
  <c r="H257" i="43"/>
  <c r="I257" i="43" s="1"/>
  <c r="J257" i="43" s="1"/>
  <c r="K257" i="43" s="1"/>
  <c r="L257" i="43" s="1"/>
  <c r="M257" i="43" s="1"/>
  <c r="N257" i="43" s="1"/>
  <c r="O257" i="43" s="1"/>
  <c r="P257" i="43" s="1"/>
  <c r="Q257" i="43" s="1"/>
  <c r="R257" i="43" s="1"/>
  <c r="S257" i="43" s="1"/>
  <c r="H258" i="48"/>
  <c r="I258" i="48" s="1"/>
  <c r="J258" i="48" s="1"/>
  <c r="K258" i="48" s="1"/>
  <c r="L258" i="48" s="1"/>
  <c r="M258" i="48" s="1"/>
  <c r="N258" i="48" s="1"/>
  <c r="O258" i="48" s="1"/>
  <c r="P258" i="48" s="1"/>
  <c r="Q258" i="48" s="1"/>
  <c r="R258" i="48" s="1"/>
  <c r="S258" i="48" s="1"/>
  <c r="H258" i="47"/>
  <c r="I258" i="47" s="1"/>
  <c r="J258" i="47" s="1"/>
  <c r="K258" i="47" s="1"/>
  <c r="L258" i="47" s="1"/>
  <c r="M258" i="47" s="1"/>
  <c r="N258" i="47" s="1"/>
  <c r="O258" i="47" s="1"/>
  <c r="P258" i="47" s="1"/>
  <c r="Q258" i="47" s="1"/>
  <c r="R258" i="47" s="1"/>
  <c r="S258" i="47" s="1"/>
  <c r="H258" i="46"/>
  <c r="I258" i="46" s="1"/>
  <c r="J258" i="46" s="1"/>
  <c r="K258" i="46" s="1"/>
  <c r="L258" i="46" s="1"/>
  <c r="M258" i="46" s="1"/>
  <c r="N258" i="46" s="1"/>
  <c r="O258" i="46" s="1"/>
  <c r="P258" i="46" s="1"/>
  <c r="Q258" i="46" s="1"/>
  <c r="R258" i="46" s="1"/>
  <c r="S258" i="46" s="1"/>
  <c r="H258" i="45"/>
  <c r="I258" i="45" s="1"/>
  <c r="J258" i="45" s="1"/>
  <c r="K258" i="45" s="1"/>
  <c r="L258" i="45" s="1"/>
  <c r="M258" i="45" s="1"/>
  <c r="N258" i="45" s="1"/>
  <c r="O258" i="45" s="1"/>
  <c r="P258" i="45" s="1"/>
  <c r="Q258" i="45" s="1"/>
  <c r="R258" i="45" s="1"/>
  <c r="S258" i="45" s="1"/>
  <c r="H258" i="44"/>
  <c r="I258" i="44" s="1"/>
  <c r="J258" i="44" s="1"/>
  <c r="K258" i="44" s="1"/>
  <c r="L258" i="44" s="1"/>
  <c r="M258" i="44" s="1"/>
  <c r="N258" i="44" s="1"/>
  <c r="O258" i="44" s="1"/>
  <c r="P258" i="44" s="1"/>
  <c r="Q258" i="44" s="1"/>
  <c r="R258" i="44" s="1"/>
  <c r="S258" i="44" s="1"/>
  <c r="H258" i="43"/>
  <c r="I258" i="43" s="1"/>
  <c r="J258" i="43" s="1"/>
  <c r="K258" i="43" s="1"/>
  <c r="L258" i="43" s="1"/>
  <c r="M258" i="43" s="1"/>
  <c r="N258" i="43" s="1"/>
  <c r="O258" i="43" s="1"/>
  <c r="P258" i="43" s="1"/>
  <c r="Q258" i="43" s="1"/>
  <c r="R258" i="43" s="1"/>
  <c r="S258" i="43" s="1"/>
  <c r="F117" i="48"/>
  <c r="F117" i="47"/>
  <c r="F117" i="46"/>
  <c r="F117" i="45"/>
  <c r="F117" i="44"/>
  <c r="F117" i="43"/>
  <c r="F47" i="48"/>
  <c r="F47" i="47"/>
  <c r="F47" i="46"/>
  <c r="F47" i="45"/>
  <c r="F47" i="44"/>
  <c r="F47" i="43"/>
  <c r="F143" i="48"/>
  <c r="F143" i="47"/>
  <c r="F143" i="46"/>
  <c r="F143" i="45"/>
  <c r="F143" i="44"/>
  <c r="F143" i="43"/>
  <c r="F93" i="48"/>
  <c r="F93" i="47"/>
  <c r="F93" i="46"/>
  <c r="F93" i="45"/>
  <c r="F93" i="44"/>
  <c r="F93" i="43"/>
  <c r="F118" i="48"/>
  <c r="F118" i="47"/>
  <c r="F118" i="46"/>
  <c r="F118" i="45"/>
  <c r="F118" i="44"/>
  <c r="F118" i="43"/>
  <c r="F48" i="48"/>
  <c r="F48" i="47"/>
  <c r="F48" i="46"/>
  <c r="F48" i="45"/>
  <c r="F48" i="44"/>
  <c r="F48" i="43"/>
  <c r="E185" i="48"/>
  <c r="E185" i="47"/>
  <c r="E185" i="46"/>
  <c r="E185" i="45"/>
  <c r="E185" i="44"/>
  <c r="E185" i="43"/>
  <c r="E231" i="48"/>
  <c r="E231" i="47"/>
  <c r="E231" i="46"/>
  <c r="E231" i="45"/>
  <c r="E231" i="44"/>
  <c r="E231" i="43"/>
  <c r="E226" i="48"/>
  <c r="E226" i="47"/>
  <c r="E226" i="46"/>
  <c r="E226" i="45"/>
  <c r="E226" i="44"/>
  <c r="E226" i="43"/>
  <c r="E216" i="48"/>
  <c r="E216" i="47"/>
  <c r="E216" i="46"/>
  <c r="E216" i="45"/>
  <c r="E216" i="44"/>
  <c r="E216" i="43"/>
  <c r="E236" i="48"/>
  <c r="E236" i="47"/>
  <c r="E236" i="46"/>
  <c r="E236" i="45"/>
  <c r="E236" i="44"/>
  <c r="E236" i="43"/>
  <c r="F94" i="48"/>
  <c r="F94" i="47"/>
  <c r="F94" i="46"/>
  <c r="F94" i="45"/>
  <c r="F94" i="44"/>
  <c r="F94" i="43"/>
  <c r="H255" i="48"/>
  <c r="I255" i="48" s="1"/>
  <c r="J255" i="48" s="1"/>
  <c r="K255" i="48" s="1"/>
  <c r="L255" i="48" s="1"/>
  <c r="M255" i="48" s="1"/>
  <c r="N255" i="48" s="1"/>
  <c r="O255" i="48" s="1"/>
  <c r="P255" i="48" s="1"/>
  <c r="Q255" i="48" s="1"/>
  <c r="R255" i="48" s="1"/>
  <c r="S255" i="48" s="1"/>
  <c r="H255" i="47"/>
  <c r="I255" i="47" s="1"/>
  <c r="J255" i="47" s="1"/>
  <c r="K255" i="47" s="1"/>
  <c r="L255" i="47" s="1"/>
  <c r="M255" i="47" s="1"/>
  <c r="N255" i="47" s="1"/>
  <c r="O255" i="47" s="1"/>
  <c r="P255" i="47" s="1"/>
  <c r="Q255" i="47" s="1"/>
  <c r="R255" i="47" s="1"/>
  <c r="S255" i="47" s="1"/>
  <c r="H255" i="46"/>
  <c r="I255" i="46" s="1"/>
  <c r="J255" i="46" s="1"/>
  <c r="K255" i="46" s="1"/>
  <c r="L255" i="46" s="1"/>
  <c r="M255" i="46" s="1"/>
  <c r="N255" i="46" s="1"/>
  <c r="O255" i="46" s="1"/>
  <c r="P255" i="46" s="1"/>
  <c r="Q255" i="46" s="1"/>
  <c r="R255" i="46" s="1"/>
  <c r="S255" i="46" s="1"/>
  <c r="H255" i="45"/>
  <c r="I255" i="45" s="1"/>
  <c r="J255" i="45" s="1"/>
  <c r="K255" i="45" s="1"/>
  <c r="L255" i="45" s="1"/>
  <c r="M255" i="45" s="1"/>
  <c r="N255" i="45" s="1"/>
  <c r="O255" i="45" s="1"/>
  <c r="P255" i="45" s="1"/>
  <c r="Q255" i="45" s="1"/>
  <c r="R255" i="45" s="1"/>
  <c r="S255" i="45" s="1"/>
  <c r="H255" i="44"/>
  <c r="I255" i="44" s="1"/>
  <c r="J255" i="44" s="1"/>
  <c r="K255" i="44" s="1"/>
  <c r="L255" i="44" s="1"/>
  <c r="M255" i="44" s="1"/>
  <c r="N255" i="44" s="1"/>
  <c r="O255" i="44" s="1"/>
  <c r="P255" i="44" s="1"/>
  <c r="Q255" i="44" s="1"/>
  <c r="R255" i="44" s="1"/>
  <c r="S255" i="44" s="1"/>
  <c r="H255" i="43"/>
  <c r="I255" i="43" s="1"/>
  <c r="J255" i="43" s="1"/>
  <c r="K255" i="43" s="1"/>
  <c r="L255" i="43" s="1"/>
  <c r="M255" i="43" s="1"/>
  <c r="N255" i="43" s="1"/>
  <c r="O255" i="43" s="1"/>
  <c r="P255" i="43" s="1"/>
  <c r="Q255" i="43" s="1"/>
  <c r="R255" i="43" s="1"/>
  <c r="S255" i="43" s="1"/>
  <c r="E241" i="48"/>
  <c r="E241" i="47"/>
  <c r="E241" i="46"/>
  <c r="E241" i="45"/>
  <c r="E241" i="44"/>
  <c r="E241" i="43"/>
  <c r="F54" i="48"/>
  <c r="F54" i="47"/>
  <c r="F54" i="46"/>
  <c r="F54" i="45"/>
  <c r="F54" i="44"/>
  <c r="F54" i="43"/>
  <c r="F50" i="48"/>
  <c r="F50" i="47"/>
  <c r="F50" i="46"/>
  <c r="F50" i="45"/>
  <c r="F50" i="44"/>
  <c r="F50" i="43"/>
  <c r="F99" i="48"/>
  <c r="F99" i="47"/>
  <c r="F99" i="46"/>
  <c r="F99" i="45"/>
  <c r="F99" i="44"/>
  <c r="F99" i="43"/>
  <c r="E265" i="48"/>
  <c r="E265" i="47"/>
  <c r="E265" i="46"/>
  <c r="E265" i="45"/>
  <c r="E265" i="44"/>
  <c r="E265" i="43"/>
  <c r="F55" i="48"/>
  <c r="F55" i="47"/>
  <c r="F55" i="46"/>
  <c r="F55" i="45"/>
  <c r="F55" i="44"/>
  <c r="F55" i="43"/>
  <c r="F132" i="48"/>
  <c r="F132" i="47"/>
  <c r="F132" i="46"/>
  <c r="F132" i="45"/>
  <c r="F132" i="44"/>
  <c r="F132" i="43"/>
  <c r="F147" i="48"/>
  <c r="F147" i="47"/>
  <c r="F147" i="46"/>
  <c r="F147" i="45"/>
  <c r="F147" i="44"/>
  <c r="F147" i="43"/>
  <c r="F137" i="48"/>
  <c r="F137" i="47"/>
  <c r="F137" i="46"/>
  <c r="F137" i="45"/>
  <c r="F137" i="43"/>
  <c r="F137" i="44"/>
  <c r="E195" i="48"/>
  <c r="E195" i="47"/>
  <c r="E195" i="46"/>
  <c r="E195" i="45"/>
  <c r="E195" i="44"/>
  <c r="E195" i="43"/>
  <c r="E221" i="48"/>
  <c r="E221" i="47"/>
  <c r="E221" i="46"/>
  <c r="E221" i="45"/>
  <c r="E221" i="44"/>
  <c r="E221" i="43"/>
  <c r="E160" i="48"/>
  <c r="E160" i="47"/>
  <c r="E160" i="46"/>
  <c r="E160" i="45"/>
  <c r="E160" i="43"/>
  <c r="E160" i="44"/>
  <c r="F95" i="48"/>
  <c r="F95" i="47"/>
  <c r="F95" i="46"/>
  <c r="F95" i="45"/>
  <c r="F95" i="44"/>
  <c r="F95" i="43"/>
  <c r="E170" i="48"/>
  <c r="E170" i="47"/>
  <c r="E170" i="46"/>
  <c r="E170" i="45"/>
  <c r="E170" i="43"/>
  <c r="E170" i="44"/>
  <c r="F49" i="48"/>
  <c r="F49" i="47"/>
  <c r="F49" i="46"/>
  <c r="F49" i="45"/>
  <c r="F49" i="44"/>
  <c r="F49" i="43"/>
  <c r="F133" i="48"/>
  <c r="F133" i="47"/>
  <c r="F133" i="46"/>
  <c r="F133" i="45"/>
  <c r="F133" i="43"/>
  <c r="F133" i="44"/>
  <c r="F148" i="48"/>
  <c r="F148" i="47"/>
  <c r="F148" i="46"/>
  <c r="F148" i="45"/>
  <c r="F148" i="44"/>
  <c r="F148" i="43"/>
  <c r="F138" i="48"/>
  <c r="F138" i="47"/>
  <c r="F138" i="46"/>
  <c r="F138" i="45"/>
  <c r="F138" i="44"/>
  <c r="F138" i="43"/>
  <c r="F96" i="48"/>
  <c r="F96" i="47"/>
  <c r="F96" i="46"/>
  <c r="F96" i="45"/>
  <c r="F96" i="44"/>
  <c r="F96" i="43"/>
  <c r="H254" i="48"/>
  <c r="I254" i="48" s="1"/>
  <c r="J254" i="48" s="1"/>
  <c r="K254" i="48" s="1"/>
  <c r="L254" i="48" s="1"/>
  <c r="M254" i="48" s="1"/>
  <c r="N254" i="48" s="1"/>
  <c r="O254" i="48" s="1"/>
  <c r="P254" i="48" s="1"/>
  <c r="Q254" i="48" s="1"/>
  <c r="R254" i="48" s="1"/>
  <c r="S254" i="48" s="1"/>
  <c r="H254" i="47"/>
  <c r="I254" i="47" s="1"/>
  <c r="J254" i="47" s="1"/>
  <c r="K254" i="47" s="1"/>
  <c r="L254" i="47" s="1"/>
  <c r="M254" i="47" s="1"/>
  <c r="N254" i="47" s="1"/>
  <c r="O254" i="47" s="1"/>
  <c r="P254" i="47" s="1"/>
  <c r="Q254" i="47" s="1"/>
  <c r="R254" i="47" s="1"/>
  <c r="S254" i="47" s="1"/>
  <c r="H254" i="46"/>
  <c r="I254" i="46" s="1"/>
  <c r="J254" i="46" s="1"/>
  <c r="K254" i="46" s="1"/>
  <c r="L254" i="46" s="1"/>
  <c r="M254" i="46" s="1"/>
  <c r="N254" i="46" s="1"/>
  <c r="O254" i="46" s="1"/>
  <c r="P254" i="46" s="1"/>
  <c r="Q254" i="46" s="1"/>
  <c r="R254" i="46" s="1"/>
  <c r="S254" i="46" s="1"/>
  <c r="H254" i="45"/>
  <c r="I254" i="45" s="1"/>
  <c r="J254" i="45" s="1"/>
  <c r="K254" i="45" s="1"/>
  <c r="L254" i="45" s="1"/>
  <c r="M254" i="45" s="1"/>
  <c r="N254" i="45" s="1"/>
  <c r="O254" i="45" s="1"/>
  <c r="P254" i="45" s="1"/>
  <c r="Q254" i="45" s="1"/>
  <c r="R254" i="45" s="1"/>
  <c r="S254" i="45" s="1"/>
  <c r="H254" i="44"/>
  <c r="I254" i="44" s="1"/>
  <c r="J254" i="44" s="1"/>
  <c r="K254" i="44" s="1"/>
  <c r="L254" i="44" s="1"/>
  <c r="M254" i="44" s="1"/>
  <c r="N254" i="44" s="1"/>
  <c r="O254" i="44" s="1"/>
  <c r="P254" i="44" s="1"/>
  <c r="Q254" i="44" s="1"/>
  <c r="R254" i="44" s="1"/>
  <c r="S254" i="44" s="1"/>
  <c r="H254" i="43"/>
  <c r="I254" i="43" s="1"/>
  <c r="J254" i="43" s="1"/>
  <c r="K254" i="43" s="1"/>
  <c r="L254" i="43" s="1"/>
  <c r="M254" i="43" s="1"/>
  <c r="N254" i="43" s="1"/>
  <c r="O254" i="43" s="1"/>
  <c r="P254" i="43" s="1"/>
  <c r="Q254" i="43" s="1"/>
  <c r="R254" i="43" s="1"/>
  <c r="S254" i="43" s="1"/>
  <c r="F51" i="48"/>
  <c r="F51" i="47"/>
  <c r="F51" i="46"/>
  <c r="F51" i="45"/>
  <c r="F51" i="44"/>
  <c r="F51" i="43"/>
  <c r="F157" i="48"/>
  <c r="F157" i="47"/>
  <c r="F157" i="46"/>
  <c r="F157" i="45"/>
  <c r="F157" i="44"/>
  <c r="F157" i="43"/>
  <c r="E211" i="48"/>
  <c r="E211" i="47"/>
  <c r="E211" i="46"/>
  <c r="E211" i="45"/>
  <c r="E211" i="44"/>
  <c r="E211" i="43"/>
  <c r="F152" i="48"/>
  <c r="F152" i="47"/>
  <c r="F152" i="46"/>
  <c r="F152" i="45"/>
  <c r="F152" i="44"/>
  <c r="F152" i="43"/>
  <c r="E206" i="48"/>
  <c r="E206" i="47"/>
  <c r="E206" i="46"/>
  <c r="E206" i="45"/>
  <c r="E206" i="44"/>
  <c r="E206" i="43"/>
  <c r="E165" i="48"/>
  <c r="E165" i="47"/>
  <c r="E165" i="46"/>
  <c r="E165" i="45"/>
  <c r="E165" i="43"/>
  <c r="E165" i="44"/>
  <c r="E200" i="48"/>
  <c r="E200" i="47"/>
  <c r="E200" i="46"/>
  <c r="E200" i="45"/>
  <c r="E200" i="44"/>
  <c r="E200" i="43"/>
  <c r="F98" i="48"/>
  <c r="F98" i="47"/>
  <c r="F98" i="46"/>
  <c r="F98" i="45"/>
  <c r="F98" i="44"/>
  <c r="F98" i="43"/>
  <c r="F97" i="48"/>
  <c r="F97" i="47"/>
  <c r="F97" i="46"/>
  <c r="F97" i="45"/>
  <c r="F97" i="44"/>
  <c r="F97" i="43"/>
  <c r="C278" i="48"/>
  <c r="C278" i="47"/>
  <c r="C278" i="46"/>
  <c r="C278" i="44"/>
  <c r="C278" i="45"/>
  <c r="C278" i="43"/>
  <c r="C234" i="48"/>
  <c r="C234" i="47"/>
  <c r="C234" i="46"/>
  <c r="C234" i="45"/>
  <c r="C234" i="44"/>
  <c r="C234" i="43"/>
  <c r="C199" i="48"/>
  <c r="C199" i="47"/>
  <c r="C199" i="46"/>
  <c r="C199" i="45"/>
  <c r="C199" i="43"/>
  <c r="C199" i="44"/>
  <c r="C194" i="48"/>
  <c r="C194" i="47"/>
  <c r="C194" i="46"/>
  <c r="C194" i="45"/>
  <c r="C194" i="44"/>
  <c r="C194" i="43"/>
  <c r="C239" i="48"/>
  <c r="C239" i="47"/>
  <c r="C239" i="46"/>
  <c r="C239" i="45"/>
  <c r="C239" i="43"/>
  <c r="C239" i="44"/>
  <c r="C184" i="48"/>
  <c r="C184" i="47"/>
  <c r="C184" i="46"/>
  <c r="C184" i="45"/>
  <c r="C184" i="44"/>
  <c r="C184" i="43"/>
  <c r="C174" i="48"/>
  <c r="C174" i="47"/>
  <c r="C174" i="46"/>
  <c r="C174" i="45"/>
  <c r="C174" i="44"/>
  <c r="C174" i="43"/>
  <c r="C169" i="48"/>
  <c r="C169" i="47"/>
  <c r="C169" i="46"/>
  <c r="C169" i="45"/>
  <c r="C169" i="44"/>
  <c r="C169" i="43"/>
  <c r="C179" i="48"/>
  <c r="C179" i="47"/>
  <c r="C179" i="46"/>
  <c r="C179" i="45"/>
  <c r="C179" i="44"/>
  <c r="C179" i="43"/>
  <c r="C189" i="48"/>
  <c r="C189" i="47"/>
  <c r="C189" i="46"/>
  <c r="C189" i="45"/>
  <c r="C189" i="43"/>
  <c r="C189" i="44"/>
  <c r="C204" i="48"/>
  <c r="C204" i="47"/>
  <c r="C204" i="46"/>
  <c r="C204" i="45"/>
  <c r="C204" i="43"/>
  <c r="C204" i="44"/>
  <c r="C209" i="48"/>
  <c r="C209" i="47"/>
  <c r="C209" i="46"/>
  <c r="C209" i="45"/>
  <c r="C209" i="44"/>
  <c r="C209" i="43"/>
  <c r="C164" i="48"/>
  <c r="C164" i="47"/>
  <c r="C164" i="46"/>
  <c r="C164" i="45"/>
  <c r="C164" i="43"/>
  <c r="C164" i="44"/>
  <c r="C229" i="48"/>
  <c r="C229" i="47"/>
  <c r="C229" i="46"/>
  <c r="C229" i="45"/>
  <c r="C229" i="43"/>
  <c r="C229" i="44"/>
  <c r="C159" i="48"/>
  <c r="C159" i="47"/>
  <c r="C159" i="46"/>
  <c r="C159" i="45"/>
  <c r="C159" i="43"/>
  <c r="C159" i="44"/>
  <c r="C214" i="48"/>
  <c r="C214" i="47"/>
  <c r="C214" i="46"/>
  <c r="C214" i="45"/>
  <c r="C214" i="44"/>
  <c r="C214" i="43"/>
  <c r="C219" i="48"/>
  <c r="C219" i="47"/>
  <c r="C219" i="46"/>
  <c r="C219" i="45"/>
  <c r="C219" i="44"/>
  <c r="C219" i="43"/>
  <c r="C244" i="48"/>
  <c r="C244" i="47"/>
  <c r="C244" i="46"/>
  <c r="C244" i="45"/>
  <c r="C244" i="43"/>
  <c r="C244" i="44"/>
  <c r="C224" i="48"/>
  <c r="C224" i="47"/>
  <c r="C224" i="46"/>
  <c r="C224" i="45"/>
  <c r="C224" i="44"/>
  <c r="C224" i="43"/>
  <c r="D273" i="48"/>
  <c r="D273" i="47"/>
  <c r="D273" i="46"/>
  <c r="D273" i="45"/>
  <c r="D273" i="43"/>
  <c r="D273" i="44"/>
  <c r="D186" i="48"/>
  <c r="D186" i="47"/>
  <c r="D186" i="46"/>
  <c r="D186" i="45"/>
  <c r="D186" i="44"/>
  <c r="D186" i="43"/>
  <c r="D57" i="48"/>
  <c r="D57" i="47"/>
  <c r="D57" i="46"/>
  <c r="D57" i="44"/>
  <c r="D57" i="45"/>
  <c r="D57" i="43"/>
  <c r="D59" i="48"/>
  <c r="D59" i="47"/>
  <c r="D59" i="46"/>
  <c r="D59" i="45"/>
  <c r="D59" i="44"/>
  <c r="D59" i="43"/>
  <c r="D58" i="48"/>
  <c r="D58" i="47"/>
  <c r="D58" i="46"/>
  <c r="D58" i="44"/>
  <c r="D58" i="45"/>
  <c r="D58" i="43"/>
  <c r="D146" i="48"/>
  <c r="D146" i="47"/>
  <c r="D146" i="46"/>
  <c r="D146" i="45"/>
  <c r="D146" i="44"/>
  <c r="D146" i="43"/>
  <c r="D151" i="48"/>
  <c r="D151" i="47"/>
  <c r="D151" i="46"/>
  <c r="D151" i="44"/>
  <c r="D151" i="43"/>
  <c r="D151" i="45"/>
  <c r="D161" i="48"/>
  <c r="D161" i="47"/>
  <c r="D161" i="46"/>
  <c r="D161" i="44"/>
  <c r="D161" i="43"/>
  <c r="D161" i="45"/>
  <c r="D61" i="48"/>
  <c r="D61" i="47"/>
  <c r="D61" i="46"/>
  <c r="D61" i="44"/>
  <c r="D61" i="45"/>
  <c r="D61" i="43"/>
  <c r="D63" i="48"/>
  <c r="D63" i="47"/>
  <c r="D63" i="46"/>
  <c r="D63" i="44"/>
  <c r="D63" i="45"/>
  <c r="D63" i="43"/>
  <c r="D201" i="48"/>
  <c r="D201" i="47"/>
  <c r="D201" i="45"/>
  <c r="D201" i="46"/>
  <c r="D201" i="44"/>
  <c r="D201" i="43"/>
  <c r="D176" i="48"/>
  <c r="D176" i="47"/>
  <c r="D176" i="46"/>
  <c r="D176" i="44"/>
  <c r="D176" i="43"/>
  <c r="D176" i="45"/>
  <c r="D181" i="48"/>
  <c r="D181" i="47"/>
  <c r="D181" i="45"/>
  <c r="D181" i="46"/>
  <c r="D181" i="43"/>
  <c r="D181" i="44"/>
  <c r="D60" i="48"/>
  <c r="D60" i="47"/>
  <c r="D60" i="46"/>
  <c r="D60" i="45"/>
  <c r="D60" i="44"/>
  <c r="D60" i="43"/>
  <c r="D156" i="48"/>
  <c r="D156" i="47"/>
  <c r="D156" i="46"/>
  <c r="D156" i="45"/>
  <c r="D156" i="44"/>
  <c r="D156" i="43"/>
  <c r="D136" i="48"/>
  <c r="D136" i="47"/>
  <c r="D136" i="46"/>
  <c r="D136" i="45"/>
  <c r="D136" i="43"/>
  <c r="D136" i="44"/>
  <c r="D196" i="48"/>
  <c r="D196" i="47"/>
  <c r="D196" i="45"/>
  <c r="D196" i="46"/>
  <c r="D196" i="44"/>
  <c r="D196" i="43"/>
  <c r="D56" i="48"/>
  <c r="D56" i="47"/>
  <c r="D56" i="46"/>
  <c r="D56" i="44"/>
  <c r="D56" i="45"/>
  <c r="D56" i="43"/>
  <c r="D64" i="48"/>
  <c r="D64" i="47"/>
  <c r="D64" i="46"/>
  <c r="D64" i="45"/>
  <c r="D64" i="44"/>
  <c r="D64" i="43"/>
  <c r="D131" i="48"/>
  <c r="D131" i="47"/>
  <c r="D131" i="46"/>
  <c r="D131" i="44"/>
  <c r="D131" i="43"/>
  <c r="D131" i="45"/>
  <c r="D116" i="48"/>
  <c r="D116" i="47"/>
  <c r="D116" i="46"/>
  <c r="D116" i="43"/>
  <c r="D116" i="45"/>
  <c r="D116" i="44"/>
  <c r="D191" i="48"/>
  <c r="D191" i="47"/>
  <c r="D191" i="46"/>
  <c r="D191" i="43"/>
  <c r="D191" i="44"/>
  <c r="D191" i="45"/>
  <c r="D141" i="48"/>
  <c r="D141" i="47"/>
  <c r="D141" i="46"/>
  <c r="D141" i="43"/>
  <c r="D141" i="44"/>
  <c r="D141" i="45"/>
  <c r="D166" i="48"/>
  <c r="D166" i="47"/>
  <c r="D166" i="46"/>
  <c r="D166" i="45"/>
  <c r="D166" i="44"/>
  <c r="D166" i="43"/>
  <c r="D171" i="48"/>
  <c r="D171" i="47"/>
  <c r="D171" i="46"/>
  <c r="D171" i="45"/>
  <c r="D171" i="44"/>
  <c r="D171" i="43"/>
  <c r="D62" i="48"/>
  <c r="D62" i="47"/>
  <c r="D62" i="46"/>
  <c r="D62" i="45"/>
  <c r="D62" i="44"/>
  <c r="D62" i="43"/>
  <c r="C279" i="44" l="1"/>
  <c r="C277" i="46"/>
  <c r="C277" i="48"/>
  <c r="C279" i="47"/>
  <c r="C277" i="43"/>
  <c r="C277" i="44"/>
  <c r="C281" i="44"/>
  <c r="C281" i="47"/>
  <c r="C281" i="43"/>
  <c r="C279" i="46"/>
  <c r="C279" i="48"/>
  <c r="C279" i="43"/>
  <c r="C281" i="46"/>
  <c r="C277" i="45"/>
  <c r="C281" i="45"/>
  <c r="E171" i="48"/>
  <c r="E171" i="47"/>
  <c r="E171" i="46"/>
  <c r="E171" i="45"/>
  <c r="E171" i="43"/>
  <c r="E171" i="44"/>
  <c r="G48" i="48"/>
  <c r="G48" i="47"/>
  <c r="G48" i="46"/>
  <c r="G48" i="45"/>
  <c r="G48" i="44"/>
  <c r="G48" i="43"/>
  <c r="G47" i="48"/>
  <c r="G47" i="47"/>
  <c r="G47" i="46"/>
  <c r="G47" i="45"/>
  <c r="G47" i="44"/>
  <c r="G47" i="43"/>
  <c r="G109" i="48"/>
  <c r="G109" i="47"/>
  <c r="G109" i="46"/>
  <c r="G109" i="45"/>
  <c r="G109" i="44"/>
  <c r="G109" i="43"/>
  <c r="G56" i="48"/>
  <c r="G56" i="47"/>
  <c r="G56" i="46"/>
  <c r="G56" i="45"/>
  <c r="G56" i="44"/>
  <c r="G56" i="43"/>
  <c r="E233" i="48"/>
  <c r="E233" i="47"/>
  <c r="E233" i="46"/>
  <c r="E233" i="45"/>
  <c r="E233" i="44"/>
  <c r="E233" i="43"/>
  <c r="F76" i="48"/>
  <c r="F76" i="47"/>
  <c r="F76" i="46"/>
  <c r="F76" i="45"/>
  <c r="F76" i="44"/>
  <c r="F76" i="43"/>
  <c r="G100" i="48"/>
  <c r="G100" i="47"/>
  <c r="G100" i="46"/>
  <c r="G100" i="45"/>
  <c r="G100" i="44"/>
  <c r="G100" i="43"/>
  <c r="E248" i="48"/>
  <c r="E248" i="47"/>
  <c r="E248" i="46"/>
  <c r="E248" i="45"/>
  <c r="E248" i="44"/>
  <c r="E248" i="43"/>
  <c r="F103" i="48"/>
  <c r="F103" i="47"/>
  <c r="F103" i="46"/>
  <c r="F103" i="45"/>
  <c r="F103" i="44"/>
  <c r="F103" i="43"/>
  <c r="G75" i="48"/>
  <c r="G75" i="47"/>
  <c r="G75" i="46"/>
  <c r="G75" i="45"/>
  <c r="G75" i="44"/>
  <c r="G75" i="43"/>
  <c r="E208" i="48"/>
  <c r="E208" i="47"/>
  <c r="E208" i="46"/>
  <c r="E208" i="45"/>
  <c r="E208" i="44"/>
  <c r="E208" i="43"/>
  <c r="E213" i="48"/>
  <c r="E213" i="47"/>
  <c r="E213" i="46"/>
  <c r="E213" i="45"/>
  <c r="E213" i="44"/>
  <c r="E213" i="43"/>
  <c r="H262" i="48"/>
  <c r="I262" i="48" s="1"/>
  <c r="J262" i="48" s="1"/>
  <c r="K262" i="48" s="1"/>
  <c r="L262" i="48" s="1"/>
  <c r="M262" i="48" s="1"/>
  <c r="N262" i="48" s="1"/>
  <c r="O262" i="48" s="1"/>
  <c r="P262" i="48" s="1"/>
  <c r="Q262" i="48" s="1"/>
  <c r="R262" i="48" s="1"/>
  <c r="S262" i="48" s="1"/>
  <c r="H262" i="47"/>
  <c r="I262" i="47" s="1"/>
  <c r="J262" i="47" s="1"/>
  <c r="K262" i="47" s="1"/>
  <c r="L262" i="47" s="1"/>
  <c r="M262" i="47" s="1"/>
  <c r="N262" i="47" s="1"/>
  <c r="O262" i="47" s="1"/>
  <c r="P262" i="47" s="1"/>
  <c r="Q262" i="47" s="1"/>
  <c r="R262" i="47" s="1"/>
  <c r="S262" i="47" s="1"/>
  <c r="H262" i="46"/>
  <c r="I262" i="46" s="1"/>
  <c r="J262" i="46" s="1"/>
  <c r="K262" i="46" s="1"/>
  <c r="L262" i="46" s="1"/>
  <c r="M262" i="46" s="1"/>
  <c r="N262" i="46" s="1"/>
  <c r="O262" i="46" s="1"/>
  <c r="P262" i="46" s="1"/>
  <c r="Q262" i="46" s="1"/>
  <c r="R262" i="46" s="1"/>
  <c r="S262" i="46" s="1"/>
  <c r="H262" i="45"/>
  <c r="I262" i="45" s="1"/>
  <c r="J262" i="45" s="1"/>
  <c r="K262" i="45" s="1"/>
  <c r="L262" i="45" s="1"/>
  <c r="M262" i="45" s="1"/>
  <c r="N262" i="45" s="1"/>
  <c r="O262" i="45" s="1"/>
  <c r="P262" i="45" s="1"/>
  <c r="Q262" i="45" s="1"/>
  <c r="R262" i="45" s="1"/>
  <c r="S262" i="45" s="1"/>
  <c r="H262" i="44"/>
  <c r="I262" i="44" s="1"/>
  <c r="J262" i="44" s="1"/>
  <c r="K262" i="44" s="1"/>
  <c r="L262" i="44" s="1"/>
  <c r="M262" i="44" s="1"/>
  <c r="N262" i="44" s="1"/>
  <c r="O262" i="44" s="1"/>
  <c r="P262" i="44" s="1"/>
  <c r="Q262" i="44" s="1"/>
  <c r="R262" i="44" s="1"/>
  <c r="S262" i="44" s="1"/>
  <c r="H262" i="43"/>
  <c r="I262" i="43" s="1"/>
  <c r="J262" i="43" s="1"/>
  <c r="K262" i="43" s="1"/>
  <c r="L262" i="43" s="1"/>
  <c r="M262" i="43" s="1"/>
  <c r="N262" i="43" s="1"/>
  <c r="O262" i="43" s="1"/>
  <c r="P262" i="43" s="1"/>
  <c r="Q262" i="43" s="1"/>
  <c r="R262" i="43" s="1"/>
  <c r="S262" i="43" s="1"/>
  <c r="H263" i="48"/>
  <c r="I263" i="48" s="1"/>
  <c r="J263" i="48" s="1"/>
  <c r="K263" i="48" s="1"/>
  <c r="L263" i="48" s="1"/>
  <c r="M263" i="48" s="1"/>
  <c r="N263" i="48" s="1"/>
  <c r="O263" i="48" s="1"/>
  <c r="P263" i="48" s="1"/>
  <c r="Q263" i="48" s="1"/>
  <c r="R263" i="48" s="1"/>
  <c r="S263" i="48" s="1"/>
  <c r="H263" i="47"/>
  <c r="I263" i="47" s="1"/>
  <c r="J263" i="47" s="1"/>
  <c r="K263" i="47" s="1"/>
  <c r="L263" i="47" s="1"/>
  <c r="M263" i="47" s="1"/>
  <c r="N263" i="47" s="1"/>
  <c r="O263" i="47" s="1"/>
  <c r="P263" i="47" s="1"/>
  <c r="Q263" i="47" s="1"/>
  <c r="R263" i="47" s="1"/>
  <c r="S263" i="47" s="1"/>
  <c r="H263" i="46"/>
  <c r="I263" i="46" s="1"/>
  <c r="J263" i="46" s="1"/>
  <c r="K263" i="46" s="1"/>
  <c r="L263" i="46" s="1"/>
  <c r="M263" i="46" s="1"/>
  <c r="N263" i="46" s="1"/>
  <c r="O263" i="46" s="1"/>
  <c r="P263" i="46" s="1"/>
  <c r="Q263" i="46" s="1"/>
  <c r="R263" i="46" s="1"/>
  <c r="S263" i="46" s="1"/>
  <c r="H263" i="45"/>
  <c r="I263" i="45" s="1"/>
  <c r="J263" i="45" s="1"/>
  <c r="K263" i="45" s="1"/>
  <c r="L263" i="45" s="1"/>
  <c r="M263" i="45" s="1"/>
  <c r="N263" i="45" s="1"/>
  <c r="O263" i="45" s="1"/>
  <c r="P263" i="45" s="1"/>
  <c r="Q263" i="45" s="1"/>
  <c r="R263" i="45" s="1"/>
  <c r="S263" i="45" s="1"/>
  <c r="H263" i="44"/>
  <c r="I263" i="44" s="1"/>
  <c r="J263" i="44" s="1"/>
  <c r="K263" i="44" s="1"/>
  <c r="L263" i="44" s="1"/>
  <c r="M263" i="44" s="1"/>
  <c r="N263" i="44" s="1"/>
  <c r="O263" i="44" s="1"/>
  <c r="P263" i="44" s="1"/>
  <c r="Q263" i="44" s="1"/>
  <c r="R263" i="44" s="1"/>
  <c r="S263" i="44" s="1"/>
  <c r="H263" i="43"/>
  <c r="I263" i="43" s="1"/>
  <c r="J263" i="43" s="1"/>
  <c r="K263" i="43" s="1"/>
  <c r="L263" i="43" s="1"/>
  <c r="M263" i="43" s="1"/>
  <c r="N263" i="43" s="1"/>
  <c r="O263" i="43" s="1"/>
  <c r="P263" i="43" s="1"/>
  <c r="Q263" i="43" s="1"/>
  <c r="R263" i="43" s="1"/>
  <c r="S263" i="43" s="1"/>
  <c r="H260" i="48"/>
  <c r="I260" i="48" s="1"/>
  <c r="J260" i="48" s="1"/>
  <c r="K260" i="48" s="1"/>
  <c r="L260" i="48" s="1"/>
  <c r="M260" i="48" s="1"/>
  <c r="N260" i="48" s="1"/>
  <c r="O260" i="48" s="1"/>
  <c r="P260" i="48" s="1"/>
  <c r="Q260" i="48" s="1"/>
  <c r="R260" i="48" s="1"/>
  <c r="S260" i="48" s="1"/>
  <c r="H260" i="47"/>
  <c r="I260" i="47" s="1"/>
  <c r="J260" i="47" s="1"/>
  <c r="K260" i="47" s="1"/>
  <c r="L260" i="47" s="1"/>
  <c r="M260" i="47" s="1"/>
  <c r="N260" i="47" s="1"/>
  <c r="O260" i="47" s="1"/>
  <c r="P260" i="47" s="1"/>
  <c r="Q260" i="47" s="1"/>
  <c r="R260" i="47" s="1"/>
  <c r="S260" i="47" s="1"/>
  <c r="H260" i="46"/>
  <c r="I260" i="46" s="1"/>
  <c r="J260" i="46" s="1"/>
  <c r="K260" i="46" s="1"/>
  <c r="L260" i="46" s="1"/>
  <c r="M260" i="46" s="1"/>
  <c r="N260" i="46" s="1"/>
  <c r="O260" i="46" s="1"/>
  <c r="P260" i="46" s="1"/>
  <c r="Q260" i="46" s="1"/>
  <c r="R260" i="46" s="1"/>
  <c r="S260" i="46" s="1"/>
  <c r="H260" i="45"/>
  <c r="I260" i="45" s="1"/>
  <c r="J260" i="45" s="1"/>
  <c r="K260" i="45" s="1"/>
  <c r="L260" i="45" s="1"/>
  <c r="M260" i="45" s="1"/>
  <c r="N260" i="45" s="1"/>
  <c r="O260" i="45" s="1"/>
  <c r="P260" i="45" s="1"/>
  <c r="Q260" i="45" s="1"/>
  <c r="R260" i="45" s="1"/>
  <c r="S260" i="45" s="1"/>
  <c r="H260" i="44"/>
  <c r="I260" i="44" s="1"/>
  <c r="J260" i="44" s="1"/>
  <c r="K260" i="44" s="1"/>
  <c r="L260" i="44" s="1"/>
  <c r="M260" i="44" s="1"/>
  <c r="N260" i="44" s="1"/>
  <c r="O260" i="44" s="1"/>
  <c r="P260" i="44" s="1"/>
  <c r="Q260" i="44" s="1"/>
  <c r="R260" i="44" s="1"/>
  <c r="S260" i="44" s="1"/>
  <c r="H260" i="43"/>
  <c r="I260" i="43" s="1"/>
  <c r="J260" i="43" s="1"/>
  <c r="K260" i="43" s="1"/>
  <c r="L260" i="43" s="1"/>
  <c r="M260" i="43" s="1"/>
  <c r="N260" i="43" s="1"/>
  <c r="O260" i="43" s="1"/>
  <c r="P260" i="43" s="1"/>
  <c r="Q260" i="43" s="1"/>
  <c r="R260" i="43" s="1"/>
  <c r="S260" i="43" s="1"/>
  <c r="G54" i="48"/>
  <c r="G54" i="47"/>
  <c r="G54" i="46"/>
  <c r="G54" i="45"/>
  <c r="G54" i="44"/>
  <c r="G54" i="43"/>
  <c r="E222" i="48"/>
  <c r="E222" i="47"/>
  <c r="E222" i="46"/>
  <c r="E222" i="45"/>
  <c r="E222" i="44"/>
  <c r="E222" i="43"/>
  <c r="G108" i="48"/>
  <c r="G108" i="47"/>
  <c r="G108" i="46"/>
  <c r="G108" i="45"/>
  <c r="G108" i="44"/>
  <c r="G108" i="43"/>
  <c r="E242" i="48"/>
  <c r="E242" i="47"/>
  <c r="E242" i="46"/>
  <c r="E242" i="45"/>
  <c r="E242" i="44"/>
  <c r="E242" i="43"/>
  <c r="G62" i="48"/>
  <c r="G62" i="47"/>
  <c r="G62" i="46"/>
  <c r="G62" i="45"/>
  <c r="G62" i="44"/>
  <c r="G62" i="43"/>
  <c r="G63" i="48"/>
  <c r="G63" i="47"/>
  <c r="G63" i="46"/>
  <c r="G63" i="45"/>
  <c r="G63" i="44"/>
  <c r="G63" i="43"/>
  <c r="E237" i="48"/>
  <c r="E237" i="47"/>
  <c r="E237" i="46"/>
  <c r="E237" i="45"/>
  <c r="E237" i="44"/>
  <c r="E237" i="43"/>
  <c r="E186" i="48"/>
  <c r="E186" i="47"/>
  <c r="E186" i="46"/>
  <c r="E186" i="45"/>
  <c r="E186" i="44"/>
  <c r="E186" i="43"/>
  <c r="F77" i="48"/>
  <c r="F77" i="47"/>
  <c r="F77" i="46"/>
  <c r="F77" i="45"/>
  <c r="F77" i="44"/>
  <c r="F77" i="43"/>
  <c r="G92" i="48"/>
  <c r="G92" i="47"/>
  <c r="G92" i="46"/>
  <c r="G92" i="45"/>
  <c r="G92" i="44"/>
  <c r="G92" i="43"/>
  <c r="E181" i="48"/>
  <c r="E181" i="47"/>
  <c r="E181" i="46"/>
  <c r="E181" i="45"/>
  <c r="E181" i="44"/>
  <c r="E181" i="43"/>
  <c r="F102" i="48"/>
  <c r="F102" i="47"/>
  <c r="F102" i="46"/>
  <c r="F102" i="45"/>
  <c r="F102" i="44"/>
  <c r="F102" i="43"/>
  <c r="G82" i="48"/>
  <c r="G82" i="47"/>
  <c r="G82" i="46"/>
  <c r="G82" i="45"/>
  <c r="G82" i="44"/>
  <c r="G82" i="43"/>
  <c r="E271" i="48"/>
  <c r="E271" i="47"/>
  <c r="E271" i="46"/>
  <c r="E271" i="45"/>
  <c r="E271" i="44"/>
  <c r="E271" i="43"/>
  <c r="E273" i="48"/>
  <c r="E273" i="47"/>
  <c r="E273" i="46"/>
  <c r="E273" i="45"/>
  <c r="E273" i="44"/>
  <c r="E273" i="43"/>
  <c r="E269" i="48"/>
  <c r="E269" i="47"/>
  <c r="E269" i="46"/>
  <c r="E269" i="45"/>
  <c r="E269" i="44"/>
  <c r="E269" i="43"/>
  <c r="H259" i="48"/>
  <c r="I259" i="48" s="1"/>
  <c r="J259" i="48" s="1"/>
  <c r="K259" i="48" s="1"/>
  <c r="L259" i="48" s="1"/>
  <c r="M259" i="48" s="1"/>
  <c r="N259" i="48" s="1"/>
  <c r="O259" i="48" s="1"/>
  <c r="P259" i="48" s="1"/>
  <c r="Q259" i="48" s="1"/>
  <c r="R259" i="48" s="1"/>
  <c r="S259" i="48" s="1"/>
  <c r="H259" i="47"/>
  <c r="I259" i="47" s="1"/>
  <c r="J259" i="47" s="1"/>
  <c r="K259" i="47" s="1"/>
  <c r="L259" i="47" s="1"/>
  <c r="M259" i="47" s="1"/>
  <c r="N259" i="47" s="1"/>
  <c r="O259" i="47" s="1"/>
  <c r="P259" i="47" s="1"/>
  <c r="Q259" i="47" s="1"/>
  <c r="R259" i="47" s="1"/>
  <c r="S259" i="47" s="1"/>
  <c r="H259" i="46"/>
  <c r="I259" i="46" s="1"/>
  <c r="J259" i="46" s="1"/>
  <c r="K259" i="46" s="1"/>
  <c r="L259" i="46" s="1"/>
  <c r="M259" i="46" s="1"/>
  <c r="N259" i="46" s="1"/>
  <c r="O259" i="46" s="1"/>
  <c r="P259" i="46" s="1"/>
  <c r="Q259" i="46" s="1"/>
  <c r="R259" i="46" s="1"/>
  <c r="S259" i="46" s="1"/>
  <c r="H259" i="45"/>
  <c r="I259" i="45" s="1"/>
  <c r="J259" i="45" s="1"/>
  <c r="K259" i="45" s="1"/>
  <c r="L259" i="45" s="1"/>
  <c r="M259" i="45" s="1"/>
  <c r="N259" i="45" s="1"/>
  <c r="O259" i="45" s="1"/>
  <c r="P259" i="45" s="1"/>
  <c r="Q259" i="45" s="1"/>
  <c r="R259" i="45" s="1"/>
  <c r="S259" i="45" s="1"/>
  <c r="H259" i="44"/>
  <c r="I259" i="44" s="1"/>
  <c r="J259" i="44" s="1"/>
  <c r="K259" i="44" s="1"/>
  <c r="L259" i="44" s="1"/>
  <c r="M259" i="44" s="1"/>
  <c r="N259" i="44" s="1"/>
  <c r="O259" i="44" s="1"/>
  <c r="P259" i="44" s="1"/>
  <c r="Q259" i="44" s="1"/>
  <c r="R259" i="44" s="1"/>
  <c r="S259" i="44" s="1"/>
  <c r="H259" i="43"/>
  <c r="I259" i="43" s="1"/>
  <c r="J259" i="43" s="1"/>
  <c r="K259" i="43" s="1"/>
  <c r="L259" i="43" s="1"/>
  <c r="M259" i="43" s="1"/>
  <c r="N259" i="43" s="1"/>
  <c r="O259" i="43" s="1"/>
  <c r="P259" i="43" s="1"/>
  <c r="Q259" i="43" s="1"/>
  <c r="R259" i="43" s="1"/>
  <c r="S259" i="43" s="1"/>
  <c r="G52" i="48"/>
  <c r="G52" i="47"/>
  <c r="G52" i="46"/>
  <c r="G52" i="45"/>
  <c r="G52" i="44"/>
  <c r="G52" i="43"/>
  <c r="E223" i="48"/>
  <c r="E223" i="47"/>
  <c r="E223" i="46"/>
  <c r="E223" i="45"/>
  <c r="E223" i="44"/>
  <c r="E223" i="43"/>
  <c r="G102" i="48"/>
  <c r="G102" i="47"/>
  <c r="G102" i="46"/>
  <c r="G102" i="45"/>
  <c r="G102" i="44"/>
  <c r="G102" i="43"/>
  <c r="E243" i="48"/>
  <c r="E243" i="47"/>
  <c r="E243" i="46"/>
  <c r="E243" i="45"/>
  <c r="E243" i="44"/>
  <c r="E243" i="43"/>
  <c r="G61" i="48"/>
  <c r="G61" i="47"/>
  <c r="G61" i="46"/>
  <c r="G61" i="45"/>
  <c r="G61" i="44"/>
  <c r="G61" i="43"/>
  <c r="E238" i="48"/>
  <c r="E238" i="47"/>
  <c r="E238" i="46"/>
  <c r="E238" i="45"/>
  <c r="E238" i="44"/>
  <c r="E238" i="43"/>
  <c r="F75" i="48"/>
  <c r="F75" i="47"/>
  <c r="F75" i="46"/>
  <c r="F75" i="45"/>
  <c r="F75" i="44"/>
  <c r="F75" i="43"/>
  <c r="G99" i="48"/>
  <c r="G99" i="47"/>
  <c r="G99" i="46"/>
  <c r="G99" i="45"/>
  <c r="G99" i="44"/>
  <c r="G99" i="43"/>
  <c r="F104" i="48"/>
  <c r="F104" i="47"/>
  <c r="F104" i="46"/>
  <c r="F104" i="45"/>
  <c r="F104" i="44"/>
  <c r="F104" i="43"/>
  <c r="G74" i="48"/>
  <c r="G74" i="47"/>
  <c r="G74" i="46"/>
  <c r="G74" i="45"/>
  <c r="G74" i="44"/>
  <c r="G74" i="43"/>
  <c r="G53" i="48"/>
  <c r="G53" i="47"/>
  <c r="G53" i="46"/>
  <c r="G53" i="45"/>
  <c r="G53" i="44"/>
  <c r="G53" i="43"/>
  <c r="E196" i="48"/>
  <c r="E196" i="47"/>
  <c r="E196" i="46"/>
  <c r="E196" i="45"/>
  <c r="E196" i="44"/>
  <c r="E196" i="43"/>
  <c r="G107" i="48"/>
  <c r="G107" i="47"/>
  <c r="G107" i="46"/>
  <c r="G107" i="45"/>
  <c r="G107" i="44"/>
  <c r="G107" i="43"/>
  <c r="G60" i="48"/>
  <c r="G60" i="47"/>
  <c r="G60" i="46"/>
  <c r="G60" i="45"/>
  <c r="G60" i="44"/>
  <c r="G60" i="43"/>
  <c r="E217" i="48"/>
  <c r="E217" i="47"/>
  <c r="E217" i="46"/>
  <c r="E217" i="45"/>
  <c r="E217" i="44"/>
  <c r="E217" i="43"/>
  <c r="F78" i="48"/>
  <c r="F78" i="47"/>
  <c r="F78" i="46"/>
  <c r="F78" i="45"/>
  <c r="F78" i="44"/>
  <c r="F78" i="43"/>
  <c r="G93" i="48"/>
  <c r="G93" i="47"/>
  <c r="G93" i="46"/>
  <c r="G93" i="45"/>
  <c r="G93" i="44"/>
  <c r="G93" i="43"/>
  <c r="F101" i="48"/>
  <c r="F101" i="47"/>
  <c r="F101" i="46"/>
  <c r="F101" i="45"/>
  <c r="F101" i="44"/>
  <c r="F101" i="43"/>
  <c r="G77" i="48"/>
  <c r="G77" i="47"/>
  <c r="G77" i="46"/>
  <c r="G77" i="45"/>
  <c r="G77" i="44"/>
  <c r="G77" i="43"/>
  <c r="E201" i="48"/>
  <c r="E201" i="47"/>
  <c r="E201" i="46"/>
  <c r="E201" i="45"/>
  <c r="E201" i="44"/>
  <c r="E201" i="43"/>
  <c r="E270" i="48"/>
  <c r="E270" i="47"/>
  <c r="E270" i="46"/>
  <c r="E270" i="45"/>
  <c r="E270" i="44"/>
  <c r="E270" i="43"/>
  <c r="G51" i="48"/>
  <c r="G51" i="47"/>
  <c r="G51" i="46"/>
  <c r="G51" i="45"/>
  <c r="G51" i="44"/>
  <c r="G51" i="43"/>
  <c r="G106" i="48"/>
  <c r="G106" i="47"/>
  <c r="G106" i="46"/>
  <c r="G106" i="45"/>
  <c r="G106" i="44"/>
  <c r="G106" i="43"/>
  <c r="G105" i="48"/>
  <c r="G105" i="47"/>
  <c r="G105" i="46"/>
  <c r="G105" i="45"/>
  <c r="G105" i="44"/>
  <c r="G105" i="43"/>
  <c r="G59" i="48"/>
  <c r="G59" i="47"/>
  <c r="G59" i="46"/>
  <c r="G59" i="45"/>
  <c r="G59" i="44"/>
  <c r="G59" i="43"/>
  <c r="E218" i="48"/>
  <c r="E218" i="47"/>
  <c r="E218" i="46"/>
  <c r="E218" i="45"/>
  <c r="E218" i="44"/>
  <c r="E218" i="43"/>
  <c r="F79" i="48"/>
  <c r="F79" i="47"/>
  <c r="F79" i="46"/>
  <c r="F79" i="45"/>
  <c r="F79" i="44"/>
  <c r="F79" i="43"/>
  <c r="G98" i="48"/>
  <c r="G98" i="47"/>
  <c r="G98" i="46"/>
  <c r="G98" i="45"/>
  <c r="G98" i="44"/>
  <c r="G98" i="43"/>
  <c r="F105" i="48"/>
  <c r="F105" i="47"/>
  <c r="F105" i="46"/>
  <c r="F105" i="45"/>
  <c r="F105" i="44"/>
  <c r="F105" i="43"/>
  <c r="G81" i="48"/>
  <c r="G81" i="47"/>
  <c r="G81" i="46"/>
  <c r="G81" i="45"/>
  <c r="G81" i="44"/>
  <c r="G81" i="43"/>
  <c r="E176" i="48"/>
  <c r="E176" i="47"/>
  <c r="E176" i="46"/>
  <c r="E176" i="45"/>
  <c r="E176" i="43"/>
  <c r="E176" i="44"/>
  <c r="H264" i="48"/>
  <c r="I264" i="48" s="1"/>
  <c r="J264" i="48" s="1"/>
  <c r="K264" i="48" s="1"/>
  <c r="L264" i="48" s="1"/>
  <c r="M264" i="48" s="1"/>
  <c r="N264" i="48" s="1"/>
  <c r="O264" i="48" s="1"/>
  <c r="P264" i="48" s="1"/>
  <c r="Q264" i="48" s="1"/>
  <c r="R264" i="48" s="1"/>
  <c r="S264" i="48" s="1"/>
  <c r="H264" i="47"/>
  <c r="I264" i="47" s="1"/>
  <c r="J264" i="47" s="1"/>
  <c r="K264" i="47" s="1"/>
  <c r="L264" i="47" s="1"/>
  <c r="M264" i="47" s="1"/>
  <c r="N264" i="47" s="1"/>
  <c r="O264" i="47" s="1"/>
  <c r="P264" i="47" s="1"/>
  <c r="Q264" i="47" s="1"/>
  <c r="R264" i="47" s="1"/>
  <c r="S264" i="47" s="1"/>
  <c r="H264" i="46"/>
  <c r="I264" i="46" s="1"/>
  <c r="J264" i="46" s="1"/>
  <c r="K264" i="46" s="1"/>
  <c r="L264" i="46" s="1"/>
  <c r="M264" i="46" s="1"/>
  <c r="N264" i="46" s="1"/>
  <c r="O264" i="46" s="1"/>
  <c r="P264" i="46" s="1"/>
  <c r="Q264" i="46" s="1"/>
  <c r="R264" i="46" s="1"/>
  <c r="S264" i="46" s="1"/>
  <c r="H264" i="45"/>
  <c r="I264" i="45" s="1"/>
  <c r="J264" i="45" s="1"/>
  <c r="K264" i="45" s="1"/>
  <c r="L264" i="45" s="1"/>
  <c r="M264" i="45" s="1"/>
  <c r="N264" i="45" s="1"/>
  <c r="O264" i="45" s="1"/>
  <c r="P264" i="45" s="1"/>
  <c r="Q264" i="45" s="1"/>
  <c r="R264" i="45" s="1"/>
  <c r="S264" i="45" s="1"/>
  <c r="H264" i="44"/>
  <c r="I264" i="44" s="1"/>
  <c r="J264" i="44" s="1"/>
  <c r="K264" i="44" s="1"/>
  <c r="L264" i="44" s="1"/>
  <c r="M264" i="44" s="1"/>
  <c r="N264" i="44" s="1"/>
  <c r="O264" i="44" s="1"/>
  <c r="P264" i="44" s="1"/>
  <c r="Q264" i="44" s="1"/>
  <c r="R264" i="44" s="1"/>
  <c r="S264" i="44" s="1"/>
  <c r="H264" i="43"/>
  <c r="I264" i="43" s="1"/>
  <c r="J264" i="43" s="1"/>
  <c r="K264" i="43" s="1"/>
  <c r="L264" i="43" s="1"/>
  <c r="M264" i="43" s="1"/>
  <c r="N264" i="43" s="1"/>
  <c r="O264" i="43" s="1"/>
  <c r="P264" i="43" s="1"/>
  <c r="Q264" i="43" s="1"/>
  <c r="R264" i="43" s="1"/>
  <c r="S264" i="43" s="1"/>
  <c r="E272" i="48"/>
  <c r="E272" i="47"/>
  <c r="E272" i="46"/>
  <c r="E272" i="45"/>
  <c r="E272" i="44"/>
  <c r="E272" i="43"/>
  <c r="G50" i="48"/>
  <c r="G50" i="47"/>
  <c r="G50" i="46"/>
  <c r="G50" i="45"/>
  <c r="G50" i="44"/>
  <c r="G50" i="43"/>
  <c r="G104" i="48"/>
  <c r="G104" i="47"/>
  <c r="G104" i="46"/>
  <c r="G104" i="45"/>
  <c r="G104" i="44"/>
  <c r="G104" i="43"/>
  <c r="G58" i="48"/>
  <c r="G58" i="47"/>
  <c r="G58" i="46"/>
  <c r="G58" i="45"/>
  <c r="G58" i="44"/>
  <c r="G58" i="43"/>
  <c r="E227" i="48"/>
  <c r="E227" i="47"/>
  <c r="E227" i="46"/>
  <c r="E227" i="45"/>
  <c r="E227" i="44"/>
  <c r="E227" i="43"/>
  <c r="F80" i="48"/>
  <c r="F80" i="47"/>
  <c r="F80" i="46"/>
  <c r="F80" i="45"/>
  <c r="F80" i="44"/>
  <c r="F80" i="43"/>
  <c r="F81" i="48"/>
  <c r="F81" i="47"/>
  <c r="F81" i="46"/>
  <c r="F81" i="45"/>
  <c r="F81" i="44"/>
  <c r="F81" i="43"/>
  <c r="G97" i="48"/>
  <c r="G97" i="47"/>
  <c r="G97" i="46"/>
  <c r="G97" i="45"/>
  <c r="G97" i="44"/>
  <c r="G97" i="43"/>
  <c r="F106" i="48"/>
  <c r="F106" i="47"/>
  <c r="F106" i="46"/>
  <c r="F106" i="45"/>
  <c r="F106" i="44"/>
  <c r="F106" i="43"/>
  <c r="F107" i="48"/>
  <c r="F107" i="47"/>
  <c r="F107" i="46"/>
  <c r="F107" i="45"/>
  <c r="F107" i="44"/>
  <c r="F107" i="43"/>
  <c r="G80" i="48"/>
  <c r="G80" i="47"/>
  <c r="G80" i="46"/>
  <c r="G80" i="45"/>
  <c r="G80" i="44"/>
  <c r="G80" i="43"/>
  <c r="E166" i="48"/>
  <c r="E166" i="47"/>
  <c r="E166" i="46"/>
  <c r="E166" i="45"/>
  <c r="E166" i="43"/>
  <c r="E166" i="44"/>
  <c r="H266" i="48"/>
  <c r="I266" i="48" s="1"/>
  <c r="J266" i="48" s="1"/>
  <c r="K266" i="48" s="1"/>
  <c r="L266" i="48" s="1"/>
  <c r="M266" i="48" s="1"/>
  <c r="N266" i="48" s="1"/>
  <c r="O266" i="48" s="1"/>
  <c r="P266" i="48" s="1"/>
  <c r="Q266" i="48" s="1"/>
  <c r="R266" i="48" s="1"/>
  <c r="S266" i="48" s="1"/>
  <c r="H266" i="47"/>
  <c r="I266" i="47" s="1"/>
  <c r="J266" i="47" s="1"/>
  <c r="K266" i="47" s="1"/>
  <c r="L266" i="47" s="1"/>
  <c r="M266" i="47" s="1"/>
  <c r="N266" i="47" s="1"/>
  <c r="O266" i="47" s="1"/>
  <c r="P266" i="47" s="1"/>
  <c r="Q266" i="47" s="1"/>
  <c r="R266" i="47" s="1"/>
  <c r="S266" i="47" s="1"/>
  <c r="H266" i="46"/>
  <c r="I266" i="46" s="1"/>
  <c r="J266" i="46" s="1"/>
  <c r="K266" i="46" s="1"/>
  <c r="L266" i="46" s="1"/>
  <c r="M266" i="46" s="1"/>
  <c r="N266" i="46" s="1"/>
  <c r="O266" i="46" s="1"/>
  <c r="P266" i="46" s="1"/>
  <c r="Q266" i="46" s="1"/>
  <c r="R266" i="46" s="1"/>
  <c r="S266" i="46" s="1"/>
  <c r="H266" i="45"/>
  <c r="I266" i="45" s="1"/>
  <c r="J266" i="45" s="1"/>
  <c r="K266" i="45" s="1"/>
  <c r="L266" i="45" s="1"/>
  <c r="M266" i="45" s="1"/>
  <c r="N266" i="45" s="1"/>
  <c r="O266" i="45" s="1"/>
  <c r="P266" i="45" s="1"/>
  <c r="Q266" i="45" s="1"/>
  <c r="R266" i="45" s="1"/>
  <c r="S266" i="45" s="1"/>
  <c r="H266" i="44"/>
  <c r="I266" i="44" s="1"/>
  <c r="J266" i="44" s="1"/>
  <c r="K266" i="44" s="1"/>
  <c r="L266" i="44" s="1"/>
  <c r="M266" i="44" s="1"/>
  <c r="N266" i="44" s="1"/>
  <c r="O266" i="44" s="1"/>
  <c r="P266" i="44" s="1"/>
  <c r="Q266" i="44" s="1"/>
  <c r="R266" i="44" s="1"/>
  <c r="S266" i="44" s="1"/>
  <c r="H266" i="43"/>
  <c r="I266" i="43" s="1"/>
  <c r="J266" i="43" s="1"/>
  <c r="K266" i="43" s="1"/>
  <c r="L266" i="43" s="1"/>
  <c r="M266" i="43" s="1"/>
  <c r="N266" i="43" s="1"/>
  <c r="O266" i="43" s="1"/>
  <c r="P266" i="43" s="1"/>
  <c r="Q266" i="43" s="1"/>
  <c r="R266" i="43" s="1"/>
  <c r="S266" i="43" s="1"/>
  <c r="G49" i="48"/>
  <c r="G49" i="47"/>
  <c r="G49" i="46"/>
  <c r="G49" i="45"/>
  <c r="G49" i="44"/>
  <c r="G49" i="43"/>
  <c r="G103" i="48"/>
  <c r="G103" i="47"/>
  <c r="G103" i="46"/>
  <c r="G103" i="45"/>
  <c r="G103" i="44"/>
  <c r="G103" i="43"/>
  <c r="G57" i="48"/>
  <c r="G57" i="47"/>
  <c r="G57" i="46"/>
  <c r="G57" i="45"/>
  <c r="G57" i="44"/>
  <c r="G57" i="43"/>
  <c r="E228" i="48"/>
  <c r="E228" i="47"/>
  <c r="E228" i="46"/>
  <c r="E228" i="45"/>
  <c r="E228" i="44"/>
  <c r="E228" i="43"/>
  <c r="F74" i="48"/>
  <c r="F74" i="47"/>
  <c r="F74" i="46"/>
  <c r="F74" i="45"/>
  <c r="F74" i="44"/>
  <c r="F74" i="43"/>
  <c r="G96" i="48"/>
  <c r="G96" i="47"/>
  <c r="G96" i="46"/>
  <c r="G96" i="45"/>
  <c r="G96" i="44"/>
  <c r="G96" i="43"/>
  <c r="F108" i="48"/>
  <c r="F108" i="47"/>
  <c r="F108" i="46"/>
  <c r="F108" i="45"/>
  <c r="F108" i="44"/>
  <c r="F108" i="43"/>
  <c r="G78" i="48"/>
  <c r="G78" i="47"/>
  <c r="G78" i="46"/>
  <c r="G78" i="45"/>
  <c r="G78" i="44"/>
  <c r="G78" i="43"/>
  <c r="G79" i="48"/>
  <c r="G79" i="47"/>
  <c r="G79" i="46"/>
  <c r="G79" i="45"/>
  <c r="G79" i="44"/>
  <c r="G79" i="43"/>
  <c r="H261" i="48"/>
  <c r="I261" i="48" s="1"/>
  <c r="J261" i="48" s="1"/>
  <c r="K261" i="48" s="1"/>
  <c r="L261" i="48" s="1"/>
  <c r="M261" i="48" s="1"/>
  <c r="N261" i="48" s="1"/>
  <c r="O261" i="48" s="1"/>
  <c r="P261" i="48" s="1"/>
  <c r="Q261" i="48" s="1"/>
  <c r="R261" i="48" s="1"/>
  <c r="S261" i="48" s="1"/>
  <c r="H261" i="47"/>
  <c r="I261" i="47" s="1"/>
  <c r="J261" i="47" s="1"/>
  <c r="K261" i="47" s="1"/>
  <c r="L261" i="47" s="1"/>
  <c r="M261" i="47" s="1"/>
  <c r="N261" i="47" s="1"/>
  <c r="O261" i="47" s="1"/>
  <c r="P261" i="47" s="1"/>
  <c r="Q261" i="47" s="1"/>
  <c r="R261" i="47" s="1"/>
  <c r="S261" i="47" s="1"/>
  <c r="H261" i="46"/>
  <c r="I261" i="46" s="1"/>
  <c r="J261" i="46" s="1"/>
  <c r="K261" i="46" s="1"/>
  <c r="L261" i="46" s="1"/>
  <c r="M261" i="46" s="1"/>
  <c r="N261" i="46" s="1"/>
  <c r="O261" i="46" s="1"/>
  <c r="P261" i="46" s="1"/>
  <c r="Q261" i="46" s="1"/>
  <c r="R261" i="46" s="1"/>
  <c r="S261" i="46" s="1"/>
  <c r="H261" i="45"/>
  <c r="I261" i="45" s="1"/>
  <c r="J261" i="45" s="1"/>
  <c r="K261" i="45" s="1"/>
  <c r="L261" i="45" s="1"/>
  <c r="M261" i="45" s="1"/>
  <c r="N261" i="45" s="1"/>
  <c r="O261" i="45" s="1"/>
  <c r="P261" i="45" s="1"/>
  <c r="Q261" i="45" s="1"/>
  <c r="R261" i="45" s="1"/>
  <c r="S261" i="45" s="1"/>
  <c r="H261" i="44"/>
  <c r="I261" i="44" s="1"/>
  <c r="J261" i="44" s="1"/>
  <c r="K261" i="44" s="1"/>
  <c r="L261" i="44" s="1"/>
  <c r="M261" i="44" s="1"/>
  <c r="N261" i="44" s="1"/>
  <c r="O261" i="44" s="1"/>
  <c r="P261" i="44" s="1"/>
  <c r="Q261" i="44" s="1"/>
  <c r="R261" i="44" s="1"/>
  <c r="S261" i="44" s="1"/>
  <c r="H261" i="43"/>
  <c r="I261" i="43" s="1"/>
  <c r="J261" i="43" s="1"/>
  <c r="K261" i="43" s="1"/>
  <c r="L261" i="43" s="1"/>
  <c r="M261" i="43" s="1"/>
  <c r="N261" i="43" s="1"/>
  <c r="O261" i="43" s="1"/>
  <c r="P261" i="43" s="1"/>
  <c r="Q261" i="43" s="1"/>
  <c r="R261" i="43" s="1"/>
  <c r="S261" i="43" s="1"/>
  <c r="G55" i="48"/>
  <c r="G55" i="47"/>
  <c r="G55" i="46"/>
  <c r="G55" i="45"/>
  <c r="G55" i="44"/>
  <c r="G55" i="43"/>
  <c r="E161" i="48"/>
  <c r="E161" i="47"/>
  <c r="E161" i="46"/>
  <c r="E161" i="45"/>
  <c r="E161" i="43"/>
  <c r="E161" i="44"/>
  <c r="G101" i="48"/>
  <c r="G101" i="47"/>
  <c r="G101" i="46"/>
  <c r="G101" i="45"/>
  <c r="G101" i="44"/>
  <c r="G101" i="43"/>
  <c r="G64" i="48"/>
  <c r="G64" i="47"/>
  <c r="G64" i="46"/>
  <c r="G64" i="45"/>
  <c r="G64" i="44"/>
  <c r="G64" i="43"/>
  <c r="E232" i="48"/>
  <c r="E232" i="47"/>
  <c r="E232" i="46"/>
  <c r="E232" i="45"/>
  <c r="E232" i="44"/>
  <c r="E232" i="43"/>
  <c r="F82" i="48"/>
  <c r="F82" i="47"/>
  <c r="F82" i="46"/>
  <c r="F82" i="45"/>
  <c r="F82" i="44"/>
  <c r="F82" i="43"/>
  <c r="G94" i="48"/>
  <c r="G94" i="47"/>
  <c r="G94" i="46"/>
  <c r="G94" i="45"/>
  <c r="G94" i="44"/>
  <c r="G94" i="43"/>
  <c r="G95" i="48"/>
  <c r="G95" i="47"/>
  <c r="G95" i="46"/>
  <c r="G95" i="45"/>
  <c r="G95" i="44"/>
  <c r="G95" i="43"/>
  <c r="E191" i="48"/>
  <c r="E191" i="47"/>
  <c r="E191" i="46"/>
  <c r="E191" i="45"/>
  <c r="E191" i="44"/>
  <c r="E191" i="43"/>
  <c r="E247" i="48"/>
  <c r="E247" i="47"/>
  <c r="E247" i="46"/>
  <c r="E247" i="45"/>
  <c r="E247" i="44"/>
  <c r="E247" i="43"/>
  <c r="F109" i="48"/>
  <c r="F109" i="47"/>
  <c r="F109" i="46"/>
  <c r="F109" i="45"/>
  <c r="F109" i="44"/>
  <c r="F109" i="43"/>
  <c r="G76" i="48"/>
  <c r="G76" i="47"/>
  <c r="G76" i="46"/>
  <c r="G76" i="45"/>
  <c r="G76" i="44"/>
  <c r="G76" i="43"/>
  <c r="E207" i="48"/>
  <c r="E207" i="47"/>
  <c r="E207" i="46"/>
  <c r="E207" i="45"/>
  <c r="E207" i="44"/>
  <c r="E207" i="43"/>
  <c r="E212" i="48"/>
  <c r="E212" i="47"/>
  <c r="E212" i="46"/>
  <c r="E212" i="45"/>
  <c r="E212" i="44"/>
  <c r="E212" i="43"/>
  <c r="C283" i="48"/>
  <c r="C283" i="47"/>
  <c r="C283" i="46"/>
  <c r="C283" i="44"/>
  <c r="C283" i="45"/>
  <c r="C283" i="43"/>
  <c r="C39" i="48"/>
  <c r="C39" i="47"/>
  <c r="C39" i="46"/>
  <c r="C39" i="45"/>
  <c r="C39" i="44"/>
  <c r="C39" i="43"/>
  <c r="C180" i="48"/>
  <c r="C180" i="47"/>
  <c r="C180" i="46"/>
  <c r="C180" i="45"/>
  <c r="C180" i="44"/>
  <c r="C180" i="43"/>
  <c r="C175" i="48"/>
  <c r="C175" i="47"/>
  <c r="C175" i="46"/>
  <c r="C175" i="45"/>
  <c r="C175" i="43"/>
  <c r="C175" i="44"/>
  <c r="C225" i="48"/>
  <c r="C225" i="47"/>
  <c r="C225" i="46"/>
  <c r="C225" i="45"/>
  <c r="C225" i="43"/>
  <c r="C225" i="44"/>
  <c r="C44" i="48"/>
  <c r="C44" i="47"/>
  <c r="C44" i="46"/>
  <c r="C44" i="45"/>
  <c r="C44" i="44"/>
  <c r="C44" i="43"/>
  <c r="C215" i="48"/>
  <c r="C215" i="47"/>
  <c r="C215" i="46"/>
  <c r="C215" i="45"/>
  <c r="C215" i="43"/>
  <c r="C215" i="44"/>
  <c r="C40" i="48"/>
  <c r="C40" i="47"/>
  <c r="C40" i="46"/>
  <c r="C40" i="45"/>
  <c r="C40" i="44"/>
  <c r="C40" i="43"/>
  <c r="C230" i="48"/>
  <c r="C230" i="47"/>
  <c r="C230" i="46"/>
  <c r="C230" i="45"/>
  <c r="C230" i="44"/>
  <c r="C230" i="43"/>
  <c r="C259" i="48"/>
  <c r="C259" i="47"/>
  <c r="C259" i="46"/>
  <c r="C259" i="45"/>
  <c r="C259" i="44"/>
  <c r="C259" i="43"/>
  <c r="C275" i="48"/>
  <c r="C275" i="47"/>
  <c r="C275" i="46"/>
  <c r="C275" i="45"/>
  <c r="C275" i="44"/>
  <c r="C275" i="43"/>
  <c r="C282" i="48"/>
  <c r="C282" i="47"/>
  <c r="C282" i="46"/>
  <c r="C282" i="45"/>
  <c r="C282" i="44"/>
  <c r="C282" i="43"/>
  <c r="C43" i="48"/>
  <c r="C43" i="47"/>
  <c r="C43" i="46"/>
  <c r="C43" i="45"/>
  <c r="C43" i="44"/>
  <c r="C43" i="43"/>
  <c r="C185" i="48"/>
  <c r="C185" i="47"/>
  <c r="C185" i="46"/>
  <c r="C185" i="45"/>
  <c r="C185" i="43"/>
  <c r="C185" i="44"/>
  <c r="C254" i="48"/>
  <c r="C254" i="47"/>
  <c r="C254" i="46"/>
  <c r="C254" i="45"/>
  <c r="C254" i="44"/>
  <c r="C254" i="43"/>
  <c r="C249" i="48"/>
  <c r="C249" i="47"/>
  <c r="C249" i="46"/>
  <c r="C249" i="45"/>
  <c r="C249" i="44"/>
  <c r="C249" i="43"/>
  <c r="C235" i="48"/>
  <c r="C235" i="47"/>
  <c r="C235" i="46"/>
  <c r="C235" i="45"/>
  <c r="C235" i="44"/>
  <c r="C235" i="43"/>
  <c r="C205" i="48"/>
  <c r="C205" i="46"/>
  <c r="C205" i="47"/>
  <c r="C205" i="45"/>
  <c r="C205" i="43"/>
  <c r="C205" i="44"/>
  <c r="C245" i="48"/>
  <c r="C245" i="47"/>
  <c r="C245" i="46"/>
  <c r="C245" i="45"/>
  <c r="C245" i="43"/>
  <c r="C245" i="44"/>
  <c r="C280" i="48"/>
  <c r="C280" i="47"/>
  <c r="C280" i="46"/>
  <c r="C280" i="44"/>
  <c r="C280" i="45"/>
  <c r="C280" i="43"/>
  <c r="C240" i="48"/>
  <c r="C240" i="47"/>
  <c r="C240" i="46"/>
  <c r="C240" i="45"/>
  <c r="C240" i="44"/>
  <c r="C240" i="43"/>
  <c r="C220" i="48"/>
  <c r="C220" i="47"/>
  <c r="C220" i="46"/>
  <c r="C220" i="45"/>
  <c r="C220" i="43"/>
  <c r="C220" i="44"/>
  <c r="C276" i="48"/>
  <c r="C276" i="47"/>
  <c r="C276" i="46"/>
  <c r="C276" i="44"/>
  <c r="C276" i="45"/>
  <c r="C276" i="43"/>
  <c r="C41" i="48"/>
  <c r="C41" i="46"/>
  <c r="C41" i="47"/>
  <c r="C41" i="45"/>
  <c r="C41" i="44"/>
  <c r="C41" i="43"/>
  <c r="C274" i="48"/>
  <c r="C274" i="47"/>
  <c r="C274" i="46"/>
  <c r="C274" i="45"/>
  <c r="C274" i="44"/>
  <c r="C274" i="43"/>
  <c r="C165" i="48"/>
  <c r="C165" i="47"/>
  <c r="C165" i="46"/>
  <c r="C165" i="45"/>
  <c r="C165" i="43"/>
  <c r="C165" i="44"/>
  <c r="C38" i="43"/>
  <c r="C38" i="47"/>
  <c r="C38" i="48"/>
  <c r="C38" i="46"/>
  <c r="C38" i="45"/>
  <c r="C38" i="44"/>
  <c r="C45" i="48"/>
  <c r="C45" i="47"/>
  <c r="C45" i="46"/>
  <c r="C45" i="45"/>
  <c r="C45" i="44"/>
  <c r="C45" i="43"/>
  <c r="C200" i="48"/>
  <c r="C200" i="47"/>
  <c r="C200" i="46"/>
  <c r="C200" i="45"/>
  <c r="C200" i="44"/>
  <c r="C200" i="43"/>
  <c r="C269" i="48"/>
  <c r="C269" i="47"/>
  <c r="C269" i="46"/>
  <c r="C269" i="45"/>
  <c r="C269" i="43"/>
  <c r="C269" i="44"/>
  <c r="C170" i="48"/>
  <c r="C170" i="47"/>
  <c r="C170" i="46"/>
  <c r="C170" i="45"/>
  <c r="C170" i="44"/>
  <c r="C170" i="43"/>
  <c r="C195" i="48"/>
  <c r="C195" i="47"/>
  <c r="C195" i="46"/>
  <c r="C195" i="45"/>
  <c r="C195" i="44"/>
  <c r="C195" i="43"/>
  <c r="C42" i="47"/>
  <c r="C42" i="48"/>
  <c r="C42" i="46"/>
  <c r="C42" i="45"/>
  <c r="C42" i="44"/>
  <c r="C42" i="43"/>
  <c r="C210" i="48"/>
  <c r="C210" i="47"/>
  <c r="C210" i="46"/>
  <c r="C210" i="45"/>
  <c r="C210" i="44"/>
  <c r="C210" i="43"/>
  <c r="C46" i="48"/>
  <c r="C46" i="47"/>
  <c r="C46" i="46"/>
  <c r="C46" i="45"/>
  <c r="C46" i="44"/>
  <c r="C46" i="43"/>
  <c r="C160" i="48"/>
  <c r="C160" i="47"/>
  <c r="C160" i="46"/>
  <c r="C160" i="45"/>
  <c r="C160" i="44"/>
  <c r="C160" i="43"/>
  <c r="C190" i="48"/>
  <c r="C190" i="47"/>
  <c r="C190" i="46"/>
  <c r="C190" i="45"/>
  <c r="C190" i="44"/>
  <c r="C190" i="43"/>
  <c r="C264" i="48"/>
  <c r="C264" i="47"/>
  <c r="C264" i="46"/>
  <c r="C264" i="45"/>
  <c r="C264" i="44"/>
  <c r="C264" i="43"/>
  <c r="D183" i="48"/>
  <c r="D183" i="47"/>
  <c r="D183" i="45"/>
  <c r="D183" i="46"/>
  <c r="D183" i="43"/>
  <c r="D183" i="44"/>
  <c r="D148" i="48"/>
  <c r="D148" i="47"/>
  <c r="D148" i="46"/>
  <c r="D148" i="43"/>
  <c r="D148" i="45"/>
  <c r="D148" i="44"/>
  <c r="D271" i="48"/>
  <c r="D271" i="47"/>
  <c r="D271" i="46"/>
  <c r="D271" i="45"/>
  <c r="D271" i="44"/>
  <c r="D271" i="43"/>
  <c r="D202" i="48"/>
  <c r="D202" i="47"/>
  <c r="D202" i="45"/>
  <c r="D202" i="46"/>
  <c r="D202" i="44"/>
  <c r="D202" i="43"/>
  <c r="D278" i="48"/>
  <c r="D278" i="47"/>
  <c r="D278" i="46"/>
  <c r="D278" i="45"/>
  <c r="D278" i="44"/>
  <c r="D278" i="43"/>
  <c r="D137" i="48"/>
  <c r="D137" i="47"/>
  <c r="D137" i="46"/>
  <c r="D137" i="43"/>
  <c r="D137" i="44"/>
  <c r="D137" i="45"/>
  <c r="D142" i="48"/>
  <c r="D142" i="47"/>
  <c r="D142" i="46"/>
  <c r="D142" i="44"/>
  <c r="D142" i="45"/>
  <c r="D142" i="43"/>
  <c r="D178" i="48"/>
  <c r="D178" i="47"/>
  <c r="D178" i="45"/>
  <c r="D178" i="46"/>
  <c r="D178" i="44"/>
  <c r="D178" i="43"/>
  <c r="D203" i="48"/>
  <c r="D203" i="47"/>
  <c r="D203" i="45"/>
  <c r="D203" i="46"/>
  <c r="D203" i="44"/>
  <c r="D203" i="43"/>
  <c r="D264" i="48"/>
  <c r="D264" i="47"/>
  <c r="D264" i="45"/>
  <c r="D264" i="46"/>
  <c r="D264" i="44"/>
  <c r="D264" i="43"/>
  <c r="D188" i="48"/>
  <c r="D188" i="47"/>
  <c r="D188" i="46"/>
  <c r="D188" i="45"/>
  <c r="D188" i="43"/>
  <c r="D188" i="44"/>
  <c r="D173" i="48"/>
  <c r="D173" i="47"/>
  <c r="D173" i="46"/>
  <c r="D173" i="43"/>
  <c r="D173" i="44"/>
  <c r="D173" i="45"/>
  <c r="D277" i="48"/>
  <c r="D277" i="47"/>
  <c r="D277" i="46"/>
  <c r="D277" i="45"/>
  <c r="D277" i="43"/>
  <c r="D277" i="44"/>
  <c r="D177" i="48"/>
  <c r="D177" i="47"/>
  <c r="D177" i="46"/>
  <c r="D177" i="43"/>
  <c r="D177" i="44"/>
  <c r="D177" i="45"/>
  <c r="D259" i="48"/>
  <c r="D259" i="47"/>
  <c r="D259" i="46"/>
  <c r="D259" i="45"/>
  <c r="D259" i="44"/>
  <c r="D259" i="43"/>
  <c r="D276" i="48"/>
  <c r="D276" i="47"/>
  <c r="D276" i="46"/>
  <c r="D276" i="45"/>
  <c r="D276" i="44"/>
  <c r="D276" i="43"/>
  <c r="D138" i="48"/>
  <c r="D138" i="47"/>
  <c r="D138" i="46"/>
  <c r="D138" i="45"/>
  <c r="D138" i="43"/>
  <c r="D138" i="44"/>
  <c r="D143" i="48"/>
  <c r="D143" i="47"/>
  <c r="D143" i="46"/>
  <c r="D143" i="45"/>
  <c r="D143" i="44"/>
  <c r="D143" i="43"/>
  <c r="D162" i="48"/>
  <c r="D162" i="47"/>
  <c r="D162" i="46"/>
  <c r="D162" i="44"/>
  <c r="D162" i="45"/>
  <c r="D162" i="43"/>
  <c r="D117" i="48"/>
  <c r="D117" i="47"/>
  <c r="D117" i="46"/>
  <c r="D117" i="43"/>
  <c r="D117" i="45"/>
  <c r="D117" i="44"/>
  <c r="D249" i="48"/>
  <c r="D249" i="47"/>
  <c r="D249" i="46"/>
  <c r="D249" i="45"/>
  <c r="D249" i="44"/>
  <c r="D249" i="43"/>
  <c r="D163" i="48"/>
  <c r="D163" i="47"/>
  <c r="D163" i="46"/>
  <c r="D163" i="44"/>
  <c r="D163" i="43"/>
  <c r="D163" i="45"/>
  <c r="D158" i="48"/>
  <c r="D158" i="47"/>
  <c r="D158" i="46"/>
  <c r="D158" i="44"/>
  <c r="D158" i="45"/>
  <c r="D158" i="43"/>
  <c r="D279" i="48"/>
  <c r="D279" i="47"/>
  <c r="D279" i="46"/>
  <c r="D279" i="44"/>
  <c r="D279" i="45"/>
  <c r="D279" i="43"/>
  <c r="D132" i="48"/>
  <c r="D132" i="47"/>
  <c r="D132" i="46"/>
  <c r="D132" i="45"/>
  <c r="D132" i="43"/>
  <c r="D132" i="44"/>
  <c r="D269" i="48"/>
  <c r="D269" i="47"/>
  <c r="D269" i="46"/>
  <c r="D269" i="45"/>
  <c r="D269" i="43"/>
  <c r="D269" i="44"/>
  <c r="D192" i="48"/>
  <c r="D192" i="47"/>
  <c r="D192" i="46"/>
  <c r="D192" i="45"/>
  <c r="D192" i="44"/>
  <c r="D192" i="43"/>
  <c r="D197" i="48"/>
  <c r="D197" i="47"/>
  <c r="D197" i="45"/>
  <c r="D197" i="46"/>
  <c r="D197" i="44"/>
  <c r="D197" i="43"/>
  <c r="D270" i="48"/>
  <c r="D270" i="47"/>
  <c r="D270" i="46"/>
  <c r="D270" i="45"/>
  <c r="D270" i="44"/>
  <c r="D270" i="43"/>
  <c r="D168" i="48"/>
  <c r="D168" i="47"/>
  <c r="D168" i="46"/>
  <c r="D168" i="45"/>
  <c r="D168" i="43"/>
  <c r="D168" i="44"/>
  <c r="D153" i="48"/>
  <c r="D153" i="47"/>
  <c r="D153" i="46"/>
  <c r="D153" i="43"/>
  <c r="D153" i="44"/>
  <c r="D153" i="45"/>
  <c r="D275" i="48"/>
  <c r="D275" i="46"/>
  <c r="D275" i="47"/>
  <c r="D275" i="45"/>
  <c r="D275" i="44"/>
  <c r="D275" i="43"/>
  <c r="D157" i="48"/>
  <c r="D157" i="47"/>
  <c r="D157" i="46"/>
  <c r="D157" i="43"/>
  <c r="D157" i="44"/>
  <c r="D157" i="45"/>
  <c r="D118" i="48"/>
  <c r="D118" i="47"/>
  <c r="D118" i="46"/>
  <c r="D118" i="45"/>
  <c r="D118" i="43"/>
  <c r="D118" i="44"/>
  <c r="D274" i="48"/>
  <c r="D274" i="47"/>
  <c r="D274" i="46"/>
  <c r="D274" i="45"/>
  <c r="D274" i="44"/>
  <c r="D274" i="43"/>
  <c r="D272" i="48"/>
  <c r="D272" i="47"/>
  <c r="D272" i="46"/>
  <c r="D272" i="45"/>
  <c r="D272" i="44"/>
  <c r="D272" i="43"/>
  <c r="D167" i="48"/>
  <c r="D167" i="47"/>
  <c r="D167" i="45"/>
  <c r="D167" i="46"/>
  <c r="D167" i="44"/>
  <c r="D167" i="43"/>
  <c r="D152" i="48"/>
  <c r="D152" i="47"/>
  <c r="D152" i="46"/>
  <c r="D152" i="43"/>
  <c r="D152" i="45"/>
  <c r="D152" i="44"/>
  <c r="D281" i="48"/>
  <c r="D281" i="47"/>
  <c r="D281" i="46"/>
  <c r="D281" i="45"/>
  <c r="D281" i="44"/>
  <c r="D281" i="43"/>
  <c r="D133" i="48"/>
  <c r="D133" i="47"/>
  <c r="D133" i="46"/>
  <c r="D133" i="43"/>
  <c r="D133" i="45"/>
  <c r="D133" i="44"/>
  <c r="D193" i="48"/>
  <c r="D193" i="47"/>
  <c r="D193" i="45"/>
  <c r="D193" i="46"/>
  <c r="D193" i="43"/>
  <c r="D193" i="44"/>
  <c r="D198" i="48"/>
  <c r="D198" i="47"/>
  <c r="D198" i="45"/>
  <c r="D198" i="46"/>
  <c r="D198" i="44"/>
  <c r="D198" i="43"/>
  <c r="D254" i="48"/>
  <c r="D254" i="47"/>
  <c r="D254" i="45"/>
  <c r="D254" i="46"/>
  <c r="D254" i="44"/>
  <c r="D254" i="43"/>
  <c r="D182" i="48"/>
  <c r="D182" i="47"/>
  <c r="D182" i="45"/>
  <c r="D182" i="46"/>
  <c r="D182" i="44"/>
  <c r="D182" i="43"/>
  <c r="D187" i="48"/>
  <c r="D187" i="47"/>
  <c r="D187" i="46"/>
  <c r="D187" i="45"/>
  <c r="D187" i="43"/>
  <c r="D187" i="44"/>
  <c r="D147" i="48"/>
  <c r="D147" i="47"/>
  <c r="D147" i="46"/>
  <c r="D147" i="45"/>
  <c r="D147" i="44"/>
  <c r="D147" i="43"/>
  <c r="D172" i="48"/>
  <c r="D172" i="47"/>
  <c r="D172" i="46"/>
  <c r="D172" i="45"/>
  <c r="D172" i="44"/>
  <c r="D172" i="43"/>
  <c r="H265" i="48" l="1"/>
  <c r="I265" i="48" s="1"/>
  <c r="J265" i="48" s="1"/>
  <c r="K265" i="48" s="1"/>
  <c r="L265" i="48" s="1"/>
  <c r="M265" i="48" s="1"/>
  <c r="N265" i="48" s="1"/>
  <c r="O265" i="48" s="1"/>
  <c r="P265" i="48" s="1"/>
  <c r="Q265" i="48" s="1"/>
  <c r="R265" i="48" s="1"/>
  <c r="S265" i="48" s="1"/>
  <c r="H265" i="47"/>
  <c r="I265" i="47" s="1"/>
  <c r="J265" i="47" s="1"/>
  <c r="K265" i="47" s="1"/>
  <c r="L265" i="47" s="1"/>
  <c r="M265" i="47" s="1"/>
  <c r="N265" i="47" s="1"/>
  <c r="O265" i="47" s="1"/>
  <c r="P265" i="47" s="1"/>
  <c r="Q265" i="47" s="1"/>
  <c r="R265" i="47" s="1"/>
  <c r="S265" i="47" s="1"/>
  <c r="H265" i="46"/>
  <c r="I265" i="46" s="1"/>
  <c r="J265" i="46" s="1"/>
  <c r="K265" i="46" s="1"/>
  <c r="L265" i="46" s="1"/>
  <c r="M265" i="46" s="1"/>
  <c r="N265" i="46" s="1"/>
  <c r="O265" i="46" s="1"/>
  <c r="P265" i="46" s="1"/>
  <c r="Q265" i="46" s="1"/>
  <c r="R265" i="46" s="1"/>
  <c r="S265" i="46" s="1"/>
  <c r="H265" i="45"/>
  <c r="I265" i="45" s="1"/>
  <c r="J265" i="45" s="1"/>
  <c r="K265" i="45" s="1"/>
  <c r="L265" i="45" s="1"/>
  <c r="M265" i="45" s="1"/>
  <c r="N265" i="45" s="1"/>
  <c r="O265" i="45" s="1"/>
  <c r="P265" i="45" s="1"/>
  <c r="Q265" i="45" s="1"/>
  <c r="R265" i="45" s="1"/>
  <c r="S265" i="45" s="1"/>
  <c r="H265" i="44"/>
  <c r="I265" i="44" s="1"/>
  <c r="J265" i="44" s="1"/>
  <c r="K265" i="44" s="1"/>
  <c r="L265" i="44" s="1"/>
  <c r="M265" i="44" s="1"/>
  <c r="N265" i="44" s="1"/>
  <c r="O265" i="44" s="1"/>
  <c r="P265" i="44" s="1"/>
  <c r="Q265" i="44" s="1"/>
  <c r="R265" i="44" s="1"/>
  <c r="S265" i="44" s="1"/>
  <c r="H265" i="43"/>
  <c r="I265" i="43" s="1"/>
  <c r="J265" i="43" s="1"/>
  <c r="K265" i="43" s="1"/>
  <c r="L265" i="43" s="1"/>
  <c r="M265" i="43" s="1"/>
  <c r="N265" i="43" s="1"/>
  <c r="O265" i="43" s="1"/>
  <c r="P265" i="43" s="1"/>
  <c r="Q265" i="43" s="1"/>
  <c r="R265" i="43" s="1"/>
  <c r="S265" i="43" s="1"/>
  <c r="G86" i="48"/>
  <c r="G86" i="47"/>
  <c r="G86" i="46"/>
  <c r="G86" i="45"/>
  <c r="G86" i="44"/>
  <c r="G86" i="43"/>
  <c r="F184" i="48"/>
  <c r="F184" i="47"/>
  <c r="F184" i="46"/>
  <c r="F184" i="45"/>
  <c r="F184" i="44"/>
  <c r="F184" i="43"/>
  <c r="F86" i="48"/>
  <c r="F86" i="47"/>
  <c r="F86" i="46"/>
  <c r="F86" i="45"/>
  <c r="F86" i="44"/>
  <c r="F86" i="43"/>
  <c r="F70" i="48"/>
  <c r="F70" i="47"/>
  <c r="F70" i="46"/>
  <c r="F70" i="45"/>
  <c r="F70" i="44"/>
  <c r="F70" i="43"/>
  <c r="F61" i="48"/>
  <c r="F61" i="47"/>
  <c r="F61" i="46"/>
  <c r="F61" i="45"/>
  <c r="F61" i="44"/>
  <c r="F61" i="43"/>
  <c r="G66" i="48"/>
  <c r="G66" i="47"/>
  <c r="G66" i="46"/>
  <c r="G66" i="45"/>
  <c r="G66" i="44"/>
  <c r="G66" i="43"/>
  <c r="E173" i="48"/>
  <c r="E173" i="47"/>
  <c r="E173" i="46"/>
  <c r="E173" i="45"/>
  <c r="E173" i="43"/>
  <c r="E173" i="44"/>
  <c r="E162" i="48"/>
  <c r="E162" i="47"/>
  <c r="E162" i="46"/>
  <c r="E162" i="45"/>
  <c r="E162" i="44"/>
  <c r="E162" i="43"/>
  <c r="E278" i="48"/>
  <c r="E278" i="47"/>
  <c r="E278" i="46"/>
  <c r="E278" i="45"/>
  <c r="E278" i="44"/>
  <c r="E278" i="43"/>
  <c r="G84" i="48"/>
  <c r="G84" i="47"/>
  <c r="G84" i="46"/>
  <c r="G84" i="45"/>
  <c r="G84" i="44"/>
  <c r="G84" i="43"/>
  <c r="F88" i="48"/>
  <c r="F88" i="47"/>
  <c r="F88" i="46"/>
  <c r="F88" i="45"/>
  <c r="F88" i="44"/>
  <c r="F88" i="43"/>
  <c r="F87" i="48"/>
  <c r="F87" i="47"/>
  <c r="F87" i="46"/>
  <c r="F87" i="45"/>
  <c r="F87" i="44"/>
  <c r="F87" i="43"/>
  <c r="F71" i="48"/>
  <c r="F71" i="47"/>
  <c r="F71" i="46"/>
  <c r="F71" i="45"/>
  <c r="F71" i="44"/>
  <c r="F71" i="43"/>
  <c r="F62" i="48"/>
  <c r="F62" i="47"/>
  <c r="F62" i="46"/>
  <c r="F62" i="45"/>
  <c r="F62" i="44"/>
  <c r="F62" i="43"/>
  <c r="F194" i="48"/>
  <c r="F194" i="47"/>
  <c r="F194" i="46"/>
  <c r="F194" i="45"/>
  <c r="F194" i="44"/>
  <c r="F194" i="43"/>
  <c r="F199" i="48"/>
  <c r="F199" i="47"/>
  <c r="F199" i="46"/>
  <c r="F199" i="45"/>
  <c r="F199" i="44"/>
  <c r="F199" i="43"/>
  <c r="G73" i="48"/>
  <c r="G73" i="47"/>
  <c r="G73" i="46"/>
  <c r="G73" i="45"/>
  <c r="G73" i="44"/>
  <c r="G73" i="43"/>
  <c r="E163" i="48"/>
  <c r="E163" i="47"/>
  <c r="E163" i="46"/>
  <c r="E163" i="45"/>
  <c r="E163" i="43"/>
  <c r="E163" i="44"/>
  <c r="H268" i="48"/>
  <c r="I268" i="48" s="1"/>
  <c r="J268" i="48" s="1"/>
  <c r="K268" i="48" s="1"/>
  <c r="L268" i="48" s="1"/>
  <c r="M268" i="48" s="1"/>
  <c r="N268" i="48" s="1"/>
  <c r="O268" i="48" s="1"/>
  <c r="P268" i="48" s="1"/>
  <c r="Q268" i="48" s="1"/>
  <c r="R268" i="48" s="1"/>
  <c r="S268" i="48" s="1"/>
  <c r="H268" i="47"/>
  <c r="I268" i="47" s="1"/>
  <c r="J268" i="47" s="1"/>
  <c r="K268" i="47" s="1"/>
  <c r="L268" i="47" s="1"/>
  <c r="M268" i="47" s="1"/>
  <c r="N268" i="47" s="1"/>
  <c r="O268" i="47" s="1"/>
  <c r="P268" i="47" s="1"/>
  <c r="Q268" i="47" s="1"/>
  <c r="R268" i="47" s="1"/>
  <c r="S268" i="47" s="1"/>
  <c r="H268" i="46"/>
  <c r="I268" i="46" s="1"/>
  <c r="J268" i="46" s="1"/>
  <c r="K268" i="46" s="1"/>
  <c r="L268" i="46" s="1"/>
  <c r="M268" i="46" s="1"/>
  <c r="N268" i="46" s="1"/>
  <c r="O268" i="46" s="1"/>
  <c r="P268" i="46" s="1"/>
  <c r="Q268" i="46" s="1"/>
  <c r="R268" i="46" s="1"/>
  <c r="S268" i="46" s="1"/>
  <c r="H268" i="45"/>
  <c r="I268" i="45" s="1"/>
  <c r="J268" i="45" s="1"/>
  <c r="K268" i="45" s="1"/>
  <c r="L268" i="45" s="1"/>
  <c r="M268" i="45" s="1"/>
  <c r="N268" i="45" s="1"/>
  <c r="O268" i="45" s="1"/>
  <c r="P268" i="45" s="1"/>
  <c r="Q268" i="45" s="1"/>
  <c r="R268" i="45" s="1"/>
  <c r="S268" i="45" s="1"/>
  <c r="H268" i="44"/>
  <c r="I268" i="44" s="1"/>
  <c r="J268" i="44" s="1"/>
  <c r="K268" i="44" s="1"/>
  <c r="L268" i="44" s="1"/>
  <c r="M268" i="44" s="1"/>
  <c r="N268" i="44" s="1"/>
  <c r="O268" i="44" s="1"/>
  <c r="P268" i="44" s="1"/>
  <c r="Q268" i="44" s="1"/>
  <c r="R268" i="44" s="1"/>
  <c r="S268" i="44" s="1"/>
  <c r="H268" i="43"/>
  <c r="I268" i="43" s="1"/>
  <c r="J268" i="43" s="1"/>
  <c r="K268" i="43" s="1"/>
  <c r="L268" i="43" s="1"/>
  <c r="M268" i="43" s="1"/>
  <c r="N268" i="43" s="1"/>
  <c r="O268" i="43" s="1"/>
  <c r="P268" i="43" s="1"/>
  <c r="Q268" i="43" s="1"/>
  <c r="R268" i="43" s="1"/>
  <c r="S268" i="43" s="1"/>
  <c r="G85" i="48"/>
  <c r="G85" i="47"/>
  <c r="G85" i="46"/>
  <c r="G85" i="45"/>
  <c r="G85" i="44"/>
  <c r="G85" i="43"/>
  <c r="F90" i="48"/>
  <c r="F90" i="47"/>
  <c r="F90" i="46"/>
  <c r="F90" i="45"/>
  <c r="F90" i="44"/>
  <c r="F90" i="43"/>
  <c r="F72" i="48"/>
  <c r="F72" i="47"/>
  <c r="F72" i="46"/>
  <c r="F72" i="45"/>
  <c r="F72" i="44"/>
  <c r="F72" i="43"/>
  <c r="F63" i="48"/>
  <c r="F63" i="47"/>
  <c r="F63" i="46"/>
  <c r="F63" i="45"/>
  <c r="F63" i="44"/>
  <c r="F63" i="43"/>
  <c r="F164" i="48"/>
  <c r="F164" i="47"/>
  <c r="F164" i="46"/>
  <c r="F164" i="45"/>
  <c r="F164" i="44"/>
  <c r="F164" i="43"/>
  <c r="G65" i="48"/>
  <c r="G65" i="47"/>
  <c r="G65" i="46"/>
  <c r="G65" i="45"/>
  <c r="G65" i="44"/>
  <c r="G65" i="43"/>
  <c r="F179" i="48"/>
  <c r="F179" i="47"/>
  <c r="F179" i="46"/>
  <c r="F179" i="45"/>
  <c r="F179" i="44"/>
  <c r="F179" i="43"/>
  <c r="F189" i="48"/>
  <c r="F189" i="47"/>
  <c r="F189" i="46"/>
  <c r="F189" i="45"/>
  <c r="F189" i="44"/>
  <c r="F189" i="43"/>
  <c r="E275" i="48"/>
  <c r="E275" i="47"/>
  <c r="E275" i="46"/>
  <c r="E275" i="45"/>
  <c r="E275" i="44"/>
  <c r="E275" i="43"/>
  <c r="E276" i="48"/>
  <c r="E276" i="47"/>
  <c r="E276" i="46"/>
  <c r="E276" i="45"/>
  <c r="E276" i="44"/>
  <c r="E276" i="43"/>
  <c r="E274" i="48"/>
  <c r="E274" i="47"/>
  <c r="E274" i="46"/>
  <c r="E274" i="45"/>
  <c r="E274" i="44"/>
  <c r="E274" i="43"/>
  <c r="G91" i="48"/>
  <c r="G91" i="47"/>
  <c r="G91" i="46"/>
  <c r="G91" i="45"/>
  <c r="G91" i="44"/>
  <c r="G91" i="43"/>
  <c r="F89" i="48"/>
  <c r="F89" i="47"/>
  <c r="F89" i="46"/>
  <c r="F89" i="45"/>
  <c r="F89" i="44"/>
  <c r="F89" i="43"/>
  <c r="F73" i="48"/>
  <c r="F73" i="47"/>
  <c r="F73" i="46"/>
  <c r="F73" i="45"/>
  <c r="F73" i="44"/>
  <c r="F73" i="43"/>
  <c r="F56" i="48"/>
  <c r="F56" i="47"/>
  <c r="F56" i="46"/>
  <c r="F56" i="45"/>
  <c r="F56" i="44"/>
  <c r="F56" i="43"/>
  <c r="E202" i="48"/>
  <c r="E202" i="47"/>
  <c r="E202" i="46"/>
  <c r="E202" i="45"/>
  <c r="E202" i="44"/>
  <c r="E202" i="43"/>
  <c r="F174" i="48"/>
  <c r="F174" i="47"/>
  <c r="F174" i="46"/>
  <c r="F174" i="45"/>
  <c r="F174" i="44"/>
  <c r="F174" i="43"/>
  <c r="G69" i="48"/>
  <c r="G69" i="47"/>
  <c r="G69" i="46"/>
  <c r="G69" i="45"/>
  <c r="G69" i="44"/>
  <c r="G69" i="43"/>
  <c r="G71" i="48"/>
  <c r="G71" i="47"/>
  <c r="G71" i="46"/>
  <c r="G71" i="45"/>
  <c r="G71" i="44"/>
  <c r="G71" i="43"/>
  <c r="E182" i="48"/>
  <c r="E182" i="47"/>
  <c r="E182" i="46"/>
  <c r="E182" i="45"/>
  <c r="E182" i="44"/>
  <c r="E182" i="43"/>
  <c r="H267" i="48"/>
  <c r="I267" i="48" s="1"/>
  <c r="J267" i="48" s="1"/>
  <c r="K267" i="48" s="1"/>
  <c r="L267" i="48" s="1"/>
  <c r="M267" i="48" s="1"/>
  <c r="N267" i="48" s="1"/>
  <c r="O267" i="48" s="1"/>
  <c r="P267" i="48" s="1"/>
  <c r="Q267" i="48" s="1"/>
  <c r="R267" i="48" s="1"/>
  <c r="S267" i="48" s="1"/>
  <c r="H267" i="47"/>
  <c r="I267" i="47" s="1"/>
  <c r="J267" i="47" s="1"/>
  <c r="K267" i="47" s="1"/>
  <c r="L267" i="47" s="1"/>
  <c r="M267" i="47" s="1"/>
  <c r="N267" i="47" s="1"/>
  <c r="O267" i="47" s="1"/>
  <c r="P267" i="47" s="1"/>
  <c r="Q267" i="47" s="1"/>
  <c r="R267" i="47" s="1"/>
  <c r="S267" i="47" s="1"/>
  <c r="H267" i="46"/>
  <c r="I267" i="46" s="1"/>
  <c r="J267" i="46" s="1"/>
  <c r="K267" i="46" s="1"/>
  <c r="L267" i="46" s="1"/>
  <c r="M267" i="46" s="1"/>
  <c r="N267" i="46" s="1"/>
  <c r="O267" i="46" s="1"/>
  <c r="P267" i="46" s="1"/>
  <c r="Q267" i="46" s="1"/>
  <c r="R267" i="46" s="1"/>
  <c r="S267" i="46" s="1"/>
  <c r="H267" i="45"/>
  <c r="I267" i="45" s="1"/>
  <c r="J267" i="45" s="1"/>
  <c r="K267" i="45" s="1"/>
  <c r="L267" i="45" s="1"/>
  <c r="M267" i="45" s="1"/>
  <c r="N267" i="45" s="1"/>
  <c r="O267" i="45" s="1"/>
  <c r="P267" i="45" s="1"/>
  <c r="Q267" i="45" s="1"/>
  <c r="R267" i="45" s="1"/>
  <c r="S267" i="45" s="1"/>
  <c r="H267" i="44"/>
  <c r="I267" i="44" s="1"/>
  <c r="J267" i="44" s="1"/>
  <c r="K267" i="44" s="1"/>
  <c r="L267" i="44" s="1"/>
  <c r="M267" i="44" s="1"/>
  <c r="N267" i="44" s="1"/>
  <c r="O267" i="44" s="1"/>
  <c r="P267" i="44" s="1"/>
  <c r="Q267" i="44" s="1"/>
  <c r="R267" i="44" s="1"/>
  <c r="S267" i="44" s="1"/>
  <c r="H267" i="43"/>
  <c r="I267" i="43" s="1"/>
  <c r="J267" i="43" s="1"/>
  <c r="K267" i="43" s="1"/>
  <c r="L267" i="43" s="1"/>
  <c r="M267" i="43" s="1"/>
  <c r="N267" i="43" s="1"/>
  <c r="O267" i="43" s="1"/>
  <c r="P267" i="43" s="1"/>
  <c r="Q267" i="43" s="1"/>
  <c r="R267" i="43" s="1"/>
  <c r="S267" i="43" s="1"/>
  <c r="G83" i="48"/>
  <c r="G83" i="47"/>
  <c r="G83" i="46"/>
  <c r="G83" i="45"/>
  <c r="G83" i="44"/>
  <c r="G83" i="43"/>
  <c r="F91" i="48"/>
  <c r="F91" i="47"/>
  <c r="F91" i="46"/>
  <c r="F91" i="45"/>
  <c r="F91" i="44"/>
  <c r="F91" i="43"/>
  <c r="F66" i="48"/>
  <c r="F66" i="47"/>
  <c r="F66" i="46"/>
  <c r="F66" i="45"/>
  <c r="F66" i="44"/>
  <c r="F66" i="43"/>
  <c r="F57" i="48"/>
  <c r="F57" i="47"/>
  <c r="F57" i="46"/>
  <c r="F57" i="45"/>
  <c r="F57" i="44"/>
  <c r="F57" i="43"/>
  <c r="F64" i="48"/>
  <c r="F64" i="47"/>
  <c r="F64" i="46"/>
  <c r="F64" i="45"/>
  <c r="F64" i="44"/>
  <c r="F64" i="43"/>
  <c r="E203" i="48"/>
  <c r="E203" i="47"/>
  <c r="E203" i="46"/>
  <c r="E203" i="45"/>
  <c r="E203" i="44"/>
  <c r="E203" i="43"/>
  <c r="G72" i="48"/>
  <c r="G72" i="47"/>
  <c r="G72" i="46"/>
  <c r="G72" i="45"/>
  <c r="G72" i="44"/>
  <c r="G72" i="43"/>
  <c r="E183" i="48"/>
  <c r="E183" i="47"/>
  <c r="E183" i="46"/>
  <c r="E183" i="45"/>
  <c r="E183" i="44"/>
  <c r="E183" i="43"/>
  <c r="E187" i="48"/>
  <c r="E187" i="47"/>
  <c r="E187" i="46"/>
  <c r="E187" i="45"/>
  <c r="E187" i="44"/>
  <c r="E187" i="43"/>
  <c r="E277" i="48"/>
  <c r="E277" i="47"/>
  <c r="E277" i="46"/>
  <c r="E277" i="45"/>
  <c r="E277" i="44"/>
  <c r="E277" i="43"/>
  <c r="G90" i="48"/>
  <c r="G90" i="47"/>
  <c r="G90" i="46"/>
  <c r="G90" i="45"/>
  <c r="G90" i="44"/>
  <c r="G90" i="43"/>
  <c r="F84" i="48"/>
  <c r="F84" i="47"/>
  <c r="F84" i="46"/>
  <c r="F84" i="45"/>
  <c r="F84" i="44"/>
  <c r="F84" i="43"/>
  <c r="E177" i="48"/>
  <c r="E177" i="47"/>
  <c r="E177" i="46"/>
  <c r="E177" i="45"/>
  <c r="E177" i="44"/>
  <c r="E177" i="43"/>
  <c r="F65" i="48"/>
  <c r="F65" i="47"/>
  <c r="F65" i="46"/>
  <c r="F65" i="45"/>
  <c r="F65" i="44"/>
  <c r="F65" i="43"/>
  <c r="F58" i="48"/>
  <c r="F58" i="47"/>
  <c r="F58" i="46"/>
  <c r="F58" i="45"/>
  <c r="F58" i="44"/>
  <c r="F58" i="43"/>
  <c r="E197" i="48"/>
  <c r="E197" i="47"/>
  <c r="E197" i="46"/>
  <c r="E197" i="45"/>
  <c r="E197" i="44"/>
  <c r="E197" i="43"/>
  <c r="G70" i="48"/>
  <c r="G70" i="47"/>
  <c r="G70" i="46"/>
  <c r="G70" i="45"/>
  <c r="G70" i="44"/>
  <c r="G70" i="43"/>
  <c r="E188" i="48"/>
  <c r="E188" i="47"/>
  <c r="E188" i="46"/>
  <c r="E188" i="45"/>
  <c r="E188" i="44"/>
  <c r="E188" i="43"/>
  <c r="E192" i="48"/>
  <c r="E192" i="47"/>
  <c r="E192" i="46"/>
  <c r="E192" i="45"/>
  <c r="E192" i="44"/>
  <c r="E192" i="43"/>
  <c r="G89" i="48"/>
  <c r="G89" i="47"/>
  <c r="G89" i="46"/>
  <c r="G89" i="45"/>
  <c r="G89" i="44"/>
  <c r="G89" i="43"/>
  <c r="E167" i="48"/>
  <c r="E167" i="47"/>
  <c r="E167" i="46"/>
  <c r="E167" i="45"/>
  <c r="E167" i="43"/>
  <c r="E167" i="44"/>
  <c r="F85" i="48"/>
  <c r="F85" i="47"/>
  <c r="F85" i="46"/>
  <c r="F85" i="45"/>
  <c r="F85" i="44"/>
  <c r="F85" i="43"/>
  <c r="E178" i="48"/>
  <c r="E178" i="47"/>
  <c r="E178" i="46"/>
  <c r="E178" i="45"/>
  <c r="E178" i="44"/>
  <c r="E178" i="43"/>
  <c r="F67" i="48"/>
  <c r="F67" i="47"/>
  <c r="F67" i="46"/>
  <c r="F67" i="45"/>
  <c r="F67" i="44"/>
  <c r="F67" i="43"/>
  <c r="F159" i="48"/>
  <c r="F159" i="47"/>
  <c r="F159" i="46"/>
  <c r="F159" i="45"/>
  <c r="F159" i="43"/>
  <c r="F159" i="44"/>
  <c r="F59" i="48"/>
  <c r="F59" i="47"/>
  <c r="F59" i="46"/>
  <c r="F59" i="45"/>
  <c r="F59" i="44"/>
  <c r="F59" i="43"/>
  <c r="E198" i="48"/>
  <c r="E198" i="47"/>
  <c r="E198" i="46"/>
  <c r="E198" i="45"/>
  <c r="E198" i="44"/>
  <c r="E198" i="43"/>
  <c r="G68" i="48"/>
  <c r="G68" i="47"/>
  <c r="G68" i="46"/>
  <c r="G68" i="45"/>
  <c r="G68" i="44"/>
  <c r="G68" i="43"/>
  <c r="E193" i="48"/>
  <c r="E193" i="47"/>
  <c r="E193" i="46"/>
  <c r="E193" i="45"/>
  <c r="E193" i="44"/>
  <c r="E193" i="43"/>
  <c r="F169" i="48"/>
  <c r="F169" i="47"/>
  <c r="F169" i="46"/>
  <c r="F169" i="45"/>
  <c r="F169" i="43"/>
  <c r="F169" i="44"/>
  <c r="E279" i="48"/>
  <c r="E279" i="47"/>
  <c r="E279" i="46"/>
  <c r="E279" i="45"/>
  <c r="E279" i="44"/>
  <c r="E279" i="43"/>
  <c r="E281" i="48"/>
  <c r="E281" i="47"/>
  <c r="E281" i="46"/>
  <c r="E281" i="45"/>
  <c r="E281" i="44"/>
  <c r="E281" i="43"/>
  <c r="G88" i="48"/>
  <c r="G88" i="47"/>
  <c r="G88" i="46"/>
  <c r="G88" i="45"/>
  <c r="G88" i="44"/>
  <c r="G88" i="43"/>
  <c r="G87" i="48"/>
  <c r="G87" i="47"/>
  <c r="G87" i="46"/>
  <c r="G87" i="45"/>
  <c r="G87" i="44"/>
  <c r="G87" i="43"/>
  <c r="E168" i="48"/>
  <c r="E168" i="47"/>
  <c r="E168" i="46"/>
  <c r="E168" i="45"/>
  <c r="E168" i="44"/>
  <c r="E168" i="43"/>
  <c r="F83" i="48"/>
  <c r="F83" i="47"/>
  <c r="F83" i="46"/>
  <c r="F83" i="45"/>
  <c r="F83" i="44"/>
  <c r="F83" i="43"/>
  <c r="F68" i="48"/>
  <c r="F68" i="47"/>
  <c r="F68" i="46"/>
  <c r="F68" i="45"/>
  <c r="F68" i="44"/>
  <c r="F68" i="43"/>
  <c r="F69" i="48"/>
  <c r="F69" i="47"/>
  <c r="F69" i="46"/>
  <c r="F69" i="45"/>
  <c r="F69" i="44"/>
  <c r="F69" i="43"/>
  <c r="F60" i="48"/>
  <c r="F60" i="47"/>
  <c r="F60" i="46"/>
  <c r="F60" i="45"/>
  <c r="F60" i="44"/>
  <c r="F60" i="43"/>
  <c r="G67" i="48"/>
  <c r="G67" i="47"/>
  <c r="G67" i="46"/>
  <c r="G67" i="45"/>
  <c r="G67" i="44"/>
  <c r="G67" i="43"/>
  <c r="E172" i="48"/>
  <c r="E172" i="47"/>
  <c r="E172" i="46"/>
  <c r="E172" i="45"/>
  <c r="E172" i="43"/>
  <c r="E172" i="44"/>
  <c r="C250" i="48"/>
  <c r="C250" i="47"/>
  <c r="C250" i="46"/>
  <c r="C250" i="45"/>
  <c r="C250" i="44"/>
  <c r="C250" i="43"/>
  <c r="C181" i="48"/>
  <c r="C181" i="47"/>
  <c r="C181" i="46"/>
  <c r="C181" i="45"/>
  <c r="C181" i="43"/>
  <c r="C181" i="44"/>
  <c r="F126" i="48"/>
  <c r="F126" i="47"/>
  <c r="F126" i="46"/>
  <c r="F126" i="45"/>
  <c r="F126" i="43"/>
  <c r="F126" i="44"/>
  <c r="H125" i="47"/>
  <c r="I125" i="47" s="1"/>
  <c r="J125" i="47" s="1"/>
  <c r="K125" i="47" s="1"/>
  <c r="L125" i="47" s="1"/>
  <c r="M125" i="47" s="1"/>
  <c r="N125" i="47" s="1"/>
  <c r="O125" i="47" s="1"/>
  <c r="P125" i="47" s="1"/>
  <c r="Q125" i="47" s="1"/>
  <c r="R125" i="47" s="1"/>
  <c r="S125" i="47" s="1"/>
  <c r="H125" i="48"/>
  <c r="I125" i="48" s="1"/>
  <c r="J125" i="48" s="1"/>
  <c r="K125" i="48" s="1"/>
  <c r="L125" i="48" s="1"/>
  <c r="M125" i="48" s="1"/>
  <c r="N125" i="48" s="1"/>
  <c r="O125" i="48" s="1"/>
  <c r="P125" i="48" s="1"/>
  <c r="Q125" i="48" s="1"/>
  <c r="R125" i="48" s="1"/>
  <c r="S125" i="48" s="1"/>
  <c r="H125" i="46"/>
  <c r="I125" i="46" s="1"/>
  <c r="J125" i="46" s="1"/>
  <c r="K125" i="46" s="1"/>
  <c r="L125" i="46" s="1"/>
  <c r="M125" i="46" s="1"/>
  <c r="N125" i="46" s="1"/>
  <c r="O125" i="46" s="1"/>
  <c r="P125" i="46" s="1"/>
  <c r="Q125" i="46" s="1"/>
  <c r="R125" i="46" s="1"/>
  <c r="S125" i="46" s="1"/>
  <c r="H125" i="45"/>
  <c r="I125" i="45" s="1"/>
  <c r="J125" i="45" s="1"/>
  <c r="K125" i="45" s="1"/>
  <c r="L125" i="45" s="1"/>
  <c r="M125" i="45" s="1"/>
  <c r="N125" i="45" s="1"/>
  <c r="O125" i="45" s="1"/>
  <c r="P125" i="45" s="1"/>
  <c r="Q125" i="45" s="1"/>
  <c r="R125" i="45" s="1"/>
  <c r="S125" i="45" s="1"/>
  <c r="H125" i="44"/>
  <c r="I125" i="44" s="1"/>
  <c r="J125" i="44" s="1"/>
  <c r="K125" i="44" s="1"/>
  <c r="L125" i="44" s="1"/>
  <c r="M125" i="44" s="1"/>
  <c r="N125" i="44" s="1"/>
  <c r="O125" i="44" s="1"/>
  <c r="P125" i="44" s="1"/>
  <c r="Q125" i="44" s="1"/>
  <c r="R125" i="44" s="1"/>
  <c r="S125" i="44" s="1"/>
  <c r="H125" i="43"/>
  <c r="I125" i="43" s="1"/>
  <c r="J125" i="43" s="1"/>
  <c r="K125" i="43" s="1"/>
  <c r="L125" i="43" s="1"/>
  <c r="M125" i="43" s="1"/>
  <c r="N125" i="43" s="1"/>
  <c r="O125" i="43" s="1"/>
  <c r="P125" i="43" s="1"/>
  <c r="Q125" i="43" s="1"/>
  <c r="R125" i="43" s="1"/>
  <c r="S125" i="43" s="1"/>
  <c r="E127" i="48"/>
  <c r="E127" i="47"/>
  <c r="E127" i="46"/>
  <c r="E127" i="45"/>
  <c r="E127" i="43"/>
  <c r="E127" i="44"/>
  <c r="C121" i="47"/>
  <c r="C121" i="48"/>
  <c r="C121" i="46"/>
  <c r="C121" i="45"/>
  <c r="C121" i="43"/>
  <c r="C121" i="44"/>
  <c r="E120" i="47"/>
  <c r="E120" i="48"/>
  <c r="E120" i="46"/>
  <c r="E120" i="45"/>
  <c r="E120" i="43"/>
  <c r="E120" i="44"/>
  <c r="F123" i="48"/>
  <c r="F123" i="47"/>
  <c r="F123" i="46"/>
  <c r="F123" i="45"/>
  <c r="F123" i="44"/>
  <c r="F123" i="43"/>
  <c r="H122" i="48"/>
  <c r="I122" i="48" s="1"/>
  <c r="J122" i="48" s="1"/>
  <c r="K122" i="48" s="1"/>
  <c r="L122" i="48" s="1"/>
  <c r="M122" i="48" s="1"/>
  <c r="N122" i="48" s="1"/>
  <c r="O122" i="48" s="1"/>
  <c r="P122" i="48" s="1"/>
  <c r="Q122" i="48" s="1"/>
  <c r="R122" i="48" s="1"/>
  <c r="S122" i="48" s="1"/>
  <c r="H122" i="47"/>
  <c r="I122" i="47" s="1"/>
  <c r="J122" i="47" s="1"/>
  <c r="K122" i="47" s="1"/>
  <c r="L122" i="47" s="1"/>
  <c r="M122" i="47" s="1"/>
  <c r="N122" i="47" s="1"/>
  <c r="O122" i="47" s="1"/>
  <c r="P122" i="47" s="1"/>
  <c r="Q122" i="47" s="1"/>
  <c r="R122" i="47" s="1"/>
  <c r="S122" i="47" s="1"/>
  <c r="H122" i="46"/>
  <c r="I122" i="46" s="1"/>
  <c r="J122" i="46" s="1"/>
  <c r="K122" i="46" s="1"/>
  <c r="L122" i="46" s="1"/>
  <c r="M122" i="46" s="1"/>
  <c r="N122" i="46" s="1"/>
  <c r="O122" i="46" s="1"/>
  <c r="P122" i="46" s="1"/>
  <c r="Q122" i="46" s="1"/>
  <c r="R122" i="46" s="1"/>
  <c r="S122" i="46" s="1"/>
  <c r="H122" i="45"/>
  <c r="I122" i="45" s="1"/>
  <c r="J122" i="45" s="1"/>
  <c r="K122" i="45" s="1"/>
  <c r="L122" i="45" s="1"/>
  <c r="M122" i="45" s="1"/>
  <c r="N122" i="45" s="1"/>
  <c r="O122" i="45" s="1"/>
  <c r="P122" i="45" s="1"/>
  <c r="Q122" i="45" s="1"/>
  <c r="R122" i="45" s="1"/>
  <c r="S122" i="45" s="1"/>
  <c r="H122" i="44"/>
  <c r="I122" i="44" s="1"/>
  <c r="J122" i="44" s="1"/>
  <c r="K122" i="44" s="1"/>
  <c r="L122" i="44" s="1"/>
  <c r="M122" i="44" s="1"/>
  <c r="N122" i="44" s="1"/>
  <c r="O122" i="44" s="1"/>
  <c r="P122" i="44" s="1"/>
  <c r="Q122" i="44" s="1"/>
  <c r="R122" i="44" s="1"/>
  <c r="S122" i="44" s="1"/>
  <c r="H122" i="43"/>
  <c r="I122" i="43" s="1"/>
  <c r="J122" i="43" s="1"/>
  <c r="K122" i="43" s="1"/>
  <c r="L122" i="43" s="1"/>
  <c r="M122" i="43" s="1"/>
  <c r="N122" i="43" s="1"/>
  <c r="O122" i="43" s="1"/>
  <c r="P122" i="43" s="1"/>
  <c r="Q122" i="43" s="1"/>
  <c r="R122" i="43" s="1"/>
  <c r="S122" i="43" s="1"/>
  <c r="C286" i="48"/>
  <c r="C286" i="47"/>
  <c r="C286" i="46"/>
  <c r="C286" i="44"/>
  <c r="C286" i="45"/>
  <c r="C286" i="43"/>
  <c r="C287" i="48"/>
  <c r="C287" i="47"/>
  <c r="C287" i="46"/>
  <c r="C287" i="44"/>
  <c r="C287" i="45"/>
  <c r="C287" i="43"/>
  <c r="C196" i="48"/>
  <c r="C196" i="47"/>
  <c r="C196" i="46"/>
  <c r="C196" i="45"/>
  <c r="C196" i="43"/>
  <c r="C196" i="44"/>
  <c r="C270" i="48"/>
  <c r="C270" i="47"/>
  <c r="C270" i="46"/>
  <c r="C270" i="45"/>
  <c r="C270" i="44"/>
  <c r="C270" i="43"/>
  <c r="C125" i="47"/>
  <c r="C125" i="48"/>
  <c r="C125" i="46"/>
  <c r="C125" i="45"/>
  <c r="C125" i="44"/>
  <c r="C125" i="43"/>
  <c r="F124" i="48"/>
  <c r="F124" i="47"/>
  <c r="F124" i="46"/>
  <c r="F124" i="45"/>
  <c r="F124" i="44"/>
  <c r="F124" i="43"/>
  <c r="D125" i="48"/>
  <c r="D125" i="47"/>
  <c r="D125" i="46"/>
  <c r="D125" i="45"/>
  <c r="D125" i="43"/>
  <c r="D125" i="44"/>
  <c r="E125" i="48"/>
  <c r="E125" i="47"/>
  <c r="E125" i="46"/>
  <c r="E125" i="45"/>
  <c r="E125" i="44"/>
  <c r="E125" i="43"/>
  <c r="C191" i="48"/>
  <c r="C191" i="47"/>
  <c r="C191" i="46"/>
  <c r="C191" i="45"/>
  <c r="C191" i="44"/>
  <c r="C191" i="43"/>
  <c r="C120" i="48"/>
  <c r="C120" i="47"/>
  <c r="C120" i="46"/>
  <c r="C120" i="45"/>
  <c r="C120" i="44"/>
  <c r="C120" i="43"/>
  <c r="H123" i="48"/>
  <c r="I123" i="48" s="1"/>
  <c r="J123" i="48" s="1"/>
  <c r="K123" i="48" s="1"/>
  <c r="L123" i="48" s="1"/>
  <c r="M123" i="48" s="1"/>
  <c r="N123" i="48" s="1"/>
  <c r="O123" i="48" s="1"/>
  <c r="P123" i="48" s="1"/>
  <c r="Q123" i="48" s="1"/>
  <c r="R123" i="48" s="1"/>
  <c r="S123" i="48" s="1"/>
  <c r="H123" i="47"/>
  <c r="I123" i="47" s="1"/>
  <c r="J123" i="47" s="1"/>
  <c r="K123" i="47" s="1"/>
  <c r="L123" i="47" s="1"/>
  <c r="M123" i="47" s="1"/>
  <c r="N123" i="47" s="1"/>
  <c r="O123" i="47" s="1"/>
  <c r="P123" i="47" s="1"/>
  <c r="Q123" i="47" s="1"/>
  <c r="R123" i="47" s="1"/>
  <c r="S123" i="47" s="1"/>
  <c r="H123" i="46"/>
  <c r="I123" i="46" s="1"/>
  <c r="J123" i="46" s="1"/>
  <c r="K123" i="46" s="1"/>
  <c r="L123" i="46" s="1"/>
  <c r="M123" i="46" s="1"/>
  <c r="N123" i="46" s="1"/>
  <c r="O123" i="46" s="1"/>
  <c r="P123" i="46" s="1"/>
  <c r="Q123" i="46" s="1"/>
  <c r="R123" i="46" s="1"/>
  <c r="S123" i="46" s="1"/>
  <c r="H123" i="45"/>
  <c r="I123" i="45" s="1"/>
  <c r="J123" i="45" s="1"/>
  <c r="K123" i="45" s="1"/>
  <c r="L123" i="45" s="1"/>
  <c r="M123" i="45" s="1"/>
  <c r="N123" i="45" s="1"/>
  <c r="O123" i="45" s="1"/>
  <c r="P123" i="45" s="1"/>
  <c r="Q123" i="45" s="1"/>
  <c r="R123" i="45" s="1"/>
  <c r="S123" i="45" s="1"/>
  <c r="H123" i="43"/>
  <c r="I123" i="43" s="1"/>
  <c r="J123" i="43" s="1"/>
  <c r="K123" i="43" s="1"/>
  <c r="L123" i="43" s="1"/>
  <c r="M123" i="43" s="1"/>
  <c r="N123" i="43" s="1"/>
  <c r="O123" i="43" s="1"/>
  <c r="P123" i="43" s="1"/>
  <c r="Q123" i="43" s="1"/>
  <c r="R123" i="43" s="1"/>
  <c r="S123" i="43" s="1"/>
  <c r="H123" i="44"/>
  <c r="I123" i="44" s="1"/>
  <c r="J123" i="44" s="1"/>
  <c r="K123" i="44" s="1"/>
  <c r="L123" i="44" s="1"/>
  <c r="M123" i="44" s="1"/>
  <c r="N123" i="44" s="1"/>
  <c r="O123" i="44" s="1"/>
  <c r="P123" i="44" s="1"/>
  <c r="Q123" i="44" s="1"/>
  <c r="R123" i="44" s="1"/>
  <c r="S123" i="44" s="1"/>
  <c r="F121" i="48"/>
  <c r="F121" i="47"/>
  <c r="F121" i="46"/>
  <c r="F121" i="45"/>
  <c r="F121" i="44"/>
  <c r="F121" i="43"/>
  <c r="H120" i="48"/>
  <c r="I120" i="48" s="1"/>
  <c r="J120" i="48" s="1"/>
  <c r="K120" i="48" s="1"/>
  <c r="L120" i="48" s="1"/>
  <c r="M120" i="48" s="1"/>
  <c r="N120" i="48" s="1"/>
  <c r="O120" i="48" s="1"/>
  <c r="P120" i="48" s="1"/>
  <c r="Q120" i="48" s="1"/>
  <c r="R120" i="48" s="1"/>
  <c r="S120" i="48" s="1"/>
  <c r="H120" i="47"/>
  <c r="I120" i="47" s="1"/>
  <c r="J120" i="47" s="1"/>
  <c r="K120" i="47" s="1"/>
  <c r="L120" i="47" s="1"/>
  <c r="M120" i="47" s="1"/>
  <c r="N120" i="47" s="1"/>
  <c r="O120" i="47" s="1"/>
  <c r="P120" i="47" s="1"/>
  <c r="Q120" i="47" s="1"/>
  <c r="R120" i="47" s="1"/>
  <c r="S120" i="47" s="1"/>
  <c r="H120" i="46"/>
  <c r="I120" i="46" s="1"/>
  <c r="J120" i="46" s="1"/>
  <c r="K120" i="46" s="1"/>
  <c r="L120" i="46" s="1"/>
  <c r="M120" i="46" s="1"/>
  <c r="N120" i="46" s="1"/>
  <c r="O120" i="46" s="1"/>
  <c r="P120" i="46" s="1"/>
  <c r="Q120" i="46" s="1"/>
  <c r="R120" i="46" s="1"/>
  <c r="S120" i="46" s="1"/>
  <c r="H120" i="45"/>
  <c r="I120" i="45" s="1"/>
  <c r="J120" i="45" s="1"/>
  <c r="K120" i="45" s="1"/>
  <c r="L120" i="45" s="1"/>
  <c r="M120" i="45" s="1"/>
  <c r="N120" i="45" s="1"/>
  <c r="O120" i="45" s="1"/>
  <c r="P120" i="45" s="1"/>
  <c r="Q120" i="45" s="1"/>
  <c r="R120" i="45" s="1"/>
  <c r="S120" i="45" s="1"/>
  <c r="H120" i="43"/>
  <c r="I120" i="43" s="1"/>
  <c r="J120" i="43" s="1"/>
  <c r="K120" i="43" s="1"/>
  <c r="L120" i="43" s="1"/>
  <c r="M120" i="43" s="1"/>
  <c r="N120" i="43" s="1"/>
  <c r="O120" i="43" s="1"/>
  <c r="P120" i="43" s="1"/>
  <c r="Q120" i="43" s="1"/>
  <c r="R120" i="43" s="1"/>
  <c r="S120" i="43" s="1"/>
  <c r="H120" i="44"/>
  <c r="I120" i="44" s="1"/>
  <c r="J120" i="44" s="1"/>
  <c r="K120" i="44" s="1"/>
  <c r="L120" i="44" s="1"/>
  <c r="M120" i="44" s="1"/>
  <c r="N120" i="44" s="1"/>
  <c r="O120" i="44" s="1"/>
  <c r="P120" i="44" s="1"/>
  <c r="Q120" i="44" s="1"/>
  <c r="R120" i="44" s="1"/>
  <c r="S120" i="44" s="1"/>
  <c r="C246" i="48"/>
  <c r="C246" i="47"/>
  <c r="C246" i="46"/>
  <c r="C246" i="45"/>
  <c r="C246" i="44"/>
  <c r="C246" i="43"/>
  <c r="C255" i="48"/>
  <c r="C255" i="47"/>
  <c r="C255" i="46"/>
  <c r="C255" i="45"/>
  <c r="C255" i="43"/>
  <c r="C255" i="44"/>
  <c r="C231" i="48"/>
  <c r="C231" i="47"/>
  <c r="C231" i="46"/>
  <c r="C231" i="45"/>
  <c r="C231" i="44"/>
  <c r="C231" i="43"/>
  <c r="C221" i="48"/>
  <c r="C221" i="47"/>
  <c r="C221" i="46"/>
  <c r="C221" i="45"/>
  <c r="C221" i="43"/>
  <c r="C221" i="44"/>
  <c r="C128" i="48"/>
  <c r="C128" i="47"/>
  <c r="C128" i="46"/>
  <c r="C128" i="45"/>
  <c r="C128" i="43"/>
  <c r="C128" i="44"/>
  <c r="D127" i="47"/>
  <c r="D127" i="48"/>
  <c r="D127" i="46"/>
  <c r="D127" i="45"/>
  <c r="D127" i="44"/>
  <c r="D127" i="43"/>
  <c r="G127" i="48"/>
  <c r="G127" i="47"/>
  <c r="G127" i="46"/>
  <c r="G127" i="45"/>
  <c r="G127" i="43"/>
  <c r="G127" i="44"/>
  <c r="H128" i="48"/>
  <c r="I128" i="48" s="1"/>
  <c r="J128" i="48" s="1"/>
  <c r="K128" i="48" s="1"/>
  <c r="L128" i="48" s="1"/>
  <c r="M128" i="48" s="1"/>
  <c r="N128" i="48" s="1"/>
  <c r="O128" i="48" s="1"/>
  <c r="P128" i="48" s="1"/>
  <c r="Q128" i="48" s="1"/>
  <c r="R128" i="48" s="1"/>
  <c r="S128" i="48" s="1"/>
  <c r="H128" i="47"/>
  <c r="I128" i="47" s="1"/>
  <c r="J128" i="47" s="1"/>
  <c r="K128" i="47" s="1"/>
  <c r="L128" i="47" s="1"/>
  <c r="M128" i="47" s="1"/>
  <c r="N128" i="47" s="1"/>
  <c r="O128" i="47" s="1"/>
  <c r="P128" i="47" s="1"/>
  <c r="Q128" i="47" s="1"/>
  <c r="R128" i="47" s="1"/>
  <c r="S128" i="47" s="1"/>
  <c r="H128" i="46"/>
  <c r="I128" i="46" s="1"/>
  <c r="J128" i="46" s="1"/>
  <c r="K128" i="46" s="1"/>
  <c r="L128" i="46" s="1"/>
  <c r="M128" i="46" s="1"/>
  <c r="N128" i="46" s="1"/>
  <c r="O128" i="46" s="1"/>
  <c r="P128" i="46" s="1"/>
  <c r="Q128" i="46" s="1"/>
  <c r="R128" i="46" s="1"/>
  <c r="S128" i="46" s="1"/>
  <c r="H128" i="45"/>
  <c r="I128" i="45" s="1"/>
  <c r="J128" i="45" s="1"/>
  <c r="K128" i="45" s="1"/>
  <c r="L128" i="45" s="1"/>
  <c r="M128" i="45" s="1"/>
  <c r="N128" i="45" s="1"/>
  <c r="O128" i="45" s="1"/>
  <c r="P128" i="45" s="1"/>
  <c r="Q128" i="45" s="1"/>
  <c r="R128" i="45" s="1"/>
  <c r="S128" i="45" s="1"/>
  <c r="H128" i="43"/>
  <c r="I128" i="43" s="1"/>
  <c r="J128" i="43" s="1"/>
  <c r="K128" i="43" s="1"/>
  <c r="L128" i="43" s="1"/>
  <c r="M128" i="43" s="1"/>
  <c r="N128" i="43" s="1"/>
  <c r="O128" i="43" s="1"/>
  <c r="P128" i="43" s="1"/>
  <c r="Q128" i="43" s="1"/>
  <c r="R128" i="43" s="1"/>
  <c r="S128" i="43" s="1"/>
  <c r="H128" i="44"/>
  <c r="I128" i="44" s="1"/>
  <c r="J128" i="44" s="1"/>
  <c r="K128" i="44" s="1"/>
  <c r="L128" i="44" s="1"/>
  <c r="M128" i="44" s="1"/>
  <c r="N128" i="44" s="1"/>
  <c r="O128" i="44" s="1"/>
  <c r="P128" i="44" s="1"/>
  <c r="Q128" i="44" s="1"/>
  <c r="R128" i="44" s="1"/>
  <c r="S128" i="44" s="1"/>
  <c r="C119" i="48"/>
  <c r="C119" i="47"/>
  <c r="C119" i="46"/>
  <c r="C119" i="45"/>
  <c r="C119" i="43"/>
  <c r="C119" i="44"/>
  <c r="H121" i="48"/>
  <c r="I121" i="48" s="1"/>
  <c r="J121" i="48" s="1"/>
  <c r="K121" i="48" s="1"/>
  <c r="L121" i="48" s="1"/>
  <c r="M121" i="48" s="1"/>
  <c r="N121" i="48" s="1"/>
  <c r="O121" i="48" s="1"/>
  <c r="P121" i="48" s="1"/>
  <c r="Q121" i="48" s="1"/>
  <c r="R121" i="48" s="1"/>
  <c r="S121" i="48" s="1"/>
  <c r="H121" i="47"/>
  <c r="I121" i="47" s="1"/>
  <c r="J121" i="47" s="1"/>
  <c r="K121" i="47" s="1"/>
  <c r="L121" i="47" s="1"/>
  <c r="M121" i="47" s="1"/>
  <c r="N121" i="47" s="1"/>
  <c r="O121" i="47" s="1"/>
  <c r="P121" i="47" s="1"/>
  <c r="Q121" i="47" s="1"/>
  <c r="R121" i="47" s="1"/>
  <c r="S121" i="47" s="1"/>
  <c r="H121" i="46"/>
  <c r="I121" i="46" s="1"/>
  <c r="J121" i="46" s="1"/>
  <c r="K121" i="46" s="1"/>
  <c r="L121" i="46" s="1"/>
  <c r="M121" i="46" s="1"/>
  <c r="N121" i="46" s="1"/>
  <c r="O121" i="46" s="1"/>
  <c r="P121" i="46" s="1"/>
  <c r="Q121" i="46" s="1"/>
  <c r="R121" i="46" s="1"/>
  <c r="S121" i="46" s="1"/>
  <c r="H121" i="45"/>
  <c r="I121" i="45" s="1"/>
  <c r="J121" i="45" s="1"/>
  <c r="K121" i="45" s="1"/>
  <c r="L121" i="45" s="1"/>
  <c r="M121" i="45" s="1"/>
  <c r="N121" i="45" s="1"/>
  <c r="O121" i="45" s="1"/>
  <c r="P121" i="45" s="1"/>
  <c r="Q121" i="45" s="1"/>
  <c r="R121" i="45" s="1"/>
  <c r="S121" i="45" s="1"/>
  <c r="H121" i="44"/>
  <c r="I121" i="44" s="1"/>
  <c r="J121" i="44" s="1"/>
  <c r="K121" i="44" s="1"/>
  <c r="L121" i="44" s="1"/>
  <c r="M121" i="44" s="1"/>
  <c r="N121" i="44" s="1"/>
  <c r="O121" i="44" s="1"/>
  <c r="P121" i="44" s="1"/>
  <c r="Q121" i="44" s="1"/>
  <c r="R121" i="44" s="1"/>
  <c r="S121" i="44" s="1"/>
  <c r="H121" i="43"/>
  <c r="I121" i="43" s="1"/>
  <c r="J121" i="43" s="1"/>
  <c r="K121" i="43" s="1"/>
  <c r="L121" i="43" s="1"/>
  <c r="M121" i="43" s="1"/>
  <c r="N121" i="43" s="1"/>
  <c r="O121" i="43" s="1"/>
  <c r="P121" i="43" s="1"/>
  <c r="Q121" i="43" s="1"/>
  <c r="R121" i="43" s="1"/>
  <c r="S121" i="43" s="1"/>
  <c r="F119" i="47"/>
  <c r="F119" i="48"/>
  <c r="F119" i="46"/>
  <c r="F119" i="45"/>
  <c r="F119" i="43"/>
  <c r="F119" i="44"/>
  <c r="D121" i="47"/>
  <c r="D121" i="48"/>
  <c r="D121" i="46"/>
  <c r="D121" i="45"/>
  <c r="D121" i="44"/>
  <c r="D121" i="43"/>
  <c r="C284" i="48"/>
  <c r="C284" i="47"/>
  <c r="C284" i="46"/>
  <c r="C284" i="44"/>
  <c r="C284" i="45"/>
  <c r="C284" i="43"/>
  <c r="C171" i="48"/>
  <c r="C171" i="47"/>
  <c r="C171" i="46"/>
  <c r="C171" i="45"/>
  <c r="C171" i="44"/>
  <c r="C171" i="43"/>
  <c r="C201" i="48"/>
  <c r="C201" i="47"/>
  <c r="C201" i="46"/>
  <c r="C201" i="45"/>
  <c r="C201" i="44"/>
  <c r="C201" i="43"/>
  <c r="C127" i="48"/>
  <c r="C127" i="47"/>
  <c r="C127" i="46"/>
  <c r="C127" i="45"/>
  <c r="C127" i="43"/>
  <c r="C127" i="44"/>
  <c r="E128" i="48"/>
  <c r="E128" i="47"/>
  <c r="E128" i="46"/>
  <c r="E128" i="45"/>
  <c r="E128" i="43"/>
  <c r="E128" i="44"/>
  <c r="G125" i="48"/>
  <c r="G125" i="47"/>
  <c r="G125" i="46"/>
  <c r="G125" i="45"/>
  <c r="G125" i="43"/>
  <c r="G125" i="44"/>
  <c r="H126" i="48"/>
  <c r="I126" i="48" s="1"/>
  <c r="J126" i="48" s="1"/>
  <c r="K126" i="48" s="1"/>
  <c r="L126" i="48" s="1"/>
  <c r="M126" i="48" s="1"/>
  <c r="N126" i="48" s="1"/>
  <c r="O126" i="48" s="1"/>
  <c r="P126" i="48" s="1"/>
  <c r="Q126" i="48" s="1"/>
  <c r="R126" i="48" s="1"/>
  <c r="S126" i="48" s="1"/>
  <c r="H126" i="47"/>
  <c r="I126" i="47" s="1"/>
  <c r="J126" i="47" s="1"/>
  <c r="K126" i="47" s="1"/>
  <c r="L126" i="47" s="1"/>
  <c r="M126" i="47" s="1"/>
  <c r="N126" i="47" s="1"/>
  <c r="O126" i="47" s="1"/>
  <c r="P126" i="47" s="1"/>
  <c r="Q126" i="47" s="1"/>
  <c r="R126" i="47" s="1"/>
  <c r="S126" i="47" s="1"/>
  <c r="H126" i="46"/>
  <c r="I126" i="46" s="1"/>
  <c r="J126" i="46" s="1"/>
  <c r="K126" i="46" s="1"/>
  <c r="L126" i="46" s="1"/>
  <c r="M126" i="46" s="1"/>
  <c r="N126" i="46" s="1"/>
  <c r="O126" i="46" s="1"/>
  <c r="P126" i="46" s="1"/>
  <c r="Q126" i="46" s="1"/>
  <c r="R126" i="46" s="1"/>
  <c r="S126" i="46" s="1"/>
  <c r="H126" i="45"/>
  <c r="I126" i="45" s="1"/>
  <c r="J126" i="45" s="1"/>
  <c r="K126" i="45" s="1"/>
  <c r="L126" i="45" s="1"/>
  <c r="M126" i="45" s="1"/>
  <c r="N126" i="45" s="1"/>
  <c r="O126" i="45" s="1"/>
  <c r="P126" i="45" s="1"/>
  <c r="Q126" i="45" s="1"/>
  <c r="R126" i="45" s="1"/>
  <c r="S126" i="45" s="1"/>
  <c r="H126" i="44"/>
  <c r="I126" i="44" s="1"/>
  <c r="J126" i="44" s="1"/>
  <c r="K126" i="44" s="1"/>
  <c r="L126" i="44" s="1"/>
  <c r="M126" i="44" s="1"/>
  <c r="N126" i="44" s="1"/>
  <c r="O126" i="44" s="1"/>
  <c r="P126" i="44" s="1"/>
  <c r="Q126" i="44" s="1"/>
  <c r="R126" i="44" s="1"/>
  <c r="S126" i="44" s="1"/>
  <c r="H126" i="43"/>
  <c r="I126" i="43" s="1"/>
  <c r="J126" i="43" s="1"/>
  <c r="K126" i="43" s="1"/>
  <c r="L126" i="43" s="1"/>
  <c r="M126" i="43" s="1"/>
  <c r="N126" i="43" s="1"/>
  <c r="O126" i="43" s="1"/>
  <c r="P126" i="43" s="1"/>
  <c r="Q126" i="43" s="1"/>
  <c r="R126" i="43" s="1"/>
  <c r="S126" i="43" s="1"/>
  <c r="C166" i="48"/>
  <c r="C166" i="47"/>
  <c r="C166" i="46"/>
  <c r="C166" i="45"/>
  <c r="C166" i="44"/>
  <c r="C166" i="43"/>
  <c r="C161" i="48"/>
  <c r="C161" i="47"/>
  <c r="C161" i="46"/>
  <c r="C161" i="45"/>
  <c r="C161" i="43"/>
  <c r="C161" i="44"/>
  <c r="D120" i="48"/>
  <c r="D120" i="47"/>
  <c r="D120" i="46"/>
  <c r="D120" i="45"/>
  <c r="D120" i="44"/>
  <c r="D120" i="43"/>
  <c r="H119" i="48"/>
  <c r="I119" i="48" s="1"/>
  <c r="J119" i="48" s="1"/>
  <c r="K119" i="48" s="1"/>
  <c r="L119" i="48" s="1"/>
  <c r="M119" i="48" s="1"/>
  <c r="N119" i="48" s="1"/>
  <c r="O119" i="48" s="1"/>
  <c r="P119" i="48" s="1"/>
  <c r="Q119" i="48" s="1"/>
  <c r="R119" i="48" s="1"/>
  <c r="S119" i="48" s="1"/>
  <c r="H119" i="46"/>
  <c r="I119" i="46" s="1"/>
  <c r="J119" i="46" s="1"/>
  <c r="K119" i="46" s="1"/>
  <c r="L119" i="46" s="1"/>
  <c r="M119" i="46" s="1"/>
  <c r="N119" i="46" s="1"/>
  <c r="O119" i="46" s="1"/>
  <c r="P119" i="46" s="1"/>
  <c r="Q119" i="46" s="1"/>
  <c r="R119" i="46" s="1"/>
  <c r="S119" i="46" s="1"/>
  <c r="H119" i="47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H119" i="45"/>
  <c r="I119" i="45" s="1"/>
  <c r="J119" i="45" s="1"/>
  <c r="K119" i="45" s="1"/>
  <c r="L119" i="45" s="1"/>
  <c r="M119" i="45" s="1"/>
  <c r="N119" i="45" s="1"/>
  <c r="O119" i="45" s="1"/>
  <c r="P119" i="45" s="1"/>
  <c r="Q119" i="45" s="1"/>
  <c r="R119" i="45" s="1"/>
  <c r="S119" i="45" s="1"/>
  <c r="H119" i="43"/>
  <c r="I119" i="43" s="1"/>
  <c r="J119" i="43" s="1"/>
  <c r="K119" i="43" s="1"/>
  <c r="L119" i="43" s="1"/>
  <c r="M119" i="43" s="1"/>
  <c r="N119" i="43" s="1"/>
  <c r="O119" i="43" s="1"/>
  <c r="P119" i="43" s="1"/>
  <c r="Q119" i="43" s="1"/>
  <c r="R119" i="43" s="1"/>
  <c r="S119" i="43" s="1"/>
  <c r="H119" i="44"/>
  <c r="I119" i="44" s="1"/>
  <c r="J119" i="44" s="1"/>
  <c r="K119" i="44" s="1"/>
  <c r="L119" i="44" s="1"/>
  <c r="M119" i="44" s="1"/>
  <c r="N119" i="44" s="1"/>
  <c r="O119" i="44" s="1"/>
  <c r="P119" i="44" s="1"/>
  <c r="Q119" i="44" s="1"/>
  <c r="R119" i="44" s="1"/>
  <c r="S119" i="44" s="1"/>
  <c r="D123" i="47"/>
  <c r="D123" i="48"/>
  <c r="D123" i="46"/>
  <c r="D123" i="45"/>
  <c r="D123" i="44"/>
  <c r="D123" i="43"/>
  <c r="G122" i="48"/>
  <c r="G122" i="47"/>
  <c r="G122" i="46"/>
  <c r="G122" i="45"/>
  <c r="G122" i="43"/>
  <c r="G122" i="44"/>
  <c r="C241" i="48"/>
  <c r="C241" i="47"/>
  <c r="C241" i="46"/>
  <c r="C241" i="45"/>
  <c r="C241" i="44"/>
  <c r="C241" i="43"/>
  <c r="C206" i="48"/>
  <c r="C206" i="47"/>
  <c r="C206" i="46"/>
  <c r="C206" i="45"/>
  <c r="C206" i="44"/>
  <c r="C206" i="43"/>
  <c r="C186" i="48"/>
  <c r="C186" i="47"/>
  <c r="C186" i="46"/>
  <c r="C186" i="45"/>
  <c r="C186" i="44"/>
  <c r="C186" i="43"/>
  <c r="C260" i="48"/>
  <c r="C260" i="47"/>
  <c r="C260" i="46"/>
  <c r="C260" i="45"/>
  <c r="C260" i="44"/>
  <c r="C260" i="43"/>
  <c r="C226" i="48"/>
  <c r="C226" i="47"/>
  <c r="C226" i="46"/>
  <c r="C226" i="45"/>
  <c r="C226" i="44"/>
  <c r="C226" i="43"/>
  <c r="C124" i="47"/>
  <c r="C124" i="48"/>
  <c r="C124" i="46"/>
  <c r="C124" i="45"/>
  <c r="C124" i="43"/>
  <c r="C124" i="44"/>
  <c r="E126" i="48"/>
  <c r="E126" i="47"/>
  <c r="E126" i="46"/>
  <c r="E126" i="45"/>
  <c r="E126" i="43"/>
  <c r="E126" i="44"/>
  <c r="H124" i="48"/>
  <c r="I124" i="48" s="1"/>
  <c r="J124" i="48" s="1"/>
  <c r="K124" i="48" s="1"/>
  <c r="L124" i="48" s="1"/>
  <c r="M124" i="48" s="1"/>
  <c r="N124" i="48" s="1"/>
  <c r="O124" i="48" s="1"/>
  <c r="P124" i="48" s="1"/>
  <c r="Q124" i="48" s="1"/>
  <c r="R124" i="48" s="1"/>
  <c r="S124" i="48" s="1"/>
  <c r="H124" i="47"/>
  <c r="I124" i="47" s="1"/>
  <c r="J124" i="47" s="1"/>
  <c r="K124" i="47" s="1"/>
  <c r="L124" i="47" s="1"/>
  <c r="M124" i="47" s="1"/>
  <c r="N124" i="47" s="1"/>
  <c r="O124" i="47" s="1"/>
  <c r="P124" i="47" s="1"/>
  <c r="Q124" i="47" s="1"/>
  <c r="R124" i="47" s="1"/>
  <c r="S124" i="47" s="1"/>
  <c r="H124" i="46"/>
  <c r="I124" i="46" s="1"/>
  <c r="J124" i="46" s="1"/>
  <c r="K124" i="46" s="1"/>
  <c r="L124" i="46" s="1"/>
  <c r="M124" i="46" s="1"/>
  <c r="N124" i="46" s="1"/>
  <c r="O124" i="46" s="1"/>
  <c r="P124" i="46" s="1"/>
  <c r="Q124" i="46" s="1"/>
  <c r="R124" i="46" s="1"/>
  <c r="S124" i="46" s="1"/>
  <c r="H124" i="45"/>
  <c r="I124" i="45" s="1"/>
  <c r="J124" i="45" s="1"/>
  <c r="K124" i="45" s="1"/>
  <c r="L124" i="45" s="1"/>
  <c r="M124" i="45" s="1"/>
  <c r="N124" i="45" s="1"/>
  <c r="O124" i="45" s="1"/>
  <c r="P124" i="45" s="1"/>
  <c r="Q124" i="45" s="1"/>
  <c r="R124" i="45" s="1"/>
  <c r="S124" i="45" s="1"/>
  <c r="H124" i="44"/>
  <c r="I124" i="44" s="1"/>
  <c r="J124" i="44" s="1"/>
  <c r="K124" i="44" s="1"/>
  <c r="L124" i="44" s="1"/>
  <c r="M124" i="44" s="1"/>
  <c r="N124" i="44" s="1"/>
  <c r="O124" i="44" s="1"/>
  <c r="P124" i="44" s="1"/>
  <c r="Q124" i="44" s="1"/>
  <c r="R124" i="44" s="1"/>
  <c r="S124" i="44" s="1"/>
  <c r="H124" i="43"/>
  <c r="I124" i="43" s="1"/>
  <c r="J124" i="43" s="1"/>
  <c r="K124" i="43" s="1"/>
  <c r="L124" i="43" s="1"/>
  <c r="M124" i="43" s="1"/>
  <c r="N124" i="43" s="1"/>
  <c r="O124" i="43" s="1"/>
  <c r="P124" i="43" s="1"/>
  <c r="Q124" i="43" s="1"/>
  <c r="R124" i="43" s="1"/>
  <c r="S124" i="43" s="1"/>
  <c r="F122" i="48"/>
  <c r="F122" i="47"/>
  <c r="F122" i="46"/>
  <c r="F122" i="45"/>
  <c r="F122" i="44"/>
  <c r="F122" i="43"/>
  <c r="E123" i="48"/>
  <c r="E123" i="47"/>
  <c r="E123" i="46"/>
  <c r="E123" i="45"/>
  <c r="E123" i="43"/>
  <c r="E123" i="44"/>
  <c r="G120" i="48"/>
  <c r="G120" i="47"/>
  <c r="G120" i="46"/>
  <c r="G120" i="45"/>
  <c r="G120" i="44"/>
  <c r="G120" i="43"/>
  <c r="C216" i="48"/>
  <c r="C216" i="47"/>
  <c r="C216" i="46"/>
  <c r="C216" i="45"/>
  <c r="C216" i="44"/>
  <c r="C216" i="43"/>
  <c r="C126" i="48"/>
  <c r="C126" i="47"/>
  <c r="C126" i="46"/>
  <c r="C126" i="45"/>
  <c r="C126" i="43"/>
  <c r="C126" i="44"/>
  <c r="E124" i="48"/>
  <c r="E124" i="47"/>
  <c r="E124" i="46"/>
  <c r="E124" i="45"/>
  <c r="E124" i="43"/>
  <c r="E124" i="44"/>
  <c r="D124" i="47"/>
  <c r="D124" i="48"/>
  <c r="D124" i="46"/>
  <c r="D124" i="45"/>
  <c r="D124" i="44"/>
  <c r="D124" i="43"/>
  <c r="G128" i="47"/>
  <c r="G128" i="46"/>
  <c r="G128" i="48"/>
  <c r="G128" i="45"/>
  <c r="G128" i="43"/>
  <c r="G128" i="44"/>
  <c r="F120" i="47"/>
  <c r="F120" i="48"/>
  <c r="F120" i="46"/>
  <c r="F120" i="45"/>
  <c r="F120" i="43"/>
  <c r="F120" i="44"/>
  <c r="G123" i="48"/>
  <c r="G123" i="46"/>
  <c r="G123" i="47"/>
  <c r="G123" i="45"/>
  <c r="G123" i="44"/>
  <c r="G123" i="43"/>
  <c r="E121" i="48"/>
  <c r="E121" i="47"/>
  <c r="E121" i="46"/>
  <c r="E121" i="45"/>
  <c r="E121" i="44"/>
  <c r="E121" i="43"/>
  <c r="C236" i="48"/>
  <c r="C236" i="47"/>
  <c r="C236" i="46"/>
  <c r="C236" i="45"/>
  <c r="C236" i="43"/>
  <c r="C236" i="44"/>
  <c r="C211" i="48"/>
  <c r="C211" i="47"/>
  <c r="C211" i="46"/>
  <c r="C211" i="45"/>
  <c r="C211" i="44"/>
  <c r="C211" i="43"/>
  <c r="C176" i="48"/>
  <c r="C176" i="46"/>
  <c r="C176" i="47"/>
  <c r="C176" i="45"/>
  <c r="C176" i="44"/>
  <c r="C176" i="43"/>
  <c r="D128" i="48"/>
  <c r="D128" i="47"/>
  <c r="D128" i="46"/>
  <c r="D128" i="45"/>
  <c r="D128" i="44"/>
  <c r="D128" i="43"/>
  <c r="D126" i="48"/>
  <c r="D126" i="47"/>
  <c r="D126" i="46"/>
  <c r="D126" i="45"/>
  <c r="D126" i="44"/>
  <c r="D126" i="43"/>
  <c r="F127" i="48"/>
  <c r="F127" i="46"/>
  <c r="F127" i="47"/>
  <c r="F127" i="45"/>
  <c r="F127" i="43"/>
  <c r="F127" i="44"/>
  <c r="G126" i="48"/>
  <c r="G126" i="47"/>
  <c r="G126" i="46"/>
  <c r="G126" i="45"/>
  <c r="G126" i="44"/>
  <c r="G126" i="43"/>
  <c r="C123" i="47"/>
  <c r="C123" i="48"/>
  <c r="C123" i="46"/>
  <c r="C123" i="45"/>
  <c r="C123" i="43"/>
  <c r="C123" i="44"/>
  <c r="D119" i="48"/>
  <c r="D119" i="47"/>
  <c r="D119" i="46"/>
  <c r="D119" i="45"/>
  <c r="D119" i="44"/>
  <c r="D119" i="43"/>
  <c r="G121" i="48"/>
  <c r="G121" i="47"/>
  <c r="G121" i="46"/>
  <c r="G121" i="45"/>
  <c r="G121" i="43"/>
  <c r="G121" i="44"/>
  <c r="E119" i="47"/>
  <c r="E119" i="48"/>
  <c r="E119" i="46"/>
  <c r="E119" i="45"/>
  <c r="E119" i="44"/>
  <c r="E119" i="43"/>
  <c r="C285" i="48"/>
  <c r="C285" i="46"/>
  <c r="C285" i="47"/>
  <c r="C285" i="44"/>
  <c r="C285" i="45"/>
  <c r="C285" i="43"/>
  <c r="C288" i="48"/>
  <c r="C288" i="47"/>
  <c r="C288" i="46"/>
  <c r="C288" i="45"/>
  <c r="C288" i="44"/>
  <c r="C288" i="43"/>
  <c r="F128" i="48"/>
  <c r="F128" i="47"/>
  <c r="F128" i="46"/>
  <c r="F128" i="45"/>
  <c r="F128" i="44"/>
  <c r="F128" i="43"/>
  <c r="H127" i="48"/>
  <c r="I127" i="48" s="1"/>
  <c r="J127" i="48" s="1"/>
  <c r="K127" i="48" s="1"/>
  <c r="L127" i="48" s="1"/>
  <c r="M127" i="48" s="1"/>
  <c r="N127" i="48" s="1"/>
  <c r="O127" i="48" s="1"/>
  <c r="P127" i="48" s="1"/>
  <c r="Q127" i="48" s="1"/>
  <c r="R127" i="48" s="1"/>
  <c r="S127" i="48" s="1"/>
  <c r="H127" i="47"/>
  <c r="I127" i="47" s="1"/>
  <c r="J127" i="47" s="1"/>
  <c r="K127" i="47" s="1"/>
  <c r="L127" i="47" s="1"/>
  <c r="M127" i="47" s="1"/>
  <c r="N127" i="47" s="1"/>
  <c r="O127" i="47" s="1"/>
  <c r="P127" i="47" s="1"/>
  <c r="Q127" i="47" s="1"/>
  <c r="R127" i="47" s="1"/>
  <c r="S127" i="47" s="1"/>
  <c r="H127" i="46"/>
  <c r="I127" i="46" s="1"/>
  <c r="J127" i="46" s="1"/>
  <c r="K127" i="46" s="1"/>
  <c r="L127" i="46" s="1"/>
  <c r="M127" i="46" s="1"/>
  <c r="N127" i="46" s="1"/>
  <c r="O127" i="46" s="1"/>
  <c r="P127" i="46" s="1"/>
  <c r="Q127" i="46" s="1"/>
  <c r="R127" i="46" s="1"/>
  <c r="S127" i="46" s="1"/>
  <c r="H127" i="45"/>
  <c r="I127" i="45" s="1"/>
  <c r="J127" i="45" s="1"/>
  <c r="K127" i="45" s="1"/>
  <c r="L127" i="45" s="1"/>
  <c r="M127" i="45" s="1"/>
  <c r="N127" i="45" s="1"/>
  <c r="O127" i="45" s="1"/>
  <c r="P127" i="45" s="1"/>
  <c r="Q127" i="45" s="1"/>
  <c r="R127" i="45" s="1"/>
  <c r="S127" i="45" s="1"/>
  <c r="H127" i="44"/>
  <c r="I127" i="44" s="1"/>
  <c r="J127" i="44" s="1"/>
  <c r="K127" i="44" s="1"/>
  <c r="L127" i="44" s="1"/>
  <c r="M127" i="44" s="1"/>
  <c r="N127" i="44" s="1"/>
  <c r="O127" i="44" s="1"/>
  <c r="P127" i="44" s="1"/>
  <c r="Q127" i="44" s="1"/>
  <c r="R127" i="44" s="1"/>
  <c r="S127" i="44" s="1"/>
  <c r="H127" i="43"/>
  <c r="I127" i="43" s="1"/>
  <c r="J127" i="43" s="1"/>
  <c r="K127" i="43" s="1"/>
  <c r="L127" i="43" s="1"/>
  <c r="M127" i="43" s="1"/>
  <c r="N127" i="43" s="1"/>
  <c r="O127" i="43" s="1"/>
  <c r="P127" i="43" s="1"/>
  <c r="Q127" i="43" s="1"/>
  <c r="R127" i="43" s="1"/>
  <c r="S127" i="43" s="1"/>
  <c r="F125" i="48"/>
  <c r="F125" i="47"/>
  <c r="F125" i="46"/>
  <c r="F125" i="45"/>
  <c r="F125" i="44"/>
  <c r="F125" i="43"/>
  <c r="G124" i="48"/>
  <c r="G124" i="47"/>
  <c r="G124" i="46"/>
  <c r="G124" i="45"/>
  <c r="G124" i="43"/>
  <c r="G124" i="44"/>
  <c r="C265" i="48"/>
  <c r="C265" i="47"/>
  <c r="C265" i="46"/>
  <c r="C265" i="45"/>
  <c r="C265" i="43"/>
  <c r="C265" i="44"/>
  <c r="C122" i="47"/>
  <c r="C122" i="48"/>
  <c r="C122" i="46"/>
  <c r="C122" i="45"/>
  <c r="C122" i="43"/>
  <c r="C122" i="44"/>
  <c r="E122" i="48"/>
  <c r="E122" i="47"/>
  <c r="E122" i="46"/>
  <c r="E122" i="45"/>
  <c r="E122" i="44"/>
  <c r="E122" i="43"/>
  <c r="G119" i="48"/>
  <c r="G119" i="47"/>
  <c r="G119" i="46"/>
  <c r="G119" i="45"/>
  <c r="G119" i="44"/>
  <c r="G119" i="43"/>
  <c r="D122" i="47"/>
  <c r="D122" i="48"/>
  <c r="D122" i="46"/>
  <c r="D122" i="45"/>
  <c r="D122" i="43"/>
  <c r="D122" i="44"/>
  <c r="D92" i="48"/>
  <c r="D92" i="47"/>
  <c r="D92" i="46"/>
  <c r="D92" i="44"/>
  <c r="D92" i="45"/>
  <c r="D92" i="43"/>
  <c r="D90" i="48"/>
  <c r="D90" i="47"/>
  <c r="D90" i="46"/>
  <c r="D90" i="44"/>
  <c r="D90" i="45"/>
  <c r="D90" i="43"/>
  <c r="D219" i="48"/>
  <c r="D219" i="47"/>
  <c r="D219" i="45"/>
  <c r="D219" i="46"/>
  <c r="D219" i="44"/>
  <c r="D219" i="43"/>
  <c r="D204" i="48"/>
  <c r="D204" i="47"/>
  <c r="D204" i="45"/>
  <c r="D204" i="46"/>
  <c r="D204" i="44"/>
  <c r="D204" i="43"/>
  <c r="D107" i="48"/>
  <c r="D107" i="47"/>
  <c r="D107" i="46"/>
  <c r="D107" i="45"/>
  <c r="D107" i="44"/>
  <c r="D107" i="43"/>
  <c r="D97" i="48"/>
  <c r="D97" i="47"/>
  <c r="D97" i="46"/>
  <c r="D97" i="44"/>
  <c r="D97" i="45"/>
  <c r="D97" i="43"/>
  <c r="D89" i="48"/>
  <c r="D89" i="47"/>
  <c r="D89" i="46"/>
  <c r="D89" i="44"/>
  <c r="D89" i="45"/>
  <c r="D89" i="43"/>
  <c r="D108" i="48"/>
  <c r="D108" i="47"/>
  <c r="D108" i="46"/>
  <c r="D108" i="45"/>
  <c r="D108" i="44"/>
  <c r="D108" i="43"/>
  <c r="D99" i="48"/>
  <c r="D99" i="47"/>
  <c r="D99" i="46"/>
  <c r="D99" i="45"/>
  <c r="D99" i="44"/>
  <c r="D99" i="43"/>
  <c r="D260" i="48"/>
  <c r="D260" i="47"/>
  <c r="D260" i="46"/>
  <c r="D260" i="45"/>
  <c r="D260" i="44"/>
  <c r="D260" i="43"/>
  <c r="D102" i="48"/>
  <c r="D102" i="47"/>
  <c r="D102" i="46"/>
  <c r="D102" i="44"/>
  <c r="D102" i="45"/>
  <c r="D102" i="43"/>
  <c r="D96" i="48"/>
  <c r="D96" i="47"/>
  <c r="D96" i="46"/>
  <c r="D96" i="45"/>
  <c r="D96" i="44"/>
  <c r="D96" i="43"/>
  <c r="D88" i="48"/>
  <c r="D88" i="47"/>
  <c r="D88" i="46"/>
  <c r="D88" i="44"/>
  <c r="D88" i="45"/>
  <c r="D88" i="43"/>
  <c r="D239" i="48"/>
  <c r="D239" i="47"/>
  <c r="D239" i="45"/>
  <c r="D239" i="46"/>
  <c r="D239" i="44"/>
  <c r="D239" i="43"/>
  <c r="D87" i="48"/>
  <c r="D87" i="47"/>
  <c r="D87" i="46"/>
  <c r="D87" i="45"/>
  <c r="D87" i="44"/>
  <c r="D87" i="43"/>
  <c r="D280" i="48"/>
  <c r="D280" i="47"/>
  <c r="D280" i="46"/>
  <c r="D280" i="44"/>
  <c r="D280" i="45"/>
  <c r="D280" i="43"/>
  <c r="D105" i="48"/>
  <c r="D105" i="47"/>
  <c r="D105" i="46"/>
  <c r="D105" i="45"/>
  <c r="D105" i="44"/>
  <c r="D105" i="43"/>
  <c r="D98" i="48"/>
  <c r="D98" i="47"/>
  <c r="D98" i="46"/>
  <c r="D98" i="45"/>
  <c r="D98" i="44"/>
  <c r="D98" i="43"/>
  <c r="D86" i="48"/>
  <c r="D86" i="47"/>
  <c r="D86" i="46"/>
  <c r="D86" i="45"/>
  <c r="D86" i="44"/>
  <c r="D86" i="43"/>
  <c r="D234" i="48"/>
  <c r="D234" i="47"/>
  <c r="D234" i="46"/>
  <c r="D234" i="45"/>
  <c r="D234" i="44"/>
  <c r="D234" i="43"/>
  <c r="D94" i="48"/>
  <c r="D94" i="47"/>
  <c r="D94" i="46"/>
  <c r="D94" i="45"/>
  <c r="D94" i="44"/>
  <c r="D94" i="43"/>
  <c r="D265" i="48"/>
  <c r="D265" i="47"/>
  <c r="D265" i="45"/>
  <c r="D265" i="46"/>
  <c r="D265" i="43"/>
  <c r="D265" i="44"/>
  <c r="D282" i="48"/>
  <c r="D282" i="47"/>
  <c r="D282" i="46"/>
  <c r="D282" i="45"/>
  <c r="D282" i="44"/>
  <c r="D282" i="43"/>
  <c r="D103" i="48"/>
  <c r="D103" i="47"/>
  <c r="D103" i="46"/>
  <c r="D103" i="44"/>
  <c r="D103" i="45"/>
  <c r="D103" i="43"/>
  <c r="D95" i="48"/>
  <c r="D95" i="47"/>
  <c r="D95" i="46"/>
  <c r="D95" i="45"/>
  <c r="D95" i="44"/>
  <c r="D95" i="43"/>
  <c r="D224" i="48"/>
  <c r="D224" i="47"/>
  <c r="D224" i="46"/>
  <c r="D224" i="45"/>
  <c r="D224" i="44"/>
  <c r="D224" i="43"/>
  <c r="D209" i="48"/>
  <c r="D209" i="47"/>
  <c r="D209" i="45"/>
  <c r="D209" i="46"/>
  <c r="D209" i="44"/>
  <c r="D209" i="43"/>
  <c r="D91" i="48"/>
  <c r="D91" i="47"/>
  <c r="D91" i="46"/>
  <c r="D91" i="45"/>
  <c r="D91" i="44"/>
  <c r="D91" i="43"/>
  <c r="D109" i="48"/>
  <c r="D109" i="47"/>
  <c r="D109" i="46"/>
  <c r="D109" i="45"/>
  <c r="D109" i="44"/>
  <c r="D109" i="43"/>
  <c r="D104" i="48"/>
  <c r="D104" i="47"/>
  <c r="D104" i="46"/>
  <c r="D104" i="45"/>
  <c r="D104" i="44"/>
  <c r="D104" i="43"/>
  <c r="D250" i="48"/>
  <c r="D250" i="47"/>
  <c r="D250" i="46"/>
  <c r="D250" i="44"/>
  <c r="D250" i="45"/>
  <c r="D250" i="43"/>
  <c r="D93" i="48"/>
  <c r="D93" i="47"/>
  <c r="D93" i="46"/>
  <c r="D93" i="44"/>
  <c r="D93" i="45"/>
  <c r="D93" i="43"/>
  <c r="D85" i="48"/>
  <c r="D85" i="47"/>
  <c r="D85" i="46"/>
  <c r="D85" i="45"/>
  <c r="D85" i="44"/>
  <c r="D85" i="43"/>
  <c r="D244" i="48"/>
  <c r="D244" i="47"/>
  <c r="D244" i="46"/>
  <c r="D244" i="45"/>
  <c r="D244" i="44"/>
  <c r="D244" i="43"/>
  <c r="D283" i="48"/>
  <c r="D283" i="47"/>
  <c r="D283" i="46"/>
  <c r="D283" i="45"/>
  <c r="D283" i="44"/>
  <c r="D283" i="43"/>
  <c r="D229" i="48"/>
  <c r="D229" i="47"/>
  <c r="D229" i="46"/>
  <c r="D229" i="45"/>
  <c r="D229" i="43"/>
  <c r="D229" i="44"/>
  <c r="D106" i="48"/>
  <c r="D106" i="47"/>
  <c r="D106" i="46"/>
  <c r="D106" i="45"/>
  <c r="D106" i="44"/>
  <c r="D106" i="43"/>
  <c r="D214" i="48"/>
  <c r="D214" i="47"/>
  <c r="D214" i="46"/>
  <c r="D214" i="45"/>
  <c r="D214" i="44"/>
  <c r="D214" i="43"/>
  <c r="D101" i="48"/>
  <c r="D101" i="47"/>
  <c r="D101" i="46"/>
  <c r="D101" i="45"/>
  <c r="D101" i="44"/>
  <c r="D101" i="43"/>
  <c r="D100" i="48"/>
  <c r="D100" i="47"/>
  <c r="D100" i="46"/>
  <c r="D100" i="45"/>
  <c r="D100" i="44"/>
  <c r="D100" i="43"/>
  <c r="D255" i="48"/>
  <c r="D255" i="47"/>
  <c r="D255" i="45"/>
  <c r="D255" i="46"/>
  <c r="D255" i="44"/>
  <c r="D255" i="43"/>
  <c r="D83" i="48"/>
  <c r="D83" i="47"/>
  <c r="D83" i="46"/>
  <c r="D83" i="44"/>
  <c r="D83" i="45"/>
  <c r="D83" i="43"/>
  <c r="D84" i="48"/>
  <c r="D84" i="47"/>
  <c r="D84" i="46"/>
  <c r="D84" i="44"/>
  <c r="D84" i="45"/>
  <c r="D84" i="43"/>
  <c r="G269" i="48" l="1"/>
  <c r="G272" i="47"/>
  <c r="G271" i="43"/>
  <c r="G270" i="43"/>
  <c r="F281" i="48"/>
  <c r="F279" i="47"/>
  <c r="F276" i="48"/>
  <c r="F276" i="47"/>
  <c r="F276" i="46"/>
  <c r="F276" i="45"/>
  <c r="F276" i="44"/>
  <c r="F276" i="43"/>
  <c r="G219" i="48"/>
  <c r="G219" i="47"/>
  <c r="G219" i="46"/>
  <c r="G219" i="45"/>
  <c r="G219" i="44"/>
  <c r="G219" i="43"/>
  <c r="G199" i="48"/>
  <c r="G199" i="47"/>
  <c r="G199" i="46"/>
  <c r="G199" i="45"/>
  <c r="G199" i="44"/>
  <c r="G199" i="43"/>
  <c r="G45" i="48"/>
  <c r="G45" i="47"/>
  <c r="G45" i="46"/>
  <c r="G45" i="45"/>
  <c r="G45" i="44"/>
  <c r="G45" i="43"/>
  <c r="G244" i="48"/>
  <c r="G244" i="47"/>
  <c r="G244" i="46"/>
  <c r="G244" i="45"/>
  <c r="G244" i="44"/>
  <c r="G244" i="43"/>
  <c r="F200" i="48"/>
  <c r="F200" i="47"/>
  <c r="F200" i="46"/>
  <c r="F200" i="45"/>
  <c r="F200" i="44"/>
  <c r="F200" i="43"/>
  <c r="G42" i="48"/>
  <c r="G42" i="47"/>
  <c r="G42" i="46"/>
  <c r="G42" i="45"/>
  <c r="G42" i="44"/>
  <c r="G42" i="43"/>
  <c r="F274" i="48"/>
  <c r="F274" i="47"/>
  <c r="F274" i="46"/>
  <c r="F274" i="45"/>
  <c r="F274" i="44"/>
  <c r="F274" i="43"/>
  <c r="F275" i="48"/>
  <c r="F275" i="47"/>
  <c r="F275" i="46"/>
  <c r="F275" i="45"/>
  <c r="F275" i="44"/>
  <c r="F275" i="43"/>
  <c r="G169" i="48"/>
  <c r="G169" i="47"/>
  <c r="G169" i="46"/>
  <c r="G169" i="45"/>
  <c r="G169" i="44"/>
  <c r="G169" i="43"/>
  <c r="G41" i="48"/>
  <c r="G41" i="47"/>
  <c r="G41" i="46"/>
  <c r="G41" i="45"/>
  <c r="G41" i="44"/>
  <c r="G41" i="43"/>
  <c r="H269" i="48"/>
  <c r="I269" i="48" s="1"/>
  <c r="J269" i="48" s="1"/>
  <c r="K269" i="48" s="1"/>
  <c r="L269" i="48" s="1"/>
  <c r="M269" i="48" s="1"/>
  <c r="N269" i="48" s="1"/>
  <c r="O269" i="48" s="1"/>
  <c r="P269" i="48" s="1"/>
  <c r="Q269" i="48" s="1"/>
  <c r="R269" i="48" s="1"/>
  <c r="S269" i="48" s="1"/>
  <c r="H269" i="47"/>
  <c r="I269" i="47" s="1"/>
  <c r="J269" i="47" s="1"/>
  <c r="K269" i="47" s="1"/>
  <c r="L269" i="47" s="1"/>
  <c r="M269" i="47" s="1"/>
  <c r="N269" i="47" s="1"/>
  <c r="O269" i="47" s="1"/>
  <c r="P269" i="47" s="1"/>
  <c r="Q269" i="47" s="1"/>
  <c r="R269" i="47" s="1"/>
  <c r="S269" i="47" s="1"/>
  <c r="H269" i="46"/>
  <c r="I269" i="46" s="1"/>
  <c r="J269" i="46" s="1"/>
  <c r="K269" i="46" s="1"/>
  <c r="L269" i="46" s="1"/>
  <c r="M269" i="46" s="1"/>
  <c r="N269" i="46" s="1"/>
  <c r="O269" i="46" s="1"/>
  <c r="P269" i="46" s="1"/>
  <c r="Q269" i="46" s="1"/>
  <c r="R269" i="46" s="1"/>
  <c r="S269" i="46" s="1"/>
  <c r="H269" i="45"/>
  <c r="I269" i="45" s="1"/>
  <c r="J269" i="45" s="1"/>
  <c r="K269" i="45" s="1"/>
  <c r="L269" i="45" s="1"/>
  <c r="M269" i="45" s="1"/>
  <c r="N269" i="45" s="1"/>
  <c r="O269" i="45" s="1"/>
  <c r="P269" i="45" s="1"/>
  <c r="Q269" i="45" s="1"/>
  <c r="R269" i="45" s="1"/>
  <c r="S269" i="45" s="1"/>
  <c r="H269" i="44"/>
  <c r="I269" i="44" s="1"/>
  <c r="J269" i="44" s="1"/>
  <c r="K269" i="44" s="1"/>
  <c r="L269" i="44" s="1"/>
  <c r="M269" i="44" s="1"/>
  <c r="N269" i="44" s="1"/>
  <c r="O269" i="44" s="1"/>
  <c r="P269" i="44" s="1"/>
  <c r="Q269" i="44" s="1"/>
  <c r="R269" i="44" s="1"/>
  <c r="S269" i="44" s="1"/>
  <c r="H269" i="43"/>
  <c r="I269" i="43" s="1"/>
  <c r="J269" i="43" s="1"/>
  <c r="K269" i="43" s="1"/>
  <c r="L269" i="43" s="1"/>
  <c r="M269" i="43" s="1"/>
  <c r="N269" i="43" s="1"/>
  <c r="O269" i="43" s="1"/>
  <c r="P269" i="43" s="1"/>
  <c r="Q269" i="43" s="1"/>
  <c r="R269" i="43" s="1"/>
  <c r="S269" i="43" s="1"/>
  <c r="F170" i="48"/>
  <c r="F170" i="47"/>
  <c r="F170" i="46"/>
  <c r="F170" i="45"/>
  <c r="F170" i="44"/>
  <c r="F170" i="43"/>
  <c r="G229" i="48"/>
  <c r="G229" i="47"/>
  <c r="G229" i="46"/>
  <c r="G229" i="45"/>
  <c r="G229" i="44"/>
  <c r="G229" i="43"/>
  <c r="F180" i="48"/>
  <c r="F180" i="47"/>
  <c r="F180" i="46"/>
  <c r="F180" i="45"/>
  <c r="F180" i="44"/>
  <c r="F180" i="43"/>
  <c r="G224" i="48"/>
  <c r="G224" i="47"/>
  <c r="G224" i="46"/>
  <c r="G224" i="45"/>
  <c r="G224" i="44"/>
  <c r="G224" i="43"/>
  <c r="F165" i="48"/>
  <c r="F165" i="47"/>
  <c r="F165" i="46"/>
  <c r="F165" i="45"/>
  <c r="F165" i="43"/>
  <c r="F165" i="44"/>
  <c r="F195" i="48"/>
  <c r="F195" i="47"/>
  <c r="F195" i="46"/>
  <c r="F195" i="45"/>
  <c r="F195" i="44"/>
  <c r="F195" i="43"/>
  <c r="G40" i="48"/>
  <c r="G40" i="47"/>
  <c r="G40" i="46"/>
  <c r="G40" i="45"/>
  <c r="G40" i="44"/>
  <c r="G40" i="43"/>
  <c r="G234" i="48"/>
  <c r="G234" i="47"/>
  <c r="G234" i="46"/>
  <c r="G234" i="45"/>
  <c r="G234" i="44"/>
  <c r="G234" i="43"/>
  <c r="F277" i="48"/>
  <c r="F277" i="47"/>
  <c r="F277" i="46"/>
  <c r="F277" i="45"/>
  <c r="F277" i="44"/>
  <c r="F277" i="43"/>
  <c r="E283" i="48"/>
  <c r="E283" i="47"/>
  <c r="E283" i="46"/>
  <c r="E283" i="45"/>
  <c r="E283" i="44"/>
  <c r="E283" i="43"/>
  <c r="F160" i="48"/>
  <c r="F160" i="47"/>
  <c r="F160" i="46"/>
  <c r="F160" i="45"/>
  <c r="F160" i="44"/>
  <c r="F160" i="43"/>
  <c r="G179" i="48"/>
  <c r="G179" i="47"/>
  <c r="G179" i="46"/>
  <c r="G179" i="45"/>
  <c r="G179" i="44"/>
  <c r="G179" i="43"/>
  <c r="G46" i="48"/>
  <c r="G46" i="47"/>
  <c r="G46" i="46"/>
  <c r="G46" i="44"/>
  <c r="G46" i="45"/>
  <c r="G46" i="43"/>
  <c r="G39" i="48"/>
  <c r="G39" i="47"/>
  <c r="G39" i="46"/>
  <c r="G39" i="45"/>
  <c r="G39" i="44"/>
  <c r="G39" i="43"/>
  <c r="H272" i="48"/>
  <c r="I272" i="48" s="1"/>
  <c r="J272" i="48" s="1"/>
  <c r="K272" i="48" s="1"/>
  <c r="L272" i="48" s="1"/>
  <c r="M272" i="48" s="1"/>
  <c r="N272" i="48" s="1"/>
  <c r="O272" i="48" s="1"/>
  <c r="P272" i="48" s="1"/>
  <c r="Q272" i="48" s="1"/>
  <c r="R272" i="48" s="1"/>
  <c r="S272" i="48" s="1"/>
  <c r="H272" i="47"/>
  <c r="I272" i="47" s="1"/>
  <c r="J272" i="47" s="1"/>
  <c r="K272" i="47" s="1"/>
  <c r="L272" i="47" s="1"/>
  <c r="M272" i="47" s="1"/>
  <c r="N272" i="47" s="1"/>
  <c r="O272" i="47" s="1"/>
  <c r="P272" i="47" s="1"/>
  <c r="Q272" i="47" s="1"/>
  <c r="R272" i="47" s="1"/>
  <c r="S272" i="47" s="1"/>
  <c r="H272" i="46"/>
  <c r="I272" i="46" s="1"/>
  <c r="J272" i="46" s="1"/>
  <c r="K272" i="46" s="1"/>
  <c r="L272" i="46" s="1"/>
  <c r="M272" i="46" s="1"/>
  <c r="N272" i="46" s="1"/>
  <c r="O272" i="46" s="1"/>
  <c r="P272" i="46" s="1"/>
  <c r="Q272" i="46" s="1"/>
  <c r="R272" i="46" s="1"/>
  <c r="S272" i="46" s="1"/>
  <c r="H272" i="45"/>
  <c r="I272" i="45" s="1"/>
  <c r="J272" i="45" s="1"/>
  <c r="K272" i="45" s="1"/>
  <c r="L272" i="45" s="1"/>
  <c r="M272" i="45" s="1"/>
  <c r="N272" i="45" s="1"/>
  <c r="O272" i="45" s="1"/>
  <c r="P272" i="45" s="1"/>
  <c r="Q272" i="45" s="1"/>
  <c r="R272" i="45" s="1"/>
  <c r="S272" i="45" s="1"/>
  <c r="H272" i="44"/>
  <c r="I272" i="44" s="1"/>
  <c r="J272" i="44" s="1"/>
  <c r="K272" i="44" s="1"/>
  <c r="L272" i="44" s="1"/>
  <c r="M272" i="44" s="1"/>
  <c r="N272" i="44" s="1"/>
  <c r="O272" i="44" s="1"/>
  <c r="P272" i="44" s="1"/>
  <c r="Q272" i="44" s="1"/>
  <c r="R272" i="44" s="1"/>
  <c r="S272" i="44" s="1"/>
  <c r="H272" i="43"/>
  <c r="I272" i="43" s="1"/>
  <c r="J272" i="43" s="1"/>
  <c r="K272" i="43" s="1"/>
  <c r="L272" i="43" s="1"/>
  <c r="M272" i="43" s="1"/>
  <c r="N272" i="43" s="1"/>
  <c r="O272" i="43" s="1"/>
  <c r="P272" i="43" s="1"/>
  <c r="Q272" i="43" s="1"/>
  <c r="R272" i="43" s="1"/>
  <c r="S272" i="43" s="1"/>
  <c r="G189" i="48"/>
  <c r="G189" i="47"/>
  <c r="G189" i="46"/>
  <c r="G189" i="45"/>
  <c r="G189" i="44"/>
  <c r="G189" i="43"/>
  <c r="G164" i="48"/>
  <c r="G164" i="47"/>
  <c r="G164" i="46"/>
  <c r="G164" i="45"/>
  <c r="G164" i="44"/>
  <c r="G164" i="43"/>
  <c r="F175" i="48"/>
  <c r="F175" i="47"/>
  <c r="F175" i="46"/>
  <c r="F175" i="45"/>
  <c r="F175" i="43"/>
  <c r="F175" i="44"/>
  <c r="G38" i="48"/>
  <c r="G38" i="47"/>
  <c r="G38" i="46"/>
  <c r="G38" i="45"/>
  <c r="G38" i="44"/>
  <c r="G38" i="43"/>
  <c r="G239" i="48"/>
  <c r="G239" i="47"/>
  <c r="G239" i="46"/>
  <c r="G239" i="45"/>
  <c r="G239" i="44"/>
  <c r="G239" i="43"/>
  <c r="G273" i="48"/>
  <c r="G273" i="47"/>
  <c r="G273" i="46"/>
  <c r="G273" i="45"/>
  <c r="G273" i="44"/>
  <c r="G273" i="43"/>
  <c r="F278" i="48"/>
  <c r="F278" i="47"/>
  <c r="F278" i="46"/>
  <c r="F278" i="45"/>
  <c r="F278" i="44"/>
  <c r="F278" i="43"/>
  <c r="E282" i="48"/>
  <c r="E282" i="47"/>
  <c r="E282" i="46"/>
  <c r="E282" i="45"/>
  <c r="E282" i="44"/>
  <c r="E282" i="43"/>
  <c r="E280" i="48"/>
  <c r="E280" i="47"/>
  <c r="E280" i="46"/>
  <c r="E280" i="45"/>
  <c r="E280" i="44"/>
  <c r="E280" i="43"/>
  <c r="G214" i="48"/>
  <c r="G214" i="47"/>
  <c r="G214" i="46"/>
  <c r="G214" i="45"/>
  <c r="G214" i="44"/>
  <c r="G214" i="43"/>
  <c r="G194" i="48"/>
  <c r="G194" i="47"/>
  <c r="G194" i="46"/>
  <c r="G194" i="45"/>
  <c r="G194" i="44"/>
  <c r="G194" i="43"/>
  <c r="G174" i="48"/>
  <c r="G174" i="47"/>
  <c r="G174" i="46"/>
  <c r="G174" i="45"/>
  <c r="G174" i="44"/>
  <c r="G174" i="43"/>
  <c r="G209" i="48"/>
  <c r="G209" i="47"/>
  <c r="G209" i="46"/>
  <c r="G209" i="45"/>
  <c r="G209" i="44"/>
  <c r="G209" i="43"/>
  <c r="F185" i="48"/>
  <c r="F185" i="47"/>
  <c r="F185" i="46"/>
  <c r="F185" i="45"/>
  <c r="F185" i="44"/>
  <c r="F185" i="43"/>
  <c r="G44" i="48"/>
  <c r="G44" i="47"/>
  <c r="G44" i="46"/>
  <c r="G44" i="45"/>
  <c r="G44" i="44"/>
  <c r="G44" i="43"/>
  <c r="H273" i="48"/>
  <c r="I273" i="48" s="1"/>
  <c r="J273" i="48" s="1"/>
  <c r="K273" i="48" s="1"/>
  <c r="L273" i="48" s="1"/>
  <c r="M273" i="48" s="1"/>
  <c r="N273" i="48" s="1"/>
  <c r="O273" i="48" s="1"/>
  <c r="P273" i="48" s="1"/>
  <c r="Q273" i="48" s="1"/>
  <c r="R273" i="48" s="1"/>
  <c r="S273" i="48" s="1"/>
  <c r="H273" i="47"/>
  <c r="I273" i="47" s="1"/>
  <c r="J273" i="47" s="1"/>
  <c r="K273" i="47" s="1"/>
  <c r="L273" i="47" s="1"/>
  <c r="M273" i="47" s="1"/>
  <c r="N273" i="47" s="1"/>
  <c r="O273" i="47" s="1"/>
  <c r="P273" i="47" s="1"/>
  <c r="Q273" i="47" s="1"/>
  <c r="R273" i="47" s="1"/>
  <c r="S273" i="47" s="1"/>
  <c r="H273" i="46"/>
  <c r="I273" i="46" s="1"/>
  <c r="J273" i="46" s="1"/>
  <c r="K273" i="46" s="1"/>
  <c r="L273" i="46" s="1"/>
  <c r="M273" i="46" s="1"/>
  <c r="N273" i="46" s="1"/>
  <c r="O273" i="46" s="1"/>
  <c r="P273" i="46" s="1"/>
  <c r="Q273" i="46" s="1"/>
  <c r="R273" i="46" s="1"/>
  <c r="S273" i="46" s="1"/>
  <c r="H273" i="45"/>
  <c r="I273" i="45" s="1"/>
  <c r="J273" i="45" s="1"/>
  <c r="K273" i="45" s="1"/>
  <c r="L273" i="45" s="1"/>
  <c r="M273" i="45" s="1"/>
  <c r="N273" i="45" s="1"/>
  <c r="O273" i="45" s="1"/>
  <c r="P273" i="45" s="1"/>
  <c r="Q273" i="45" s="1"/>
  <c r="R273" i="45" s="1"/>
  <c r="S273" i="45" s="1"/>
  <c r="H273" i="44"/>
  <c r="I273" i="44" s="1"/>
  <c r="J273" i="44" s="1"/>
  <c r="K273" i="44" s="1"/>
  <c r="L273" i="44" s="1"/>
  <c r="M273" i="44" s="1"/>
  <c r="N273" i="44" s="1"/>
  <c r="O273" i="44" s="1"/>
  <c r="P273" i="44" s="1"/>
  <c r="Q273" i="44" s="1"/>
  <c r="R273" i="44" s="1"/>
  <c r="S273" i="44" s="1"/>
  <c r="H273" i="43"/>
  <c r="I273" i="43" s="1"/>
  <c r="J273" i="43" s="1"/>
  <c r="K273" i="43" s="1"/>
  <c r="L273" i="43" s="1"/>
  <c r="M273" i="43" s="1"/>
  <c r="N273" i="43" s="1"/>
  <c r="O273" i="43" s="1"/>
  <c r="P273" i="43" s="1"/>
  <c r="Q273" i="43" s="1"/>
  <c r="R273" i="43" s="1"/>
  <c r="S273" i="43" s="1"/>
  <c r="H271" i="48"/>
  <c r="I271" i="48" s="1"/>
  <c r="J271" i="48" s="1"/>
  <c r="K271" i="48" s="1"/>
  <c r="L271" i="48" s="1"/>
  <c r="M271" i="48" s="1"/>
  <c r="N271" i="48" s="1"/>
  <c r="O271" i="48" s="1"/>
  <c r="P271" i="48" s="1"/>
  <c r="Q271" i="48" s="1"/>
  <c r="R271" i="48" s="1"/>
  <c r="S271" i="48" s="1"/>
  <c r="H271" i="47"/>
  <c r="I271" i="47" s="1"/>
  <c r="J271" i="47" s="1"/>
  <c r="K271" i="47" s="1"/>
  <c r="L271" i="47" s="1"/>
  <c r="M271" i="47" s="1"/>
  <c r="N271" i="47" s="1"/>
  <c r="O271" i="47" s="1"/>
  <c r="P271" i="47" s="1"/>
  <c r="Q271" i="47" s="1"/>
  <c r="R271" i="47" s="1"/>
  <c r="S271" i="47" s="1"/>
  <c r="H271" i="46"/>
  <c r="I271" i="46" s="1"/>
  <c r="J271" i="46" s="1"/>
  <c r="K271" i="46" s="1"/>
  <c r="L271" i="46" s="1"/>
  <c r="M271" i="46" s="1"/>
  <c r="N271" i="46" s="1"/>
  <c r="O271" i="46" s="1"/>
  <c r="P271" i="46" s="1"/>
  <c r="Q271" i="46" s="1"/>
  <c r="R271" i="46" s="1"/>
  <c r="S271" i="46" s="1"/>
  <c r="H271" i="45"/>
  <c r="I271" i="45" s="1"/>
  <c r="J271" i="45" s="1"/>
  <c r="K271" i="45" s="1"/>
  <c r="L271" i="45" s="1"/>
  <c r="M271" i="45" s="1"/>
  <c r="N271" i="45" s="1"/>
  <c r="O271" i="45" s="1"/>
  <c r="P271" i="45" s="1"/>
  <c r="Q271" i="45" s="1"/>
  <c r="R271" i="45" s="1"/>
  <c r="S271" i="45" s="1"/>
  <c r="H271" i="44"/>
  <c r="I271" i="44" s="1"/>
  <c r="J271" i="44" s="1"/>
  <c r="K271" i="44" s="1"/>
  <c r="L271" i="44" s="1"/>
  <c r="M271" i="44" s="1"/>
  <c r="N271" i="44" s="1"/>
  <c r="O271" i="44" s="1"/>
  <c r="P271" i="44" s="1"/>
  <c r="Q271" i="44" s="1"/>
  <c r="R271" i="44" s="1"/>
  <c r="S271" i="44" s="1"/>
  <c r="H271" i="43"/>
  <c r="I271" i="43" s="1"/>
  <c r="J271" i="43" s="1"/>
  <c r="K271" i="43" s="1"/>
  <c r="L271" i="43" s="1"/>
  <c r="M271" i="43" s="1"/>
  <c r="N271" i="43" s="1"/>
  <c r="O271" i="43" s="1"/>
  <c r="P271" i="43" s="1"/>
  <c r="Q271" i="43" s="1"/>
  <c r="R271" i="43" s="1"/>
  <c r="S271" i="43" s="1"/>
  <c r="H270" i="48"/>
  <c r="I270" i="48" s="1"/>
  <c r="J270" i="48" s="1"/>
  <c r="K270" i="48" s="1"/>
  <c r="L270" i="48" s="1"/>
  <c r="M270" i="48" s="1"/>
  <c r="N270" i="48" s="1"/>
  <c r="O270" i="48" s="1"/>
  <c r="P270" i="48" s="1"/>
  <c r="Q270" i="48" s="1"/>
  <c r="R270" i="48" s="1"/>
  <c r="S270" i="48" s="1"/>
  <c r="H270" i="47"/>
  <c r="I270" i="47" s="1"/>
  <c r="J270" i="47" s="1"/>
  <c r="K270" i="47" s="1"/>
  <c r="L270" i="47" s="1"/>
  <c r="M270" i="47" s="1"/>
  <c r="N270" i="47" s="1"/>
  <c r="O270" i="47" s="1"/>
  <c r="P270" i="47" s="1"/>
  <c r="Q270" i="47" s="1"/>
  <c r="R270" i="47" s="1"/>
  <c r="S270" i="47" s="1"/>
  <c r="H270" i="46"/>
  <c r="I270" i="46" s="1"/>
  <c r="J270" i="46" s="1"/>
  <c r="K270" i="46" s="1"/>
  <c r="L270" i="46" s="1"/>
  <c r="M270" i="46" s="1"/>
  <c r="N270" i="46" s="1"/>
  <c r="O270" i="46" s="1"/>
  <c r="P270" i="46" s="1"/>
  <c r="Q270" i="46" s="1"/>
  <c r="R270" i="46" s="1"/>
  <c r="S270" i="46" s="1"/>
  <c r="H270" i="45"/>
  <c r="I270" i="45" s="1"/>
  <c r="J270" i="45" s="1"/>
  <c r="K270" i="45" s="1"/>
  <c r="L270" i="45" s="1"/>
  <c r="M270" i="45" s="1"/>
  <c r="N270" i="45" s="1"/>
  <c r="O270" i="45" s="1"/>
  <c r="P270" i="45" s="1"/>
  <c r="Q270" i="45" s="1"/>
  <c r="R270" i="45" s="1"/>
  <c r="S270" i="45" s="1"/>
  <c r="H270" i="44"/>
  <c r="I270" i="44" s="1"/>
  <c r="J270" i="44" s="1"/>
  <c r="K270" i="44" s="1"/>
  <c r="L270" i="44" s="1"/>
  <c r="M270" i="44" s="1"/>
  <c r="N270" i="44" s="1"/>
  <c r="O270" i="44" s="1"/>
  <c r="P270" i="44" s="1"/>
  <c r="Q270" i="44" s="1"/>
  <c r="R270" i="44" s="1"/>
  <c r="S270" i="44" s="1"/>
  <c r="H270" i="43"/>
  <c r="I270" i="43" s="1"/>
  <c r="J270" i="43" s="1"/>
  <c r="K270" i="43" s="1"/>
  <c r="L270" i="43" s="1"/>
  <c r="M270" i="43" s="1"/>
  <c r="N270" i="43" s="1"/>
  <c r="O270" i="43" s="1"/>
  <c r="P270" i="43" s="1"/>
  <c r="Q270" i="43" s="1"/>
  <c r="R270" i="43" s="1"/>
  <c r="S270" i="43" s="1"/>
  <c r="G204" i="48"/>
  <c r="G204" i="47"/>
  <c r="G204" i="46"/>
  <c r="G204" i="45"/>
  <c r="G204" i="44"/>
  <c r="G204" i="43"/>
  <c r="G159" i="48"/>
  <c r="G159" i="47"/>
  <c r="G159" i="46"/>
  <c r="G159" i="45"/>
  <c r="G159" i="44"/>
  <c r="G159" i="43"/>
  <c r="G184" i="48"/>
  <c r="G184" i="47"/>
  <c r="G184" i="46"/>
  <c r="G184" i="45"/>
  <c r="G184" i="44"/>
  <c r="G184" i="43"/>
  <c r="F190" i="48"/>
  <c r="F190" i="47"/>
  <c r="F190" i="46"/>
  <c r="F190" i="45"/>
  <c r="F190" i="44"/>
  <c r="F190" i="43"/>
  <c r="G43" i="48"/>
  <c r="G43" i="47"/>
  <c r="G43" i="46"/>
  <c r="G43" i="45"/>
  <c r="G43" i="44"/>
  <c r="G43" i="43"/>
  <c r="C178" i="47"/>
  <c r="C178" i="48"/>
  <c r="C178" i="46"/>
  <c r="C178" i="45"/>
  <c r="C178" i="44"/>
  <c r="C178" i="43"/>
  <c r="C217" i="48"/>
  <c r="C217" i="47"/>
  <c r="C217" i="46"/>
  <c r="C217" i="45"/>
  <c r="C217" i="44"/>
  <c r="C217" i="43"/>
  <c r="C139" i="47"/>
  <c r="C139" i="48"/>
  <c r="C139" i="46"/>
  <c r="C139" i="45"/>
  <c r="C139" i="44"/>
  <c r="C139" i="43"/>
  <c r="C162" i="48"/>
  <c r="C162" i="47"/>
  <c r="C162" i="46"/>
  <c r="C162" i="45"/>
  <c r="C162" i="44"/>
  <c r="C162" i="43"/>
  <c r="C154" i="48"/>
  <c r="C154" i="47"/>
  <c r="C154" i="46"/>
  <c r="C154" i="45"/>
  <c r="C154" i="44"/>
  <c r="C154" i="43"/>
  <c r="C134" i="48"/>
  <c r="C134" i="47"/>
  <c r="C134" i="46"/>
  <c r="C134" i="45"/>
  <c r="C134" i="43"/>
  <c r="C134" i="44"/>
  <c r="C266" i="48"/>
  <c r="C266" i="47"/>
  <c r="C266" i="46"/>
  <c r="C266" i="45"/>
  <c r="C266" i="44"/>
  <c r="C266" i="43"/>
  <c r="C218" i="48"/>
  <c r="C218" i="47"/>
  <c r="C218" i="46"/>
  <c r="C218" i="45"/>
  <c r="C218" i="44"/>
  <c r="C218" i="43"/>
  <c r="C163" i="48"/>
  <c r="C163" i="47"/>
  <c r="C163" i="46"/>
  <c r="C163" i="45"/>
  <c r="C163" i="44"/>
  <c r="C163" i="43"/>
  <c r="C247" i="48"/>
  <c r="C247" i="47"/>
  <c r="C247" i="46"/>
  <c r="C247" i="45"/>
  <c r="C247" i="43"/>
  <c r="C247" i="44"/>
  <c r="C212" i="48"/>
  <c r="C212" i="47"/>
  <c r="C212" i="46"/>
  <c r="C212" i="45"/>
  <c r="C212" i="44"/>
  <c r="C212" i="43"/>
  <c r="C292" i="48"/>
  <c r="C292" i="47"/>
  <c r="C292" i="46"/>
  <c r="C292" i="45"/>
  <c r="C292" i="44"/>
  <c r="C292" i="43"/>
  <c r="C291" i="48"/>
  <c r="C291" i="47"/>
  <c r="C291" i="46"/>
  <c r="C291" i="45"/>
  <c r="C291" i="44"/>
  <c r="C291" i="43"/>
  <c r="C213" i="48"/>
  <c r="C213" i="47"/>
  <c r="C213" i="46"/>
  <c r="C213" i="45"/>
  <c r="C213" i="43"/>
  <c r="C213" i="44"/>
  <c r="C187" i="48"/>
  <c r="C187" i="47"/>
  <c r="C187" i="46"/>
  <c r="C187" i="45"/>
  <c r="C187" i="44"/>
  <c r="C187" i="43"/>
  <c r="C167" i="48"/>
  <c r="C167" i="47"/>
  <c r="C167" i="46"/>
  <c r="C167" i="45"/>
  <c r="C167" i="43"/>
  <c r="C167" i="44"/>
  <c r="C202" i="48"/>
  <c r="C202" i="46"/>
  <c r="C202" i="47"/>
  <c r="C202" i="45"/>
  <c r="C202" i="44"/>
  <c r="C202" i="43"/>
  <c r="C248" i="48"/>
  <c r="C248" i="47"/>
  <c r="C248" i="46"/>
  <c r="C248" i="45"/>
  <c r="C248" i="44"/>
  <c r="C248" i="43"/>
  <c r="C271" i="48"/>
  <c r="C271" i="47"/>
  <c r="C271" i="46"/>
  <c r="C271" i="44"/>
  <c r="C271" i="45"/>
  <c r="C271" i="43"/>
  <c r="C129" i="48"/>
  <c r="C129" i="47"/>
  <c r="C129" i="46"/>
  <c r="C129" i="45"/>
  <c r="C129" i="43"/>
  <c r="C129" i="44"/>
  <c r="C188" i="48"/>
  <c r="C188" i="47"/>
  <c r="C188" i="46"/>
  <c r="C188" i="45"/>
  <c r="C188" i="43"/>
  <c r="C188" i="44"/>
  <c r="C168" i="48"/>
  <c r="C168" i="47"/>
  <c r="C168" i="46"/>
  <c r="C168" i="45"/>
  <c r="C168" i="44"/>
  <c r="C168" i="43"/>
  <c r="C203" i="48"/>
  <c r="C203" i="47"/>
  <c r="C203" i="46"/>
  <c r="C203" i="45"/>
  <c r="C203" i="44"/>
  <c r="C203" i="43"/>
  <c r="C222" i="48"/>
  <c r="C222" i="47"/>
  <c r="C222" i="46"/>
  <c r="C222" i="45"/>
  <c r="C222" i="43"/>
  <c r="C222" i="44"/>
  <c r="C144" i="47"/>
  <c r="C144" i="48"/>
  <c r="C144" i="46"/>
  <c r="C144" i="45"/>
  <c r="C144" i="44"/>
  <c r="C144" i="43"/>
  <c r="C227" i="48"/>
  <c r="C227" i="47"/>
  <c r="C227" i="46"/>
  <c r="C227" i="45"/>
  <c r="C227" i="44"/>
  <c r="C227" i="43"/>
  <c r="C207" i="48"/>
  <c r="C207" i="47"/>
  <c r="C207" i="46"/>
  <c r="C207" i="45"/>
  <c r="C207" i="43"/>
  <c r="C207" i="44"/>
  <c r="C172" i="48"/>
  <c r="C172" i="47"/>
  <c r="C172" i="46"/>
  <c r="C172" i="45"/>
  <c r="C172" i="44"/>
  <c r="C172" i="43"/>
  <c r="C223" i="48"/>
  <c r="C223" i="47"/>
  <c r="C223" i="46"/>
  <c r="C223" i="45"/>
  <c r="C223" i="43"/>
  <c r="C223" i="44"/>
  <c r="C197" i="48"/>
  <c r="C197" i="47"/>
  <c r="C197" i="46"/>
  <c r="C197" i="45"/>
  <c r="C197" i="43"/>
  <c r="C197" i="44"/>
  <c r="C182" i="48"/>
  <c r="C182" i="47"/>
  <c r="C182" i="46"/>
  <c r="C182" i="45"/>
  <c r="C182" i="44"/>
  <c r="C182" i="43"/>
  <c r="C237" i="48"/>
  <c r="C237" i="47"/>
  <c r="C237" i="46"/>
  <c r="C237" i="45"/>
  <c r="C237" i="43"/>
  <c r="C237" i="44"/>
  <c r="C228" i="48"/>
  <c r="C228" i="47"/>
  <c r="C228" i="46"/>
  <c r="C228" i="45"/>
  <c r="C228" i="44"/>
  <c r="C228" i="43"/>
  <c r="C208" i="48"/>
  <c r="C208" i="47"/>
  <c r="C208" i="46"/>
  <c r="C208" i="45"/>
  <c r="C208" i="44"/>
  <c r="C208" i="43"/>
  <c r="C114" i="47"/>
  <c r="C114" i="48"/>
  <c r="C114" i="46"/>
  <c r="C114" i="45"/>
  <c r="C114" i="44"/>
  <c r="C114" i="43"/>
  <c r="C173" i="48"/>
  <c r="C173" i="47"/>
  <c r="C173" i="46"/>
  <c r="C173" i="45"/>
  <c r="C173" i="43"/>
  <c r="C173" i="44"/>
  <c r="C232" i="48"/>
  <c r="C232" i="47"/>
  <c r="C232" i="46"/>
  <c r="C232" i="45"/>
  <c r="C232" i="44"/>
  <c r="C232" i="43"/>
  <c r="C198" i="48"/>
  <c r="C198" i="47"/>
  <c r="C198" i="46"/>
  <c r="C198" i="45"/>
  <c r="C198" i="44"/>
  <c r="C198" i="43"/>
  <c r="C183" i="48"/>
  <c r="C183" i="47"/>
  <c r="C183" i="46"/>
  <c r="C183" i="45"/>
  <c r="C183" i="43"/>
  <c r="C183" i="44"/>
  <c r="C293" i="48"/>
  <c r="C293" i="47"/>
  <c r="C293" i="46"/>
  <c r="C293" i="44"/>
  <c r="C293" i="45"/>
  <c r="C293" i="43"/>
  <c r="C289" i="48"/>
  <c r="C289" i="47"/>
  <c r="C289" i="46"/>
  <c r="C289" i="44"/>
  <c r="C289" i="45"/>
  <c r="C289" i="43"/>
  <c r="C290" i="48"/>
  <c r="C290" i="47"/>
  <c r="C290" i="46"/>
  <c r="C290" i="44"/>
  <c r="C290" i="45"/>
  <c r="C290" i="43"/>
  <c r="C238" i="48"/>
  <c r="C238" i="47"/>
  <c r="C238" i="46"/>
  <c r="C238" i="45"/>
  <c r="C238" i="44"/>
  <c r="C238" i="43"/>
  <c r="C261" i="47"/>
  <c r="C261" i="48"/>
  <c r="C261" i="46"/>
  <c r="C261" i="45"/>
  <c r="C261" i="43"/>
  <c r="C261" i="44"/>
  <c r="C242" i="47"/>
  <c r="C242" i="48"/>
  <c r="C242" i="46"/>
  <c r="C242" i="45"/>
  <c r="C242" i="44"/>
  <c r="C242" i="43"/>
  <c r="C149" i="48"/>
  <c r="C149" i="47"/>
  <c r="C149" i="46"/>
  <c r="C149" i="45"/>
  <c r="C149" i="43"/>
  <c r="C149" i="44"/>
  <c r="C233" i="48"/>
  <c r="C233" i="47"/>
  <c r="C233" i="46"/>
  <c r="C233" i="45"/>
  <c r="C233" i="44"/>
  <c r="C233" i="43"/>
  <c r="C192" i="48"/>
  <c r="C192" i="47"/>
  <c r="C192" i="46"/>
  <c r="C192" i="45"/>
  <c r="C192" i="44"/>
  <c r="C192" i="43"/>
  <c r="C251" i="48"/>
  <c r="C251" i="47"/>
  <c r="C251" i="46"/>
  <c r="C251" i="45"/>
  <c r="C251" i="44"/>
  <c r="C251" i="43"/>
  <c r="C177" i="48"/>
  <c r="C177" i="46"/>
  <c r="C177" i="47"/>
  <c r="C177" i="45"/>
  <c r="C177" i="44"/>
  <c r="C177" i="43"/>
  <c r="C243" i="48"/>
  <c r="C243" i="47"/>
  <c r="C243" i="46"/>
  <c r="C243" i="45"/>
  <c r="C243" i="44"/>
  <c r="C243" i="43"/>
  <c r="C256" i="48"/>
  <c r="C256" i="47"/>
  <c r="C256" i="46"/>
  <c r="C256" i="45"/>
  <c r="C256" i="44"/>
  <c r="C256" i="43"/>
  <c r="C193" i="48"/>
  <c r="C193" i="47"/>
  <c r="C193" i="46"/>
  <c r="C193" i="45"/>
  <c r="C193" i="44"/>
  <c r="C193" i="43"/>
  <c r="D210" i="48"/>
  <c r="D210" i="47"/>
  <c r="D210" i="46"/>
  <c r="D210" i="45"/>
  <c r="D210" i="44"/>
  <c r="D210" i="43"/>
  <c r="D230" i="48"/>
  <c r="D230" i="47"/>
  <c r="D230" i="46"/>
  <c r="D230" i="45"/>
  <c r="D230" i="44"/>
  <c r="D230" i="43"/>
  <c r="D220" i="48"/>
  <c r="D220" i="47"/>
  <c r="D220" i="45"/>
  <c r="D220" i="46"/>
  <c r="D220" i="44"/>
  <c r="D220" i="43"/>
  <c r="D285" i="48"/>
  <c r="D285" i="47"/>
  <c r="D285" i="46"/>
  <c r="D285" i="45"/>
  <c r="D285" i="44"/>
  <c r="D285" i="43"/>
  <c r="D225" i="48"/>
  <c r="D225" i="47"/>
  <c r="D225" i="46"/>
  <c r="D225" i="45"/>
  <c r="D225" i="44"/>
  <c r="D225" i="43"/>
  <c r="D240" i="48"/>
  <c r="D240" i="47"/>
  <c r="D240" i="45"/>
  <c r="D240" i="46"/>
  <c r="D240" i="43"/>
  <c r="D240" i="44"/>
  <c r="D261" i="48"/>
  <c r="D261" i="47"/>
  <c r="D261" i="46"/>
  <c r="D261" i="45"/>
  <c r="D261" i="43"/>
  <c r="D261" i="44"/>
  <c r="D235" i="48"/>
  <c r="D235" i="47"/>
  <c r="D235" i="46"/>
  <c r="D235" i="45"/>
  <c r="D235" i="43"/>
  <c r="D235" i="44"/>
  <c r="D266" i="48"/>
  <c r="D266" i="47"/>
  <c r="D266" i="45"/>
  <c r="D266" i="46"/>
  <c r="D266" i="44"/>
  <c r="D266" i="43"/>
  <c r="D287" i="48"/>
  <c r="D287" i="47"/>
  <c r="D287" i="46"/>
  <c r="D287" i="45"/>
  <c r="D287" i="44"/>
  <c r="D287" i="43"/>
  <c r="D284" i="48"/>
  <c r="D284" i="47"/>
  <c r="D284" i="45"/>
  <c r="D284" i="46"/>
  <c r="D284" i="44"/>
  <c r="D284" i="43"/>
  <c r="D245" i="48"/>
  <c r="D245" i="47"/>
  <c r="D245" i="46"/>
  <c r="D245" i="45"/>
  <c r="D245" i="44"/>
  <c r="D245" i="43"/>
  <c r="D251" i="48"/>
  <c r="D251" i="47"/>
  <c r="D251" i="46"/>
  <c r="D251" i="44"/>
  <c r="D251" i="45"/>
  <c r="D251" i="43"/>
  <c r="D215" i="48"/>
  <c r="D215" i="47"/>
  <c r="D215" i="46"/>
  <c r="D215" i="45"/>
  <c r="D215" i="44"/>
  <c r="D215" i="43"/>
  <c r="D205" i="48"/>
  <c r="D205" i="47"/>
  <c r="D205" i="46"/>
  <c r="D205" i="45"/>
  <c r="D205" i="44"/>
  <c r="D205" i="43"/>
  <c r="D256" i="48"/>
  <c r="D256" i="47"/>
  <c r="D256" i="46"/>
  <c r="D256" i="45"/>
  <c r="D256" i="44"/>
  <c r="D256" i="43"/>
  <c r="D286" i="48"/>
  <c r="D286" i="47"/>
  <c r="D286" i="46"/>
  <c r="D286" i="45"/>
  <c r="D286" i="44"/>
  <c r="D286" i="43"/>
  <c r="D288" i="48"/>
  <c r="D288" i="47"/>
  <c r="D288" i="46"/>
  <c r="D288" i="45"/>
  <c r="D288" i="44"/>
  <c r="D288" i="43"/>
  <c r="G272" i="46" l="1"/>
  <c r="G272" i="48"/>
  <c r="G272" i="43"/>
  <c r="G272" i="44"/>
  <c r="G272" i="45"/>
  <c r="G270" i="46"/>
  <c r="G269" i="46"/>
  <c r="G269" i="43"/>
  <c r="G269" i="44"/>
  <c r="G269" i="45"/>
  <c r="G269" i="47"/>
  <c r="G270" i="47"/>
  <c r="G270" i="48"/>
  <c r="G270" i="44"/>
  <c r="G270" i="45"/>
  <c r="G271" i="44"/>
  <c r="G271" i="47"/>
  <c r="G271" i="45"/>
  <c r="G271" i="46"/>
  <c r="G271" i="48"/>
  <c r="F279" i="44"/>
  <c r="F279" i="46"/>
  <c r="F281" i="46"/>
  <c r="F279" i="45"/>
  <c r="F279" i="48"/>
  <c r="F279" i="43"/>
  <c r="F281" i="43"/>
  <c r="F281" i="44"/>
  <c r="F281" i="45"/>
  <c r="F281" i="47"/>
  <c r="H279" i="48"/>
  <c r="I279" i="48" s="1"/>
  <c r="J279" i="48" s="1"/>
  <c r="K279" i="48" s="1"/>
  <c r="L279" i="48" s="1"/>
  <c r="M279" i="48" s="1"/>
  <c r="N279" i="48" s="1"/>
  <c r="O279" i="48" s="1"/>
  <c r="P279" i="48" s="1"/>
  <c r="Q279" i="48" s="1"/>
  <c r="R279" i="48" s="1"/>
  <c r="S279" i="48" s="1"/>
  <c r="H279" i="47"/>
  <c r="I279" i="47" s="1"/>
  <c r="J279" i="47" s="1"/>
  <c r="K279" i="47" s="1"/>
  <c r="L279" i="47" s="1"/>
  <c r="M279" i="47" s="1"/>
  <c r="N279" i="47" s="1"/>
  <c r="O279" i="47" s="1"/>
  <c r="P279" i="47" s="1"/>
  <c r="Q279" i="47" s="1"/>
  <c r="R279" i="47" s="1"/>
  <c r="S279" i="47" s="1"/>
  <c r="H279" i="46"/>
  <c r="I279" i="46" s="1"/>
  <c r="J279" i="46" s="1"/>
  <c r="K279" i="46" s="1"/>
  <c r="L279" i="46" s="1"/>
  <c r="M279" i="46" s="1"/>
  <c r="N279" i="46" s="1"/>
  <c r="O279" i="46" s="1"/>
  <c r="P279" i="46" s="1"/>
  <c r="Q279" i="46" s="1"/>
  <c r="R279" i="46" s="1"/>
  <c r="S279" i="46" s="1"/>
  <c r="H279" i="45"/>
  <c r="I279" i="45" s="1"/>
  <c r="J279" i="45" s="1"/>
  <c r="K279" i="45" s="1"/>
  <c r="L279" i="45" s="1"/>
  <c r="M279" i="45" s="1"/>
  <c r="N279" i="45" s="1"/>
  <c r="O279" i="45" s="1"/>
  <c r="P279" i="45" s="1"/>
  <c r="Q279" i="45" s="1"/>
  <c r="R279" i="45" s="1"/>
  <c r="S279" i="45" s="1"/>
  <c r="H279" i="44"/>
  <c r="I279" i="44" s="1"/>
  <c r="J279" i="44" s="1"/>
  <c r="K279" i="44" s="1"/>
  <c r="L279" i="44" s="1"/>
  <c r="M279" i="44" s="1"/>
  <c r="N279" i="44" s="1"/>
  <c r="O279" i="44" s="1"/>
  <c r="P279" i="44" s="1"/>
  <c r="Q279" i="44" s="1"/>
  <c r="R279" i="44" s="1"/>
  <c r="S279" i="44" s="1"/>
  <c r="H279" i="43"/>
  <c r="I279" i="43" s="1"/>
  <c r="J279" i="43" s="1"/>
  <c r="K279" i="43" s="1"/>
  <c r="L279" i="43" s="1"/>
  <c r="M279" i="43" s="1"/>
  <c r="N279" i="43" s="1"/>
  <c r="O279" i="43" s="1"/>
  <c r="P279" i="43" s="1"/>
  <c r="Q279" i="43" s="1"/>
  <c r="R279" i="43" s="1"/>
  <c r="S279" i="43" s="1"/>
  <c r="H274" i="48"/>
  <c r="I274" i="48" s="1"/>
  <c r="J274" i="48" s="1"/>
  <c r="K274" i="48" s="1"/>
  <c r="L274" i="48" s="1"/>
  <c r="M274" i="48" s="1"/>
  <c r="N274" i="48" s="1"/>
  <c r="O274" i="48" s="1"/>
  <c r="P274" i="48" s="1"/>
  <c r="Q274" i="48" s="1"/>
  <c r="R274" i="48" s="1"/>
  <c r="S274" i="48" s="1"/>
  <c r="H274" i="47"/>
  <c r="I274" i="47" s="1"/>
  <c r="J274" i="47" s="1"/>
  <c r="K274" i="47" s="1"/>
  <c r="L274" i="47" s="1"/>
  <c r="M274" i="47" s="1"/>
  <c r="N274" i="47" s="1"/>
  <c r="O274" i="47" s="1"/>
  <c r="P274" i="47" s="1"/>
  <c r="Q274" i="47" s="1"/>
  <c r="R274" i="47" s="1"/>
  <c r="S274" i="47" s="1"/>
  <c r="H274" i="46"/>
  <c r="I274" i="46" s="1"/>
  <c r="J274" i="46" s="1"/>
  <c r="K274" i="46" s="1"/>
  <c r="L274" i="46" s="1"/>
  <c r="M274" i="46" s="1"/>
  <c r="N274" i="46" s="1"/>
  <c r="O274" i="46" s="1"/>
  <c r="P274" i="46" s="1"/>
  <c r="Q274" i="46" s="1"/>
  <c r="R274" i="46" s="1"/>
  <c r="S274" i="46" s="1"/>
  <c r="H274" i="45"/>
  <c r="I274" i="45" s="1"/>
  <c r="J274" i="45" s="1"/>
  <c r="K274" i="45" s="1"/>
  <c r="L274" i="45" s="1"/>
  <c r="M274" i="45" s="1"/>
  <c r="N274" i="45" s="1"/>
  <c r="O274" i="45" s="1"/>
  <c r="P274" i="45" s="1"/>
  <c r="Q274" i="45" s="1"/>
  <c r="R274" i="45" s="1"/>
  <c r="S274" i="45" s="1"/>
  <c r="H274" i="44"/>
  <c r="I274" i="44" s="1"/>
  <c r="J274" i="44" s="1"/>
  <c r="K274" i="44" s="1"/>
  <c r="L274" i="44" s="1"/>
  <c r="M274" i="44" s="1"/>
  <c r="N274" i="44" s="1"/>
  <c r="O274" i="44" s="1"/>
  <c r="P274" i="44" s="1"/>
  <c r="Q274" i="44" s="1"/>
  <c r="R274" i="44" s="1"/>
  <c r="S274" i="44" s="1"/>
  <c r="H274" i="43"/>
  <c r="I274" i="43" s="1"/>
  <c r="J274" i="43" s="1"/>
  <c r="K274" i="43" s="1"/>
  <c r="L274" i="43" s="1"/>
  <c r="M274" i="43" s="1"/>
  <c r="N274" i="43" s="1"/>
  <c r="O274" i="43" s="1"/>
  <c r="P274" i="43" s="1"/>
  <c r="Q274" i="43" s="1"/>
  <c r="R274" i="43" s="1"/>
  <c r="S274" i="43" s="1"/>
  <c r="F282" i="48"/>
  <c r="F282" i="47"/>
  <c r="F282" i="46"/>
  <c r="F282" i="45"/>
  <c r="F282" i="44"/>
  <c r="F282" i="43"/>
  <c r="E286" i="48"/>
  <c r="E286" i="47"/>
  <c r="E286" i="46"/>
  <c r="E286" i="45"/>
  <c r="E286" i="44"/>
  <c r="E286" i="43"/>
  <c r="G276" i="48"/>
  <c r="G276" i="47"/>
  <c r="G276" i="46"/>
  <c r="G276" i="45"/>
  <c r="G276" i="44"/>
  <c r="G276" i="43"/>
  <c r="G175" i="48"/>
  <c r="G175" i="47"/>
  <c r="G175" i="46"/>
  <c r="G175" i="45"/>
  <c r="G175" i="44"/>
  <c r="G175" i="43"/>
  <c r="G215" i="48"/>
  <c r="G215" i="47"/>
  <c r="G215" i="46"/>
  <c r="G215" i="45"/>
  <c r="G215" i="44"/>
  <c r="G215" i="43"/>
  <c r="F269" i="48"/>
  <c r="F269" i="47"/>
  <c r="F269" i="46"/>
  <c r="F269" i="45"/>
  <c r="F269" i="44"/>
  <c r="F269" i="43"/>
  <c r="F244" i="48"/>
  <c r="F244" i="47"/>
  <c r="F244" i="46"/>
  <c r="F244" i="45"/>
  <c r="F244" i="44"/>
  <c r="F244" i="43"/>
  <c r="F264" i="48"/>
  <c r="F264" i="47"/>
  <c r="F264" i="46"/>
  <c r="F264" i="45"/>
  <c r="F264" i="44"/>
  <c r="F264" i="43"/>
  <c r="F166" i="48"/>
  <c r="F166" i="47"/>
  <c r="F166" i="46"/>
  <c r="F166" i="45"/>
  <c r="F166" i="43"/>
  <c r="F166" i="44"/>
  <c r="F249" i="48"/>
  <c r="F249" i="47"/>
  <c r="F249" i="46"/>
  <c r="F249" i="45"/>
  <c r="F249" i="44"/>
  <c r="F249" i="43"/>
  <c r="G200" i="48"/>
  <c r="G200" i="47"/>
  <c r="G200" i="46"/>
  <c r="G200" i="45"/>
  <c r="G200" i="44"/>
  <c r="G200" i="43"/>
  <c r="G205" i="48"/>
  <c r="G205" i="47"/>
  <c r="G205" i="46"/>
  <c r="G205" i="45"/>
  <c r="G205" i="44"/>
  <c r="G205" i="43"/>
  <c r="H277" i="48"/>
  <c r="I277" i="48" s="1"/>
  <c r="J277" i="48" s="1"/>
  <c r="K277" i="48" s="1"/>
  <c r="L277" i="48" s="1"/>
  <c r="M277" i="48" s="1"/>
  <c r="N277" i="48" s="1"/>
  <c r="O277" i="48" s="1"/>
  <c r="P277" i="48" s="1"/>
  <c r="Q277" i="48" s="1"/>
  <c r="R277" i="48" s="1"/>
  <c r="S277" i="48" s="1"/>
  <c r="H277" i="47"/>
  <c r="I277" i="47" s="1"/>
  <c r="J277" i="47" s="1"/>
  <c r="K277" i="47" s="1"/>
  <c r="L277" i="47" s="1"/>
  <c r="M277" i="47" s="1"/>
  <c r="N277" i="47" s="1"/>
  <c r="O277" i="47" s="1"/>
  <c r="P277" i="47" s="1"/>
  <c r="Q277" i="47" s="1"/>
  <c r="R277" i="47" s="1"/>
  <c r="S277" i="47" s="1"/>
  <c r="H277" i="46"/>
  <c r="I277" i="46" s="1"/>
  <c r="J277" i="46" s="1"/>
  <c r="K277" i="46" s="1"/>
  <c r="L277" i="46" s="1"/>
  <c r="M277" i="46" s="1"/>
  <c r="N277" i="46" s="1"/>
  <c r="O277" i="46" s="1"/>
  <c r="P277" i="46" s="1"/>
  <c r="Q277" i="46" s="1"/>
  <c r="R277" i="46" s="1"/>
  <c r="S277" i="46" s="1"/>
  <c r="H277" i="45"/>
  <c r="I277" i="45" s="1"/>
  <c r="J277" i="45" s="1"/>
  <c r="K277" i="45" s="1"/>
  <c r="L277" i="45" s="1"/>
  <c r="M277" i="45" s="1"/>
  <c r="N277" i="45" s="1"/>
  <c r="O277" i="45" s="1"/>
  <c r="P277" i="45" s="1"/>
  <c r="Q277" i="45" s="1"/>
  <c r="R277" i="45" s="1"/>
  <c r="S277" i="45" s="1"/>
  <c r="H277" i="44"/>
  <c r="I277" i="44" s="1"/>
  <c r="J277" i="44" s="1"/>
  <c r="K277" i="44" s="1"/>
  <c r="L277" i="44" s="1"/>
  <c r="M277" i="44" s="1"/>
  <c r="N277" i="44" s="1"/>
  <c r="O277" i="44" s="1"/>
  <c r="P277" i="44" s="1"/>
  <c r="Q277" i="44" s="1"/>
  <c r="R277" i="44" s="1"/>
  <c r="S277" i="44" s="1"/>
  <c r="H277" i="43"/>
  <c r="I277" i="43" s="1"/>
  <c r="J277" i="43" s="1"/>
  <c r="K277" i="43" s="1"/>
  <c r="L277" i="43" s="1"/>
  <c r="M277" i="43" s="1"/>
  <c r="N277" i="43" s="1"/>
  <c r="O277" i="43" s="1"/>
  <c r="P277" i="43" s="1"/>
  <c r="Q277" i="43" s="1"/>
  <c r="R277" i="43" s="1"/>
  <c r="S277" i="43" s="1"/>
  <c r="H276" i="48"/>
  <c r="I276" i="48" s="1"/>
  <c r="J276" i="48" s="1"/>
  <c r="K276" i="48" s="1"/>
  <c r="L276" i="48" s="1"/>
  <c r="M276" i="48" s="1"/>
  <c r="N276" i="48" s="1"/>
  <c r="O276" i="48" s="1"/>
  <c r="P276" i="48" s="1"/>
  <c r="Q276" i="48" s="1"/>
  <c r="R276" i="48" s="1"/>
  <c r="S276" i="48" s="1"/>
  <c r="H276" i="47"/>
  <c r="I276" i="47" s="1"/>
  <c r="J276" i="47" s="1"/>
  <c r="K276" i="47" s="1"/>
  <c r="L276" i="47" s="1"/>
  <c r="M276" i="47" s="1"/>
  <c r="N276" i="47" s="1"/>
  <c r="O276" i="47" s="1"/>
  <c r="P276" i="47" s="1"/>
  <c r="Q276" i="47" s="1"/>
  <c r="R276" i="47" s="1"/>
  <c r="S276" i="47" s="1"/>
  <c r="H276" i="46"/>
  <c r="I276" i="46" s="1"/>
  <c r="J276" i="46" s="1"/>
  <c r="K276" i="46" s="1"/>
  <c r="L276" i="46" s="1"/>
  <c r="M276" i="46" s="1"/>
  <c r="N276" i="46" s="1"/>
  <c r="O276" i="46" s="1"/>
  <c r="P276" i="46" s="1"/>
  <c r="Q276" i="46" s="1"/>
  <c r="R276" i="46" s="1"/>
  <c r="S276" i="46" s="1"/>
  <c r="H276" i="45"/>
  <c r="I276" i="45" s="1"/>
  <c r="J276" i="45" s="1"/>
  <c r="K276" i="45" s="1"/>
  <c r="L276" i="45" s="1"/>
  <c r="M276" i="45" s="1"/>
  <c r="N276" i="45" s="1"/>
  <c r="O276" i="45" s="1"/>
  <c r="P276" i="45" s="1"/>
  <c r="Q276" i="45" s="1"/>
  <c r="R276" i="45" s="1"/>
  <c r="S276" i="45" s="1"/>
  <c r="H276" i="44"/>
  <c r="I276" i="44" s="1"/>
  <c r="J276" i="44" s="1"/>
  <c r="K276" i="44" s="1"/>
  <c r="L276" i="44" s="1"/>
  <c r="M276" i="44" s="1"/>
  <c r="N276" i="44" s="1"/>
  <c r="O276" i="44" s="1"/>
  <c r="P276" i="44" s="1"/>
  <c r="Q276" i="44" s="1"/>
  <c r="R276" i="44" s="1"/>
  <c r="S276" i="44" s="1"/>
  <c r="H276" i="43"/>
  <c r="I276" i="43" s="1"/>
  <c r="J276" i="43" s="1"/>
  <c r="K276" i="43" s="1"/>
  <c r="L276" i="43" s="1"/>
  <c r="M276" i="43" s="1"/>
  <c r="N276" i="43" s="1"/>
  <c r="O276" i="43" s="1"/>
  <c r="P276" i="43" s="1"/>
  <c r="Q276" i="43" s="1"/>
  <c r="R276" i="43" s="1"/>
  <c r="S276" i="43" s="1"/>
  <c r="G180" i="48"/>
  <c r="G180" i="47"/>
  <c r="G180" i="46"/>
  <c r="G180" i="45"/>
  <c r="G180" i="44"/>
  <c r="G180" i="43"/>
  <c r="G249" i="48"/>
  <c r="G249" i="47"/>
  <c r="G249" i="46"/>
  <c r="G249" i="45"/>
  <c r="G249" i="44"/>
  <c r="G249" i="43"/>
  <c r="G277" i="48"/>
  <c r="G277" i="47"/>
  <c r="G277" i="46"/>
  <c r="G277" i="45"/>
  <c r="G277" i="44"/>
  <c r="G277" i="43"/>
  <c r="G278" i="48"/>
  <c r="G278" i="47"/>
  <c r="G278" i="46"/>
  <c r="G278" i="45"/>
  <c r="G278" i="44"/>
  <c r="G278" i="43"/>
  <c r="G275" i="48"/>
  <c r="G275" i="47"/>
  <c r="G275" i="46"/>
  <c r="G275" i="45"/>
  <c r="G275" i="44"/>
  <c r="G275" i="43"/>
  <c r="E287" i="48"/>
  <c r="E287" i="47"/>
  <c r="E287" i="46"/>
  <c r="E287" i="45"/>
  <c r="E287" i="44"/>
  <c r="E287" i="43"/>
  <c r="G195" i="48"/>
  <c r="G195" i="47"/>
  <c r="G195" i="46"/>
  <c r="G195" i="45"/>
  <c r="G195" i="44"/>
  <c r="G195" i="43"/>
  <c r="G259" i="48"/>
  <c r="G259" i="47"/>
  <c r="G259" i="46"/>
  <c r="G259" i="45"/>
  <c r="G259" i="44"/>
  <c r="G259" i="43"/>
  <c r="F176" i="48"/>
  <c r="F176" i="47"/>
  <c r="F176" i="46"/>
  <c r="F176" i="45"/>
  <c r="F176" i="44"/>
  <c r="F176" i="43"/>
  <c r="F224" i="48"/>
  <c r="F224" i="47"/>
  <c r="F224" i="46"/>
  <c r="F224" i="45"/>
  <c r="F224" i="44"/>
  <c r="F224" i="43"/>
  <c r="G225" i="48"/>
  <c r="G225" i="47"/>
  <c r="G225" i="46"/>
  <c r="G225" i="45"/>
  <c r="G225" i="44"/>
  <c r="G225" i="43"/>
  <c r="G230" i="48"/>
  <c r="G230" i="47"/>
  <c r="G230" i="46"/>
  <c r="G230" i="45"/>
  <c r="G230" i="44"/>
  <c r="G230" i="43"/>
  <c r="F171" i="48"/>
  <c r="F171" i="47"/>
  <c r="F171" i="46"/>
  <c r="F171" i="45"/>
  <c r="F171" i="43"/>
  <c r="F171" i="44"/>
  <c r="F201" i="48"/>
  <c r="F201" i="47"/>
  <c r="F201" i="46"/>
  <c r="F201" i="45"/>
  <c r="F201" i="44"/>
  <c r="F201" i="43"/>
  <c r="G245" i="48"/>
  <c r="G245" i="47"/>
  <c r="G245" i="46"/>
  <c r="G245" i="45"/>
  <c r="G245" i="44"/>
  <c r="G245" i="43"/>
  <c r="G220" i="48"/>
  <c r="G220" i="47"/>
  <c r="G220" i="46"/>
  <c r="G220" i="45"/>
  <c r="G220" i="44"/>
  <c r="G220" i="43"/>
  <c r="G264" i="48"/>
  <c r="G264" i="47"/>
  <c r="G264" i="46"/>
  <c r="G264" i="45"/>
  <c r="G264" i="44"/>
  <c r="G264" i="43"/>
  <c r="F229" i="48"/>
  <c r="F229" i="47"/>
  <c r="F229" i="46"/>
  <c r="F229" i="45"/>
  <c r="F229" i="44"/>
  <c r="F229" i="43"/>
  <c r="F191" i="48"/>
  <c r="F191" i="47"/>
  <c r="F191" i="46"/>
  <c r="F191" i="45"/>
  <c r="F191" i="44"/>
  <c r="F191" i="43"/>
  <c r="H278" i="48"/>
  <c r="I278" i="48" s="1"/>
  <c r="J278" i="48" s="1"/>
  <c r="K278" i="48" s="1"/>
  <c r="L278" i="48" s="1"/>
  <c r="M278" i="48" s="1"/>
  <c r="N278" i="48" s="1"/>
  <c r="O278" i="48" s="1"/>
  <c r="P278" i="48" s="1"/>
  <c r="Q278" i="48" s="1"/>
  <c r="R278" i="48" s="1"/>
  <c r="S278" i="48" s="1"/>
  <c r="H278" i="47"/>
  <c r="I278" i="47" s="1"/>
  <c r="J278" i="47" s="1"/>
  <c r="K278" i="47" s="1"/>
  <c r="L278" i="47" s="1"/>
  <c r="M278" i="47" s="1"/>
  <c r="N278" i="47" s="1"/>
  <c r="O278" i="47" s="1"/>
  <c r="P278" i="47" s="1"/>
  <c r="Q278" i="47" s="1"/>
  <c r="R278" i="47" s="1"/>
  <c r="S278" i="47" s="1"/>
  <c r="H278" i="46"/>
  <c r="I278" i="46" s="1"/>
  <c r="J278" i="46" s="1"/>
  <c r="K278" i="46" s="1"/>
  <c r="L278" i="46" s="1"/>
  <c r="M278" i="46" s="1"/>
  <c r="N278" i="46" s="1"/>
  <c r="O278" i="46" s="1"/>
  <c r="P278" i="46" s="1"/>
  <c r="Q278" i="46" s="1"/>
  <c r="R278" i="46" s="1"/>
  <c r="S278" i="46" s="1"/>
  <c r="H278" i="45"/>
  <c r="I278" i="45" s="1"/>
  <c r="J278" i="45" s="1"/>
  <c r="K278" i="45" s="1"/>
  <c r="L278" i="45" s="1"/>
  <c r="M278" i="45" s="1"/>
  <c r="N278" i="45" s="1"/>
  <c r="O278" i="45" s="1"/>
  <c r="P278" i="45" s="1"/>
  <c r="Q278" i="45" s="1"/>
  <c r="R278" i="45" s="1"/>
  <c r="S278" i="45" s="1"/>
  <c r="H278" i="44"/>
  <c r="I278" i="44" s="1"/>
  <c r="J278" i="44" s="1"/>
  <c r="K278" i="44" s="1"/>
  <c r="L278" i="44" s="1"/>
  <c r="M278" i="44" s="1"/>
  <c r="N278" i="44" s="1"/>
  <c r="O278" i="44" s="1"/>
  <c r="P278" i="44" s="1"/>
  <c r="Q278" i="44" s="1"/>
  <c r="R278" i="44" s="1"/>
  <c r="S278" i="44" s="1"/>
  <c r="H278" i="43"/>
  <c r="I278" i="43" s="1"/>
  <c r="J278" i="43" s="1"/>
  <c r="K278" i="43" s="1"/>
  <c r="L278" i="43" s="1"/>
  <c r="M278" i="43" s="1"/>
  <c r="N278" i="43" s="1"/>
  <c r="O278" i="43" s="1"/>
  <c r="P278" i="43" s="1"/>
  <c r="Q278" i="43" s="1"/>
  <c r="R278" i="43" s="1"/>
  <c r="S278" i="43" s="1"/>
  <c r="H275" i="48"/>
  <c r="I275" i="48" s="1"/>
  <c r="J275" i="48" s="1"/>
  <c r="K275" i="48" s="1"/>
  <c r="L275" i="48" s="1"/>
  <c r="M275" i="48" s="1"/>
  <c r="N275" i="48" s="1"/>
  <c r="O275" i="48" s="1"/>
  <c r="P275" i="48" s="1"/>
  <c r="Q275" i="48" s="1"/>
  <c r="R275" i="48" s="1"/>
  <c r="S275" i="48" s="1"/>
  <c r="H275" i="47"/>
  <c r="I275" i="47" s="1"/>
  <c r="J275" i="47" s="1"/>
  <c r="K275" i="47" s="1"/>
  <c r="L275" i="47" s="1"/>
  <c r="M275" i="47" s="1"/>
  <c r="N275" i="47" s="1"/>
  <c r="O275" i="47" s="1"/>
  <c r="P275" i="47" s="1"/>
  <c r="Q275" i="47" s="1"/>
  <c r="R275" i="47" s="1"/>
  <c r="S275" i="47" s="1"/>
  <c r="H275" i="46"/>
  <c r="I275" i="46" s="1"/>
  <c r="J275" i="46" s="1"/>
  <c r="K275" i="46" s="1"/>
  <c r="L275" i="46" s="1"/>
  <c r="M275" i="46" s="1"/>
  <c r="N275" i="46" s="1"/>
  <c r="O275" i="46" s="1"/>
  <c r="P275" i="46" s="1"/>
  <c r="Q275" i="46" s="1"/>
  <c r="R275" i="46" s="1"/>
  <c r="S275" i="46" s="1"/>
  <c r="H275" i="45"/>
  <c r="I275" i="45" s="1"/>
  <c r="J275" i="45" s="1"/>
  <c r="K275" i="45" s="1"/>
  <c r="L275" i="45" s="1"/>
  <c r="M275" i="45" s="1"/>
  <c r="N275" i="45" s="1"/>
  <c r="O275" i="45" s="1"/>
  <c r="P275" i="45" s="1"/>
  <c r="Q275" i="45" s="1"/>
  <c r="R275" i="45" s="1"/>
  <c r="S275" i="45" s="1"/>
  <c r="H275" i="44"/>
  <c r="I275" i="44" s="1"/>
  <c r="J275" i="44" s="1"/>
  <c r="K275" i="44" s="1"/>
  <c r="L275" i="44" s="1"/>
  <c r="M275" i="44" s="1"/>
  <c r="N275" i="44" s="1"/>
  <c r="O275" i="44" s="1"/>
  <c r="P275" i="44" s="1"/>
  <c r="Q275" i="44" s="1"/>
  <c r="R275" i="44" s="1"/>
  <c r="S275" i="44" s="1"/>
  <c r="H275" i="43"/>
  <c r="I275" i="43" s="1"/>
  <c r="J275" i="43" s="1"/>
  <c r="K275" i="43" s="1"/>
  <c r="L275" i="43" s="1"/>
  <c r="M275" i="43" s="1"/>
  <c r="N275" i="43" s="1"/>
  <c r="O275" i="43" s="1"/>
  <c r="P275" i="43" s="1"/>
  <c r="Q275" i="43" s="1"/>
  <c r="R275" i="43" s="1"/>
  <c r="S275" i="43" s="1"/>
  <c r="F204" i="48"/>
  <c r="F204" i="47"/>
  <c r="F204" i="46"/>
  <c r="F204" i="45"/>
  <c r="F204" i="44"/>
  <c r="F204" i="43"/>
  <c r="F214" i="48"/>
  <c r="F214" i="47"/>
  <c r="F214" i="46"/>
  <c r="F214" i="45"/>
  <c r="F214" i="44"/>
  <c r="F214" i="43"/>
  <c r="F161" i="48"/>
  <c r="F161" i="47"/>
  <c r="F161" i="46"/>
  <c r="F161" i="45"/>
  <c r="F161" i="44"/>
  <c r="F161" i="43"/>
  <c r="G170" i="48"/>
  <c r="G170" i="47"/>
  <c r="G170" i="46"/>
  <c r="G170" i="45"/>
  <c r="G170" i="44"/>
  <c r="G170" i="43"/>
  <c r="F283" i="48"/>
  <c r="F283" i="47"/>
  <c r="F283" i="46"/>
  <c r="F283" i="45"/>
  <c r="F283" i="44"/>
  <c r="F283" i="43"/>
  <c r="E288" i="48"/>
  <c r="E288" i="47"/>
  <c r="E288" i="46"/>
  <c r="E288" i="45"/>
  <c r="E288" i="44"/>
  <c r="E288" i="43"/>
  <c r="G281" i="48"/>
  <c r="G281" i="47"/>
  <c r="G281" i="46"/>
  <c r="G281" i="45"/>
  <c r="G281" i="44"/>
  <c r="G281" i="43"/>
  <c r="F186" i="48"/>
  <c r="F186" i="47"/>
  <c r="F186" i="46"/>
  <c r="F186" i="45"/>
  <c r="F186" i="44"/>
  <c r="F186" i="43"/>
  <c r="G165" i="48"/>
  <c r="G165" i="47"/>
  <c r="G165" i="46"/>
  <c r="G165" i="45"/>
  <c r="G165" i="43"/>
  <c r="G165" i="44"/>
  <c r="F239" i="48"/>
  <c r="F239" i="47"/>
  <c r="F239" i="46"/>
  <c r="F239" i="45"/>
  <c r="F239" i="44"/>
  <c r="F239" i="43"/>
  <c r="F181" i="48"/>
  <c r="F181" i="47"/>
  <c r="F181" i="46"/>
  <c r="F181" i="45"/>
  <c r="F181" i="44"/>
  <c r="F181" i="43"/>
  <c r="G254" i="48"/>
  <c r="G254" i="47"/>
  <c r="G254" i="46"/>
  <c r="G254" i="45"/>
  <c r="G254" i="44"/>
  <c r="G254" i="43"/>
  <c r="G185" i="48"/>
  <c r="G185" i="47"/>
  <c r="G185" i="46"/>
  <c r="G185" i="45"/>
  <c r="G185" i="44"/>
  <c r="G185" i="43"/>
  <c r="F219" i="48"/>
  <c r="F219" i="47"/>
  <c r="F219" i="46"/>
  <c r="F219" i="45"/>
  <c r="F219" i="44"/>
  <c r="F219" i="43"/>
  <c r="H281" i="48"/>
  <c r="I281" i="48" s="1"/>
  <c r="J281" i="48" s="1"/>
  <c r="K281" i="48" s="1"/>
  <c r="L281" i="48" s="1"/>
  <c r="M281" i="48" s="1"/>
  <c r="N281" i="48" s="1"/>
  <c r="O281" i="48" s="1"/>
  <c r="P281" i="48" s="1"/>
  <c r="Q281" i="48" s="1"/>
  <c r="R281" i="48" s="1"/>
  <c r="S281" i="48" s="1"/>
  <c r="H281" i="47"/>
  <c r="I281" i="47" s="1"/>
  <c r="J281" i="47" s="1"/>
  <c r="K281" i="47" s="1"/>
  <c r="L281" i="47" s="1"/>
  <c r="M281" i="47" s="1"/>
  <c r="N281" i="47" s="1"/>
  <c r="O281" i="47" s="1"/>
  <c r="P281" i="47" s="1"/>
  <c r="Q281" i="47" s="1"/>
  <c r="R281" i="47" s="1"/>
  <c r="S281" i="47" s="1"/>
  <c r="H281" i="46"/>
  <c r="I281" i="46" s="1"/>
  <c r="J281" i="46" s="1"/>
  <c r="K281" i="46" s="1"/>
  <c r="L281" i="46" s="1"/>
  <c r="M281" i="46" s="1"/>
  <c r="N281" i="46" s="1"/>
  <c r="O281" i="46" s="1"/>
  <c r="P281" i="46" s="1"/>
  <c r="Q281" i="46" s="1"/>
  <c r="R281" i="46" s="1"/>
  <c r="S281" i="46" s="1"/>
  <c r="H281" i="45"/>
  <c r="I281" i="45" s="1"/>
  <c r="J281" i="45" s="1"/>
  <c r="K281" i="45" s="1"/>
  <c r="L281" i="45" s="1"/>
  <c r="M281" i="45" s="1"/>
  <c r="N281" i="45" s="1"/>
  <c r="O281" i="45" s="1"/>
  <c r="P281" i="45" s="1"/>
  <c r="Q281" i="45" s="1"/>
  <c r="R281" i="45" s="1"/>
  <c r="S281" i="45" s="1"/>
  <c r="H281" i="44"/>
  <c r="I281" i="44" s="1"/>
  <c r="J281" i="44" s="1"/>
  <c r="K281" i="44" s="1"/>
  <c r="L281" i="44" s="1"/>
  <c r="M281" i="44" s="1"/>
  <c r="N281" i="44" s="1"/>
  <c r="O281" i="44" s="1"/>
  <c r="P281" i="44" s="1"/>
  <c r="Q281" i="44" s="1"/>
  <c r="R281" i="44" s="1"/>
  <c r="S281" i="44" s="1"/>
  <c r="H281" i="43"/>
  <c r="I281" i="43" s="1"/>
  <c r="J281" i="43" s="1"/>
  <c r="K281" i="43" s="1"/>
  <c r="L281" i="43" s="1"/>
  <c r="M281" i="43" s="1"/>
  <c r="N281" i="43" s="1"/>
  <c r="O281" i="43" s="1"/>
  <c r="P281" i="43" s="1"/>
  <c r="Q281" i="43" s="1"/>
  <c r="R281" i="43" s="1"/>
  <c r="S281" i="43" s="1"/>
  <c r="F209" i="48"/>
  <c r="F209" i="47"/>
  <c r="F209" i="46"/>
  <c r="F209" i="45"/>
  <c r="F209" i="44"/>
  <c r="F209" i="43"/>
  <c r="G235" i="48"/>
  <c r="G235" i="47"/>
  <c r="G235" i="46"/>
  <c r="G235" i="45"/>
  <c r="G235" i="44"/>
  <c r="G235" i="43"/>
  <c r="E284" i="48"/>
  <c r="E284" i="47"/>
  <c r="E284" i="46"/>
  <c r="E284" i="45"/>
  <c r="E284" i="44"/>
  <c r="E284" i="43"/>
  <c r="F280" i="48"/>
  <c r="F280" i="47"/>
  <c r="F280" i="46"/>
  <c r="F280" i="45"/>
  <c r="F280" i="44"/>
  <c r="F280" i="43"/>
  <c r="G279" i="48"/>
  <c r="G279" i="47"/>
  <c r="G279" i="46"/>
  <c r="G279" i="45"/>
  <c r="G279" i="44"/>
  <c r="G279" i="43"/>
  <c r="E285" i="48"/>
  <c r="E285" i="47"/>
  <c r="E285" i="46"/>
  <c r="E285" i="45"/>
  <c r="E285" i="44"/>
  <c r="E285" i="43"/>
  <c r="G274" i="48"/>
  <c r="G274" i="47"/>
  <c r="G274" i="46"/>
  <c r="G274" i="45"/>
  <c r="G274" i="44"/>
  <c r="G274" i="43"/>
  <c r="G210" i="48"/>
  <c r="G210" i="47"/>
  <c r="G210" i="46"/>
  <c r="G210" i="45"/>
  <c r="G210" i="44"/>
  <c r="G210" i="43"/>
  <c r="F259" i="48"/>
  <c r="F259" i="47"/>
  <c r="F259" i="46"/>
  <c r="F259" i="45"/>
  <c r="F259" i="44"/>
  <c r="F259" i="43"/>
  <c r="G240" i="48"/>
  <c r="G240" i="47"/>
  <c r="G240" i="46"/>
  <c r="G240" i="45"/>
  <c r="G240" i="44"/>
  <c r="G240" i="43"/>
  <c r="G190" i="48"/>
  <c r="G190" i="47"/>
  <c r="G190" i="46"/>
  <c r="G190" i="45"/>
  <c r="G190" i="44"/>
  <c r="G190" i="43"/>
  <c r="F196" i="48"/>
  <c r="F196" i="47"/>
  <c r="F196" i="46"/>
  <c r="F196" i="45"/>
  <c r="F196" i="44"/>
  <c r="F196" i="43"/>
  <c r="F254" i="48"/>
  <c r="F254" i="47"/>
  <c r="F254" i="46"/>
  <c r="F254" i="45"/>
  <c r="F254" i="44"/>
  <c r="F254" i="43"/>
  <c r="F234" i="48"/>
  <c r="F234" i="47"/>
  <c r="F234" i="46"/>
  <c r="F234" i="45"/>
  <c r="F234" i="44"/>
  <c r="F234" i="43"/>
  <c r="G160" i="48"/>
  <c r="G160" i="47"/>
  <c r="G160" i="46"/>
  <c r="G160" i="45"/>
  <c r="G160" i="44"/>
  <c r="G160" i="43"/>
  <c r="C257" i="48"/>
  <c r="C257" i="47"/>
  <c r="C257" i="46"/>
  <c r="C257" i="45"/>
  <c r="C257" i="43"/>
  <c r="C257" i="44"/>
  <c r="C252" i="48"/>
  <c r="C252" i="47"/>
  <c r="C252" i="46"/>
  <c r="C252" i="45"/>
  <c r="C252" i="44"/>
  <c r="C252" i="43"/>
  <c r="C258" i="48"/>
  <c r="C258" i="47"/>
  <c r="C258" i="46"/>
  <c r="C258" i="45"/>
  <c r="C258" i="44"/>
  <c r="C258" i="43"/>
  <c r="C263" i="48"/>
  <c r="C263" i="47"/>
  <c r="C263" i="46"/>
  <c r="C263" i="45"/>
  <c r="C263" i="43"/>
  <c r="C263" i="44"/>
  <c r="C295" i="48"/>
  <c r="C295" i="47"/>
  <c r="C295" i="46"/>
  <c r="C295" i="44"/>
  <c r="C295" i="45"/>
  <c r="C295" i="43"/>
  <c r="C297" i="48"/>
  <c r="C297" i="47"/>
  <c r="C297" i="46"/>
  <c r="C297" i="45"/>
  <c r="C297" i="44"/>
  <c r="C297" i="43"/>
  <c r="C253" i="48"/>
  <c r="C253" i="47"/>
  <c r="C253" i="46"/>
  <c r="C253" i="45"/>
  <c r="C253" i="43"/>
  <c r="C253" i="44"/>
  <c r="C130" i="48"/>
  <c r="C130" i="47"/>
  <c r="C130" i="46"/>
  <c r="C130" i="45"/>
  <c r="C130" i="44"/>
  <c r="C130" i="43"/>
  <c r="C267" i="48"/>
  <c r="C267" i="46"/>
  <c r="C267" i="47"/>
  <c r="C267" i="45"/>
  <c r="C267" i="43"/>
  <c r="C267" i="44"/>
  <c r="C268" i="48"/>
  <c r="C268" i="46"/>
  <c r="C268" i="47"/>
  <c r="C268" i="45"/>
  <c r="C268" i="44"/>
  <c r="C268" i="43"/>
  <c r="C272" i="48"/>
  <c r="C272" i="47"/>
  <c r="C272" i="46"/>
  <c r="C272" i="44"/>
  <c r="C272" i="45"/>
  <c r="C272" i="43"/>
  <c r="C135" i="48"/>
  <c r="C135" i="47"/>
  <c r="C135" i="46"/>
  <c r="C135" i="45"/>
  <c r="C135" i="43"/>
  <c r="C135" i="44"/>
  <c r="C155" i="48"/>
  <c r="C155" i="47"/>
  <c r="C155" i="46"/>
  <c r="C155" i="45"/>
  <c r="C155" i="44"/>
  <c r="C155" i="43"/>
  <c r="C140" i="48"/>
  <c r="C140" i="47"/>
  <c r="C140" i="46"/>
  <c r="C140" i="45"/>
  <c r="C140" i="43"/>
  <c r="C140" i="44"/>
  <c r="C296" i="48"/>
  <c r="C296" i="47"/>
  <c r="C296" i="46"/>
  <c r="C296" i="45"/>
  <c r="C296" i="44"/>
  <c r="C296" i="43"/>
  <c r="C273" i="48"/>
  <c r="C273" i="47"/>
  <c r="C273" i="46"/>
  <c r="C273" i="45"/>
  <c r="C273" i="44"/>
  <c r="C273" i="43"/>
  <c r="C115" i="47"/>
  <c r="C115" i="48"/>
  <c r="C115" i="46"/>
  <c r="C115" i="45"/>
  <c r="C115" i="43"/>
  <c r="C115" i="44"/>
  <c r="C298" i="48"/>
  <c r="C298" i="47"/>
  <c r="C298" i="46"/>
  <c r="C298" i="45"/>
  <c r="C298" i="44"/>
  <c r="C298" i="43"/>
  <c r="C294" i="47"/>
  <c r="C294" i="48"/>
  <c r="C294" i="46"/>
  <c r="C294" i="44"/>
  <c r="C294" i="45"/>
  <c r="C294" i="43"/>
  <c r="C145" i="48"/>
  <c r="C145" i="47"/>
  <c r="C145" i="46"/>
  <c r="C145" i="45"/>
  <c r="C145" i="44"/>
  <c r="C145" i="43"/>
  <c r="C150" i="48"/>
  <c r="C150" i="47"/>
  <c r="C150" i="46"/>
  <c r="C150" i="45"/>
  <c r="C150" i="43"/>
  <c r="C150" i="44"/>
  <c r="C262" i="47"/>
  <c r="C262" i="48"/>
  <c r="C262" i="46"/>
  <c r="C262" i="45"/>
  <c r="C262" i="44"/>
  <c r="C262" i="43"/>
  <c r="D253" i="48"/>
  <c r="D253" i="47"/>
  <c r="D253" i="45"/>
  <c r="D253" i="46"/>
  <c r="D253" i="44"/>
  <c r="D253" i="43"/>
  <c r="D290" i="48"/>
  <c r="D290" i="47"/>
  <c r="D290" i="46"/>
  <c r="D290" i="45"/>
  <c r="D290" i="44"/>
  <c r="D290" i="43"/>
  <c r="D257" i="48"/>
  <c r="D257" i="47"/>
  <c r="D257" i="45"/>
  <c r="D257" i="46"/>
  <c r="D257" i="44"/>
  <c r="D257" i="43"/>
  <c r="D246" i="48"/>
  <c r="D246" i="47"/>
  <c r="D246" i="46"/>
  <c r="D246" i="44"/>
  <c r="D246" i="45"/>
  <c r="D246" i="43"/>
  <c r="D221" i="48"/>
  <c r="D221" i="47"/>
  <c r="D221" i="45"/>
  <c r="D221" i="46"/>
  <c r="D221" i="44"/>
  <c r="D221" i="43"/>
  <c r="D252" i="48"/>
  <c r="D252" i="47"/>
  <c r="D252" i="46"/>
  <c r="D252" i="44"/>
  <c r="D252" i="45"/>
  <c r="D252" i="43"/>
  <c r="D236" i="48"/>
  <c r="D236" i="47"/>
  <c r="D236" i="46"/>
  <c r="D236" i="45"/>
  <c r="D236" i="43"/>
  <c r="D236" i="44"/>
  <c r="D258" i="48"/>
  <c r="D258" i="47"/>
  <c r="D258" i="46"/>
  <c r="D258" i="45"/>
  <c r="D258" i="44"/>
  <c r="D258" i="43"/>
  <c r="D291" i="48"/>
  <c r="D291" i="47"/>
  <c r="D291" i="46"/>
  <c r="D291" i="45"/>
  <c r="D291" i="43"/>
  <c r="D291" i="44"/>
  <c r="D206" i="48"/>
  <c r="D206" i="47"/>
  <c r="D206" i="46"/>
  <c r="D206" i="45"/>
  <c r="D206" i="44"/>
  <c r="D206" i="43"/>
  <c r="D262" i="48"/>
  <c r="D262" i="47"/>
  <c r="D262" i="45"/>
  <c r="D262" i="46"/>
  <c r="D262" i="44"/>
  <c r="D262" i="43"/>
  <c r="D241" i="48"/>
  <c r="D241" i="47"/>
  <c r="D241" i="45"/>
  <c r="D241" i="46"/>
  <c r="D241" i="43"/>
  <c r="D241" i="44"/>
  <c r="D231" i="48"/>
  <c r="D231" i="47"/>
  <c r="D231" i="45"/>
  <c r="D231" i="46"/>
  <c r="D231" i="43"/>
  <c r="D231" i="44"/>
  <c r="D263" i="48"/>
  <c r="D263" i="47"/>
  <c r="D263" i="45"/>
  <c r="D263" i="46"/>
  <c r="D263" i="44"/>
  <c r="D263" i="43"/>
  <c r="D293" i="48"/>
  <c r="D293" i="47"/>
  <c r="D293" i="46"/>
  <c r="D293" i="45"/>
  <c r="D293" i="43"/>
  <c r="D293" i="44"/>
  <c r="D292" i="48"/>
  <c r="D292" i="47"/>
  <c r="D292" i="46"/>
  <c r="D292" i="45"/>
  <c r="D292" i="43"/>
  <c r="D292" i="44"/>
  <c r="D216" i="48"/>
  <c r="D216" i="47"/>
  <c r="D216" i="46"/>
  <c r="D216" i="45"/>
  <c r="D216" i="43"/>
  <c r="D216" i="44"/>
  <c r="D267" i="48"/>
  <c r="D267" i="47"/>
  <c r="D267" i="46"/>
  <c r="D267" i="45"/>
  <c r="D267" i="44"/>
  <c r="D267" i="43"/>
  <c r="D226" i="48"/>
  <c r="D226" i="47"/>
  <c r="D226" i="45"/>
  <c r="D226" i="46"/>
  <c r="D226" i="44"/>
  <c r="D226" i="43"/>
  <c r="D211" i="48"/>
  <c r="D211" i="47"/>
  <c r="D211" i="46"/>
  <c r="D211" i="45"/>
  <c r="D211" i="44"/>
  <c r="D211" i="43"/>
  <c r="D289" i="48"/>
  <c r="D289" i="47"/>
  <c r="D289" i="46"/>
  <c r="D289" i="45"/>
  <c r="D289" i="44"/>
  <c r="D289" i="43"/>
  <c r="D268" i="48"/>
  <c r="D268" i="47"/>
  <c r="D268" i="46"/>
  <c r="D268" i="45"/>
  <c r="D268" i="44"/>
  <c r="D268" i="43"/>
  <c r="F210" i="48" l="1"/>
  <c r="F210" i="47"/>
  <c r="F210" i="46"/>
  <c r="F210" i="45"/>
  <c r="F210" i="44"/>
  <c r="F210" i="43"/>
  <c r="G255" i="48"/>
  <c r="G255" i="47"/>
  <c r="G255" i="46"/>
  <c r="G255" i="45"/>
  <c r="G255" i="44"/>
  <c r="G255" i="43"/>
  <c r="F240" i="48"/>
  <c r="F240" i="47"/>
  <c r="F240" i="46"/>
  <c r="F240" i="45"/>
  <c r="F240" i="44"/>
  <c r="F240" i="43"/>
  <c r="G166" i="48"/>
  <c r="G166" i="47"/>
  <c r="G166" i="46"/>
  <c r="G166" i="45"/>
  <c r="G166" i="44"/>
  <c r="G166" i="43"/>
  <c r="F162" i="48"/>
  <c r="F162" i="47"/>
  <c r="F162" i="46"/>
  <c r="F162" i="45"/>
  <c r="F162" i="44"/>
  <c r="F162" i="43"/>
  <c r="G265" i="48"/>
  <c r="G265" i="47"/>
  <c r="G265" i="46"/>
  <c r="G265" i="45"/>
  <c r="G265" i="44"/>
  <c r="G265" i="43"/>
  <c r="F225" i="48"/>
  <c r="F225" i="47"/>
  <c r="F225" i="46"/>
  <c r="F225" i="45"/>
  <c r="F225" i="44"/>
  <c r="F225" i="43"/>
  <c r="G144" i="48"/>
  <c r="G144" i="47"/>
  <c r="G144" i="46"/>
  <c r="G144" i="45"/>
  <c r="G144" i="44"/>
  <c r="G144" i="43"/>
  <c r="F167" i="48"/>
  <c r="F167" i="47"/>
  <c r="F167" i="46"/>
  <c r="F167" i="45"/>
  <c r="F167" i="43"/>
  <c r="F167" i="44"/>
  <c r="F265" i="48"/>
  <c r="F265" i="47"/>
  <c r="F265" i="46"/>
  <c r="F265" i="45"/>
  <c r="F265" i="44"/>
  <c r="F265" i="43"/>
  <c r="G176" i="48"/>
  <c r="G176" i="47"/>
  <c r="G176" i="46"/>
  <c r="G176" i="45"/>
  <c r="G176" i="44"/>
  <c r="G176" i="43"/>
  <c r="G161" i="48"/>
  <c r="G161" i="47"/>
  <c r="G161" i="46"/>
  <c r="G161" i="45"/>
  <c r="G161" i="43"/>
  <c r="G161" i="44"/>
  <c r="F255" i="48"/>
  <c r="F255" i="47"/>
  <c r="F255" i="46"/>
  <c r="F255" i="45"/>
  <c r="F255" i="44"/>
  <c r="F255" i="43"/>
  <c r="F260" i="48"/>
  <c r="F260" i="47"/>
  <c r="F260" i="46"/>
  <c r="F260" i="45"/>
  <c r="F260" i="44"/>
  <c r="F260" i="43"/>
  <c r="G280" i="48"/>
  <c r="G280" i="47"/>
  <c r="G280" i="46"/>
  <c r="G280" i="45"/>
  <c r="G280" i="44"/>
  <c r="G280" i="43"/>
  <c r="H280" i="48"/>
  <c r="I280" i="48" s="1"/>
  <c r="J280" i="48" s="1"/>
  <c r="K280" i="48" s="1"/>
  <c r="L280" i="48" s="1"/>
  <c r="M280" i="48" s="1"/>
  <c r="N280" i="48" s="1"/>
  <c r="O280" i="48" s="1"/>
  <c r="P280" i="48" s="1"/>
  <c r="Q280" i="48" s="1"/>
  <c r="R280" i="48" s="1"/>
  <c r="S280" i="48" s="1"/>
  <c r="H280" i="47"/>
  <c r="I280" i="47" s="1"/>
  <c r="J280" i="47" s="1"/>
  <c r="K280" i="47" s="1"/>
  <c r="L280" i="47" s="1"/>
  <c r="M280" i="47" s="1"/>
  <c r="N280" i="47" s="1"/>
  <c r="O280" i="47" s="1"/>
  <c r="P280" i="47" s="1"/>
  <c r="Q280" i="47" s="1"/>
  <c r="R280" i="47" s="1"/>
  <c r="S280" i="47" s="1"/>
  <c r="H280" i="46"/>
  <c r="I280" i="46" s="1"/>
  <c r="J280" i="46" s="1"/>
  <c r="K280" i="46" s="1"/>
  <c r="L280" i="46" s="1"/>
  <c r="M280" i="46" s="1"/>
  <c r="N280" i="46" s="1"/>
  <c r="O280" i="46" s="1"/>
  <c r="P280" i="46" s="1"/>
  <c r="Q280" i="46" s="1"/>
  <c r="R280" i="46" s="1"/>
  <c r="S280" i="46" s="1"/>
  <c r="H280" i="45"/>
  <c r="I280" i="45" s="1"/>
  <c r="J280" i="45" s="1"/>
  <c r="K280" i="45" s="1"/>
  <c r="L280" i="45" s="1"/>
  <c r="M280" i="45" s="1"/>
  <c r="N280" i="45" s="1"/>
  <c r="O280" i="45" s="1"/>
  <c r="P280" i="45" s="1"/>
  <c r="Q280" i="45" s="1"/>
  <c r="R280" i="45" s="1"/>
  <c r="S280" i="45" s="1"/>
  <c r="H280" i="44"/>
  <c r="I280" i="44" s="1"/>
  <c r="J280" i="44" s="1"/>
  <c r="K280" i="44" s="1"/>
  <c r="L280" i="44" s="1"/>
  <c r="M280" i="44" s="1"/>
  <c r="N280" i="44" s="1"/>
  <c r="O280" i="44" s="1"/>
  <c r="P280" i="44" s="1"/>
  <c r="Q280" i="44" s="1"/>
  <c r="R280" i="44" s="1"/>
  <c r="S280" i="44" s="1"/>
  <c r="H280" i="43"/>
  <c r="I280" i="43" s="1"/>
  <c r="J280" i="43" s="1"/>
  <c r="K280" i="43" s="1"/>
  <c r="L280" i="43" s="1"/>
  <c r="M280" i="43" s="1"/>
  <c r="N280" i="43" s="1"/>
  <c r="O280" i="43" s="1"/>
  <c r="P280" i="43" s="1"/>
  <c r="Q280" i="43" s="1"/>
  <c r="R280" i="43" s="1"/>
  <c r="S280" i="43" s="1"/>
  <c r="F163" i="48"/>
  <c r="F163" i="47"/>
  <c r="F163" i="46"/>
  <c r="F163" i="45"/>
  <c r="F163" i="44"/>
  <c r="F163" i="43"/>
  <c r="G226" i="48"/>
  <c r="G226" i="47"/>
  <c r="G226" i="46"/>
  <c r="G226" i="45"/>
  <c r="G226" i="44"/>
  <c r="G226" i="43"/>
  <c r="F168" i="48"/>
  <c r="F168" i="47"/>
  <c r="F168" i="46"/>
  <c r="F168" i="45"/>
  <c r="F168" i="44"/>
  <c r="F168" i="43"/>
  <c r="E290" i="48"/>
  <c r="E290" i="47"/>
  <c r="E290" i="46"/>
  <c r="E290" i="45"/>
  <c r="E290" i="44"/>
  <c r="E290" i="43"/>
  <c r="G283" i="48"/>
  <c r="G283" i="47"/>
  <c r="G283" i="46"/>
  <c r="G283" i="45"/>
  <c r="G283" i="44"/>
  <c r="G283" i="43"/>
  <c r="H283" i="48"/>
  <c r="I283" i="48" s="1"/>
  <c r="J283" i="48" s="1"/>
  <c r="K283" i="48" s="1"/>
  <c r="L283" i="48" s="1"/>
  <c r="M283" i="48" s="1"/>
  <c r="N283" i="48" s="1"/>
  <c r="O283" i="48" s="1"/>
  <c r="P283" i="48" s="1"/>
  <c r="Q283" i="48" s="1"/>
  <c r="R283" i="48" s="1"/>
  <c r="S283" i="48" s="1"/>
  <c r="H283" i="47"/>
  <c r="I283" i="47" s="1"/>
  <c r="J283" i="47" s="1"/>
  <c r="K283" i="47" s="1"/>
  <c r="L283" i="47" s="1"/>
  <c r="M283" i="47" s="1"/>
  <c r="N283" i="47" s="1"/>
  <c r="O283" i="47" s="1"/>
  <c r="P283" i="47" s="1"/>
  <c r="Q283" i="47" s="1"/>
  <c r="R283" i="47" s="1"/>
  <c r="S283" i="47" s="1"/>
  <c r="H283" i="46"/>
  <c r="I283" i="46" s="1"/>
  <c r="J283" i="46" s="1"/>
  <c r="K283" i="46" s="1"/>
  <c r="L283" i="46" s="1"/>
  <c r="M283" i="46" s="1"/>
  <c r="N283" i="46" s="1"/>
  <c r="O283" i="46" s="1"/>
  <c r="P283" i="46" s="1"/>
  <c r="Q283" i="46" s="1"/>
  <c r="R283" i="46" s="1"/>
  <c r="S283" i="46" s="1"/>
  <c r="H283" i="45"/>
  <c r="I283" i="45" s="1"/>
  <c r="J283" i="45" s="1"/>
  <c r="K283" i="45" s="1"/>
  <c r="L283" i="45" s="1"/>
  <c r="M283" i="45" s="1"/>
  <c r="N283" i="45" s="1"/>
  <c r="O283" i="45" s="1"/>
  <c r="P283" i="45" s="1"/>
  <c r="Q283" i="45" s="1"/>
  <c r="R283" i="45" s="1"/>
  <c r="S283" i="45" s="1"/>
  <c r="H283" i="44"/>
  <c r="I283" i="44" s="1"/>
  <c r="J283" i="44" s="1"/>
  <c r="K283" i="44" s="1"/>
  <c r="L283" i="44" s="1"/>
  <c r="M283" i="44" s="1"/>
  <c r="N283" i="44" s="1"/>
  <c r="O283" i="44" s="1"/>
  <c r="P283" i="44" s="1"/>
  <c r="Q283" i="44" s="1"/>
  <c r="R283" i="44" s="1"/>
  <c r="S283" i="44" s="1"/>
  <c r="H283" i="43"/>
  <c r="I283" i="43" s="1"/>
  <c r="J283" i="43" s="1"/>
  <c r="K283" i="43" s="1"/>
  <c r="L283" i="43" s="1"/>
  <c r="M283" i="43" s="1"/>
  <c r="N283" i="43" s="1"/>
  <c r="O283" i="43" s="1"/>
  <c r="P283" i="43" s="1"/>
  <c r="Q283" i="43" s="1"/>
  <c r="R283" i="43" s="1"/>
  <c r="S283" i="43" s="1"/>
  <c r="G149" i="48"/>
  <c r="G149" i="47"/>
  <c r="G149" i="46"/>
  <c r="G149" i="45"/>
  <c r="G149" i="44"/>
  <c r="G149" i="43"/>
  <c r="G139" i="48"/>
  <c r="G139" i="47"/>
  <c r="G139" i="46"/>
  <c r="G139" i="45"/>
  <c r="G139" i="43"/>
  <c r="G139" i="44"/>
  <c r="F220" i="48"/>
  <c r="F220" i="47"/>
  <c r="F220" i="46"/>
  <c r="F220" i="45"/>
  <c r="F220" i="44"/>
  <c r="F220" i="43"/>
  <c r="F187" i="48"/>
  <c r="F187" i="47"/>
  <c r="F187" i="46"/>
  <c r="F187" i="45"/>
  <c r="F187" i="44"/>
  <c r="F187" i="43"/>
  <c r="G171" i="48"/>
  <c r="G171" i="47"/>
  <c r="G171" i="46"/>
  <c r="G171" i="45"/>
  <c r="G171" i="43"/>
  <c r="G171" i="44"/>
  <c r="F215" i="48"/>
  <c r="F215" i="47"/>
  <c r="F215" i="46"/>
  <c r="F215" i="45"/>
  <c r="F215" i="44"/>
  <c r="F215" i="43"/>
  <c r="G221" i="48"/>
  <c r="G221" i="47"/>
  <c r="G221" i="46"/>
  <c r="G221" i="45"/>
  <c r="G221" i="44"/>
  <c r="G221" i="43"/>
  <c r="F177" i="48"/>
  <c r="F177" i="47"/>
  <c r="F177" i="46"/>
  <c r="F177" i="45"/>
  <c r="F177" i="44"/>
  <c r="F177" i="43"/>
  <c r="G181" i="48"/>
  <c r="G181" i="47"/>
  <c r="G181" i="46"/>
  <c r="G181" i="45"/>
  <c r="G181" i="44"/>
  <c r="G181" i="43"/>
  <c r="G201" i="48"/>
  <c r="G201" i="47"/>
  <c r="G201" i="46"/>
  <c r="G201" i="45"/>
  <c r="G201" i="44"/>
  <c r="G201" i="43"/>
  <c r="F245" i="48"/>
  <c r="F245" i="47"/>
  <c r="F245" i="46"/>
  <c r="F245" i="45"/>
  <c r="F245" i="44"/>
  <c r="F245" i="43"/>
  <c r="F235" i="48"/>
  <c r="F235" i="47"/>
  <c r="F235" i="46"/>
  <c r="F235" i="45"/>
  <c r="F235" i="44"/>
  <c r="F235" i="43"/>
  <c r="F197" i="48"/>
  <c r="F197" i="47"/>
  <c r="F197" i="46"/>
  <c r="F197" i="45"/>
  <c r="F197" i="44"/>
  <c r="F197" i="43"/>
  <c r="G211" i="48"/>
  <c r="G211" i="47"/>
  <c r="G211" i="46"/>
  <c r="G211" i="45"/>
  <c r="G211" i="44"/>
  <c r="G211" i="43"/>
  <c r="F284" i="48"/>
  <c r="F284" i="47"/>
  <c r="F284" i="46"/>
  <c r="F284" i="45"/>
  <c r="F284" i="44"/>
  <c r="F284" i="43"/>
  <c r="F287" i="48"/>
  <c r="F287" i="47"/>
  <c r="F287" i="46"/>
  <c r="F287" i="45"/>
  <c r="F287" i="44"/>
  <c r="F287" i="43"/>
  <c r="E293" i="48"/>
  <c r="E293" i="47"/>
  <c r="E293" i="46"/>
  <c r="E293" i="45"/>
  <c r="E293" i="44"/>
  <c r="E293" i="43"/>
  <c r="F188" i="48"/>
  <c r="F188" i="47"/>
  <c r="F188" i="46"/>
  <c r="F188" i="45"/>
  <c r="F188" i="44"/>
  <c r="F188" i="43"/>
  <c r="F178" i="48"/>
  <c r="F178" i="47"/>
  <c r="F178" i="46"/>
  <c r="F178" i="45"/>
  <c r="F178" i="44"/>
  <c r="F178" i="43"/>
  <c r="F198" i="48"/>
  <c r="F198" i="47"/>
  <c r="F198" i="46"/>
  <c r="F198" i="45"/>
  <c r="F198" i="44"/>
  <c r="F198" i="43"/>
  <c r="G236" i="48"/>
  <c r="G236" i="47"/>
  <c r="G236" i="46"/>
  <c r="G236" i="45"/>
  <c r="G236" i="44"/>
  <c r="G236" i="43"/>
  <c r="G186" i="48"/>
  <c r="G186" i="47"/>
  <c r="G186" i="46"/>
  <c r="G186" i="45"/>
  <c r="G186" i="44"/>
  <c r="G186" i="43"/>
  <c r="F205" i="48"/>
  <c r="F205" i="47"/>
  <c r="F205" i="46"/>
  <c r="F205" i="45"/>
  <c r="F205" i="44"/>
  <c r="F205" i="43"/>
  <c r="F192" i="48"/>
  <c r="F192" i="47"/>
  <c r="F192" i="46"/>
  <c r="F192" i="45"/>
  <c r="F192" i="44"/>
  <c r="F192" i="43"/>
  <c r="G246" i="48"/>
  <c r="G246" i="47"/>
  <c r="G246" i="46"/>
  <c r="G246" i="45"/>
  <c r="G246" i="44"/>
  <c r="G246" i="43"/>
  <c r="G260" i="48"/>
  <c r="G260" i="47"/>
  <c r="G260" i="46"/>
  <c r="G260" i="45"/>
  <c r="G260" i="44"/>
  <c r="G260" i="43"/>
  <c r="F270" i="48"/>
  <c r="F270" i="47"/>
  <c r="F270" i="46"/>
  <c r="F270" i="45"/>
  <c r="F270" i="44"/>
  <c r="F270" i="43"/>
  <c r="G134" i="48"/>
  <c r="G134" i="47"/>
  <c r="G134" i="46"/>
  <c r="G134" i="45"/>
  <c r="G134" i="44"/>
  <c r="G134" i="43"/>
  <c r="G191" i="48"/>
  <c r="G191" i="47"/>
  <c r="G191" i="46"/>
  <c r="G191" i="45"/>
  <c r="G191" i="44"/>
  <c r="G191" i="43"/>
  <c r="F286" i="48"/>
  <c r="F286" i="47"/>
  <c r="F286" i="46"/>
  <c r="F286" i="45"/>
  <c r="F286" i="44"/>
  <c r="F286" i="43"/>
  <c r="F193" i="48"/>
  <c r="F193" i="47"/>
  <c r="F193" i="46"/>
  <c r="F193" i="45"/>
  <c r="F193" i="44"/>
  <c r="F193" i="43"/>
  <c r="F172" i="48"/>
  <c r="F172" i="47"/>
  <c r="F172" i="46"/>
  <c r="F172" i="45"/>
  <c r="F172" i="43"/>
  <c r="F172" i="44"/>
  <c r="F285" i="48"/>
  <c r="F285" i="47"/>
  <c r="F285" i="46"/>
  <c r="F285" i="45"/>
  <c r="F285" i="44"/>
  <c r="F285" i="43"/>
  <c r="F182" i="48"/>
  <c r="F182" i="47"/>
  <c r="F182" i="46"/>
  <c r="F182" i="45"/>
  <c r="F182" i="44"/>
  <c r="F182" i="43"/>
  <c r="G129" i="48"/>
  <c r="G129" i="47"/>
  <c r="G129" i="46"/>
  <c r="G129" i="45"/>
  <c r="G129" i="44"/>
  <c r="G129" i="43"/>
  <c r="F230" i="48"/>
  <c r="F230" i="47"/>
  <c r="F230" i="46"/>
  <c r="F230" i="45"/>
  <c r="F230" i="44"/>
  <c r="F230" i="43"/>
  <c r="F202" i="48"/>
  <c r="F202" i="47"/>
  <c r="F202" i="46"/>
  <c r="F202" i="45"/>
  <c r="F202" i="44"/>
  <c r="F202" i="43"/>
  <c r="F173" i="48"/>
  <c r="F173" i="47"/>
  <c r="F173" i="46"/>
  <c r="F173" i="45"/>
  <c r="F173" i="44"/>
  <c r="F173" i="43"/>
  <c r="G114" i="48"/>
  <c r="G114" i="47"/>
  <c r="G114" i="46"/>
  <c r="G114" i="45"/>
  <c r="G114" i="44"/>
  <c r="G114" i="43"/>
  <c r="G196" i="48"/>
  <c r="G196" i="47"/>
  <c r="G196" i="46"/>
  <c r="G196" i="45"/>
  <c r="G196" i="44"/>
  <c r="G196" i="43"/>
  <c r="G250" i="48"/>
  <c r="G250" i="47"/>
  <c r="G250" i="46"/>
  <c r="G250" i="45"/>
  <c r="G250" i="44"/>
  <c r="G250" i="43"/>
  <c r="G206" i="48"/>
  <c r="G206" i="47"/>
  <c r="G206" i="46"/>
  <c r="G206" i="45"/>
  <c r="G206" i="44"/>
  <c r="G206" i="43"/>
  <c r="F250" i="48"/>
  <c r="F250" i="47"/>
  <c r="F250" i="46"/>
  <c r="F250" i="45"/>
  <c r="F250" i="44"/>
  <c r="F250" i="43"/>
  <c r="G216" i="48"/>
  <c r="G216" i="47"/>
  <c r="G216" i="46"/>
  <c r="G216" i="45"/>
  <c r="G216" i="44"/>
  <c r="G216" i="43"/>
  <c r="G154" i="48"/>
  <c r="G154" i="47"/>
  <c r="G154" i="46"/>
  <c r="G154" i="45"/>
  <c r="G154" i="44"/>
  <c r="G154" i="43"/>
  <c r="G241" i="48"/>
  <c r="G241" i="47"/>
  <c r="G241" i="46"/>
  <c r="G241" i="45"/>
  <c r="G241" i="44"/>
  <c r="G241" i="43"/>
  <c r="E291" i="48"/>
  <c r="E291" i="47"/>
  <c r="E291" i="46"/>
  <c r="E291" i="45"/>
  <c r="E291" i="44"/>
  <c r="E291" i="43"/>
  <c r="F288" i="48"/>
  <c r="F288" i="47"/>
  <c r="F288" i="46"/>
  <c r="F288" i="45"/>
  <c r="F288" i="44"/>
  <c r="F288" i="43"/>
  <c r="G282" i="48"/>
  <c r="G282" i="47"/>
  <c r="G282" i="46"/>
  <c r="G282" i="45"/>
  <c r="G282" i="44"/>
  <c r="G282" i="43"/>
  <c r="E289" i="48"/>
  <c r="E289" i="47"/>
  <c r="E289" i="46"/>
  <c r="E289" i="45"/>
  <c r="E289" i="44"/>
  <c r="E289" i="43"/>
  <c r="H282" i="48"/>
  <c r="I282" i="48" s="1"/>
  <c r="J282" i="48" s="1"/>
  <c r="K282" i="48" s="1"/>
  <c r="L282" i="48" s="1"/>
  <c r="M282" i="48" s="1"/>
  <c r="N282" i="48" s="1"/>
  <c r="O282" i="48" s="1"/>
  <c r="P282" i="48" s="1"/>
  <c r="Q282" i="48" s="1"/>
  <c r="R282" i="48" s="1"/>
  <c r="S282" i="48" s="1"/>
  <c r="H282" i="47"/>
  <c r="I282" i="47" s="1"/>
  <c r="J282" i="47" s="1"/>
  <c r="K282" i="47" s="1"/>
  <c r="L282" i="47" s="1"/>
  <c r="M282" i="47" s="1"/>
  <c r="N282" i="47" s="1"/>
  <c r="O282" i="47" s="1"/>
  <c r="P282" i="47" s="1"/>
  <c r="Q282" i="47" s="1"/>
  <c r="R282" i="47" s="1"/>
  <c r="S282" i="47" s="1"/>
  <c r="H282" i="46"/>
  <c r="I282" i="46" s="1"/>
  <c r="J282" i="46" s="1"/>
  <c r="K282" i="46" s="1"/>
  <c r="L282" i="46" s="1"/>
  <c r="M282" i="46" s="1"/>
  <c r="N282" i="46" s="1"/>
  <c r="O282" i="46" s="1"/>
  <c r="P282" i="46" s="1"/>
  <c r="Q282" i="46" s="1"/>
  <c r="R282" i="46" s="1"/>
  <c r="S282" i="46" s="1"/>
  <c r="H282" i="45"/>
  <c r="I282" i="45" s="1"/>
  <c r="J282" i="45" s="1"/>
  <c r="K282" i="45" s="1"/>
  <c r="L282" i="45" s="1"/>
  <c r="M282" i="45" s="1"/>
  <c r="N282" i="45" s="1"/>
  <c r="O282" i="45" s="1"/>
  <c r="P282" i="45" s="1"/>
  <c r="Q282" i="45" s="1"/>
  <c r="R282" i="45" s="1"/>
  <c r="S282" i="45" s="1"/>
  <c r="H282" i="44"/>
  <c r="I282" i="44" s="1"/>
  <c r="J282" i="44" s="1"/>
  <c r="K282" i="44" s="1"/>
  <c r="L282" i="44" s="1"/>
  <c r="M282" i="44" s="1"/>
  <c r="N282" i="44" s="1"/>
  <c r="O282" i="44" s="1"/>
  <c r="P282" i="44" s="1"/>
  <c r="Q282" i="44" s="1"/>
  <c r="R282" i="44" s="1"/>
  <c r="S282" i="44" s="1"/>
  <c r="H282" i="43"/>
  <c r="I282" i="43" s="1"/>
  <c r="J282" i="43" s="1"/>
  <c r="K282" i="43" s="1"/>
  <c r="L282" i="43" s="1"/>
  <c r="M282" i="43" s="1"/>
  <c r="N282" i="43" s="1"/>
  <c r="O282" i="43" s="1"/>
  <c r="P282" i="43" s="1"/>
  <c r="Q282" i="43" s="1"/>
  <c r="R282" i="43" s="1"/>
  <c r="S282" i="43" s="1"/>
  <c r="E292" i="48"/>
  <c r="E292" i="47"/>
  <c r="E292" i="46"/>
  <c r="E292" i="45"/>
  <c r="E292" i="44"/>
  <c r="E292" i="43"/>
  <c r="F183" i="48"/>
  <c r="F183" i="47"/>
  <c r="F183" i="46"/>
  <c r="F183" i="45"/>
  <c r="F183" i="44"/>
  <c r="F183" i="43"/>
  <c r="F203" i="48"/>
  <c r="F203" i="47"/>
  <c r="F203" i="46"/>
  <c r="F203" i="45"/>
  <c r="F203" i="44"/>
  <c r="F203" i="43"/>
  <c r="G231" i="48"/>
  <c r="G231" i="47"/>
  <c r="G231" i="46"/>
  <c r="G231" i="45"/>
  <c r="G231" i="44"/>
  <c r="G231" i="43"/>
  <c r="C300" i="48"/>
  <c r="C300" i="47"/>
  <c r="C300" i="46"/>
  <c r="C300" i="45"/>
  <c r="C300" i="44"/>
  <c r="C300" i="43"/>
  <c r="C136" i="48"/>
  <c r="C136" i="47"/>
  <c r="C136" i="46"/>
  <c r="C136" i="45"/>
  <c r="C136" i="43"/>
  <c r="C136" i="44"/>
  <c r="C299" i="48"/>
  <c r="C299" i="47"/>
  <c r="C299" i="46"/>
  <c r="C299" i="45"/>
  <c r="C299" i="44"/>
  <c r="C299" i="43"/>
  <c r="C302" i="48"/>
  <c r="C302" i="46"/>
  <c r="C302" i="47"/>
  <c r="C302" i="44"/>
  <c r="C302" i="45"/>
  <c r="C302" i="43"/>
  <c r="C303" i="48"/>
  <c r="C303" i="47"/>
  <c r="C303" i="46"/>
  <c r="C303" i="45"/>
  <c r="C303" i="44"/>
  <c r="C303" i="43"/>
  <c r="C116" i="47"/>
  <c r="C116" i="48"/>
  <c r="C116" i="46"/>
  <c r="C116" i="45"/>
  <c r="C116" i="44"/>
  <c r="C116" i="43"/>
  <c r="C141" i="48"/>
  <c r="C141" i="46"/>
  <c r="C141" i="47"/>
  <c r="C141" i="45"/>
  <c r="C141" i="43"/>
  <c r="C141" i="44"/>
  <c r="C131" i="47"/>
  <c r="C131" i="48"/>
  <c r="C131" i="46"/>
  <c r="C131" i="45"/>
  <c r="C131" i="44"/>
  <c r="C131" i="43"/>
  <c r="C304" i="48"/>
  <c r="C304" i="47"/>
  <c r="C304" i="46"/>
  <c r="C304" i="44"/>
  <c r="C304" i="45"/>
  <c r="C304" i="43"/>
  <c r="C301" i="48"/>
  <c r="C301" i="47"/>
  <c r="C301" i="46"/>
  <c r="C301" i="45"/>
  <c r="C301" i="44"/>
  <c r="C301" i="43"/>
  <c r="C146" i="47"/>
  <c r="C146" i="48"/>
  <c r="C146" i="46"/>
  <c r="C146" i="45"/>
  <c r="C146" i="44"/>
  <c r="C146" i="43"/>
  <c r="C156" i="48"/>
  <c r="C156" i="47"/>
  <c r="C156" i="46"/>
  <c r="C156" i="45"/>
  <c r="C156" i="44"/>
  <c r="C156" i="43"/>
  <c r="C151" i="48"/>
  <c r="C151" i="47"/>
  <c r="C151" i="46"/>
  <c r="C151" i="45"/>
  <c r="C151" i="44"/>
  <c r="C151" i="43"/>
  <c r="D74" i="48"/>
  <c r="D74" i="47"/>
  <c r="D74" i="46"/>
  <c r="D74" i="45"/>
  <c r="D74" i="44"/>
  <c r="D74" i="43"/>
  <c r="D213" i="48"/>
  <c r="D213" i="47"/>
  <c r="D213" i="46"/>
  <c r="D213" i="45"/>
  <c r="D213" i="43"/>
  <c r="D213" i="44"/>
  <c r="D81" i="48"/>
  <c r="D81" i="47"/>
  <c r="D81" i="46"/>
  <c r="D81" i="45"/>
  <c r="D81" i="44"/>
  <c r="D81" i="43"/>
  <c r="D242" i="48"/>
  <c r="D242" i="47"/>
  <c r="D242" i="45"/>
  <c r="D242" i="46"/>
  <c r="D242" i="44"/>
  <c r="D242" i="43"/>
  <c r="D207" i="48"/>
  <c r="D207" i="47"/>
  <c r="D207" i="46"/>
  <c r="D207" i="45"/>
  <c r="D207" i="43"/>
  <c r="D207" i="44"/>
  <c r="D222" i="48"/>
  <c r="D222" i="47"/>
  <c r="D222" i="45"/>
  <c r="D222" i="46"/>
  <c r="D222" i="44"/>
  <c r="D222" i="43"/>
  <c r="D232" i="48"/>
  <c r="D232" i="47"/>
  <c r="D232" i="45"/>
  <c r="D232" i="46"/>
  <c r="D232" i="44"/>
  <c r="D232" i="43"/>
  <c r="D227" i="48"/>
  <c r="D227" i="47"/>
  <c r="D227" i="46"/>
  <c r="D227" i="45"/>
  <c r="D227" i="44"/>
  <c r="D227" i="43"/>
  <c r="D217" i="48"/>
  <c r="D217" i="47"/>
  <c r="D217" i="45"/>
  <c r="D217" i="46"/>
  <c r="D217" i="44"/>
  <c r="D217" i="43"/>
  <c r="D80" i="48"/>
  <c r="D80" i="47"/>
  <c r="D80" i="46"/>
  <c r="D80" i="45"/>
  <c r="D80" i="44"/>
  <c r="D80" i="43"/>
  <c r="D243" i="48"/>
  <c r="D243" i="47"/>
  <c r="D243" i="46"/>
  <c r="D243" i="45"/>
  <c r="D243" i="44"/>
  <c r="D243" i="43"/>
  <c r="D208" i="48"/>
  <c r="D208" i="47"/>
  <c r="D208" i="46"/>
  <c r="D208" i="45"/>
  <c r="D208" i="43"/>
  <c r="D208" i="44"/>
  <c r="D223" i="48"/>
  <c r="D223" i="47"/>
  <c r="D223" i="46"/>
  <c r="D223" i="45"/>
  <c r="D223" i="44"/>
  <c r="D223" i="43"/>
  <c r="D228" i="48"/>
  <c r="D228" i="47"/>
  <c r="D228" i="45"/>
  <c r="D228" i="46"/>
  <c r="D228" i="44"/>
  <c r="D228" i="43"/>
  <c r="D218" i="48"/>
  <c r="D218" i="47"/>
  <c r="D218" i="45"/>
  <c r="D218" i="46"/>
  <c r="D218" i="44"/>
  <c r="D218" i="43"/>
  <c r="D79" i="48"/>
  <c r="D79" i="47"/>
  <c r="D79" i="46"/>
  <c r="D79" i="45"/>
  <c r="D79" i="44"/>
  <c r="D79" i="43"/>
  <c r="D247" i="48"/>
  <c r="D247" i="47"/>
  <c r="D247" i="46"/>
  <c r="D247" i="45"/>
  <c r="D247" i="44"/>
  <c r="D247" i="43"/>
  <c r="D237" i="48"/>
  <c r="D237" i="47"/>
  <c r="D237" i="46"/>
  <c r="D237" i="44"/>
  <c r="D237" i="45"/>
  <c r="D237" i="43"/>
  <c r="D212" i="48"/>
  <c r="D212" i="47"/>
  <c r="D212" i="46"/>
  <c r="D212" i="44"/>
  <c r="D212" i="45"/>
  <c r="D212" i="43"/>
  <c r="D78" i="48"/>
  <c r="D78" i="47"/>
  <c r="D78" i="46"/>
  <c r="D78" i="44"/>
  <c r="D78" i="45"/>
  <c r="D78" i="43"/>
  <c r="D248" i="48"/>
  <c r="D248" i="47"/>
  <c r="D248" i="46"/>
  <c r="D248" i="45"/>
  <c r="D248" i="44"/>
  <c r="D248" i="43"/>
  <c r="D238" i="48"/>
  <c r="D238" i="47"/>
  <c r="D238" i="46"/>
  <c r="D238" i="45"/>
  <c r="D238" i="44"/>
  <c r="D238" i="43"/>
  <c r="D82" i="48"/>
  <c r="D82" i="47"/>
  <c r="D82" i="46"/>
  <c r="D82" i="45"/>
  <c r="D82" i="44"/>
  <c r="D82" i="43"/>
  <c r="D233" i="48"/>
  <c r="D233" i="47"/>
  <c r="D233" i="45"/>
  <c r="D233" i="46"/>
  <c r="D233" i="43"/>
  <c r="D233" i="44"/>
  <c r="D77" i="48"/>
  <c r="D77" i="47"/>
  <c r="D77" i="46"/>
  <c r="D77" i="44"/>
  <c r="D77" i="45"/>
  <c r="D77" i="43"/>
  <c r="D75" i="48"/>
  <c r="D75" i="47"/>
  <c r="D75" i="46"/>
  <c r="D75" i="45"/>
  <c r="D75" i="44"/>
  <c r="D75" i="43"/>
  <c r="D76" i="48"/>
  <c r="D76" i="47"/>
  <c r="D76" i="46"/>
  <c r="D76" i="44"/>
  <c r="D76" i="45"/>
  <c r="D76" i="43"/>
  <c r="F290" i="48" l="1"/>
  <c r="F290" i="47"/>
  <c r="F290" i="46"/>
  <c r="F290" i="45"/>
  <c r="F290" i="44"/>
  <c r="F290" i="43"/>
  <c r="G242" i="48"/>
  <c r="G242" i="47"/>
  <c r="G242" i="46"/>
  <c r="G242" i="45"/>
  <c r="G242" i="44"/>
  <c r="G242" i="43"/>
  <c r="F251" i="48"/>
  <c r="F251" i="47"/>
  <c r="F251" i="46"/>
  <c r="F251" i="45"/>
  <c r="F251" i="44"/>
  <c r="F251" i="43"/>
  <c r="G115" i="48"/>
  <c r="G115" i="47"/>
  <c r="G115" i="46"/>
  <c r="G115" i="45"/>
  <c r="G115" i="44"/>
  <c r="G115" i="43"/>
  <c r="G130" i="48"/>
  <c r="G130" i="47"/>
  <c r="G130" i="46"/>
  <c r="G130" i="45"/>
  <c r="G130" i="44"/>
  <c r="G130" i="43"/>
  <c r="G188" i="48"/>
  <c r="G188" i="47"/>
  <c r="G188" i="46"/>
  <c r="G188" i="45"/>
  <c r="G188" i="44"/>
  <c r="G188" i="43"/>
  <c r="G182" i="48"/>
  <c r="G182" i="47"/>
  <c r="G182" i="46"/>
  <c r="G182" i="45"/>
  <c r="G182" i="44"/>
  <c r="G182" i="43"/>
  <c r="G177" i="48"/>
  <c r="G177" i="47"/>
  <c r="G177" i="46"/>
  <c r="G177" i="45"/>
  <c r="G177" i="44"/>
  <c r="G177" i="43"/>
  <c r="G256" i="48"/>
  <c r="G256" i="47"/>
  <c r="G256" i="46"/>
  <c r="G256" i="45"/>
  <c r="G256" i="44"/>
  <c r="G256" i="43"/>
  <c r="G232" i="48"/>
  <c r="G232" i="47"/>
  <c r="G232" i="46"/>
  <c r="G232" i="45"/>
  <c r="G232" i="44"/>
  <c r="G232" i="43"/>
  <c r="G243" i="48"/>
  <c r="G243" i="47"/>
  <c r="G243" i="46"/>
  <c r="G243" i="45"/>
  <c r="G243" i="44"/>
  <c r="G243" i="43"/>
  <c r="F271" i="48"/>
  <c r="F271" i="47"/>
  <c r="F271" i="46"/>
  <c r="F271" i="45"/>
  <c r="F271" i="44"/>
  <c r="F271" i="43"/>
  <c r="G237" i="48"/>
  <c r="G237" i="47"/>
  <c r="G237" i="46"/>
  <c r="G237" i="45"/>
  <c r="G237" i="44"/>
  <c r="G237" i="43"/>
  <c r="G183" i="48"/>
  <c r="G183" i="47"/>
  <c r="G183" i="46"/>
  <c r="G183" i="45"/>
  <c r="G183" i="44"/>
  <c r="G183" i="43"/>
  <c r="G172" i="48"/>
  <c r="G172" i="47"/>
  <c r="G172" i="46"/>
  <c r="G172" i="45"/>
  <c r="G172" i="44"/>
  <c r="G172" i="43"/>
  <c r="F221" i="48"/>
  <c r="F221" i="47"/>
  <c r="F221" i="46"/>
  <c r="F221" i="45"/>
  <c r="F221" i="44"/>
  <c r="F221" i="43"/>
  <c r="G178" i="48"/>
  <c r="G178" i="47"/>
  <c r="G178" i="46"/>
  <c r="G178" i="45"/>
  <c r="G178" i="44"/>
  <c r="G178" i="43"/>
  <c r="G233" i="48"/>
  <c r="G233" i="47"/>
  <c r="G233" i="46"/>
  <c r="G233" i="45"/>
  <c r="G233" i="44"/>
  <c r="G233" i="43"/>
  <c r="F289" i="48"/>
  <c r="F289" i="47"/>
  <c r="F289" i="46"/>
  <c r="F289" i="45"/>
  <c r="F289" i="44"/>
  <c r="F289" i="43"/>
  <c r="E296" i="48"/>
  <c r="E296" i="47"/>
  <c r="E296" i="46"/>
  <c r="E296" i="45"/>
  <c r="E296" i="44"/>
  <c r="E296" i="43"/>
  <c r="D304" i="45"/>
  <c r="G284" i="48"/>
  <c r="G284" i="47"/>
  <c r="G284" i="46"/>
  <c r="G284" i="45"/>
  <c r="G284" i="44"/>
  <c r="G284" i="43"/>
  <c r="E298" i="48"/>
  <c r="E298" i="47"/>
  <c r="E298" i="46"/>
  <c r="E298" i="45"/>
  <c r="E298" i="44"/>
  <c r="E298" i="43"/>
  <c r="H285" i="48"/>
  <c r="I285" i="48" s="1"/>
  <c r="J285" i="48" s="1"/>
  <c r="K285" i="48" s="1"/>
  <c r="L285" i="48" s="1"/>
  <c r="M285" i="48" s="1"/>
  <c r="N285" i="48" s="1"/>
  <c r="O285" i="48" s="1"/>
  <c r="P285" i="48" s="1"/>
  <c r="Q285" i="48" s="1"/>
  <c r="R285" i="48" s="1"/>
  <c r="S285" i="48" s="1"/>
  <c r="H285" i="47"/>
  <c r="I285" i="47" s="1"/>
  <c r="J285" i="47" s="1"/>
  <c r="K285" i="47" s="1"/>
  <c r="L285" i="47" s="1"/>
  <c r="M285" i="47" s="1"/>
  <c r="N285" i="47" s="1"/>
  <c r="O285" i="47" s="1"/>
  <c r="P285" i="47" s="1"/>
  <c r="Q285" i="47" s="1"/>
  <c r="R285" i="47" s="1"/>
  <c r="S285" i="47" s="1"/>
  <c r="H285" i="46"/>
  <c r="I285" i="46" s="1"/>
  <c r="J285" i="46" s="1"/>
  <c r="K285" i="46" s="1"/>
  <c r="L285" i="46" s="1"/>
  <c r="M285" i="46" s="1"/>
  <c r="N285" i="46" s="1"/>
  <c r="O285" i="46" s="1"/>
  <c r="P285" i="46" s="1"/>
  <c r="Q285" i="46" s="1"/>
  <c r="R285" i="46" s="1"/>
  <c r="S285" i="46" s="1"/>
  <c r="H285" i="45"/>
  <c r="I285" i="45" s="1"/>
  <c r="J285" i="45" s="1"/>
  <c r="K285" i="45" s="1"/>
  <c r="L285" i="45" s="1"/>
  <c r="M285" i="45" s="1"/>
  <c r="N285" i="45" s="1"/>
  <c r="O285" i="45" s="1"/>
  <c r="P285" i="45" s="1"/>
  <c r="Q285" i="45" s="1"/>
  <c r="R285" i="45" s="1"/>
  <c r="S285" i="45" s="1"/>
  <c r="H285" i="44"/>
  <c r="I285" i="44" s="1"/>
  <c r="J285" i="44" s="1"/>
  <c r="K285" i="44" s="1"/>
  <c r="L285" i="44" s="1"/>
  <c r="M285" i="44" s="1"/>
  <c r="N285" i="44" s="1"/>
  <c r="O285" i="44" s="1"/>
  <c r="P285" i="44" s="1"/>
  <c r="Q285" i="44" s="1"/>
  <c r="R285" i="44" s="1"/>
  <c r="S285" i="44" s="1"/>
  <c r="H285" i="43"/>
  <c r="I285" i="43" s="1"/>
  <c r="J285" i="43" s="1"/>
  <c r="K285" i="43" s="1"/>
  <c r="L285" i="43" s="1"/>
  <c r="M285" i="43" s="1"/>
  <c r="N285" i="43" s="1"/>
  <c r="O285" i="43" s="1"/>
  <c r="P285" i="43" s="1"/>
  <c r="Q285" i="43" s="1"/>
  <c r="R285" i="43" s="1"/>
  <c r="S285" i="43" s="1"/>
  <c r="G155" i="48"/>
  <c r="G155" i="47"/>
  <c r="G155" i="46"/>
  <c r="G155" i="45"/>
  <c r="G155" i="43"/>
  <c r="G155" i="44"/>
  <c r="G207" i="48"/>
  <c r="G207" i="47"/>
  <c r="G207" i="46"/>
  <c r="G207" i="45"/>
  <c r="G207" i="44"/>
  <c r="G207" i="43"/>
  <c r="G238" i="48"/>
  <c r="G238" i="47"/>
  <c r="G238" i="46"/>
  <c r="G238" i="45"/>
  <c r="G238" i="44"/>
  <c r="G238" i="43"/>
  <c r="G212" i="48"/>
  <c r="G212" i="47"/>
  <c r="G212" i="46"/>
  <c r="G212" i="45"/>
  <c r="G212" i="44"/>
  <c r="G212" i="43"/>
  <c r="F236" i="48"/>
  <c r="F236" i="47"/>
  <c r="F236" i="46"/>
  <c r="F236" i="45"/>
  <c r="F236" i="44"/>
  <c r="F236" i="43"/>
  <c r="G173" i="48"/>
  <c r="G173" i="47"/>
  <c r="G173" i="46"/>
  <c r="G173" i="45"/>
  <c r="G173" i="44"/>
  <c r="G173" i="43"/>
  <c r="F261" i="48"/>
  <c r="F261" i="47"/>
  <c r="F261" i="46"/>
  <c r="F261" i="45"/>
  <c r="F261" i="44"/>
  <c r="F261" i="43"/>
  <c r="F266" i="48"/>
  <c r="F266" i="47"/>
  <c r="F266" i="46"/>
  <c r="F266" i="45"/>
  <c r="F266" i="44"/>
  <c r="F266" i="43"/>
  <c r="G145" i="48"/>
  <c r="G145" i="47"/>
  <c r="G145" i="46"/>
  <c r="G145" i="45"/>
  <c r="G145" i="44"/>
  <c r="G145" i="43"/>
  <c r="F211" i="48"/>
  <c r="F211" i="47"/>
  <c r="F211" i="46"/>
  <c r="F211" i="45"/>
  <c r="F211" i="44"/>
  <c r="F211" i="43"/>
  <c r="H284" i="48"/>
  <c r="I284" i="48" s="1"/>
  <c r="J284" i="48" s="1"/>
  <c r="K284" i="48" s="1"/>
  <c r="L284" i="48" s="1"/>
  <c r="M284" i="48" s="1"/>
  <c r="N284" i="48" s="1"/>
  <c r="O284" i="48" s="1"/>
  <c r="P284" i="48" s="1"/>
  <c r="Q284" i="48" s="1"/>
  <c r="R284" i="48" s="1"/>
  <c r="S284" i="48" s="1"/>
  <c r="H284" i="47"/>
  <c r="I284" i="47" s="1"/>
  <c r="J284" i="47" s="1"/>
  <c r="K284" i="47" s="1"/>
  <c r="L284" i="47" s="1"/>
  <c r="M284" i="47" s="1"/>
  <c r="N284" i="47" s="1"/>
  <c r="O284" i="47" s="1"/>
  <c r="P284" i="47" s="1"/>
  <c r="Q284" i="47" s="1"/>
  <c r="R284" i="47" s="1"/>
  <c r="S284" i="47" s="1"/>
  <c r="H284" i="46"/>
  <c r="I284" i="46" s="1"/>
  <c r="J284" i="46" s="1"/>
  <c r="K284" i="46" s="1"/>
  <c r="L284" i="46" s="1"/>
  <c r="M284" i="46" s="1"/>
  <c r="N284" i="46" s="1"/>
  <c r="O284" i="46" s="1"/>
  <c r="P284" i="46" s="1"/>
  <c r="Q284" i="46" s="1"/>
  <c r="R284" i="46" s="1"/>
  <c r="S284" i="46" s="1"/>
  <c r="H284" i="45"/>
  <c r="I284" i="45" s="1"/>
  <c r="J284" i="45" s="1"/>
  <c r="K284" i="45" s="1"/>
  <c r="L284" i="45" s="1"/>
  <c r="M284" i="45" s="1"/>
  <c r="N284" i="45" s="1"/>
  <c r="O284" i="45" s="1"/>
  <c r="P284" i="45" s="1"/>
  <c r="Q284" i="45" s="1"/>
  <c r="R284" i="45" s="1"/>
  <c r="S284" i="45" s="1"/>
  <c r="H284" i="44"/>
  <c r="I284" i="44" s="1"/>
  <c r="J284" i="44" s="1"/>
  <c r="K284" i="44" s="1"/>
  <c r="L284" i="44" s="1"/>
  <c r="M284" i="44" s="1"/>
  <c r="N284" i="44" s="1"/>
  <c r="O284" i="44" s="1"/>
  <c r="P284" i="44" s="1"/>
  <c r="Q284" i="44" s="1"/>
  <c r="R284" i="44" s="1"/>
  <c r="S284" i="44" s="1"/>
  <c r="H284" i="43"/>
  <c r="I284" i="43" s="1"/>
  <c r="J284" i="43" s="1"/>
  <c r="K284" i="43" s="1"/>
  <c r="L284" i="43" s="1"/>
  <c r="M284" i="43" s="1"/>
  <c r="N284" i="43" s="1"/>
  <c r="O284" i="43" s="1"/>
  <c r="P284" i="43" s="1"/>
  <c r="Q284" i="43" s="1"/>
  <c r="R284" i="43" s="1"/>
  <c r="S284" i="43" s="1"/>
  <c r="G208" i="48"/>
  <c r="G208" i="47"/>
  <c r="G208" i="46"/>
  <c r="G208" i="45"/>
  <c r="G208" i="44"/>
  <c r="G208" i="43"/>
  <c r="G261" i="48"/>
  <c r="G261" i="47"/>
  <c r="G261" i="46"/>
  <c r="G261" i="45"/>
  <c r="G261" i="44"/>
  <c r="G261" i="43"/>
  <c r="G213" i="48"/>
  <c r="G213" i="47"/>
  <c r="G213" i="46"/>
  <c r="G213" i="45"/>
  <c r="G213" i="44"/>
  <c r="G213" i="43"/>
  <c r="G140" i="48"/>
  <c r="G140" i="47"/>
  <c r="G140" i="46"/>
  <c r="G140" i="45"/>
  <c r="G140" i="44"/>
  <c r="G140" i="43"/>
  <c r="G227" i="48"/>
  <c r="G227" i="47"/>
  <c r="G227" i="46"/>
  <c r="G227" i="45"/>
  <c r="G227" i="44"/>
  <c r="G227" i="43"/>
  <c r="E297" i="48"/>
  <c r="E297" i="47"/>
  <c r="E297" i="46"/>
  <c r="E297" i="45"/>
  <c r="E297" i="44"/>
  <c r="E297" i="43"/>
  <c r="G285" i="48"/>
  <c r="G285" i="47"/>
  <c r="G285" i="46"/>
  <c r="G285" i="45"/>
  <c r="G285" i="44"/>
  <c r="G285" i="43"/>
  <c r="G287" i="48"/>
  <c r="G287" i="47"/>
  <c r="G287" i="46"/>
  <c r="G287" i="45"/>
  <c r="G287" i="44"/>
  <c r="G287" i="43"/>
  <c r="G288" i="48"/>
  <c r="G288" i="47"/>
  <c r="G288" i="46"/>
  <c r="G288" i="45"/>
  <c r="G288" i="44"/>
  <c r="G288" i="43"/>
  <c r="F292" i="48"/>
  <c r="F292" i="47"/>
  <c r="F292" i="46"/>
  <c r="F292" i="45"/>
  <c r="F292" i="44"/>
  <c r="F292" i="43"/>
  <c r="G251" i="48"/>
  <c r="G251" i="47"/>
  <c r="G251" i="46"/>
  <c r="G251" i="45"/>
  <c r="G251" i="44"/>
  <c r="G251" i="43"/>
  <c r="F246" i="48"/>
  <c r="F246" i="47"/>
  <c r="F246" i="46"/>
  <c r="F246" i="45"/>
  <c r="F246" i="44"/>
  <c r="F246" i="43"/>
  <c r="G228" i="48"/>
  <c r="G228" i="47"/>
  <c r="G228" i="46"/>
  <c r="G228" i="45"/>
  <c r="G228" i="44"/>
  <c r="G228" i="43"/>
  <c r="F256" i="48"/>
  <c r="F256" i="47"/>
  <c r="F256" i="46"/>
  <c r="F256" i="45"/>
  <c r="F256" i="44"/>
  <c r="F256" i="43"/>
  <c r="F226" i="48"/>
  <c r="F226" i="47"/>
  <c r="F226" i="46"/>
  <c r="F226" i="45"/>
  <c r="F226" i="44"/>
  <c r="F226" i="43"/>
  <c r="G266" i="48"/>
  <c r="G266" i="47"/>
  <c r="G266" i="46"/>
  <c r="G266" i="45"/>
  <c r="G266" i="44"/>
  <c r="G266" i="43"/>
  <c r="G167" i="48"/>
  <c r="G167" i="47"/>
  <c r="G167" i="46"/>
  <c r="G167" i="45"/>
  <c r="G167" i="43"/>
  <c r="G167" i="44"/>
  <c r="H287" i="48"/>
  <c r="I287" i="48" s="1"/>
  <c r="J287" i="48" s="1"/>
  <c r="K287" i="48" s="1"/>
  <c r="L287" i="48" s="1"/>
  <c r="M287" i="48" s="1"/>
  <c r="N287" i="48" s="1"/>
  <c r="O287" i="48" s="1"/>
  <c r="P287" i="48" s="1"/>
  <c r="Q287" i="48" s="1"/>
  <c r="R287" i="48" s="1"/>
  <c r="S287" i="48" s="1"/>
  <c r="H287" i="47"/>
  <c r="I287" i="47" s="1"/>
  <c r="J287" i="47" s="1"/>
  <c r="K287" i="47" s="1"/>
  <c r="L287" i="47" s="1"/>
  <c r="M287" i="47" s="1"/>
  <c r="N287" i="47" s="1"/>
  <c r="O287" i="47" s="1"/>
  <c r="P287" i="47" s="1"/>
  <c r="Q287" i="47" s="1"/>
  <c r="R287" i="47" s="1"/>
  <c r="S287" i="47" s="1"/>
  <c r="H287" i="46"/>
  <c r="I287" i="46" s="1"/>
  <c r="J287" i="46" s="1"/>
  <c r="K287" i="46" s="1"/>
  <c r="L287" i="46" s="1"/>
  <c r="M287" i="46" s="1"/>
  <c r="N287" i="46" s="1"/>
  <c r="O287" i="46" s="1"/>
  <c r="P287" i="46" s="1"/>
  <c r="Q287" i="46" s="1"/>
  <c r="R287" i="46" s="1"/>
  <c r="S287" i="46" s="1"/>
  <c r="H287" i="45"/>
  <c r="I287" i="45" s="1"/>
  <c r="J287" i="45" s="1"/>
  <c r="K287" i="45" s="1"/>
  <c r="L287" i="45" s="1"/>
  <c r="M287" i="45" s="1"/>
  <c r="N287" i="45" s="1"/>
  <c r="O287" i="45" s="1"/>
  <c r="P287" i="45" s="1"/>
  <c r="Q287" i="45" s="1"/>
  <c r="R287" i="45" s="1"/>
  <c r="S287" i="45" s="1"/>
  <c r="H287" i="44"/>
  <c r="I287" i="44" s="1"/>
  <c r="J287" i="44" s="1"/>
  <c r="K287" i="44" s="1"/>
  <c r="L287" i="44" s="1"/>
  <c r="M287" i="44" s="1"/>
  <c r="N287" i="44" s="1"/>
  <c r="O287" i="44" s="1"/>
  <c r="P287" i="44" s="1"/>
  <c r="Q287" i="44" s="1"/>
  <c r="R287" i="44" s="1"/>
  <c r="S287" i="44" s="1"/>
  <c r="H287" i="43"/>
  <c r="I287" i="43" s="1"/>
  <c r="J287" i="43" s="1"/>
  <c r="K287" i="43" s="1"/>
  <c r="L287" i="43" s="1"/>
  <c r="M287" i="43" s="1"/>
  <c r="N287" i="43" s="1"/>
  <c r="O287" i="43" s="1"/>
  <c r="P287" i="43" s="1"/>
  <c r="Q287" i="43" s="1"/>
  <c r="R287" i="43" s="1"/>
  <c r="S287" i="43" s="1"/>
  <c r="H288" i="48"/>
  <c r="I288" i="48" s="1"/>
  <c r="J288" i="48" s="1"/>
  <c r="K288" i="48" s="1"/>
  <c r="L288" i="48" s="1"/>
  <c r="M288" i="48" s="1"/>
  <c r="N288" i="48" s="1"/>
  <c r="O288" i="48" s="1"/>
  <c r="P288" i="48" s="1"/>
  <c r="Q288" i="48" s="1"/>
  <c r="R288" i="48" s="1"/>
  <c r="S288" i="48" s="1"/>
  <c r="H288" i="47"/>
  <c r="I288" i="47" s="1"/>
  <c r="J288" i="47" s="1"/>
  <c r="K288" i="47" s="1"/>
  <c r="L288" i="47" s="1"/>
  <c r="M288" i="47" s="1"/>
  <c r="N288" i="47" s="1"/>
  <c r="O288" i="47" s="1"/>
  <c r="P288" i="47" s="1"/>
  <c r="Q288" i="47" s="1"/>
  <c r="R288" i="47" s="1"/>
  <c r="S288" i="47" s="1"/>
  <c r="H288" i="46"/>
  <c r="I288" i="46" s="1"/>
  <c r="J288" i="46" s="1"/>
  <c r="K288" i="46" s="1"/>
  <c r="L288" i="46" s="1"/>
  <c r="M288" i="46" s="1"/>
  <c r="N288" i="46" s="1"/>
  <c r="O288" i="46" s="1"/>
  <c r="P288" i="46" s="1"/>
  <c r="Q288" i="46" s="1"/>
  <c r="R288" i="46" s="1"/>
  <c r="S288" i="46" s="1"/>
  <c r="H288" i="45"/>
  <c r="I288" i="45" s="1"/>
  <c r="J288" i="45" s="1"/>
  <c r="K288" i="45" s="1"/>
  <c r="L288" i="45" s="1"/>
  <c r="M288" i="45" s="1"/>
  <c r="N288" i="45" s="1"/>
  <c r="O288" i="45" s="1"/>
  <c r="P288" i="45" s="1"/>
  <c r="Q288" i="45" s="1"/>
  <c r="R288" i="45" s="1"/>
  <c r="S288" i="45" s="1"/>
  <c r="H288" i="44"/>
  <c r="I288" i="44" s="1"/>
  <c r="J288" i="44" s="1"/>
  <c r="K288" i="44" s="1"/>
  <c r="L288" i="44" s="1"/>
  <c r="M288" i="44" s="1"/>
  <c r="N288" i="44" s="1"/>
  <c r="O288" i="44" s="1"/>
  <c r="P288" i="44" s="1"/>
  <c r="Q288" i="44" s="1"/>
  <c r="R288" i="44" s="1"/>
  <c r="S288" i="44" s="1"/>
  <c r="H288" i="43"/>
  <c r="I288" i="43" s="1"/>
  <c r="J288" i="43" s="1"/>
  <c r="K288" i="43" s="1"/>
  <c r="L288" i="43" s="1"/>
  <c r="M288" i="43" s="1"/>
  <c r="N288" i="43" s="1"/>
  <c r="O288" i="43" s="1"/>
  <c r="P288" i="43" s="1"/>
  <c r="Q288" i="43" s="1"/>
  <c r="R288" i="43" s="1"/>
  <c r="S288" i="43" s="1"/>
  <c r="E294" i="48"/>
  <c r="E294" i="47"/>
  <c r="E294" i="46"/>
  <c r="E294" i="45"/>
  <c r="E294" i="44"/>
  <c r="E294" i="43"/>
  <c r="G192" i="48"/>
  <c r="G192" i="47"/>
  <c r="G192" i="46"/>
  <c r="G192" i="45"/>
  <c r="G192" i="44"/>
  <c r="G192" i="43"/>
  <c r="G247" i="48"/>
  <c r="G247" i="47"/>
  <c r="G247" i="46"/>
  <c r="G247" i="45"/>
  <c r="G247" i="44"/>
  <c r="G247" i="43"/>
  <c r="F206" i="48"/>
  <c r="F206" i="47"/>
  <c r="F206" i="46"/>
  <c r="F206" i="45"/>
  <c r="F206" i="44"/>
  <c r="F206" i="43"/>
  <c r="G222" i="48"/>
  <c r="G222" i="47"/>
  <c r="G222" i="46"/>
  <c r="G222" i="45"/>
  <c r="G222" i="44"/>
  <c r="G222" i="43"/>
  <c r="G150" i="48"/>
  <c r="G150" i="47"/>
  <c r="G150" i="46"/>
  <c r="G150" i="45"/>
  <c r="G150" i="44"/>
  <c r="G150" i="43"/>
  <c r="G168" i="48"/>
  <c r="G168" i="47"/>
  <c r="G168" i="46"/>
  <c r="G168" i="45"/>
  <c r="G168" i="44"/>
  <c r="G168" i="43"/>
  <c r="F293" i="48"/>
  <c r="F293" i="47"/>
  <c r="F293" i="46"/>
  <c r="F293" i="45"/>
  <c r="F293" i="44"/>
  <c r="F293" i="43"/>
  <c r="E295" i="48"/>
  <c r="E295" i="47"/>
  <c r="E295" i="46"/>
  <c r="E295" i="45"/>
  <c r="E295" i="44"/>
  <c r="E295" i="43"/>
  <c r="G286" i="48"/>
  <c r="G286" i="47"/>
  <c r="G286" i="46"/>
  <c r="G286" i="45"/>
  <c r="G286" i="44"/>
  <c r="G286" i="43"/>
  <c r="F291" i="48"/>
  <c r="F291" i="47"/>
  <c r="F291" i="46"/>
  <c r="F291" i="45"/>
  <c r="F291" i="44"/>
  <c r="F291" i="43"/>
  <c r="G217" i="48"/>
  <c r="G217" i="47"/>
  <c r="G217" i="46"/>
  <c r="G217" i="45"/>
  <c r="G217" i="44"/>
  <c r="G217" i="43"/>
  <c r="G197" i="48"/>
  <c r="G197" i="47"/>
  <c r="G197" i="46"/>
  <c r="G197" i="45"/>
  <c r="G197" i="44"/>
  <c r="G197" i="43"/>
  <c r="F231" i="48"/>
  <c r="F231" i="47"/>
  <c r="F231" i="46"/>
  <c r="F231" i="45"/>
  <c r="F231" i="44"/>
  <c r="F231" i="43"/>
  <c r="G193" i="48"/>
  <c r="G193" i="47"/>
  <c r="G193" i="46"/>
  <c r="G193" i="45"/>
  <c r="G193" i="44"/>
  <c r="G193" i="43"/>
  <c r="G248" i="48"/>
  <c r="G248" i="47"/>
  <c r="G248" i="46"/>
  <c r="G248" i="45"/>
  <c r="G248" i="44"/>
  <c r="G248" i="43"/>
  <c r="G202" i="48"/>
  <c r="G202" i="47"/>
  <c r="G202" i="46"/>
  <c r="G202" i="45"/>
  <c r="G202" i="44"/>
  <c r="G202" i="43"/>
  <c r="G223" i="48"/>
  <c r="G223" i="47"/>
  <c r="G223" i="46"/>
  <c r="G223" i="45"/>
  <c r="G223" i="44"/>
  <c r="G223" i="43"/>
  <c r="G162" i="48"/>
  <c r="G162" i="47"/>
  <c r="G162" i="46"/>
  <c r="G162" i="45"/>
  <c r="G162" i="44"/>
  <c r="G162" i="43"/>
  <c r="F241" i="48"/>
  <c r="F241" i="47"/>
  <c r="F241" i="46"/>
  <c r="F241" i="45"/>
  <c r="F241" i="44"/>
  <c r="F241" i="43"/>
  <c r="H286" i="48"/>
  <c r="I286" i="48" s="1"/>
  <c r="J286" i="48" s="1"/>
  <c r="K286" i="48" s="1"/>
  <c r="L286" i="48" s="1"/>
  <c r="M286" i="48" s="1"/>
  <c r="N286" i="48" s="1"/>
  <c r="O286" i="48" s="1"/>
  <c r="P286" i="48" s="1"/>
  <c r="Q286" i="48" s="1"/>
  <c r="R286" i="48" s="1"/>
  <c r="S286" i="48" s="1"/>
  <c r="H286" i="47"/>
  <c r="I286" i="47" s="1"/>
  <c r="J286" i="47" s="1"/>
  <c r="K286" i="47" s="1"/>
  <c r="L286" i="47" s="1"/>
  <c r="M286" i="47" s="1"/>
  <c r="N286" i="47" s="1"/>
  <c r="O286" i="47" s="1"/>
  <c r="P286" i="47" s="1"/>
  <c r="Q286" i="47" s="1"/>
  <c r="R286" i="47" s="1"/>
  <c r="S286" i="47" s="1"/>
  <c r="H286" i="46"/>
  <c r="I286" i="46" s="1"/>
  <c r="J286" i="46" s="1"/>
  <c r="K286" i="46" s="1"/>
  <c r="L286" i="46" s="1"/>
  <c r="M286" i="46" s="1"/>
  <c r="N286" i="46" s="1"/>
  <c r="O286" i="46" s="1"/>
  <c r="P286" i="46" s="1"/>
  <c r="Q286" i="46" s="1"/>
  <c r="R286" i="46" s="1"/>
  <c r="S286" i="46" s="1"/>
  <c r="H286" i="45"/>
  <c r="I286" i="45" s="1"/>
  <c r="J286" i="45" s="1"/>
  <c r="K286" i="45" s="1"/>
  <c r="L286" i="45" s="1"/>
  <c r="M286" i="45" s="1"/>
  <c r="N286" i="45" s="1"/>
  <c r="O286" i="45" s="1"/>
  <c r="P286" i="45" s="1"/>
  <c r="Q286" i="45" s="1"/>
  <c r="R286" i="45" s="1"/>
  <c r="S286" i="45" s="1"/>
  <c r="H286" i="44"/>
  <c r="I286" i="44" s="1"/>
  <c r="J286" i="44" s="1"/>
  <c r="K286" i="44" s="1"/>
  <c r="L286" i="44" s="1"/>
  <c r="M286" i="44" s="1"/>
  <c r="N286" i="44" s="1"/>
  <c r="O286" i="44" s="1"/>
  <c r="P286" i="44" s="1"/>
  <c r="Q286" i="44" s="1"/>
  <c r="R286" i="44" s="1"/>
  <c r="S286" i="44" s="1"/>
  <c r="H286" i="43"/>
  <c r="I286" i="43" s="1"/>
  <c r="J286" i="43" s="1"/>
  <c r="K286" i="43" s="1"/>
  <c r="L286" i="43" s="1"/>
  <c r="M286" i="43" s="1"/>
  <c r="N286" i="43" s="1"/>
  <c r="O286" i="43" s="1"/>
  <c r="P286" i="43" s="1"/>
  <c r="Q286" i="43" s="1"/>
  <c r="R286" i="43" s="1"/>
  <c r="S286" i="43" s="1"/>
  <c r="G218" i="48"/>
  <c r="G218" i="47"/>
  <c r="G218" i="46"/>
  <c r="G218" i="45"/>
  <c r="G218" i="44"/>
  <c r="G218" i="43"/>
  <c r="G198" i="48"/>
  <c r="G198" i="47"/>
  <c r="G198" i="46"/>
  <c r="G198" i="45"/>
  <c r="G198" i="44"/>
  <c r="G198" i="43"/>
  <c r="G135" i="48"/>
  <c r="G135" i="47"/>
  <c r="G135" i="46"/>
  <c r="G135" i="45"/>
  <c r="G135" i="43"/>
  <c r="G135" i="44"/>
  <c r="G187" i="48"/>
  <c r="G187" i="47"/>
  <c r="G187" i="46"/>
  <c r="G187" i="45"/>
  <c r="G187" i="44"/>
  <c r="G187" i="43"/>
  <c r="G203" i="48"/>
  <c r="G203" i="47"/>
  <c r="G203" i="46"/>
  <c r="G203" i="45"/>
  <c r="G203" i="44"/>
  <c r="G203" i="43"/>
  <c r="F216" i="48"/>
  <c r="F216" i="47"/>
  <c r="F216" i="46"/>
  <c r="F216" i="45"/>
  <c r="F216" i="44"/>
  <c r="F216" i="43"/>
  <c r="G163" i="48"/>
  <c r="G163" i="47"/>
  <c r="G163" i="46"/>
  <c r="G163" i="45"/>
  <c r="G163" i="43"/>
  <c r="G163" i="44"/>
  <c r="D302" i="48"/>
  <c r="D301" i="47"/>
  <c r="C311" i="48"/>
  <c r="C311" i="47"/>
  <c r="C311" i="46"/>
  <c r="C311" i="45"/>
  <c r="C311" i="44"/>
  <c r="C311" i="43"/>
  <c r="C307" i="48"/>
  <c r="C307" i="47"/>
  <c r="C307" i="46"/>
  <c r="C307" i="44"/>
  <c r="C307" i="45"/>
  <c r="C307" i="43"/>
  <c r="C308" i="48"/>
  <c r="C308" i="47"/>
  <c r="C308" i="46"/>
  <c r="C308" i="45"/>
  <c r="C308" i="44"/>
  <c r="C308" i="43"/>
  <c r="C132" i="47"/>
  <c r="C132" i="48"/>
  <c r="C132" i="46"/>
  <c r="C132" i="45"/>
  <c r="C132" i="43"/>
  <c r="C132" i="44"/>
  <c r="C152" i="48"/>
  <c r="C152" i="47"/>
  <c r="C152" i="46"/>
  <c r="C152" i="45"/>
  <c r="C152" i="44"/>
  <c r="C152" i="43"/>
  <c r="C133" i="48"/>
  <c r="C133" i="47"/>
  <c r="C133" i="46"/>
  <c r="C133" i="45"/>
  <c r="C133" i="43"/>
  <c r="C133" i="44"/>
  <c r="C153" i="48"/>
  <c r="C153" i="47"/>
  <c r="C153" i="46"/>
  <c r="C153" i="45"/>
  <c r="C153" i="44"/>
  <c r="C153" i="43"/>
  <c r="C142" i="48"/>
  <c r="C142" i="47"/>
  <c r="C142" i="46"/>
  <c r="C142" i="45"/>
  <c r="C142" i="43"/>
  <c r="C142" i="44"/>
  <c r="C157" i="48"/>
  <c r="C157" i="47"/>
  <c r="C157" i="46"/>
  <c r="C157" i="45"/>
  <c r="C157" i="43"/>
  <c r="C157" i="44"/>
  <c r="C143" i="48"/>
  <c r="C143" i="47"/>
  <c r="C143" i="46"/>
  <c r="C143" i="45"/>
  <c r="C143" i="44"/>
  <c r="C143" i="43"/>
  <c r="C158" i="48"/>
  <c r="C158" i="47"/>
  <c r="C158" i="46"/>
  <c r="C158" i="45"/>
  <c r="C158" i="44"/>
  <c r="C158" i="43"/>
  <c r="C306" i="48"/>
  <c r="C306" i="47"/>
  <c r="C306" i="46"/>
  <c r="C306" i="44"/>
  <c r="C306" i="45"/>
  <c r="C306" i="43"/>
  <c r="C305" i="48"/>
  <c r="C305" i="47"/>
  <c r="C305" i="46"/>
  <c r="C305" i="44"/>
  <c r="C305" i="45"/>
  <c r="C305" i="43"/>
  <c r="C118" i="48"/>
  <c r="C118" i="47"/>
  <c r="C118" i="46"/>
  <c r="C118" i="45"/>
  <c r="C118" i="43"/>
  <c r="C118" i="44"/>
  <c r="C137" i="48"/>
  <c r="C137" i="47"/>
  <c r="C137" i="46"/>
  <c r="C137" i="45"/>
  <c r="C137" i="43"/>
  <c r="C137" i="44"/>
  <c r="C147" i="48"/>
  <c r="C147" i="47"/>
  <c r="C147" i="46"/>
  <c r="C147" i="45"/>
  <c r="C147" i="44"/>
  <c r="C147" i="43"/>
  <c r="C117" i="47"/>
  <c r="C117" i="48"/>
  <c r="C117" i="46"/>
  <c r="C117" i="45"/>
  <c r="C117" i="44"/>
  <c r="C117" i="43"/>
  <c r="C138" i="48"/>
  <c r="C138" i="47"/>
  <c r="C138" i="46"/>
  <c r="C138" i="45"/>
  <c r="C138" i="44"/>
  <c r="C138" i="43"/>
  <c r="C148" i="48"/>
  <c r="C148" i="47"/>
  <c r="C148" i="46"/>
  <c r="C148" i="45"/>
  <c r="C148" i="43"/>
  <c r="C148" i="44"/>
  <c r="D300" i="47"/>
  <c r="D299" i="46"/>
  <c r="D303" i="48"/>
  <c r="D303" i="46"/>
  <c r="D303" i="47"/>
  <c r="D303" i="45"/>
  <c r="D303" i="44"/>
  <c r="D303" i="43"/>
  <c r="D304" i="47" l="1"/>
  <c r="D301" i="48"/>
  <c r="D304" i="44"/>
  <c r="D300" i="43"/>
  <c r="D301" i="43"/>
  <c r="D301" i="44"/>
  <c r="D301" i="45"/>
  <c r="D301" i="46"/>
  <c r="D304" i="46"/>
  <c r="D302" i="44"/>
  <c r="D302" i="46"/>
  <c r="D300" i="48"/>
  <c r="D304" i="43"/>
  <c r="D299" i="45"/>
  <c r="D302" i="43"/>
  <c r="D299" i="48"/>
  <c r="D304" i="48"/>
  <c r="D302" i="45"/>
  <c r="D302" i="47"/>
  <c r="D299" i="43"/>
  <c r="D299" i="44"/>
  <c r="D299" i="47"/>
  <c r="G253" i="48"/>
  <c r="G253" i="47"/>
  <c r="G253" i="46"/>
  <c r="G253" i="45"/>
  <c r="G253" i="44"/>
  <c r="G253" i="43"/>
  <c r="F213" i="48"/>
  <c r="F213" i="47"/>
  <c r="F213" i="46"/>
  <c r="F213" i="45"/>
  <c r="F213" i="44"/>
  <c r="F213" i="43"/>
  <c r="F223" i="48"/>
  <c r="F223" i="47"/>
  <c r="F223" i="46"/>
  <c r="F223" i="45"/>
  <c r="F223" i="44"/>
  <c r="F223" i="43"/>
  <c r="F217" i="48"/>
  <c r="F217" i="47"/>
  <c r="F217" i="46"/>
  <c r="F217" i="45"/>
  <c r="F217" i="44"/>
  <c r="F217" i="43"/>
  <c r="F295" i="48"/>
  <c r="F295" i="47"/>
  <c r="F295" i="46"/>
  <c r="F295" i="45"/>
  <c r="F295" i="44"/>
  <c r="F295" i="43"/>
  <c r="G267" i="48"/>
  <c r="G267" i="47"/>
  <c r="G267" i="46"/>
  <c r="G267" i="45"/>
  <c r="G267" i="44"/>
  <c r="G267" i="43"/>
  <c r="G141" i="48"/>
  <c r="G141" i="47"/>
  <c r="G141" i="46"/>
  <c r="G141" i="45"/>
  <c r="G141" i="44"/>
  <c r="G141" i="43"/>
  <c r="G262" i="48"/>
  <c r="G262" i="47"/>
  <c r="G262" i="46"/>
  <c r="G262" i="45"/>
  <c r="G262" i="44"/>
  <c r="G262" i="43"/>
  <c r="G146" i="48"/>
  <c r="G146" i="47"/>
  <c r="G146" i="46"/>
  <c r="G146" i="45"/>
  <c r="G146" i="44"/>
  <c r="G146" i="43"/>
  <c r="F272" i="48"/>
  <c r="F272" i="47"/>
  <c r="F272" i="46"/>
  <c r="F272" i="45"/>
  <c r="F272" i="44"/>
  <c r="F272" i="43"/>
  <c r="F218" i="48"/>
  <c r="F218" i="47"/>
  <c r="F218" i="46"/>
  <c r="F218" i="45"/>
  <c r="F218" i="44"/>
  <c r="F218" i="43"/>
  <c r="G289" i="48"/>
  <c r="G289" i="47"/>
  <c r="G289" i="46"/>
  <c r="G289" i="45"/>
  <c r="G289" i="44"/>
  <c r="G289" i="43"/>
  <c r="F294" i="48"/>
  <c r="F294" i="47"/>
  <c r="F294" i="46"/>
  <c r="F294" i="45"/>
  <c r="F294" i="44"/>
  <c r="F294" i="43"/>
  <c r="G293" i="48"/>
  <c r="G293" i="47"/>
  <c r="G293" i="46"/>
  <c r="G293" i="45"/>
  <c r="G293" i="44"/>
  <c r="G293" i="43"/>
  <c r="F297" i="48"/>
  <c r="F297" i="47"/>
  <c r="F297" i="46"/>
  <c r="F297" i="45"/>
  <c r="F297" i="44"/>
  <c r="F297" i="43"/>
  <c r="G268" i="48"/>
  <c r="G268" i="47"/>
  <c r="G268" i="46"/>
  <c r="G268" i="45"/>
  <c r="G268" i="44"/>
  <c r="G268" i="43"/>
  <c r="G263" i="48"/>
  <c r="G263" i="47"/>
  <c r="G263" i="46"/>
  <c r="G263" i="45"/>
  <c r="G263" i="44"/>
  <c r="G263" i="43"/>
  <c r="F273" i="48"/>
  <c r="F273" i="47"/>
  <c r="F273" i="46"/>
  <c r="F273" i="45"/>
  <c r="F273" i="44"/>
  <c r="F273" i="43"/>
  <c r="G131" i="48"/>
  <c r="G131" i="47"/>
  <c r="G131" i="46"/>
  <c r="G131" i="45"/>
  <c r="G131" i="43"/>
  <c r="G131" i="44"/>
  <c r="H289" i="48"/>
  <c r="I289" i="48" s="1"/>
  <c r="J289" i="48" s="1"/>
  <c r="K289" i="48" s="1"/>
  <c r="L289" i="48" s="1"/>
  <c r="M289" i="48" s="1"/>
  <c r="N289" i="48" s="1"/>
  <c r="O289" i="48" s="1"/>
  <c r="P289" i="48" s="1"/>
  <c r="Q289" i="48" s="1"/>
  <c r="R289" i="48" s="1"/>
  <c r="S289" i="48" s="1"/>
  <c r="H289" i="47"/>
  <c r="I289" i="47" s="1"/>
  <c r="J289" i="47" s="1"/>
  <c r="K289" i="47" s="1"/>
  <c r="L289" i="47" s="1"/>
  <c r="M289" i="47" s="1"/>
  <c r="N289" i="47" s="1"/>
  <c r="O289" i="47" s="1"/>
  <c r="P289" i="47" s="1"/>
  <c r="Q289" i="47" s="1"/>
  <c r="R289" i="47" s="1"/>
  <c r="S289" i="47" s="1"/>
  <c r="H289" i="46"/>
  <c r="I289" i="46" s="1"/>
  <c r="J289" i="46" s="1"/>
  <c r="K289" i="46" s="1"/>
  <c r="L289" i="46" s="1"/>
  <c r="M289" i="46" s="1"/>
  <c r="N289" i="46" s="1"/>
  <c r="O289" i="46" s="1"/>
  <c r="P289" i="46" s="1"/>
  <c r="Q289" i="46" s="1"/>
  <c r="R289" i="46" s="1"/>
  <c r="S289" i="46" s="1"/>
  <c r="H289" i="45"/>
  <c r="I289" i="45" s="1"/>
  <c r="J289" i="45" s="1"/>
  <c r="K289" i="45" s="1"/>
  <c r="L289" i="45" s="1"/>
  <c r="M289" i="45" s="1"/>
  <c r="N289" i="45" s="1"/>
  <c r="O289" i="45" s="1"/>
  <c r="P289" i="45" s="1"/>
  <c r="Q289" i="45" s="1"/>
  <c r="R289" i="45" s="1"/>
  <c r="S289" i="45" s="1"/>
  <c r="H289" i="44"/>
  <c r="I289" i="44" s="1"/>
  <c r="J289" i="44" s="1"/>
  <c r="K289" i="44" s="1"/>
  <c r="L289" i="44" s="1"/>
  <c r="M289" i="44" s="1"/>
  <c r="N289" i="44" s="1"/>
  <c r="O289" i="44" s="1"/>
  <c r="P289" i="44" s="1"/>
  <c r="Q289" i="44" s="1"/>
  <c r="R289" i="44" s="1"/>
  <c r="S289" i="44" s="1"/>
  <c r="H289" i="43"/>
  <c r="I289" i="43" s="1"/>
  <c r="J289" i="43" s="1"/>
  <c r="K289" i="43" s="1"/>
  <c r="L289" i="43" s="1"/>
  <c r="M289" i="43" s="1"/>
  <c r="N289" i="43" s="1"/>
  <c r="O289" i="43" s="1"/>
  <c r="P289" i="43" s="1"/>
  <c r="Q289" i="43" s="1"/>
  <c r="R289" i="43" s="1"/>
  <c r="S289" i="43" s="1"/>
  <c r="E304" i="48"/>
  <c r="E304" i="47"/>
  <c r="E304" i="46"/>
  <c r="E304" i="45"/>
  <c r="E304" i="44"/>
  <c r="E304" i="43"/>
  <c r="H293" i="48"/>
  <c r="I293" i="48" s="1"/>
  <c r="J293" i="48" s="1"/>
  <c r="K293" i="48" s="1"/>
  <c r="L293" i="48" s="1"/>
  <c r="M293" i="48" s="1"/>
  <c r="N293" i="48" s="1"/>
  <c r="O293" i="48" s="1"/>
  <c r="P293" i="48" s="1"/>
  <c r="Q293" i="48" s="1"/>
  <c r="R293" i="48" s="1"/>
  <c r="S293" i="48" s="1"/>
  <c r="H293" i="47"/>
  <c r="I293" i="47" s="1"/>
  <c r="J293" i="47" s="1"/>
  <c r="K293" i="47" s="1"/>
  <c r="L293" i="47" s="1"/>
  <c r="M293" i="47" s="1"/>
  <c r="N293" i="47" s="1"/>
  <c r="O293" i="47" s="1"/>
  <c r="P293" i="47" s="1"/>
  <c r="Q293" i="47" s="1"/>
  <c r="R293" i="47" s="1"/>
  <c r="S293" i="47" s="1"/>
  <c r="H293" i="46"/>
  <c r="I293" i="46" s="1"/>
  <c r="J293" i="46" s="1"/>
  <c r="K293" i="46" s="1"/>
  <c r="L293" i="46" s="1"/>
  <c r="M293" i="46" s="1"/>
  <c r="N293" i="46" s="1"/>
  <c r="O293" i="46" s="1"/>
  <c r="P293" i="46" s="1"/>
  <c r="Q293" i="46" s="1"/>
  <c r="R293" i="46" s="1"/>
  <c r="S293" i="46" s="1"/>
  <c r="H293" i="45"/>
  <c r="I293" i="45" s="1"/>
  <c r="J293" i="45" s="1"/>
  <c r="K293" i="45" s="1"/>
  <c r="L293" i="45" s="1"/>
  <c r="M293" i="45" s="1"/>
  <c r="N293" i="45" s="1"/>
  <c r="O293" i="45" s="1"/>
  <c r="P293" i="45" s="1"/>
  <c r="Q293" i="45" s="1"/>
  <c r="R293" i="45" s="1"/>
  <c r="S293" i="45" s="1"/>
  <c r="H293" i="44"/>
  <c r="I293" i="44" s="1"/>
  <c r="J293" i="44" s="1"/>
  <c r="K293" i="44" s="1"/>
  <c r="L293" i="44" s="1"/>
  <c r="M293" i="44" s="1"/>
  <c r="N293" i="44" s="1"/>
  <c r="O293" i="44" s="1"/>
  <c r="P293" i="44" s="1"/>
  <c r="Q293" i="44" s="1"/>
  <c r="R293" i="44" s="1"/>
  <c r="S293" i="44" s="1"/>
  <c r="H293" i="43"/>
  <c r="I293" i="43" s="1"/>
  <c r="J293" i="43" s="1"/>
  <c r="K293" i="43" s="1"/>
  <c r="L293" i="43" s="1"/>
  <c r="M293" i="43" s="1"/>
  <c r="N293" i="43" s="1"/>
  <c r="O293" i="43" s="1"/>
  <c r="P293" i="43" s="1"/>
  <c r="Q293" i="43" s="1"/>
  <c r="R293" i="43" s="1"/>
  <c r="S293" i="43" s="1"/>
  <c r="F207" i="48"/>
  <c r="F207" i="47"/>
  <c r="F207" i="46"/>
  <c r="F207" i="45"/>
  <c r="F207" i="44"/>
  <c r="F207" i="43"/>
  <c r="F227" i="48"/>
  <c r="F227" i="47"/>
  <c r="F227" i="46"/>
  <c r="F227" i="45"/>
  <c r="F227" i="44"/>
  <c r="F227" i="43"/>
  <c r="F247" i="48"/>
  <c r="F247" i="47"/>
  <c r="F247" i="46"/>
  <c r="F247" i="45"/>
  <c r="F247" i="44"/>
  <c r="F247" i="43"/>
  <c r="F267" i="48"/>
  <c r="F267" i="47"/>
  <c r="F267" i="46"/>
  <c r="F267" i="45"/>
  <c r="F267" i="44"/>
  <c r="F267" i="43"/>
  <c r="F237" i="48"/>
  <c r="F237" i="47"/>
  <c r="F237" i="46"/>
  <c r="F237" i="45"/>
  <c r="F237" i="44"/>
  <c r="F237" i="43"/>
  <c r="F296" i="48"/>
  <c r="F296" i="47"/>
  <c r="F296" i="46"/>
  <c r="F296" i="45"/>
  <c r="F296" i="44"/>
  <c r="F296" i="43"/>
  <c r="G292" i="48"/>
  <c r="G292" i="47"/>
  <c r="G292" i="46"/>
  <c r="G292" i="45"/>
  <c r="G292" i="44"/>
  <c r="G292" i="43"/>
  <c r="F242" i="48"/>
  <c r="F242" i="47"/>
  <c r="F242" i="46"/>
  <c r="F242" i="45"/>
  <c r="F242" i="44"/>
  <c r="F242" i="43"/>
  <c r="F232" i="48"/>
  <c r="F232" i="47"/>
  <c r="F232" i="46"/>
  <c r="F232" i="45"/>
  <c r="F232" i="44"/>
  <c r="F232" i="43"/>
  <c r="F208" i="48"/>
  <c r="F208" i="47"/>
  <c r="F208" i="46"/>
  <c r="F208" i="45"/>
  <c r="F208" i="44"/>
  <c r="F208" i="43"/>
  <c r="F228" i="48"/>
  <c r="F228" i="47"/>
  <c r="F228" i="46"/>
  <c r="F228" i="45"/>
  <c r="F228" i="44"/>
  <c r="F228" i="43"/>
  <c r="F248" i="48"/>
  <c r="F248" i="47"/>
  <c r="F248" i="46"/>
  <c r="F248" i="45"/>
  <c r="F248" i="44"/>
  <c r="F248" i="43"/>
  <c r="F268" i="48"/>
  <c r="F268" i="47"/>
  <c r="F268" i="46"/>
  <c r="F268" i="45"/>
  <c r="F268" i="44"/>
  <c r="F268" i="43"/>
  <c r="F238" i="48"/>
  <c r="F238" i="47"/>
  <c r="F238" i="46"/>
  <c r="F238" i="45"/>
  <c r="F238" i="44"/>
  <c r="F238" i="43"/>
  <c r="G257" i="48"/>
  <c r="G257" i="47"/>
  <c r="G257" i="46"/>
  <c r="G257" i="45"/>
  <c r="G257" i="44"/>
  <c r="G257" i="43"/>
  <c r="G116" i="48"/>
  <c r="G116" i="47"/>
  <c r="G116" i="46"/>
  <c r="G116" i="45"/>
  <c r="G116" i="44"/>
  <c r="G116" i="43"/>
  <c r="E300" i="48"/>
  <c r="E300" i="47"/>
  <c r="E300" i="46"/>
  <c r="E300" i="45"/>
  <c r="E300" i="44"/>
  <c r="E300" i="43"/>
  <c r="H292" i="48"/>
  <c r="I292" i="48" s="1"/>
  <c r="J292" i="48" s="1"/>
  <c r="K292" i="48" s="1"/>
  <c r="L292" i="48" s="1"/>
  <c r="M292" i="48" s="1"/>
  <c r="N292" i="48" s="1"/>
  <c r="O292" i="48" s="1"/>
  <c r="P292" i="48" s="1"/>
  <c r="Q292" i="48" s="1"/>
  <c r="R292" i="48" s="1"/>
  <c r="S292" i="48" s="1"/>
  <c r="H292" i="47"/>
  <c r="I292" i="47" s="1"/>
  <c r="J292" i="47" s="1"/>
  <c r="K292" i="47" s="1"/>
  <c r="L292" i="47" s="1"/>
  <c r="M292" i="47" s="1"/>
  <c r="N292" i="47" s="1"/>
  <c r="O292" i="47" s="1"/>
  <c r="P292" i="47" s="1"/>
  <c r="Q292" i="47" s="1"/>
  <c r="R292" i="47" s="1"/>
  <c r="S292" i="47" s="1"/>
  <c r="H292" i="46"/>
  <c r="I292" i="46" s="1"/>
  <c r="J292" i="46" s="1"/>
  <c r="K292" i="46" s="1"/>
  <c r="L292" i="46" s="1"/>
  <c r="M292" i="46" s="1"/>
  <c r="N292" i="46" s="1"/>
  <c r="O292" i="46" s="1"/>
  <c r="P292" i="46" s="1"/>
  <c r="Q292" i="46" s="1"/>
  <c r="R292" i="46" s="1"/>
  <c r="S292" i="46" s="1"/>
  <c r="H292" i="45"/>
  <c r="I292" i="45" s="1"/>
  <c r="J292" i="45" s="1"/>
  <c r="K292" i="45" s="1"/>
  <c r="L292" i="45" s="1"/>
  <c r="M292" i="45" s="1"/>
  <c r="N292" i="45" s="1"/>
  <c r="O292" i="45" s="1"/>
  <c r="P292" i="45" s="1"/>
  <c r="Q292" i="45" s="1"/>
  <c r="R292" i="45" s="1"/>
  <c r="S292" i="45" s="1"/>
  <c r="H292" i="44"/>
  <c r="I292" i="44" s="1"/>
  <c r="J292" i="44" s="1"/>
  <c r="K292" i="44" s="1"/>
  <c r="L292" i="44" s="1"/>
  <c r="M292" i="44" s="1"/>
  <c r="N292" i="44" s="1"/>
  <c r="O292" i="44" s="1"/>
  <c r="P292" i="44" s="1"/>
  <c r="Q292" i="44" s="1"/>
  <c r="R292" i="44" s="1"/>
  <c r="S292" i="44" s="1"/>
  <c r="H292" i="43"/>
  <c r="I292" i="43" s="1"/>
  <c r="J292" i="43" s="1"/>
  <c r="K292" i="43" s="1"/>
  <c r="L292" i="43" s="1"/>
  <c r="M292" i="43" s="1"/>
  <c r="N292" i="43" s="1"/>
  <c r="O292" i="43" s="1"/>
  <c r="P292" i="43" s="1"/>
  <c r="Q292" i="43" s="1"/>
  <c r="R292" i="43" s="1"/>
  <c r="S292" i="43" s="1"/>
  <c r="F243" i="48"/>
  <c r="F243" i="47"/>
  <c r="F243" i="46"/>
  <c r="F243" i="45"/>
  <c r="F243" i="44"/>
  <c r="F243" i="43"/>
  <c r="F233" i="48"/>
  <c r="F233" i="47"/>
  <c r="F233" i="46"/>
  <c r="F233" i="45"/>
  <c r="F233" i="44"/>
  <c r="F233" i="43"/>
  <c r="G151" i="48"/>
  <c r="G151" i="47"/>
  <c r="G151" i="46"/>
  <c r="G151" i="45"/>
  <c r="G151" i="43"/>
  <c r="G151" i="44"/>
  <c r="F257" i="48"/>
  <c r="F257" i="47"/>
  <c r="F257" i="46"/>
  <c r="F257" i="45"/>
  <c r="F257" i="44"/>
  <c r="F257" i="43"/>
  <c r="F262" i="48"/>
  <c r="F262" i="47"/>
  <c r="F262" i="46"/>
  <c r="F262" i="45"/>
  <c r="F262" i="44"/>
  <c r="F262" i="43"/>
  <c r="G258" i="48"/>
  <c r="G258" i="47"/>
  <c r="G258" i="46"/>
  <c r="G258" i="45"/>
  <c r="G258" i="44"/>
  <c r="G258" i="43"/>
  <c r="G291" i="48"/>
  <c r="G291" i="47"/>
  <c r="G291" i="46"/>
  <c r="G291" i="45"/>
  <c r="G291" i="44"/>
  <c r="G291" i="43"/>
  <c r="E303" i="48"/>
  <c r="E303" i="47"/>
  <c r="E303" i="46"/>
  <c r="E303" i="45"/>
  <c r="E303" i="44"/>
  <c r="E303" i="43"/>
  <c r="H291" i="48"/>
  <c r="I291" i="48" s="1"/>
  <c r="J291" i="48" s="1"/>
  <c r="K291" i="48" s="1"/>
  <c r="L291" i="48" s="1"/>
  <c r="M291" i="48" s="1"/>
  <c r="N291" i="48" s="1"/>
  <c r="O291" i="48" s="1"/>
  <c r="P291" i="48" s="1"/>
  <c r="Q291" i="48" s="1"/>
  <c r="R291" i="48" s="1"/>
  <c r="S291" i="48" s="1"/>
  <c r="H291" i="47"/>
  <c r="I291" i="47" s="1"/>
  <c r="J291" i="47" s="1"/>
  <c r="K291" i="47" s="1"/>
  <c r="L291" i="47" s="1"/>
  <c r="M291" i="47" s="1"/>
  <c r="N291" i="47" s="1"/>
  <c r="O291" i="47" s="1"/>
  <c r="P291" i="47" s="1"/>
  <c r="Q291" i="47" s="1"/>
  <c r="R291" i="47" s="1"/>
  <c r="S291" i="47" s="1"/>
  <c r="H291" i="46"/>
  <c r="I291" i="46" s="1"/>
  <c r="J291" i="46" s="1"/>
  <c r="K291" i="46" s="1"/>
  <c r="L291" i="46" s="1"/>
  <c r="M291" i="46" s="1"/>
  <c r="N291" i="46" s="1"/>
  <c r="O291" i="46" s="1"/>
  <c r="P291" i="46" s="1"/>
  <c r="Q291" i="46" s="1"/>
  <c r="R291" i="46" s="1"/>
  <c r="S291" i="46" s="1"/>
  <c r="H291" i="45"/>
  <c r="I291" i="45" s="1"/>
  <c r="J291" i="45" s="1"/>
  <c r="K291" i="45" s="1"/>
  <c r="L291" i="45" s="1"/>
  <c r="M291" i="45" s="1"/>
  <c r="N291" i="45" s="1"/>
  <c r="O291" i="45" s="1"/>
  <c r="P291" i="45" s="1"/>
  <c r="Q291" i="45" s="1"/>
  <c r="R291" i="45" s="1"/>
  <c r="S291" i="45" s="1"/>
  <c r="H291" i="44"/>
  <c r="I291" i="44" s="1"/>
  <c r="J291" i="44" s="1"/>
  <c r="K291" i="44" s="1"/>
  <c r="L291" i="44" s="1"/>
  <c r="M291" i="44" s="1"/>
  <c r="N291" i="44" s="1"/>
  <c r="O291" i="44" s="1"/>
  <c r="P291" i="44" s="1"/>
  <c r="Q291" i="44" s="1"/>
  <c r="R291" i="44" s="1"/>
  <c r="S291" i="44" s="1"/>
  <c r="H291" i="43"/>
  <c r="I291" i="43" s="1"/>
  <c r="J291" i="43" s="1"/>
  <c r="K291" i="43" s="1"/>
  <c r="L291" i="43" s="1"/>
  <c r="M291" i="43" s="1"/>
  <c r="N291" i="43" s="1"/>
  <c r="O291" i="43" s="1"/>
  <c r="P291" i="43" s="1"/>
  <c r="Q291" i="43" s="1"/>
  <c r="R291" i="43" s="1"/>
  <c r="S291" i="43" s="1"/>
  <c r="E302" i="48"/>
  <c r="E302" i="47"/>
  <c r="E302" i="46"/>
  <c r="E302" i="45"/>
  <c r="E302" i="44"/>
  <c r="E302" i="43"/>
  <c r="F298" i="48"/>
  <c r="F298" i="47"/>
  <c r="F298" i="46"/>
  <c r="F298" i="45"/>
  <c r="F298" i="44"/>
  <c r="F298" i="43"/>
  <c r="E299" i="48"/>
  <c r="E299" i="47"/>
  <c r="E299" i="46"/>
  <c r="E299" i="45"/>
  <c r="E299" i="44"/>
  <c r="E299" i="43"/>
  <c r="F258" i="48"/>
  <c r="F258" i="47"/>
  <c r="F258" i="46"/>
  <c r="F258" i="45"/>
  <c r="F258" i="44"/>
  <c r="F258" i="43"/>
  <c r="F263" i="48"/>
  <c r="F263" i="47"/>
  <c r="F263" i="46"/>
  <c r="F263" i="45"/>
  <c r="F263" i="44"/>
  <c r="F263" i="43"/>
  <c r="F252" i="48"/>
  <c r="F252" i="47"/>
  <c r="F252" i="46"/>
  <c r="F252" i="45"/>
  <c r="F252" i="44"/>
  <c r="F252" i="43"/>
  <c r="G136" i="48"/>
  <c r="G136" i="47"/>
  <c r="G136" i="46"/>
  <c r="G136" i="45"/>
  <c r="G136" i="44"/>
  <c r="G136" i="43"/>
  <c r="E301" i="48"/>
  <c r="E301" i="47"/>
  <c r="E301" i="46"/>
  <c r="E301" i="45"/>
  <c r="E301" i="44"/>
  <c r="E301" i="43"/>
  <c r="G290" i="48"/>
  <c r="G290" i="47"/>
  <c r="G290" i="46"/>
  <c r="G290" i="45"/>
  <c r="G290" i="44"/>
  <c r="G290" i="43"/>
  <c r="H290" i="48"/>
  <c r="I290" i="48" s="1"/>
  <c r="J290" i="48" s="1"/>
  <c r="K290" i="48" s="1"/>
  <c r="L290" i="48" s="1"/>
  <c r="M290" i="48" s="1"/>
  <c r="N290" i="48" s="1"/>
  <c r="O290" i="48" s="1"/>
  <c r="P290" i="48" s="1"/>
  <c r="Q290" i="48" s="1"/>
  <c r="R290" i="48" s="1"/>
  <c r="S290" i="48" s="1"/>
  <c r="H290" i="47"/>
  <c r="I290" i="47" s="1"/>
  <c r="J290" i="47" s="1"/>
  <c r="K290" i="47" s="1"/>
  <c r="L290" i="47" s="1"/>
  <c r="M290" i="47" s="1"/>
  <c r="N290" i="47" s="1"/>
  <c r="O290" i="47" s="1"/>
  <c r="P290" i="47" s="1"/>
  <c r="Q290" i="47" s="1"/>
  <c r="R290" i="47" s="1"/>
  <c r="S290" i="47" s="1"/>
  <c r="H290" i="46"/>
  <c r="I290" i="46" s="1"/>
  <c r="J290" i="46" s="1"/>
  <c r="K290" i="46" s="1"/>
  <c r="L290" i="46" s="1"/>
  <c r="M290" i="46" s="1"/>
  <c r="N290" i="46" s="1"/>
  <c r="O290" i="46" s="1"/>
  <c r="P290" i="46" s="1"/>
  <c r="Q290" i="46" s="1"/>
  <c r="R290" i="46" s="1"/>
  <c r="S290" i="46" s="1"/>
  <c r="H290" i="45"/>
  <c r="I290" i="45" s="1"/>
  <c r="J290" i="45" s="1"/>
  <c r="K290" i="45" s="1"/>
  <c r="L290" i="45" s="1"/>
  <c r="M290" i="45" s="1"/>
  <c r="N290" i="45" s="1"/>
  <c r="O290" i="45" s="1"/>
  <c r="P290" i="45" s="1"/>
  <c r="Q290" i="45" s="1"/>
  <c r="R290" i="45" s="1"/>
  <c r="S290" i="45" s="1"/>
  <c r="H290" i="44"/>
  <c r="I290" i="44" s="1"/>
  <c r="J290" i="44" s="1"/>
  <c r="K290" i="44" s="1"/>
  <c r="L290" i="44" s="1"/>
  <c r="M290" i="44" s="1"/>
  <c r="N290" i="44" s="1"/>
  <c r="O290" i="44" s="1"/>
  <c r="P290" i="44" s="1"/>
  <c r="Q290" i="44" s="1"/>
  <c r="R290" i="44" s="1"/>
  <c r="S290" i="44" s="1"/>
  <c r="H290" i="43"/>
  <c r="I290" i="43" s="1"/>
  <c r="J290" i="43" s="1"/>
  <c r="K290" i="43" s="1"/>
  <c r="L290" i="43" s="1"/>
  <c r="M290" i="43" s="1"/>
  <c r="N290" i="43" s="1"/>
  <c r="O290" i="43" s="1"/>
  <c r="P290" i="43" s="1"/>
  <c r="Q290" i="43" s="1"/>
  <c r="R290" i="43" s="1"/>
  <c r="S290" i="43" s="1"/>
  <c r="G252" i="48"/>
  <c r="G252" i="47"/>
  <c r="G252" i="46"/>
  <c r="G252" i="45"/>
  <c r="G252" i="44"/>
  <c r="G252" i="43"/>
  <c r="F212" i="48"/>
  <c r="F212" i="47"/>
  <c r="F212" i="46"/>
  <c r="F212" i="45"/>
  <c r="F212" i="44"/>
  <c r="F212" i="43"/>
  <c r="G156" i="48"/>
  <c r="G156" i="47"/>
  <c r="G156" i="46"/>
  <c r="G156" i="45"/>
  <c r="G156" i="44"/>
  <c r="G156" i="43"/>
  <c r="F222" i="48"/>
  <c r="F222" i="47"/>
  <c r="F222" i="46"/>
  <c r="F222" i="45"/>
  <c r="F222" i="44"/>
  <c r="F222" i="43"/>
  <c r="F253" i="48"/>
  <c r="F253" i="47"/>
  <c r="F253" i="46"/>
  <c r="F253" i="45"/>
  <c r="F253" i="44"/>
  <c r="F253" i="43"/>
  <c r="C312" i="48"/>
  <c r="C312" i="47"/>
  <c r="C312" i="46"/>
  <c r="C312" i="44"/>
  <c r="C312" i="45"/>
  <c r="C312" i="43"/>
  <c r="C309" i="48"/>
  <c r="C309" i="47"/>
  <c r="C309" i="46"/>
  <c r="C309" i="45"/>
  <c r="C309" i="44"/>
  <c r="C309" i="43"/>
  <c r="C310" i="48"/>
  <c r="C310" i="47"/>
  <c r="C310" i="46"/>
  <c r="C310" i="44"/>
  <c r="C310" i="45"/>
  <c r="C310" i="43"/>
  <c r="C313" i="47"/>
  <c r="C313" i="48"/>
  <c r="C313" i="46"/>
  <c r="C313" i="44"/>
  <c r="C313" i="45"/>
  <c r="C313" i="43"/>
  <c r="D300" i="45"/>
  <c r="D300" i="44"/>
  <c r="D300" i="46"/>
  <c r="D305" i="48"/>
  <c r="D305" i="46"/>
  <c r="D305" i="47"/>
  <c r="D305" i="45"/>
  <c r="D305" i="44"/>
  <c r="D305" i="43"/>
  <c r="D308" i="48"/>
  <c r="D308" i="46"/>
  <c r="D308" i="47"/>
  <c r="D308" i="45"/>
  <c r="D308" i="44"/>
  <c r="D308" i="43"/>
  <c r="D307" i="48"/>
  <c r="D307" i="46"/>
  <c r="D307" i="47"/>
  <c r="D307" i="45"/>
  <c r="D307" i="44"/>
  <c r="D307" i="43"/>
  <c r="D294" i="48"/>
  <c r="D294" i="47"/>
  <c r="D294" i="46"/>
  <c r="D294" i="45"/>
  <c r="D294" i="44"/>
  <c r="D294" i="43"/>
  <c r="D306" i="48"/>
  <c r="D306" i="46"/>
  <c r="D306" i="47"/>
  <c r="D306" i="45"/>
  <c r="D306" i="44"/>
  <c r="D306" i="43"/>
  <c r="D311" i="48"/>
  <c r="D311" i="46"/>
  <c r="D311" i="47"/>
  <c r="D311" i="45"/>
  <c r="D311" i="44"/>
  <c r="D311" i="43"/>
  <c r="E306" i="48" l="1"/>
  <c r="E306" i="47"/>
  <c r="E306" i="46"/>
  <c r="E306" i="45"/>
  <c r="E306" i="44"/>
  <c r="E306" i="43"/>
  <c r="E307" i="48"/>
  <c r="E307" i="47"/>
  <c r="E307" i="46"/>
  <c r="E307" i="45"/>
  <c r="E307" i="44"/>
  <c r="E307" i="43"/>
  <c r="G296" i="48"/>
  <c r="G296" i="47"/>
  <c r="G296" i="46"/>
  <c r="G296" i="45"/>
  <c r="G296" i="44"/>
  <c r="G296" i="43"/>
  <c r="F303" i="48"/>
  <c r="F303" i="47"/>
  <c r="F303" i="46"/>
  <c r="F303" i="45"/>
  <c r="F303" i="44"/>
  <c r="F303" i="43"/>
  <c r="F300" i="48"/>
  <c r="F300" i="47"/>
  <c r="F300" i="46"/>
  <c r="F300" i="45"/>
  <c r="F300" i="44"/>
  <c r="F300" i="43"/>
  <c r="F299" i="48"/>
  <c r="F299" i="47"/>
  <c r="F299" i="46"/>
  <c r="F299" i="45"/>
  <c r="F299" i="44"/>
  <c r="F299" i="43"/>
  <c r="E308" i="48"/>
  <c r="E308" i="47"/>
  <c r="E308" i="46"/>
  <c r="E308" i="45"/>
  <c r="E308" i="44"/>
  <c r="E308" i="43"/>
  <c r="G117" i="48"/>
  <c r="G117" i="47"/>
  <c r="G117" i="46"/>
  <c r="G117" i="45"/>
  <c r="G117" i="43"/>
  <c r="G117" i="44"/>
  <c r="G157" i="48"/>
  <c r="G157" i="47"/>
  <c r="G157" i="46"/>
  <c r="G157" i="45"/>
  <c r="G157" i="44"/>
  <c r="G157" i="43"/>
  <c r="F301" i="48"/>
  <c r="F301" i="47"/>
  <c r="F301" i="46"/>
  <c r="F301" i="45"/>
  <c r="F301" i="44"/>
  <c r="F301" i="43"/>
  <c r="G132" i="48"/>
  <c r="G132" i="47"/>
  <c r="G132" i="46"/>
  <c r="G132" i="45"/>
  <c r="G132" i="44"/>
  <c r="G132" i="43"/>
  <c r="H296" i="48"/>
  <c r="I296" i="48" s="1"/>
  <c r="J296" i="48" s="1"/>
  <c r="K296" i="48" s="1"/>
  <c r="L296" i="48" s="1"/>
  <c r="M296" i="48" s="1"/>
  <c r="N296" i="48" s="1"/>
  <c r="O296" i="48" s="1"/>
  <c r="P296" i="48" s="1"/>
  <c r="Q296" i="48" s="1"/>
  <c r="R296" i="48" s="1"/>
  <c r="S296" i="48" s="1"/>
  <c r="H296" i="47"/>
  <c r="I296" i="47" s="1"/>
  <c r="J296" i="47" s="1"/>
  <c r="K296" i="47" s="1"/>
  <c r="L296" i="47" s="1"/>
  <c r="M296" i="47" s="1"/>
  <c r="N296" i="47" s="1"/>
  <c r="O296" i="47" s="1"/>
  <c r="P296" i="47" s="1"/>
  <c r="Q296" i="47" s="1"/>
  <c r="R296" i="47" s="1"/>
  <c r="S296" i="47" s="1"/>
  <c r="H296" i="46"/>
  <c r="I296" i="46" s="1"/>
  <c r="J296" i="46" s="1"/>
  <c r="K296" i="46" s="1"/>
  <c r="L296" i="46" s="1"/>
  <c r="M296" i="46" s="1"/>
  <c r="N296" i="46" s="1"/>
  <c r="O296" i="46" s="1"/>
  <c r="P296" i="46" s="1"/>
  <c r="Q296" i="46" s="1"/>
  <c r="R296" i="46" s="1"/>
  <c r="S296" i="46" s="1"/>
  <c r="H296" i="45"/>
  <c r="I296" i="45" s="1"/>
  <c r="J296" i="45" s="1"/>
  <c r="K296" i="45" s="1"/>
  <c r="L296" i="45" s="1"/>
  <c r="M296" i="45" s="1"/>
  <c r="N296" i="45" s="1"/>
  <c r="O296" i="45" s="1"/>
  <c r="P296" i="45" s="1"/>
  <c r="Q296" i="45" s="1"/>
  <c r="R296" i="45" s="1"/>
  <c r="S296" i="45" s="1"/>
  <c r="H296" i="44"/>
  <c r="I296" i="44" s="1"/>
  <c r="J296" i="44" s="1"/>
  <c r="K296" i="44" s="1"/>
  <c r="L296" i="44" s="1"/>
  <c r="M296" i="44" s="1"/>
  <c r="N296" i="44" s="1"/>
  <c r="O296" i="44" s="1"/>
  <c r="P296" i="44" s="1"/>
  <c r="Q296" i="44" s="1"/>
  <c r="R296" i="44" s="1"/>
  <c r="S296" i="44" s="1"/>
  <c r="H296" i="43"/>
  <c r="I296" i="43" s="1"/>
  <c r="J296" i="43" s="1"/>
  <c r="K296" i="43" s="1"/>
  <c r="L296" i="43" s="1"/>
  <c r="M296" i="43" s="1"/>
  <c r="N296" i="43" s="1"/>
  <c r="O296" i="43" s="1"/>
  <c r="P296" i="43" s="1"/>
  <c r="Q296" i="43" s="1"/>
  <c r="R296" i="43" s="1"/>
  <c r="S296" i="43" s="1"/>
  <c r="F304" i="48"/>
  <c r="F304" i="47"/>
  <c r="F304" i="46"/>
  <c r="F304" i="45"/>
  <c r="F304" i="44"/>
  <c r="F304" i="43"/>
  <c r="G295" i="48"/>
  <c r="G295" i="47"/>
  <c r="G295" i="46"/>
  <c r="G295" i="45"/>
  <c r="G295" i="44"/>
  <c r="G295" i="43"/>
  <c r="G298" i="48"/>
  <c r="G298" i="47"/>
  <c r="G298" i="46"/>
  <c r="G298" i="45"/>
  <c r="G298" i="44"/>
  <c r="G298" i="43"/>
  <c r="G137" i="48"/>
  <c r="G137" i="47"/>
  <c r="G137" i="46"/>
  <c r="G137" i="45"/>
  <c r="G137" i="44"/>
  <c r="G137" i="43"/>
  <c r="H295" i="48"/>
  <c r="I295" i="48" s="1"/>
  <c r="J295" i="48" s="1"/>
  <c r="K295" i="48" s="1"/>
  <c r="L295" i="48" s="1"/>
  <c r="M295" i="48" s="1"/>
  <c r="N295" i="48" s="1"/>
  <c r="O295" i="48" s="1"/>
  <c r="P295" i="48" s="1"/>
  <c r="Q295" i="48" s="1"/>
  <c r="R295" i="48" s="1"/>
  <c r="S295" i="48" s="1"/>
  <c r="H295" i="47"/>
  <c r="I295" i="47" s="1"/>
  <c r="J295" i="47" s="1"/>
  <c r="K295" i="47" s="1"/>
  <c r="L295" i="47" s="1"/>
  <c r="M295" i="47" s="1"/>
  <c r="N295" i="47" s="1"/>
  <c r="O295" i="47" s="1"/>
  <c r="P295" i="47" s="1"/>
  <c r="Q295" i="47" s="1"/>
  <c r="R295" i="47" s="1"/>
  <c r="S295" i="47" s="1"/>
  <c r="H295" i="46"/>
  <c r="I295" i="46" s="1"/>
  <c r="J295" i="46" s="1"/>
  <c r="K295" i="46" s="1"/>
  <c r="L295" i="46" s="1"/>
  <c r="M295" i="46" s="1"/>
  <c r="N295" i="46" s="1"/>
  <c r="O295" i="46" s="1"/>
  <c r="P295" i="46" s="1"/>
  <c r="Q295" i="46" s="1"/>
  <c r="R295" i="46" s="1"/>
  <c r="S295" i="46" s="1"/>
  <c r="H295" i="45"/>
  <c r="I295" i="45" s="1"/>
  <c r="J295" i="45" s="1"/>
  <c r="K295" i="45" s="1"/>
  <c r="L295" i="45" s="1"/>
  <c r="M295" i="45" s="1"/>
  <c r="N295" i="45" s="1"/>
  <c r="O295" i="45" s="1"/>
  <c r="P295" i="45" s="1"/>
  <c r="Q295" i="45" s="1"/>
  <c r="R295" i="45" s="1"/>
  <c r="S295" i="45" s="1"/>
  <c r="H295" i="44"/>
  <c r="I295" i="44" s="1"/>
  <c r="J295" i="44" s="1"/>
  <c r="K295" i="44" s="1"/>
  <c r="L295" i="44" s="1"/>
  <c r="M295" i="44" s="1"/>
  <c r="N295" i="44" s="1"/>
  <c r="O295" i="44" s="1"/>
  <c r="P295" i="44" s="1"/>
  <c r="Q295" i="44" s="1"/>
  <c r="R295" i="44" s="1"/>
  <c r="S295" i="44" s="1"/>
  <c r="H295" i="43"/>
  <c r="I295" i="43" s="1"/>
  <c r="J295" i="43" s="1"/>
  <c r="K295" i="43" s="1"/>
  <c r="L295" i="43" s="1"/>
  <c r="M295" i="43" s="1"/>
  <c r="N295" i="43" s="1"/>
  <c r="O295" i="43" s="1"/>
  <c r="P295" i="43" s="1"/>
  <c r="Q295" i="43" s="1"/>
  <c r="R295" i="43" s="1"/>
  <c r="S295" i="43" s="1"/>
  <c r="H298" i="48"/>
  <c r="I298" i="48" s="1"/>
  <c r="J298" i="48" s="1"/>
  <c r="K298" i="48" s="1"/>
  <c r="L298" i="48" s="1"/>
  <c r="M298" i="48" s="1"/>
  <c r="N298" i="48" s="1"/>
  <c r="O298" i="48" s="1"/>
  <c r="P298" i="48" s="1"/>
  <c r="Q298" i="48" s="1"/>
  <c r="R298" i="48" s="1"/>
  <c r="S298" i="48" s="1"/>
  <c r="H298" i="47"/>
  <c r="I298" i="47" s="1"/>
  <c r="J298" i="47" s="1"/>
  <c r="K298" i="47" s="1"/>
  <c r="L298" i="47" s="1"/>
  <c r="M298" i="47" s="1"/>
  <c r="N298" i="47" s="1"/>
  <c r="O298" i="47" s="1"/>
  <c r="P298" i="47" s="1"/>
  <c r="Q298" i="47" s="1"/>
  <c r="R298" i="47" s="1"/>
  <c r="S298" i="47" s="1"/>
  <c r="H298" i="46"/>
  <c r="I298" i="46" s="1"/>
  <c r="J298" i="46" s="1"/>
  <c r="K298" i="46" s="1"/>
  <c r="L298" i="46" s="1"/>
  <c r="M298" i="46" s="1"/>
  <c r="N298" i="46" s="1"/>
  <c r="O298" i="46" s="1"/>
  <c r="P298" i="46" s="1"/>
  <c r="Q298" i="46" s="1"/>
  <c r="R298" i="46" s="1"/>
  <c r="S298" i="46" s="1"/>
  <c r="H298" i="45"/>
  <c r="I298" i="45" s="1"/>
  <c r="J298" i="45" s="1"/>
  <c r="K298" i="45" s="1"/>
  <c r="L298" i="45" s="1"/>
  <c r="M298" i="45" s="1"/>
  <c r="N298" i="45" s="1"/>
  <c r="O298" i="45" s="1"/>
  <c r="P298" i="45" s="1"/>
  <c r="Q298" i="45" s="1"/>
  <c r="R298" i="45" s="1"/>
  <c r="S298" i="45" s="1"/>
  <c r="H298" i="44"/>
  <c r="I298" i="44" s="1"/>
  <c r="J298" i="44" s="1"/>
  <c r="K298" i="44" s="1"/>
  <c r="L298" i="44" s="1"/>
  <c r="M298" i="44" s="1"/>
  <c r="N298" i="44" s="1"/>
  <c r="O298" i="44" s="1"/>
  <c r="P298" i="44" s="1"/>
  <c r="Q298" i="44" s="1"/>
  <c r="R298" i="44" s="1"/>
  <c r="S298" i="44" s="1"/>
  <c r="H298" i="43"/>
  <c r="I298" i="43" s="1"/>
  <c r="J298" i="43" s="1"/>
  <c r="K298" i="43" s="1"/>
  <c r="L298" i="43" s="1"/>
  <c r="M298" i="43" s="1"/>
  <c r="N298" i="43" s="1"/>
  <c r="O298" i="43" s="1"/>
  <c r="P298" i="43" s="1"/>
  <c r="Q298" i="43" s="1"/>
  <c r="R298" i="43" s="1"/>
  <c r="S298" i="43" s="1"/>
  <c r="G138" i="48"/>
  <c r="G138" i="47"/>
  <c r="G138" i="46"/>
  <c r="G138" i="45"/>
  <c r="G138" i="44"/>
  <c r="G138" i="43"/>
  <c r="G118" i="48"/>
  <c r="G118" i="47"/>
  <c r="G118" i="46"/>
  <c r="G118" i="45"/>
  <c r="G118" i="44"/>
  <c r="G118" i="43"/>
  <c r="G158" i="48"/>
  <c r="G158" i="47"/>
  <c r="G158" i="46"/>
  <c r="G158" i="45"/>
  <c r="G158" i="44"/>
  <c r="G158" i="43"/>
  <c r="G297" i="48"/>
  <c r="G297" i="47"/>
  <c r="G297" i="46"/>
  <c r="G297" i="45"/>
  <c r="G297" i="44"/>
  <c r="G297" i="43"/>
  <c r="G294" i="48"/>
  <c r="G294" i="47"/>
  <c r="G294" i="46"/>
  <c r="G294" i="45"/>
  <c r="G294" i="44"/>
  <c r="G294" i="43"/>
  <c r="E311" i="48"/>
  <c r="E311" i="47"/>
  <c r="E311" i="46"/>
  <c r="E311" i="45"/>
  <c r="E311" i="44"/>
  <c r="E311" i="43"/>
  <c r="F302" i="48"/>
  <c r="F302" i="47"/>
  <c r="F302" i="46"/>
  <c r="F302" i="45"/>
  <c r="F302" i="44"/>
  <c r="F302" i="43"/>
  <c r="G152" i="48"/>
  <c r="G152" i="47"/>
  <c r="G152" i="46"/>
  <c r="G152" i="45"/>
  <c r="G152" i="44"/>
  <c r="G152" i="43"/>
  <c r="G147" i="48"/>
  <c r="G147" i="47"/>
  <c r="G147" i="46"/>
  <c r="G147" i="45"/>
  <c r="G147" i="43"/>
  <c r="G147" i="44"/>
  <c r="G142" i="48"/>
  <c r="G142" i="47"/>
  <c r="G142" i="46"/>
  <c r="G142" i="45"/>
  <c r="G142" i="44"/>
  <c r="G142" i="43"/>
  <c r="E305" i="48"/>
  <c r="E305" i="47"/>
  <c r="E305" i="46"/>
  <c r="E305" i="45"/>
  <c r="E305" i="44"/>
  <c r="E305" i="43"/>
  <c r="H297" i="48"/>
  <c r="I297" i="48" s="1"/>
  <c r="J297" i="48" s="1"/>
  <c r="K297" i="48" s="1"/>
  <c r="L297" i="48" s="1"/>
  <c r="M297" i="48" s="1"/>
  <c r="N297" i="48" s="1"/>
  <c r="O297" i="48" s="1"/>
  <c r="P297" i="48" s="1"/>
  <c r="Q297" i="48" s="1"/>
  <c r="R297" i="48" s="1"/>
  <c r="S297" i="48" s="1"/>
  <c r="H297" i="47"/>
  <c r="I297" i="47" s="1"/>
  <c r="J297" i="47" s="1"/>
  <c r="K297" i="47" s="1"/>
  <c r="L297" i="47" s="1"/>
  <c r="M297" i="47" s="1"/>
  <c r="N297" i="47" s="1"/>
  <c r="O297" i="47" s="1"/>
  <c r="P297" i="47" s="1"/>
  <c r="Q297" i="47" s="1"/>
  <c r="R297" i="47" s="1"/>
  <c r="S297" i="47" s="1"/>
  <c r="H297" i="46"/>
  <c r="I297" i="46" s="1"/>
  <c r="J297" i="46" s="1"/>
  <c r="K297" i="46" s="1"/>
  <c r="L297" i="46" s="1"/>
  <c r="M297" i="46" s="1"/>
  <c r="N297" i="46" s="1"/>
  <c r="O297" i="46" s="1"/>
  <c r="P297" i="46" s="1"/>
  <c r="Q297" i="46" s="1"/>
  <c r="R297" i="46" s="1"/>
  <c r="S297" i="46" s="1"/>
  <c r="H297" i="45"/>
  <c r="I297" i="45" s="1"/>
  <c r="J297" i="45" s="1"/>
  <c r="K297" i="45" s="1"/>
  <c r="L297" i="45" s="1"/>
  <c r="M297" i="45" s="1"/>
  <c r="N297" i="45" s="1"/>
  <c r="O297" i="45" s="1"/>
  <c r="P297" i="45" s="1"/>
  <c r="Q297" i="45" s="1"/>
  <c r="R297" i="45" s="1"/>
  <c r="S297" i="45" s="1"/>
  <c r="H297" i="44"/>
  <c r="I297" i="44" s="1"/>
  <c r="J297" i="44" s="1"/>
  <c r="K297" i="44" s="1"/>
  <c r="L297" i="44" s="1"/>
  <c r="M297" i="44" s="1"/>
  <c r="N297" i="44" s="1"/>
  <c r="O297" i="44" s="1"/>
  <c r="P297" i="44" s="1"/>
  <c r="Q297" i="44" s="1"/>
  <c r="R297" i="44" s="1"/>
  <c r="S297" i="44" s="1"/>
  <c r="H297" i="43"/>
  <c r="I297" i="43" s="1"/>
  <c r="J297" i="43" s="1"/>
  <c r="K297" i="43" s="1"/>
  <c r="L297" i="43" s="1"/>
  <c r="M297" i="43" s="1"/>
  <c r="N297" i="43" s="1"/>
  <c r="O297" i="43" s="1"/>
  <c r="P297" i="43" s="1"/>
  <c r="Q297" i="43" s="1"/>
  <c r="R297" i="43" s="1"/>
  <c r="S297" i="43" s="1"/>
  <c r="H294" i="48"/>
  <c r="I294" i="48" s="1"/>
  <c r="J294" i="48" s="1"/>
  <c r="K294" i="48" s="1"/>
  <c r="L294" i="48" s="1"/>
  <c r="M294" i="48" s="1"/>
  <c r="N294" i="48" s="1"/>
  <c r="O294" i="48" s="1"/>
  <c r="P294" i="48" s="1"/>
  <c r="Q294" i="48" s="1"/>
  <c r="R294" i="48" s="1"/>
  <c r="S294" i="48" s="1"/>
  <c r="H294" i="47"/>
  <c r="I294" i="47" s="1"/>
  <c r="J294" i="47" s="1"/>
  <c r="K294" i="47" s="1"/>
  <c r="L294" i="47" s="1"/>
  <c r="M294" i="47" s="1"/>
  <c r="N294" i="47" s="1"/>
  <c r="O294" i="47" s="1"/>
  <c r="P294" i="47" s="1"/>
  <c r="Q294" i="47" s="1"/>
  <c r="R294" i="47" s="1"/>
  <c r="S294" i="47" s="1"/>
  <c r="H294" i="46"/>
  <c r="I294" i="46" s="1"/>
  <c r="J294" i="46" s="1"/>
  <c r="K294" i="46" s="1"/>
  <c r="L294" i="46" s="1"/>
  <c r="M294" i="46" s="1"/>
  <c r="N294" i="46" s="1"/>
  <c r="O294" i="46" s="1"/>
  <c r="P294" i="46" s="1"/>
  <c r="Q294" i="46" s="1"/>
  <c r="R294" i="46" s="1"/>
  <c r="S294" i="46" s="1"/>
  <c r="H294" i="45"/>
  <c r="I294" i="45" s="1"/>
  <c r="J294" i="45" s="1"/>
  <c r="K294" i="45" s="1"/>
  <c r="L294" i="45" s="1"/>
  <c r="M294" i="45" s="1"/>
  <c r="N294" i="45" s="1"/>
  <c r="O294" i="45" s="1"/>
  <c r="P294" i="45" s="1"/>
  <c r="Q294" i="45" s="1"/>
  <c r="R294" i="45" s="1"/>
  <c r="S294" i="45" s="1"/>
  <c r="H294" i="44"/>
  <c r="I294" i="44" s="1"/>
  <c r="J294" i="44" s="1"/>
  <c r="K294" i="44" s="1"/>
  <c r="L294" i="44" s="1"/>
  <c r="M294" i="44" s="1"/>
  <c r="N294" i="44" s="1"/>
  <c r="O294" i="44" s="1"/>
  <c r="P294" i="44" s="1"/>
  <c r="Q294" i="44" s="1"/>
  <c r="R294" i="44" s="1"/>
  <c r="S294" i="44" s="1"/>
  <c r="H294" i="43"/>
  <c r="I294" i="43" s="1"/>
  <c r="J294" i="43" s="1"/>
  <c r="K294" i="43" s="1"/>
  <c r="L294" i="43" s="1"/>
  <c r="M294" i="43" s="1"/>
  <c r="N294" i="43" s="1"/>
  <c r="O294" i="43" s="1"/>
  <c r="P294" i="43" s="1"/>
  <c r="Q294" i="43" s="1"/>
  <c r="R294" i="43" s="1"/>
  <c r="S294" i="43" s="1"/>
  <c r="G153" i="48"/>
  <c r="G153" i="47"/>
  <c r="G153" i="46"/>
  <c r="G153" i="45"/>
  <c r="G153" i="44"/>
  <c r="G153" i="43"/>
  <c r="G148" i="48"/>
  <c r="G148" i="47"/>
  <c r="G148" i="46"/>
  <c r="G148" i="45"/>
  <c r="G148" i="44"/>
  <c r="G148" i="43"/>
  <c r="G143" i="48"/>
  <c r="G143" i="47"/>
  <c r="G143" i="46"/>
  <c r="G143" i="45"/>
  <c r="G143" i="43"/>
  <c r="G143" i="44"/>
  <c r="G133" i="48"/>
  <c r="G133" i="47"/>
  <c r="G133" i="46"/>
  <c r="G133" i="45"/>
  <c r="G133" i="44"/>
  <c r="G133" i="43"/>
  <c r="C318" i="48"/>
  <c r="C318" i="47"/>
  <c r="C318" i="46"/>
  <c r="C318" i="44"/>
  <c r="C318" i="45"/>
  <c r="C318" i="43"/>
  <c r="C317" i="48"/>
  <c r="C317" i="47"/>
  <c r="C317" i="46"/>
  <c r="C317" i="45"/>
  <c r="C317" i="44"/>
  <c r="C317" i="43"/>
  <c r="C321" i="48"/>
  <c r="C321" i="47"/>
  <c r="C321" i="46"/>
  <c r="C321" i="44"/>
  <c r="C321" i="45"/>
  <c r="C321" i="43"/>
  <c r="C314" i="48"/>
  <c r="C314" i="47"/>
  <c r="C314" i="46"/>
  <c r="C314" i="44"/>
  <c r="C314" i="45"/>
  <c r="C314" i="43"/>
  <c r="C315" i="48"/>
  <c r="C315" i="47"/>
  <c r="C315" i="46"/>
  <c r="C315" i="44"/>
  <c r="C315" i="45"/>
  <c r="C315" i="43"/>
  <c r="C316" i="48"/>
  <c r="C316" i="46"/>
  <c r="C316" i="47"/>
  <c r="C316" i="44"/>
  <c r="C316" i="45"/>
  <c r="C316" i="43"/>
  <c r="D309" i="48"/>
  <c r="D309" i="47"/>
  <c r="D309" i="46"/>
  <c r="D309" i="45"/>
  <c r="D309" i="43"/>
  <c r="D309" i="44"/>
  <c r="D313" i="48"/>
  <c r="D313" i="47"/>
  <c r="D313" i="46"/>
  <c r="D313" i="45"/>
  <c r="D313" i="44"/>
  <c r="D313" i="43"/>
  <c r="D310" i="48"/>
  <c r="D310" i="47"/>
  <c r="D310" i="46"/>
  <c r="D310" i="45"/>
  <c r="D310" i="44"/>
  <c r="D310" i="43"/>
  <c r="D295" i="48"/>
  <c r="D295" i="46"/>
  <c r="D295" i="47"/>
  <c r="D295" i="45"/>
  <c r="D295" i="43"/>
  <c r="D295" i="44"/>
  <c r="D312" i="48"/>
  <c r="D312" i="46"/>
  <c r="D312" i="47"/>
  <c r="D312" i="45"/>
  <c r="D312" i="44"/>
  <c r="D312" i="43"/>
  <c r="H301" i="48" l="1"/>
  <c r="I301" i="48" s="1"/>
  <c r="J301" i="48" s="1"/>
  <c r="K301" i="48" s="1"/>
  <c r="L301" i="48" s="1"/>
  <c r="M301" i="48" s="1"/>
  <c r="N301" i="48" s="1"/>
  <c r="O301" i="48" s="1"/>
  <c r="P301" i="48" s="1"/>
  <c r="Q301" i="48" s="1"/>
  <c r="R301" i="48" s="1"/>
  <c r="S301" i="48" s="1"/>
  <c r="H301" i="47"/>
  <c r="I301" i="47" s="1"/>
  <c r="J301" i="47" s="1"/>
  <c r="K301" i="47" s="1"/>
  <c r="L301" i="47" s="1"/>
  <c r="M301" i="47" s="1"/>
  <c r="N301" i="47" s="1"/>
  <c r="O301" i="47" s="1"/>
  <c r="P301" i="47" s="1"/>
  <c r="Q301" i="47" s="1"/>
  <c r="R301" i="47" s="1"/>
  <c r="S301" i="47" s="1"/>
  <c r="H301" i="46"/>
  <c r="I301" i="46" s="1"/>
  <c r="J301" i="46" s="1"/>
  <c r="K301" i="46" s="1"/>
  <c r="L301" i="46" s="1"/>
  <c r="M301" i="46" s="1"/>
  <c r="N301" i="46" s="1"/>
  <c r="O301" i="46" s="1"/>
  <c r="P301" i="46" s="1"/>
  <c r="Q301" i="46" s="1"/>
  <c r="R301" i="46" s="1"/>
  <c r="S301" i="46" s="1"/>
  <c r="H301" i="45"/>
  <c r="I301" i="45" s="1"/>
  <c r="J301" i="45" s="1"/>
  <c r="K301" i="45" s="1"/>
  <c r="L301" i="45" s="1"/>
  <c r="M301" i="45" s="1"/>
  <c r="N301" i="45" s="1"/>
  <c r="O301" i="45" s="1"/>
  <c r="P301" i="45" s="1"/>
  <c r="Q301" i="45" s="1"/>
  <c r="R301" i="45" s="1"/>
  <c r="S301" i="45" s="1"/>
  <c r="H301" i="44"/>
  <c r="I301" i="44" s="1"/>
  <c r="J301" i="44" s="1"/>
  <c r="K301" i="44" s="1"/>
  <c r="L301" i="44" s="1"/>
  <c r="M301" i="44" s="1"/>
  <c r="N301" i="44" s="1"/>
  <c r="O301" i="44" s="1"/>
  <c r="P301" i="44" s="1"/>
  <c r="Q301" i="44" s="1"/>
  <c r="R301" i="44" s="1"/>
  <c r="S301" i="44" s="1"/>
  <c r="H301" i="43"/>
  <c r="I301" i="43" s="1"/>
  <c r="J301" i="43" s="1"/>
  <c r="K301" i="43" s="1"/>
  <c r="L301" i="43" s="1"/>
  <c r="M301" i="43" s="1"/>
  <c r="N301" i="43" s="1"/>
  <c r="O301" i="43" s="1"/>
  <c r="P301" i="43" s="1"/>
  <c r="Q301" i="43" s="1"/>
  <c r="R301" i="43" s="1"/>
  <c r="S301" i="43" s="1"/>
  <c r="H299" i="48"/>
  <c r="I299" i="48" s="1"/>
  <c r="J299" i="48" s="1"/>
  <c r="K299" i="48" s="1"/>
  <c r="L299" i="48" s="1"/>
  <c r="M299" i="48" s="1"/>
  <c r="N299" i="48" s="1"/>
  <c r="O299" i="48" s="1"/>
  <c r="P299" i="48" s="1"/>
  <c r="Q299" i="48" s="1"/>
  <c r="R299" i="48" s="1"/>
  <c r="S299" i="48" s="1"/>
  <c r="H299" i="47"/>
  <c r="I299" i="47" s="1"/>
  <c r="J299" i="47" s="1"/>
  <c r="K299" i="47" s="1"/>
  <c r="L299" i="47" s="1"/>
  <c r="M299" i="47" s="1"/>
  <c r="N299" i="47" s="1"/>
  <c r="O299" i="47" s="1"/>
  <c r="P299" i="47" s="1"/>
  <c r="Q299" i="47" s="1"/>
  <c r="R299" i="47" s="1"/>
  <c r="S299" i="47" s="1"/>
  <c r="H299" i="46"/>
  <c r="I299" i="46" s="1"/>
  <c r="J299" i="46" s="1"/>
  <c r="K299" i="46" s="1"/>
  <c r="L299" i="46" s="1"/>
  <c r="M299" i="46" s="1"/>
  <c r="N299" i="46" s="1"/>
  <c r="O299" i="46" s="1"/>
  <c r="P299" i="46" s="1"/>
  <c r="Q299" i="46" s="1"/>
  <c r="R299" i="46" s="1"/>
  <c r="S299" i="46" s="1"/>
  <c r="H299" i="45"/>
  <c r="I299" i="45" s="1"/>
  <c r="J299" i="45" s="1"/>
  <c r="K299" i="45" s="1"/>
  <c r="L299" i="45" s="1"/>
  <c r="M299" i="45" s="1"/>
  <c r="N299" i="45" s="1"/>
  <c r="O299" i="45" s="1"/>
  <c r="P299" i="45" s="1"/>
  <c r="Q299" i="45" s="1"/>
  <c r="R299" i="45" s="1"/>
  <c r="S299" i="45" s="1"/>
  <c r="H299" i="44"/>
  <c r="I299" i="44" s="1"/>
  <c r="J299" i="44" s="1"/>
  <c r="K299" i="44" s="1"/>
  <c r="L299" i="44" s="1"/>
  <c r="M299" i="44" s="1"/>
  <c r="N299" i="44" s="1"/>
  <c r="O299" i="44" s="1"/>
  <c r="P299" i="44" s="1"/>
  <c r="Q299" i="44" s="1"/>
  <c r="R299" i="44" s="1"/>
  <c r="S299" i="44" s="1"/>
  <c r="H299" i="43"/>
  <c r="I299" i="43" s="1"/>
  <c r="J299" i="43" s="1"/>
  <c r="K299" i="43" s="1"/>
  <c r="L299" i="43" s="1"/>
  <c r="M299" i="43" s="1"/>
  <c r="N299" i="43" s="1"/>
  <c r="O299" i="43" s="1"/>
  <c r="P299" i="43" s="1"/>
  <c r="Q299" i="43" s="1"/>
  <c r="R299" i="43" s="1"/>
  <c r="S299" i="43" s="1"/>
  <c r="H303" i="48"/>
  <c r="I303" i="48" s="1"/>
  <c r="J303" i="48" s="1"/>
  <c r="K303" i="48" s="1"/>
  <c r="L303" i="48" s="1"/>
  <c r="M303" i="48" s="1"/>
  <c r="N303" i="48" s="1"/>
  <c r="O303" i="48" s="1"/>
  <c r="P303" i="48" s="1"/>
  <c r="Q303" i="48" s="1"/>
  <c r="R303" i="48" s="1"/>
  <c r="S303" i="48" s="1"/>
  <c r="H303" i="47"/>
  <c r="I303" i="47" s="1"/>
  <c r="J303" i="47" s="1"/>
  <c r="K303" i="47" s="1"/>
  <c r="L303" i="47" s="1"/>
  <c r="M303" i="47" s="1"/>
  <c r="N303" i="47" s="1"/>
  <c r="O303" i="47" s="1"/>
  <c r="P303" i="47" s="1"/>
  <c r="Q303" i="47" s="1"/>
  <c r="R303" i="47" s="1"/>
  <c r="S303" i="47" s="1"/>
  <c r="H303" i="46"/>
  <c r="I303" i="46" s="1"/>
  <c r="J303" i="46" s="1"/>
  <c r="K303" i="46" s="1"/>
  <c r="L303" i="46" s="1"/>
  <c r="M303" i="46" s="1"/>
  <c r="N303" i="46" s="1"/>
  <c r="O303" i="46" s="1"/>
  <c r="P303" i="46" s="1"/>
  <c r="Q303" i="46" s="1"/>
  <c r="R303" i="46" s="1"/>
  <c r="S303" i="46" s="1"/>
  <c r="H303" i="45"/>
  <c r="I303" i="45" s="1"/>
  <c r="J303" i="45" s="1"/>
  <c r="K303" i="45" s="1"/>
  <c r="L303" i="45" s="1"/>
  <c r="M303" i="45" s="1"/>
  <c r="N303" i="45" s="1"/>
  <c r="O303" i="45" s="1"/>
  <c r="P303" i="45" s="1"/>
  <c r="Q303" i="45" s="1"/>
  <c r="R303" i="45" s="1"/>
  <c r="S303" i="45" s="1"/>
  <c r="H303" i="44"/>
  <c r="I303" i="44" s="1"/>
  <c r="J303" i="44" s="1"/>
  <c r="K303" i="44" s="1"/>
  <c r="L303" i="44" s="1"/>
  <c r="M303" i="44" s="1"/>
  <c r="N303" i="44" s="1"/>
  <c r="O303" i="44" s="1"/>
  <c r="P303" i="44" s="1"/>
  <c r="Q303" i="44" s="1"/>
  <c r="R303" i="44" s="1"/>
  <c r="S303" i="44" s="1"/>
  <c r="H303" i="43"/>
  <c r="I303" i="43" s="1"/>
  <c r="J303" i="43" s="1"/>
  <c r="K303" i="43" s="1"/>
  <c r="L303" i="43" s="1"/>
  <c r="M303" i="43" s="1"/>
  <c r="N303" i="43" s="1"/>
  <c r="O303" i="43" s="1"/>
  <c r="P303" i="43" s="1"/>
  <c r="Q303" i="43" s="1"/>
  <c r="R303" i="43" s="1"/>
  <c r="S303" i="43" s="1"/>
  <c r="F306" i="48"/>
  <c r="F306" i="47"/>
  <c r="F306" i="46"/>
  <c r="F306" i="45"/>
  <c r="F306" i="44"/>
  <c r="F306" i="43"/>
  <c r="G300" i="48"/>
  <c r="G300" i="47"/>
  <c r="G300" i="46"/>
  <c r="G300" i="45"/>
  <c r="G300" i="44"/>
  <c r="G300" i="43"/>
  <c r="E310" i="48"/>
  <c r="E310" i="47"/>
  <c r="E310" i="46"/>
  <c r="E310" i="45"/>
  <c r="E310" i="44"/>
  <c r="E310" i="43"/>
  <c r="H300" i="48"/>
  <c r="I300" i="48" s="1"/>
  <c r="J300" i="48" s="1"/>
  <c r="K300" i="48" s="1"/>
  <c r="L300" i="48" s="1"/>
  <c r="M300" i="48" s="1"/>
  <c r="N300" i="48" s="1"/>
  <c r="O300" i="48" s="1"/>
  <c r="P300" i="48" s="1"/>
  <c r="Q300" i="48" s="1"/>
  <c r="R300" i="48" s="1"/>
  <c r="S300" i="48" s="1"/>
  <c r="H300" i="47"/>
  <c r="I300" i="47" s="1"/>
  <c r="J300" i="47" s="1"/>
  <c r="K300" i="47" s="1"/>
  <c r="L300" i="47" s="1"/>
  <c r="M300" i="47" s="1"/>
  <c r="N300" i="47" s="1"/>
  <c r="O300" i="47" s="1"/>
  <c r="P300" i="47" s="1"/>
  <c r="Q300" i="47" s="1"/>
  <c r="R300" i="47" s="1"/>
  <c r="S300" i="47" s="1"/>
  <c r="H300" i="46"/>
  <c r="I300" i="46" s="1"/>
  <c r="J300" i="46" s="1"/>
  <c r="K300" i="46" s="1"/>
  <c r="L300" i="46" s="1"/>
  <c r="M300" i="46" s="1"/>
  <c r="N300" i="46" s="1"/>
  <c r="O300" i="46" s="1"/>
  <c r="P300" i="46" s="1"/>
  <c r="Q300" i="46" s="1"/>
  <c r="R300" i="46" s="1"/>
  <c r="S300" i="46" s="1"/>
  <c r="H300" i="45"/>
  <c r="I300" i="45" s="1"/>
  <c r="J300" i="45" s="1"/>
  <c r="K300" i="45" s="1"/>
  <c r="L300" i="45" s="1"/>
  <c r="M300" i="45" s="1"/>
  <c r="N300" i="45" s="1"/>
  <c r="O300" i="45" s="1"/>
  <c r="P300" i="45" s="1"/>
  <c r="Q300" i="45" s="1"/>
  <c r="R300" i="45" s="1"/>
  <c r="S300" i="45" s="1"/>
  <c r="H300" i="44"/>
  <c r="I300" i="44" s="1"/>
  <c r="J300" i="44" s="1"/>
  <c r="K300" i="44" s="1"/>
  <c r="L300" i="44" s="1"/>
  <c r="M300" i="44" s="1"/>
  <c r="N300" i="44" s="1"/>
  <c r="O300" i="44" s="1"/>
  <c r="P300" i="44" s="1"/>
  <c r="Q300" i="44" s="1"/>
  <c r="R300" i="44" s="1"/>
  <c r="S300" i="44" s="1"/>
  <c r="H300" i="43"/>
  <c r="I300" i="43" s="1"/>
  <c r="J300" i="43" s="1"/>
  <c r="K300" i="43" s="1"/>
  <c r="L300" i="43" s="1"/>
  <c r="M300" i="43" s="1"/>
  <c r="N300" i="43" s="1"/>
  <c r="O300" i="43" s="1"/>
  <c r="P300" i="43" s="1"/>
  <c r="Q300" i="43" s="1"/>
  <c r="R300" i="43" s="1"/>
  <c r="S300" i="43" s="1"/>
  <c r="H304" i="48"/>
  <c r="I304" i="48" s="1"/>
  <c r="J304" i="48" s="1"/>
  <c r="K304" i="48" s="1"/>
  <c r="L304" i="48" s="1"/>
  <c r="M304" i="48" s="1"/>
  <c r="N304" i="48" s="1"/>
  <c r="O304" i="48" s="1"/>
  <c r="P304" i="48" s="1"/>
  <c r="Q304" i="48" s="1"/>
  <c r="R304" i="48" s="1"/>
  <c r="S304" i="48" s="1"/>
  <c r="H304" i="47"/>
  <c r="I304" i="47" s="1"/>
  <c r="J304" i="47" s="1"/>
  <c r="K304" i="47" s="1"/>
  <c r="L304" i="47" s="1"/>
  <c r="M304" i="47" s="1"/>
  <c r="N304" i="47" s="1"/>
  <c r="O304" i="47" s="1"/>
  <c r="P304" i="47" s="1"/>
  <c r="Q304" i="47" s="1"/>
  <c r="R304" i="47" s="1"/>
  <c r="S304" i="47" s="1"/>
  <c r="H304" i="46"/>
  <c r="I304" i="46" s="1"/>
  <c r="J304" i="46" s="1"/>
  <c r="K304" i="46" s="1"/>
  <c r="L304" i="46" s="1"/>
  <c r="M304" i="46" s="1"/>
  <c r="N304" i="46" s="1"/>
  <c r="O304" i="46" s="1"/>
  <c r="P304" i="46" s="1"/>
  <c r="Q304" i="46" s="1"/>
  <c r="R304" i="46" s="1"/>
  <c r="S304" i="46" s="1"/>
  <c r="H304" i="45"/>
  <c r="I304" i="45" s="1"/>
  <c r="J304" i="45" s="1"/>
  <c r="K304" i="45" s="1"/>
  <c r="L304" i="45" s="1"/>
  <c r="M304" i="45" s="1"/>
  <c r="N304" i="45" s="1"/>
  <c r="O304" i="45" s="1"/>
  <c r="P304" i="45" s="1"/>
  <c r="Q304" i="45" s="1"/>
  <c r="R304" i="45" s="1"/>
  <c r="S304" i="45" s="1"/>
  <c r="H304" i="44"/>
  <c r="I304" i="44" s="1"/>
  <c r="J304" i="44" s="1"/>
  <c r="K304" i="44" s="1"/>
  <c r="L304" i="44" s="1"/>
  <c r="M304" i="44" s="1"/>
  <c r="N304" i="44" s="1"/>
  <c r="O304" i="44" s="1"/>
  <c r="P304" i="44" s="1"/>
  <c r="Q304" i="44" s="1"/>
  <c r="R304" i="44" s="1"/>
  <c r="S304" i="44" s="1"/>
  <c r="H304" i="43"/>
  <c r="I304" i="43" s="1"/>
  <c r="J304" i="43" s="1"/>
  <c r="K304" i="43" s="1"/>
  <c r="L304" i="43" s="1"/>
  <c r="M304" i="43" s="1"/>
  <c r="N304" i="43" s="1"/>
  <c r="O304" i="43" s="1"/>
  <c r="P304" i="43" s="1"/>
  <c r="Q304" i="43" s="1"/>
  <c r="R304" i="43" s="1"/>
  <c r="S304" i="43" s="1"/>
  <c r="F305" i="48"/>
  <c r="F305" i="47"/>
  <c r="F305" i="46"/>
  <c r="F305" i="45"/>
  <c r="F305" i="44"/>
  <c r="F305" i="43"/>
  <c r="G302" i="48"/>
  <c r="G302" i="47"/>
  <c r="G302" i="46"/>
  <c r="G302" i="45"/>
  <c r="G302" i="44"/>
  <c r="G302" i="43"/>
  <c r="E313" i="48"/>
  <c r="E313" i="47"/>
  <c r="E313" i="46"/>
  <c r="E313" i="45"/>
  <c r="E313" i="44"/>
  <c r="E313" i="43"/>
  <c r="F307" i="48"/>
  <c r="F307" i="47"/>
  <c r="F307" i="46"/>
  <c r="F307" i="45"/>
  <c r="F307" i="44"/>
  <c r="F307" i="43"/>
  <c r="H302" i="48"/>
  <c r="I302" i="48" s="1"/>
  <c r="J302" i="48" s="1"/>
  <c r="K302" i="48" s="1"/>
  <c r="L302" i="48" s="1"/>
  <c r="M302" i="48" s="1"/>
  <c r="N302" i="48" s="1"/>
  <c r="O302" i="48" s="1"/>
  <c r="P302" i="48" s="1"/>
  <c r="Q302" i="48" s="1"/>
  <c r="R302" i="48" s="1"/>
  <c r="S302" i="48" s="1"/>
  <c r="H302" i="47"/>
  <c r="I302" i="47" s="1"/>
  <c r="J302" i="47" s="1"/>
  <c r="K302" i="47" s="1"/>
  <c r="L302" i="47" s="1"/>
  <c r="M302" i="47" s="1"/>
  <c r="N302" i="47" s="1"/>
  <c r="O302" i="47" s="1"/>
  <c r="P302" i="47" s="1"/>
  <c r="Q302" i="47" s="1"/>
  <c r="R302" i="47" s="1"/>
  <c r="S302" i="47" s="1"/>
  <c r="H302" i="46"/>
  <c r="I302" i="46" s="1"/>
  <c r="J302" i="46" s="1"/>
  <c r="K302" i="46" s="1"/>
  <c r="L302" i="46" s="1"/>
  <c r="M302" i="46" s="1"/>
  <c r="N302" i="46" s="1"/>
  <c r="O302" i="46" s="1"/>
  <c r="P302" i="46" s="1"/>
  <c r="Q302" i="46" s="1"/>
  <c r="R302" i="46" s="1"/>
  <c r="S302" i="46" s="1"/>
  <c r="H302" i="45"/>
  <c r="I302" i="45" s="1"/>
  <c r="J302" i="45" s="1"/>
  <c r="K302" i="45" s="1"/>
  <c r="L302" i="45" s="1"/>
  <c r="M302" i="45" s="1"/>
  <c r="N302" i="45" s="1"/>
  <c r="O302" i="45" s="1"/>
  <c r="P302" i="45" s="1"/>
  <c r="Q302" i="45" s="1"/>
  <c r="R302" i="45" s="1"/>
  <c r="S302" i="45" s="1"/>
  <c r="H302" i="44"/>
  <c r="I302" i="44" s="1"/>
  <c r="J302" i="44" s="1"/>
  <c r="K302" i="44" s="1"/>
  <c r="L302" i="44" s="1"/>
  <c r="M302" i="44" s="1"/>
  <c r="N302" i="44" s="1"/>
  <c r="O302" i="44" s="1"/>
  <c r="P302" i="44" s="1"/>
  <c r="Q302" i="44" s="1"/>
  <c r="R302" i="44" s="1"/>
  <c r="S302" i="44" s="1"/>
  <c r="H302" i="43"/>
  <c r="I302" i="43" s="1"/>
  <c r="J302" i="43" s="1"/>
  <c r="K302" i="43" s="1"/>
  <c r="L302" i="43" s="1"/>
  <c r="M302" i="43" s="1"/>
  <c r="N302" i="43" s="1"/>
  <c r="O302" i="43" s="1"/>
  <c r="P302" i="43" s="1"/>
  <c r="Q302" i="43" s="1"/>
  <c r="R302" i="43" s="1"/>
  <c r="S302" i="43" s="1"/>
  <c r="F308" i="48"/>
  <c r="F308" i="47"/>
  <c r="F308" i="46"/>
  <c r="F308" i="45"/>
  <c r="F308" i="44"/>
  <c r="F308" i="43"/>
  <c r="F311" i="48"/>
  <c r="F311" i="47"/>
  <c r="F311" i="46"/>
  <c r="F311" i="45"/>
  <c r="F311" i="44"/>
  <c r="F311" i="43"/>
  <c r="G304" i="48"/>
  <c r="G304" i="47"/>
  <c r="G304" i="46"/>
  <c r="G304" i="45"/>
  <c r="G304" i="44"/>
  <c r="G304" i="43"/>
  <c r="G301" i="48"/>
  <c r="G301" i="47"/>
  <c r="G301" i="46"/>
  <c r="G301" i="45"/>
  <c r="G301" i="44"/>
  <c r="G301" i="43"/>
  <c r="G299" i="48"/>
  <c r="G299" i="47"/>
  <c r="G299" i="46"/>
  <c r="G299" i="45"/>
  <c r="G299" i="44"/>
  <c r="G299" i="43"/>
  <c r="E312" i="48"/>
  <c r="E312" i="47"/>
  <c r="E312" i="46"/>
  <c r="E312" i="45"/>
  <c r="E312" i="44"/>
  <c r="E312" i="43"/>
  <c r="G303" i="48"/>
  <c r="G303" i="47"/>
  <c r="G303" i="46"/>
  <c r="G303" i="45"/>
  <c r="G303" i="44"/>
  <c r="G303" i="43"/>
  <c r="E309" i="48"/>
  <c r="E309" i="47"/>
  <c r="E309" i="46"/>
  <c r="E309" i="45"/>
  <c r="E309" i="44"/>
  <c r="E309" i="43"/>
  <c r="C322" i="48"/>
  <c r="C322" i="47"/>
  <c r="C322" i="46"/>
  <c r="C322" i="45"/>
  <c r="C322" i="44"/>
  <c r="C322" i="43"/>
  <c r="C323" i="48"/>
  <c r="C323" i="47"/>
  <c r="C323" i="46"/>
  <c r="C323" i="44"/>
  <c r="C323" i="45"/>
  <c r="C323" i="43"/>
  <c r="C319" i="48"/>
  <c r="C319" i="47"/>
  <c r="C319" i="46"/>
  <c r="C319" i="44"/>
  <c r="C319" i="45"/>
  <c r="C319" i="43"/>
  <c r="C320" i="48"/>
  <c r="C320" i="47"/>
  <c r="C320" i="46"/>
  <c r="C320" i="44"/>
  <c r="C320" i="45"/>
  <c r="C320" i="43"/>
  <c r="C326" i="48"/>
  <c r="C326" i="47"/>
  <c r="C326" i="46"/>
  <c r="C326" i="45"/>
  <c r="C326" i="44"/>
  <c r="C326" i="43"/>
  <c r="D318" i="48"/>
  <c r="D318" i="47"/>
  <c r="D318" i="46"/>
  <c r="D318" i="45"/>
  <c r="D318" i="44"/>
  <c r="D318" i="43"/>
  <c r="D316" i="48"/>
  <c r="D316" i="47"/>
  <c r="D316" i="45"/>
  <c r="D316" i="46"/>
  <c r="D316" i="44"/>
  <c r="D316" i="43"/>
  <c r="D315" i="48"/>
  <c r="D315" i="47"/>
  <c r="D315" i="45"/>
  <c r="D315" i="46"/>
  <c r="D315" i="44"/>
  <c r="D315" i="43"/>
  <c r="D321" i="48"/>
  <c r="D321" i="47"/>
  <c r="D321" i="46"/>
  <c r="D321" i="45"/>
  <c r="D321" i="44"/>
  <c r="D321" i="43"/>
  <c r="D314" i="48"/>
  <c r="D314" i="47"/>
  <c r="D314" i="46"/>
  <c r="D314" i="45"/>
  <c r="D314" i="44"/>
  <c r="D314" i="43"/>
  <c r="D296" i="48"/>
  <c r="D296" i="47"/>
  <c r="D296" i="46"/>
  <c r="D296" i="45"/>
  <c r="D296" i="43"/>
  <c r="D296" i="44"/>
  <c r="D317" i="48"/>
  <c r="D317" i="47"/>
  <c r="D317" i="46"/>
  <c r="D317" i="45"/>
  <c r="D317" i="44"/>
  <c r="D317" i="43"/>
  <c r="F312" i="48" l="1"/>
  <c r="F312" i="47"/>
  <c r="F312" i="46"/>
  <c r="F312" i="45"/>
  <c r="F312" i="44"/>
  <c r="F312" i="43"/>
  <c r="E321" i="48"/>
  <c r="E321" i="47"/>
  <c r="E321" i="46"/>
  <c r="E321" i="45"/>
  <c r="E321" i="44"/>
  <c r="E321" i="43"/>
  <c r="H305" i="48"/>
  <c r="I305" i="48" s="1"/>
  <c r="J305" i="48" s="1"/>
  <c r="K305" i="48" s="1"/>
  <c r="L305" i="48" s="1"/>
  <c r="M305" i="48" s="1"/>
  <c r="N305" i="48" s="1"/>
  <c r="O305" i="48" s="1"/>
  <c r="P305" i="48" s="1"/>
  <c r="Q305" i="48" s="1"/>
  <c r="R305" i="48" s="1"/>
  <c r="S305" i="48" s="1"/>
  <c r="H305" i="47"/>
  <c r="I305" i="47" s="1"/>
  <c r="J305" i="47" s="1"/>
  <c r="K305" i="47" s="1"/>
  <c r="L305" i="47" s="1"/>
  <c r="M305" i="47" s="1"/>
  <c r="N305" i="47" s="1"/>
  <c r="O305" i="47" s="1"/>
  <c r="P305" i="47" s="1"/>
  <c r="Q305" i="47" s="1"/>
  <c r="R305" i="47" s="1"/>
  <c r="S305" i="47" s="1"/>
  <c r="H305" i="46"/>
  <c r="I305" i="46" s="1"/>
  <c r="J305" i="46" s="1"/>
  <c r="K305" i="46" s="1"/>
  <c r="L305" i="46" s="1"/>
  <c r="M305" i="46" s="1"/>
  <c r="N305" i="46" s="1"/>
  <c r="O305" i="46" s="1"/>
  <c r="P305" i="46" s="1"/>
  <c r="Q305" i="46" s="1"/>
  <c r="R305" i="46" s="1"/>
  <c r="S305" i="46" s="1"/>
  <c r="H305" i="45"/>
  <c r="I305" i="45" s="1"/>
  <c r="J305" i="45" s="1"/>
  <c r="K305" i="45" s="1"/>
  <c r="L305" i="45" s="1"/>
  <c r="M305" i="45" s="1"/>
  <c r="N305" i="45" s="1"/>
  <c r="O305" i="45" s="1"/>
  <c r="P305" i="45" s="1"/>
  <c r="Q305" i="45" s="1"/>
  <c r="R305" i="45" s="1"/>
  <c r="S305" i="45" s="1"/>
  <c r="H305" i="44"/>
  <c r="I305" i="44" s="1"/>
  <c r="J305" i="44" s="1"/>
  <c r="K305" i="44" s="1"/>
  <c r="L305" i="44" s="1"/>
  <c r="M305" i="44" s="1"/>
  <c r="N305" i="44" s="1"/>
  <c r="O305" i="44" s="1"/>
  <c r="P305" i="44" s="1"/>
  <c r="Q305" i="44" s="1"/>
  <c r="R305" i="44" s="1"/>
  <c r="S305" i="44" s="1"/>
  <c r="H305" i="43"/>
  <c r="I305" i="43" s="1"/>
  <c r="J305" i="43" s="1"/>
  <c r="K305" i="43" s="1"/>
  <c r="L305" i="43" s="1"/>
  <c r="M305" i="43" s="1"/>
  <c r="N305" i="43" s="1"/>
  <c r="O305" i="43" s="1"/>
  <c r="P305" i="43" s="1"/>
  <c r="Q305" i="43" s="1"/>
  <c r="R305" i="43" s="1"/>
  <c r="S305" i="43" s="1"/>
  <c r="H311" i="48"/>
  <c r="I311" i="48" s="1"/>
  <c r="J311" i="48" s="1"/>
  <c r="K311" i="48" s="1"/>
  <c r="L311" i="48" s="1"/>
  <c r="M311" i="48" s="1"/>
  <c r="N311" i="48" s="1"/>
  <c r="O311" i="48" s="1"/>
  <c r="P311" i="48" s="1"/>
  <c r="Q311" i="48" s="1"/>
  <c r="R311" i="48" s="1"/>
  <c r="S311" i="48" s="1"/>
  <c r="H311" i="47"/>
  <c r="I311" i="47" s="1"/>
  <c r="J311" i="47" s="1"/>
  <c r="K311" i="47" s="1"/>
  <c r="L311" i="47" s="1"/>
  <c r="M311" i="47" s="1"/>
  <c r="N311" i="47" s="1"/>
  <c r="O311" i="47" s="1"/>
  <c r="P311" i="47" s="1"/>
  <c r="Q311" i="47" s="1"/>
  <c r="R311" i="47" s="1"/>
  <c r="S311" i="47" s="1"/>
  <c r="H311" i="46"/>
  <c r="I311" i="46" s="1"/>
  <c r="J311" i="46" s="1"/>
  <c r="K311" i="46" s="1"/>
  <c r="L311" i="46" s="1"/>
  <c r="M311" i="46" s="1"/>
  <c r="N311" i="46" s="1"/>
  <c r="O311" i="46" s="1"/>
  <c r="P311" i="46" s="1"/>
  <c r="Q311" i="46" s="1"/>
  <c r="R311" i="46" s="1"/>
  <c r="S311" i="46" s="1"/>
  <c r="H311" i="45"/>
  <c r="I311" i="45" s="1"/>
  <c r="J311" i="45" s="1"/>
  <c r="K311" i="45" s="1"/>
  <c r="L311" i="45" s="1"/>
  <c r="M311" i="45" s="1"/>
  <c r="N311" i="45" s="1"/>
  <c r="O311" i="45" s="1"/>
  <c r="P311" i="45" s="1"/>
  <c r="Q311" i="45" s="1"/>
  <c r="R311" i="45" s="1"/>
  <c r="S311" i="45" s="1"/>
  <c r="H311" i="44"/>
  <c r="I311" i="44" s="1"/>
  <c r="J311" i="44" s="1"/>
  <c r="K311" i="44" s="1"/>
  <c r="L311" i="44" s="1"/>
  <c r="M311" i="44" s="1"/>
  <c r="N311" i="44" s="1"/>
  <c r="O311" i="44" s="1"/>
  <c r="P311" i="44" s="1"/>
  <c r="Q311" i="44" s="1"/>
  <c r="R311" i="44" s="1"/>
  <c r="S311" i="44" s="1"/>
  <c r="H311" i="43"/>
  <c r="I311" i="43" s="1"/>
  <c r="J311" i="43" s="1"/>
  <c r="K311" i="43" s="1"/>
  <c r="L311" i="43" s="1"/>
  <c r="M311" i="43" s="1"/>
  <c r="N311" i="43" s="1"/>
  <c r="O311" i="43" s="1"/>
  <c r="P311" i="43" s="1"/>
  <c r="Q311" i="43" s="1"/>
  <c r="R311" i="43" s="1"/>
  <c r="S311" i="43" s="1"/>
  <c r="G305" i="48"/>
  <c r="G305" i="47"/>
  <c r="G305" i="46"/>
  <c r="G305" i="45"/>
  <c r="G305" i="44"/>
  <c r="G305" i="43"/>
  <c r="E317" i="48"/>
  <c r="E317" i="47"/>
  <c r="E317" i="46"/>
  <c r="E317" i="45"/>
  <c r="E317" i="44"/>
  <c r="E317" i="43"/>
  <c r="H308" i="48"/>
  <c r="I308" i="48" s="1"/>
  <c r="J308" i="48" s="1"/>
  <c r="K308" i="48" s="1"/>
  <c r="L308" i="48" s="1"/>
  <c r="M308" i="48" s="1"/>
  <c r="N308" i="48" s="1"/>
  <c r="O308" i="48" s="1"/>
  <c r="P308" i="48" s="1"/>
  <c r="Q308" i="48" s="1"/>
  <c r="R308" i="48" s="1"/>
  <c r="S308" i="48" s="1"/>
  <c r="H308" i="47"/>
  <c r="I308" i="47" s="1"/>
  <c r="J308" i="47" s="1"/>
  <c r="K308" i="47" s="1"/>
  <c r="L308" i="47" s="1"/>
  <c r="M308" i="47" s="1"/>
  <c r="N308" i="47" s="1"/>
  <c r="O308" i="47" s="1"/>
  <c r="P308" i="47" s="1"/>
  <c r="Q308" i="47" s="1"/>
  <c r="R308" i="47" s="1"/>
  <c r="S308" i="47" s="1"/>
  <c r="H308" i="46"/>
  <c r="I308" i="46" s="1"/>
  <c r="J308" i="46" s="1"/>
  <c r="K308" i="46" s="1"/>
  <c r="L308" i="46" s="1"/>
  <c r="M308" i="46" s="1"/>
  <c r="N308" i="46" s="1"/>
  <c r="O308" i="46" s="1"/>
  <c r="P308" i="46" s="1"/>
  <c r="Q308" i="46" s="1"/>
  <c r="R308" i="46" s="1"/>
  <c r="S308" i="46" s="1"/>
  <c r="H308" i="45"/>
  <c r="I308" i="45" s="1"/>
  <c r="J308" i="45" s="1"/>
  <c r="K308" i="45" s="1"/>
  <c r="L308" i="45" s="1"/>
  <c r="M308" i="45" s="1"/>
  <c r="N308" i="45" s="1"/>
  <c r="O308" i="45" s="1"/>
  <c r="P308" i="45" s="1"/>
  <c r="Q308" i="45" s="1"/>
  <c r="R308" i="45" s="1"/>
  <c r="S308" i="45" s="1"/>
  <c r="H308" i="44"/>
  <c r="I308" i="44" s="1"/>
  <c r="J308" i="44" s="1"/>
  <c r="K308" i="44" s="1"/>
  <c r="L308" i="44" s="1"/>
  <c r="M308" i="44" s="1"/>
  <c r="N308" i="44" s="1"/>
  <c r="O308" i="44" s="1"/>
  <c r="P308" i="44" s="1"/>
  <c r="Q308" i="44" s="1"/>
  <c r="R308" i="44" s="1"/>
  <c r="S308" i="44" s="1"/>
  <c r="H308" i="43"/>
  <c r="I308" i="43" s="1"/>
  <c r="J308" i="43" s="1"/>
  <c r="K308" i="43" s="1"/>
  <c r="L308" i="43" s="1"/>
  <c r="M308" i="43" s="1"/>
  <c r="N308" i="43" s="1"/>
  <c r="O308" i="43" s="1"/>
  <c r="P308" i="43" s="1"/>
  <c r="Q308" i="43" s="1"/>
  <c r="R308" i="43" s="1"/>
  <c r="S308" i="43" s="1"/>
  <c r="E318" i="48"/>
  <c r="E318" i="47"/>
  <c r="E318" i="46"/>
  <c r="E318" i="45"/>
  <c r="E318" i="44"/>
  <c r="E318" i="43"/>
  <c r="F310" i="48"/>
  <c r="F310" i="47"/>
  <c r="F310" i="46"/>
  <c r="F310" i="45"/>
  <c r="F310" i="44"/>
  <c r="F310" i="43"/>
  <c r="E315" i="48"/>
  <c r="E315" i="47"/>
  <c r="E315" i="46"/>
  <c r="E315" i="45"/>
  <c r="E315" i="44"/>
  <c r="E315" i="43"/>
  <c r="G307" i="48"/>
  <c r="G307" i="47"/>
  <c r="G307" i="46"/>
  <c r="G307" i="45"/>
  <c r="G307" i="44"/>
  <c r="G307" i="43"/>
  <c r="G306" i="48"/>
  <c r="G306" i="47"/>
  <c r="G306" i="46"/>
  <c r="G306" i="45"/>
  <c r="G306" i="44"/>
  <c r="G306" i="43"/>
  <c r="H307" i="48"/>
  <c r="I307" i="48" s="1"/>
  <c r="J307" i="48" s="1"/>
  <c r="K307" i="48" s="1"/>
  <c r="L307" i="48" s="1"/>
  <c r="M307" i="48" s="1"/>
  <c r="N307" i="48" s="1"/>
  <c r="O307" i="48" s="1"/>
  <c r="P307" i="48" s="1"/>
  <c r="Q307" i="48" s="1"/>
  <c r="R307" i="48" s="1"/>
  <c r="S307" i="48" s="1"/>
  <c r="H307" i="47"/>
  <c r="I307" i="47" s="1"/>
  <c r="J307" i="47" s="1"/>
  <c r="K307" i="47" s="1"/>
  <c r="L307" i="47" s="1"/>
  <c r="M307" i="47" s="1"/>
  <c r="N307" i="47" s="1"/>
  <c r="O307" i="47" s="1"/>
  <c r="P307" i="47" s="1"/>
  <c r="Q307" i="47" s="1"/>
  <c r="R307" i="47" s="1"/>
  <c r="S307" i="47" s="1"/>
  <c r="H307" i="46"/>
  <c r="I307" i="46" s="1"/>
  <c r="J307" i="46" s="1"/>
  <c r="K307" i="46" s="1"/>
  <c r="L307" i="46" s="1"/>
  <c r="M307" i="46" s="1"/>
  <c r="N307" i="46" s="1"/>
  <c r="O307" i="46" s="1"/>
  <c r="P307" i="46" s="1"/>
  <c r="Q307" i="46" s="1"/>
  <c r="R307" i="46" s="1"/>
  <c r="S307" i="46" s="1"/>
  <c r="H307" i="45"/>
  <c r="I307" i="45" s="1"/>
  <c r="J307" i="45" s="1"/>
  <c r="K307" i="45" s="1"/>
  <c r="L307" i="45" s="1"/>
  <c r="M307" i="45" s="1"/>
  <c r="N307" i="45" s="1"/>
  <c r="O307" i="45" s="1"/>
  <c r="P307" i="45" s="1"/>
  <c r="Q307" i="45" s="1"/>
  <c r="R307" i="45" s="1"/>
  <c r="S307" i="45" s="1"/>
  <c r="H307" i="44"/>
  <c r="I307" i="44" s="1"/>
  <c r="J307" i="44" s="1"/>
  <c r="K307" i="44" s="1"/>
  <c r="L307" i="44" s="1"/>
  <c r="M307" i="44" s="1"/>
  <c r="N307" i="44" s="1"/>
  <c r="O307" i="44" s="1"/>
  <c r="P307" i="44" s="1"/>
  <c r="Q307" i="44" s="1"/>
  <c r="R307" i="44" s="1"/>
  <c r="S307" i="44" s="1"/>
  <c r="H307" i="43"/>
  <c r="I307" i="43" s="1"/>
  <c r="J307" i="43" s="1"/>
  <c r="K307" i="43" s="1"/>
  <c r="L307" i="43" s="1"/>
  <c r="M307" i="43" s="1"/>
  <c r="N307" i="43" s="1"/>
  <c r="O307" i="43" s="1"/>
  <c r="P307" i="43" s="1"/>
  <c r="Q307" i="43" s="1"/>
  <c r="R307" i="43" s="1"/>
  <c r="S307" i="43" s="1"/>
  <c r="H306" i="48"/>
  <c r="I306" i="48" s="1"/>
  <c r="J306" i="48" s="1"/>
  <c r="K306" i="48" s="1"/>
  <c r="L306" i="48" s="1"/>
  <c r="M306" i="48" s="1"/>
  <c r="N306" i="48" s="1"/>
  <c r="O306" i="48" s="1"/>
  <c r="P306" i="48" s="1"/>
  <c r="Q306" i="48" s="1"/>
  <c r="R306" i="48" s="1"/>
  <c r="S306" i="48" s="1"/>
  <c r="H306" i="47"/>
  <c r="I306" i="47" s="1"/>
  <c r="J306" i="47" s="1"/>
  <c r="K306" i="47" s="1"/>
  <c r="L306" i="47" s="1"/>
  <c r="M306" i="47" s="1"/>
  <c r="N306" i="47" s="1"/>
  <c r="O306" i="47" s="1"/>
  <c r="P306" i="47" s="1"/>
  <c r="Q306" i="47" s="1"/>
  <c r="R306" i="47" s="1"/>
  <c r="S306" i="47" s="1"/>
  <c r="H306" i="46"/>
  <c r="I306" i="46" s="1"/>
  <c r="J306" i="46" s="1"/>
  <c r="K306" i="46" s="1"/>
  <c r="L306" i="46" s="1"/>
  <c r="M306" i="46" s="1"/>
  <c r="N306" i="46" s="1"/>
  <c r="O306" i="46" s="1"/>
  <c r="P306" i="46" s="1"/>
  <c r="Q306" i="46" s="1"/>
  <c r="R306" i="46" s="1"/>
  <c r="S306" i="46" s="1"/>
  <c r="H306" i="45"/>
  <c r="I306" i="45" s="1"/>
  <c r="J306" i="45" s="1"/>
  <c r="K306" i="45" s="1"/>
  <c r="L306" i="45" s="1"/>
  <c r="M306" i="45" s="1"/>
  <c r="N306" i="45" s="1"/>
  <c r="O306" i="45" s="1"/>
  <c r="P306" i="45" s="1"/>
  <c r="Q306" i="45" s="1"/>
  <c r="R306" i="45" s="1"/>
  <c r="S306" i="45" s="1"/>
  <c r="H306" i="44"/>
  <c r="I306" i="44" s="1"/>
  <c r="J306" i="44" s="1"/>
  <c r="K306" i="44" s="1"/>
  <c r="L306" i="44" s="1"/>
  <c r="M306" i="44" s="1"/>
  <c r="N306" i="44" s="1"/>
  <c r="O306" i="44" s="1"/>
  <c r="P306" i="44" s="1"/>
  <c r="Q306" i="44" s="1"/>
  <c r="R306" i="44" s="1"/>
  <c r="S306" i="44" s="1"/>
  <c r="H306" i="43"/>
  <c r="I306" i="43" s="1"/>
  <c r="J306" i="43" s="1"/>
  <c r="K306" i="43" s="1"/>
  <c r="L306" i="43" s="1"/>
  <c r="M306" i="43" s="1"/>
  <c r="N306" i="43" s="1"/>
  <c r="O306" i="43" s="1"/>
  <c r="P306" i="43" s="1"/>
  <c r="Q306" i="43" s="1"/>
  <c r="R306" i="43" s="1"/>
  <c r="S306" i="43" s="1"/>
  <c r="E314" i="48"/>
  <c r="E314" i="47"/>
  <c r="E314" i="46"/>
  <c r="E314" i="45"/>
  <c r="E314" i="44"/>
  <c r="E314" i="43"/>
  <c r="G308" i="48"/>
  <c r="G308" i="47"/>
  <c r="G308" i="46"/>
  <c r="G308" i="45"/>
  <c r="G308" i="44"/>
  <c r="G308" i="43"/>
  <c r="E316" i="48"/>
  <c r="E316" i="47"/>
  <c r="E316" i="46"/>
  <c r="E316" i="45"/>
  <c r="E316" i="44"/>
  <c r="E316" i="43"/>
  <c r="F309" i="48"/>
  <c r="F309" i="47"/>
  <c r="F309" i="46"/>
  <c r="F309" i="45"/>
  <c r="F309" i="44"/>
  <c r="F309" i="43"/>
  <c r="G311" i="48"/>
  <c r="G311" i="47"/>
  <c r="G311" i="46"/>
  <c r="G311" i="45"/>
  <c r="G311" i="44"/>
  <c r="G311" i="43"/>
  <c r="F313" i="48"/>
  <c r="F313" i="47"/>
  <c r="F313" i="46"/>
  <c r="F313" i="45"/>
  <c r="F313" i="44"/>
  <c r="F313" i="43"/>
  <c r="C325" i="48"/>
  <c r="C325" i="47"/>
  <c r="C325" i="46"/>
  <c r="C325" i="45"/>
  <c r="C325" i="44"/>
  <c r="C325" i="43"/>
  <c r="C328" i="48"/>
  <c r="C328" i="47"/>
  <c r="C328" i="46"/>
  <c r="C328" i="45"/>
  <c r="C328" i="44"/>
  <c r="C328" i="43"/>
  <c r="C324" i="48"/>
  <c r="C324" i="47"/>
  <c r="C324" i="46"/>
  <c r="C324" i="45"/>
  <c r="C324" i="44"/>
  <c r="C324" i="43"/>
  <c r="C327" i="48"/>
  <c r="C327" i="47"/>
  <c r="C327" i="46"/>
  <c r="C327" i="44"/>
  <c r="C327" i="45"/>
  <c r="C327" i="43"/>
  <c r="D323" i="48"/>
  <c r="D323" i="47"/>
  <c r="D323" i="46"/>
  <c r="D323" i="45"/>
  <c r="D323" i="44"/>
  <c r="D323" i="43"/>
  <c r="D326" i="48"/>
  <c r="D326" i="46"/>
  <c r="D326" i="47"/>
  <c r="D326" i="45"/>
  <c r="D326" i="44"/>
  <c r="D326" i="43"/>
  <c r="D322" i="48"/>
  <c r="D322" i="47"/>
  <c r="D322" i="46"/>
  <c r="D322" i="45"/>
  <c r="D322" i="44"/>
  <c r="D322" i="43"/>
  <c r="D320" i="48"/>
  <c r="D320" i="47"/>
  <c r="D320" i="46"/>
  <c r="D320" i="45"/>
  <c r="D320" i="44"/>
  <c r="D320" i="43"/>
  <c r="D297" i="48"/>
  <c r="D297" i="47"/>
  <c r="D297" i="46"/>
  <c r="D297" i="45"/>
  <c r="D297" i="43"/>
  <c r="D297" i="44"/>
  <c r="D298" i="48"/>
  <c r="D298" i="47"/>
  <c r="D298" i="46"/>
  <c r="D298" i="45"/>
  <c r="D298" i="44"/>
  <c r="D298" i="43"/>
  <c r="D319" i="48"/>
  <c r="D319" i="47"/>
  <c r="D319" i="46"/>
  <c r="D319" i="45"/>
  <c r="D319" i="44"/>
  <c r="D319" i="43"/>
  <c r="G310" i="48" l="1"/>
  <c r="G310" i="47"/>
  <c r="G310" i="46"/>
  <c r="G310" i="45"/>
  <c r="G310" i="44"/>
  <c r="G310" i="43"/>
  <c r="G312" i="48"/>
  <c r="G312" i="47"/>
  <c r="G312" i="46"/>
  <c r="G312" i="45"/>
  <c r="G312" i="44"/>
  <c r="G312" i="43"/>
  <c r="F321" i="48"/>
  <c r="F321" i="47"/>
  <c r="F321" i="46"/>
  <c r="F321" i="45"/>
  <c r="F321" i="44"/>
  <c r="F321" i="43"/>
  <c r="H312" i="48"/>
  <c r="I312" i="48" s="1"/>
  <c r="J312" i="48" s="1"/>
  <c r="K312" i="48" s="1"/>
  <c r="L312" i="48" s="1"/>
  <c r="M312" i="48" s="1"/>
  <c r="N312" i="48" s="1"/>
  <c r="O312" i="48" s="1"/>
  <c r="P312" i="48" s="1"/>
  <c r="Q312" i="48" s="1"/>
  <c r="R312" i="48" s="1"/>
  <c r="S312" i="48" s="1"/>
  <c r="H312" i="47"/>
  <c r="I312" i="47" s="1"/>
  <c r="J312" i="47" s="1"/>
  <c r="K312" i="47" s="1"/>
  <c r="L312" i="47" s="1"/>
  <c r="M312" i="47" s="1"/>
  <c r="N312" i="47" s="1"/>
  <c r="O312" i="47" s="1"/>
  <c r="P312" i="47" s="1"/>
  <c r="Q312" i="47" s="1"/>
  <c r="R312" i="47" s="1"/>
  <c r="S312" i="47" s="1"/>
  <c r="H312" i="46"/>
  <c r="I312" i="46" s="1"/>
  <c r="J312" i="46" s="1"/>
  <c r="K312" i="46" s="1"/>
  <c r="L312" i="46" s="1"/>
  <c r="M312" i="46" s="1"/>
  <c r="N312" i="46" s="1"/>
  <c r="O312" i="46" s="1"/>
  <c r="P312" i="46" s="1"/>
  <c r="Q312" i="46" s="1"/>
  <c r="R312" i="46" s="1"/>
  <c r="S312" i="46" s="1"/>
  <c r="H312" i="45"/>
  <c r="I312" i="45" s="1"/>
  <c r="J312" i="45" s="1"/>
  <c r="K312" i="45" s="1"/>
  <c r="L312" i="45" s="1"/>
  <c r="M312" i="45" s="1"/>
  <c r="N312" i="45" s="1"/>
  <c r="O312" i="45" s="1"/>
  <c r="P312" i="45" s="1"/>
  <c r="Q312" i="45" s="1"/>
  <c r="R312" i="45" s="1"/>
  <c r="S312" i="45" s="1"/>
  <c r="H312" i="44"/>
  <c r="I312" i="44" s="1"/>
  <c r="J312" i="44" s="1"/>
  <c r="K312" i="44" s="1"/>
  <c r="L312" i="44" s="1"/>
  <c r="M312" i="44" s="1"/>
  <c r="N312" i="44" s="1"/>
  <c r="O312" i="44" s="1"/>
  <c r="P312" i="44" s="1"/>
  <c r="Q312" i="44" s="1"/>
  <c r="R312" i="44" s="1"/>
  <c r="S312" i="44" s="1"/>
  <c r="H312" i="43"/>
  <c r="I312" i="43" s="1"/>
  <c r="J312" i="43" s="1"/>
  <c r="K312" i="43" s="1"/>
  <c r="L312" i="43" s="1"/>
  <c r="M312" i="43" s="1"/>
  <c r="N312" i="43" s="1"/>
  <c r="O312" i="43" s="1"/>
  <c r="P312" i="43" s="1"/>
  <c r="Q312" i="43" s="1"/>
  <c r="R312" i="43" s="1"/>
  <c r="S312" i="43" s="1"/>
  <c r="E322" i="48"/>
  <c r="E322" i="47"/>
  <c r="E322" i="46"/>
  <c r="E322" i="45"/>
  <c r="E322" i="44"/>
  <c r="E322" i="43"/>
  <c r="G313" i="48"/>
  <c r="G313" i="47"/>
  <c r="G313" i="46"/>
  <c r="G313" i="45"/>
  <c r="G313" i="44"/>
  <c r="G313" i="43"/>
  <c r="H310" i="48"/>
  <c r="I310" i="48" s="1"/>
  <c r="J310" i="48" s="1"/>
  <c r="K310" i="48" s="1"/>
  <c r="L310" i="48" s="1"/>
  <c r="M310" i="48" s="1"/>
  <c r="N310" i="48" s="1"/>
  <c r="O310" i="48" s="1"/>
  <c r="P310" i="48" s="1"/>
  <c r="Q310" i="48" s="1"/>
  <c r="R310" i="48" s="1"/>
  <c r="S310" i="48" s="1"/>
  <c r="H310" i="47"/>
  <c r="I310" i="47" s="1"/>
  <c r="J310" i="47" s="1"/>
  <c r="K310" i="47" s="1"/>
  <c r="L310" i="47" s="1"/>
  <c r="M310" i="47" s="1"/>
  <c r="N310" i="47" s="1"/>
  <c r="O310" i="47" s="1"/>
  <c r="P310" i="47" s="1"/>
  <c r="Q310" i="47" s="1"/>
  <c r="R310" i="47" s="1"/>
  <c r="S310" i="47" s="1"/>
  <c r="H310" i="46"/>
  <c r="I310" i="46" s="1"/>
  <c r="J310" i="46" s="1"/>
  <c r="K310" i="46" s="1"/>
  <c r="L310" i="46" s="1"/>
  <c r="M310" i="46" s="1"/>
  <c r="N310" i="46" s="1"/>
  <c r="O310" i="46" s="1"/>
  <c r="P310" i="46" s="1"/>
  <c r="Q310" i="46" s="1"/>
  <c r="R310" i="46" s="1"/>
  <c r="S310" i="46" s="1"/>
  <c r="H310" i="45"/>
  <c r="I310" i="45" s="1"/>
  <c r="J310" i="45" s="1"/>
  <c r="K310" i="45" s="1"/>
  <c r="L310" i="45" s="1"/>
  <c r="M310" i="45" s="1"/>
  <c r="N310" i="45" s="1"/>
  <c r="O310" i="45" s="1"/>
  <c r="P310" i="45" s="1"/>
  <c r="Q310" i="45" s="1"/>
  <c r="R310" i="45" s="1"/>
  <c r="S310" i="45" s="1"/>
  <c r="H310" i="44"/>
  <c r="I310" i="44" s="1"/>
  <c r="J310" i="44" s="1"/>
  <c r="K310" i="44" s="1"/>
  <c r="L310" i="44" s="1"/>
  <c r="M310" i="44" s="1"/>
  <c r="N310" i="44" s="1"/>
  <c r="O310" i="44" s="1"/>
  <c r="P310" i="44" s="1"/>
  <c r="Q310" i="44" s="1"/>
  <c r="R310" i="44" s="1"/>
  <c r="S310" i="44" s="1"/>
  <c r="H310" i="43"/>
  <c r="I310" i="43" s="1"/>
  <c r="J310" i="43" s="1"/>
  <c r="K310" i="43" s="1"/>
  <c r="L310" i="43" s="1"/>
  <c r="M310" i="43" s="1"/>
  <c r="N310" i="43" s="1"/>
  <c r="O310" i="43" s="1"/>
  <c r="P310" i="43" s="1"/>
  <c r="Q310" i="43" s="1"/>
  <c r="R310" i="43" s="1"/>
  <c r="S310" i="43" s="1"/>
  <c r="F317" i="48"/>
  <c r="F317" i="47"/>
  <c r="F317" i="46"/>
  <c r="F317" i="45"/>
  <c r="F317" i="44"/>
  <c r="F317" i="43"/>
  <c r="H313" i="48"/>
  <c r="I313" i="48" s="1"/>
  <c r="J313" i="48" s="1"/>
  <c r="K313" i="48" s="1"/>
  <c r="L313" i="48" s="1"/>
  <c r="M313" i="48" s="1"/>
  <c r="N313" i="48" s="1"/>
  <c r="O313" i="48" s="1"/>
  <c r="P313" i="48" s="1"/>
  <c r="Q313" i="48" s="1"/>
  <c r="R313" i="48" s="1"/>
  <c r="S313" i="48" s="1"/>
  <c r="H313" i="47"/>
  <c r="I313" i="47" s="1"/>
  <c r="J313" i="47" s="1"/>
  <c r="K313" i="47" s="1"/>
  <c r="L313" i="47" s="1"/>
  <c r="M313" i="47" s="1"/>
  <c r="N313" i="47" s="1"/>
  <c r="O313" i="47" s="1"/>
  <c r="P313" i="47" s="1"/>
  <c r="Q313" i="47" s="1"/>
  <c r="R313" i="47" s="1"/>
  <c r="S313" i="47" s="1"/>
  <c r="H313" i="46"/>
  <c r="I313" i="46" s="1"/>
  <c r="J313" i="46" s="1"/>
  <c r="K313" i="46" s="1"/>
  <c r="L313" i="46" s="1"/>
  <c r="M313" i="46" s="1"/>
  <c r="N313" i="46" s="1"/>
  <c r="O313" i="46" s="1"/>
  <c r="P313" i="46" s="1"/>
  <c r="Q313" i="46" s="1"/>
  <c r="R313" i="46" s="1"/>
  <c r="S313" i="46" s="1"/>
  <c r="H313" i="45"/>
  <c r="I313" i="45" s="1"/>
  <c r="J313" i="45" s="1"/>
  <c r="K313" i="45" s="1"/>
  <c r="L313" i="45" s="1"/>
  <c r="M313" i="45" s="1"/>
  <c r="N313" i="45" s="1"/>
  <c r="O313" i="45" s="1"/>
  <c r="P313" i="45" s="1"/>
  <c r="Q313" i="45" s="1"/>
  <c r="R313" i="45" s="1"/>
  <c r="S313" i="45" s="1"/>
  <c r="H313" i="44"/>
  <c r="I313" i="44" s="1"/>
  <c r="J313" i="44" s="1"/>
  <c r="K313" i="44" s="1"/>
  <c r="L313" i="44" s="1"/>
  <c r="M313" i="44" s="1"/>
  <c r="N313" i="44" s="1"/>
  <c r="O313" i="44" s="1"/>
  <c r="P313" i="44" s="1"/>
  <c r="Q313" i="44" s="1"/>
  <c r="R313" i="44" s="1"/>
  <c r="S313" i="44" s="1"/>
  <c r="H313" i="43"/>
  <c r="I313" i="43" s="1"/>
  <c r="J313" i="43" s="1"/>
  <c r="K313" i="43" s="1"/>
  <c r="L313" i="43" s="1"/>
  <c r="M313" i="43" s="1"/>
  <c r="N313" i="43" s="1"/>
  <c r="O313" i="43" s="1"/>
  <c r="P313" i="43" s="1"/>
  <c r="Q313" i="43" s="1"/>
  <c r="R313" i="43" s="1"/>
  <c r="S313" i="43" s="1"/>
  <c r="G309" i="48"/>
  <c r="G309" i="47"/>
  <c r="G309" i="46"/>
  <c r="G309" i="45"/>
  <c r="G309" i="44"/>
  <c r="G309" i="43"/>
  <c r="F315" i="48"/>
  <c r="F315" i="47"/>
  <c r="F315" i="46"/>
  <c r="F315" i="45"/>
  <c r="F315" i="44"/>
  <c r="F315" i="43"/>
  <c r="F316" i="48"/>
  <c r="F316" i="47"/>
  <c r="F316" i="46"/>
  <c r="F316" i="45"/>
  <c r="F316" i="44"/>
  <c r="F316" i="43"/>
  <c r="E323" i="48"/>
  <c r="E323" i="47"/>
  <c r="E323" i="46"/>
  <c r="E323" i="45"/>
  <c r="E323" i="44"/>
  <c r="E323" i="43"/>
  <c r="E319" i="48"/>
  <c r="E319" i="47"/>
  <c r="E319" i="46"/>
  <c r="E319" i="45"/>
  <c r="E319" i="44"/>
  <c r="E319" i="43"/>
  <c r="H309" i="48"/>
  <c r="I309" i="48" s="1"/>
  <c r="J309" i="48" s="1"/>
  <c r="K309" i="48" s="1"/>
  <c r="L309" i="48" s="1"/>
  <c r="M309" i="48" s="1"/>
  <c r="N309" i="48" s="1"/>
  <c r="O309" i="48" s="1"/>
  <c r="P309" i="48" s="1"/>
  <c r="Q309" i="48" s="1"/>
  <c r="R309" i="48" s="1"/>
  <c r="S309" i="48" s="1"/>
  <c r="H309" i="47"/>
  <c r="I309" i="47" s="1"/>
  <c r="J309" i="47" s="1"/>
  <c r="K309" i="47" s="1"/>
  <c r="L309" i="47" s="1"/>
  <c r="M309" i="47" s="1"/>
  <c r="N309" i="47" s="1"/>
  <c r="O309" i="47" s="1"/>
  <c r="P309" i="47" s="1"/>
  <c r="Q309" i="47" s="1"/>
  <c r="R309" i="47" s="1"/>
  <c r="S309" i="47" s="1"/>
  <c r="H309" i="46"/>
  <c r="I309" i="46" s="1"/>
  <c r="J309" i="46" s="1"/>
  <c r="K309" i="46" s="1"/>
  <c r="L309" i="46" s="1"/>
  <c r="M309" i="46" s="1"/>
  <c r="N309" i="46" s="1"/>
  <c r="O309" i="46" s="1"/>
  <c r="P309" i="46" s="1"/>
  <c r="Q309" i="46" s="1"/>
  <c r="R309" i="46" s="1"/>
  <c r="S309" i="46" s="1"/>
  <c r="H309" i="45"/>
  <c r="I309" i="45" s="1"/>
  <c r="J309" i="45" s="1"/>
  <c r="K309" i="45" s="1"/>
  <c r="L309" i="45" s="1"/>
  <c r="M309" i="45" s="1"/>
  <c r="N309" i="45" s="1"/>
  <c r="O309" i="45" s="1"/>
  <c r="P309" i="45" s="1"/>
  <c r="Q309" i="45" s="1"/>
  <c r="R309" i="45" s="1"/>
  <c r="S309" i="45" s="1"/>
  <c r="H309" i="44"/>
  <c r="I309" i="44" s="1"/>
  <c r="J309" i="44" s="1"/>
  <c r="K309" i="44" s="1"/>
  <c r="L309" i="44" s="1"/>
  <c r="M309" i="44" s="1"/>
  <c r="N309" i="44" s="1"/>
  <c r="O309" i="44" s="1"/>
  <c r="P309" i="44" s="1"/>
  <c r="Q309" i="44" s="1"/>
  <c r="R309" i="44" s="1"/>
  <c r="S309" i="44" s="1"/>
  <c r="H309" i="43"/>
  <c r="I309" i="43" s="1"/>
  <c r="J309" i="43" s="1"/>
  <c r="K309" i="43" s="1"/>
  <c r="L309" i="43" s="1"/>
  <c r="M309" i="43" s="1"/>
  <c r="N309" i="43" s="1"/>
  <c r="O309" i="43" s="1"/>
  <c r="P309" i="43" s="1"/>
  <c r="Q309" i="43" s="1"/>
  <c r="R309" i="43" s="1"/>
  <c r="S309" i="43" s="1"/>
  <c r="E320" i="48"/>
  <c r="E320" i="47"/>
  <c r="E320" i="46"/>
  <c r="E320" i="45"/>
  <c r="E320" i="44"/>
  <c r="E320" i="43"/>
  <c r="E326" i="48"/>
  <c r="E326" i="47"/>
  <c r="E326" i="46"/>
  <c r="E326" i="45"/>
  <c r="E326" i="44"/>
  <c r="E326" i="43"/>
  <c r="F318" i="48"/>
  <c r="F318" i="47"/>
  <c r="F318" i="46"/>
  <c r="F318" i="45"/>
  <c r="F318" i="44"/>
  <c r="F318" i="43"/>
  <c r="F314" i="48"/>
  <c r="F314" i="47"/>
  <c r="F314" i="46"/>
  <c r="F314" i="45"/>
  <c r="F314" i="44"/>
  <c r="F314" i="43"/>
  <c r="C329" i="48"/>
  <c r="C329" i="47"/>
  <c r="C329" i="46"/>
  <c r="C329" i="44"/>
  <c r="C329" i="45"/>
  <c r="C329" i="43"/>
  <c r="C332" i="48"/>
  <c r="C332" i="47"/>
  <c r="C332" i="46"/>
  <c r="C332" i="45"/>
  <c r="C332" i="44"/>
  <c r="C332" i="43"/>
  <c r="C333" i="48"/>
  <c r="C333" i="47"/>
  <c r="C333" i="46"/>
  <c r="C333" i="44"/>
  <c r="C333" i="45"/>
  <c r="C333" i="43"/>
  <c r="C331" i="48"/>
  <c r="C331" i="47"/>
  <c r="C331" i="46"/>
  <c r="C331" i="44"/>
  <c r="C331" i="45"/>
  <c r="C331" i="43"/>
  <c r="C330" i="48"/>
  <c r="C330" i="47"/>
  <c r="C330" i="46"/>
  <c r="C330" i="44"/>
  <c r="C330" i="45"/>
  <c r="C330" i="43"/>
  <c r="D324" i="48"/>
  <c r="D324" i="47"/>
  <c r="D324" i="46"/>
  <c r="D324" i="45"/>
  <c r="D324" i="44"/>
  <c r="D324" i="43"/>
  <c r="D328" i="48"/>
  <c r="D328" i="47"/>
  <c r="D328" i="46"/>
  <c r="D328" i="45"/>
  <c r="D328" i="44"/>
  <c r="D328" i="43"/>
  <c r="D327" i="48"/>
  <c r="D327" i="46"/>
  <c r="D327" i="47"/>
  <c r="D327" i="45"/>
  <c r="D327" i="44"/>
  <c r="D327" i="43"/>
  <c r="D325" i="48"/>
  <c r="D325" i="46"/>
  <c r="D325" i="47"/>
  <c r="D325" i="45"/>
  <c r="D325" i="44"/>
  <c r="D325" i="43"/>
  <c r="H315" i="48" l="1"/>
  <c r="I315" i="48" s="1"/>
  <c r="J315" i="48" s="1"/>
  <c r="K315" i="48" s="1"/>
  <c r="L315" i="48" s="1"/>
  <c r="M315" i="48" s="1"/>
  <c r="N315" i="48" s="1"/>
  <c r="O315" i="48" s="1"/>
  <c r="P315" i="48" s="1"/>
  <c r="Q315" i="48" s="1"/>
  <c r="R315" i="48" s="1"/>
  <c r="S315" i="48" s="1"/>
  <c r="H315" i="47"/>
  <c r="I315" i="47" s="1"/>
  <c r="J315" i="47" s="1"/>
  <c r="K315" i="47" s="1"/>
  <c r="L315" i="47" s="1"/>
  <c r="M315" i="47" s="1"/>
  <c r="N315" i="47" s="1"/>
  <c r="O315" i="47" s="1"/>
  <c r="P315" i="47" s="1"/>
  <c r="Q315" i="47" s="1"/>
  <c r="R315" i="47" s="1"/>
  <c r="S315" i="47" s="1"/>
  <c r="H315" i="46"/>
  <c r="I315" i="46" s="1"/>
  <c r="J315" i="46" s="1"/>
  <c r="K315" i="46" s="1"/>
  <c r="L315" i="46" s="1"/>
  <c r="M315" i="46" s="1"/>
  <c r="N315" i="46" s="1"/>
  <c r="O315" i="46" s="1"/>
  <c r="P315" i="46" s="1"/>
  <c r="Q315" i="46" s="1"/>
  <c r="R315" i="46" s="1"/>
  <c r="S315" i="46" s="1"/>
  <c r="H315" i="45"/>
  <c r="I315" i="45" s="1"/>
  <c r="J315" i="45" s="1"/>
  <c r="K315" i="45" s="1"/>
  <c r="L315" i="45" s="1"/>
  <c r="M315" i="45" s="1"/>
  <c r="N315" i="45" s="1"/>
  <c r="O315" i="45" s="1"/>
  <c r="P315" i="45" s="1"/>
  <c r="Q315" i="45" s="1"/>
  <c r="R315" i="45" s="1"/>
  <c r="S315" i="45" s="1"/>
  <c r="H315" i="44"/>
  <c r="I315" i="44" s="1"/>
  <c r="J315" i="44" s="1"/>
  <c r="K315" i="44" s="1"/>
  <c r="L315" i="44" s="1"/>
  <c r="M315" i="44" s="1"/>
  <c r="N315" i="44" s="1"/>
  <c r="O315" i="44" s="1"/>
  <c r="P315" i="44" s="1"/>
  <c r="Q315" i="44" s="1"/>
  <c r="R315" i="44" s="1"/>
  <c r="S315" i="44" s="1"/>
  <c r="H315" i="43"/>
  <c r="I315" i="43" s="1"/>
  <c r="J315" i="43" s="1"/>
  <c r="K315" i="43" s="1"/>
  <c r="L315" i="43" s="1"/>
  <c r="M315" i="43" s="1"/>
  <c r="N315" i="43" s="1"/>
  <c r="O315" i="43" s="1"/>
  <c r="P315" i="43" s="1"/>
  <c r="Q315" i="43" s="1"/>
  <c r="R315" i="43" s="1"/>
  <c r="S315" i="43" s="1"/>
  <c r="F323" i="48"/>
  <c r="F323" i="47"/>
  <c r="F323" i="46"/>
  <c r="F323" i="45"/>
  <c r="F323" i="44"/>
  <c r="F323" i="43"/>
  <c r="G318" i="48"/>
  <c r="G318" i="47"/>
  <c r="G318" i="46"/>
  <c r="G318" i="45"/>
  <c r="G318" i="44"/>
  <c r="G318" i="43"/>
  <c r="E328" i="48"/>
  <c r="E328" i="47"/>
  <c r="E328" i="46"/>
  <c r="E328" i="45"/>
  <c r="E328" i="44"/>
  <c r="E328" i="43"/>
  <c r="G315" i="48"/>
  <c r="G315" i="47"/>
  <c r="G315" i="46"/>
  <c r="G315" i="45"/>
  <c r="G315" i="44"/>
  <c r="G315" i="43"/>
  <c r="G317" i="48"/>
  <c r="G317" i="47"/>
  <c r="G317" i="46"/>
  <c r="G317" i="45"/>
  <c r="G317" i="44"/>
  <c r="G317" i="43"/>
  <c r="F320" i="48"/>
  <c r="F320" i="47"/>
  <c r="F320" i="46"/>
  <c r="F320" i="45"/>
  <c r="F320" i="44"/>
  <c r="F320" i="43"/>
  <c r="H318" i="48"/>
  <c r="I318" i="48" s="1"/>
  <c r="J318" i="48" s="1"/>
  <c r="K318" i="48" s="1"/>
  <c r="L318" i="48" s="1"/>
  <c r="M318" i="48" s="1"/>
  <c r="N318" i="48" s="1"/>
  <c r="O318" i="48" s="1"/>
  <c r="P318" i="48" s="1"/>
  <c r="Q318" i="48" s="1"/>
  <c r="R318" i="48" s="1"/>
  <c r="S318" i="48" s="1"/>
  <c r="H318" i="47"/>
  <c r="I318" i="47" s="1"/>
  <c r="J318" i="47" s="1"/>
  <c r="K318" i="47" s="1"/>
  <c r="L318" i="47" s="1"/>
  <c r="M318" i="47" s="1"/>
  <c r="N318" i="47" s="1"/>
  <c r="O318" i="47" s="1"/>
  <c r="P318" i="47" s="1"/>
  <c r="Q318" i="47" s="1"/>
  <c r="R318" i="47" s="1"/>
  <c r="S318" i="47" s="1"/>
  <c r="H318" i="46"/>
  <c r="I318" i="46" s="1"/>
  <c r="J318" i="46" s="1"/>
  <c r="K318" i="46" s="1"/>
  <c r="L318" i="46" s="1"/>
  <c r="M318" i="46" s="1"/>
  <c r="N318" i="46" s="1"/>
  <c r="O318" i="46" s="1"/>
  <c r="P318" i="46" s="1"/>
  <c r="Q318" i="46" s="1"/>
  <c r="R318" i="46" s="1"/>
  <c r="S318" i="46" s="1"/>
  <c r="H318" i="45"/>
  <c r="I318" i="45" s="1"/>
  <c r="J318" i="45" s="1"/>
  <c r="K318" i="45" s="1"/>
  <c r="L318" i="45" s="1"/>
  <c r="M318" i="45" s="1"/>
  <c r="N318" i="45" s="1"/>
  <c r="O318" i="45" s="1"/>
  <c r="P318" i="45" s="1"/>
  <c r="Q318" i="45" s="1"/>
  <c r="R318" i="45" s="1"/>
  <c r="S318" i="45" s="1"/>
  <c r="H318" i="44"/>
  <c r="I318" i="44" s="1"/>
  <c r="J318" i="44" s="1"/>
  <c r="K318" i="44" s="1"/>
  <c r="L318" i="44" s="1"/>
  <c r="M318" i="44" s="1"/>
  <c r="N318" i="44" s="1"/>
  <c r="O318" i="44" s="1"/>
  <c r="P318" i="44" s="1"/>
  <c r="Q318" i="44" s="1"/>
  <c r="R318" i="44" s="1"/>
  <c r="S318" i="44" s="1"/>
  <c r="H318" i="43"/>
  <c r="I318" i="43" s="1"/>
  <c r="J318" i="43" s="1"/>
  <c r="K318" i="43" s="1"/>
  <c r="L318" i="43" s="1"/>
  <c r="M318" i="43" s="1"/>
  <c r="N318" i="43" s="1"/>
  <c r="O318" i="43" s="1"/>
  <c r="P318" i="43" s="1"/>
  <c r="Q318" i="43" s="1"/>
  <c r="R318" i="43" s="1"/>
  <c r="S318" i="43" s="1"/>
  <c r="F326" i="48"/>
  <c r="F326" i="47"/>
  <c r="F326" i="46"/>
  <c r="F326" i="45"/>
  <c r="F326" i="44"/>
  <c r="F326" i="43"/>
  <c r="G316" i="48"/>
  <c r="G316" i="47"/>
  <c r="G316" i="46"/>
  <c r="G316" i="45"/>
  <c r="G316" i="44"/>
  <c r="G316" i="43"/>
  <c r="F322" i="48"/>
  <c r="F322" i="47"/>
  <c r="F322" i="46"/>
  <c r="F322" i="45"/>
  <c r="F322" i="44"/>
  <c r="F322" i="43"/>
  <c r="H316" i="48"/>
  <c r="I316" i="48" s="1"/>
  <c r="J316" i="48" s="1"/>
  <c r="K316" i="48" s="1"/>
  <c r="L316" i="48" s="1"/>
  <c r="M316" i="48" s="1"/>
  <c r="N316" i="48" s="1"/>
  <c r="O316" i="48" s="1"/>
  <c r="P316" i="48" s="1"/>
  <c r="Q316" i="48" s="1"/>
  <c r="R316" i="48" s="1"/>
  <c r="S316" i="48" s="1"/>
  <c r="H316" i="47"/>
  <c r="I316" i="47" s="1"/>
  <c r="J316" i="47" s="1"/>
  <c r="K316" i="47" s="1"/>
  <c r="L316" i="47" s="1"/>
  <c r="M316" i="47" s="1"/>
  <c r="N316" i="47" s="1"/>
  <c r="O316" i="47" s="1"/>
  <c r="P316" i="47" s="1"/>
  <c r="Q316" i="47" s="1"/>
  <c r="R316" i="47" s="1"/>
  <c r="S316" i="47" s="1"/>
  <c r="H316" i="46"/>
  <c r="I316" i="46" s="1"/>
  <c r="J316" i="46" s="1"/>
  <c r="K316" i="46" s="1"/>
  <c r="L316" i="46" s="1"/>
  <c r="M316" i="46" s="1"/>
  <c r="N316" i="46" s="1"/>
  <c r="O316" i="46" s="1"/>
  <c r="P316" i="46" s="1"/>
  <c r="Q316" i="46" s="1"/>
  <c r="R316" i="46" s="1"/>
  <c r="S316" i="46" s="1"/>
  <c r="H316" i="45"/>
  <c r="I316" i="45" s="1"/>
  <c r="J316" i="45" s="1"/>
  <c r="K316" i="45" s="1"/>
  <c r="L316" i="45" s="1"/>
  <c r="M316" i="45" s="1"/>
  <c r="N316" i="45" s="1"/>
  <c r="O316" i="45" s="1"/>
  <c r="P316" i="45" s="1"/>
  <c r="Q316" i="45" s="1"/>
  <c r="R316" i="45" s="1"/>
  <c r="S316" i="45" s="1"/>
  <c r="H316" i="44"/>
  <c r="I316" i="44" s="1"/>
  <c r="J316" i="44" s="1"/>
  <c r="K316" i="44" s="1"/>
  <c r="L316" i="44" s="1"/>
  <c r="M316" i="44" s="1"/>
  <c r="N316" i="44" s="1"/>
  <c r="O316" i="44" s="1"/>
  <c r="P316" i="44" s="1"/>
  <c r="Q316" i="44" s="1"/>
  <c r="R316" i="44" s="1"/>
  <c r="S316" i="44" s="1"/>
  <c r="H316" i="43"/>
  <c r="I316" i="43" s="1"/>
  <c r="J316" i="43" s="1"/>
  <c r="K316" i="43" s="1"/>
  <c r="L316" i="43" s="1"/>
  <c r="M316" i="43" s="1"/>
  <c r="N316" i="43" s="1"/>
  <c r="O316" i="43" s="1"/>
  <c r="P316" i="43" s="1"/>
  <c r="Q316" i="43" s="1"/>
  <c r="R316" i="43" s="1"/>
  <c r="S316" i="43" s="1"/>
  <c r="E327" i="48"/>
  <c r="E327" i="47"/>
  <c r="E327" i="46"/>
  <c r="E327" i="45"/>
  <c r="E327" i="44"/>
  <c r="E327" i="43"/>
  <c r="E325" i="48"/>
  <c r="E325" i="47"/>
  <c r="E325" i="46"/>
  <c r="E325" i="45"/>
  <c r="E325" i="44"/>
  <c r="E325" i="43"/>
  <c r="G314" i="48"/>
  <c r="G314" i="47"/>
  <c r="G314" i="46"/>
  <c r="G314" i="45"/>
  <c r="G314" i="44"/>
  <c r="G314" i="43"/>
  <c r="G321" i="48"/>
  <c r="G321" i="47"/>
  <c r="G321" i="46"/>
  <c r="G321" i="45"/>
  <c r="G321" i="44"/>
  <c r="G321" i="43"/>
  <c r="E324" i="48"/>
  <c r="E324" i="47"/>
  <c r="E324" i="46"/>
  <c r="E324" i="45"/>
  <c r="E324" i="44"/>
  <c r="E324" i="43"/>
  <c r="H317" i="48"/>
  <c r="I317" i="48" s="1"/>
  <c r="J317" i="48" s="1"/>
  <c r="K317" i="48" s="1"/>
  <c r="L317" i="48" s="1"/>
  <c r="M317" i="48" s="1"/>
  <c r="N317" i="48" s="1"/>
  <c r="O317" i="48" s="1"/>
  <c r="P317" i="48" s="1"/>
  <c r="Q317" i="48" s="1"/>
  <c r="R317" i="48" s="1"/>
  <c r="S317" i="48" s="1"/>
  <c r="H317" i="47"/>
  <c r="I317" i="47" s="1"/>
  <c r="J317" i="47" s="1"/>
  <c r="K317" i="47" s="1"/>
  <c r="L317" i="47" s="1"/>
  <c r="M317" i="47" s="1"/>
  <c r="N317" i="47" s="1"/>
  <c r="O317" i="47" s="1"/>
  <c r="P317" i="47" s="1"/>
  <c r="Q317" i="47" s="1"/>
  <c r="R317" i="47" s="1"/>
  <c r="S317" i="47" s="1"/>
  <c r="H317" i="46"/>
  <c r="I317" i="46" s="1"/>
  <c r="J317" i="46" s="1"/>
  <c r="K317" i="46" s="1"/>
  <c r="L317" i="46" s="1"/>
  <c r="M317" i="46" s="1"/>
  <c r="N317" i="46" s="1"/>
  <c r="O317" i="46" s="1"/>
  <c r="P317" i="46" s="1"/>
  <c r="Q317" i="46" s="1"/>
  <c r="R317" i="46" s="1"/>
  <c r="S317" i="46" s="1"/>
  <c r="H317" i="45"/>
  <c r="I317" i="45" s="1"/>
  <c r="J317" i="45" s="1"/>
  <c r="K317" i="45" s="1"/>
  <c r="L317" i="45" s="1"/>
  <c r="M317" i="45" s="1"/>
  <c r="N317" i="45" s="1"/>
  <c r="O317" i="45" s="1"/>
  <c r="P317" i="45" s="1"/>
  <c r="Q317" i="45" s="1"/>
  <c r="R317" i="45" s="1"/>
  <c r="S317" i="45" s="1"/>
  <c r="H317" i="44"/>
  <c r="I317" i="44" s="1"/>
  <c r="J317" i="44" s="1"/>
  <c r="K317" i="44" s="1"/>
  <c r="L317" i="44" s="1"/>
  <c r="M317" i="44" s="1"/>
  <c r="N317" i="44" s="1"/>
  <c r="O317" i="44" s="1"/>
  <c r="P317" i="44" s="1"/>
  <c r="Q317" i="44" s="1"/>
  <c r="R317" i="44" s="1"/>
  <c r="S317" i="44" s="1"/>
  <c r="H317" i="43"/>
  <c r="I317" i="43" s="1"/>
  <c r="J317" i="43" s="1"/>
  <c r="K317" i="43" s="1"/>
  <c r="L317" i="43" s="1"/>
  <c r="M317" i="43" s="1"/>
  <c r="N317" i="43" s="1"/>
  <c r="O317" i="43" s="1"/>
  <c r="P317" i="43" s="1"/>
  <c r="Q317" i="43" s="1"/>
  <c r="R317" i="43" s="1"/>
  <c r="S317" i="43" s="1"/>
  <c r="F319" i="48"/>
  <c r="F319" i="47"/>
  <c r="F319" i="46"/>
  <c r="F319" i="45"/>
  <c r="F319" i="44"/>
  <c r="F319" i="43"/>
  <c r="H314" i="48"/>
  <c r="I314" i="48" s="1"/>
  <c r="J314" i="48" s="1"/>
  <c r="K314" i="48" s="1"/>
  <c r="L314" i="48" s="1"/>
  <c r="M314" i="48" s="1"/>
  <c r="N314" i="48" s="1"/>
  <c r="O314" i="48" s="1"/>
  <c r="P314" i="48" s="1"/>
  <c r="Q314" i="48" s="1"/>
  <c r="R314" i="48" s="1"/>
  <c r="S314" i="48" s="1"/>
  <c r="H314" i="47"/>
  <c r="I314" i="47" s="1"/>
  <c r="J314" i="47" s="1"/>
  <c r="K314" i="47" s="1"/>
  <c r="L314" i="47" s="1"/>
  <c r="M314" i="47" s="1"/>
  <c r="N314" i="47" s="1"/>
  <c r="O314" i="47" s="1"/>
  <c r="P314" i="47" s="1"/>
  <c r="Q314" i="47" s="1"/>
  <c r="R314" i="47" s="1"/>
  <c r="S314" i="47" s="1"/>
  <c r="H314" i="46"/>
  <c r="I314" i="46" s="1"/>
  <c r="J314" i="46" s="1"/>
  <c r="K314" i="46" s="1"/>
  <c r="L314" i="46" s="1"/>
  <c r="M314" i="46" s="1"/>
  <c r="N314" i="46" s="1"/>
  <c r="O314" i="46" s="1"/>
  <c r="P314" i="46" s="1"/>
  <c r="Q314" i="46" s="1"/>
  <c r="R314" i="46" s="1"/>
  <c r="S314" i="46" s="1"/>
  <c r="H314" i="45"/>
  <c r="I314" i="45" s="1"/>
  <c r="J314" i="45" s="1"/>
  <c r="K314" i="45" s="1"/>
  <c r="L314" i="45" s="1"/>
  <c r="M314" i="45" s="1"/>
  <c r="N314" i="45" s="1"/>
  <c r="O314" i="45" s="1"/>
  <c r="P314" i="45" s="1"/>
  <c r="Q314" i="45" s="1"/>
  <c r="R314" i="45" s="1"/>
  <c r="S314" i="45" s="1"/>
  <c r="H314" i="44"/>
  <c r="I314" i="44" s="1"/>
  <c r="J314" i="44" s="1"/>
  <c r="K314" i="44" s="1"/>
  <c r="L314" i="44" s="1"/>
  <c r="M314" i="44" s="1"/>
  <c r="N314" i="44" s="1"/>
  <c r="O314" i="44" s="1"/>
  <c r="P314" i="44" s="1"/>
  <c r="Q314" i="44" s="1"/>
  <c r="R314" i="44" s="1"/>
  <c r="S314" i="44" s="1"/>
  <c r="H314" i="43"/>
  <c r="I314" i="43" s="1"/>
  <c r="J314" i="43" s="1"/>
  <c r="K314" i="43" s="1"/>
  <c r="L314" i="43" s="1"/>
  <c r="M314" i="43" s="1"/>
  <c r="N314" i="43" s="1"/>
  <c r="O314" i="43" s="1"/>
  <c r="P314" i="43" s="1"/>
  <c r="Q314" i="43" s="1"/>
  <c r="R314" i="43" s="1"/>
  <c r="S314" i="43" s="1"/>
  <c r="H321" i="48"/>
  <c r="I321" i="48" s="1"/>
  <c r="J321" i="48" s="1"/>
  <c r="K321" i="48" s="1"/>
  <c r="L321" i="48" s="1"/>
  <c r="M321" i="48" s="1"/>
  <c r="N321" i="48" s="1"/>
  <c r="O321" i="48" s="1"/>
  <c r="P321" i="48" s="1"/>
  <c r="Q321" i="48" s="1"/>
  <c r="R321" i="48" s="1"/>
  <c r="S321" i="48" s="1"/>
  <c r="H321" i="47"/>
  <c r="I321" i="47" s="1"/>
  <c r="J321" i="47" s="1"/>
  <c r="K321" i="47" s="1"/>
  <c r="L321" i="47" s="1"/>
  <c r="M321" i="47" s="1"/>
  <c r="N321" i="47" s="1"/>
  <c r="O321" i="47" s="1"/>
  <c r="P321" i="47" s="1"/>
  <c r="Q321" i="47" s="1"/>
  <c r="R321" i="47" s="1"/>
  <c r="S321" i="47" s="1"/>
  <c r="H321" i="46"/>
  <c r="I321" i="46" s="1"/>
  <c r="J321" i="46" s="1"/>
  <c r="K321" i="46" s="1"/>
  <c r="L321" i="46" s="1"/>
  <c r="M321" i="46" s="1"/>
  <c r="N321" i="46" s="1"/>
  <c r="O321" i="46" s="1"/>
  <c r="P321" i="46" s="1"/>
  <c r="Q321" i="46" s="1"/>
  <c r="R321" i="46" s="1"/>
  <c r="S321" i="46" s="1"/>
  <c r="H321" i="45"/>
  <c r="I321" i="45" s="1"/>
  <c r="J321" i="45" s="1"/>
  <c r="K321" i="45" s="1"/>
  <c r="L321" i="45" s="1"/>
  <c r="M321" i="45" s="1"/>
  <c r="N321" i="45" s="1"/>
  <c r="O321" i="45" s="1"/>
  <c r="P321" i="45" s="1"/>
  <c r="Q321" i="45" s="1"/>
  <c r="R321" i="45" s="1"/>
  <c r="S321" i="45" s="1"/>
  <c r="H321" i="44"/>
  <c r="I321" i="44" s="1"/>
  <c r="J321" i="44" s="1"/>
  <c r="K321" i="44" s="1"/>
  <c r="L321" i="44" s="1"/>
  <c r="M321" i="44" s="1"/>
  <c r="N321" i="44" s="1"/>
  <c r="O321" i="44" s="1"/>
  <c r="P321" i="44" s="1"/>
  <c r="Q321" i="44" s="1"/>
  <c r="R321" i="44" s="1"/>
  <c r="S321" i="44" s="1"/>
  <c r="H321" i="43"/>
  <c r="I321" i="43" s="1"/>
  <c r="J321" i="43" s="1"/>
  <c r="K321" i="43" s="1"/>
  <c r="L321" i="43" s="1"/>
  <c r="M321" i="43" s="1"/>
  <c r="N321" i="43" s="1"/>
  <c r="O321" i="43" s="1"/>
  <c r="P321" i="43" s="1"/>
  <c r="Q321" i="43" s="1"/>
  <c r="R321" i="43" s="1"/>
  <c r="S321" i="43" s="1"/>
  <c r="C337" i="48"/>
  <c r="C337" i="47"/>
  <c r="C337" i="46"/>
  <c r="C337" i="45"/>
  <c r="C337" i="44"/>
  <c r="C337" i="43"/>
  <c r="C336" i="48"/>
  <c r="C336" i="47"/>
  <c r="C336" i="46"/>
  <c r="C336" i="45"/>
  <c r="C336" i="44"/>
  <c r="C336" i="43"/>
  <c r="C341" i="48"/>
  <c r="C341" i="47"/>
  <c r="C341" i="46"/>
  <c r="C341" i="44"/>
  <c r="C341" i="45"/>
  <c r="C341" i="43"/>
  <c r="C335" i="48"/>
  <c r="C335" i="47"/>
  <c r="C335" i="46"/>
  <c r="C335" i="44"/>
  <c r="C335" i="45"/>
  <c r="C335" i="43"/>
  <c r="C338" i="48"/>
  <c r="C338" i="47"/>
  <c r="C338" i="46"/>
  <c r="C338" i="45"/>
  <c r="C338" i="44"/>
  <c r="C338" i="43"/>
  <c r="C334" i="48"/>
  <c r="C334" i="47"/>
  <c r="C334" i="46"/>
  <c r="C334" i="44"/>
  <c r="C334" i="45"/>
  <c r="C334" i="43"/>
  <c r="D333" i="48"/>
  <c r="D333" i="46"/>
  <c r="D333" i="47"/>
  <c r="D333" i="45"/>
  <c r="D333" i="44"/>
  <c r="D333" i="43"/>
  <c r="D332" i="48"/>
  <c r="D332" i="47"/>
  <c r="D332" i="46"/>
  <c r="D332" i="45"/>
  <c r="D332" i="44"/>
  <c r="D332" i="43"/>
  <c r="D331" i="48"/>
  <c r="D331" i="47"/>
  <c r="D331" i="46"/>
  <c r="D331" i="45"/>
  <c r="D331" i="44"/>
  <c r="D331" i="43"/>
  <c r="D330" i="48"/>
  <c r="D330" i="47"/>
  <c r="D330" i="46"/>
  <c r="D330" i="45"/>
  <c r="D330" i="44"/>
  <c r="D330" i="43"/>
  <c r="D329" i="48"/>
  <c r="D329" i="47"/>
  <c r="D329" i="46"/>
  <c r="D329" i="44"/>
  <c r="D329" i="45"/>
  <c r="D329" i="43"/>
  <c r="F324" i="48" l="1"/>
  <c r="F324" i="47"/>
  <c r="F324" i="46"/>
  <c r="F324" i="45"/>
  <c r="F324" i="44"/>
  <c r="F324" i="43"/>
  <c r="H320" i="48"/>
  <c r="I320" i="48" s="1"/>
  <c r="J320" i="48" s="1"/>
  <c r="K320" i="48" s="1"/>
  <c r="L320" i="48" s="1"/>
  <c r="M320" i="48" s="1"/>
  <c r="N320" i="48" s="1"/>
  <c r="O320" i="48" s="1"/>
  <c r="P320" i="48" s="1"/>
  <c r="Q320" i="48" s="1"/>
  <c r="R320" i="48" s="1"/>
  <c r="S320" i="48" s="1"/>
  <c r="H320" i="47"/>
  <c r="I320" i="47" s="1"/>
  <c r="J320" i="47" s="1"/>
  <c r="K320" i="47" s="1"/>
  <c r="L320" i="47" s="1"/>
  <c r="M320" i="47" s="1"/>
  <c r="N320" i="47" s="1"/>
  <c r="O320" i="47" s="1"/>
  <c r="P320" i="47" s="1"/>
  <c r="Q320" i="47" s="1"/>
  <c r="R320" i="47" s="1"/>
  <c r="S320" i="47" s="1"/>
  <c r="H320" i="46"/>
  <c r="I320" i="46" s="1"/>
  <c r="J320" i="46" s="1"/>
  <c r="K320" i="46" s="1"/>
  <c r="L320" i="46" s="1"/>
  <c r="M320" i="46" s="1"/>
  <c r="N320" i="46" s="1"/>
  <c r="O320" i="46" s="1"/>
  <c r="P320" i="46" s="1"/>
  <c r="Q320" i="46" s="1"/>
  <c r="R320" i="46" s="1"/>
  <c r="S320" i="46" s="1"/>
  <c r="H320" i="45"/>
  <c r="I320" i="45" s="1"/>
  <c r="J320" i="45" s="1"/>
  <c r="K320" i="45" s="1"/>
  <c r="L320" i="45" s="1"/>
  <c r="M320" i="45" s="1"/>
  <c r="N320" i="45" s="1"/>
  <c r="O320" i="45" s="1"/>
  <c r="P320" i="45" s="1"/>
  <c r="Q320" i="45" s="1"/>
  <c r="R320" i="45" s="1"/>
  <c r="S320" i="45" s="1"/>
  <c r="H320" i="44"/>
  <c r="I320" i="44" s="1"/>
  <c r="J320" i="44" s="1"/>
  <c r="K320" i="44" s="1"/>
  <c r="L320" i="44" s="1"/>
  <c r="M320" i="44" s="1"/>
  <c r="N320" i="44" s="1"/>
  <c r="O320" i="44" s="1"/>
  <c r="P320" i="44" s="1"/>
  <c r="Q320" i="44" s="1"/>
  <c r="R320" i="44" s="1"/>
  <c r="S320" i="44" s="1"/>
  <c r="H320" i="43"/>
  <c r="I320" i="43" s="1"/>
  <c r="J320" i="43" s="1"/>
  <c r="K320" i="43" s="1"/>
  <c r="L320" i="43" s="1"/>
  <c r="M320" i="43" s="1"/>
  <c r="N320" i="43" s="1"/>
  <c r="O320" i="43" s="1"/>
  <c r="P320" i="43" s="1"/>
  <c r="Q320" i="43" s="1"/>
  <c r="R320" i="43" s="1"/>
  <c r="S320" i="43" s="1"/>
  <c r="E332" i="48"/>
  <c r="E332" i="47"/>
  <c r="E332" i="46"/>
  <c r="E332" i="45"/>
  <c r="E332" i="44"/>
  <c r="E332" i="43"/>
  <c r="G320" i="48"/>
  <c r="G320" i="47"/>
  <c r="G320" i="46"/>
  <c r="G320" i="45"/>
  <c r="G320" i="44"/>
  <c r="G320" i="43"/>
  <c r="E329" i="48"/>
  <c r="E329" i="47"/>
  <c r="E329" i="46"/>
  <c r="E329" i="45"/>
  <c r="E329" i="44"/>
  <c r="E329" i="43"/>
  <c r="E333" i="48"/>
  <c r="E333" i="47"/>
  <c r="E333" i="46"/>
  <c r="E333" i="45"/>
  <c r="E333" i="44"/>
  <c r="E333" i="43"/>
  <c r="F325" i="48"/>
  <c r="F325" i="47"/>
  <c r="F325" i="46"/>
  <c r="F325" i="45"/>
  <c r="F325" i="44"/>
  <c r="F325" i="43"/>
  <c r="E330" i="48"/>
  <c r="E330" i="47"/>
  <c r="E330" i="46"/>
  <c r="E330" i="45"/>
  <c r="E330" i="44"/>
  <c r="E330" i="43"/>
  <c r="G326" i="48"/>
  <c r="G326" i="47"/>
  <c r="G326" i="46"/>
  <c r="G326" i="45"/>
  <c r="G326" i="44"/>
  <c r="G326" i="43"/>
  <c r="F327" i="48"/>
  <c r="F327" i="47"/>
  <c r="F327" i="46"/>
  <c r="F327" i="45"/>
  <c r="F327" i="44"/>
  <c r="F327" i="43"/>
  <c r="H326" i="48"/>
  <c r="I326" i="48" s="1"/>
  <c r="J326" i="48" s="1"/>
  <c r="K326" i="48" s="1"/>
  <c r="L326" i="48" s="1"/>
  <c r="M326" i="48" s="1"/>
  <c r="N326" i="48" s="1"/>
  <c r="O326" i="48" s="1"/>
  <c r="P326" i="48" s="1"/>
  <c r="Q326" i="48" s="1"/>
  <c r="R326" i="48" s="1"/>
  <c r="S326" i="48" s="1"/>
  <c r="H326" i="47"/>
  <c r="I326" i="47" s="1"/>
  <c r="J326" i="47" s="1"/>
  <c r="K326" i="47" s="1"/>
  <c r="L326" i="47" s="1"/>
  <c r="M326" i="47" s="1"/>
  <c r="N326" i="47" s="1"/>
  <c r="O326" i="47" s="1"/>
  <c r="P326" i="47" s="1"/>
  <c r="Q326" i="47" s="1"/>
  <c r="R326" i="47" s="1"/>
  <c r="S326" i="47" s="1"/>
  <c r="H326" i="46"/>
  <c r="I326" i="46" s="1"/>
  <c r="J326" i="46" s="1"/>
  <c r="K326" i="46" s="1"/>
  <c r="L326" i="46" s="1"/>
  <c r="M326" i="46" s="1"/>
  <c r="N326" i="46" s="1"/>
  <c r="O326" i="46" s="1"/>
  <c r="P326" i="46" s="1"/>
  <c r="Q326" i="46" s="1"/>
  <c r="R326" i="46" s="1"/>
  <c r="S326" i="46" s="1"/>
  <c r="H326" i="45"/>
  <c r="I326" i="45" s="1"/>
  <c r="J326" i="45" s="1"/>
  <c r="K326" i="45" s="1"/>
  <c r="L326" i="45" s="1"/>
  <c r="M326" i="45" s="1"/>
  <c r="N326" i="45" s="1"/>
  <c r="O326" i="45" s="1"/>
  <c r="P326" i="45" s="1"/>
  <c r="Q326" i="45" s="1"/>
  <c r="R326" i="45" s="1"/>
  <c r="S326" i="45" s="1"/>
  <c r="H326" i="44"/>
  <c r="I326" i="44" s="1"/>
  <c r="J326" i="44" s="1"/>
  <c r="K326" i="44" s="1"/>
  <c r="L326" i="44" s="1"/>
  <c r="M326" i="44" s="1"/>
  <c r="N326" i="44" s="1"/>
  <c r="O326" i="44" s="1"/>
  <c r="P326" i="44" s="1"/>
  <c r="Q326" i="44" s="1"/>
  <c r="R326" i="44" s="1"/>
  <c r="S326" i="44" s="1"/>
  <c r="H326" i="43"/>
  <c r="I326" i="43" s="1"/>
  <c r="J326" i="43" s="1"/>
  <c r="K326" i="43" s="1"/>
  <c r="L326" i="43" s="1"/>
  <c r="M326" i="43" s="1"/>
  <c r="N326" i="43" s="1"/>
  <c r="O326" i="43" s="1"/>
  <c r="P326" i="43" s="1"/>
  <c r="Q326" i="43" s="1"/>
  <c r="R326" i="43" s="1"/>
  <c r="S326" i="43" s="1"/>
  <c r="E331" i="48"/>
  <c r="E331" i="47"/>
  <c r="E331" i="46"/>
  <c r="E331" i="45"/>
  <c r="E331" i="44"/>
  <c r="E331" i="43"/>
  <c r="F328" i="48"/>
  <c r="F328" i="47"/>
  <c r="F328" i="46"/>
  <c r="F328" i="45"/>
  <c r="F328" i="44"/>
  <c r="F328" i="43"/>
  <c r="G319" i="48"/>
  <c r="G319" i="47"/>
  <c r="G319" i="46"/>
  <c r="G319" i="45"/>
  <c r="G319" i="44"/>
  <c r="G319" i="43"/>
  <c r="G323" i="48"/>
  <c r="G323" i="47"/>
  <c r="G323" i="46"/>
  <c r="G323" i="45"/>
  <c r="G323" i="44"/>
  <c r="G323" i="43"/>
  <c r="G322" i="48"/>
  <c r="G322" i="47"/>
  <c r="G322" i="46"/>
  <c r="G322" i="45"/>
  <c r="G322" i="44"/>
  <c r="G322" i="43"/>
  <c r="H322" i="48"/>
  <c r="I322" i="48" s="1"/>
  <c r="J322" i="48" s="1"/>
  <c r="K322" i="48" s="1"/>
  <c r="L322" i="48" s="1"/>
  <c r="M322" i="48" s="1"/>
  <c r="N322" i="48" s="1"/>
  <c r="O322" i="48" s="1"/>
  <c r="P322" i="48" s="1"/>
  <c r="Q322" i="48" s="1"/>
  <c r="R322" i="48" s="1"/>
  <c r="S322" i="48" s="1"/>
  <c r="H322" i="47"/>
  <c r="I322" i="47" s="1"/>
  <c r="J322" i="47" s="1"/>
  <c r="K322" i="47" s="1"/>
  <c r="L322" i="47" s="1"/>
  <c r="M322" i="47" s="1"/>
  <c r="N322" i="47" s="1"/>
  <c r="O322" i="47" s="1"/>
  <c r="P322" i="47" s="1"/>
  <c r="Q322" i="47" s="1"/>
  <c r="R322" i="47" s="1"/>
  <c r="S322" i="47" s="1"/>
  <c r="H322" i="46"/>
  <c r="I322" i="46" s="1"/>
  <c r="J322" i="46" s="1"/>
  <c r="K322" i="46" s="1"/>
  <c r="L322" i="46" s="1"/>
  <c r="M322" i="46" s="1"/>
  <c r="N322" i="46" s="1"/>
  <c r="O322" i="46" s="1"/>
  <c r="P322" i="46" s="1"/>
  <c r="Q322" i="46" s="1"/>
  <c r="R322" i="46" s="1"/>
  <c r="S322" i="46" s="1"/>
  <c r="H322" i="45"/>
  <c r="I322" i="45" s="1"/>
  <c r="J322" i="45" s="1"/>
  <c r="K322" i="45" s="1"/>
  <c r="L322" i="45" s="1"/>
  <c r="M322" i="45" s="1"/>
  <c r="N322" i="45" s="1"/>
  <c r="O322" i="45" s="1"/>
  <c r="P322" i="45" s="1"/>
  <c r="Q322" i="45" s="1"/>
  <c r="R322" i="45" s="1"/>
  <c r="S322" i="45" s="1"/>
  <c r="H322" i="44"/>
  <c r="I322" i="44" s="1"/>
  <c r="J322" i="44" s="1"/>
  <c r="K322" i="44" s="1"/>
  <c r="L322" i="44" s="1"/>
  <c r="M322" i="44" s="1"/>
  <c r="N322" i="44" s="1"/>
  <c r="O322" i="44" s="1"/>
  <c r="P322" i="44" s="1"/>
  <c r="Q322" i="44" s="1"/>
  <c r="R322" i="44" s="1"/>
  <c r="S322" i="44" s="1"/>
  <c r="H322" i="43"/>
  <c r="I322" i="43" s="1"/>
  <c r="J322" i="43" s="1"/>
  <c r="K322" i="43" s="1"/>
  <c r="L322" i="43" s="1"/>
  <c r="M322" i="43" s="1"/>
  <c r="N322" i="43" s="1"/>
  <c r="O322" i="43" s="1"/>
  <c r="P322" i="43" s="1"/>
  <c r="Q322" i="43" s="1"/>
  <c r="R322" i="43" s="1"/>
  <c r="S322" i="43" s="1"/>
  <c r="H319" i="48"/>
  <c r="I319" i="48" s="1"/>
  <c r="J319" i="48" s="1"/>
  <c r="K319" i="48" s="1"/>
  <c r="L319" i="48" s="1"/>
  <c r="M319" i="48" s="1"/>
  <c r="N319" i="48" s="1"/>
  <c r="O319" i="48" s="1"/>
  <c r="P319" i="48" s="1"/>
  <c r="Q319" i="48" s="1"/>
  <c r="R319" i="48" s="1"/>
  <c r="S319" i="48" s="1"/>
  <c r="H319" i="47"/>
  <c r="I319" i="47" s="1"/>
  <c r="J319" i="47" s="1"/>
  <c r="K319" i="47" s="1"/>
  <c r="L319" i="47" s="1"/>
  <c r="M319" i="47" s="1"/>
  <c r="N319" i="47" s="1"/>
  <c r="O319" i="47" s="1"/>
  <c r="P319" i="47" s="1"/>
  <c r="Q319" i="47" s="1"/>
  <c r="R319" i="47" s="1"/>
  <c r="S319" i="47" s="1"/>
  <c r="H319" i="46"/>
  <c r="I319" i="46" s="1"/>
  <c r="J319" i="46" s="1"/>
  <c r="K319" i="46" s="1"/>
  <c r="L319" i="46" s="1"/>
  <c r="M319" i="46" s="1"/>
  <c r="N319" i="46" s="1"/>
  <c r="O319" i="46" s="1"/>
  <c r="P319" i="46" s="1"/>
  <c r="Q319" i="46" s="1"/>
  <c r="R319" i="46" s="1"/>
  <c r="S319" i="46" s="1"/>
  <c r="H319" i="45"/>
  <c r="I319" i="45" s="1"/>
  <c r="J319" i="45" s="1"/>
  <c r="K319" i="45" s="1"/>
  <c r="L319" i="45" s="1"/>
  <c r="M319" i="45" s="1"/>
  <c r="N319" i="45" s="1"/>
  <c r="O319" i="45" s="1"/>
  <c r="P319" i="45" s="1"/>
  <c r="Q319" i="45" s="1"/>
  <c r="R319" i="45" s="1"/>
  <c r="S319" i="45" s="1"/>
  <c r="H319" i="44"/>
  <c r="I319" i="44" s="1"/>
  <c r="J319" i="44" s="1"/>
  <c r="K319" i="44" s="1"/>
  <c r="L319" i="44" s="1"/>
  <c r="M319" i="44" s="1"/>
  <c r="N319" i="44" s="1"/>
  <c r="O319" i="44" s="1"/>
  <c r="P319" i="44" s="1"/>
  <c r="Q319" i="44" s="1"/>
  <c r="R319" i="44" s="1"/>
  <c r="S319" i="44" s="1"/>
  <c r="H319" i="43"/>
  <c r="I319" i="43" s="1"/>
  <c r="J319" i="43" s="1"/>
  <c r="K319" i="43" s="1"/>
  <c r="L319" i="43" s="1"/>
  <c r="M319" i="43" s="1"/>
  <c r="N319" i="43" s="1"/>
  <c r="O319" i="43" s="1"/>
  <c r="P319" i="43" s="1"/>
  <c r="Q319" i="43" s="1"/>
  <c r="R319" i="43" s="1"/>
  <c r="S319" i="43" s="1"/>
  <c r="H323" i="48"/>
  <c r="I323" i="48" s="1"/>
  <c r="J323" i="48" s="1"/>
  <c r="K323" i="48" s="1"/>
  <c r="L323" i="48" s="1"/>
  <c r="M323" i="48" s="1"/>
  <c r="N323" i="48" s="1"/>
  <c r="O323" i="48" s="1"/>
  <c r="P323" i="48" s="1"/>
  <c r="Q323" i="48" s="1"/>
  <c r="R323" i="48" s="1"/>
  <c r="S323" i="48" s="1"/>
  <c r="H323" i="47"/>
  <c r="I323" i="47" s="1"/>
  <c r="J323" i="47" s="1"/>
  <c r="K323" i="47" s="1"/>
  <c r="L323" i="47" s="1"/>
  <c r="M323" i="47" s="1"/>
  <c r="N323" i="47" s="1"/>
  <c r="O323" i="47" s="1"/>
  <c r="P323" i="47" s="1"/>
  <c r="Q323" i="47" s="1"/>
  <c r="R323" i="47" s="1"/>
  <c r="S323" i="47" s="1"/>
  <c r="H323" i="46"/>
  <c r="I323" i="46" s="1"/>
  <c r="J323" i="46" s="1"/>
  <c r="K323" i="46" s="1"/>
  <c r="L323" i="46" s="1"/>
  <c r="M323" i="46" s="1"/>
  <c r="N323" i="46" s="1"/>
  <c r="O323" i="46" s="1"/>
  <c r="P323" i="46" s="1"/>
  <c r="Q323" i="46" s="1"/>
  <c r="R323" i="46" s="1"/>
  <c r="S323" i="46" s="1"/>
  <c r="H323" i="45"/>
  <c r="I323" i="45" s="1"/>
  <c r="J323" i="45" s="1"/>
  <c r="K323" i="45" s="1"/>
  <c r="L323" i="45" s="1"/>
  <c r="M323" i="45" s="1"/>
  <c r="N323" i="45" s="1"/>
  <c r="O323" i="45" s="1"/>
  <c r="P323" i="45" s="1"/>
  <c r="Q323" i="45" s="1"/>
  <c r="R323" i="45" s="1"/>
  <c r="S323" i="45" s="1"/>
  <c r="H323" i="44"/>
  <c r="I323" i="44" s="1"/>
  <c r="J323" i="44" s="1"/>
  <c r="K323" i="44" s="1"/>
  <c r="L323" i="44" s="1"/>
  <c r="M323" i="44" s="1"/>
  <c r="N323" i="44" s="1"/>
  <c r="O323" i="44" s="1"/>
  <c r="P323" i="44" s="1"/>
  <c r="Q323" i="44" s="1"/>
  <c r="R323" i="44" s="1"/>
  <c r="S323" i="44" s="1"/>
  <c r="H323" i="43"/>
  <c r="I323" i="43" s="1"/>
  <c r="J323" i="43" s="1"/>
  <c r="K323" i="43" s="1"/>
  <c r="L323" i="43" s="1"/>
  <c r="M323" i="43" s="1"/>
  <c r="N323" i="43" s="1"/>
  <c r="O323" i="43" s="1"/>
  <c r="P323" i="43" s="1"/>
  <c r="Q323" i="43" s="1"/>
  <c r="R323" i="43" s="1"/>
  <c r="S323" i="43" s="1"/>
  <c r="C343" i="48"/>
  <c r="C343" i="47"/>
  <c r="C343" i="46"/>
  <c r="C343" i="45"/>
  <c r="C343" i="44"/>
  <c r="C343" i="43"/>
  <c r="C342" i="48"/>
  <c r="C342" i="47"/>
  <c r="C342" i="46"/>
  <c r="C342" i="44"/>
  <c r="C342" i="45"/>
  <c r="C342" i="43"/>
  <c r="C339" i="48"/>
  <c r="C339" i="47"/>
  <c r="C339" i="46"/>
  <c r="C339" i="45"/>
  <c r="C339" i="44"/>
  <c r="C339" i="43"/>
  <c r="C340" i="48"/>
  <c r="C340" i="47"/>
  <c r="C340" i="46"/>
  <c r="C340" i="44"/>
  <c r="C340" i="45"/>
  <c r="C340" i="43"/>
  <c r="D335" i="48"/>
  <c r="D335" i="47"/>
  <c r="D335" i="46"/>
  <c r="D335" i="45"/>
  <c r="D335" i="44"/>
  <c r="D335" i="43"/>
  <c r="D336" i="48"/>
  <c r="D336" i="47"/>
  <c r="D336" i="46"/>
  <c r="D336" i="44"/>
  <c r="D336" i="45"/>
  <c r="D336" i="43"/>
  <c r="D338" i="48"/>
  <c r="D338" i="47"/>
  <c r="D338" i="46"/>
  <c r="D338" i="45"/>
  <c r="D338" i="44"/>
  <c r="D338" i="43"/>
  <c r="D341" i="48"/>
  <c r="D341" i="46"/>
  <c r="D341" i="47"/>
  <c r="D341" i="45"/>
  <c r="D341" i="43"/>
  <c r="D341" i="44"/>
  <c r="D337" i="48"/>
  <c r="D337" i="47"/>
  <c r="D337" i="46"/>
  <c r="D337" i="45"/>
  <c r="D337" i="43"/>
  <c r="D337" i="44"/>
  <c r="D334" i="48"/>
  <c r="D334" i="47"/>
  <c r="D334" i="46"/>
  <c r="D334" i="45"/>
  <c r="D334" i="44"/>
  <c r="D334" i="43"/>
  <c r="G327" i="48" l="1"/>
  <c r="G327" i="47"/>
  <c r="G327" i="46"/>
  <c r="G327" i="45"/>
  <c r="G327" i="44"/>
  <c r="G327" i="43"/>
  <c r="F333" i="48"/>
  <c r="F333" i="47"/>
  <c r="F333" i="46"/>
  <c r="F333" i="45"/>
  <c r="F333" i="44"/>
  <c r="F333" i="43"/>
  <c r="F330" i="48"/>
  <c r="F330" i="47"/>
  <c r="F330" i="46"/>
  <c r="F330" i="45"/>
  <c r="F330" i="44"/>
  <c r="F330" i="43"/>
  <c r="G325" i="48"/>
  <c r="G325" i="47"/>
  <c r="G325" i="46"/>
  <c r="G325" i="45"/>
  <c r="G325" i="44"/>
  <c r="G325" i="43"/>
  <c r="G324" i="48"/>
  <c r="G324" i="47"/>
  <c r="G324" i="46"/>
  <c r="G324" i="45"/>
  <c r="G324" i="44"/>
  <c r="G324" i="43"/>
  <c r="E336" i="48"/>
  <c r="E336" i="47"/>
  <c r="E336" i="46"/>
  <c r="E336" i="45"/>
  <c r="E336" i="44"/>
  <c r="E336" i="43"/>
  <c r="E341" i="48"/>
  <c r="E341" i="47"/>
  <c r="E341" i="46"/>
  <c r="E341" i="45"/>
  <c r="E341" i="44"/>
  <c r="E341" i="43"/>
  <c r="F329" i="48"/>
  <c r="F329" i="47"/>
  <c r="F329" i="46"/>
  <c r="F329" i="45"/>
  <c r="F329" i="44"/>
  <c r="F329" i="43"/>
  <c r="H325" i="48"/>
  <c r="I325" i="48" s="1"/>
  <c r="J325" i="48" s="1"/>
  <c r="K325" i="48" s="1"/>
  <c r="L325" i="48" s="1"/>
  <c r="M325" i="48" s="1"/>
  <c r="N325" i="48" s="1"/>
  <c r="O325" i="48" s="1"/>
  <c r="P325" i="48" s="1"/>
  <c r="Q325" i="48" s="1"/>
  <c r="R325" i="48" s="1"/>
  <c r="S325" i="48" s="1"/>
  <c r="H325" i="47"/>
  <c r="I325" i="47" s="1"/>
  <c r="J325" i="47" s="1"/>
  <c r="K325" i="47" s="1"/>
  <c r="L325" i="47" s="1"/>
  <c r="M325" i="47" s="1"/>
  <c r="N325" i="47" s="1"/>
  <c r="O325" i="47" s="1"/>
  <c r="P325" i="47" s="1"/>
  <c r="Q325" i="47" s="1"/>
  <c r="R325" i="47" s="1"/>
  <c r="S325" i="47" s="1"/>
  <c r="H325" i="46"/>
  <c r="I325" i="46" s="1"/>
  <c r="J325" i="46" s="1"/>
  <c r="K325" i="46" s="1"/>
  <c r="L325" i="46" s="1"/>
  <c r="M325" i="46" s="1"/>
  <c r="N325" i="46" s="1"/>
  <c r="O325" i="46" s="1"/>
  <c r="P325" i="46" s="1"/>
  <c r="Q325" i="46" s="1"/>
  <c r="R325" i="46" s="1"/>
  <c r="S325" i="46" s="1"/>
  <c r="H325" i="45"/>
  <c r="I325" i="45" s="1"/>
  <c r="J325" i="45" s="1"/>
  <c r="K325" i="45" s="1"/>
  <c r="L325" i="45" s="1"/>
  <c r="M325" i="45" s="1"/>
  <c r="N325" i="45" s="1"/>
  <c r="O325" i="45" s="1"/>
  <c r="P325" i="45" s="1"/>
  <c r="Q325" i="45" s="1"/>
  <c r="R325" i="45" s="1"/>
  <c r="S325" i="45" s="1"/>
  <c r="H325" i="44"/>
  <c r="I325" i="44" s="1"/>
  <c r="J325" i="44" s="1"/>
  <c r="K325" i="44" s="1"/>
  <c r="L325" i="44" s="1"/>
  <c r="M325" i="44" s="1"/>
  <c r="N325" i="44" s="1"/>
  <c r="O325" i="44" s="1"/>
  <c r="P325" i="44" s="1"/>
  <c r="Q325" i="44" s="1"/>
  <c r="R325" i="44" s="1"/>
  <c r="S325" i="44" s="1"/>
  <c r="H325" i="43"/>
  <c r="I325" i="43" s="1"/>
  <c r="J325" i="43" s="1"/>
  <c r="K325" i="43" s="1"/>
  <c r="L325" i="43" s="1"/>
  <c r="M325" i="43" s="1"/>
  <c r="N325" i="43" s="1"/>
  <c r="O325" i="43" s="1"/>
  <c r="P325" i="43" s="1"/>
  <c r="Q325" i="43" s="1"/>
  <c r="R325" i="43" s="1"/>
  <c r="S325" i="43" s="1"/>
  <c r="G328" i="48"/>
  <c r="G328" i="47"/>
  <c r="G328" i="46"/>
  <c r="G328" i="45"/>
  <c r="G328" i="44"/>
  <c r="G328" i="43"/>
  <c r="E338" i="48"/>
  <c r="E338" i="47"/>
  <c r="E338" i="46"/>
  <c r="E338" i="45"/>
  <c r="E338" i="44"/>
  <c r="E338" i="43"/>
  <c r="E335" i="48"/>
  <c r="E335" i="47"/>
  <c r="E335" i="46"/>
  <c r="E335" i="45"/>
  <c r="E335" i="44"/>
  <c r="E335" i="43"/>
  <c r="E334" i="48"/>
  <c r="E334" i="47"/>
  <c r="E334" i="46"/>
  <c r="E334" i="45"/>
  <c r="E334" i="44"/>
  <c r="E334" i="43"/>
  <c r="H328" i="48"/>
  <c r="I328" i="48" s="1"/>
  <c r="J328" i="48" s="1"/>
  <c r="K328" i="48" s="1"/>
  <c r="L328" i="48" s="1"/>
  <c r="M328" i="48" s="1"/>
  <c r="N328" i="48" s="1"/>
  <c r="O328" i="48" s="1"/>
  <c r="P328" i="48" s="1"/>
  <c r="Q328" i="48" s="1"/>
  <c r="R328" i="48" s="1"/>
  <c r="S328" i="48" s="1"/>
  <c r="H328" i="47"/>
  <c r="I328" i="47" s="1"/>
  <c r="J328" i="47" s="1"/>
  <c r="K328" i="47" s="1"/>
  <c r="L328" i="47" s="1"/>
  <c r="M328" i="47" s="1"/>
  <c r="N328" i="47" s="1"/>
  <c r="O328" i="47" s="1"/>
  <c r="P328" i="47" s="1"/>
  <c r="Q328" i="47" s="1"/>
  <c r="R328" i="47" s="1"/>
  <c r="S328" i="47" s="1"/>
  <c r="H328" i="46"/>
  <c r="I328" i="46" s="1"/>
  <c r="J328" i="46" s="1"/>
  <c r="K328" i="46" s="1"/>
  <c r="L328" i="46" s="1"/>
  <c r="M328" i="46" s="1"/>
  <c r="N328" i="46" s="1"/>
  <c r="O328" i="46" s="1"/>
  <c r="P328" i="46" s="1"/>
  <c r="Q328" i="46" s="1"/>
  <c r="R328" i="46" s="1"/>
  <c r="S328" i="46" s="1"/>
  <c r="H328" i="45"/>
  <c r="I328" i="45" s="1"/>
  <c r="J328" i="45" s="1"/>
  <c r="K328" i="45" s="1"/>
  <c r="L328" i="45" s="1"/>
  <c r="M328" i="45" s="1"/>
  <c r="N328" i="45" s="1"/>
  <c r="O328" i="45" s="1"/>
  <c r="P328" i="45" s="1"/>
  <c r="Q328" i="45" s="1"/>
  <c r="R328" i="45" s="1"/>
  <c r="S328" i="45" s="1"/>
  <c r="H328" i="44"/>
  <c r="I328" i="44" s="1"/>
  <c r="J328" i="44" s="1"/>
  <c r="K328" i="44" s="1"/>
  <c r="L328" i="44" s="1"/>
  <c r="M328" i="44" s="1"/>
  <c r="N328" i="44" s="1"/>
  <c r="O328" i="44" s="1"/>
  <c r="P328" i="44" s="1"/>
  <c r="Q328" i="44" s="1"/>
  <c r="R328" i="44" s="1"/>
  <c r="S328" i="44" s="1"/>
  <c r="H328" i="43"/>
  <c r="I328" i="43" s="1"/>
  <c r="J328" i="43" s="1"/>
  <c r="K328" i="43" s="1"/>
  <c r="L328" i="43" s="1"/>
  <c r="M328" i="43" s="1"/>
  <c r="N328" i="43" s="1"/>
  <c r="O328" i="43" s="1"/>
  <c r="P328" i="43" s="1"/>
  <c r="Q328" i="43" s="1"/>
  <c r="R328" i="43" s="1"/>
  <c r="S328" i="43" s="1"/>
  <c r="E337" i="48"/>
  <c r="E337" i="47"/>
  <c r="E337" i="46"/>
  <c r="E337" i="45"/>
  <c r="E337" i="44"/>
  <c r="E337" i="43"/>
  <c r="F332" i="48"/>
  <c r="F332" i="47"/>
  <c r="F332" i="46"/>
  <c r="F332" i="45"/>
  <c r="F332" i="44"/>
  <c r="F332" i="43"/>
  <c r="H327" i="48"/>
  <c r="I327" i="48" s="1"/>
  <c r="J327" i="48" s="1"/>
  <c r="K327" i="48" s="1"/>
  <c r="L327" i="48" s="1"/>
  <c r="M327" i="48" s="1"/>
  <c r="N327" i="48" s="1"/>
  <c r="O327" i="48" s="1"/>
  <c r="P327" i="48" s="1"/>
  <c r="Q327" i="48" s="1"/>
  <c r="R327" i="48" s="1"/>
  <c r="S327" i="48" s="1"/>
  <c r="H327" i="47"/>
  <c r="I327" i="47" s="1"/>
  <c r="J327" i="47" s="1"/>
  <c r="K327" i="47" s="1"/>
  <c r="L327" i="47" s="1"/>
  <c r="M327" i="47" s="1"/>
  <c r="N327" i="47" s="1"/>
  <c r="O327" i="47" s="1"/>
  <c r="P327" i="47" s="1"/>
  <c r="Q327" i="47" s="1"/>
  <c r="R327" i="47" s="1"/>
  <c r="S327" i="47" s="1"/>
  <c r="H327" i="46"/>
  <c r="I327" i="46" s="1"/>
  <c r="J327" i="46" s="1"/>
  <c r="K327" i="46" s="1"/>
  <c r="L327" i="46" s="1"/>
  <c r="M327" i="46" s="1"/>
  <c r="N327" i="46" s="1"/>
  <c r="O327" i="46" s="1"/>
  <c r="P327" i="46" s="1"/>
  <c r="Q327" i="46" s="1"/>
  <c r="R327" i="46" s="1"/>
  <c r="S327" i="46" s="1"/>
  <c r="H327" i="45"/>
  <c r="I327" i="45" s="1"/>
  <c r="J327" i="45" s="1"/>
  <c r="K327" i="45" s="1"/>
  <c r="L327" i="45" s="1"/>
  <c r="M327" i="45" s="1"/>
  <c r="N327" i="45" s="1"/>
  <c r="O327" i="45" s="1"/>
  <c r="P327" i="45" s="1"/>
  <c r="Q327" i="45" s="1"/>
  <c r="R327" i="45" s="1"/>
  <c r="S327" i="45" s="1"/>
  <c r="H327" i="44"/>
  <c r="I327" i="44" s="1"/>
  <c r="J327" i="44" s="1"/>
  <c r="K327" i="44" s="1"/>
  <c r="L327" i="44" s="1"/>
  <c r="M327" i="44" s="1"/>
  <c r="N327" i="44" s="1"/>
  <c r="O327" i="44" s="1"/>
  <c r="P327" i="44" s="1"/>
  <c r="Q327" i="44" s="1"/>
  <c r="R327" i="44" s="1"/>
  <c r="S327" i="44" s="1"/>
  <c r="H327" i="43"/>
  <c r="I327" i="43" s="1"/>
  <c r="J327" i="43" s="1"/>
  <c r="K327" i="43" s="1"/>
  <c r="L327" i="43" s="1"/>
  <c r="M327" i="43" s="1"/>
  <c r="N327" i="43" s="1"/>
  <c r="O327" i="43" s="1"/>
  <c r="P327" i="43" s="1"/>
  <c r="Q327" i="43" s="1"/>
  <c r="R327" i="43" s="1"/>
  <c r="S327" i="43" s="1"/>
  <c r="H324" i="48"/>
  <c r="I324" i="48" s="1"/>
  <c r="J324" i="48" s="1"/>
  <c r="K324" i="48" s="1"/>
  <c r="L324" i="48" s="1"/>
  <c r="M324" i="48" s="1"/>
  <c r="N324" i="48" s="1"/>
  <c r="O324" i="48" s="1"/>
  <c r="P324" i="48" s="1"/>
  <c r="Q324" i="48" s="1"/>
  <c r="R324" i="48" s="1"/>
  <c r="S324" i="48" s="1"/>
  <c r="H324" i="47"/>
  <c r="I324" i="47" s="1"/>
  <c r="J324" i="47" s="1"/>
  <c r="K324" i="47" s="1"/>
  <c r="L324" i="47" s="1"/>
  <c r="M324" i="47" s="1"/>
  <c r="N324" i="47" s="1"/>
  <c r="O324" i="47" s="1"/>
  <c r="P324" i="47" s="1"/>
  <c r="Q324" i="47" s="1"/>
  <c r="R324" i="47" s="1"/>
  <c r="S324" i="47" s="1"/>
  <c r="H324" i="46"/>
  <c r="I324" i="46" s="1"/>
  <c r="J324" i="46" s="1"/>
  <c r="K324" i="46" s="1"/>
  <c r="L324" i="46" s="1"/>
  <c r="M324" i="46" s="1"/>
  <c r="N324" i="46" s="1"/>
  <c r="O324" i="46" s="1"/>
  <c r="P324" i="46" s="1"/>
  <c r="Q324" i="46" s="1"/>
  <c r="R324" i="46" s="1"/>
  <c r="S324" i="46" s="1"/>
  <c r="H324" i="45"/>
  <c r="I324" i="45" s="1"/>
  <c r="J324" i="45" s="1"/>
  <c r="K324" i="45" s="1"/>
  <c r="L324" i="45" s="1"/>
  <c r="M324" i="45" s="1"/>
  <c r="N324" i="45" s="1"/>
  <c r="O324" i="45" s="1"/>
  <c r="P324" i="45" s="1"/>
  <c r="Q324" i="45" s="1"/>
  <c r="R324" i="45" s="1"/>
  <c r="S324" i="45" s="1"/>
  <c r="H324" i="44"/>
  <c r="I324" i="44" s="1"/>
  <c r="J324" i="44" s="1"/>
  <c r="K324" i="44" s="1"/>
  <c r="L324" i="44" s="1"/>
  <c r="M324" i="44" s="1"/>
  <c r="N324" i="44" s="1"/>
  <c r="O324" i="44" s="1"/>
  <c r="P324" i="44" s="1"/>
  <c r="Q324" i="44" s="1"/>
  <c r="R324" i="44" s="1"/>
  <c r="S324" i="44" s="1"/>
  <c r="H324" i="43"/>
  <c r="I324" i="43" s="1"/>
  <c r="J324" i="43" s="1"/>
  <c r="K324" i="43" s="1"/>
  <c r="L324" i="43" s="1"/>
  <c r="M324" i="43" s="1"/>
  <c r="N324" i="43" s="1"/>
  <c r="O324" i="43" s="1"/>
  <c r="P324" i="43" s="1"/>
  <c r="Q324" i="43" s="1"/>
  <c r="R324" i="43" s="1"/>
  <c r="S324" i="43" s="1"/>
  <c r="F331" i="48"/>
  <c r="F331" i="47"/>
  <c r="F331" i="46"/>
  <c r="F331" i="45"/>
  <c r="F331" i="44"/>
  <c r="F331" i="43"/>
  <c r="C344" i="48"/>
  <c r="C344" i="47"/>
  <c r="C344" i="46"/>
  <c r="C344" i="44"/>
  <c r="C344" i="45"/>
  <c r="C344" i="43"/>
  <c r="C345" i="48"/>
  <c r="C345" i="47"/>
  <c r="C345" i="46"/>
  <c r="C345" i="44"/>
  <c r="C345" i="45"/>
  <c r="C345" i="43"/>
  <c r="C348" i="48"/>
  <c r="C348" i="47"/>
  <c r="C348" i="46"/>
  <c r="C348" i="45"/>
  <c r="C348" i="44"/>
  <c r="C348" i="43"/>
  <c r="C346" i="48"/>
  <c r="C346" i="47"/>
  <c r="C346" i="46"/>
  <c r="C346" i="44"/>
  <c r="C346" i="45"/>
  <c r="C346" i="43"/>
  <c r="C347" i="48"/>
  <c r="C347" i="47"/>
  <c r="C347" i="46"/>
  <c r="C347" i="45"/>
  <c r="C347" i="44"/>
  <c r="C347" i="43"/>
  <c r="D343" i="48"/>
  <c r="D343" i="47"/>
  <c r="D343" i="46"/>
  <c r="D343" i="45"/>
  <c r="D343" i="43"/>
  <c r="D343" i="44"/>
  <c r="D340" i="48"/>
  <c r="D340" i="47"/>
  <c r="D340" i="46"/>
  <c r="D340" i="45"/>
  <c r="D340" i="44"/>
  <c r="D340" i="43"/>
  <c r="D339" i="48"/>
  <c r="D339" i="47"/>
  <c r="D339" i="46"/>
  <c r="D339" i="45"/>
  <c r="D339" i="43"/>
  <c r="D339" i="44"/>
  <c r="D342" i="48"/>
  <c r="D342" i="47"/>
  <c r="D342" i="46"/>
  <c r="D342" i="45"/>
  <c r="D342" i="44"/>
  <c r="D342" i="43"/>
  <c r="H333" i="48" l="1"/>
  <c r="I333" i="48" s="1"/>
  <c r="J333" i="48" s="1"/>
  <c r="K333" i="48" s="1"/>
  <c r="L333" i="48" s="1"/>
  <c r="M333" i="48" s="1"/>
  <c r="N333" i="48" s="1"/>
  <c r="O333" i="48" s="1"/>
  <c r="P333" i="48" s="1"/>
  <c r="Q333" i="48" s="1"/>
  <c r="R333" i="48" s="1"/>
  <c r="S333" i="48" s="1"/>
  <c r="H333" i="47"/>
  <c r="I333" i="47" s="1"/>
  <c r="J333" i="47" s="1"/>
  <c r="K333" i="47" s="1"/>
  <c r="L333" i="47" s="1"/>
  <c r="M333" i="47" s="1"/>
  <c r="N333" i="47" s="1"/>
  <c r="O333" i="47" s="1"/>
  <c r="P333" i="47" s="1"/>
  <c r="Q333" i="47" s="1"/>
  <c r="R333" i="47" s="1"/>
  <c r="S333" i="47" s="1"/>
  <c r="H333" i="46"/>
  <c r="I333" i="46" s="1"/>
  <c r="J333" i="46" s="1"/>
  <c r="K333" i="46" s="1"/>
  <c r="L333" i="46" s="1"/>
  <c r="M333" i="46" s="1"/>
  <c r="N333" i="46" s="1"/>
  <c r="O333" i="46" s="1"/>
  <c r="P333" i="46" s="1"/>
  <c r="Q333" i="46" s="1"/>
  <c r="R333" i="46" s="1"/>
  <c r="S333" i="46" s="1"/>
  <c r="H333" i="45"/>
  <c r="I333" i="45" s="1"/>
  <c r="J333" i="45" s="1"/>
  <c r="K333" i="45" s="1"/>
  <c r="L333" i="45" s="1"/>
  <c r="M333" i="45" s="1"/>
  <c r="N333" i="45" s="1"/>
  <c r="O333" i="45" s="1"/>
  <c r="P333" i="45" s="1"/>
  <c r="Q333" i="45" s="1"/>
  <c r="R333" i="45" s="1"/>
  <c r="S333" i="45" s="1"/>
  <c r="H333" i="44"/>
  <c r="I333" i="44" s="1"/>
  <c r="J333" i="44" s="1"/>
  <c r="K333" i="44" s="1"/>
  <c r="L333" i="44" s="1"/>
  <c r="M333" i="44" s="1"/>
  <c r="N333" i="44" s="1"/>
  <c r="O333" i="44" s="1"/>
  <c r="P333" i="44" s="1"/>
  <c r="Q333" i="44" s="1"/>
  <c r="R333" i="44" s="1"/>
  <c r="S333" i="44" s="1"/>
  <c r="H333" i="43"/>
  <c r="I333" i="43" s="1"/>
  <c r="J333" i="43" s="1"/>
  <c r="K333" i="43" s="1"/>
  <c r="L333" i="43" s="1"/>
  <c r="M333" i="43" s="1"/>
  <c r="N333" i="43" s="1"/>
  <c r="O333" i="43" s="1"/>
  <c r="P333" i="43" s="1"/>
  <c r="Q333" i="43" s="1"/>
  <c r="R333" i="43" s="1"/>
  <c r="S333" i="43" s="1"/>
  <c r="F337" i="48"/>
  <c r="F337" i="47"/>
  <c r="F337" i="46"/>
  <c r="F337" i="45"/>
  <c r="F337" i="44"/>
  <c r="F337" i="43"/>
  <c r="G332" i="48"/>
  <c r="G332" i="47"/>
  <c r="G332" i="46"/>
  <c r="G332" i="45"/>
  <c r="G332" i="44"/>
  <c r="G332" i="43"/>
  <c r="G331" i="48"/>
  <c r="G331" i="47"/>
  <c r="G331" i="46"/>
  <c r="G331" i="45"/>
  <c r="G331" i="44"/>
  <c r="G331" i="43"/>
  <c r="F341" i="48"/>
  <c r="F341" i="47"/>
  <c r="F341" i="46"/>
  <c r="F341" i="45"/>
  <c r="F341" i="44"/>
  <c r="F341" i="43"/>
  <c r="F338" i="48"/>
  <c r="F338" i="47"/>
  <c r="F338" i="46"/>
  <c r="F338" i="45"/>
  <c r="F338" i="44"/>
  <c r="F338" i="43"/>
  <c r="F336" i="48"/>
  <c r="F336" i="47"/>
  <c r="F336" i="46"/>
  <c r="F336" i="45"/>
  <c r="F336" i="44"/>
  <c r="F336" i="43"/>
  <c r="H332" i="48"/>
  <c r="I332" i="48" s="1"/>
  <c r="J332" i="48" s="1"/>
  <c r="K332" i="48" s="1"/>
  <c r="L332" i="48" s="1"/>
  <c r="M332" i="48" s="1"/>
  <c r="N332" i="48" s="1"/>
  <c r="O332" i="48" s="1"/>
  <c r="P332" i="48" s="1"/>
  <c r="Q332" i="48" s="1"/>
  <c r="R332" i="48" s="1"/>
  <c r="S332" i="48" s="1"/>
  <c r="H332" i="47"/>
  <c r="I332" i="47" s="1"/>
  <c r="J332" i="47" s="1"/>
  <c r="K332" i="47" s="1"/>
  <c r="L332" i="47" s="1"/>
  <c r="M332" i="47" s="1"/>
  <c r="N332" i="47" s="1"/>
  <c r="O332" i="47" s="1"/>
  <c r="P332" i="47" s="1"/>
  <c r="Q332" i="47" s="1"/>
  <c r="R332" i="47" s="1"/>
  <c r="S332" i="47" s="1"/>
  <c r="H332" i="46"/>
  <c r="I332" i="46" s="1"/>
  <c r="J332" i="46" s="1"/>
  <c r="K332" i="46" s="1"/>
  <c r="L332" i="46" s="1"/>
  <c r="M332" i="46" s="1"/>
  <c r="N332" i="46" s="1"/>
  <c r="O332" i="46" s="1"/>
  <c r="P332" i="46" s="1"/>
  <c r="Q332" i="46" s="1"/>
  <c r="R332" i="46" s="1"/>
  <c r="S332" i="46" s="1"/>
  <c r="H332" i="45"/>
  <c r="I332" i="45" s="1"/>
  <c r="J332" i="45" s="1"/>
  <c r="K332" i="45" s="1"/>
  <c r="L332" i="45" s="1"/>
  <c r="M332" i="45" s="1"/>
  <c r="N332" i="45" s="1"/>
  <c r="O332" i="45" s="1"/>
  <c r="P332" i="45" s="1"/>
  <c r="Q332" i="45" s="1"/>
  <c r="R332" i="45" s="1"/>
  <c r="S332" i="45" s="1"/>
  <c r="H332" i="44"/>
  <c r="I332" i="44" s="1"/>
  <c r="J332" i="44" s="1"/>
  <c r="K332" i="44" s="1"/>
  <c r="L332" i="44" s="1"/>
  <c r="M332" i="44" s="1"/>
  <c r="N332" i="44" s="1"/>
  <c r="O332" i="44" s="1"/>
  <c r="P332" i="44" s="1"/>
  <c r="Q332" i="44" s="1"/>
  <c r="R332" i="44" s="1"/>
  <c r="S332" i="44" s="1"/>
  <c r="H332" i="43"/>
  <c r="I332" i="43" s="1"/>
  <c r="J332" i="43" s="1"/>
  <c r="K332" i="43" s="1"/>
  <c r="L332" i="43" s="1"/>
  <c r="M332" i="43" s="1"/>
  <c r="N332" i="43" s="1"/>
  <c r="O332" i="43" s="1"/>
  <c r="P332" i="43" s="1"/>
  <c r="Q332" i="43" s="1"/>
  <c r="R332" i="43" s="1"/>
  <c r="S332" i="43" s="1"/>
  <c r="H331" i="48"/>
  <c r="I331" i="48" s="1"/>
  <c r="J331" i="48" s="1"/>
  <c r="K331" i="48" s="1"/>
  <c r="L331" i="48" s="1"/>
  <c r="M331" i="48" s="1"/>
  <c r="N331" i="48" s="1"/>
  <c r="O331" i="48" s="1"/>
  <c r="P331" i="48" s="1"/>
  <c r="Q331" i="48" s="1"/>
  <c r="R331" i="48" s="1"/>
  <c r="S331" i="48" s="1"/>
  <c r="H331" i="47"/>
  <c r="I331" i="47" s="1"/>
  <c r="J331" i="47" s="1"/>
  <c r="K331" i="47" s="1"/>
  <c r="L331" i="47" s="1"/>
  <c r="M331" i="47" s="1"/>
  <c r="N331" i="47" s="1"/>
  <c r="O331" i="47" s="1"/>
  <c r="P331" i="47" s="1"/>
  <c r="Q331" i="47" s="1"/>
  <c r="R331" i="47" s="1"/>
  <c r="S331" i="47" s="1"/>
  <c r="H331" i="46"/>
  <c r="I331" i="46" s="1"/>
  <c r="J331" i="46" s="1"/>
  <c r="K331" i="46" s="1"/>
  <c r="L331" i="46" s="1"/>
  <c r="M331" i="46" s="1"/>
  <c r="N331" i="46" s="1"/>
  <c r="O331" i="46" s="1"/>
  <c r="P331" i="46" s="1"/>
  <c r="Q331" i="46" s="1"/>
  <c r="R331" i="46" s="1"/>
  <c r="S331" i="46" s="1"/>
  <c r="H331" i="45"/>
  <c r="I331" i="45" s="1"/>
  <c r="J331" i="45" s="1"/>
  <c r="K331" i="45" s="1"/>
  <c r="L331" i="45" s="1"/>
  <c r="M331" i="45" s="1"/>
  <c r="N331" i="45" s="1"/>
  <c r="O331" i="45" s="1"/>
  <c r="P331" i="45" s="1"/>
  <c r="Q331" i="45" s="1"/>
  <c r="R331" i="45" s="1"/>
  <c r="S331" i="45" s="1"/>
  <c r="H331" i="44"/>
  <c r="I331" i="44" s="1"/>
  <c r="J331" i="44" s="1"/>
  <c r="K331" i="44" s="1"/>
  <c r="L331" i="44" s="1"/>
  <c r="M331" i="44" s="1"/>
  <c r="N331" i="44" s="1"/>
  <c r="O331" i="44" s="1"/>
  <c r="P331" i="44" s="1"/>
  <c r="Q331" i="44" s="1"/>
  <c r="R331" i="44" s="1"/>
  <c r="S331" i="44" s="1"/>
  <c r="H331" i="43"/>
  <c r="I331" i="43" s="1"/>
  <c r="J331" i="43" s="1"/>
  <c r="K331" i="43" s="1"/>
  <c r="L331" i="43" s="1"/>
  <c r="M331" i="43" s="1"/>
  <c r="N331" i="43" s="1"/>
  <c r="O331" i="43" s="1"/>
  <c r="P331" i="43" s="1"/>
  <c r="Q331" i="43" s="1"/>
  <c r="R331" i="43" s="1"/>
  <c r="S331" i="43" s="1"/>
  <c r="G333" i="48"/>
  <c r="G333" i="47"/>
  <c r="G333" i="46"/>
  <c r="G333" i="45"/>
  <c r="G333" i="44"/>
  <c r="G333" i="43"/>
  <c r="E340" i="48"/>
  <c r="E340" i="47"/>
  <c r="E340" i="46"/>
  <c r="E340" i="45"/>
  <c r="E340" i="44"/>
  <c r="E340" i="43"/>
  <c r="F334" i="48"/>
  <c r="F334" i="47"/>
  <c r="F334" i="46"/>
  <c r="F334" i="45"/>
  <c r="F334" i="44"/>
  <c r="F334" i="43"/>
  <c r="F335" i="48"/>
  <c r="F335" i="47"/>
  <c r="F335" i="46"/>
  <c r="F335" i="45"/>
  <c r="F335" i="44"/>
  <c r="F335" i="43"/>
  <c r="G330" i="48"/>
  <c r="G330" i="47"/>
  <c r="G330" i="46"/>
  <c r="G330" i="45"/>
  <c r="G330" i="44"/>
  <c r="G330" i="43"/>
  <c r="E343" i="48"/>
  <c r="E343" i="47"/>
  <c r="E343" i="46"/>
  <c r="E343" i="45"/>
  <c r="E343" i="44"/>
  <c r="E343" i="43"/>
  <c r="E339" i="48"/>
  <c r="E339" i="47"/>
  <c r="E339" i="46"/>
  <c r="E339" i="45"/>
  <c r="E339" i="44"/>
  <c r="E339" i="43"/>
  <c r="E342" i="48"/>
  <c r="E342" i="47"/>
  <c r="E342" i="46"/>
  <c r="E342" i="45"/>
  <c r="E342" i="44"/>
  <c r="E342" i="43"/>
  <c r="G329" i="48"/>
  <c r="G329" i="47"/>
  <c r="G329" i="46"/>
  <c r="G329" i="45"/>
  <c r="G329" i="44"/>
  <c r="G329" i="43"/>
  <c r="H330" i="48"/>
  <c r="I330" i="48" s="1"/>
  <c r="J330" i="48" s="1"/>
  <c r="K330" i="48" s="1"/>
  <c r="L330" i="48" s="1"/>
  <c r="M330" i="48" s="1"/>
  <c r="N330" i="48" s="1"/>
  <c r="O330" i="48" s="1"/>
  <c r="P330" i="48" s="1"/>
  <c r="Q330" i="48" s="1"/>
  <c r="R330" i="48" s="1"/>
  <c r="S330" i="48" s="1"/>
  <c r="H330" i="47"/>
  <c r="I330" i="47" s="1"/>
  <c r="J330" i="47" s="1"/>
  <c r="K330" i="47" s="1"/>
  <c r="L330" i="47" s="1"/>
  <c r="M330" i="47" s="1"/>
  <c r="N330" i="47" s="1"/>
  <c r="O330" i="47" s="1"/>
  <c r="P330" i="47" s="1"/>
  <c r="Q330" i="47" s="1"/>
  <c r="R330" i="47" s="1"/>
  <c r="S330" i="47" s="1"/>
  <c r="H330" i="46"/>
  <c r="I330" i="46" s="1"/>
  <c r="J330" i="46" s="1"/>
  <c r="K330" i="46" s="1"/>
  <c r="L330" i="46" s="1"/>
  <c r="M330" i="46" s="1"/>
  <c r="N330" i="46" s="1"/>
  <c r="O330" i="46" s="1"/>
  <c r="P330" i="46" s="1"/>
  <c r="Q330" i="46" s="1"/>
  <c r="R330" i="46" s="1"/>
  <c r="S330" i="46" s="1"/>
  <c r="H330" i="45"/>
  <c r="I330" i="45" s="1"/>
  <c r="J330" i="45" s="1"/>
  <c r="K330" i="45" s="1"/>
  <c r="L330" i="45" s="1"/>
  <c r="M330" i="45" s="1"/>
  <c r="N330" i="45" s="1"/>
  <c r="O330" i="45" s="1"/>
  <c r="P330" i="45" s="1"/>
  <c r="Q330" i="45" s="1"/>
  <c r="R330" i="45" s="1"/>
  <c r="S330" i="45" s="1"/>
  <c r="H330" i="44"/>
  <c r="I330" i="44" s="1"/>
  <c r="J330" i="44" s="1"/>
  <c r="K330" i="44" s="1"/>
  <c r="L330" i="44" s="1"/>
  <c r="M330" i="44" s="1"/>
  <c r="N330" i="44" s="1"/>
  <c r="O330" i="44" s="1"/>
  <c r="P330" i="44" s="1"/>
  <c r="Q330" i="44" s="1"/>
  <c r="R330" i="44" s="1"/>
  <c r="S330" i="44" s="1"/>
  <c r="H330" i="43"/>
  <c r="I330" i="43" s="1"/>
  <c r="J330" i="43" s="1"/>
  <c r="K330" i="43" s="1"/>
  <c r="L330" i="43" s="1"/>
  <c r="M330" i="43" s="1"/>
  <c r="N330" i="43" s="1"/>
  <c r="O330" i="43" s="1"/>
  <c r="P330" i="43" s="1"/>
  <c r="Q330" i="43" s="1"/>
  <c r="R330" i="43" s="1"/>
  <c r="S330" i="43" s="1"/>
  <c r="H329" i="48"/>
  <c r="I329" i="48" s="1"/>
  <c r="J329" i="48" s="1"/>
  <c r="K329" i="48" s="1"/>
  <c r="L329" i="48" s="1"/>
  <c r="M329" i="48" s="1"/>
  <c r="N329" i="48" s="1"/>
  <c r="O329" i="48" s="1"/>
  <c r="P329" i="48" s="1"/>
  <c r="Q329" i="48" s="1"/>
  <c r="R329" i="48" s="1"/>
  <c r="S329" i="48" s="1"/>
  <c r="H329" i="47"/>
  <c r="I329" i="47" s="1"/>
  <c r="J329" i="47" s="1"/>
  <c r="K329" i="47" s="1"/>
  <c r="L329" i="47" s="1"/>
  <c r="M329" i="47" s="1"/>
  <c r="N329" i="47" s="1"/>
  <c r="O329" i="47" s="1"/>
  <c r="P329" i="47" s="1"/>
  <c r="Q329" i="47" s="1"/>
  <c r="R329" i="47" s="1"/>
  <c r="S329" i="47" s="1"/>
  <c r="H329" i="46"/>
  <c r="I329" i="46" s="1"/>
  <c r="J329" i="46" s="1"/>
  <c r="K329" i="46" s="1"/>
  <c r="L329" i="46" s="1"/>
  <c r="M329" i="46" s="1"/>
  <c r="N329" i="46" s="1"/>
  <c r="O329" i="46" s="1"/>
  <c r="P329" i="46" s="1"/>
  <c r="Q329" i="46" s="1"/>
  <c r="R329" i="46" s="1"/>
  <c r="S329" i="46" s="1"/>
  <c r="H329" i="45"/>
  <c r="I329" i="45" s="1"/>
  <c r="J329" i="45" s="1"/>
  <c r="K329" i="45" s="1"/>
  <c r="L329" i="45" s="1"/>
  <c r="M329" i="45" s="1"/>
  <c r="N329" i="45" s="1"/>
  <c r="O329" i="45" s="1"/>
  <c r="P329" i="45" s="1"/>
  <c r="Q329" i="45" s="1"/>
  <c r="R329" i="45" s="1"/>
  <c r="S329" i="45" s="1"/>
  <c r="H329" i="44"/>
  <c r="I329" i="44" s="1"/>
  <c r="J329" i="44" s="1"/>
  <c r="K329" i="44" s="1"/>
  <c r="L329" i="44" s="1"/>
  <c r="M329" i="44" s="1"/>
  <c r="N329" i="44" s="1"/>
  <c r="O329" i="44" s="1"/>
  <c r="P329" i="44" s="1"/>
  <c r="Q329" i="44" s="1"/>
  <c r="R329" i="44" s="1"/>
  <c r="S329" i="44" s="1"/>
  <c r="H329" i="43"/>
  <c r="I329" i="43" s="1"/>
  <c r="J329" i="43" s="1"/>
  <c r="K329" i="43" s="1"/>
  <c r="L329" i="43" s="1"/>
  <c r="M329" i="43" s="1"/>
  <c r="N329" i="43" s="1"/>
  <c r="O329" i="43" s="1"/>
  <c r="P329" i="43" s="1"/>
  <c r="Q329" i="43" s="1"/>
  <c r="R329" i="43" s="1"/>
  <c r="S329" i="43" s="1"/>
  <c r="C349" i="48"/>
  <c r="C349" i="47"/>
  <c r="C349" i="46"/>
  <c r="C349" i="44"/>
  <c r="C349" i="45"/>
  <c r="C349" i="43"/>
  <c r="C351" i="48"/>
  <c r="C351" i="47"/>
  <c r="C351" i="46"/>
  <c r="C351" i="44"/>
  <c r="C351" i="45"/>
  <c r="C351" i="43"/>
  <c r="C352" i="48"/>
  <c r="C352" i="47"/>
  <c r="C352" i="46"/>
  <c r="C352" i="45"/>
  <c r="C352" i="44"/>
  <c r="C352" i="43"/>
  <c r="C350" i="48"/>
  <c r="C350" i="47"/>
  <c r="C350" i="46"/>
  <c r="C350" i="44"/>
  <c r="C350" i="45"/>
  <c r="C350" i="43"/>
  <c r="C353" i="48"/>
  <c r="C353" i="47"/>
  <c r="C353" i="46"/>
  <c r="C353" i="44"/>
  <c r="C353" i="45"/>
  <c r="C353" i="43"/>
  <c r="D344" i="48"/>
  <c r="D344" i="47"/>
  <c r="D344" i="46"/>
  <c r="D344" i="45"/>
  <c r="D344" i="44"/>
  <c r="D344" i="43"/>
  <c r="D347" i="48"/>
  <c r="D347" i="47"/>
  <c r="D347" i="46"/>
  <c r="D347" i="44"/>
  <c r="D347" i="45"/>
  <c r="D347" i="43"/>
  <c r="D345" i="48"/>
  <c r="D345" i="47"/>
  <c r="D345" i="46"/>
  <c r="D345" i="45"/>
  <c r="D345" i="44"/>
  <c r="D345" i="43"/>
  <c r="D348" i="48"/>
  <c r="D348" i="46"/>
  <c r="D348" i="47"/>
  <c r="D348" i="44"/>
  <c r="D348" i="45"/>
  <c r="D348" i="43"/>
  <c r="D346" i="48"/>
  <c r="D346" i="47"/>
  <c r="D346" i="46"/>
  <c r="D346" i="45"/>
  <c r="D346" i="44"/>
  <c r="D346" i="43"/>
  <c r="G334" i="48" l="1"/>
  <c r="G334" i="47"/>
  <c r="G334" i="46"/>
  <c r="G334" i="45"/>
  <c r="G334" i="44"/>
  <c r="G334" i="43"/>
  <c r="H337" i="48"/>
  <c r="I337" i="48" s="1"/>
  <c r="J337" i="48" s="1"/>
  <c r="K337" i="48" s="1"/>
  <c r="L337" i="48" s="1"/>
  <c r="M337" i="48" s="1"/>
  <c r="N337" i="48" s="1"/>
  <c r="O337" i="48" s="1"/>
  <c r="P337" i="48" s="1"/>
  <c r="Q337" i="48" s="1"/>
  <c r="R337" i="48" s="1"/>
  <c r="S337" i="48" s="1"/>
  <c r="H337" i="47"/>
  <c r="I337" i="47" s="1"/>
  <c r="J337" i="47" s="1"/>
  <c r="K337" i="47" s="1"/>
  <c r="L337" i="47" s="1"/>
  <c r="M337" i="47" s="1"/>
  <c r="N337" i="47" s="1"/>
  <c r="O337" i="47" s="1"/>
  <c r="P337" i="47" s="1"/>
  <c r="Q337" i="47" s="1"/>
  <c r="R337" i="47" s="1"/>
  <c r="S337" i="47" s="1"/>
  <c r="H337" i="46"/>
  <c r="I337" i="46" s="1"/>
  <c r="J337" i="46" s="1"/>
  <c r="K337" i="46" s="1"/>
  <c r="L337" i="46" s="1"/>
  <c r="M337" i="46" s="1"/>
  <c r="N337" i="46" s="1"/>
  <c r="O337" i="46" s="1"/>
  <c r="P337" i="46" s="1"/>
  <c r="Q337" i="46" s="1"/>
  <c r="R337" i="46" s="1"/>
  <c r="S337" i="46" s="1"/>
  <c r="H337" i="45"/>
  <c r="I337" i="45" s="1"/>
  <c r="J337" i="45" s="1"/>
  <c r="K337" i="45" s="1"/>
  <c r="L337" i="45" s="1"/>
  <c r="M337" i="45" s="1"/>
  <c r="N337" i="45" s="1"/>
  <c r="O337" i="45" s="1"/>
  <c r="P337" i="45" s="1"/>
  <c r="Q337" i="45" s="1"/>
  <c r="R337" i="45" s="1"/>
  <c r="S337" i="45" s="1"/>
  <c r="H337" i="44"/>
  <c r="I337" i="44" s="1"/>
  <c r="J337" i="44" s="1"/>
  <c r="K337" i="44" s="1"/>
  <c r="L337" i="44" s="1"/>
  <c r="M337" i="44" s="1"/>
  <c r="N337" i="44" s="1"/>
  <c r="O337" i="44" s="1"/>
  <c r="P337" i="44" s="1"/>
  <c r="Q337" i="44" s="1"/>
  <c r="R337" i="44" s="1"/>
  <c r="S337" i="44" s="1"/>
  <c r="H337" i="43"/>
  <c r="I337" i="43" s="1"/>
  <c r="J337" i="43" s="1"/>
  <c r="K337" i="43" s="1"/>
  <c r="L337" i="43" s="1"/>
  <c r="M337" i="43" s="1"/>
  <c r="N337" i="43" s="1"/>
  <c r="O337" i="43" s="1"/>
  <c r="P337" i="43" s="1"/>
  <c r="Q337" i="43" s="1"/>
  <c r="R337" i="43" s="1"/>
  <c r="S337" i="43" s="1"/>
  <c r="H334" i="48"/>
  <c r="I334" i="48" s="1"/>
  <c r="J334" i="48" s="1"/>
  <c r="K334" i="48" s="1"/>
  <c r="L334" i="48" s="1"/>
  <c r="M334" i="48" s="1"/>
  <c r="N334" i="48" s="1"/>
  <c r="O334" i="48" s="1"/>
  <c r="P334" i="48" s="1"/>
  <c r="Q334" i="48" s="1"/>
  <c r="R334" i="48" s="1"/>
  <c r="S334" i="48" s="1"/>
  <c r="H334" i="47"/>
  <c r="I334" i="47" s="1"/>
  <c r="J334" i="47" s="1"/>
  <c r="K334" i="47" s="1"/>
  <c r="L334" i="47" s="1"/>
  <c r="M334" i="47" s="1"/>
  <c r="N334" i="47" s="1"/>
  <c r="O334" i="47" s="1"/>
  <c r="P334" i="47" s="1"/>
  <c r="Q334" i="47" s="1"/>
  <c r="R334" i="47" s="1"/>
  <c r="S334" i="47" s="1"/>
  <c r="H334" i="46"/>
  <c r="I334" i="46" s="1"/>
  <c r="J334" i="46" s="1"/>
  <c r="K334" i="46" s="1"/>
  <c r="L334" i="46" s="1"/>
  <c r="M334" i="46" s="1"/>
  <c r="N334" i="46" s="1"/>
  <c r="O334" i="46" s="1"/>
  <c r="P334" i="46" s="1"/>
  <c r="Q334" i="46" s="1"/>
  <c r="R334" i="46" s="1"/>
  <c r="S334" i="46" s="1"/>
  <c r="H334" i="45"/>
  <c r="I334" i="45" s="1"/>
  <c r="J334" i="45" s="1"/>
  <c r="K334" i="45" s="1"/>
  <c r="L334" i="45" s="1"/>
  <c r="M334" i="45" s="1"/>
  <c r="N334" i="45" s="1"/>
  <c r="O334" i="45" s="1"/>
  <c r="P334" i="45" s="1"/>
  <c r="Q334" i="45" s="1"/>
  <c r="R334" i="45" s="1"/>
  <c r="S334" i="45" s="1"/>
  <c r="H334" i="44"/>
  <c r="I334" i="44" s="1"/>
  <c r="J334" i="44" s="1"/>
  <c r="K334" i="44" s="1"/>
  <c r="L334" i="44" s="1"/>
  <c r="M334" i="44" s="1"/>
  <c r="N334" i="44" s="1"/>
  <c r="O334" i="44" s="1"/>
  <c r="P334" i="44" s="1"/>
  <c r="Q334" i="44" s="1"/>
  <c r="R334" i="44" s="1"/>
  <c r="S334" i="44" s="1"/>
  <c r="H334" i="43"/>
  <c r="I334" i="43" s="1"/>
  <c r="J334" i="43" s="1"/>
  <c r="K334" i="43" s="1"/>
  <c r="L334" i="43" s="1"/>
  <c r="M334" i="43" s="1"/>
  <c r="N334" i="43" s="1"/>
  <c r="O334" i="43" s="1"/>
  <c r="P334" i="43" s="1"/>
  <c r="Q334" i="43" s="1"/>
  <c r="R334" i="43" s="1"/>
  <c r="S334" i="43" s="1"/>
  <c r="H338" i="48"/>
  <c r="I338" i="48" s="1"/>
  <c r="J338" i="48" s="1"/>
  <c r="K338" i="48" s="1"/>
  <c r="L338" i="48" s="1"/>
  <c r="M338" i="48" s="1"/>
  <c r="N338" i="48" s="1"/>
  <c r="O338" i="48" s="1"/>
  <c r="P338" i="48" s="1"/>
  <c r="Q338" i="48" s="1"/>
  <c r="R338" i="48" s="1"/>
  <c r="S338" i="48" s="1"/>
  <c r="H338" i="47"/>
  <c r="I338" i="47" s="1"/>
  <c r="J338" i="47" s="1"/>
  <c r="K338" i="47" s="1"/>
  <c r="L338" i="47" s="1"/>
  <c r="M338" i="47" s="1"/>
  <c r="N338" i="47" s="1"/>
  <c r="O338" i="47" s="1"/>
  <c r="P338" i="47" s="1"/>
  <c r="Q338" i="47" s="1"/>
  <c r="R338" i="47" s="1"/>
  <c r="S338" i="47" s="1"/>
  <c r="H338" i="46"/>
  <c r="I338" i="46" s="1"/>
  <c r="J338" i="46" s="1"/>
  <c r="K338" i="46" s="1"/>
  <c r="L338" i="46" s="1"/>
  <c r="M338" i="46" s="1"/>
  <c r="N338" i="46" s="1"/>
  <c r="O338" i="46" s="1"/>
  <c r="P338" i="46" s="1"/>
  <c r="Q338" i="46" s="1"/>
  <c r="R338" i="46" s="1"/>
  <c r="S338" i="46" s="1"/>
  <c r="H338" i="45"/>
  <c r="I338" i="45" s="1"/>
  <c r="J338" i="45" s="1"/>
  <c r="K338" i="45" s="1"/>
  <c r="L338" i="45" s="1"/>
  <c r="M338" i="45" s="1"/>
  <c r="N338" i="45" s="1"/>
  <c r="O338" i="45" s="1"/>
  <c r="P338" i="45" s="1"/>
  <c r="Q338" i="45" s="1"/>
  <c r="R338" i="45" s="1"/>
  <c r="S338" i="45" s="1"/>
  <c r="H338" i="44"/>
  <c r="I338" i="44" s="1"/>
  <c r="J338" i="44" s="1"/>
  <c r="K338" i="44" s="1"/>
  <c r="L338" i="44" s="1"/>
  <c r="M338" i="44" s="1"/>
  <c r="N338" i="44" s="1"/>
  <c r="O338" i="44" s="1"/>
  <c r="P338" i="44" s="1"/>
  <c r="Q338" i="44" s="1"/>
  <c r="R338" i="44" s="1"/>
  <c r="S338" i="44" s="1"/>
  <c r="H338" i="43"/>
  <c r="I338" i="43" s="1"/>
  <c r="J338" i="43" s="1"/>
  <c r="K338" i="43" s="1"/>
  <c r="L338" i="43" s="1"/>
  <c r="M338" i="43" s="1"/>
  <c r="N338" i="43" s="1"/>
  <c r="O338" i="43" s="1"/>
  <c r="P338" i="43" s="1"/>
  <c r="Q338" i="43" s="1"/>
  <c r="R338" i="43" s="1"/>
  <c r="S338" i="43" s="1"/>
  <c r="E346" i="48"/>
  <c r="E346" i="47"/>
  <c r="E346" i="46"/>
  <c r="E346" i="45"/>
  <c r="E346" i="44"/>
  <c r="E346" i="43"/>
  <c r="E344" i="48"/>
  <c r="E344" i="47"/>
  <c r="E344" i="46"/>
  <c r="E344" i="45"/>
  <c r="E344" i="44"/>
  <c r="E344" i="43"/>
  <c r="F343" i="48"/>
  <c r="F343" i="47"/>
  <c r="F343" i="46"/>
  <c r="F343" i="45"/>
  <c r="F343" i="44"/>
  <c r="F343" i="43"/>
  <c r="G338" i="48"/>
  <c r="G338" i="47"/>
  <c r="G338" i="46"/>
  <c r="G338" i="45"/>
  <c r="G338" i="44"/>
  <c r="G338" i="43"/>
  <c r="F339" i="48"/>
  <c r="F339" i="47"/>
  <c r="F339" i="46"/>
  <c r="F339" i="45"/>
  <c r="F339" i="44"/>
  <c r="F339" i="43"/>
  <c r="F340" i="48"/>
  <c r="F340" i="47"/>
  <c r="F340" i="46"/>
  <c r="F340" i="45"/>
  <c r="F340" i="44"/>
  <c r="F340" i="43"/>
  <c r="G337" i="48"/>
  <c r="G337" i="47"/>
  <c r="G337" i="46"/>
  <c r="G337" i="45"/>
  <c r="G337" i="44"/>
  <c r="G337" i="43"/>
  <c r="F342" i="48"/>
  <c r="F342" i="47"/>
  <c r="F342" i="46"/>
  <c r="F342" i="45"/>
  <c r="F342" i="44"/>
  <c r="F342" i="43"/>
  <c r="H341" i="48"/>
  <c r="I341" i="48" s="1"/>
  <c r="J341" i="48" s="1"/>
  <c r="K341" i="48" s="1"/>
  <c r="L341" i="48" s="1"/>
  <c r="M341" i="48" s="1"/>
  <c r="N341" i="48" s="1"/>
  <c r="O341" i="48" s="1"/>
  <c r="P341" i="48" s="1"/>
  <c r="Q341" i="48" s="1"/>
  <c r="R341" i="48" s="1"/>
  <c r="S341" i="48" s="1"/>
  <c r="H341" i="47"/>
  <c r="I341" i="47" s="1"/>
  <c r="J341" i="47" s="1"/>
  <c r="K341" i="47" s="1"/>
  <c r="L341" i="47" s="1"/>
  <c r="M341" i="47" s="1"/>
  <c r="N341" i="47" s="1"/>
  <c r="O341" i="47" s="1"/>
  <c r="P341" i="47" s="1"/>
  <c r="Q341" i="47" s="1"/>
  <c r="R341" i="47" s="1"/>
  <c r="S341" i="47" s="1"/>
  <c r="H341" i="46"/>
  <c r="I341" i="46" s="1"/>
  <c r="J341" i="46" s="1"/>
  <c r="K341" i="46" s="1"/>
  <c r="L341" i="46" s="1"/>
  <c r="M341" i="46" s="1"/>
  <c r="N341" i="46" s="1"/>
  <c r="O341" i="46" s="1"/>
  <c r="P341" i="46" s="1"/>
  <c r="Q341" i="46" s="1"/>
  <c r="R341" i="46" s="1"/>
  <c r="S341" i="46" s="1"/>
  <c r="H341" i="45"/>
  <c r="I341" i="45" s="1"/>
  <c r="J341" i="45" s="1"/>
  <c r="K341" i="45" s="1"/>
  <c r="L341" i="45" s="1"/>
  <c r="M341" i="45" s="1"/>
  <c r="N341" i="45" s="1"/>
  <c r="O341" i="45" s="1"/>
  <c r="P341" i="45" s="1"/>
  <c r="Q341" i="45" s="1"/>
  <c r="R341" i="45" s="1"/>
  <c r="S341" i="45" s="1"/>
  <c r="H341" i="44"/>
  <c r="I341" i="44" s="1"/>
  <c r="J341" i="44" s="1"/>
  <c r="K341" i="44" s="1"/>
  <c r="L341" i="44" s="1"/>
  <c r="M341" i="44" s="1"/>
  <c r="N341" i="44" s="1"/>
  <c r="O341" i="44" s="1"/>
  <c r="P341" i="44" s="1"/>
  <c r="Q341" i="44" s="1"/>
  <c r="R341" i="44" s="1"/>
  <c r="S341" i="44" s="1"/>
  <c r="H341" i="43"/>
  <c r="I341" i="43" s="1"/>
  <c r="J341" i="43" s="1"/>
  <c r="K341" i="43" s="1"/>
  <c r="L341" i="43" s="1"/>
  <c r="M341" i="43" s="1"/>
  <c r="N341" i="43" s="1"/>
  <c r="O341" i="43" s="1"/>
  <c r="P341" i="43" s="1"/>
  <c r="Q341" i="43" s="1"/>
  <c r="R341" i="43" s="1"/>
  <c r="S341" i="43" s="1"/>
  <c r="E345" i="48"/>
  <c r="E345" i="47"/>
  <c r="E345" i="46"/>
  <c r="E345" i="45"/>
  <c r="E345" i="44"/>
  <c r="E345" i="43"/>
  <c r="E348" i="48"/>
  <c r="E348" i="47"/>
  <c r="E348" i="46"/>
  <c r="E348" i="45"/>
  <c r="E348" i="44"/>
  <c r="E348" i="43"/>
  <c r="E347" i="48"/>
  <c r="E347" i="47"/>
  <c r="E347" i="46"/>
  <c r="E347" i="45"/>
  <c r="E347" i="44"/>
  <c r="E347" i="43"/>
  <c r="G336" i="48"/>
  <c r="G336" i="47"/>
  <c r="G336" i="46"/>
  <c r="G336" i="45"/>
  <c r="G336" i="44"/>
  <c r="G336" i="43"/>
  <c r="G335" i="48"/>
  <c r="G335" i="47"/>
  <c r="G335" i="46"/>
  <c r="G335" i="45"/>
  <c r="G335" i="44"/>
  <c r="G335" i="43"/>
  <c r="G341" i="48"/>
  <c r="G341" i="47"/>
  <c r="G341" i="46"/>
  <c r="G341" i="45"/>
  <c r="G341" i="44"/>
  <c r="G341" i="43"/>
  <c r="H336" i="48"/>
  <c r="I336" i="48" s="1"/>
  <c r="J336" i="48" s="1"/>
  <c r="K336" i="48" s="1"/>
  <c r="L336" i="48" s="1"/>
  <c r="M336" i="48" s="1"/>
  <c r="N336" i="48" s="1"/>
  <c r="O336" i="48" s="1"/>
  <c r="P336" i="48" s="1"/>
  <c r="Q336" i="48" s="1"/>
  <c r="R336" i="48" s="1"/>
  <c r="S336" i="48" s="1"/>
  <c r="H336" i="47"/>
  <c r="I336" i="47" s="1"/>
  <c r="J336" i="47" s="1"/>
  <c r="K336" i="47" s="1"/>
  <c r="L336" i="47" s="1"/>
  <c r="M336" i="47" s="1"/>
  <c r="N336" i="47" s="1"/>
  <c r="O336" i="47" s="1"/>
  <c r="P336" i="47" s="1"/>
  <c r="Q336" i="47" s="1"/>
  <c r="R336" i="47" s="1"/>
  <c r="S336" i="47" s="1"/>
  <c r="H336" i="46"/>
  <c r="I336" i="46" s="1"/>
  <c r="J336" i="46" s="1"/>
  <c r="K336" i="46" s="1"/>
  <c r="L336" i="46" s="1"/>
  <c r="M336" i="46" s="1"/>
  <c r="N336" i="46" s="1"/>
  <c r="O336" i="46" s="1"/>
  <c r="P336" i="46" s="1"/>
  <c r="Q336" i="46" s="1"/>
  <c r="R336" i="46" s="1"/>
  <c r="S336" i="46" s="1"/>
  <c r="H336" i="45"/>
  <c r="I336" i="45" s="1"/>
  <c r="J336" i="45" s="1"/>
  <c r="K336" i="45" s="1"/>
  <c r="L336" i="45" s="1"/>
  <c r="M336" i="45" s="1"/>
  <c r="N336" i="45" s="1"/>
  <c r="O336" i="45" s="1"/>
  <c r="P336" i="45" s="1"/>
  <c r="Q336" i="45" s="1"/>
  <c r="R336" i="45" s="1"/>
  <c r="S336" i="45" s="1"/>
  <c r="H336" i="44"/>
  <c r="I336" i="44" s="1"/>
  <c r="J336" i="44" s="1"/>
  <c r="K336" i="44" s="1"/>
  <c r="L336" i="44" s="1"/>
  <c r="M336" i="44" s="1"/>
  <c r="N336" i="44" s="1"/>
  <c r="O336" i="44" s="1"/>
  <c r="P336" i="44" s="1"/>
  <c r="Q336" i="44" s="1"/>
  <c r="R336" i="44" s="1"/>
  <c r="S336" i="44" s="1"/>
  <c r="H336" i="43"/>
  <c r="I336" i="43" s="1"/>
  <c r="J336" i="43" s="1"/>
  <c r="K336" i="43" s="1"/>
  <c r="L336" i="43" s="1"/>
  <c r="M336" i="43" s="1"/>
  <c r="N336" i="43" s="1"/>
  <c r="O336" i="43" s="1"/>
  <c r="P336" i="43" s="1"/>
  <c r="Q336" i="43" s="1"/>
  <c r="R336" i="43" s="1"/>
  <c r="S336" i="43" s="1"/>
  <c r="H335" i="48"/>
  <c r="I335" i="48" s="1"/>
  <c r="J335" i="48" s="1"/>
  <c r="K335" i="48" s="1"/>
  <c r="L335" i="48" s="1"/>
  <c r="M335" i="48" s="1"/>
  <c r="N335" i="48" s="1"/>
  <c r="O335" i="48" s="1"/>
  <c r="P335" i="48" s="1"/>
  <c r="Q335" i="48" s="1"/>
  <c r="R335" i="48" s="1"/>
  <c r="S335" i="48" s="1"/>
  <c r="H335" i="47"/>
  <c r="I335" i="47" s="1"/>
  <c r="J335" i="47" s="1"/>
  <c r="K335" i="47" s="1"/>
  <c r="L335" i="47" s="1"/>
  <c r="M335" i="47" s="1"/>
  <c r="N335" i="47" s="1"/>
  <c r="O335" i="47" s="1"/>
  <c r="P335" i="47" s="1"/>
  <c r="Q335" i="47" s="1"/>
  <c r="R335" i="47" s="1"/>
  <c r="S335" i="47" s="1"/>
  <c r="H335" i="46"/>
  <c r="I335" i="46" s="1"/>
  <c r="J335" i="46" s="1"/>
  <c r="K335" i="46" s="1"/>
  <c r="L335" i="46" s="1"/>
  <c r="M335" i="46" s="1"/>
  <c r="N335" i="46" s="1"/>
  <c r="O335" i="46" s="1"/>
  <c r="P335" i="46" s="1"/>
  <c r="Q335" i="46" s="1"/>
  <c r="R335" i="46" s="1"/>
  <c r="S335" i="46" s="1"/>
  <c r="H335" i="45"/>
  <c r="I335" i="45" s="1"/>
  <c r="J335" i="45" s="1"/>
  <c r="K335" i="45" s="1"/>
  <c r="L335" i="45" s="1"/>
  <c r="M335" i="45" s="1"/>
  <c r="N335" i="45" s="1"/>
  <c r="O335" i="45" s="1"/>
  <c r="P335" i="45" s="1"/>
  <c r="Q335" i="45" s="1"/>
  <c r="R335" i="45" s="1"/>
  <c r="S335" i="45" s="1"/>
  <c r="H335" i="44"/>
  <c r="I335" i="44" s="1"/>
  <c r="J335" i="44" s="1"/>
  <c r="K335" i="44" s="1"/>
  <c r="L335" i="44" s="1"/>
  <c r="M335" i="44" s="1"/>
  <c r="N335" i="44" s="1"/>
  <c r="O335" i="44" s="1"/>
  <c r="P335" i="44" s="1"/>
  <c r="Q335" i="44" s="1"/>
  <c r="R335" i="44" s="1"/>
  <c r="S335" i="44" s="1"/>
  <c r="H335" i="43"/>
  <c r="I335" i="43" s="1"/>
  <c r="J335" i="43" s="1"/>
  <c r="K335" i="43" s="1"/>
  <c r="L335" i="43" s="1"/>
  <c r="M335" i="43" s="1"/>
  <c r="N335" i="43" s="1"/>
  <c r="O335" i="43" s="1"/>
  <c r="P335" i="43" s="1"/>
  <c r="Q335" i="43" s="1"/>
  <c r="R335" i="43" s="1"/>
  <c r="S335" i="43" s="1"/>
  <c r="C356" i="47"/>
  <c r="C356" i="48"/>
  <c r="C356" i="46"/>
  <c r="C356" i="45"/>
  <c r="C356" i="44"/>
  <c r="C356" i="43"/>
  <c r="C358" i="48"/>
  <c r="C358" i="47"/>
  <c r="C358" i="46"/>
  <c r="C358" i="45"/>
  <c r="C358" i="44"/>
  <c r="C358" i="43"/>
  <c r="C357" i="48"/>
  <c r="C357" i="47"/>
  <c r="C357" i="46"/>
  <c r="C357" i="44"/>
  <c r="C357" i="45"/>
  <c r="C357" i="43"/>
  <c r="C355" i="48"/>
  <c r="C355" i="47"/>
  <c r="C355" i="46"/>
  <c r="C355" i="44"/>
  <c r="C355" i="45"/>
  <c r="C355" i="43"/>
  <c r="C354" i="48"/>
  <c r="C354" i="47"/>
  <c r="C354" i="46"/>
  <c r="C354" i="44"/>
  <c r="C354" i="45"/>
  <c r="C354" i="43"/>
  <c r="D353" i="48"/>
  <c r="D353" i="46"/>
  <c r="D353" i="47"/>
  <c r="D353" i="45"/>
  <c r="D353" i="44"/>
  <c r="D353" i="43"/>
  <c r="D351" i="48"/>
  <c r="D351" i="47"/>
  <c r="D351" i="46"/>
  <c r="D351" i="45"/>
  <c r="D351" i="44"/>
  <c r="D351" i="43"/>
  <c r="D349" i="48"/>
  <c r="D349" i="46"/>
  <c r="D349" i="47"/>
  <c r="D349" i="45"/>
  <c r="D349" i="43"/>
  <c r="D349" i="44"/>
  <c r="D350" i="48"/>
  <c r="D350" i="46"/>
  <c r="D350" i="47"/>
  <c r="D350" i="45"/>
  <c r="D350" i="44"/>
  <c r="D350" i="43"/>
  <c r="D352" i="48"/>
  <c r="D352" i="47"/>
  <c r="D352" i="45"/>
  <c r="D352" i="46"/>
  <c r="D352" i="43"/>
  <c r="D352" i="44"/>
  <c r="F346" i="48" l="1"/>
  <c r="F346" i="47"/>
  <c r="F346" i="46"/>
  <c r="F346" i="45"/>
  <c r="F346" i="44"/>
  <c r="F346" i="43"/>
  <c r="G339" i="48"/>
  <c r="G339" i="47"/>
  <c r="G339" i="46"/>
  <c r="G339" i="45"/>
  <c r="G339" i="44"/>
  <c r="G339" i="43"/>
  <c r="G343" i="48"/>
  <c r="G343" i="47"/>
  <c r="G343" i="46"/>
  <c r="G343" i="45"/>
  <c r="G343" i="44"/>
  <c r="G343" i="43"/>
  <c r="E349" i="48"/>
  <c r="E349" i="47"/>
  <c r="E349" i="46"/>
  <c r="E349" i="45"/>
  <c r="E349" i="44"/>
  <c r="E349" i="43"/>
  <c r="F348" i="48"/>
  <c r="F348" i="47"/>
  <c r="F348" i="46"/>
  <c r="F348" i="45"/>
  <c r="F348" i="44"/>
  <c r="F348" i="43"/>
  <c r="H339" i="48"/>
  <c r="I339" i="48" s="1"/>
  <c r="J339" i="48" s="1"/>
  <c r="K339" i="48" s="1"/>
  <c r="L339" i="48" s="1"/>
  <c r="M339" i="48" s="1"/>
  <c r="N339" i="48" s="1"/>
  <c r="O339" i="48" s="1"/>
  <c r="P339" i="48" s="1"/>
  <c r="Q339" i="48" s="1"/>
  <c r="R339" i="48" s="1"/>
  <c r="S339" i="48" s="1"/>
  <c r="H339" i="47"/>
  <c r="I339" i="47" s="1"/>
  <c r="J339" i="47" s="1"/>
  <c r="K339" i="47" s="1"/>
  <c r="L339" i="47" s="1"/>
  <c r="M339" i="47" s="1"/>
  <c r="N339" i="47" s="1"/>
  <c r="O339" i="47" s="1"/>
  <c r="P339" i="47" s="1"/>
  <c r="Q339" i="47" s="1"/>
  <c r="R339" i="47" s="1"/>
  <c r="S339" i="47" s="1"/>
  <c r="H339" i="46"/>
  <c r="I339" i="46" s="1"/>
  <c r="J339" i="46" s="1"/>
  <c r="K339" i="46" s="1"/>
  <c r="L339" i="46" s="1"/>
  <c r="M339" i="46" s="1"/>
  <c r="N339" i="46" s="1"/>
  <c r="O339" i="46" s="1"/>
  <c r="P339" i="46" s="1"/>
  <c r="Q339" i="46" s="1"/>
  <c r="R339" i="46" s="1"/>
  <c r="S339" i="46" s="1"/>
  <c r="H339" i="45"/>
  <c r="I339" i="45" s="1"/>
  <c r="J339" i="45" s="1"/>
  <c r="K339" i="45" s="1"/>
  <c r="L339" i="45" s="1"/>
  <c r="M339" i="45" s="1"/>
  <c r="N339" i="45" s="1"/>
  <c r="O339" i="45" s="1"/>
  <c r="P339" i="45" s="1"/>
  <c r="Q339" i="45" s="1"/>
  <c r="R339" i="45" s="1"/>
  <c r="S339" i="45" s="1"/>
  <c r="H339" i="44"/>
  <c r="I339" i="44" s="1"/>
  <c r="J339" i="44" s="1"/>
  <c r="K339" i="44" s="1"/>
  <c r="L339" i="44" s="1"/>
  <c r="M339" i="44" s="1"/>
  <c r="N339" i="44" s="1"/>
  <c r="O339" i="44" s="1"/>
  <c r="P339" i="44" s="1"/>
  <c r="Q339" i="44" s="1"/>
  <c r="R339" i="44" s="1"/>
  <c r="S339" i="44" s="1"/>
  <c r="H339" i="43"/>
  <c r="I339" i="43" s="1"/>
  <c r="J339" i="43" s="1"/>
  <c r="K339" i="43" s="1"/>
  <c r="L339" i="43" s="1"/>
  <c r="M339" i="43" s="1"/>
  <c r="N339" i="43" s="1"/>
  <c r="O339" i="43" s="1"/>
  <c r="P339" i="43" s="1"/>
  <c r="Q339" i="43" s="1"/>
  <c r="R339" i="43" s="1"/>
  <c r="S339" i="43" s="1"/>
  <c r="F345" i="48"/>
  <c r="F345" i="47"/>
  <c r="F345" i="46"/>
  <c r="F345" i="45"/>
  <c r="F345" i="44"/>
  <c r="F345" i="43"/>
  <c r="G340" i="48"/>
  <c r="G340" i="47"/>
  <c r="G340" i="46"/>
  <c r="G340" i="45"/>
  <c r="G340" i="44"/>
  <c r="G340" i="43"/>
  <c r="H343" i="48"/>
  <c r="I343" i="48" s="1"/>
  <c r="J343" i="48" s="1"/>
  <c r="K343" i="48" s="1"/>
  <c r="L343" i="48" s="1"/>
  <c r="M343" i="48" s="1"/>
  <c r="N343" i="48" s="1"/>
  <c r="O343" i="48" s="1"/>
  <c r="P343" i="48" s="1"/>
  <c r="Q343" i="48" s="1"/>
  <c r="R343" i="48" s="1"/>
  <c r="S343" i="48" s="1"/>
  <c r="H343" i="47"/>
  <c r="I343" i="47" s="1"/>
  <c r="J343" i="47" s="1"/>
  <c r="K343" i="47" s="1"/>
  <c r="L343" i="47" s="1"/>
  <c r="M343" i="47" s="1"/>
  <c r="N343" i="47" s="1"/>
  <c r="O343" i="47" s="1"/>
  <c r="P343" i="47" s="1"/>
  <c r="Q343" i="47" s="1"/>
  <c r="R343" i="47" s="1"/>
  <c r="S343" i="47" s="1"/>
  <c r="H343" i="46"/>
  <c r="I343" i="46" s="1"/>
  <c r="J343" i="46" s="1"/>
  <c r="K343" i="46" s="1"/>
  <c r="L343" i="46" s="1"/>
  <c r="M343" i="46" s="1"/>
  <c r="N343" i="46" s="1"/>
  <c r="O343" i="46" s="1"/>
  <c r="P343" i="46" s="1"/>
  <c r="Q343" i="46" s="1"/>
  <c r="R343" i="46" s="1"/>
  <c r="S343" i="46" s="1"/>
  <c r="H343" i="45"/>
  <c r="I343" i="45" s="1"/>
  <c r="J343" i="45" s="1"/>
  <c r="K343" i="45" s="1"/>
  <c r="L343" i="45" s="1"/>
  <c r="M343" i="45" s="1"/>
  <c r="N343" i="45" s="1"/>
  <c r="O343" i="45" s="1"/>
  <c r="P343" i="45" s="1"/>
  <c r="Q343" i="45" s="1"/>
  <c r="R343" i="45" s="1"/>
  <c r="S343" i="45" s="1"/>
  <c r="H343" i="44"/>
  <c r="I343" i="44" s="1"/>
  <c r="J343" i="44" s="1"/>
  <c r="K343" i="44" s="1"/>
  <c r="L343" i="44" s="1"/>
  <c r="M343" i="44" s="1"/>
  <c r="N343" i="44" s="1"/>
  <c r="O343" i="44" s="1"/>
  <c r="P343" i="44" s="1"/>
  <c r="Q343" i="44" s="1"/>
  <c r="R343" i="44" s="1"/>
  <c r="S343" i="44" s="1"/>
  <c r="H343" i="43"/>
  <c r="I343" i="43" s="1"/>
  <c r="J343" i="43" s="1"/>
  <c r="K343" i="43" s="1"/>
  <c r="L343" i="43" s="1"/>
  <c r="M343" i="43" s="1"/>
  <c r="N343" i="43" s="1"/>
  <c r="O343" i="43" s="1"/>
  <c r="P343" i="43" s="1"/>
  <c r="Q343" i="43" s="1"/>
  <c r="R343" i="43" s="1"/>
  <c r="S343" i="43" s="1"/>
  <c r="H340" i="48"/>
  <c r="I340" i="48" s="1"/>
  <c r="J340" i="48" s="1"/>
  <c r="K340" i="48" s="1"/>
  <c r="L340" i="48" s="1"/>
  <c r="M340" i="48" s="1"/>
  <c r="N340" i="48" s="1"/>
  <c r="O340" i="48" s="1"/>
  <c r="P340" i="48" s="1"/>
  <c r="Q340" i="48" s="1"/>
  <c r="R340" i="48" s="1"/>
  <c r="S340" i="48" s="1"/>
  <c r="H340" i="47"/>
  <c r="I340" i="47" s="1"/>
  <c r="J340" i="47" s="1"/>
  <c r="K340" i="47" s="1"/>
  <c r="L340" i="47" s="1"/>
  <c r="M340" i="47" s="1"/>
  <c r="N340" i="47" s="1"/>
  <c r="O340" i="47" s="1"/>
  <c r="P340" i="47" s="1"/>
  <c r="Q340" i="47" s="1"/>
  <c r="R340" i="47" s="1"/>
  <c r="S340" i="47" s="1"/>
  <c r="H340" i="46"/>
  <c r="I340" i="46" s="1"/>
  <c r="J340" i="46" s="1"/>
  <c r="K340" i="46" s="1"/>
  <c r="L340" i="46" s="1"/>
  <c r="M340" i="46" s="1"/>
  <c r="N340" i="46" s="1"/>
  <c r="O340" i="46" s="1"/>
  <c r="P340" i="46" s="1"/>
  <c r="Q340" i="46" s="1"/>
  <c r="R340" i="46" s="1"/>
  <c r="S340" i="46" s="1"/>
  <c r="H340" i="45"/>
  <c r="I340" i="45" s="1"/>
  <c r="J340" i="45" s="1"/>
  <c r="K340" i="45" s="1"/>
  <c r="L340" i="45" s="1"/>
  <c r="M340" i="45" s="1"/>
  <c r="N340" i="45" s="1"/>
  <c r="O340" i="45" s="1"/>
  <c r="P340" i="45" s="1"/>
  <c r="Q340" i="45" s="1"/>
  <c r="R340" i="45" s="1"/>
  <c r="S340" i="45" s="1"/>
  <c r="H340" i="44"/>
  <c r="I340" i="44" s="1"/>
  <c r="J340" i="44" s="1"/>
  <c r="K340" i="44" s="1"/>
  <c r="L340" i="44" s="1"/>
  <c r="M340" i="44" s="1"/>
  <c r="N340" i="44" s="1"/>
  <c r="O340" i="44" s="1"/>
  <c r="P340" i="44" s="1"/>
  <c r="Q340" i="44" s="1"/>
  <c r="R340" i="44" s="1"/>
  <c r="S340" i="44" s="1"/>
  <c r="H340" i="43"/>
  <c r="I340" i="43" s="1"/>
  <c r="J340" i="43" s="1"/>
  <c r="K340" i="43" s="1"/>
  <c r="L340" i="43" s="1"/>
  <c r="M340" i="43" s="1"/>
  <c r="N340" i="43" s="1"/>
  <c r="O340" i="43" s="1"/>
  <c r="P340" i="43" s="1"/>
  <c r="Q340" i="43" s="1"/>
  <c r="R340" i="43" s="1"/>
  <c r="S340" i="43" s="1"/>
  <c r="F344" i="48"/>
  <c r="F344" i="47"/>
  <c r="F344" i="46"/>
  <c r="F344" i="45"/>
  <c r="F344" i="44"/>
  <c r="F344" i="43"/>
  <c r="E350" i="48"/>
  <c r="E350" i="47"/>
  <c r="E350" i="46"/>
  <c r="E350" i="45"/>
  <c r="E350" i="44"/>
  <c r="E350" i="43"/>
  <c r="H342" i="48"/>
  <c r="I342" i="48" s="1"/>
  <c r="J342" i="48" s="1"/>
  <c r="K342" i="48" s="1"/>
  <c r="L342" i="48" s="1"/>
  <c r="M342" i="48" s="1"/>
  <c r="N342" i="48" s="1"/>
  <c r="O342" i="48" s="1"/>
  <c r="P342" i="48" s="1"/>
  <c r="Q342" i="48" s="1"/>
  <c r="R342" i="48" s="1"/>
  <c r="S342" i="48" s="1"/>
  <c r="H342" i="47"/>
  <c r="I342" i="47" s="1"/>
  <c r="J342" i="47" s="1"/>
  <c r="K342" i="47" s="1"/>
  <c r="L342" i="47" s="1"/>
  <c r="M342" i="47" s="1"/>
  <c r="N342" i="47" s="1"/>
  <c r="O342" i="47" s="1"/>
  <c r="P342" i="47" s="1"/>
  <c r="Q342" i="47" s="1"/>
  <c r="R342" i="47" s="1"/>
  <c r="S342" i="47" s="1"/>
  <c r="H342" i="46"/>
  <c r="I342" i="46" s="1"/>
  <c r="J342" i="46" s="1"/>
  <c r="K342" i="46" s="1"/>
  <c r="L342" i="46" s="1"/>
  <c r="M342" i="46" s="1"/>
  <c r="N342" i="46" s="1"/>
  <c r="O342" i="46" s="1"/>
  <c r="P342" i="46" s="1"/>
  <c r="Q342" i="46" s="1"/>
  <c r="R342" i="46" s="1"/>
  <c r="S342" i="46" s="1"/>
  <c r="H342" i="45"/>
  <c r="I342" i="45" s="1"/>
  <c r="J342" i="45" s="1"/>
  <c r="K342" i="45" s="1"/>
  <c r="L342" i="45" s="1"/>
  <c r="M342" i="45" s="1"/>
  <c r="N342" i="45" s="1"/>
  <c r="O342" i="45" s="1"/>
  <c r="P342" i="45" s="1"/>
  <c r="Q342" i="45" s="1"/>
  <c r="R342" i="45" s="1"/>
  <c r="S342" i="45" s="1"/>
  <c r="H342" i="44"/>
  <c r="I342" i="44" s="1"/>
  <c r="J342" i="44" s="1"/>
  <c r="K342" i="44" s="1"/>
  <c r="L342" i="44" s="1"/>
  <c r="M342" i="44" s="1"/>
  <c r="N342" i="44" s="1"/>
  <c r="O342" i="44" s="1"/>
  <c r="P342" i="44" s="1"/>
  <c r="Q342" i="44" s="1"/>
  <c r="R342" i="44" s="1"/>
  <c r="S342" i="44" s="1"/>
  <c r="H342" i="43"/>
  <c r="I342" i="43" s="1"/>
  <c r="J342" i="43" s="1"/>
  <c r="K342" i="43" s="1"/>
  <c r="L342" i="43" s="1"/>
  <c r="M342" i="43" s="1"/>
  <c r="N342" i="43" s="1"/>
  <c r="O342" i="43" s="1"/>
  <c r="P342" i="43" s="1"/>
  <c r="Q342" i="43" s="1"/>
  <c r="R342" i="43" s="1"/>
  <c r="S342" i="43" s="1"/>
  <c r="G342" i="48"/>
  <c r="G342" i="47"/>
  <c r="G342" i="46"/>
  <c r="G342" i="45"/>
  <c r="G342" i="44"/>
  <c r="G342" i="43"/>
  <c r="E351" i="48"/>
  <c r="E351" i="47"/>
  <c r="E351" i="46"/>
  <c r="E351" i="45"/>
  <c r="E351" i="44"/>
  <c r="E351" i="43"/>
  <c r="E352" i="48"/>
  <c r="E352" i="47"/>
  <c r="E352" i="46"/>
  <c r="E352" i="45"/>
  <c r="E352" i="44"/>
  <c r="E352" i="43"/>
  <c r="F347" i="48"/>
  <c r="F347" i="47"/>
  <c r="F347" i="46"/>
  <c r="F347" i="45"/>
  <c r="F347" i="44"/>
  <c r="F347" i="43"/>
  <c r="E353" i="48"/>
  <c r="E353" i="47"/>
  <c r="E353" i="46"/>
  <c r="E353" i="45"/>
  <c r="E353" i="44"/>
  <c r="E353" i="43"/>
  <c r="C360" i="48"/>
  <c r="C360" i="47"/>
  <c r="C360" i="46"/>
  <c r="C360" i="45"/>
  <c r="C360" i="44"/>
  <c r="C360" i="43"/>
  <c r="C361" i="48"/>
  <c r="C361" i="47"/>
  <c r="C361" i="46"/>
  <c r="C361" i="45"/>
  <c r="C361" i="44"/>
  <c r="C361" i="43"/>
  <c r="C363" i="48"/>
  <c r="C363" i="47"/>
  <c r="C363" i="46"/>
  <c r="C363" i="44"/>
  <c r="C363" i="45"/>
  <c r="C363" i="43"/>
  <c r="C359" i="48"/>
  <c r="C359" i="47"/>
  <c r="C359" i="46"/>
  <c r="C359" i="45"/>
  <c r="C359" i="44"/>
  <c r="C359" i="43"/>
  <c r="C362" i="48"/>
  <c r="C362" i="47"/>
  <c r="C362" i="46"/>
  <c r="C362" i="45"/>
  <c r="C362" i="44"/>
  <c r="C362" i="43"/>
  <c r="D358" i="48"/>
  <c r="D358" i="47"/>
  <c r="D358" i="46"/>
  <c r="D358" i="45"/>
  <c r="D358" i="44"/>
  <c r="D358" i="43"/>
  <c r="D354" i="48"/>
  <c r="D354" i="46"/>
  <c r="D354" i="47"/>
  <c r="D354" i="45"/>
  <c r="D354" i="44"/>
  <c r="D354" i="43"/>
  <c r="D356" i="48"/>
  <c r="D356" i="47"/>
  <c r="D356" i="46"/>
  <c r="D356" i="45"/>
  <c r="D356" i="44"/>
  <c r="D356" i="43"/>
  <c r="D355" i="48"/>
  <c r="D355" i="46"/>
  <c r="D355" i="47"/>
  <c r="D355" i="45"/>
  <c r="D355" i="44"/>
  <c r="D355" i="43"/>
  <c r="D357" i="48"/>
  <c r="D357" i="47"/>
  <c r="D357" i="46"/>
  <c r="D357" i="45"/>
  <c r="D357" i="44"/>
  <c r="D357" i="43"/>
  <c r="F351" i="48" l="1"/>
  <c r="F351" i="47"/>
  <c r="F351" i="46"/>
  <c r="F351" i="45"/>
  <c r="F351" i="44"/>
  <c r="F351" i="43"/>
  <c r="H347" i="48"/>
  <c r="I347" i="48" s="1"/>
  <c r="J347" i="48" s="1"/>
  <c r="K347" i="48" s="1"/>
  <c r="L347" i="48" s="1"/>
  <c r="M347" i="48" s="1"/>
  <c r="N347" i="48" s="1"/>
  <c r="O347" i="48" s="1"/>
  <c r="P347" i="48" s="1"/>
  <c r="Q347" i="48" s="1"/>
  <c r="R347" i="48" s="1"/>
  <c r="S347" i="48" s="1"/>
  <c r="H347" i="47"/>
  <c r="I347" i="47" s="1"/>
  <c r="J347" i="47" s="1"/>
  <c r="K347" i="47" s="1"/>
  <c r="L347" i="47" s="1"/>
  <c r="M347" i="47" s="1"/>
  <c r="N347" i="47" s="1"/>
  <c r="O347" i="47" s="1"/>
  <c r="P347" i="47" s="1"/>
  <c r="Q347" i="47" s="1"/>
  <c r="R347" i="47" s="1"/>
  <c r="S347" i="47" s="1"/>
  <c r="H347" i="46"/>
  <c r="I347" i="46" s="1"/>
  <c r="J347" i="46" s="1"/>
  <c r="K347" i="46" s="1"/>
  <c r="L347" i="46" s="1"/>
  <c r="M347" i="46" s="1"/>
  <c r="N347" i="46" s="1"/>
  <c r="O347" i="46" s="1"/>
  <c r="P347" i="46" s="1"/>
  <c r="Q347" i="46" s="1"/>
  <c r="R347" i="46" s="1"/>
  <c r="S347" i="46" s="1"/>
  <c r="H347" i="45"/>
  <c r="I347" i="45" s="1"/>
  <c r="J347" i="45" s="1"/>
  <c r="K347" i="45" s="1"/>
  <c r="L347" i="45" s="1"/>
  <c r="M347" i="45" s="1"/>
  <c r="N347" i="45" s="1"/>
  <c r="O347" i="45" s="1"/>
  <c r="P347" i="45" s="1"/>
  <c r="Q347" i="45" s="1"/>
  <c r="R347" i="45" s="1"/>
  <c r="S347" i="45" s="1"/>
  <c r="H347" i="44"/>
  <c r="I347" i="44" s="1"/>
  <c r="J347" i="44" s="1"/>
  <c r="K347" i="44" s="1"/>
  <c r="L347" i="44" s="1"/>
  <c r="M347" i="44" s="1"/>
  <c r="N347" i="44" s="1"/>
  <c r="O347" i="44" s="1"/>
  <c r="P347" i="44" s="1"/>
  <c r="Q347" i="44" s="1"/>
  <c r="R347" i="44" s="1"/>
  <c r="S347" i="44" s="1"/>
  <c r="H347" i="43"/>
  <c r="I347" i="43" s="1"/>
  <c r="J347" i="43" s="1"/>
  <c r="K347" i="43" s="1"/>
  <c r="L347" i="43" s="1"/>
  <c r="M347" i="43" s="1"/>
  <c r="N347" i="43" s="1"/>
  <c r="O347" i="43" s="1"/>
  <c r="P347" i="43" s="1"/>
  <c r="Q347" i="43" s="1"/>
  <c r="R347" i="43" s="1"/>
  <c r="S347" i="43" s="1"/>
  <c r="F350" i="48"/>
  <c r="F350" i="47"/>
  <c r="F350" i="46"/>
  <c r="F350" i="45"/>
  <c r="F350" i="44"/>
  <c r="F350" i="43"/>
  <c r="E355" i="48"/>
  <c r="E355" i="47"/>
  <c r="E355" i="46"/>
  <c r="E355" i="45"/>
  <c r="E355" i="44"/>
  <c r="E355" i="43"/>
  <c r="E354" i="48"/>
  <c r="E354" i="47"/>
  <c r="E354" i="46"/>
  <c r="E354" i="45"/>
  <c r="E354" i="44"/>
  <c r="E354" i="43"/>
  <c r="E357" i="48"/>
  <c r="E357" i="47"/>
  <c r="E357" i="46"/>
  <c r="E357" i="45"/>
  <c r="E357" i="44"/>
  <c r="E357" i="43"/>
  <c r="G348" i="48"/>
  <c r="G348" i="47"/>
  <c r="G348" i="46"/>
  <c r="G348" i="45"/>
  <c r="G348" i="44"/>
  <c r="G348" i="43"/>
  <c r="H348" i="48"/>
  <c r="I348" i="48" s="1"/>
  <c r="J348" i="48" s="1"/>
  <c r="K348" i="48" s="1"/>
  <c r="L348" i="48" s="1"/>
  <c r="M348" i="48" s="1"/>
  <c r="N348" i="48" s="1"/>
  <c r="O348" i="48" s="1"/>
  <c r="P348" i="48" s="1"/>
  <c r="Q348" i="48" s="1"/>
  <c r="R348" i="48" s="1"/>
  <c r="S348" i="48" s="1"/>
  <c r="H348" i="47"/>
  <c r="I348" i="47" s="1"/>
  <c r="J348" i="47" s="1"/>
  <c r="K348" i="47" s="1"/>
  <c r="L348" i="47" s="1"/>
  <c r="M348" i="47" s="1"/>
  <c r="N348" i="47" s="1"/>
  <c r="O348" i="47" s="1"/>
  <c r="P348" i="47" s="1"/>
  <c r="Q348" i="47" s="1"/>
  <c r="R348" i="47" s="1"/>
  <c r="S348" i="47" s="1"/>
  <c r="H348" i="46"/>
  <c r="I348" i="46" s="1"/>
  <c r="J348" i="46" s="1"/>
  <c r="K348" i="46" s="1"/>
  <c r="L348" i="46" s="1"/>
  <c r="M348" i="46" s="1"/>
  <c r="N348" i="46" s="1"/>
  <c r="O348" i="46" s="1"/>
  <c r="P348" i="46" s="1"/>
  <c r="Q348" i="46" s="1"/>
  <c r="R348" i="46" s="1"/>
  <c r="S348" i="46" s="1"/>
  <c r="H348" i="45"/>
  <c r="I348" i="45" s="1"/>
  <c r="J348" i="45" s="1"/>
  <c r="K348" i="45" s="1"/>
  <c r="L348" i="45" s="1"/>
  <c r="M348" i="45" s="1"/>
  <c r="N348" i="45" s="1"/>
  <c r="O348" i="45" s="1"/>
  <c r="P348" i="45" s="1"/>
  <c r="Q348" i="45" s="1"/>
  <c r="R348" i="45" s="1"/>
  <c r="S348" i="45" s="1"/>
  <c r="H348" i="44"/>
  <c r="I348" i="44" s="1"/>
  <c r="J348" i="44" s="1"/>
  <c r="K348" i="44" s="1"/>
  <c r="L348" i="44" s="1"/>
  <c r="M348" i="44" s="1"/>
  <c r="N348" i="44" s="1"/>
  <c r="O348" i="44" s="1"/>
  <c r="P348" i="44" s="1"/>
  <c r="Q348" i="44" s="1"/>
  <c r="R348" i="44" s="1"/>
  <c r="S348" i="44" s="1"/>
  <c r="H348" i="43"/>
  <c r="I348" i="43" s="1"/>
  <c r="J348" i="43" s="1"/>
  <c r="K348" i="43" s="1"/>
  <c r="L348" i="43" s="1"/>
  <c r="M348" i="43" s="1"/>
  <c r="N348" i="43" s="1"/>
  <c r="O348" i="43" s="1"/>
  <c r="P348" i="43" s="1"/>
  <c r="Q348" i="43" s="1"/>
  <c r="R348" i="43" s="1"/>
  <c r="S348" i="43" s="1"/>
  <c r="G347" i="48"/>
  <c r="G347" i="47"/>
  <c r="G347" i="46"/>
  <c r="G347" i="45"/>
  <c r="G347" i="44"/>
  <c r="G347" i="43"/>
  <c r="G344" i="48"/>
  <c r="G344" i="47"/>
  <c r="G344" i="46"/>
  <c r="G344" i="45"/>
  <c r="G344" i="44"/>
  <c r="G344" i="43"/>
  <c r="G345" i="48"/>
  <c r="G345" i="47"/>
  <c r="G345" i="46"/>
  <c r="G345" i="45"/>
  <c r="G345" i="44"/>
  <c r="G345" i="43"/>
  <c r="F349" i="48"/>
  <c r="F349" i="47"/>
  <c r="F349" i="46"/>
  <c r="F349" i="45"/>
  <c r="F349" i="44"/>
  <c r="F349" i="43"/>
  <c r="F353" i="48"/>
  <c r="F353" i="47"/>
  <c r="F353" i="46"/>
  <c r="F353" i="45"/>
  <c r="F353" i="44"/>
  <c r="F353" i="43"/>
  <c r="H344" i="48"/>
  <c r="I344" i="48" s="1"/>
  <c r="J344" i="48" s="1"/>
  <c r="K344" i="48" s="1"/>
  <c r="L344" i="48" s="1"/>
  <c r="M344" i="48" s="1"/>
  <c r="N344" i="48" s="1"/>
  <c r="O344" i="48" s="1"/>
  <c r="P344" i="48" s="1"/>
  <c r="Q344" i="48" s="1"/>
  <c r="R344" i="48" s="1"/>
  <c r="S344" i="48" s="1"/>
  <c r="H344" i="47"/>
  <c r="I344" i="47" s="1"/>
  <c r="J344" i="47" s="1"/>
  <c r="K344" i="47" s="1"/>
  <c r="L344" i="47" s="1"/>
  <c r="M344" i="47" s="1"/>
  <c r="N344" i="47" s="1"/>
  <c r="O344" i="47" s="1"/>
  <c r="P344" i="47" s="1"/>
  <c r="Q344" i="47" s="1"/>
  <c r="R344" i="47" s="1"/>
  <c r="S344" i="47" s="1"/>
  <c r="H344" i="46"/>
  <c r="I344" i="46" s="1"/>
  <c r="J344" i="46" s="1"/>
  <c r="K344" i="46" s="1"/>
  <c r="L344" i="46" s="1"/>
  <c r="M344" i="46" s="1"/>
  <c r="N344" i="46" s="1"/>
  <c r="O344" i="46" s="1"/>
  <c r="P344" i="46" s="1"/>
  <c r="Q344" i="46" s="1"/>
  <c r="R344" i="46" s="1"/>
  <c r="S344" i="46" s="1"/>
  <c r="H344" i="45"/>
  <c r="I344" i="45" s="1"/>
  <c r="J344" i="45" s="1"/>
  <c r="K344" i="45" s="1"/>
  <c r="L344" i="45" s="1"/>
  <c r="M344" i="45" s="1"/>
  <c r="N344" i="45" s="1"/>
  <c r="O344" i="45" s="1"/>
  <c r="P344" i="45" s="1"/>
  <c r="Q344" i="45" s="1"/>
  <c r="R344" i="45" s="1"/>
  <c r="S344" i="45" s="1"/>
  <c r="H344" i="44"/>
  <c r="I344" i="44" s="1"/>
  <c r="J344" i="44" s="1"/>
  <c r="K344" i="44" s="1"/>
  <c r="L344" i="44" s="1"/>
  <c r="M344" i="44" s="1"/>
  <c r="N344" i="44" s="1"/>
  <c r="O344" i="44" s="1"/>
  <c r="P344" i="44" s="1"/>
  <c r="Q344" i="44" s="1"/>
  <c r="R344" i="44" s="1"/>
  <c r="S344" i="44" s="1"/>
  <c r="H344" i="43"/>
  <c r="I344" i="43" s="1"/>
  <c r="J344" i="43" s="1"/>
  <c r="K344" i="43" s="1"/>
  <c r="L344" i="43" s="1"/>
  <c r="M344" i="43" s="1"/>
  <c r="N344" i="43" s="1"/>
  <c r="O344" i="43" s="1"/>
  <c r="P344" i="43" s="1"/>
  <c r="Q344" i="43" s="1"/>
  <c r="R344" i="43" s="1"/>
  <c r="S344" i="43" s="1"/>
  <c r="H345" i="48"/>
  <c r="I345" i="48" s="1"/>
  <c r="J345" i="48" s="1"/>
  <c r="K345" i="48" s="1"/>
  <c r="L345" i="48" s="1"/>
  <c r="M345" i="48" s="1"/>
  <c r="N345" i="48" s="1"/>
  <c r="O345" i="48" s="1"/>
  <c r="P345" i="48" s="1"/>
  <c r="Q345" i="48" s="1"/>
  <c r="R345" i="48" s="1"/>
  <c r="S345" i="48" s="1"/>
  <c r="H345" i="47"/>
  <c r="I345" i="47" s="1"/>
  <c r="J345" i="47" s="1"/>
  <c r="K345" i="47" s="1"/>
  <c r="L345" i="47" s="1"/>
  <c r="M345" i="47" s="1"/>
  <c r="N345" i="47" s="1"/>
  <c r="O345" i="47" s="1"/>
  <c r="P345" i="47" s="1"/>
  <c r="Q345" i="47" s="1"/>
  <c r="R345" i="47" s="1"/>
  <c r="S345" i="47" s="1"/>
  <c r="H345" i="46"/>
  <c r="I345" i="46" s="1"/>
  <c r="J345" i="46" s="1"/>
  <c r="K345" i="46" s="1"/>
  <c r="L345" i="46" s="1"/>
  <c r="M345" i="46" s="1"/>
  <c r="N345" i="46" s="1"/>
  <c r="O345" i="46" s="1"/>
  <c r="P345" i="46" s="1"/>
  <c r="Q345" i="46" s="1"/>
  <c r="R345" i="46" s="1"/>
  <c r="S345" i="46" s="1"/>
  <c r="H345" i="45"/>
  <c r="I345" i="45" s="1"/>
  <c r="J345" i="45" s="1"/>
  <c r="K345" i="45" s="1"/>
  <c r="L345" i="45" s="1"/>
  <c r="M345" i="45" s="1"/>
  <c r="N345" i="45" s="1"/>
  <c r="O345" i="45" s="1"/>
  <c r="P345" i="45" s="1"/>
  <c r="Q345" i="45" s="1"/>
  <c r="R345" i="45" s="1"/>
  <c r="S345" i="45" s="1"/>
  <c r="H345" i="44"/>
  <c r="I345" i="44" s="1"/>
  <c r="J345" i="44" s="1"/>
  <c r="K345" i="44" s="1"/>
  <c r="L345" i="44" s="1"/>
  <c r="M345" i="44" s="1"/>
  <c r="N345" i="44" s="1"/>
  <c r="O345" i="44" s="1"/>
  <c r="P345" i="44" s="1"/>
  <c r="Q345" i="44" s="1"/>
  <c r="R345" i="44" s="1"/>
  <c r="S345" i="44" s="1"/>
  <c r="H345" i="43"/>
  <c r="I345" i="43" s="1"/>
  <c r="J345" i="43" s="1"/>
  <c r="K345" i="43" s="1"/>
  <c r="L345" i="43" s="1"/>
  <c r="M345" i="43" s="1"/>
  <c r="N345" i="43" s="1"/>
  <c r="O345" i="43" s="1"/>
  <c r="P345" i="43" s="1"/>
  <c r="Q345" i="43" s="1"/>
  <c r="R345" i="43" s="1"/>
  <c r="S345" i="43" s="1"/>
  <c r="G346" i="48"/>
  <c r="G346" i="47"/>
  <c r="G346" i="46"/>
  <c r="G346" i="45"/>
  <c r="G346" i="44"/>
  <c r="G346" i="43"/>
  <c r="E356" i="48"/>
  <c r="E356" i="47"/>
  <c r="E356" i="46"/>
  <c r="E356" i="45"/>
  <c r="E356" i="44"/>
  <c r="E356" i="43"/>
  <c r="F352" i="48"/>
  <c r="F352" i="47"/>
  <c r="F352" i="46"/>
  <c r="F352" i="45"/>
  <c r="F352" i="44"/>
  <c r="F352" i="43"/>
  <c r="E358" i="48"/>
  <c r="E358" i="47"/>
  <c r="E358" i="46"/>
  <c r="E358" i="45"/>
  <c r="E358" i="44"/>
  <c r="E358" i="43"/>
  <c r="H346" i="48"/>
  <c r="I346" i="48" s="1"/>
  <c r="J346" i="48" s="1"/>
  <c r="K346" i="48" s="1"/>
  <c r="L346" i="48" s="1"/>
  <c r="M346" i="48" s="1"/>
  <c r="N346" i="48" s="1"/>
  <c r="O346" i="48" s="1"/>
  <c r="P346" i="48" s="1"/>
  <c r="Q346" i="48" s="1"/>
  <c r="R346" i="48" s="1"/>
  <c r="S346" i="48" s="1"/>
  <c r="H346" i="47"/>
  <c r="I346" i="47" s="1"/>
  <c r="J346" i="47" s="1"/>
  <c r="K346" i="47" s="1"/>
  <c r="L346" i="47" s="1"/>
  <c r="M346" i="47" s="1"/>
  <c r="N346" i="47" s="1"/>
  <c r="O346" i="47" s="1"/>
  <c r="P346" i="47" s="1"/>
  <c r="Q346" i="47" s="1"/>
  <c r="R346" i="47" s="1"/>
  <c r="S346" i="47" s="1"/>
  <c r="H346" i="46"/>
  <c r="I346" i="46" s="1"/>
  <c r="J346" i="46" s="1"/>
  <c r="K346" i="46" s="1"/>
  <c r="L346" i="46" s="1"/>
  <c r="M346" i="46" s="1"/>
  <c r="N346" i="46" s="1"/>
  <c r="O346" i="46" s="1"/>
  <c r="P346" i="46" s="1"/>
  <c r="Q346" i="46" s="1"/>
  <c r="R346" i="46" s="1"/>
  <c r="S346" i="46" s="1"/>
  <c r="H346" i="45"/>
  <c r="I346" i="45" s="1"/>
  <c r="J346" i="45" s="1"/>
  <c r="K346" i="45" s="1"/>
  <c r="L346" i="45" s="1"/>
  <c r="M346" i="45" s="1"/>
  <c r="N346" i="45" s="1"/>
  <c r="O346" i="45" s="1"/>
  <c r="P346" i="45" s="1"/>
  <c r="Q346" i="45" s="1"/>
  <c r="R346" i="45" s="1"/>
  <c r="S346" i="45" s="1"/>
  <c r="H346" i="44"/>
  <c r="I346" i="44" s="1"/>
  <c r="J346" i="44" s="1"/>
  <c r="K346" i="44" s="1"/>
  <c r="L346" i="44" s="1"/>
  <c r="M346" i="44" s="1"/>
  <c r="N346" i="44" s="1"/>
  <c r="O346" i="44" s="1"/>
  <c r="P346" i="44" s="1"/>
  <c r="Q346" i="44" s="1"/>
  <c r="R346" i="44" s="1"/>
  <c r="S346" i="44" s="1"/>
  <c r="H346" i="43"/>
  <c r="I346" i="43" s="1"/>
  <c r="J346" i="43" s="1"/>
  <c r="K346" i="43" s="1"/>
  <c r="L346" i="43" s="1"/>
  <c r="M346" i="43" s="1"/>
  <c r="N346" i="43" s="1"/>
  <c r="O346" i="43" s="1"/>
  <c r="P346" i="43" s="1"/>
  <c r="Q346" i="43" s="1"/>
  <c r="R346" i="43" s="1"/>
  <c r="S346" i="43" s="1"/>
  <c r="C368" i="48"/>
  <c r="C368" i="47"/>
  <c r="C368" i="46"/>
  <c r="C368" i="44"/>
  <c r="C368" i="45"/>
  <c r="C368" i="43"/>
  <c r="C365" i="48"/>
  <c r="C365" i="47"/>
  <c r="C365" i="46"/>
  <c r="C365" i="44"/>
  <c r="C365" i="45"/>
  <c r="C365" i="43"/>
  <c r="C366" i="48"/>
  <c r="C366" i="47"/>
  <c r="C366" i="46"/>
  <c r="C366" i="44"/>
  <c r="C366" i="45"/>
  <c r="C366" i="43"/>
  <c r="C367" i="48"/>
  <c r="C367" i="47"/>
  <c r="C367" i="46"/>
  <c r="C367" i="44"/>
  <c r="C367" i="45"/>
  <c r="C367" i="43"/>
  <c r="C364" i="47"/>
  <c r="C364" i="48"/>
  <c r="C364" i="46"/>
  <c r="C364" i="44"/>
  <c r="C364" i="45"/>
  <c r="C364" i="43"/>
  <c r="D359" i="48"/>
  <c r="D359" i="47"/>
  <c r="D359" i="46"/>
  <c r="D359" i="45"/>
  <c r="D359" i="44"/>
  <c r="D359" i="43"/>
  <c r="D362" i="48"/>
  <c r="D362" i="47"/>
  <c r="D362" i="46"/>
  <c r="D362" i="45"/>
  <c r="D362" i="44"/>
  <c r="D362" i="43"/>
  <c r="D360" i="48"/>
  <c r="D360" i="46"/>
  <c r="D360" i="47"/>
  <c r="D360" i="45"/>
  <c r="D360" i="44"/>
  <c r="D360" i="43"/>
  <c r="D363" i="48"/>
  <c r="D363" i="47"/>
  <c r="D363" i="46"/>
  <c r="D363" i="45"/>
  <c r="D363" i="44"/>
  <c r="D363" i="43"/>
  <c r="D361" i="48"/>
  <c r="D361" i="47"/>
  <c r="D361" i="45"/>
  <c r="D361" i="46"/>
  <c r="D361" i="44"/>
  <c r="D361" i="43"/>
  <c r="H351" i="48" l="1"/>
  <c r="I351" i="48" s="1"/>
  <c r="J351" i="48" s="1"/>
  <c r="K351" i="48" s="1"/>
  <c r="L351" i="48" s="1"/>
  <c r="M351" i="48" s="1"/>
  <c r="N351" i="48" s="1"/>
  <c r="O351" i="48" s="1"/>
  <c r="P351" i="48" s="1"/>
  <c r="Q351" i="48" s="1"/>
  <c r="R351" i="48" s="1"/>
  <c r="S351" i="48" s="1"/>
  <c r="H351" i="47"/>
  <c r="I351" i="47" s="1"/>
  <c r="J351" i="47" s="1"/>
  <c r="K351" i="47" s="1"/>
  <c r="L351" i="47" s="1"/>
  <c r="M351" i="47" s="1"/>
  <c r="N351" i="47" s="1"/>
  <c r="O351" i="47" s="1"/>
  <c r="P351" i="47" s="1"/>
  <c r="Q351" i="47" s="1"/>
  <c r="R351" i="47" s="1"/>
  <c r="S351" i="47" s="1"/>
  <c r="H351" i="46"/>
  <c r="I351" i="46" s="1"/>
  <c r="J351" i="46" s="1"/>
  <c r="K351" i="46" s="1"/>
  <c r="L351" i="46" s="1"/>
  <c r="M351" i="46" s="1"/>
  <c r="N351" i="46" s="1"/>
  <c r="O351" i="46" s="1"/>
  <c r="P351" i="46" s="1"/>
  <c r="Q351" i="46" s="1"/>
  <c r="R351" i="46" s="1"/>
  <c r="S351" i="46" s="1"/>
  <c r="H351" i="45"/>
  <c r="I351" i="45" s="1"/>
  <c r="J351" i="45" s="1"/>
  <c r="K351" i="45" s="1"/>
  <c r="L351" i="45" s="1"/>
  <c r="M351" i="45" s="1"/>
  <c r="N351" i="45" s="1"/>
  <c r="O351" i="45" s="1"/>
  <c r="P351" i="45" s="1"/>
  <c r="Q351" i="45" s="1"/>
  <c r="R351" i="45" s="1"/>
  <c r="S351" i="45" s="1"/>
  <c r="H351" i="44"/>
  <c r="I351" i="44" s="1"/>
  <c r="J351" i="44" s="1"/>
  <c r="K351" i="44" s="1"/>
  <c r="L351" i="44" s="1"/>
  <c r="M351" i="44" s="1"/>
  <c r="N351" i="44" s="1"/>
  <c r="O351" i="44" s="1"/>
  <c r="P351" i="44" s="1"/>
  <c r="Q351" i="44" s="1"/>
  <c r="R351" i="44" s="1"/>
  <c r="S351" i="44" s="1"/>
  <c r="H351" i="43"/>
  <c r="I351" i="43" s="1"/>
  <c r="J351" i="43" s="1"/>
  <c r="K351" i="43" s="1"/>
  <c r="L351" i="43" s="1"/>
  <c r="M351" i="43" s="1"/>
  <c r="N351" i="43" s="1"/>
  <c r="O351" i="43" s="1"/>
  <c r="P351" i="43" s="1"/>
  <c r="Q351" i="43" s="1"/>
  <c r="R351" i="43" s="1"/>
  <c r="S351" i="43" s="1"/>
  <c r="F358" i="48"/>
  <c r="F358" i="47"/>
  <c r="F358" i="46"/>
  <c r="F358" i="45"/>
  <c r="F358" i="44"/>
  <c r="F358" i="43"/>
  <c r="G351" i="48"/>
  <c r="G351" i="47"/>
  <c r="G351" i="46"/>
  <c r="G351" i="45"/>
  <c r="G351" i="44"/>
  <c r="G351" i="43"/>
  <c r="G352" i="48"/>
  <c r="G352" i="47"/>
  <c r="G352" i="46"/>
  <c r="G352" i="45"/>
  <c r="G352" i="44"/>
  <c r="G352" i="43"/>
  <c r="G353" i="48"/>
  <c r="G353" i="47"/>
  <c r="G353" i="46"/>
  <c r="G353" i="45"/>
  <c r="G353" i="44"/>
  <c r="G353" i="43"/>
  <c r="E359" i="48"/>
  <c r="E359" i="47"/>
  <c r="E359" i="46"/>
  <c r="E359" i="45"/>
  <c r="E359" i="44"/>
  <c r="E359" i="43"/>
  <c r="H352" i="48"/>
  <c r="I352" i="48" s="1"/>
  <c r="J352" i="48" s="1"/>
  <c r="K352" i="48" s="1"/>
  <c r="L352" i="48" s="1"/>
  <c r="M352" i="48" s="1"/>
  <c r="N352" i="48" s="1"/>
  <c r="O352" i="48" s="1"/>
  <c r="P352" i="48" s="1"/>
  <c r="Q352" i="48" s="1"/>
  <c r="R352" i="48" s="1"/>
  <c r="S352" i="48" s="1"/>
  <c r="H352" i="47"/>
  <c r="I352" i="47" s="1"/>
  <c r="J352" i="47" s="1"/>
  <c r="K352" i="47" s="1"/>
  <c r="L352" i="47" s="1"/>
  <c r="M352" i="47" s="1"/>
  <c r="N352" i="47" s="1"/>
  <c r="O352" i="47" s="1"/>
  <c r="P352" i="47" s="1"/>
  <c r="Q352" i="47" s="1"/>
  <c r="R352" i="47" s="1"/>
  <c r="S352" i="47" s="1"/>
  <c r="H352" i="46"/>
  <c r="I352" i="46" s="1"/>
  <c r="J352" i="46" s="1"/>
  <c r="K352" i="46" s="1"/>
  <c r="L352" i="46" s="1"/>
  <c r="M352" i="46" s="1"/>
  <c r="N352" i="46" s="1"/>
  <c r="O352" i="46" s="1"/>
  <c r="P352" i="46" s="1"/>
  <c r="Q352" i="46" s="1"/>
  <c r="R352" i="46" s="1"/>
  <c r="S352" i="46" s="1"/>
  <c r="H352" i="45"/>
  <c r="I352" i="45" s="1"/>
  <c r="J352" i="45" s="1"/>
  <c r="K352" i="45" s="1"/>
  <c r="L352" i="45" s="1"/>
  <c r="M352" i="45" s="1"/>
  <c r="N352" i="45" s="1"/>
  <c r="O352" i="45" s="1"/>
  <c r="P352" i="45" s="1"/>
  <c r="Q352" i="45" s="1"/>
  <c r="R352" i="45" s="1"/>
  <c r="S352" i="45" s="1"/>
  <c r="H352" i="44"/>
  <c r="I352" i="44" s="1"/>
  <c r="J352" i="44" s="1"/>
  <c r="K352" i="44" s="1"/>
  <c r="L352" i="44" s="1"/>
  <c r="M352" i="44" s="1"/>
  <c r="N352" i="44" s="1"/>
  <c r="O352" i="44" s="1"/>
  <c r="P352" i="44" s="1"/>
  <c r="Q352" i="44" s="1"/>
  <c r="R352" i="44" s="1"/>
  <c r="S352" i="44" s="1"/>
  <c r="H352" i="43"/>
  <c r="I352" i="43" s="1"/>
  <c r="J352" i="43" s="1"/>
  <c r="K352" i="43" s="1"/>
  <c r="L352" i="43" s="1"/>
  <c r="M352" i="43" s="1"/>
  <c r="N352" i="43" s="1"/>
  <c r="O352" i="43" s="1"/>
  <c r="P352" i="43" s="1"/>
  <c r="Q352" i="43" s="1"/>
  <c r="R352" i="43" s="1"/>
  <c r="S352" i="43" s="1"/>
  <c r="H353" i="48"/>
  <c r="I353" i="48" s="1"/>
  <c r="J353" i="48" s="1"/>
  <c r="K353" i="48" s="1"/>
  <c r="L353" i="48" s="1"/>
  <c r="M353" i="48" s="1"/>
  <c r="N353" i="48" s="1"/>
  <c r="O353" i="48" s="1"/>
  <c r="P353" i="48" s="1"/>
  <c r="Q353" i="48" s="1"/>
  <c r="R353" i="48" s="1"/>
  <c r="S353" i="48" s="1"/>
  <c r="H353" i="47"/>
  <c r="I353" i="47" s="1"/>
  <c r="J353" i="47" s="1"/>
  <c r="K353" i="47" s="1"/>
  <c r="L353" i="47" s="1"/>
  <c r="M353" i="47" s="1"/>
  <c r="N353" i="47" s="1"/>
  <c r="O353" i="47" s="1"/>
  <c r="P353" i="47" s="1"/>
  <c r="Q353" i="47" s="1"/>
  <c r="R353" i="47" s="1"/>
  <c r="S353" i="47" s="1"/>
  <c r="H353" i="46"/>
  <c r="I353" i="46" s="1"/>
  <c r="J353" i="46" s="1"/>
  <c r="K353" i="46" s="1"/>
  <c r="L353" i="46" s="1"/>
  <c r="M353" i="46" s="1"/>
  <c r="N353" i="46" s="1"/>
  <c r="O353" i="46" s="1"/>
  <c r="P353" i="46" s="1"/>
  <c r="Q353" i="46" s="1"/>
  <c r="R353" i="46" s="1"/>
  <c r="S353" i="46" s="1"/>
  <c r="H353" i="45"/>
  <c r="I353" i="45" s="1"/>
  <c r="J353" i="45" s="1"/>
  <c r="K353" i="45" s="1"/>
  <c r="L353" i="45" s="1"/>
  <c r="M353" i="45" s="1"/>
  <c r="N353" i="45" s="1"/>
  <c r="O353" i="45" s="1"/>
  <c r="P353" i="45" s="1"/>
  <c r="Q353" i="45" s="1"/>
  <c r="R353" i="45" s="1"/>
  <c r="S353" i="45" s="1"/>
  <c r="H353" i="44"/>
  <c r="I353" i="44" s="1"/>
  <c r="J353" i="44" s="1"/>
  <c r="K353" i="44" s="1"/>
  <c r="L353" i="44" s="1"/>
  <c r="M353" i="44" s="1"/>
  <c r="N353" i="44" s="1"/>
  <c r="O353" i="44" s="1"/>
  <c r="P353" i="44" s="1"/>
  <c r="Q353" i="44" s="1"/>
  <c r="R353" i="44" s="1"/>
  <c r="S353" i="44" s="1"/>
  <c r="H353" i="43"/>
  <c r="I353" i="43" s="1"/>
  <c r="J353" i="43" s="1"/>
  <c r="K353" i="43" s="1"/>
  <c r="L353" i="43" s="1"/>
  <c r="M353" i="43" s="1"/>
  <c r="N353" i="43" s="1"/>
  <c r="O353" i="43" s="1"/>
  <c r="P353" i="43" s="1"/>
  <c r="Q353" i="43" s="1"/>
  <c r="R353" i="43" s="1"/>
  <c r="S353" i="43" s="1"/>
  <c r="G349" i="48"/>
  <c r="G349" i="47"/>
  <c r="G349" i="46"/>
  <c r="G349" i="45"/>
  <c r="G349" i="44"/>
  <c r="G349" i="43"/>
  <c r="F356" i="48"/>
  <c r="F356" i="47"/>
  <c r="F356" i="46"/>
  <c r="F356" i="45"/>
  <c r="F356" i="44"/>
  <c r="F356" i="43"/>
  <c r="E362" i="48"/>
  <c r="E362" i="47"/>
  <c r="E362" i="46"/>
  <c r="E362" i="45"/>
  <c r="E362" i="44"/>
  <c r="E362" i="43"/>
  <c r="H350" i="48"/>
  <c r="I350" i="48" s="1"/>
  <c r="J350" i="48" s="1"/>
  <c r="K350" i="48" s="1"/>
  <c r="L350" i="48" s="1"/>
  <c r="M350" i="48" s="1"/>
  <c r="N350" i="48" s="1"/>
  <c r="O350" i="48" s="1"/>
  <c r="P350" i="48" s="1"/>
  <c r="Q350" i="48" s="1"/>
  <c r="R350" i="48" s="1"/>
  <c r="S350" i="48" s="1"/>
  <c r="H350" i="47"/>
  <c r="I350" i="47" s="1"/>
  <c r="J350" i="47" s="1"/>
  <c r="K350" i="47" s="1"/>
  <c r="L350" i="47" s="1"/>
  <c r="M350" i="47" s="1"/>
  <c r="N350" i="47" s="1"/>
  <c r="O350" i="47" s="1"/>
  <c r="P350" i="47" s="1"/>
  <c r="Q350" i="47" s="1"/>
  <c r="R350" i="47" s="1"/>
  <c r="S350" i="47" s="1"/>
  <c r="H350" i="46"/>
  <c r="I350" i="46" s="1"/>
  <c r="J350" i="46" s="1"/>
  <c r="K350" i="46" s="1"/>
  <c r="L350" i="46" s="1"/>
  <c r="M350" i="46" s="1"/>
  <c r="N350" i="46" s="1"/>
  <c r="O350" i="46" s="1"/>
  <c r="P350" i="46" s="1"/>
  <c r="Q350" i="46" s="1"/>
  <c r="R350" i="46" s="1"/>
  <c r="S350" i="46" s="1"/>
  <c r="H350" i="45"/>
  <c r="I350" i="45" s="1"/>
  <c r="J350" i="45" s="1"/>
  <c r="K350" i="45" s="1"/>
  <c r="L350" i="45" s="1"/>
  <c r="M350" i="45" s="1"/>
  <c r="N350" i="45" s="1"/>
  <c r="O350" i="45" s="1"/>
  <c r="P350" i="45" s="1"/>
  <c r="Q350" i="45" s="1"/>
  <c r="R350" i="45" s="1"/>
  <c r="S350" i="45" s="1"/>
  <c r="H350" i="44"/>
  <c r="I350" i="44" s="1"/>
  <c r="J350" i="44" s="1"/>
  <c r="K350" i="44" s="1"/>
  <c r="L350" i="44" s="1"/>
  <c r="M350" i="44" s="1"/>
  <c r="N350" i="44" s="1"/>
  <c r="O350" i="44" s="1"/>
  <c r="P350" i="44" s="1"/>
  <c r="Q350" i="44" s="1"/>
  <c r="R350" i="44" s="1"/>
  <c r="S350" i="44" s="1"/>
  <c r="H350" i="43"/>
  <c r="I350" i="43" s="1"/>
  <c r="J350" i="43" s="1"/>
  <c r="K350" i="43" s="1"/>
  <c r="L350" i="43" s="1"/>
  <c r="M350" i="43" s="1"/>
  <c r="N350" i="43" s="1"/>
  <c r="O350" i="43" s="1"/>
  <c r="P350" i="43" s="1"/>
  <c r="Q350" i="43" s="1"/>
  <c r="R350" i="43" s="1"/>
  <c r="S350" i="43" s="1"/>
  <c r="H349" i="48"/>
  <c r="I349" i="48" s="1"/>
  <c r="J349" i="48" s="1"/>
  <c r="K349" i="48" s="1"/>
  <c r="L349" i="48" s="1"/>
  <c r="M349" i="48" s="1"/>
  <c r="N349" i="48" s="1"/>
  <c r="O349" i="48" s="1"/>
  <c r="P349" i="48" s="1"/>
  <c r="Q349" i="48" s="1"/>
  <c r="R349" i="48" s="1"/>
  <c r="S349" i="48" s="1"/>
  <c r="H349" i="47"/>
  <c r="I349" i="47" s="1"/>
  <c r="J349" i="47" s="1"/>
  <c r="K349" i="47" s="1"/>
  <c r="L349" i="47" s="1"/>
  <c r="M349" i="47" s="1"/>
  <c r="N349" i="47" s="1"/>
  <c r="O349" i="47" s="1"/>
  <c r="P349" i="47" s="1"/>
  <c r="Q349" i="47" s="1"/>
  <c r="R349" i="47" s="1"/>
  <c r="S349" i="47" s="1"/>
  <c r="H349" i="46"/>
  <c r="I349" i="46" s="1"/>
  <c r="J349" i="46" s="1"/>
  <c r="K349" i="46" s="1"/>
  <c r="L349" i="46" s="1"/>
  <c r="M349" i="46" s="1"/>
  <c r="N349" i="46" s="1"/>
  <c r="O349" i="46" s="1"/>
  <c r="P349" i="46" s="1"/>
  <c r="Q349" i="46" s="1"/>
  <c r="R349" i="46" s="1"/>
  <c r="S349" i="46" s="1"/>
  <c r="H349" i="45"/>
  <c r="I349" i="45" s="1"/>
  <c r="J349" i="45" s="1"/>
  <c r="K349" i="45" s="1"/>
  <c r="L349" i="45" s="1"/>
  <c r="M349" i="45" s="1"/>
  <c r="N349" i="45" s="1"/>
  <c r="O349" i="45" s="1"/>
  <c r="P349" i="45" s="1"/>
  <c r="Q349" i="45" s="1"/>
  <c r="R349" i="45" s="1"/>
  <c r="S349" i="45" s="1"/>
  <c r="H349" i="44"/>
  <c r="I349" i="44" s="1"/>
  <c r="J349" i="44" s="1"/>
  <c r="K349" i="44" s="1"/>
  <c r="L349" i="44" s="1"/>
  <c r="M349" i="44" s="1"/>
  <c r="N349" i="44" s="1"/>
  <c r="O349" i="44" s="1"/>
  <c r="P349" i="44" s="1"/>
  <c r="Q349" i="44" s="1"/>
  <c r="R349" i="44" s="1"/>
  <c r="S349" i="44" s="1"/>
  <c r="H349" i="43"/>
  <c r="I349" i="43" s="1"/>
  <c r="J349" i="43" s="1"/>
  <c r="K349" i="43" s="1"/>
  <c r="L349" i="43" s="1"/>
  <c r="M349" i="43" s="1"/>
  <c r="N349" i="43" s="1"/>
  <c r="O349" i="43" s="1"/>
  <c r="P349" i="43" s="1"/>
  <c r="Q349" i="43" s="1"/>
  <c r="R349" i="43" s="1"/>
  <c r="S349" i="43" s="1"/>
  <c r="F354" i="48"/>
  <c r="F354" i="47"/>
  <c r="F354" i="46"/>
  <c r="F354" i="45"/>
  <c r="F354" i="44"/>
  <c r="F354" i="43"/>
  <c r="E361" i="48"/>
  <c r="E361" i="47"/>
  <c r="E361" i="46"/>
  <c r="E361" i="45"/>
  <c r="E361" i="44"/>
  <c r="E361" i="43"/>
  <c r="F355" i="48"/>
  <c r="F355" i="47"/>
  <c r="F355" i="46"/>
  <c r="F355" i="45"/>
  <c r="F355" i="44"/>
  <c r="F355" i="43"/>
  <c r="F357" i="48"/>
  <c r="F357" i="47"/>
  <c r="F357" i="46"/>
  <c r="F357" i="45"/>
  <c r="F357" i="44"/>
  <c r="F357" i="43"/>
  <c r="G350" i="48"/>
  <c r="G350" i="47"/>
  <c r="G350" i="46"/>
  <c r="G350" i="45"/>
  <c r="G350" i="44"/>
  <c r="G350" i="43"/>
  <c r="E363" i="48"/>
  <c r="E363" i="47"/>
  <c r="E363" i="46"/>
  <c r="E363" i="45"/>
  <c r="E363" i="44"/>
  <c r="E363" i="43"/>
  <c r="E360" i="48"/>
  <c r="E360" i="47"/>
  <c r="E360" i="46"/>
  <c r="E360" i="45"/>
  <c r="E360" i="44"/>
  <c r="E360" i="43"/>
  <c r="C369" i="48"/>
  <c r="C369" i="47"/>
  <c r="C369" i="46"/>
  <c r="C369" i="44"/>
  <c r="C369" i="45"/>
  <c r="C369" i="43"/>
  <c r="C372" i="48"/>
  <c r="C372" i="47"/>
  <c r="C372" i="46"/>
  <c r="C372" i="45"/>
  <c r="C372" i="44"/>
  <c r="C372" i="43"/>
  <c r="C370" i="48"/>
  <c r="C370" i="47"/>
  <c r="C370" i="46"/>
  <c r="C370" i="45"/>
  <c r="C370" i="44"/>
  <c r="C370" i="43"/>
  <c r="C373" i="48"/>
  <c r="C373" i="47"/>
  <c r="C373" i="46"/>
  <c r="C373" i="45"/>
  <c r="C373" i="44"/>
  <c r="C373" i="43"/>
  <c r="C371" i="48"/>
  <c r="C371" i="47"/>
  <c r="C371" i="46"/>
  <c r="C371" i="45"/>
  <c r="C371" i="44"/>
  <c r="C371" i="43"/>
  <c r="D366" i="48"/>
  <c r="D366" i="47"/>
  <c r="D366" i="46"/>
  <c r="D366" i="45"/>
  <c r="D366" i="44"/>
  <c r="D366" i="43"/>
  <c r="D367" i="48"/>
  <c r="D367" i="47"/>
  <c r="D367" i="46"/>
  <c r="D367" i="45"/>
  <c r="D367" i="43"/>
  <c r="D367" i="44"/>
  <c r="D365" i="48"/>
  <c r="D365" i="47"/>
  <c r="D365" i="46"/>
  <c r="D365" i="45"/>
  <c r="D365" i="43"/>
  <c r="D365" i="44"/>
  <c r="D364" i="48"/>
  <c r="D364" i="47"/>
  <c r="D364" i="46"/>
  <c r="D364" i="45"/>
  <c r="D364" i="43"/>
  <c r="D364" i="44"/>
  <c r="D368" i="48"/>
  <c r="D368" i="47"/>
  <c r="D368" i="46"/>
  <c r="D368" i="45"/>
  <c r="D368" i="43"/>
  <c r="D368" i="44"/>
  <c r="F359" i="48" l="1"/>
  <c r="F359" i="47"/>
  <c r="F359" i="46"/>
  <c r="F359" i="45"/>
  <c r="F359" i="44"/>
  <c r="F359" i="43"/>
  <c r="F362" i="48"/>
  <c r="F362" i="47"/>
  <c r="F362" i="46"/>
  <c r="F362" i="45"/>
  <c r="F362" i="44"/>
  <c r="F362" i="43"/>
  <c r="G358" i="48"/>
  <c r="G358" i="47"/>
  <c r="G358" i="46"/>
  <c r="G358" i="45"/>
  <c r="G358" i="44"/>
  <c r="G358" i="43"/>
  <c r="E367" i="48"/>
  <c r="E367" i="47"/>
  <c r="E367" i="46"/>
  <c r="E367" i="45"/>
  <c r="E367" i="44"/>
  <c r="E367" i="43"/>
  <c r="F361" i="48"/>
  <c r="F361" i="47"/>
  <c r="F361" i="46"/>
  <c r="F361" i="45"/>
  <c r="F361" i="44"/>
  <c r="F361" i="43"/>
  <c r="H355" i="48"/>
  <c r="I355" i="48" s="1"/>
  <c r="J355" i="48" s="1"/>
  <c r="K355" i="48" s="1"/>
  <c r="L355" i="48" s="1"/>
  <c r="M355" i="48" s="1"/>
  <c r="N355" i="48" s="1"/>
  <c r="O355" i="48" s="1"/>
  <c r="P355" i="48" s="1"/>
  <c r="Q355" i="48" s="1"/>
  <c r="R355" i="48" s="1"/>
  <c r="S355" i="48" s="1"/>
  <c r="H355" i="47"/>
  <c r="I355" i="47" s="1"/>
  <c r="J355" i="47" s="1"/>
  <c r="K355" i="47" s="1"/>
  <c r="L355" i="47" s="1"/>
  <c r="M355" i="47" s="1"/>
  <c r="N355" i="47" s="1"/>
  <c r="O355" i="47" s="1"/>
  <c r="P355" i="47" s="1"/>
  <c r="Q355" i="47" s="1"/>
  <c r="R355" i="47" s="1"/>
  <c r="S355" i="47" s="1"/>
  <c r="H355" i="46"/>
  <c r="I355" i="46" s="1"/>
  <c r="J355" i="46" s="1"/>
  <c r="K355" i="46" s="1"/>
  <c r="L355" i="46" s="1"/>
  <c r="M355" i="46" s="1"/>
  <c r="N355" i="46" s="1"/>
  <c r="O355" i="46" s="1"/>
  <c r="P355" i="46" s="1"/>
  <c r="Q355" i="46" s="1"/>
  <c r="R355" i="46" s="1"/>
  <c r="S355" i="46" s="1"/>
  <c r="H355" i="45"/>
  <c r="I355" i="45" s="1"/>
  <c r="J355" i="45" s="1"/>
  <c r="K355" i="45" s="1"/>
  <c r="L355" i="45" s="1"/>
  <c r="M355" i="45" s="1"/>
  <c r="N355" i="45" s="1"/>
  <c r="O355" i="45" s="1"/>
  <c r="P355" i="45" s="1"/>
  <c r="Q355" i="45" s="1"/>
  <c r="R355" i="45" s="1"/>
  <c r="S355" i="45" s="1"/>
  <c r="H355" i="44"/>
  <c r="I355" i="44" s="1"/>
  <c r="J355" i="44" s="1"/>
  <c r="K355" i="44" s="1"/>
  <c r="L355" i="44" s="1"/>
  <c r="M355" i="44" s="1"/>
  <c r="N355" i="44" s="1"/>
  <c r="O355" i="44" s="1"/>
  <c r="P355" i="44" s="1"/>
  <c r="Q355" i="44" s="1"/>
  <c r="R355" i="44" s="1"/>
  <c r="S355" i="44" s="1"/>
  <c r="H355" i="43"/>
  <c r="I355" i="43" s="1"/>
  <c r="J355" i="43" s="1"/>
  <c r="K355" i="43" s="1"/>
  <c r="L355" i="43" s="1"/>
  <c r="M355" i="43" s="1"/>
  <c r="N355" i="43" s="1"/>
  <c r="O355" i="43" s="1"/>
  <c r="P355" i="43" s="1"/>
  <c r="Q355" i="43" s="1"/>
  <c r="R355" i="43" s="1"/>
  <c r="S355" i="43" s="1"/>
  <c r="H356" i="48"/>
  <c r="I356" i="48" s="1"/>
  <c r="J356" i="48" s="1"/>
  <c r="K356" i="48" s="1"/>
  <c r="L356" i="48" s="1"/>
  <c r="M356" i="48" s="1"/>
  <c r="N356" i="48" s="1"/>
  <c r="O356" i="48" s="1"/>
  <c r="P356" i="48" s="1"/>
  <c r="Q356" i="48" s="1"/>
  <c r="R356" i="48" s="1"/>
  <c r="S356" i="48" s="1"/>
  <c r="H356" i="47"/>
  <c r="I356" i="47" s="1"/>
  <c r="J356" i="47" s="1"/>
  <c r="K356" i="47" s="1"/>
  <c r="L356" i="47" s="1"/>
  <c r="M356" i="47" s="1"/>
  <c r="N356" i="47" s="1"/>
  <c r="O356" i="47" s="1"/>
  <c r="P356" i="47" s="1"/>
  <c r="Q356" i="47" s="1"/>
  <c r="R356" i="47" s="1"/>
  <c r="S356" i="47" s="1"/>
  <c r="H356" i="46"/>
  <c r="I356" i="46" s="1"/>
  <c r="J356" i="46" s="1"/>
  <c r="K356" i="46" s="1"/>
  <c r="L356" i="46" s="1"/>
  <c r="M356" i="46" s="1"/>
  <c r="N356" i="46" s="1"/>
  <c r="O356" i="46" s="1"/>
  <c r="P356" i="46" s="1"/>
  <c r="Q356" i="46" s="1"/>
  <c r="R356" i="46" s="1"/>
  <c r="S356" i="46" s="1"/>
  <c r="H356" i="45"/>
  <c r="I356" i="45" s="1"/>
  <c r="J356" i="45" s="1"/>
  <c r="K356" i="45" s="1"/>
  <c r="L356" i="45" s="1"/>
  <c r="M356" i="45" s="1"/>
  <c r="N356" i="45" s="1"/>
  <c r="O356" i="45" s="1"/>
  <c r="P356" i="45" s="1"/>
  <c r="Q356" i="45" s="1"/>
  <c r="R356" i="45" s="1"/>
  <c r="S356" i="45" s="1"/>
  <c r="H356" i="44"/>
  <c r="I356" i="44" s="1"/>
  <c r="J356" i="44" s="1"/>
  <c r="K356" i="44" s="1"/>
  <c r="L356" i="44" s="1"/>
  <c r="M356" i="44" s="1"/>
  <c r="N356" i="44" s="1"/>
  <c r="O356" i="44" s="1"/>
  <c r="P356" i="44" s="1"/>
  <c r="Q356" i="44" s="1"/>
  <c r="R356" i="44" s="1"/>
  <c r="S356" i="44" s="1"/>
  <c r="H356" i="43"/>
  <c r="I356" i="43" s="1"/>
  <c r="J356" i="43" s="1"/>
  <c r="K356" i="43" s="1"/>
  <c r="L356" i="43" s="1"/>
  <c r="M356" i="43" s="1"/>
  <c r="N356" i="43" s="1"/>
  <c r="O356" i="43" s="1"/>
  <c r="P356" i="43" s="1"/>
  <c r="Q356" i="43" s="1"/>
  <c r="R356" i="43" s="1"/>
  <c r="S356" i="43" s="1"/>
  <c r="F360" i="48"/>
  <c r="F360" i="47"/>
  <c r="F360" i="46"/>
  <c r="F360" i="45"/>
  <c r="F360" i="44"/>
  <c r="F360" i="43"/>
  <c r="H358" i="48"/>
  <c r="I358" i="48" s="1"/>
  <c r="J358" i="48" s="1"/>
  <c r="K358" i="48" s="1"/>
  <c r="L358" i="48" s="1"/>
  <c r="M358" i="48" s="1"/>
  <c r="N358" i="48" s="1"/>
  <c r="O358" i="48" s="1"/>
  <c r="P358" i="48" s="1"/>
  <c r="Q358" i="48" s="1"/>
  <c r="R358" i="48" s="1"/>
  <c r="S358" i="48" s="1"/>
  <c r="H358" i="47"/>
  <c r="I358" i="47" s="1"/>
  <c r="J358" i="47" s="1"/>
  <c r="K358" i="47" s="1"/>
  <c r="L358" i="47" s="1"/>
  <c r="M358" i="47" s="1"/>
  <c r="N358" i="47" s="1"/>
  <c r="O358" i="47" s="1"/>
  <c r="P358" i="47" s="1"/>
  <c r="Q358" i="47" s="1"/>
  <c r="R358" i="47" s="1"/>
  <c r="S358" i="47" s="1"/>
  <c r="H358" i="46"/>
  <c r="I358" i="46" s="1"/>
  <c r="J358" i="46" s="1"/>
  <c r="K358" i="46" s="1"/>
  <c r="L358" i="46" s="1"/>
  <c r="M358" i="46" s="1"/>
  <c r="N358" i="46" s="1"/>
  <c r="O358" i="46" s="1"/>
  <c r="P358" i="46" s="1"/>
  <c r="Q358" i="46" s="1"/>
  <c r="R358" i="46" s="1"/>
  <c r="S358" i="46" s="1"/>
  <c r="H358" i="45"/>
  <c r="I358" i="45" s="1"/>
  <c r="J358" i="45" s="1"/>
  <c r="K358" i="45" s="1"/>
  <c r="L358" i="45" s="1"/>
  <c r="M358" i="45" s="1"/>
  <c r="N358" i="45" s="1"/>
  <c r="O358" i="45" s="1"/>
  <c r="P358" i="45" s="1"/>
  <c r="Q358" i="45" s="1"/>
  <c r="R358" i="45" s="1"/>
  <c r="S358" i="45" s="1"/>
  <c r="H358" i="44"/>
  <c r="I358" i="44" s="1"/>
  <c r="J358" i="44" s="1"/>
  <c r="K358" i="44" s="1"/>
  <c r="L358" i="44" s="1"/>
  <c r="M358" i="44" s="1"/>
  <c r="N358" i="44" s="1"/>
  <c r="O358" i="44" s="1"/>
  <c r="P358" i="44" s="1"/>
  <c r="Q358" i="44" s="1"/>
  <c r="R358" i="44" s="1"/>
  <c r="S358" i="44" s="1"/>
  <c r="H358" i="43"/>
  <c r="I358" i="43" s="1"/>
  <c r="J358" i="43" s="1"/>
  <c r="K358" i="43" s="1"/>
  <c r="L358" i="43" s="1"/>
  <c r="M358" i="43" s="1"/>
  <c r="N358" i="43" s="1"/>
  <c r="O358" i="43" s="1"/>
  <c r="P358" i="43" s="1"/>
  <c r="Q358" i="43" s="1"/>
  <c r="R358" i="43" s="1"/>
  <c r="S358" i="43" s="1"/>
  <c r="G357" i="48"/>
  <c r="G357" i="47"/>
  <c r="G357" i="46"/>
  <c r="G357" i="45"/>
  <c r="G357" i="44"/>
  <c r="G357" i="43"/>
  <c r="E366" i="48"/>
  <c r="E366" i="47"/>
  <c r="E366" i="46"/>
  <c r="E366" i="45"/>
  <c r="E366" i="44"/>
  <c r="E366" i="43"/>
  <c r="G354" i="48"/>
  <c r="G354" i="47"/>
  <c r="G354" i="46"/>
  <c r="G354" i="45"/>
  <c r="G354" i="44"/>
  <c r="G354" i="43"/>
  <c r="E368" i="48"/>
  <c r="E368" i="47"/>
  <c r="E368" i="46"/>
  <c r="E368" i="45"/>
  <c r="E368" i="44"/>
  <c r="E368" i="43"/>
  <c r="F363" i="48"/>
  <c r="F363" i="47"/>
  <c r="F363" i="46"/>
  <c r="F363" i="45"/>
  <c r="F363" i="44"/>
  <c r="F363" i="43"/>
  <c r="H354" i="48"/>
  <c r="I354" i="48" s="1"/>
  <c r="J354" i="48" s="1"/>
  <c r="K354" i="48" s="1"/>
  <c r="L354" i="48" s="1"/>
  <c r="M354" i="48" s="1"/>
  <c r="N354" i="48" s="1"/>
  <c r="O354" i="48" s="1"/>
  <c r="P354" i="48" s="1"/>
  <c r="Q354" i="48" s="1"/>
  <c r="R354" i="48" s="1"/>
  <c r="S354" i="48" s="1"/>
  <c r="H354" i="47"/>
  <c r="I354" i="47" s="1"/>
  <c r="J354" i="47" s="1"/>
  <c r="K354" i="47" s="1"/>
  <c r="L354" i="47" s="1"/>
  <c r="M354" i="47" s="1"/>
  <c r="N354" i="47" s="1"/>
  <c r="O354" i="47" s="1"/>
  <c r="P354" i="47" s="1"/>
  <c r="Q354" i="47" s="1"/>
  <c r="R354" i="47" s="1"/>
  <c r="S354" i="47" s="1"/>
  <c r="H354" i="46"/>
  <c r="I354" i="46" s="1"/>
  <c r="J354" i="46" s="1"/>
  <c r="K354" i="46" s="1"/>
  <c r="L354" i="46" s="1"/>
  <c r="M354" i="46" s="1"/>
  <c r="N354" i="46" s="1"/>
  <c r="O354" i="46" s="1"/>
  <c r="P354" i="46" s="1"/>
  <c r="Q354" i="46" s="1"/>
  <c r="R354" i="46" s="1"/>
  <c r="S354" i="46" s="1"/>
  <c r="H354" i="45"/>
  <c r="I354" i="45" s="1"/>
  <c r="J354" i="45" s="1"/>
  <c r="K354" i="45" s="1"/>
  <c r="L354" i="45" s="1"/>
  <c r="M354" i="45" s="1"/>
  <c r="N354" i="45" s="1"/>
  <c r="O354" i="45" s="1"/>
  <c r="P354" i="45" s="1"/>
  <c r="Q354" i="45" s="1"/>
  <c r="R354" i="45" s="1"/>
  <c r="S354" i="45" s="1"/>
  <c r="H354" i="44"/>
  <c r="I354" i="44" s="1"/>
  <c r="J354" i="44" s="1"/>
  <c r="K354" i="44" s="1"/>
  <c r="L354" i="44" s="1"/>
  <c r="M354" i="44" s="1"/>
  <c r="N354" i="44" s="1"/>
  <c r="O354" i="44" s="1"/>
  <c r="P354" i="44" s="1"/>
  <c r="Q354" i="44" s="1"/>
  <c r="R354" i="44" s="1"/>
  <c r="S354" i="44" s="1"/>
  <c r="H354" i="43"/>
  <c r="I354" i="43" s="1"/>
  <c r="J354" i="43" s="1"/>
  <c r="K354" i="43" s="1"/>
  <c r="L354" i="43" s="1"/>
  <c r="M354" i="43" s="1"/>
  <c r="N354" i="43" s="1"/>
  <c r="O354" i="43" s="1"/>
  <c r="P354" i="43" s="1"/>
  <c r="Q354" i="43" s="1"/>
  <c r="R354" i="43" s="1"/>
  <c r="S354" i="43" s="1"/>
  <c r="H357" i="48"/>
  <c r="I357" i="48" s="1"/>
  <c r="J357" i="48" s="1"/>
  <c r="K357" i="48" s="1"/>
  <c r="L357" i="48" s="1"/>
  <c r="M357" i="48" s="1"/>
  <c r="N357" i="48" s="1"/>
  <c r="O357" i="48" s="1"/>
  <c r="P357" i="48" s="1"/>
  <c r="Q357" i="48" s="1"/>
  <c r="R357" i="48" s="1"/>
  <c r="S357" i="48" s="1"/>
  <c r="H357" i="47"/>
  <c r="I357" i="47" s="1"/>
  <c r="J357" i="47" s="1"/>
  <c r="K357" i="47" s="1"/>
  <c r="L357" i="47" s="1"/>
  <c r="M357" i="47" s="1"/>
  <c r="N357" i="47" s="1"/>
  <c r="O357" i="47" s="1"/>
  <c r="P357" i="47" s="1"/>
  <c r="Q357" i="47" s="1"/>
  <c r="R357" i="47" s="1"/>
  <c r="S357" i="47" s="1"/>
  <c r="H357" i="46"/>
  <c r="I357" i="46" s="1"/>
  <c r="J357" i="46" s="1"/>
  <c r="K357" i="46" s="1"/>
  <c r="L357" i="46" s="1"/>
  <c r="M357" i="46" s="1"/>
  <c r="N357" i="46" s="1"/>
  <c r="O357" i="46" s="1"/>
  <c r="P357" i="46" s="1"/>
  <c r="Q357" i="46" s="1"/>
  <c r="R357" i="46" s="1"/>
  <c r="S357" i="46" s="1"/>
  <c r="H357" i="45"/>
  <c r="I357" i="45" s="1"/>
  <c r="J357" i="45" s="1"/>
  <c r="K357" i="45" s="1"/>
  <c r="L357" i="45" s="1"/>
  <c r="M357" i="45" s="1"/>
  <c r="N357" i="45" s="1"/>
  <c r="O357" i="45" s="1"/>
  <c r="P357" i="45" s="1"/>
  <c r="Q357" i="45" s="1"/>
  <c r="R357" i="45" s="1"/>
  <c r="S357" i="45" s="1"/>
  <c r="H357" i="44"/>
  <c r="I357" i="44" s="1"/>
  <c r="J357" i="44" s="1"/>
  <c r="K357" i="44" s="1"/>
  <c r="L357" i="44" s="1"/>
  <c r="M357" i="44" s="1"/>
  <c r="N357" i="44" s="1"/>
  <c r="O357" i="44" s="1"/>
  <c r="P357" i="44" s="1"/>
  <c r="Q357" i="44" s="1"/>
  <c r="R357" i="44" s="1"/>
  <c r="S357" i="44" s="1"/>
  <c r="H357" i="43"/>
  <c r="I357" i="43" s="1"/>
  <c r="J357" i="43" s="1"/>
  <c r="K357" i="43" s="1"/>
  <c r="L357" i="43" s="1"/>
  <c r="M357" i="43" s="1"/>
  <c r="N357" i="43" s="1"/>
  <c r="O357" i="43" s="1"/>
  <c r="P357" i="43" s="1"/>
  <c r="Q357" i="43" s="1"/>
  <c r="R357" i="43" s="1"/>
  <c r="S357" i="43" s="1"/>
  <c r="E364" i="48"/>
  <c r="E364" i="47"/>
  <c r="E364" i="46"/>
  <c r="E364" i="45"/>
  <c r="E364" i="44"/>
  <c r="E364" i="43"/>
  <c r="G356" i="48"/>
  <c r="G356" i="47"/>
  <c r="G356" i="46"/>
  <c r="G356" i="45"/>
  <c r="G356" i="44"/>
  <c r="G356" i="43"/>
  <c r="E365" i="48"/>
  <c r="E365" i="47"/>
  <c r="E365" i="46"/>
  <c r="E365" i="45"/>
  <c r="E365" i="44"/>
  <c r="E365" i="43"/>
  <c r="G355" i="48"/>
  <c r="G355" i="47"/>
  <c r="G355" i="46"/>
  <c r="G355" i="45"/>
  <c r="G355" i="44"/>
  <c r="G355" i="43"/>
  <c r="C376" i="48"/>
  <c r="C376" i="46"/>
  <c r="C376" i="47"/>
  <c r="C376" i="45"/>
  <c r="C376" i="44"/>
  <c r="C376" i="43"/>
  <c r="C377" i="48"/>
  <c r="C377" i="47"/>
  <c r="C377" i="46"/>
  <c r="C377" i="45"/>
  <c r="C377" i="44"/>
  <c r="C377" i="43"/>
  <c r="C381" i="48"/>
  <c r="C381" i="46"/>
  <c r="C381" i="47"/>
  <c r="C381" i="45"/>
  <c r="C381" i="44"/>
  <c r="C381" i="43"/>
  <c r="C375" i="48"/>
  <c r="C375" i="47"/>
  <c r="C375" i="46"/>
  <c r="C375" i="44"/>
  <c r="C375" i="45"/>
  <c r="C375" i="43"/>
  <c r="C379" i="48"/>
  <c r="C379" i="45"/>
  <c r="C379" i="47"/>
  <c r="C379" i="46"/>
  <c r="C379" i="44"/>
  <c r="C379" i="43"/>
  <c r="C378" i="48"/>
  <c r="C378" i="47"/>
  <c r="C378" i="46"/>
  <c r="C378" i="45"/>
  <c r="C378" i="44"/>
  <c r="C378" i="43"/>
  <c r="C374" i="48"/>
  <c r="C374" i="47"/>
  <c r="C374" i="46"/>
  <c r="C374" i="45"/>
  <c r="C374" i="44"/>
  <c r="C374" i="43"/>
  <c r="D369" i="48"/>
  <c r="D369" i="46"/>
  <c r="D369" i="47"/>
  <c r="D369" i="44"/>
  <c r="D369" i="45"/>
  <c r="D369" i="43"/>
  <c r="D370" i="48"/>
  <c r="D370" i="46"/>
  <c r="D370" i="47"/>
  <c r="D370" i="44"/>
  <c r="D370" i="45"/>
  <c r="D370" i="43"/>
  <c r="D372" i="48"/>
  <c r="D372" i="46"/>
  <c r="D372" i="47"/>
  <c r="D372" i="45"/>
  <c r="D372" i="44"/>
  <c r="D372" i="43"/>
  <c r="D373" i="48"/>
  <c r="D373" i="47"/>
  <c r="D373" i="46"/>
  <c r="D373" i="45"/>
  <c r="D373" i="44"/>
  <c r="D373" i="43"/>
  <c r="D371" i="48"/>
  <c r="D371" i="46"/>
  <c r="D371" i="47"/>
  <c r="D371" i="45"/>
  <c r="D371" i="44"/>
  <c r="D371" i="43"/>
  <c r="E372" i="48" l="1"/>
  <c r="E372" i="47"/>
  <c r="E372" i="46"/>
  <c r="E372" i="45"/>
  <c r="E372" i="44"/>
  <c r="E372" i="43"/>
  <c r="F366" i="48"/>
  <c r="F366" i="47"/>
  <c r="F366" i="46"/>
  <c r="F366" i="45"/>
  <c r="F366" i="44"/>
  <c r="F366" i="43"/>
  <c r="E371" i="48"/>
  <c r="E371" i="47"/>
  <c r="E371" i="46"/>
  <c r="E371" i="45"/>
  <c r="E371" i="44"/>
  <c r="E371" i="43"/>
  <c r="G362" i="48"/>
  <c r="G362" i="47"/>
  <c r="G362" i="46"/>
  <c r="G362" i="45"/>
  <c r="G362" i="44"/>
  <c r="G362" i="43"/>
  <c r="H362" i="48"/>
  <c r="I362" i="48" s="1"/>
  <c r="J362" i="48" s="1"/>
  <c r="K362" i="48" s="1"/>
  <c r="L362" i="48" s="1"/>
  <c r="M362" i="48" s="1"/>
  <c r="N362" i="48" s="1"/>
  <c r="O362" i="48" s="1"/>
  <c r="P362" i="48" s="1"/>
  <c r="Q362" i="48" s="1"/>
  <c r="R362" i="48" s="1"/>
  <c r="S362" i="48" s="1"/>
  <c r="H362" i="47"/>
  <c r="I362" i="47" s="1"/>
  <c r="J362" i="47" s="1"/>
  <c r="K362" i="47" s="1"/>
  <c r="L362" i="47" s="1"/>
  <c r="M362" i="47" s="1"/>
  <c r="N362" i="47" s="1"/>
  <c r="O362" i="47" s="1"/>
  <c r="P362" i="47" s="1"/>
  <c r="Q362" i="47" s="1"/>
  <c r="R362" i="47" s="1"/>
  <c r="S362" i="47" s="1"/>
  <c r="H362" i="46"/>
  <c r="I362" i="46" s="1"/>
  <c r="J362" i="46" s="1"/>
  <c r="K362" i="46" s="1"/>
  <c r="L362" i="46" s="1"/>
  <c r="M362" i="46" s="1"/>
  <c r="N362" i="46" s="1"/>
  <c r="O362" i="46" s="1"/>
  <c r="P362" i="46" s="1"/>
  <c r="Q362" i="46" s="1"/>
  <c r="R362" i="46" s="1"/>
  <c r="S362" i="46" s="1"/>
  <c r="H362" i="45"/>
  <c r="I362" i="45" s="1"/>
  <c r="J362" i="45" s="1"/>
  <c r="K362" i="45" s="1"/>
  <c r="L362" i="45" s="1"/>
  <c r="M362" i="45" s="1"/>
  <c r="N362" i="45" s="1"/>
  <c r="O362" i="45" s="1"/>
  <c r="P362" i="45" s="1"/>
  <c r="Q362" i="45" s="1"/>
  <c r="R362" i="45" s="1"/>
  <c r="S362" i="45" s="1"/>
  <c r="H362" i="44"/>
  <c r="I362" i="44" s="1"/>
  <c r="J362" i="44" s="1"/>
  <c r="K362" i="44" s="1"/>
  <c r="L362" i="44" s="1"/>
  <c r="M362" i="44" s="1"/>
  <c r="N362" i="44" s="1"/>
  <c r="O362" i="44" s="1"/>
  <c r="P362" i="44" s="1"/>
  <c r="Q362" i="44" s="1"/>
  <c r="R362" i="44" s="1"/>
  <c r="S362" i="44" s="1"/>
  <c r="H362" i="43"/>
  <c r="I362" i="43" s="1"/>
  <c r="J362" i="43" s="1"/>
  <c r="K362" i="43" s="1"/>
  <c r="L362" i="43" s="1"/>
  <c r="M362" i="43" s="1"/>
  <c r="N362" i="43" s="1"/>
  <c r="O362" i="43" s="1"/>
  <c r="P362" i="43" s="1"/>
  <c r="Q362" i="43" s="1"/>
  <c r="R362" i="43" s="1"/>
  <c r="S362" i="43" s="1"/>
  <c r="G363" i="48"/>
  <c r="G363" i="47"/>
  <c r="G363" i="46"/>
  <c r="G363" i="45"/>
  <c r="G363" i="44"/>
  <c r="G363" i="43"/>
  <c r="F368" i="48"/>
  <c r="F368" i="47"/>
  <c r="F368" i="46"/>
  <c r="F368" i="45"/>
  <c r="F368" i="44"/>
  <c r="F368" i="43"/>
  <c r="F367" i="48"/>
  <c r="F367" i="47"/>
  <c r="F367" i="46"/>
  <c r="F367" i="45"/>
  <c r="F367" i="44"/>
  <c r="F367" i="43"/>
  <c r="H363" i="48"/>
  <c r="I363" i="48" s="1"/>
  <c r="J363" i="48" s="1"/>
  <c r="K363" i="48" s="1"/>
  <c r="L363" i="48" s="1"/>
  <c r="M363" i="48" s="1"/>
  <c r="N363" i="48" s="1"/>
  <c r="O363" i="48" s="1"/>
  <c r="P363" i="48" s="1"/>
  <c r="Q363" i="48" s="1"/>
  <c r="R363" i="48" s="1"/>
  <c r="S363" i="48" s="1"/>
  <c r="H363" i="47"/>
  <c r="I363" i="47" s="1"/>
  <c r="J363" i="47" s="1"/>
  <c r="K363" i="47" s="1"/>
  <c r="L363" i="47" s="1"/>
  <c r="M363" i="47" s="1"/>
  <c r="N363" i="47" s="1"/>
  <c r="O363" i="47" s="1"/>
  <c r="P363" i="47" s="1"/>
  <c r="Q363" i="47" s="1"/>
  <c r="R363" i="47" s="1"/>
  <c r="S363" i="47" s="1"/>
  <c r="H363" i="46"/>
  <c r="I363" i="46" s="1"/>
  <c r="J363" i="46" s="1"/>
  <c r="K363" i="46" s="1"/>
  <c r="L363" i="46" s="1"/>
  <c r="M363" i="46" s="1"/>
  <c r="N363" i="46" s="1"/>
  <c r="O363" i="46" s="1"/>
  <c r="P363" i="46" s="1"/>
  <c r="Q363" i="46" s="1"/>
  <c r="R363" i="46" s="1"/>
  <c r="S363" i="46" s="1"/>
  <c r="H363" i="45"/>
  <c r="I363" i="45" s="1"/>
  <c r="J363" i="45" s="1"/>
  <c r="K363" i="45" s="1"/>
  <c r="L363" i="45" s="1"/>
  <c r="M363" i="45" s="1"/>
  <c r="N363" i="45" s="1"/>
  <c r="O363" i="45" s="1"/>
  <c r="P363" i="45" s="1"/>
  <c r="Q363" i="45" s="1"/>
  <c r="R363" i="45" s="1"/>
  <c r="S363" i="45" s="1"/>
  <c r="H363" i="44"/>
  <c r="I363" i="44" s="1"/>
  <c r="J363" i="44" s="1"/>
  <c r="K363" i="44" s="1"/>
  <c r="L363" i="44" s="1"/>
  <c r="M363" i="44" s="1"/>
  <c r="N363" i="44" s="1"/>
  <c r="O363" i="44" s="1"/>
  <c r="P363" i="44" s="1"/>
  <c r="Q363" i="44" s="1"/>
  <c r="R363" i="44" s="1"/>
  <c r="S363" i="44" s="1"/>
  <c r="H363" i="43"/>
  <c r="I363" i="43" s="1"/>
  <c r="J363" i="43" s="1"/>
  <c r="K363" i="43" s="1"/>
  <c r="L363" i="43" s="1"/>
  <c r="M363" i="43" s="1"/>
  <c r="N363" i="43" s="1"/>
  <c r="O363" i="43" s="1"/>
  <c r="P363" i="43" s="1"/>
  <c r="Q363" i="43" s="1"/>
  <c r="R363" i="43" s="1"/>
  <c r="S363" i="43" s="1"/>
  <c r="H360" i="48"/>
  <c r="I360" i="48" s="1"/>
  <c r="J360" i="48" s="1"/>
  <c r="K360" i="48" s="1"/>
  <c r="L360" i="48" s="1"/>
  <c r="M360" i="48" s="1"/>
  <c r="N360" i="48" s="1"/>
  <c r="O360" i="48" s="1"/>
  <c r="P360" i="48" s="1"/>
  <c r="Q360" i="48" s="1"/>
  <c r="R360" i="48" s="1"/>
  <c r="S360" i="48" s="1"/>
  <c r="H360" i="47"/>
  <c r="I360" i="47" s="1"/>
  <c r="J360" i="47" s="1"/>
  <c r="K360" i="47" s="1"/>
  <c r="L360" i="47" s="1"/>
  <c r="M360" i="47" s="1"/>
  <c r="N360" i="47" s="1"/>
  <c r="O360" i="47" s="1"/>
  <c r="P360" i="47" s="1"/>
  <c r="Q360" i="47" s="1"/>
  <c r="R360" i="47" s="1"/>
  <c r="S360" i="47" s="1"/>
  <c r="H360" i="46"/>
  <c r="I360" i="46" s="1"/>
  <c r="J360" i="46" s="1"/>
  <c r="K360" i="46" s="1"/>
  <c r="L360" i="46" s="1"/>
  <c r="M360" i="46" s="1"/>
  <c r="N360" i="46" s="1"/>
  <c r="O360" i="46" s="1"/>
  <c r="P360" i="46" s="1"/>
  <c r="Q360" i="46" s="1"/>
  <c r="R360" i="46" s="1"/>
  <c r="S360" i="46" s="1"/>
  <c r="H360" i="45"/>
  <c r="I360" i="45" s="1"/>
  <c r="J360" i="45" s="1"/>
  <c r="K360" i="45" s="1"/>
  <c r="L360" i="45" s="1"/>
  <c r="M360" i="45" s="1"/>
  <c r="N360" i="45" s="1"/>
  <c r="O360" i="45" s="1"/>
  <c r="P360" i="45" s="1"/>
  <c r="Q360" i="45" s="1"/>
  <c r="R360" i="45" s="1"/>
  <c r="S360" i="45" s="1"/>
  <c r="H360" i="44"/>
  <c r="I360" i="44" s="1"/>
  <c r="J360" i="44" s="1"/>
  <c r="K360" i="44" s="1"/>
  <c r="L360" i="44" s="1"/>
  <c r="M360" i="44" s="1"/>
  <c r="N360" i="44" s="1"/>
  <c r="O360" i="44" s="1"/>
  <c r="P360" i="44" s="1"/>
  <c r="Q360" i="44" s="1"/>
  <c r="R360" i="44" s="1"/>
  <c r="S360" i="44" s="1"/>
  <c r="H360" i="43"/>
  <c r="I360" i="43" s="1"/>
  <c r="J360" i="43" s="1"/>
  <c r="K360" i="43" s="1"/>
  <c r="L360" i="43" s="1"/>
  <c r="M360" i="43" s="1"/>
  <c r="N360" i="43" s="1"/>
  <c r="O360" i="43" s="1"/>
  <c r="P360" i="43" s="1"/>
  <c r="Q360" i="43" s="1"/>
  <c r="R360" i="43" s="1"/>
  <c r="S360" i="43" s="1"/>
  <c r="H359" i="48"/>
  <c r="I359" i="48" s="1"/>
  <c r="J359" i="48" s="1"/>
  <c r="K359" i="48" s="1"/>
  <c r="L359" i="48" s="1"/>
  <c r="M359" i="48" s="1"/>
  <c r="N359" i="48" s="1"/>
  <c r="O359" i="48" s="1"/>
  <c r="P359" i="48" s="1"/>
  <c r="Q359" i="48" s="1"/>
  <c r="R359" i="48" s="1"/>
  <c r="S359" i="48" s="1"/>
  <c r="H359" i="47"/>
  <c r="I359" i="47" s="1"/>
  <c r="J359" i="47" s="1"/>
  <c r="K359" i="47" s="1"/>
  <c r="L359" i="47" s="1"/>
  <c r="M359" i="47" s="1"/>
  <c r="N359" i="47" s="1"/>
  <c r="O359" i="47" s="1"/>
  <c r="P359" i="47" s="1"/>
  <c r="Q359" i="47" s="1"/>
  <c r="R359" i="47" s="1"/>
  <c r="S359" i="47" s="1"/>
  <c r="H359" i="46"/>
  <c r="I359" i="46" s="1"/>
  <c r="J359" i="46" s="1"/>
  <c r="K359" i="46" s="1"/>
  <c r="L359" i="46" s="1"/>
  <c r="M359" i="46" s="1"/>
  <c r="N359" i="46" s="1"/>
  <c r="O359" i="46" s="1"/>
  <c r="P359" i="46" s="1"/>
  <c r="Q359" i="46" s="1"/>
  <c r="R359" i="46" s="1"/>
  <c r="S359" i="46" s="1"/>
  <c r="H359" i="45"/>
  <c r="I359" i="45" s="1"/>
  <c r="J359" i="45" s="1"/>
  <c r="K359" i="45" s="1"/>
  <c r="L359" i="45" s="1"/>
  <c r="M359" i="45" s="1"/>
  <c r="N359" i="45" s="1"/>
  <c r="O359" i="45" s="1"/>
  <c r="P359" i="45" s="1"/>
  <c r="Q359" i="45" s="1"/>
  <c r="R359" i="45" s="1"/>
  <c r="S359" i="45" s="1"/>
  <c r="H359" i="44"/>
  <c r="I359" i="44" s="1"/>
  <c r="J359" i="44" s="1"/>
  <c r="K359" i="44" s="1"/>
  <c r="L359" i="44" s="1"/>
  <c r="M359" i="44" s="1"/>
  <c r="N359" i="44" s="1"/>
  <c r="O359" i="44" s="1"/>
  <c r="P359" i="44" s="1"/>
  <c r="Q359" i="44" s="1"/>
  <c r="R359" i="44" s="1"/>
  <c r="S359" i="44" s="1"/>
  <c r="H359" i="43"/>
  <c r="I359" i="43" s="1"/>
  <c r="J359" i="43" s="1"/>
  <c r="K359" i="43" s="1"/>
  <c r="L359" i="43" s="1"/>
  <c r="M359" i="43" s="1"/>
  <c r="N359" i="43" s="1"/>
  <c r="O359" i="43" s="1"/>
  <c r="P359" i="43" s="1"/>
  <c r="Q359" i="43" s="1"/>
  <c r="R359" i="43" s="1"/>
  <c r="S359" i="43" s="1"/>
  <c r="E370" i="48"/>
  <c r="E370" i="47"/>
  <c r="E370" i="46"/>
  <c r="E370" i="45"/>
  <c r="E370" i="44"/>
  <c r="E370" i="43"/>
  <c r="G360" i="48"/>
  <c r="G360" i="47"/>
  <c r="G360" i="46"/>
  <c r="G360" i="45"/>
  <c r="G360" i="44"/>
  <c r="G360" i="43"/>
  <c r="F365" i="48"/>
  <c r="F365" i="47"/>
  <c r="F365" i="46"/>
  <c r="F365" i="45"/>
  <c r="F365" i="44"/>
  <c r="F365" i="43"/>
  <c r="E369" i="48"/>
  <c r="E369" i="47"/>
  <c r="E369" i="46"/>
  <c r="E369" i="45"/>
  <c r="E369" i="44"/>
  <c r="E369" i="43"/>
  <c r="F364" i="48"/>
  <c r="F364" i="47"/>
  <c r="F364" i="46"/>
  <c r="F364" i="45"/>
  <c r="F364" i="44"/>
  <c r="F364" i="43"/>
  <c r="E373" i="48"/>
  <c r="E373" i="47"/>
  <c r="E373" i="46"/>
  <c r="E373" i="45"/>
  <c r="E373" i="44"/>
  <c r="E373" i="43"/>
  <c r="G361" i="48"/>
  <c r="G361" i="47"/>
  <c r="G361" i="46"/>
  <c r="G361" i="45"/>
  <c r="G361" i="44"/>
  <c r="G361" i="43"/>
  <c r="G359" i="48"/>
  <c r="G359" i="47"/>
  <c r="G359" i="46"/>
  <c r="G359" i="45"/>
  <c r="G359" i="44"/>
  <c r="G359" i="43"/>
  <c r="H361" i="48"/>
  <c r="I361" i="48" s="1"/>
  <c r="J361" i="48" s="1"/>
  <c r="K361" i="48" s="1"/>
  <c r="L361" i="48" s="1"/>
  <c r="M361" i="48" s="1"/>
  <c r="N361" i="48" s="1"/>
  <c r="O361" i="48" s="1"/>
  <c r="P361" i="48" s="1"/>
  <c r="Q361" i="48" s="1"/>
  <c r="R361" i="48" s="1"/>
  <c r="S361" i="48" s="1"/>
  <c r="H361" i="47"/>
  <c r="I361" i="47" s="1"/>
  <c r="J361" i="47" s="1"/>
  <c r="K361" i="47" s="1"/>
  <c r="L361" i="47" s="1"/>
  <c r="M361" i="47" s="1"/>
  <c r="N361" i="47" s="1"/>
  <c r="O361" i="47" s="1"/>
  <c r="P361" i="47" s="1"/>
  <c r="Q361" i="47" s="1"/>
  <c r="R361" i="47" s="1"/>
  <c r="S361" i="47" s="1"/>
  <c r="H361" i="46"/>
  <c r="I361" i="46" s="1"/>
  <c r="J361" i="46" s="1"/>
  <c r="K361" i="46" s="1"/>
  <c r="L361" i="46" s="1"/>
  <c r="M361" i="46" s="1"/>
  <c r="N361" i="46" s="1"/>
  <c r="O361" i="46" s="1"/>
  <c r="P361" i="46" s="1"/>
  <c r="Q361" i="46" s="1"/>
  <c r="R361" i="46" s="1"/>
  <c r="S361" i="46" s="1"/>
  <c r="H361" i="45"/>
  <c r="I361" i="45" s="1"/>
  <c r="J361" i="45" s="1"/>
  <c r="K361" i="45" s="1"/>
  <c r="L361" i="45" s="1"/>
  <c r="M361" i="45" s="1"/>
  <c r="N361" i="45" s="1"/>
  <c r="O361" i="45" s="1"/>
  <c r="P361" i="45" s="1"/>
  <c r="Q361" i="45" s="1"/>
  <c r="R361" i="45" s="1"/>
  <c r="S361" i="45" s="1"/>
  <c r="H361" i="44"/>
  <c r="I361" i="44" s="1"/>
  <c r="J361" i="44" s="1"/>
  <c r="K361" i="44" s="1"/>
  <c r="L361" i="44" s="1"/>
  <c r="M361" i="44" s="1"/>
  <c r="N361" i="44" s="1"/>
  <c r="O361" i="44" s="1"/>
  <c r="P361" i="44" s="1"/>
  <c r="Q361" i="44" s="1"/>
  <c r="R361" i="44" s="1"/>
  <c r="S361" i="44" s="1"/>
  <c r="H361" i="43"/>
  <c r="I361" i="43" s="1"/>
  <c r="J361" i="43" s="1"/>
  <c r="K361" i="43" s="1"/>
  <c r="L361" i="43" s="1"/>
  <c r="M361" i="43" s="1"/>
  <c r="N361" i="43" s="1"/>
  <c r="O361" i="43" s="1"/>
  <c r="P361" i="43" s="1"/>
  <c r="Q361" i="43" s="1"/>
  <c r="R361" i="43" s="1"/>
  <c r="S361" i="43" s="1"/>
  <c r="C380" i="48"/>
  <c r="C380" i="47"/>
  <c r="C380" i="45"/>
  <c r="C380" i="46"/>
  <c r="C380" i="44"/>
  <c r="C380" i="43"/>
  <c r="C382" i="47"/>
  <c r="C382" i="46"/>
  <c r="C382" i="48"/>
  <c r="C382" i="45"/>
  <c r="C382" i="44"/>
  <c r="C382" i="43"/>
  <c r="C383" i="48"/>
  <c r="C383" i="47"/>
  <c r="C383" i="46"/>
  <c r="C383" i="45"/>
  <c r="C383" i="44"/>
  <c r="C383" i="43"/>
  <c r="D378" i="48"/>
  <c r="D378" i="47"/>
  <c r="D378" i="46"/>
  <c r="D378" i="44"/>
  <c r="D378" i="45"/>
  <c r="D378" i="43"/>
  <c r="D377" i="48"/>
  <c r="D377" i="47"/>
  <c r="D377" i="46"/>
  <c r="D377" i="45"/>
  <c r="D377" i="44"/>
  <c r="D377" i="43"/>
  <c r="D375" i="48"/>
  <c r="D375" i="46"/>
  <c r="D375" i="47"/>
  <c r="D375" i="45"/>
  <c r="D375" i="44"/>
  <c r="D375" i="43"/>
  <c r="D381" i="48"/>
  <c r="D381" i="47"/>
  <c r="D381" i="46"/>
  <c r="D381" i="44"/>
  <c r="D381" i="45"/>
  <c r="D381" i="43"/>
  <c r="D379" i="48"/>
  <c r="D379" i="47"/>
  <c r="D379" i="46"/>
  <c r="D379" i="45"/>
  <c r="D379" i="44"/>
  <c r="D379" i="43"/>
  <c r="D376" i="48"/>
  <c r="D376" i="46"/>
  <c r="D376" i="47"/>
  <c r="D376" i="45"/>
  <c r="D376" i="44"/>
  <c r="D376" i="43"/>
  <c r="D374" i="48"/>
  <c r="D374" i="47"/>
  <c r="D374" i="46"/>
  <c r="D374" i="45"/>
  <c r="D374" i="44"/>
  <c r="D374" i="43"/>
  <c r="E378" i="48" l="1"/>
  <c r="E378" i="47"/>
  <c r="E378" i="46"/>
  <c r="E378" i="45"/>
  <c r="E378" i="44"/>
  <c r="E378" i="43"/>
  <c r="F372" i="48"/>
  <c r="F372" i="47"/>
  <c r="F372" i="46"/>
  <c r="F372" i="45"/>
  <c r="F372" i="44"/>
  <c r="F372" i="43"/>
  <c r="F370" i="48"/>
  <c r="F370" i="47"/>
  <c r="F370" i="46"/>
  <c r="F370" i="45"/>
  <c r="F370" i="44"/>
  <c r="F370" i="43"/>
  <c r="F369" i="48"/>
  <c r="F369" i="47"/>
  <c r="F369" i="46"/>
  <c r="F369" i="45"/>
  <c r="F369" i="44"/>
  <c r="F369" i="43"/>
  <c r="E375" i="48"/>
  <c r="E375" i="47"/>
  <c r="E375" i="46"/>
  <c r="E375" i="45"/>
  <c r="E375" i="44"/>
  <c r="E375" i="43"/>
  <c r="G366" i="48"/>
  <c r="G366" i="47"/>
  <c r="G366" i="46"/>
  <c r="G366" i="45"/>
  <c r="G366" i="44"/>
  <c r="G366" i="43"/>
  <c r="E379" i="48"/>
  <c r="E379" i="47"/>
  <c r="E379" i="46"/>
  <c r="E379" i="45"/>
  <c r="E379" i="44"/>
  <c r="E379" i="43"/>
  <c r="F373" i="48"/>
  <c r="F373" i="47"/>
  <c r="F373" i="46"/>
  <c r="F373" i="45"/>
  <c r="F373" i="44"/>
  <c r="F373" i="43"/>
  <c r="E381" i="48"/>
  <c r="E381" i="47"/>
  <c r="E381" i="46"/>
  <c r="E381" i="45"/>
  <c r="E381" i="44"/>
  <c r="E381" i="43"/>
  <c r="G365" i="48"/>
  <c r="G365" i="47"/>
  <c r="G365" i="46"/>
  <c r="G365" i="45"/>
  <c r="G365" i="44"/>
  <c r="G365" i="43"/>
  <c r="G364" i="48"/>
  <c r="G364" i="47"/>
  <c r="G364" i="46"/>
  <c r="G364" i="45"/>
  <c r="G364" i="44"/>
  <c r="G364" i="43"/>
  <c r="G368" i="48"/>
  <c r="G368" i="47"/>
  <c r="G368" i="46"/>
  <c r="G368" i="45"/>
  <c r="G368" i="44"/>
  <c r="G368" i="43"/>
  <c r="H366" i="48"/>
  <c r="I366" i="48" s="1"/>
  <c r="J366" i="48" s="1"/>
  <c r="K366" i="48" s="1"/>
  <c r="L366" i="48" s="1"/>
  <c r="M366" i="48" s="1"/>
  <c r="N366" i="48" s="1"/>
  <c r="O366" i="48" s="1"/>
  <c r="P366" i="48" s="1"/>
  <c r="Q366" i="48" s="1"/>
  <c r="R366" i="48" s="1"/>
  <c r="S366" i="48" s="1"/>
  <c r="H366" i="47"/>
  <c r="I366" i="47" s="1"/>
  <c r="J366" i="47" s="1"/>
  <c r="K366" i="47" s="1"/>
  <c r="L366" i="47" s="1"/>
  <c r="M366" i="47" s="1"/>
  <c r="N366" i="47" s="1"/>
  <c r="O366" i="47" s="1"/>
  <c r="P366" i="47" s="1"/>
  <c r="Q366" i="47" s="1"/>
  <c r="R366" i="47" s="1"/>
  <c r="S366" i="47" s="1"/>
  <c r="H366" i="46"/>
  <c r="I366" i="46" s="1"/>
  <c r="J366" i="46" s="1"/>
  <c r="K366" i="46" s="1"/>
  <c r="L366" i="46" s="1"/>
  <c r="M366" i="46" s="1"/>
  <c r="N366" i="46" s="1"/>
  <c r="O366" i="46" s="1"/>
  <c r="P366" i="46" s="1"/>
  <c r="Q366" i="46" s="1"/>
  <c r="R366" i="46" s="1"/>
  <c r="S366" i="46" s="1"/>
  <c r="H366" i="45"/>
  <c r="I366" i="45" s="1"/>
  <c r="J366" i="45" s="1"/>
  <c r="K366" i="45" s="1"/>
  <c r="L366" i="45" s="1"/>
  <c r="M366" i="45" s="1"/>
  <c r="N366" i="45" s="1"/>
  <c r="O366" i="45" s="1"/>
  <c r="P366" i="45" s="1"/>
  <c r="Q366" i="45" s="1"/>
  <c r="R366" i="45" s="1"/>
  <c r="S366" i="45" s="1"/>
  <c r="H366" i="44"/>
  <c r="I366" i="44" s="1"/>
  <c r="J366" i="44" s="1"/>
  <c r="K366" i="44" s="1"/>
  <c r="L366" i="44" s="1"/>
  <c r="M366" i="44" s="1"/>
  <c r="N366" i="44" s="1"/>
  <c r="O366" i="44" s="1"/>
  <c r="P366" i="44" s="1"/>
  <c r="Q366" i="44" s="1"/>
  <c r="R366" i="44" s="1"/>
  <c r="S366" i="44" s="1"/>
  <c r="H366" i="43"/>
  <c r="I366" i="43" s="1"/>
  <c r="J366" i="43" s="1"/>
  <c r="K366" i="43" s="1"/>
  <c r="L366" i="43" s="1"/>
  <c r="M366" i="43" s="1"/>
  <c r="N366" i="43" s="1"/>
  <c r="O366" i="43" s="1"/>
  <c r="P366" i="43" s="1"/>
  <c r="Q366" i="43" s="1"/>
  <c r="R366" i="43" s="1"/>
  <c r="S366" i="43" s="1"/>
  <c r="H364" i="48"/>
  <c r="I364" i="48" s="1"/>
  <c r="J364" i="48" s="1"/>
  <c r="K364" i="48" s="1"/>
  <c r="L364" i="48" s="1"/>
  <c r="M364" i="48" s="1"/>
  <c r="N364" i="48" s="1"/>
  <c r="O364" i="48" s="1"/>
  <c r="P364" i="48" s="1"/>
  <c r="Q364" i="48" s="1"/>
  <c r="R364" i="48" s="1"/>
  <c r="S364" i="48" s="1"/>
  <c r="H364" i="47"/>
  <c r="I364" i="47" s="1"/>
  <c r="J364" i="47" s="1"/>
  <c r="K364" i="47" s="1"/>
  <c r="L364" i="47" s="1"/>
  <c r="M364" i="47" s="1"/>
  <c r="N364" i="47" s="1"/>
  <c r="O364" i="47" s="1"/>
  <c r="P364" i="47" s="1"/>
  <c r="Q364" i="47" s="1"/>
  <c r="R364" i="47" s="1"/>
  <c r="S364" i="47" s="1"/>
  <c r="H364" i="46"/>
  <c r="I364" i="46" s="1"/>
  <c r="J364" i="46" s="1"/>
  <c r="K364" i="46" s="1"/>
  <c r="L364" i="46" s="1"/>
  <c r="M364" i="46" s="1"/>
  <c r="N364" i="46" s="1"/>
  <c r="O364" i="46" s="1"/>
  <c r="P364" i="46" s="1"/>
  <c r="Q364" i="46" s="1"/>
  <c r="R364" i="46" s="1"/>
  <c r="S364" i="46" s="1"/>
  <c r="H364" i="45"/>
  <c r="I364" i="45" s="1"/>
  <c r="J364" i="45" s="1"/>
  <c r="K364" i="45" s="1"/>
  <c r="L364" i="45" s="1"/>
  <c r="M364" i="45" s="1"/>
  <c r="N364" i="45" s="1"/>
  <c r="O364" i="45" s="1"/>
  <c r="P364" i="45" s="1"/>
  <c r="Q364" i="45" s="1"/>
  <c r="R364" i="45" s="1"/>
  <c r="S364" i="45" s="1"/>
  <c r="H364" i="44"/>
  <c r="I364" i="44" s="1"/>
  <c r="J364" i="44" s="1"/>
  <c r="K364" i="44" s="1"/>
  <c r="L364" i="44" s="1"/>
  <c r="M364" i="44" s="1"/>
  <c r="N364" i="44" s="1"/>
  <c r="O364" i="44" s="1"/>
  <c r="P364" i="44" s="1"/>
  <c r="Q364" i="44" s="1"/>
  <c r="R364" i="44" s="1"/>
  <c r="S364" i="44" s="1"/>
  <c r="H364" i="43"/>
  <c r="I364" i="43" s="1"/>
  <c r="J364" i="43" s="1"/>
  <c r="K364" i="43" s="1"/>
  <c r="L364" i="43" s="1"/>
  <c r="M364" i="43" s="1"/>
  <c r="N364" i="43" s="1"/>
  <c r="O364" i="43" s="1"/>
  <c r="P364" i="43" s="1"/>
  <c r="Q364" i="43" s="1"/>
  <c r="R364" i="43" s="1"/>
  <c r="S364" i="43" s="1"/>
  <c r="F371" i="48"/>
  <c r="F371" i="47"/>
  <c r="F371" i="46"/>
  <c r="F371" i="45"/>
  <c r="F371" i="44"/>
  <c r="F371" i="43"/>
  <c r="E377" i="48"/>
  <c r="E377" i="47"/>
  <c r="E377" i="46"/>
  <c r="E377" i="45"/>
  <c r="E377" i="44"/>
  <c r="E377" i="43"/>
  <c r="G367" i="48"/>
  <c r="G367" i="47"/>
  <c r="G367" i="46"/>
  <c r="G367" i="45"/>
  <c r="G367" i="44"/>
  <c r="G367" i="43"/>
  <c r="E376" i="48"/>
  <c r="E376" i="47"/>
  <c r="E376" i="46"/>
  <c r="E376" i="45"/>
  <c r="E376" i="44"/>
  <c r="E376" i="43"/>
  <c r="H365" i="48"/>
  <c r="I365" i="48" s="1"/>
  <c r="J365" i="48" s="1"/>
  <c r="K365" i="48" s="1"/>
  <c r="L365" i="48" s="1"/>
  <c r="M365" i="48" s="1"/>
  <c r="N365" i="48" s="1"/>
  <c r="O365" i="48" s="1"/>
  <c r="P365" i="48" s="1"/>
  <c r="Q365" i="48" s="1"/>
  <c r="R365" i="48" s="1"/>
  <c r="S365" i="48" s="1"/>
  <c r="H365" i="47"/>
  <c r="I365" i="47" s="1"/>
  <c r="J365" i="47" s="1"/>
  <c r="K365" i="47" s="1"/>
  <c r="L365" i="47" s="1"/>
  <c r="M365" i="47" s="1"/>
  <c r="N365" i="47" s="1"/>
  <c r="O365" i="47" s="1"/>
  <c r="P365" i="47" s="1"/>
  <c r="Q365" i="47" s="1"/>
  <c r="R365" i="47" s="1"/>
  <c r="S365" i="47" s="1"/>
  <c r="H365" i="46"/>
  <c r="I365" i="46" s="1"/>
  <c r="J365" i="46" s="1"/>
  <c r="K365" i="46" s="1"/>
  <c r="L365" i="46" s="1"/>
  <c r="M365" i="46" s="1"/>
  <c r="N365" i="46" s="1"/>
  <c r="O365" i="46" s="1"/>
  <c r="P365" i="46" s="1"/>
  <c r="Q365" i="46" s="1"/>
  <c r="R365" i="46" s="1"/>
  <c r="S365" i="46" s="1"/>
  <c r="H365" i="45"/>
  <c r="I365" i="45" s="1"/>
  <c r="J365" i="45" s="1"/>
  <c r="K365" i="45" s="1"/>
  <c r="L365" i="45" s="1"/>
  <c r="M365" i="45" s="1"/>
  <c r="N365" i="45" s="1"/>
  <c r="O365" i="45" s="1"/>
  <c r="P365" i="45" s="1"/>
  <c r="Q365" i="45" s="1"/>
  <c r="R365" i="45" s="1"/>
  <c r="S365" i="45" s="1"/>
  <c r="H365" i="44"/>
  <c r="I365" i="44" s="1"/>
  <c r="J365" i="44" s="1"/>
  <c r="K365" i="44" s="1"/>
  <c r="L365" i="44" s="1"/>
  <c r="M365" i="44" s="1"/>
  <c r="N365" i="44" s="1"/>
  <c r="O365" i="44" s="1"/>
  <c r="P365" i="44" s="1"/>
  <c r="Q365" i="44" s="1"/>
  <c r="R365" i="44" s="1"/>
  <c r="S365" i="44" s="1"/>
  <c r="H365" i="43"/>
  <c r="I365" i="43" s="1"/>
  <c r="J365" i="43" s="1"/>
  <c r="K365" i="43" s="1"/>
  <c r="L365" i="43" s="1"/>
  <c r="M365" i="43" s="1"/>
  <c r="N365" i="43" s="1"/>
  <c r="O365" i="43" s="1"/>
  <c r="P365" i="43" s="1"/>
  <c r="Q365" i="43" s="1"/>
  <c r="R365" i="43" s="1"/>
  <c r="S365" i="43" s="1"/>
  <c r="H368" i="48"/>
  <c r="I368" i="48" s="1"/>
  <c r="J368" i="48" s="1"/>
  <c r="K368" i="48" s="1"/>
  <c r="L368" i="48" s="1"/>
  <c r="M368" i="48" s="1"/>
  <c r="N368" i="48" s="1"/>
  <c r="O368" i="48" s="1"/>
  <c r="P368" i="48" s="1"/>
  <c r="Q368" i="48" s="1"/>
  <c r="R368" i="48" s="1"/>
  <c r="S368" i="48" s="1"/>
  <c r="H368" i="47"/>
  <c r="I368" i="47" s="1"/>
  <c r="J368" i="47" s="1"/>
  <c r="K368" i="47" s="1"/>
  <c r="L368" i="47" s="1"/>
  <c r="M368" i="47" s="1"/>
  <c r="N368" i="47" s="1"/>
  <c r="O368" i="47" s="1"/>
  <c r="P368" i="47" s="1"/>
  <c r="Q368" i="47" s="1"/>
  <c r="R368" i="47" s="1"/>
  <c r="S368" i="47" s="1"/>
  <c r="H368" i="46"/>
  <c r="I368" i="46" s="1"/>
  <c r="J368" i="46" s="1"/>
  <c r="K368" i="46" s="1"/>
  <c r="L368" i="46" s="1"/>
  <c r="M368" i="46" s="1"/>
  <c r="N368" i="46" s="1"/>
  <c r="O368" i="46" s="1"/>
  <c r="P368" i="46" s="1"/>
  <c r="Q368" i="46" s="1"/>
  <c r="R368" i="46" s="1"/>
  <c r="S368" i="46" s="1"/>
  <c r="H368" i="45"/>
  <c r="I368" i="45" s="1"/>
  <c r="J368" i="45" s="1"/>
  <c r="K368" i="45" s="1"/>
  <c r="L368" i="45" s="1"/>
  <c r="M368" i="45" s="1"/>
  <c r="N368" i="45" s="1"/>
  <c r="O368" i="45" s="1"/>
  <c r="P368" i="45" s="1"/>
  <c r="Q368" i="45" s="1"/>
  <c r="R368" i="45" s="1"/>
  <c r="S368" i="45" s="1"/>
  <c r="H368" i="44"/>
  <c r="I368" i="44" s="1"/>
  <c r="J368" i="44" s="1"/>
  <c r="K368" i="44" s="1"/>
  <c r="L368" i="44" s="1"/>
  <c r="M368" i="44" s="1"/>
  <c r="N368" i="44" s="1"/>
  <c r="O368" i="44" s="1"/>
  <c r="P368" i="44" s="1"/>
  <c r="Q368" i="44" s="1"/>
  <c r="R368" i="44" s="1"/>
  <c r="S368" i="44" s="1"/>
  <c r="H368" i="43"/>
  <c r="I368" i="43" s="1"/>
  <c r="J368" i="43" s="1"/>
  <c r="K368" i="43" s="1"/>
  <c r="L368" i="43" s="1"/>
  <c r="M368" i="43" s="1"/>
  <c r="N368" i="43" s="1"/>
  <c r="O368" i="43" s="1"/>
  <c r="P368" i="43" s="1"/>
  <c r="Q368" i="43" s="1"/>
  <c r="R368" i="43" s="1"/>
  <c r="S368" i="43" s="1"/>
  <c r="E374" i="48"/>
  <c r="E374" i="47"/>
  <c r="E374" i="46"/>
  <c r="E374" i="45"/>
  <c r="E374" i="44"/>
  <c r="E374" i="43"/>
  <c r="H367" i="48"/>
  <c r="I367" i="48" s="1"/>
  <c r="J367" i="48" s="1"/>
  <c r="K367" i="48" s="1"/>
  <c r="L367" i="48" s="1"/>
  <c r="M367" i="48" s="1"/>
  <c r="N367" i="48" s="1"/>
  <c r="O367" i="48" s="1"/>
  <c r="P367" i="48" s="1"/>
  <c r="Q367" i="48" s="1"/>
  <c r="R367" i="48" s="1"/>
  <c r="S367" i="48" s="1"/>
  <c r="H367" i="47"/>
  <c r="I367" i="47" s="1"/>
  <c r="J367" i="47" s="1"/>
  <c r="K367" i="47" s="1"/>
  <c r="L367" i="47" s="1"/>
  <c r="M367" i="47" s="1"/>
  <c r="N367" i="47" s="1"/>
  <c r="O367" i="47" s="1"/>
  <c r="P367" i="47" s="1"/>
  <c r="Q367" i="47" s="1"/>
  <c r="R367" i="47" s="1"/>
  <c r="S367" i="47" s="1"/>
  <c r="H367" i="46"/>
  <c r="I367" i="46" s="1"/>
  <c r="J367" i="46" s="1"/>
  <c r="K367" i="46" s="1"/>
  <c r="L367" i="46" s="1"/>
  <c r="M367" i="46" s="1"/>
  <c r="N367" i="46" s="1"/>
  <c r="O367" i="46" s="1"/>
  <c r="P367" i="46" s="1"/>
  <c r="Q367" i="46" s="1"/>
  <c r="R367" i="46" s="1"/>
  <c r="S367" i="46" s="1"/>
  <c r="H367" i="45"/>
  <c r="I367" i="45" s="1"/>
  <c r="J367" i="45" s="1"/>
  <c r="K367" i="45" s="1"/>
  <c r="L367" i="45" s="1"/>
  <c r="M367" i="45" s="1"/>
  <c r="N367" i="45" s="1"/>
  <c r="O367" i="45" s="1"/>
  <c r="P367" i="45" s="1"/>
  <c r="Q367" i="45" s="1"/>
  <c r="R367" i="45" s="1"/>
  <c r="S367" i="45" s="1"/>
  <c r="H367" i="44"/>
  <c r="I367" i="44" s="1"/>
  <c r="J367" i="44" s="1"/>
  <c r="K367" i="44" s="1"/>
  <c r="L367" i="44" s="1"/>
  <c r="M367" i="44" s="1"/>
  <c r="N367" i="44" s="1"/>
  <c r="O367" i="44" s="1"/>
  <c r="P367" i="44" s="1"/>
  <c r="Q367" i="44" s="1"/>
  <c r="R367" i="44" s="1"/>
  <c r="S367" i="44" s="1"/>
  <c r="H367" i="43"/>
  <c r="I367" i="43" s="1"/>
  <c r="J367" i="43" s="1"/>
  <c r="K367" i="43" s="1"/>
  <c r="L367" i="43" s="1"/>
  <c r="M367" i="43" s="1"/>
  <c r="N367" i="43" s="1"/>
  <c r="O367" i="43" s="1"/>
  <c r="P367" i="43" s="1"/>
  <c r="Q367" i="43" s="1"/>
  <c r="R367" i="43" s="1"/>
  <c r="S367" i="43" s="1"/>
  <c r="C388" i="47"/>
  <c r="C388" i="48"/>
  <c r="C388" i="46"/>
  <c r="C388" i="45"/>
  <c r="C388" i="44"/>
  <c r="C388" i="43"/>
  <c r="C384" i="48"/>
  <c r="C384" i="47"/>
  <c r="C384" i="45"/>
  <c r="C384" i="46"/>
  <c r="C384" i="44"/>
  <c r="C384" i="43"/>
  <c r="C386" i="48"/>
  <c r="C386" i="47"/>
  <c r="C386" i="46"/>
  <c r="C386" i="45"/>
  <c r="C386" i="44"/>
  <c r="C386" i="43"/>
  <c r="C385" i="48"/>
  <c r="C385" i="47"/>
  <c r="C385" i="45"/>
  <c r="C385" i="46"/>
  <c r="C385" i="44"/>
  <c r="C385" i="43"/>
  <c r="C387" i="47"/>
  <c r="C387" i="48"/>
  <c r="C387" i="45"/>
  <c r="C387" i="46"/>
  <c r="C387" i="44"/>
  <c r="C387" i="43"/>
  <c r="D383" i="48"/>
  <c r="D383" i="47"/>
  <c r="D383" i="46"/>
  <c r="D383" i="45"/>
  <c r="D383" i="44"/>
  <c r="D383" i="43"/>
  <c r="D382" i="48"/>
  <c r="D382" i="47"/>
  <c r="D382" i="46"/>
  <c r="D382" i="45"/>
  <c r="D382" i="44"/>
  <c r="D382" i="43"/>
  <c r="D380" i="48"/>
  <c r="D380" i="47"/>
  <c r="D380" i="46"/>
  <c r="D380" i="44"/>
  <c r="D380" i="45"/>
  <c r="D380" i="43"/>
  <c r="F379" i="48" l="1"/>
  <c r="F379" i="47"/>
  <c r="F379" i="46"/>
  <c r="F379" i="45"/>
  <c r="F379" i="44"/>
  <c r="F379" i="43"/>
  <c r="F378" i="48"/>
  <c r="F378" i="47"/>
  <c r="F378" i="46"/>
  <c r="F378" i="45"/>
  <c r="F378" i="44"/>
  <c r="F378" i="43"/>
  <c r="F377" i="48"/>
  <c r="F377" i="47"/>
  <c r="F377" i="46"/>
  <c r="F377" i="45"/>
  <c r="F377" i="44"/>
  <c r="F377" i="43"/>
  <c r="E380" i="48"/>
  <c r="E380" i="47"/>
  <c r="E380" i="46"/>
  <c r="E380" i="45"/>
  <c r="E380" i="44"/>
  <c r="E380" i="43"/>
  <c r="F375" i="48"/>
  <c r="F375" i="47"/>
  <c r="F375" i="46"/>
  <c r="F375" i="45"/>
  <c r="F375" i="44"/>
  <c r="F375" i="43"/>
  <c r="E383" i="48"/>
  <c r="E383" i="47"/>
  <c r="E383" i="46"/>
  <c r="E383" i="45"/>
  <c r="E383" i="44"/>
  <c r="E383" i="43"/>
  <c r="H371" i="48"/>
  <c r="I371" i="48" s="1"/>
  <c r="J371" i="48" s="1"/>
  <c r="K371" i="48" s="1"/>
  <c r="L371" i="48" s="1"/>
  <c r="M371" i="48" s="1"/>
  <c r="N371" i="48" s="1"/>
  <c r="O371" i="48" s="1"/>
  <c r="P371" i="48" s="1"/>
  <c r="Q371" i="48" s="1"/>
  <c r="R371" i="48" s="1"/>
  <c r="S371" i="48" s="1"/>
  <c r="H371" i="47"/>
  <c r="I371" i="47" s="1"/>
  <c r="J371" i="47" s="1"/>
  <c r="K371" i="47" s="1"/>
  <c r="L371" i="47" s="1"/>
  <c r="M371" i="47" s="1"/>
  <c r="N371" i="47" s="1"/>
  <c r="O371" i="47" s="1"/>
  <c r="P371" i="47" s="1"/>
  <c r="Q371" i="47" s="1"/>
  <c r="R371" i="47" s="1"/>
  <c r="S371" i="47" s="1"/>
  <c r="H371" i="46"/>
  <c r="I371" i="46" s="1"/>
  <c r="J371" i="46" s="1"/>
  <c r="K371" i="46" s="1"/>
  <c r="L371" i="46" s="1"/>
  <c r="M371" i="46" s="1"/>
  <c r="N371" i="46" s="1"/>
  <c r="O371" i="46" s="1"/>
  <c r="P371" i="46" s="1"/>
  <c r="Q371" i="46" s="1"/>
  <c r="R371" i="46" s="1"/>
  <c r="S371" i="46" s="1"/>
  <c r="H371" i="45"/>
  <c r="I371" i="45" s="1"/>
  <c r="J371" i="45" s="1"/>
  <c r="K371" i="45" s="1"/>
  <c r="L371" i="45" s="1"/>
  <c r="M371" i="45" s="1"/>
  <c r="N371" i="45" s="1"/>
  <c r="O371" i="45" s="1"/>
  <c r="P371" i="45" s="1"/>
  <c r="Q371" i="45" s="1"/>
  <c r="R371" i="45" s="1"/>
  <c r="S371" i="45" s="1"/>
  <c r="H371" i="44"/>
  <c r="I371" i="44" s="1"/>
  <c r="J371" i="44" s="1"/>
  <c r="K371" i="44" s="1"/>
  <c r="L371" i="44" s="1"/>
  <c r="M371" i="44" s="1"/>
  <c r="N371" i="44" s="1"/>
  <c r="O371" i="44" s="1"/>
  <c r="P371" i="44" s="1"/>
  <c r="Q371" i="44" s="1"/>
  <c r="R371" i="44" s="1"/>
  <c r="S371" i="44" s="1"/>
  <c r="H371" i="43"/>
  <c r="I371" i="43" s="1"/>
  <c r="J371" i="43" s="1"/>
  <c r="K371" i="43" s="1"/>
  <c r="L371" i="43" s="1"/>
  <c r="M371" i="43" s="1"/>
  <c r="N371" i="43" s="1"/>
  <c r="O371" i="43" s="1"/>
  <c r="P371" i="43" s="1"/>
  <c r="Q371" i="43" s="1"/>
  <c r="R371" i="43" s="1"/>
  <c r="S371" i="43" s="1"/>
  <c r="G371" i="48"/>
  <c r="G371" i="47"/>
  <c r="G371" i="46"/>
  <c r="G371" i="45"/>
  <c r="G371" i="44"/>
  <c r="G371" i="43"/>
  <c r="F376" i="48"/>
  <c r="F376" i="47"/>
  <c r="F376" i="46"/>
  <c r="F376" i="45"/>
  <c r="F376" i="44"/>
  <c r="F376" i="43"/>
  <c r="E382" i="48"/>
  <c r="E382" i="47"/>
  <c r="E382" i="46"/>
  <c r="E382" i="45"/>
  <c r="E382" i="44"/>
  <c r="E382" i="43"/>
  <c r="H369" i="48"/>
  <c r="I369" i="48" s="1"/>
  <c r="J369" i="48" s="1"/>
  <c r="K369" i="48" s="1"/>
  <c r="L369" i="48" s="1"/>
  <c r="M369" i="48" s="1"/>
  <c r="N369" i="48" s="1"/>
  <c r="O369" i="48" s="1"/>
  <c r="P369" i="48" s="1"/>
  <c r="Q369" i="48" s="1"/>
  <c r="R369" i="48" s="1"/>
  <c r="S369" i="48" s="1"/>
  <c r="H369" i="47"/>
  <c r="I369" i="47" s="1"/>
  <c r="J369" i="47" s="1"/>
  <c r="K369" i="47" s="1"/>
  <c r="L369" i="47" s="1"/>
  <c r="M369" i="47" s="1"/>
  <c r="N369" i="47" s="1"/>
  <c r="O369" i="47" s="1"/>
  <c r="P369" i="47" s="1"/>
  <c r="Q369" i="47" s="1"/>
  <c r="R369" i="47" s="1"/>
  <c r="S369" i="47" s="1"/>
  <c r="H369" i="46"/>
  <c r="I369" i="46" s="1"/>
  <c r="J369" i="46" s="1"/>
  <c r="K369" i="46" s="1"/>
  <c r="L369" i="46" s="1"/>
  <c r="M369" i="46" s="1"/>
  <c r="N369" i="46" s="1"/>
  <c r="O369" i="46" s="1"/>
  <c r="P369" i="46" s="1"/>
  <c r="Q369" i="46" s="1"/>
  <c r="R369" i="46" s="1"/>
  <c r="S369" i="46" s="1"/>
  <c r="H369" i="45"/>
  <c r="I369" i="45" s="1"/>
  <c r="J369" i="45" s="1"/>
  <c r="K369" i="45" s="1"/>
  <c r="L369" i="45" s="1"/>
  <c r="M369" i="45" s="1"/>
  <c r="N369" i="45" s="1"/>
  <c r="O369" i="45" s="1"/>
  <c r="P369" i="45" s="1"/>
  <c r="Q369" i="45" s="1"/>
  <c r="R369" i="45" s="1"/>
  <c r="S369" i="45" s="1"/>
  <c r="H369" i="44"/>
  <c r="I369" i="44" s="1"/>
  <c r="J369" i="44" s="1"/>
  <c r="K369" i="44" s="1"/>
  <c r="L369" i="44" s="1"/>
  <c r="M369" i="44" s="1"/>
  <c r="N369" i="44" s="1"/>
  <c r="O369" i="44" s="1"/>
  <c r="P369" i="44" s="1"/>
  <c r="Q369" i="44" s="1"/>
  <c r="R369" i="44" s="1"/>
  <c r="S369" i="44" s="1"/>
  <c r="H369" i="43"/>
  <c r="I369" i="43" s="1"/>
  <c r="J369" i="43" s="1"/>
  <c r="K369" i="43" s="1"/>
  <c r="L369" i="43" s="1"/>
  <c r="M369" i="43" s="1"/>
  <c r="N369" i="43" s="1"/>
  <c r="O369" i="43" s="1"/>
  <c r="P369" i="43" s="1"/>
  <c r="Q369" i="43" s="1"/>
  <c r="R369" i="43" s="1"/>
  <c r="S369" i="43" s="1"/>
  <c r="F381" i="48"/>
  <c r="F381" i="47"/>
  <c r="F381" i="46"/>
  <c r="F381" i="45"/>
  <c r="F381" i="44"/>
  <c r="F381" i="43"/>
  <c r="G369" i="48"/>
  <c r="G369" i="47"/>
  <c r="G369" i="46"/>
  <c r="G369" i="45"/>
  <c r="G369" i="44"/>
  <c r="G369" i="43"/>
  <c r="F374" i="48"/>
  <c r="F374" i="47"/>
  <c r="F374" i="46"/>
  <c r="F374" i="45"/>
  <c r="F374" i="44"/>
  <c r="F374" i="43"/>
  <c r="G370" i="48"/>
  <c r="G370" i="47"/>
  <c r="G370" i="46"/>
  <c r="G370" i="45"/>
  <c r="G370" i="44"/>
  <c r="G370" i="43"/>
  <c r="G373" i="48"/>
  <c r="G373" i="47"/>
  <c r="G373" i="46"/>
  <c r="G373" i="45"/>
  <c r="G373" i="44"/>
  <c r="G373" i="43"/>
  <c r="G372" i="48"/>
  <c r="G372" i="47"/>
  <c r="G372" i="46"/>
  <c r="G372" i="45"/>
  <c r="G372" i="44"/>
  <c r="G372" i="43"/>
  <c r="H370" i="48"/>
  <c r="I370" i="48" s="1"/>
  <c r="J370" i="48" s="1"/>
  <c r="K370" i="48" s="1"/>
  <c r="L370" i="48" s="1"/>
  <c r="M370" i="48" s="1"/>
  <c r="N370" i="48" s="1"/>
  <c r="O370" i="48" s="1"/>
  <c r="P370" i="48" s="1"/>
  <c r="Q370" i="48" s="1"/>
  <c r="R370" i="48" s="1"/>
  <c r="S370" i="48" s="1"/>
  <c r="H370" i="47"/>
  <c r="I370" i="47" s="1"/>
  <c r="J370" i="47" s="1"/>
  <c r="K370" i="47" s="1"/>
  <c r="L370" i="47" s="1"/>
  <c r="M370" i="47" s="1"/>
  <c r="N370" i="47" s="1"/>
  <c r="O370" i="47" s="1"/>
  <c r="P370" i="47" s="1"/>
  <c r="Q370" i="47" s="1"/>
  <c r="R370" i="47" s="1"/>
  <c r="S370" i="47" s="1"/>
  <c r="H370" i="46"/>
  <c r="I370" i="46" s="1"/>
  <c r="J370" i="46" s="1"/>
  <c r="K370" i="46" s="1"/>
  <c r="L370" i="46" s="1"/>
  <c r="M370" i="46" s="1"/>
  <c r="N370" i="46" s="1"/>
  <c r="O370" i="46" s="1"/>
  <c r="P370" i="46" s="1"/>
  <c r="Q370" i="46" s="1"/>
  <c r="R370" i="46" s="1"/>
  <c r="S370" i="46" s="1"/>
  <c r="H370" i="45"/>
  <c r="I370" i="45" s="1"/>
  <c r="J370" i="45" s="1"/>
  <c r="K370" i="45" s="1"/>
  <c r="L370" i="45" s="1"/>
  <c r="M370" i="45" s="1"/>
  <c r="N370" i="45" s="1"/>
  <c r="O370" i="45" s="1"/>
  <c r="P370" i="45" s="1"/>
  <c r="Q370" i="45" s="1"/>
  <c r="R370" i="45" s="1"/>
  <c r="S370" i="45" s="1"/>
  <c r="H370" i="44"/>
  <c r="I370" i="44" s="1"/>
  <c r="J370" i="44" s="1"/>
  <c r="K370" i="44" s="1"/>
  <c r="L370" i="44" s="1"/>
  <c r="M370" i="44" s="1"/>
  <c r="N370" i="44" s="1"/>
  <c r="O370" i="44" s="1"/>
  <c r="P370" i="44" s="1"/>
  <c r="Q370" i="44" s="1"/>
  <c r="R370" i="44" s="1"/>
  <c r="S370" i="44" s="1"/>
  <c r="H370" i="43"/>
  <c r="I370" i="43" s="1"/>
  <c r="J370" i="43" s="1"/>
  <c r="K370" i="43" s="1"/>
  <c r="L370" i="43" s="1"/>
  <c r="M370" i="43" s="1"/>
  <c r="N370" i="43" s="1"/>
  <c r="O370" i="43" s="1"/>
  <c r="P370" i="43" s="1"/>
  <c r="Q370" i="43" s="1"/>
  <c r="R370" i="43" s="1"/>
  <c r="S370" i="43" s="1"/>
  <c r="H373" i="48"/>
  <c r="I373" i="48" s="1"/>
  <c r="J373" i="48" s="1"/>
  <c r="K373" i="48" s="1"/>
  <c r="L373" i="48" s="1"/>
  <c r="M373" i="48" s="1"/>
  <c r="N373" i="48" s="1"/>
  <c r="O373" i="48" s="1"/>
  <c r="P373" i="48" s="1"/>
  <c r="Q373" i="48" s="1"/>
  <c r="R373" i="48" s="1"/>
  <c r="S373" i="48" s="1"/>
  <c r="H373" i="47"/>
  <c r="I373" i="47" s="1"/>
  <c r="J373" i="47" s="1"/>
  <c r="K373" i="47" s="1"/>
  <c r="L373" i="47" s="1"/>
  <c r="M373" i="47" s="1"/>
  <c r="N373" i="47" s="1"/>
  <c r="O373" i="47" s="1"/>
  <c r="P373" i="47" s="1"/>
  <c r="Q373" i="47" s="1"/>
  <c r="R373" i="47" s="1"/>
  <c r="S373" i="47" s="1"/>
  <c r="H373" i="46"/>
  <c r="I373" i="46" s="1"/>
  <c r="J373" i="46" s="1"/>
  <c r="K373" i="46" s="1"/>
  <c r="L373" i="46" s="1"/>
  <c r="M373" i="46" s="1"/>
  <c r="N373" i="46" s="1"/>
  <c r="O373" i="46" s="1"/>
  <c r="P373" i="46" s="1"/>
  <c r="Q373" i="46" s="1"/>
  <c r="R373" i="46" s="1"/>
  <c r="S373" i="46" s="1"/>
  <c r="H373" i="45"/>
  <c r="I373" i="45" s="1"/>
  <c r="J373" i="45" s="1"/>
  <c r="K373" i="45" s="1"/>
  <c r="L373" i="45" s="1"/>
  <c r="M373" i="45" s="1"/>
  <c r="N373" i="45" s="1"/>
  <c r="O373" i="45" s="1"/>
  <c r="P373" i="45" s="1"/>
  <c r="Q373" i="45" s="1"/>
  <c r="R373" i="45" s="1"/>
  <c r="S373" i="45" s="1"/>
  <c r="H373" i="44"/>
  <c r="I373" i="44" s="1"/>
  <c r="J373" i="44" s="1"/>
  <c r="K373" i="44" s="1"/>
  <c r="L373" i="44" s="1"/>
  <c r="M373" i="44" s="1"/>
  <c r="N373" i="44" s="1"/>
  <c r="O373" i="44" s="1"/>
  <c r="P373" i="44" s="1"/>
  <c r="Q373" i="44" s="1"/>
  <c r="R373" i="44" s="1"/>
  <c r="S373" i="44" s="1"/>
  <c r="H373" i="43"/>
  <c r="I373" i="43" s="1"/>
  <c r="J373" i="43" s="1"/>
  <c r="K373" i="43" s="1"/>
  <c r="L373" i="43" s="1"/>
  <c r="M373" i="43" s="1"/>
  <c r="N373" i="43" s="1"/>
  <c r="O373" i="43" s="1"/>
  <c r="P373" i="43" s="1"/>
  <c r="Q373" i="43" s="1"/>
  <c r="R373" i="43" s="1"/>
  <c r="S373" i="43" s="1"/>
  <c r="H372" i="48"/>
  <c r="I372" i="48" s="1"/>
  <c r="J372" i="48" s="1"/>
  <c r="K372" i="48" s="1"/>
  <c r="L372" i="48" s="1"/>
  <c r="M372" i="48" s="1"/>
  <c r="N372" i="48" s="1"/>
  <c r="O372" i="48" s="1"/>
  <c r="P372" i="48" s="1"/>
  <c r="Q372" i="48" s="1"/>
  <c r="R372" i="48" s="1"/>
  <c r="S372" i="48" s="1"/>
  <c r="H372" i="47"/>
  <c r="I372" i="47" s="1"/>
  <c r="J372" i="47" s="1"/>
  <c r="K372" i="47" s="1"/>
  <c r="L372" i="47" s="1"/>
  <c r="M372" i="47" s="1"/>
  <c r="N372" i="47" s="1"/>
  <c r="O372" i="47" s="1"/>
  <c r="P372" i="47" s="1"/>
  <c r="Q372" i="47" s="1"/>
  <c r="R372" i="47" s="1"/>
  <c r="S372" i="47" s="1"/>
  <c r="H372" i="46"/>
  <c r="I372" i="46" s="1"/>
  <c r="J372" i="46" s="1"/>
  <c r="K372" i="46" s="1"/>
  <c r="L372" i="46" s="1"/>
  <c r="M372" i="46" s="1"/>
  <c r="N372" i="46" s="1"/>
  <c r="O372" i="46" s="1"/>
  <c r="P372" i="46" s="1"/>
  <c r="Q372" i="46" s="1"/>
  <c r="R372" i="46" s="1"/>
  <c r="S372" i="46" s="1"/>
  <c r="H372" i="45"/>
  <c r="I372" i="45" s="1"/>
  <c r="J372" i="45" s="1"/>
  <c r="K372" i="45" s="1"/>
  <c r="L372" i="45" s="1"/>
  <c r="M372" i="45" s="1"/>
  <c r="N372" i="45" s="1"/>
  <c r="O372" i="45" s="1"/>
  <c r="P372" i="45" s="1"/>
  <c r="Q372" i="45" s="1"/>
  <c r="R372" i="45" s="1"/>
  <c r="S372" i="45" s="1"/>
  <c r="H372" i="44"/>
  <c r="I372" i="44" s="1"/>
  <c r="J372" i="44" s="1"/>
  <c r="K372" i="44" s="1"/>
  <c r="L372" i="44" s="1"/>
  <c r="M372" i="44" s="1"/>
  <c r="N372" i="44" s="1"/>
  <c r="O372" i="44" s="1"/>
  <c r="P372" i="44" s="1"/>
  <c r="Q372" i="44" s="1"/>
  <c r="R372" i="44" s="1"/>
  <c r="S372" i="44" s="1"/>
  <c r="H372" i="43"/>
  <c r="I372" i="43" s="1"/>
  <c r="J372" i="43" s="1"/>
  <c r="K372" i="43" s="1"/>
  <c r="L372" i="43" s="1"/>
  <c r="M372" i="43" s="1"/>
  <c r="N372" i="43" s="1"/>
  <c r="O372" i="43" s="1"/>
  <c r="P372" i="43" s="1"/>
  <c r="Q372" i="43" s="1"/>
  <c r="R372" i="43" s="1"/>
  <c r="S372" i="43" s="1"/>
  <c r="C391" i="48"/>
  <c r="C391" i="47"/>
  <c r="C391" i="46"/>
  <c r="C391" i="45"/>
  <c r="C391" i="44"/>
  <c r="C391" i="43"/>
  <c r="C392" i="48"/>
  <c r="C392" i="47"/>
  <c r="C392" i="46"/>
  <c r="C392" i="45"/>
  <c r="C392" i="44"/>
  <c r="C392" i="43"/>
  <c r="C389" i="48"/>
  <c r="C389" i="47"/>
  <c r="C389" i="45"/>
  <c r="C389" i="46"/>
  <c r="C389" i="44"/>
  <c r="C389" i="43"/>
  <c r="C390" i="48"/>
  <c r="C390" i="47"/>
  <c r="C390" i="46"/>
  <c r="C390" i="45"/>
  <c r="C390" i="44"/>
  <c r="C390" i="43"/>
  <c r="C396" i="48"/>
  <c r="C396" i="47"/>
  <c r="C396" i="46"/>
  <c r="C396" i="45"/>
  <c r="C396" i="44"/>
  <c r="C396" i="43"/>
  <c r="C393" i="47"/>
  <c r="C393" i="48"/>
  <c r="C393" i="45"/>
  <c r="C393" i="46"/>
  <c r="C393" i="44"/>
  <c r="C393" i="43"/>
  <c r="D385" i="48"/>
  <c r="D385" i="47"/>
  <c r="D385" i="46"/>
  <c r="D385" i="45"/>
  <c r="D385" i="43"/>
  <c r="D385" i="44"/>
  <c r="D384" i="48"/>
  <c r="D384" i="47"/>
  <c r="D384" i="46"/>
  <c r="D384" i="45"/>
  <c r="D384" i="43"/>
  <c r="D384" i="44"/>
  <c r="D388" i="48"/>
  <c r="D388" i="46"/>
  <c r="D388" i="47"/>
  <c r="D388" i="45"/>
  <c r="D388" i="44"/>
  <c r="D388" i="43"/>
  <c r="D386" i="48"/>
  <c r="D386" i="46"/>
  <c r="D386" i="47"/>
  <c r="D386" i="45"/>
  <c r="D386" i="44"/>
  <c r="D386" i="43"/>
  <c r="D387" i="48"/>
  <c r="D387" i="46"/>
  <c r="D387" i="47"/>
  <c r="D387" i="45"/>
  <c r="D387" i="44"/>
  <c r="D387" i="43"/>
  <c r="G375" i="48" l="1"/>
  <c r="G375" i="47"/>
  <c r="G375" i="46"/>
  <c r="G375" i="45"/>
  <c r="G375" i="44"/>
  <c r="G375" i="43"/>
  <c r="G378" i="48"/>
  <c r="G378" i="47"/>
  <c r="G378" i="46"/>
  <c r="G378" i="45"/>
  <c r="G378" i="44"/>
  <c r="G378" i="43"/>
  <c r="G374" i="48"/>
  <c r="G374" i="47"/>
  <c r="G374" i="46"/>
  <c r="G374" i="45"/>
  <c r="G374" i="44"/>
  <c r="G374" i="43"/>
  <c r="G377" i="48"/>
  <c r="G377" i="47"/>
  <c r="G377" i="46"/>
  <c r="G377" i="45"/>
  <c r="G377" i="44"/>
  <c r="G377" i="43"/>
  <c r="H381" i="48"/>
  <c r="I381" i="48" s="1"/>
  <c r="J381" i="48" s="1"/>
  <c r="K381" i="48" s="1"/>
  <c r="L381" i="48" s="1"/>
  <c r="M381" i="48" s="1"/>
  <c r="N381" i="48" s="1"/>
  <c r="O381" i="48" s="1"/>
  <c r="P381" i="48" s="1"/>
  <c r="Q381" i="48" s="1"/>
  <c r="R381" i="48" s="1"/>
  <c r="S381" i="48" s="1"/>
  <c r="H381" i="47"/>
  <c r="I381" i="47" s="1"/>
  <c r="J381" i="47" s="1"/>
  <c r="K381" i="47" s="1"/>
  <c r="L381" i="47" s="1"/>
  <c r="M381" i="47" s="1"/>
  <c r="N381" i="47" s="1"/>
  <c r="O381" i="47" s="1"/>
  <c r="P381" i="47" s="1"/>
  <c r="Q381" i="47" s="1"/>
  <c r="R381" i="47" s="1"/>
  <c r="S381" i="47" s="1"/>
  <c r="H381" i="46"/>
  <c r="I381" i="46" s="1"/>
  <c r="J381" i="46" s="1"/>
  <c r="K381" i="46" s="1"/>
  <c r="L381" i="46" s="1"/>
  <c r="M381" i="46" s="1"/>
  <c r="N381" i="46" s="1"/>
  <c r="O381" i="46" s="1"/>
  <c r="P381" i="46" s="1"/>
  <c r="Q381" i="46" s="1"/>
  <c r="R381" i="46" s="1"/>
  <c r="S381" i="46" s="1"/>
  <c r="H381" i="45"/>
  <c r="I381" i="45" s="1"/>
  <c r="J381" i="45" s="1"/>
  <c r="K381" i="45" s="1"/>
  <c r="L381" i="45" s="1"/>
  <c r="M381" i="45" s="1"/>
  <c r="N381" i="45" s="1"/>
  <c r="O381" i="45" s="1"/>
  <c r="P381" i="45" s="1"/>
  <c r="Q381" i="45" s="1"/>
  <c r="R381" i="45" s="1"/>
  <c r="S381" i="45" s="1"/>
  <c r="H381" i="44"/>
  <c r="I381" i="44" s="1"/>
  <c r="J381" i="44" s="1"/>
  <c r="K381" i="44" s="1"/>
  <c r="L381" i="44" s="1"/>
  <c r="M381" i="44" s="1"/>
  <c r="N381" i="44" s="1"/>
  <c r="O381" i="44" s="1"/>
  <c r="P381" i="44" s="1"/>
  <c r="Q381" i="44" s="1"/>
  <c r="R381" i="44" s="1"/>
  <c r="S381" i="44" s="1"/>
  <c r="H381" i="43"/>
  <c r="I381" i="43" s="1"/>
  <c r="J381" i="43" s="1"/>
  <c r="K381" i="43" s="1"/>
  <c r="L381" i="43" s="1"/>
  <c r="M381" i="43" s="1"/>
  <c r="N381" i="43" s="1"/>
  <c r="O381" i="43" s="1"/>
  <c r="P381" i="43" s="1"/>
  <c r="Q381" i="43" s="1"/>
  <c r="R381" i="43" s="1"/>
  <c r="S381" i="43" s="1"/>
  <c r="H375" i="48"/>
  <c r="I375" i="48" s="1"/>
  <c r="J375" i="48" s="1"/>
  <c r="K375" i="48" s="1"/>
  <c r="L375" i="48" s="1"/>
  <c r="M375" i="48" s="1"/>
  <c r="N375" i="48" s="1"/>
  <c r="O375" i="48" s="1"/>
  <c r="P375" i="48" s="1"/>
  <c r="Q375" i="48" s="1"/>
  <c r="R375" i="48" s="1"/>
  <c r="S375" i="48" s="1"/>
  <c r="H375" i="47"/>
  <c r="I375" i="47" s="1"/>
  <c r="J375" i="47" s="1"/>
  <c r="K375" i="47" s="1"/>
  <c r="L375" i="47" s="1"/>
  <c r="M375" i="47" s="1"/>
  <c r="N375" i="47" s="1"/>
  <c r="O375" i="47" s="1"/>
  <c r="P375" i="47" s="1"/>
  <c r="Q375" i="47" s="1"/>
  <c r="R375" i="47" s="1"/>
  <c r="S375" i="47" s="1"/>
  <c r="H375" i="46"/>
  <c r="I375" i="46" s="1"/>
  <c r="J375" i="46" s="1"/>
  <c r="K375" i="46" s="1"/>
  <c r="L375" i="46" s="1"/>
  <c r="M375" i="46" s="1"/>
  <c r="N375" i="46" s="1"/>
  <c r="O375" i="46" s="1"/>
  <c r="P375" i="46" s="1"/>
  <c r="Q375" i="46" s="1"/>
  <c r="R375" i="46" s="1"/>
  <c r="S375" i="46" s="1"/>
  <c r="H375" i="45"/>
  <c r="I375" i="45" s="1"/>
  <c r="J375" i="45" s="1"/>
  <c r="K375" i="45" s="1"/>
  <c r="L375" i="45" s="1"/>
  <c r="M375" i="45" s="1"/>
  <c r="N375" i="45" s="1"/>
  <c r="O375" i="45" s="1"/>
  <c r="P375" i="45" s="1"/>
  <c r="Q375" i="45" s="1"/>
  <c r="R375" i="45" s="1"/>
  <c r="S375" i="45" s="1"/>
  <c r="H375" i="44"/>
  <c r="I375" i="44" s="1"/>
  <c r="J375" i="44" s="1"/>
  <c r="K375" i="44" s="1"/>
  <c r="L375" i="44" s="1"/>
  <c r="M375" i="44" s="1"/>
  <c r="N375" i="44" s="1"/>
  <c r="O375" i="44" s="1"/>
  <c r="P375" i="44" s="1"/>
  <c r="Q375" i="44" s="1"/>
  <c r="R375" i="44" s="1"/>
  <c r="S375" i="44" s="1"/>
  <c r="H375" i="43"/>
  <c r="I375" i="43" s="1"/>
  <c r="J375" i="43" s="1"/>
  <c r="K375" i="43" s="1"/>
  <c r="L375" i="43" s="1"/>
  <c r="M375" i="43" s="1"/>
  <c r="N375" i="43" s="1"/>
  <c r="O375" i="43" s="1"/>
  <c r="P375" i="43" s="1"/>
  <c r="Q375" i="43" s="1"/>
  <c r="R375" i="43" s="1"/>
  <c r="S375" i="43" s="1"/>
  <c r="H378" i="48"/>
  <c r="I378" i="48" s="1"/>
  <c r="J378" i="48" s="1"/>
  <c r="K378" i="48" s="1"/>
  <c r="L378" i="48" s="1"/>
  <c r="M378" i="48" s="1"/>
  <c r="N378" i="48" s="1"/>
  <c r="O378" i="48" s="1"/>
  <c r="P378" i="48" s="1"/>
  <c r="Q378" i="48" s="1"/>
  <c r="R378" i="48" s="1"/>
  <c r="S378" i="48" s="1"/>
  <c r="H378" i="47"/>
  <c r="I378" i="47" s="1"/>
  <c r="J378" i="47" s="1"/>
  <c r="K378" i="47" s="1"/>
  <c r="L378" i="47" s="1"/>
  <c r="M378" i="47" s="1"/>
  <c r="N378" i="47" s="1"/>
  <c r="O378" i="47" s="1"/>
  <c r="P378" i="47" s="1"/>
  <c r="Q378" i="47" s="1"/>
  <c r="R378" i="47" s="1"/>
  <c r="S378" i="47" s="1"/>
  <c r="H378" i="46"/>
  <c r="I378" i="46" s="1"/>
  <c r="J378" i="46" s="1"/>
  <c r="K378" i="46" s="1"/>
  <c r="L378" i="46" s="1"/>
  <c r="M378" i="46" s="1"/>
  <c r="N378" i="46" s="1"/>
  <c r="O378" i="46" s="1"/>
  <c r="P378" i="46" s="1"/>
  <c r="Q378" i="46" s="1"/>
  <c r="R378" i="46" s="1"/>
  <c r="S378" i="46" s="1"/>
  <c r="H378" i="45"/>
  <c r="I378" i="45" s="1"/>
  <c r="J378" i="45" s="1"/>
  <c r="K378" i="45" s="1"/>
  <c r="L378" i="45" s="1"/>
  <c r="M378" i="45" s="1"/>
  <c r="N378" i="45" s="1"/>
  <c r="O378" i="45" s="1"/>
  <c r="P378" i="45" s="1"/>
  <c r="Q378" i="45" s="1"/>
  <c r="R378" i="45" s="1"/>
  <c r="S378" i="45" s="1"/>
  <c r="H378" i="44"/>
  <c r="I378" i="44" s="1"/>
  <c r="J378" i="44" s="1"/>
  <c r="K378" i="44" s="1"/>
  <c r="L378" i="44" s="1"/>
  <c r="M378" i="44" s="1"/>
  <c r="N378" i="44" s="1"/>
  <c r="O378" i="44" s="1"/>
  <c r="P378" i="44" s="1"/>
  <c r="Q378" i="44" s="1"/>
  <c r="R378" i="44" s="1"/>
  <c r="S378" i="44" s="1"/>
  <c r="H378" i="43"/>
  <c r="I378" i="43" s="1"/>
  <c r="J378" i="43" s="1"/>
  <c r="K378" i="43" s="1"/>
  <c r="L378" i="43" s="1"/>
  <c r="M378" i="43" s="1"/>
  <c r="N378" i="43" s="1"/>
  <c r="O378" i="43" s="1"/>
  <c r="P378" i="43" s="1"/>
  <c r="Q378" i="43" s="1"/>
  <c r="R378" i="43" s="1"/>
  <c r="S378" i="43" s="1"/>
  <c r="H374" i="48"/>
  <c r="I374" i="48" s="1"/>
  <c r="J374" i="48" s="1"/>
  <c r="K374" i="48" s="1"/>
  <c r="L374" i="48" s="1"/>
  <c r="M374" i="48" s="1"/>
  <c r="N374" i="48" s="1"/>
  <c r="O374" i="48" s="1"/>
  <c r="P374" i="48" s="1"/>
  <c r="Q374" i="48" s="1"/>
  <c r="R374" i="48" s="1"/>
  <c r="S374" i="48" s="1"/>
  <c r="H374" i="47"/>
  <c r="I374" i="47" s="1"/>
  <c r="J374" i="47" s="1"/>
  <c r="K374" i="47" s="1"/>
  <c r="L374" i="47" s="1"/>
  <c r="M374" i="47" s="1"/>
  <c r="N374" i="47" s="1"/>
  <c r="O374" i="47" s="1"/>
  <c r="P374" i="47" s="1"/>
  <c r="Q374" i="47" s="1"/>
  <c r="R374" i="47" s="1"/>
  <c r="S374" i="47" s="1"/>
  <c r="H374" i="46"/>
  <c r="I374" i="46" s="1"/>
  <c r="J374" i="46" s="1"/>
  <c r="K374" i="46" s="1"/>
  <c r="L374" i="46" s="1"/>
  <c r="M374" i="46" s="1"/>
  <c r="N374" i="46" s="1"/>
  <c r="O374" i="46" s="1"/>
  <c r="P374" i="46" s="1"/>
  <c r="Q374" i="46" s="1"/>
  <c r="R374" i="46" s="1"/>
  <c r="S374" i="46" s="1"/>
  <c r="H374" i="45"/>
  <c r="I374" i="45" s="1"/>
  <c r="J374" i="45" s="1"/>
  <c r="K374" i="45" s="1"/>
  <c r="L374" i="45" s="1"/>
  <c r="M374" i="45" s="1"/>
  <c r="N374" i="45" s="1"/>
  <c r="O374" i="45" s="1"/>
  <c r="P374" i="45" s="1"/>
  <c r="Q374" i="45" s="1"/>
  <c r="R374" i="45" s="1"/>
  <c r="S374" i="45" s="1"/>
  <c r="H374" i="44"/>
  <c r="I374" i="44" s="1"/>
  <c r="J374" i="44" s="1"/>
  <c r="K374" i="44" s="1"/>
  <c r="L374" i="44" s="1"/>
  <c r="M374" i="44" s="1"/>
  <c r="N374" i="44" s="1"/>
  <c r="O374" i="44" s="1"/>
  <c r="P374" i="44" s="1"/>
  <c r="Q374" i="44" s="1"/>
  <c r="R374" i="44" s="1"/>
  <c r="S374" i="44" s="1"/>
  <c r="H374" i="43"/>
  <c r="I374" i="43" s="1"/>
  <c r="J374" i="43" s="1"/>
  <c r="K374" i="43" s="1"/>
  <c r="L374" i="43" s="1"/>
  <c r="M374" i="43" s="1"/>
  <c r="N374" i="43" s="1"/>
  <c r="O374" i="43" s="1"/>
  <c r="P374" i="43" s="1"/>
  <c r="Q374" i="43" s="1"/>
  <c r="R374" i="43" s="1"/>
  <c r="S374" i="43" s="1"/>
  <c r="H377" i="48"/>
  <c r="I377" i="48" s="1"/>
  <c r="J377" i="48" s="1"/>
  <c r="K377" i="48" s="1"/>
  <c r="L377" i="48" s="1"/>
  <c r="M377" i="48" s="1"/>
  <c r="N377" i="48" s="1"/>
  <c r="O377" i="48" s="1"/>
  <c r="P377" i="48" s="1"/>
  <c r="Q377" i="48" s="1"/>
  <c r="R377" i="48" s="1"/>
  <c r="S377" i="48" s="1"/>
  <c r="H377" i="47"/>
  <c r="I377" i="47" s="1"/>
  <c r="J377" i="47" s="1"/>
  <c r="K377" i="47" s="1"/>
  <c r="L377" i="47" s="1"/>
  <c r="M377" i="47" s="1"/>
  <c r="N377" i="47" s="1"/>
  <c r="O377" i="47" s="1"/>
  <c r="P377" i="47" s="1"/>
  <c r="Q377" i="47" s="1"/>
  <c r="R377" i="47" s="1"/>
  <c r="S377" i="47" s="1"/>
  <c r="H377" i="46"/>
  <c r="I377" i="46" s="1"/>
  <c r="J377" i="46" s="1"/>
  <c r="K377" i="46" s="1"/>
  <c r="L377" i="46" s="1"/>
  <c r="M377" i="46" s="1"/>
  <c r="N377" i="46" s="1"/>
  <c r="O377" i="46" s="1"/>
  <c r="P377" i="46" s="1"/>
  <c r="Q377" i="46" s="1"/>
  <c r="R377" i="46" s="1"/>
  <c r="S377" i="46" s="1"/>
  <c r="H377" i="45"/>
  <c r="I377" i="45" s="1"/>
  <c r="J377" i="45" s="1"/>
  <c r="K377" i="45" s="1"/>
  <c r="L377" i="45" s="1"/>
  <c r="M377" i="45" s="1"/>
  <c r="N377" i="45" s="1"/>
  <c r="O377" i="45" s="1"/>
  <c r="P377" i="45" s="1"/>
  <c r="Q377" i="45" s="1"/>
  <c r="R377" i="45" s="1"/>
  <c r="S377" i="45" s="1"/>
  <c r="H377" i="44"/>
  <c r="I377" i="44" s="1"/>
  <c r="J377" i="44" s="1"/>
  <c r="K377" i="44" s="1"/>
  <c r="L377" i="44" s="1"/>
  <c r="M377" i="44" s="1"/>
  <c r="N377" i="44" s="1"/>
  <c r="O377" i="44" s="1"/>
  <c r="P377" i="44" s="1"/>
  <c r="Q377" i="44" s="1"/>
  <c r="R377" i="44" s="1"/>
  <c r="S377" i="44" s="1"/>
  <c r="H377" i="43"/>
  <c r="I377" i="43" s="1"/>
  <c r="J377" i="43" s="1"/>
  <c r="K377" i="43" s="1"/>
  <c r="L377" i="43" s="1"/>
  <c r="M377" i="43" s="1"/>
  <c r="N377" i="43" s="1"/>
  <c r="O377" i="43" s="1"/>
  <c r="P377" i="43" s="1"/>
  <c r="Q377" i="43" s="1"/>
  <c r="R377" i="43" s="1"/>
  <c r="S377" i="43" s="1"/>
  <c r="E386" i="48"/>
  <c r="E386" i="47"/>
  <c r="E386" i="46"/>
  <c r="E386" i="45"/>
  <c r="E386" i="44"/>
  <c r="E386" i="43"/>
  <c r="E387" i="48"/>
  <c r="E387" i="47"/>
  <c r="E387" i="46"/>
  <c r="E387" i="45"/>
  <c r="E387" i="44"/>
  <c r="E387" i="43"/>
  <c r="F382" i="48"/>
  <c r="F382" i="47"/>
  <c r="F382" i="46"/>
  <c r="F382" i="45"/>
  <c r="F382" i="44"/>
  <c r="F382" i="43"/>
  <c r="G376" i="48"/>
  <c r="G376" i="47"/>
  <c r="G376" i="46"/>
  <c r="G376" i="45"/>
  <c r="G376" i="44"/>
  <c r="G376" i="43"/>
  <c r="H379" i="48"/>
  <c r="I379" i="48" s="1"/>
  <c r="J379" i="48" s="1"/>
  <c r="K379" i="48" s="1"/>
  <c r="L379" i="48" s="1"/>
  <c r="M379" i="48" s="1"/>
  <c r="N379" i="48" s="1"/>
  <c r="O379" i="48" s="1"/>
  <c r="P379" i="48" s="1"/>
  <c r="Q379" i="48" s="1"/>
  <c r="R379" i="48" s="1"/>
  <c r="S379" i="48" s="1"/>
  <c r="H379" i="47"/>
  <c r="I379" i="47" s="1"/>
  <c r="J379" i="47" s="1"/>
  <c r="K379" i="47" s="1"/>
  <c r="L379" i="47" s="1"/>
  <c r="M379" i="47" s="1"/>
  <c r="N379" i="47" s="1"/>
  <c r="O379" i="47" s="1"/>
  <c r="P379" i="47" s="1"/>
  <c r="Q379" i="47" s="1"/>
  <c r="R379" i="47" s="1"/>
  <c r="S379" i="47" s="1"/>
  <c r="H379" i="46"/>
  <c r="I379" i="46" s="1"/>
  <c r="J379" i="46" s="1"/>
  <c r="K379" i="46" s="1"/>
  <c r="L379" i="46" s="1"/>
  <c r="M379" i="46" s="1"/>
  <c r="N379" i="46" s="1"/>
  <c r="O379" i="46" s="1"/>
  <c r="P379" i="46" s="1"/>
  <c r="Q379" i="46" s="1"/>
  <c r="R379" i="46" s="1"/>
  <c r="S379" i="46" s="1"/>
  <c r="H379" i="45"/>
  <c r="I379" i="45" s="1"/>
  <c r="J379" i="45" s="1"/>
  <c r="K379" i="45" s="1"/>
  <c r="L379" i="45" s="1"/>
  <c r="M379" i="45" s="1"/>
  <c r="N379" i="45" s="1"/>
  <c r="O379" i="45" s="1"/>
  <c r="P379" i="45" s="1"/>
  <c r="Q379" i="45" s="1"/>
  <c r="R379" i="45" s="1"/>
  <c r="S379" i="45" s="1"/>
  <c r="H379" i="44"/>
  <c r="I379" i="44" s="1"/>
  <c r="J379" i="44" s="1"/>
  <c r="K379" i="44" s="1"/>
  <c r="L379" i="44" s="1"/>
  <c r="M379" i="44" s="1"/>
  <c r="N379" i="44" s="1"/>
  <c r="O379" i="44" s="1"/>
  <c r="P379" i="44" s="1"/>
  <c r="Q379" i="44" s="1"/>
  <c r="R379" i="44" s="1"/>
  <c r="S379" i="44" s="1"/>
  <c r="H379" i="43"/>
  <c r="I379" i="43" s="1"/>
  <c r="J379" i="43" s="1"/>
  <c r="K379" i="43" s="1"/>
  <c r="L379" i="43" s="1"/>
  <c r="M379" i="43" s="1"/>
  <c r="N379" i="43" s="1"/>
  <c r="O379" i="43" s="1"/>
  <c r="P379" i="43" s="1"/>
  <c r="Q379" i="43" s="1"/>
  <c r="R379" i="43" s="1"/>
  <c r="S379" i="43" s="1"/>
  <c r="H376" i="48"/>
  <c r="I376" i="48" s="1"/>
  <c r="J376" i="48" s="1"/>
  <c r="K376" i="48" s="1"/>
  <c r="L376" i="48" s="1"/>
  <c r="M376" i="48" s="1"/>
  <c r="N376" i="48" s="1"/>
  <c r="O376" i="48" s="1"/>
  <c r="P376" i="48" s="1"/>
  <c r="Q376" i="48" s="1"/>
  <c r="R376" i="48" s="1"/>
  <c r="S376" i="48" s="1"/>
  <c r="H376" i="47"/>
  <c r="I376" i="47" s="1"/>
  <c r="J376" i="47" s="1"/>
  <c r="K376" i="47" s="1"/>
  <c r="L376" i="47" s="1"/>
  <c r="M376" i="47" s="1"/>
  <c r="N376" i="47" s="1"/>
  <c r="O376" i="47" s="1"/>
  <c r="P376" i="47" s="1"/>
  <c r="Q376" i="47" s="1"/>
  <c r="R376" i="47" s="1"/>
  <c r="S376" i="47" s="1"/>
  <c r="H376" i="46"/>
  <c r="I376" i="46" s="1"/>
  <c r="J376" i="46" s="1"/>
  <c r="K376" i="46" s="1"/>
  <c r="L376" i="46" s="1"/>
  <c r="M376" i="46" s="1"/>
  <c r="N376" i="46" s="1"/>
  <c r="O376" i="46" s="1"/>
  <c r="P376" i="46" s="1"/>
  <c r="Q376" i="46" s="1"/>
  <c r="R376" i="46" s="1"/>
  <c r="S376" i="46" s="1"/>
  <c r="H376" i="45"/>
  <c r="I376" i="45" s="1"/>
  <c r="J376" i="45" s="1"/>
  <c r="K376" i="45" s="1"/>
  <c r="L376" i="45" s="1"/>
  <c r="M376" i="45" s="1"/>
  <c r="N376" i="45" s="1"/>
  <c r="O376" i="45" s="1"/>
  <c r="P376" i="45" s="1"/>
  <c r="Q376" i="45" s="1"/>
  <c r="R376" i="45" s="1"/>
  <c r="S376" i="45" s="1"/>
  <c r="H376" i="44"/>
  <c r="I376" i="44" s="1"/>
  <c r="J376" i="44" s="1"/>
  <c r="K376" i="44" s="1"/>
  <c r="L376" i="44" s="1"/>
  <c r="M376" i="44" s="1"/>
  <c r="N376" i="44" s="1"/>
  <c r="O376" i="44" s="1"/>
  <c r="P376" i="44" s="1"/>
  <c r="Q376" i="44" s="1"/>
  <c r="R376" i="44" s="1"/>
  <c r="S376" i="44" s="1"/>
  <c r="H376" i="43"/>
  <c r="I376" i="43" s="1"/>
  <c r="J376" i="43" s="1"/>
  <c r="K376" i="43" s="1"/>
  <c r="L376" i="43" s="1"/>
  <c r="M376" i="43" s="1"/>
  <c r="N376" i="43" s="1"/>
  <c r="O376" i="43" s="1"/>
  <c r="P376" i="43" s="1"/>
  <c r="Q376" i="43" s="1"/>
  <c r="R376" i="43" s="1"/>
  <c r="S376" i="43" s="1"/>
  <c r="G381" i="48"/>
  <c r="G381" i="47"/>
  <c r="G381" i="46"/>
  <c r="G381" i="45"/>
  <c r="G381" i="44"/>
  <c r="G381" i="43"/>
  <c r="F383" i="48"/>
  <c r="F383" i="47"/>
  <c r="F383" i="46"/>
  <c r="F383" i="45"/>
  <c r="F383" i="44"/>
  <c r="F383" i="43"/>
  <c r="E384" i="48"/>
  <c r="E384" i="47"/>
  <c r="E384" i="46"/>
  <c r="E384" i="45"/>
  <c r="E384" i="44"/>
  <c r="E384" i="43"/>
  <c r="E388" i="48"/>
  <c r="E388" i="47"/>
  <c r="E388" i="46"/>
  <c r="E388" i="45"/>
  <c r="E388" i="44"/>
  <c r="E388" i="43"/>
  <c r="F380" i="48"/>
  <c r="F380" i="47"/>
  <c r="F380" i="46"/>
  <c r="F380" i="45"/>
  <c r="F380" i="44"/>
  <c r="F380" i="43"/>
  <c r="E385" i="48"/>
  <c r="E385" i="47"/>
  <c r="E385" i="46"/>
  <c r="E385" i="45"/>
  <c r="E385" i="44"/>
  <c r="E385" i="43"/>
  <c r="G379" i="48"/>
  <c r="G379" i="47"/>
  <c r="G379" i="46"/>
  <c r="G379" i="45"/>
  <c r="G379" i="44"/>
  <c r="G379" i="43"/>
  <c r="C395" i="48"/>
  <c r="C395" i="47"/>
  <c r="C395" i="46"/>
  <c r="C395" i="45"/>
  <c r="C395" i="44"/>
  <c r="C395" i="43"/>
  <c r="C394" i="48"/>
  <c r="C394" i="47"/>
  <c r="C394" i="46"/>
  <c r="C394" i="45"/>
  <c r="C394" i="44"/>
  <c r="C394" i="43"/>
  <c r="C397" i="48"/>
  <c r="C397" i="47"/>
  <c r="C397" i="46"/>
  <c r="C397" i="45"/>
  <c r="C397" i="44"/>
  <c r="C397" i="43"/>
  <c r="C398" i="48"/>
  <c r="C398" i="47"/>
  <c r="C398" i="46"/>
  <c r="C398" i="45"/>
  <c r="C398" i="44"/>
  <c r="C398" i="43"/>
  <c r="D392" i="47"/>
  <c r="D392" i="48"/>
  <c r="D392" i="46"/>
  <c r="D392" i="45"/>
  <c r="D392" i="43"/>
  <c r="D392" i="44"/>
  <c r="D393" i="48"/>
  <c r="D393" i="47"/>
  <c r="D393" i="46"/>
  <c r="D393" i="45"/>
  <c r="D393" i="44"/>
  <c r="D393" i="43"/>
  <c r="D389" i="48"/>
  <c r="D389" i="46"/>
  <c r="D389" i="47"/>
  <c r="D389" i="45"/>
  <c r="D389" i="44"/>
  <c r="D389" i="43"/>
  <c r="D391" i="48"/>
  <c r="D391" i="46"/>
  <c r="D391" i="47"/>
  <c r="D391" i="45"/>
  <c r="D391" i="44"/>
  <c r="D391" i="43"/>
  <c r="D390" i="48"/>
  <c r="D390" i="46"/>
  <c r="D390" i="47"/>
  <c r="D390" i="45"/>
  <c r="D390" i="44"/>
  <c r="D390" i="43"/>
  <c r="D396" i="48"/>
  <c r="D396" i="47"/>
  <c r="D396" i="46"/>
  <c r="D396" i="45"/>
  <c r="D396" i="44"/>
  <c r="D396" i="43"/>
  <c r="E389" i="48" l="1"/>
  <c r="E389" i="47"/>
  <c r="E389" i="46"/>
  <c r="E389" i="45"/>
  <c r="E389" i="44"/>
  <c r="E389" i="43"/>
  <c r="G382" i="48"/>
  <c r="G382" i="47"/>
  <c r="G382" i="46"/>
  <c r="G382" i="45"/>
  <c r="G382" i="44"/>
  <c r="G382" i="43"/>
  <c r="F387" i="48"/>
  <c r="F387" i="47"/>
  <c r="F387" i="46"/>
  <c r="F387" i="45"/>
  <c r="F387" i="44"/>
  <c r="F387" i="43"/>
  <c r="G380" i="48"/>
  <c r="G380" i="47"/>
  <c r="G380" i="46"/>
  <c r="G380" i="45"/>
  <c r="G380" i="44"/>
  <c r="G380" i="43"/>
  <c r="E391" i="48"/>
  <c r="E391" i="47"/>
  <c r="E391" i="46"/>
  <c r="E391" i="45"/>
  <c r="E391" i="44"/>
  <c r="E391" i="43"/>
  <c r="F388" i="48"/>
  <c r="F388" i="47"/>
  <c r="F388" i="46"/>
  <c r="F388" i="45"/>
  <c r="F388" i="44"/>
  <c r="F388" i="43"/>
  <c r="H382" i="48"/>
  <c r="I382" i="48" s="1"/>
  <c r="J382" i="48" s="1"/>
  <c r="K382" i="48" s="1"/>
  <c r="L382" i="48" s="1"/>
  <c r="M382" i="48" s="1"/>
  <c r="N382" i="48" s="1"/>
  <c r="O382" i="48" s="1"/>
  <c r="P382" i="48" s="1"/>
  <c r="Q382" i="48" s="1"/>
  <c r="R382" i="48" s="1"/>
  <c r="S382" i="48" s="1"/>
  <c r="H382" i="47"/>
  <c r="I382" i="47" s="1"/>
  <c r="J382" i="47" s="1"/>
  <c r="K382" i="47" s="1"/>
  <c r="L382" i="47" s="1"/>
  <c r="M382" i="47" s="1"/>
  <c r="N382" i="47" s="1"/>
  <c r="O382" i="47" s="1"/>
  <c r="P382" i="47" s="1"/>
  <c r="Q382" i="47" s="1"/>
  <c r="R382" i="47" s="1"/>
  <c r="S382" i="47" s="1"/>
  <c r="H382" i="46"/>
  <c r="I382" i="46" s="1"/>
  <c r="J382" i="46" s="1"/>
  <c r="K382" i="46" s="1"/>
  <c r="L382" i="46" s="1"/>
  <c r="M382" i="46" s="1"/>
  <c r="N382" i="46" s="1"/>
  <c r="O382" i="46" s="1"/>
  <c r="P382" i="46" s="1"/>
  <c r="Q382" i="46" s="1"/>
  <c r="R382" i="46" s="1"/>
  <c r="S382" i="46" s="1"/>
  <c r="H382" i="45"/>
  <c r="I382" i="45" s="1"/>
  <c r="J382" i="45" s="1"/>
  <c r="K382" i="45" s="1"/>
  <c r="L382" i="45" s="1"/>
  <c r="M382" i="45" s="1"/>
  <c r="N382" i="45" s="1"/>
  <c r="O382" i="45" s="1"/>
  <c r="P382" i="45" s="1"/>
  <c r="Q382" i="45" s="1"/>
  <c r="R382" i="45" s="1"/>
  <c r="S382" i="45" s="1"/>
  <c r="H382" i="44"/>
  <c r="I382" i="44" s="1"/>
  <c r="J382" i="44" s="1"/>
  <c r="K382" i="44" s="1"/>
  <c r="L382" i="44" s="1"/>
  <c r="M382" i="44" s="1"/>
  <c r="N382" i="44" s="1"/>
  <c r="O382" i="44" s="1"/>
  <c r="P382" i="44" s="1"/>
  <c r="Q382" i="44" s="1"/>
  <c r="R382" i="44" s="1"/>
  <c r="S382" i="44" s="1"/>
  <c r="H382" i="43"/>
  <c r="I382" i="43" s="1"/>
  <c r="J382" i="43" s="1"/>
  <c r="K382" i="43" s="1"/>
  <c r="L382" i="43" s="1"/>
  <c r="M382" i="43" s="1"/>
  <c r="N382" i="43" s="1"/>
  <c r="O382" i="43" s="1"/>
  <c r="P382" i="43" s="1"/>
  <c r="Q382" i="43" s="1"/>
  <c r="R382" i="43" s="1"/>
  <c r="S382" i="43" s="1"/>
  <c r="E396" i="48"/>
  <c r="E396" i="47"/>
  <c r="E396" i="46"/>
  <c r="E396" i="45"/>
  <c r="E396" i="44"/>
  <c r="E396" i="43"/>
  <c r="H383" i="48"/>
  <c r="I383" i="48" s="1"/>
  <c r="J383" i="48" s="1"/>
  <c r="K383" i="48" s="1"/>
  <c r="L383" i="48" s="1"/>
  <c r="M383" i="48" s="1"/>
  <c r="N383" i="48" s="1"/>
  <c r="O383" i="48" s="1"/>
  <c r="P383" i="48" s="1"/>
  <c r="Q383" i="48" s="1"/>
  <c r="R383" i="48" s="1"/>
  <c r="S383" i="48" s="1"/>
  <c r="H383" i="47"/>
  <c r="I383" i="47" s="1"/>
  <c r="J383" i="47" s="1"/>
  <c r="K383" i="47" s="1"/>
  <c r="L383" i="47" s="1"/>
  <c r="M383" i="47" s="1"/>
  <c r="N383" i="47" s="1"/>
  <c r="O383" i="47" s="1"/>
  <c r="P383" i="47" s="1"/>
  <c r="Q383" i="47" s="1"/>
  <c r="R383" i="47" s="1"/>
  <c r="S383" i="47" s="1"/>
  <c r="H383" i="46"/>
  <c r="I383" i="46" s="1"/>
  <c r="J383" i="46" s="1"/>
  <c r="K383" i="46" s="1"/>
  <c r="L383" i="46" s="1"/>
  <c r="M383" i="46" s="1"/>
  <c r="N383" i="46" s="1"/>
  <c r="O383" i="46" s="1"/>
  <c r="P383" i="46" s="1"/>
  <c r="Q383" i="46" s="1"/>
  <c r="R383" i="46" s="1"/>
  <c r="S383" i="46" s="1"/>
  <c r="H383" i="45"/>
  <c r="I383" i="45" s="1"/>
  <c r="J383" i="45" s="1"/>
  <c r="K383" i="45" s="1"/>
  <c r="L383" i="45" s="1"/>
  <c r="M383" i="45" s="1"/>
  <c r="N383" i="45" s="1"/>
  <c r="O383" i="45" s="1"/>
  <c r="P383" i="45" s="1"/>
  <c r="Q383" i="45" s="1"/>
  <c r="R383" i="45" s="1"/>
  <c r="S383" i="45" s="1"/>
  <c r="H383" i="44"/>
  <c r="I383" i="44" s="1"/>
  <c r="J383" i="44" s="1"/>
  <c r="K383" i="44" s="1"/>
  <c r="L383" i="44" s="1"/>
  <c r="M383" i="44" s="1"/>
  <c r="N383" i="44" s="1"/>
  <c r="O383" i="44" s="1"/>
  <c r="P383" i="44" s="1"/>
  <c r="Q383" i="44" s="1"/>
  <c r="R383" i="44" s="1"/>
  <c r="S383" i="44" s="1"/>
  <c r="H383" i="43"/>
  <c r="I383" i="43" s="1"/>
  <c r="J383" i="43" s="1"/>
  <c r="K383" i="43" s="1"/>
  <c r="L383" i="43" s="1"/>
  <c r="M383" i="43" s="1"/>
  <c r="N383" i="43" s="1"/>
  <c r="O383" i="43" s="1"/>
  <c r="P383" i="43" s="1"/>
  <c r="Q383" i="43" s="1"/>
  <c r="R383" i="43" s="1"/>
  <c r="S383" i="43" s="1"/>
  <c r="E392" i="48"/>
  <c r="E392" i="47"/>
  <c r="E392" i="46"/>
  <c r="E392" i="45"/>
  <c r="E392" i="44"/>
  <c r="E392" i="43"/>
  <c r="G383" i="48"/>
  <c r="G383" i="47"/>
  <c r="G383" i="46"/>
  <c r="G383" i="45"/>
  <c r="G383" i="44"/>
  <c r="G383" i="43"/>
  <c r="E390" i="48"/>
  <c r="E390" i="47"/>
  <c r="E390" i="46"/>
  <c r="E390" i="45"/>
  <c r="E390" i="44"/>
  <c r="E390" i="43"/>
  <c r="F386" i="48"/>
  <c r="F386" i="47"/>
  <c r="F386" i="46"/>
  <c r="F386" i="45"/>
  <c r="F386" i="44"/>
  <c r="F386" i="43"/>
  <c r="F384" i="48"/>
  <c r="F384" i="47"/>
  <c r="F384" i="46"/>
  <c r="F384" i="45"/>
  <c r="F384" i="44"/>
  <c r="F384" i="43"/>
  <c r="E393" i="48"/>
  <c r="E393" i="47"/>
  <c r="E393" i="46"/>
  <c r="E393" i="45"/>
  <c r="E393" i="44"/>
  <c r="E393" i="43"/>
  <c r="H380" i="48"/>
  <c r="I380" i="48" s="1"/>
  <c r="J380" i="48" s="1"/>
  <c r="K380" i="48" s="1"/>
  <c r="L380" i="48" s="1"/>
  <c r="M380" i="48" s="1"/>
  <c r="N380" i="48" s="1"/>
  <c r="O380" i="48" s="1"/>
  <c r="P380" i="48" s="1"/>
  <c r="Q380" i="48" s="1"/>
  <c r="R380" i="48" s="1"/>
  <c r="S380" i="48" s="1"/>
  <c r="H380" i="47"/>
  <c r="I380" i="47" s="1"/>
  <c r="J380" i="47" s="1"/>
  <c r="K380" i="47" s="1"/>
  <c r="L380" i="47" s="1"/>
  <c r="M380" i="47" s="1"/>
  <c r="N380" i="47" s="1"/>
  <c r="O380" i="47" s="1"/>
  <c r="P380" i="47" s="1"/>
  <c r="Q380" i="47" s="1"/>
  <c r="R380" i="47" s="1"/>
  <c r="S380" i="47" s="1"/>
  <c r="H380" i="46"/>
  <c r="I380" i="46" s="1"/>
  <c r="J380" i="46" s="1"/>
  <c r="K380" i="46" s="1"/>
  <c r="L380" i="46" s="1"/>
  <c r="M380" i="46" s="1"/>
  <c r="N380" i="46" s="1"/>
  <c r="O380" i="46" s="1"/>
  <c r="P380" i="46" s="1"/>
  <c r="Q380" i="46" s="1"/>
  <c r="R380" i="46" s="1"/>
  <c r="S380" i="46" s="1"/>
  <c r="H380" i="45"/>
  <c r="I380" i="45" s="1"/>
  <c r="J380" i="45" s="1"/>
  <c r="K380" i="45" s="1"/>
  <c r="L380" i="45" s="1"/>
  <c r="M380" i="45" s="1"/>
  <c r="N380" i="45" s="1"/>
  <c r="O380" i="45" s="1"/>
  <c r="P380" i="45" s="1"/>
  <c r="Q380" i="45" s="1"/>
  <c r="R380" i="45" s="1"/>
  <c r="S380" i="45" s="1"/>
  <c r="H380" i="44"/>
  <c r="I380" i="44" s="1"/>
  <c r="J380" i="44" s="1"/>
  <c r="K380" i="44" s="1"/>
  <c r="L380" i="44" s="1"/>
  <c r="M380" i="44" s="1"/>
  <c r="N380" i="44" s="1"/>
  <c r="O380" i="44" s="1"/>
  <c r="P380" i="44" s="1"/>
  <c r="Q380" i="44" s="1"/>
  <c r="R380" i="44" s="1"/>
  <c r="S380" i="44" s="1"/>
  <c r="H380" i="43"/>
  <c r="I380" i="43" s="1"/>
  <c r="J380" i="43" s="1"/>
  <c r="K380" i="43" s="1"/>
  <c r="L380" i="43" s="1"/>
  <c r="M380" i="43" s="1"/>
  <c r="N380" i="43" s="1"/>
  <c r="O380" i="43" s="1"/>
  <c r="P380" i="43" s="1"/>
  <c r="Q380" i="43" s="1"/>
  <c r="R380" i="43" s="1"/>
  <c r="S380" i="43" s="1"/>
  <c r="F385" i="48"/>
  <c r="F385" i="47"/>
  <c r="F385" i="46"/>
  <c r="F385" i="45"/>
  <c r="F385" i="44"/>
  <c r="F385" i="43"/>
  <c r="C406" i="48"/>
  <c r="C406" i="47"/>
  <c r="C406" i="45"/>
  <c r="C406" i="46"/>
  <c r="C406" i="44"/>
  <c r="C406" i="43"/>
  <c r="C402" i="48"/>
  <c r="C402" i="47"/>
  <c r="C402" i="45"/>
  <c r="C402" i="46"/>
  <c r="C402" i="44"/>
  <c r="C402" i="43"/>
  <c r="C403" i="48"/>
  <c r="C403" i="47"/>
  <c r="C403" i="45"/>
  <c r="C403" i="46"/>
  <c r="C403" i="44"/>
  <c r="C403" i="43"/>
  <c r="C401" i="47"/>
  <c r="C401" i="48"/>
  <c r="C401" i="45"/>
  <c r="C401" i="46"/>
  <c r="C401" i="44"/>
  <c r="C401" i="43"/>
  <c r="C400" i="48"/>
  <c r="C400" i="47"/>
  <c r="C400" i="45"/>
  <c r="C400" i="46"/>
  <c r="C400" i="44"/>
  <c r="C400" i="43"/>
  <c r="C404" i="48"/>
  <c r="C404" i="47"/>
  <c r="C404" i="46"/>
  <c r="C404" i="45"/>
  <c r="C404" i="44"/>
  <c r="C404" i="43"/>
  <c r="C399" i="48"/>
  <c r="C399" i="47"/>
  <c r="C399" i="46"/>
  <c r="C399" i="45"/>
  <c r="C399" i="44"/>
  <c r="C399" i="43"/>
  <c r="D397" i="47"/>
  <c r="D397" i="48"/>
  <c r="D397" i="46"/>
  <c r="D397" i="45"/>
  <c r="D397" i="44"/>
  <c r="D397" i="43"/>
  <c r="D394" i="48"/>
  <c r="D394" i="47"/>
  <c r="D394" i="46"/>
  <c r="D394" i="45"/>
  <c r="D394" i="44"/>
  <c r="D394" i="43"/>
  <c r="D398" i="48"/>
  <c r="D398" i="47"/>
  <c r="D398" i="46"/>
  <c r="D398" i="45"/>
  <c r="D398" i="44"/>
  <c r="D398" i="43"/>
  <c r="D395" i="48"/>
  <c r="D395" i="46"/>
  <c r="D395" i="47"/>
  <c r="D395" i="45"/>
  <c r="D395" i="44"/>
  <c r="D395" i="43"/>
  <c r="E397" i="48" l="1"/>
  <c r="E397" i="47"/>
  <c r="E397" i="46"/>
  <c r="E397" i="45"/>
  <c r="E397" i="44"/>
  <c r="E397" i="43"/>
  <c r="F389" i="48"/>
  <c r="F389" i="47"/>
  <c r="F389" i="46"/>
  <c r="F389" i="45"/>
  <c r="F389" i="44"/>
  <c r="F389" i="43"/>
  <c r="F392" i="48"/>
  <c r="F392" i="47"/>
  <c r="F392" i="46"/>
  <c r="F392" i="45"/>
  <c r="F392" i="44"/>
  <c r="F392" i="43"/>
  <c r="E395" i="48"/>
  <c r="E395" i="47"/>
  <c r="E395" i="46"/>
  <c r="E395" i="45"/>
  <c r="E395" i="44"/>
  <c r="E395" i="43"/>
  <c r="F390" i="48"/>
  <c r="F390" i="47"/>
  <c r="F390" i="46"/>
  <c r="F390" i="45"/>
  <c r="F390" i="44"/>
  <c r="F390" i="43"/>
  <c r="F391" i="48"/>
  <c r="F391" i="47"/>
  <c r="F391" i="46"/>
  <c r="F391" i="45"/>
  <c r="F391" i="44"/>
  <c r="F391" i="43"/>
  <c r="G385" i="48"/>
  <c r="G385" i="47"/>
  <c r="G385" i="46"/>
  <c r="G385" i="45"/>
  <c r="G385" i="44"/>
  <c r="G385" i="43"/>
  <c r="H385" i="48"/>
  <c r="I385" i="48" s="1"/>
  <c r="J385" i="48" s="1"/>
  <c r="K385" i="48" s="1"/>
  <c r="L385" i="48" s="1"/>
  <c r="M385" i="48" s="1"/>
  <c r="N385" i="48" s="1"/>
  <c r="O385" i="48" s="1"/>
  <c r="P385" i="48" s="1"/>
  <c r="Q385" i="48" s="1"/>
  <c r="R385" i="48" s="1"/>
  <c r="S385" i="48" s="1"/>
  <c r="H385" i="47"/>
  <c r="I385" i="47" s="1"/>
  <c r="J385" i="47" s="1"/>
  <c r="K385" i="47" s="1"/>
  <c r="L385" i="47" s="1"/>
  <c r="M385" i="47" s="1"/>
  <c r="N385" i="47" s="1"/>
  <c r="O385" i="47" s="1"/>
  <c r="P385" i="47" s="1"/>
  <c r="Q385" i="47" s="1"/>
  <c r="R385" i="47" s="1"/>
  <c r="S385" i="47" s="1"/>
  <c r="H385" i="46"/>
  <c r="I385" i="46" s="1"/>
  <c r="J385" i="46" s="1"/>
  <c r="K385" i="46" s="1"/>
  <c r="L385" i="46" s="1"/>
  <c r="M385" i="46" s="1"/>
  <c r="N385" i="46" s="1"/>
  <c r="O385" i="46" s="1"/>
  <c r="P385" i="46" s="1"/>
  <c r="Q385" i="46" s="1"/>
  <c r="R385" i="46" s="1"/>
  <c r="S385" i="46" s="1"/>
  <c r="H385" i="45"/>
  <c r="I385" i="45" s="1"/>
  <c r="J385" i="45" s="1"/>
  <c r="K385" i="45" s="1"/>
  <c r="L385" i="45" s="1"/>
  <c r="M385" i="45" s="1"/>
  <c r="N385" i="45" s="1"/>
  <c r="O385" i="45" s="1"/>
  <c r="P385" i="45" s="1"/>
  <c r="Q385" i="45" s="1"/>
  <c r="R385" i="45" s="1"/>
  <c r="S385" i="45" s="1"/>
  <c r="H385" i="44"/>
  <c r="I385" i="44" s="1"/>
  <c r="J385" i="44" s="1"/>
  <c r="K385" i="44" s="1"/>
  <c r="L385" i="44" s="1"/>
  <c r="M385" i="44" s="1"/>
  <c r="N385" i="44" s="1"/>
  <c r="O385" i="44" s="1"/>
  <c r="P385" i="44" s="1"/>
  <c r="Q385" i="44" s="1"/>
  <c r="R385" i="44" s="1"/>
  <c r="S385" i="44" s="1"/>
  <c r="H385" i="43"/>
  <c r="I385" i="43" s="1"/>
  <c r="J385" i="43" s="1"/>
  <c r="K385" i="43" s="1"/>
  <c r="L385" i="43" s="1"/>
  <c r="M385" i="43" s="1"/>
  <c r="N385" i="43" s="1"/>
  <c r="O385" i="43" s="1"/>
  <c r="P385" i="43" s="1"/>
  <c r="Q385" i="43" s="1"/>
  <c r="R385" i="43" s="1"/>
  <c r="S385" i="43" s="1"/>
  <c r="H388" i="48"/>
  <c r="I388" i="48" s="1"/>
  <c r="J388" i="48" s="1"/>
  <c r="K388" i="48" s="1"/>
  <c r="L388" i="48" s="1"/>
  <c r="M388" i="48" s="1"/>
  <c r="N388" i="48" s="1"/>
  <c r="O388" i="48" s="1"/>
  <c r="P388" i="48" s="1"/>
  <c r="Q388" i="48" s="1"/>
  <c r="R388" i="48" s="1"/>
  <c r="S388" i="48" s="1"/>
  <c r="H388" i="47"/>
  <c r="I388" i="47" s="1"/>
  <c r="J388" i="47" s="1"/>
  <c r="K388" i="47" s="1"/>
  <c r="L388" i="47" s="1"/>
  <c r="M388" i="47" s="1"/>
  <c r="N388" i="47" s="1"/>
  <c r="O388" i="47" s="1"/>
  <c r="P388" i="47" s="1"/>
  <c r="Q388" i="47" s="1"/>
  <c r="R388" i="47" s="1"/>
  <c r="S388" i="47" s="1"/>
  <c r="H388" i="46"/>
  <c r="I388" i="46" s="1"/>
  <c r="J388" i="46" s="1"/>
  <c r="K388" i="46" s="1"/>
  <c r="L388" i="46" s="1"/>
  <c r="M388" i="46" s="1"/>
  <c r="N388" i="46" s="1"/>
  <c r="O388" i="46" s="1"/>
  <c r="P388" i="46" s="1"/>
  <c r="Q388" i="46" s="1"/>
  <c r="R388" i="46" s="1"/>
  <c r="S388" i="46" s="1"/>
  <c r="H388" i="45"/>
  <c r="I388" i="45" s="1"/>
  <c r="J388" i="45" s="1"/>
  <c r="K388" i="45" s="1"/>
  <c r="L388" i="45" s="1"/>
  <c r="M388" i="45" s="1"/>
  <c r="N388" i="45" s="1"/>
  <c r="O388" i="45" s="1"/>
  <c r="P388" i="45" s="1"/>
  <c r="Q388" i="45" s="1"/>
  <c r="R388" i="45" s="1"/>
  <c r="S388" i="45" s="1"/>
  <c r="H388" i="44"/>
  <c r="I388" i="44" s="1"/>
  <c r="J388" i="44" s="1"/>
  <c r="K388" i="44" s="1"/>
  <c r="L388" i="44" s="1"/>
  <c r="M388" i="44" s="1"/>
  <c r="N388" i="44" s="1"/>
  <c r="O388" i="44" s="1"/>
  <c r="P388" i="44" s="1"/>
  <c r="Q388" i="44" s="1"/>
  <c r="R388" i="44" s="1"/>
  <c r="S388" i="44" s="1"/>
  <c r="H388" i="43"/>
  <c r="I388" i="43" s="1"/>
  <c r="J388" i="43" s="1"/>
  <c r="K388" i="43" s="1"/>
  <c r="L388" i="43" s="1"/>
  <c r="M388" i="43" s="1"/>
  <c r="N388" i="43" s="1"/>
  <c r="O388" i="43" s="1"/>
  <c r="P388" i="43" s="1"/>
  <c r="Q388" i="43" s="1"/>
  <c r="R388" i="43" s="1"/>
  <c r="S388" i="43" s="1"/>
  <c r="G386" i="48"/>
  <c r="G386" i="47"/>
  <c r="G386" i="46"/>
  <c r="G386" i="45"/>
  <c r="G386" i="44"/>
  <c r="G386" i="43"/>
  <c r="F396" i="48"/>
  <c r="F396" i="47"/>
  <c r="F396" i="46"/>
  <c r="F396" i="45"/>
  <c r="F396" i="44"/>
  <c r="F396" i="43"/>
  <c r="G387" i="48"/>
  <c r="G387" i="47"/>
  <c r="G387" i="46"/>
  <c r="G387" i="45"/>
  <c r="G387" i="44"/>
  <c r="G387" i="43"/>
  <c r="G384" i="48"/>
  <c r="G384" i="47"/>
  <c r="G384" i="46"/>
  <c r="G384" i="45"/>
  <c r="G384" i="44"/>
  <c r="G384" i="43"/>
  <c r="H384" i="48"/>
  <c r="I384" i="48" s="1"/>
  <c r="J384" i="48" s="1"/>
  <c r="K384" i="48" s="1"/>
  <c r="L384" i="48" s="1"/>
  <c r="M384" i="48" s="1"/>
  <c r="N384" i="48" s="1"/>
  <c r="O384" i="48" s="1"/>
  <c r="P384" i="48" s="1"/>
  <c r="Q384" i="48" s="1"/>
  <c r="R384" i="48" s="1"/>
  <c r="S384" i="48" s="1"/>
  <c r="H384" i="47"/>
  <c r="I384" i="47" s="1"/>
  <c r="J384" i="47" s="1"/>
  <c r="K384" i="47" s="1"/>
  <c r="L384" i="47" s="1"/>
  <c r="M384" i="47" s="1"/>
  <c r="N384" i="47" s="1"/>
  <c r="O384" i="47" s="1"/>
  <c r="P384" i="47" s="1"/>
  <c r="Q384" i="47" s="1"/>
  <c r="R384" i="47" s="1"/>
  <c r="S384" i="47" s="1"/>
  <c r="H384" i="46"/>
  <c r="I384" i="46" s="1"/>
  <c r="J384" i="46" s="1"/>
  <c r="K384" i="46" s="1"/>
  <c r="L384" i="46" s="1"/>
  <c r="M384" i="46" s="1"/>
  <c r="N384" i="46" s="1"/>
  <c r="O384" i="46" s="1"/>
  <c r="P384" i="46" s="1"/>
  <c r="Q384" i="46" s="1"/>
  <c r="R384" i="46" s="1"/>
  <c r="S384" i="46" s="1"/>
  <c r="H384" i="45"/>
  <c r="I384" i="45" s="1"/>
  <c r="J384" i="45" s="1"/>
  <c r="K384" i="45" s="1"/>
  <c r="L384" i="45" s="1"/>
  <c r="M384" i="45" s="1"/>
  <c r="N384" i="45" s="1"/>
  <c r="O384" i="45" s="1"/>
  <c r="P384" i="45" s="1"/>
  <c r="Q384" i="45" s="1"/>
  <c r="R384" i="45" s="1"/>
  <c r="S384" i="45" s="1"/>
  <c r="H384" i="44"/>
  <c r="I384" i="44" s="1"/>
  <c r="J384" i="44" s="1"/>
  <c r="K384" i="44" s="1"/>
  <c r="L384" i="44" s="1"/>
  <c r="M384" i="44" s="1"/>
  <c r="N384" i="44" s="1"/>
  <c r="O384" i="44" s="1"/>
  <c r="P384" i="44" s="1"/>
  <c r="Q384" i="44" s="1"/>
  <c r="R384" i="44" s="1"/>
  <c r="S384" i="44" s="1"/>
  <c r="H384" i="43"/>
  <c r="I384" i="43" s="1"/>
  <c r="J384" i="43" s="1"/>
  <c r="K384" i="43" s="1"/>
  <c r="L384" i="43" s="1"/>
  <c r="M384" i="43" s="1"/>
  <c r="N384" i="43" s="1"/>
  <c r="O384" i="43" s="1"/>
  <c r="P384" i="43" s="1"/>
  <c r="Q384" i="43" s="1"/>
  <c r="R384" i="43" s="1"/>
  <c r="S384" i="43" s="1"/>
  <c r="H386" i="48"/>
  <c r="I386" i="48" s="1"/>
  <c r="J386" i="48" s="1"/>
  <c r="K386" i="48" s="1"/>
  <c r="L386" i="48" s="1"/>
  <c r="M386" i="48" s="1"/>
  <c r="N386" i="48" s="1"/>
  <c r="O386" i="48" s="1"/>
  <c r="P386" i="48" s="1"/>
  <c r="Q386" i="48" s="1"/>
  <c r="R386" i="48" s="1"/>
  <c r="S386" i="48" s="1"/>
  <c r="H386" i="47"/>
  <c r="I386" i="47" s="1"/>
  <c r="J386" i="47" s="1"/>
  <c r="K386" i="47" s="1"/>
  <c r="L386" i="47" s="1"/>
  <c r="M386" i="47" s="1"/>
  <c r="N386" i="47" s="1"/>
  <c r="O386" i="47" s="1"/>
  <c r="P386" i="47" s="1"/>
  <c r="Q386" i="47" s="1"/>
  <c r="R386" i="47" s="1"/>
  <c r="S386" i="47" s="1"/>
  <c r="H386" i="46"/>
  <c r="I386" i="46" s="1"/>
  <c r="J386" i="46" s="1"/>
  <c r="K386" i="46" s="1"/>
  <c r="L386" i="46" s="1"/>
  <c r="M386" i="46" s="1"/>
  <c r="N386" i="46" s="1"/>
  <c r="O386" i="46" s="1"/>
  <c r="P386" i="46" s="1"/>
  <c r="Q386" i="46" s="1"/>
  <c r="R386" i="46" s="1"/>
  <c r="S386" i="46" s="1"/>
  <c r="H386" i="45"/>
  <c r="I386" i="45" s="1"/>
  <c r="J386" i="45" s="1"/>
  <c r="K386" i="45" s="1"/>
  <c r="L386" i="45" s="1"/>
  <c r="M386" i="45" s="1"/>
  <c r="N386" i="45" s="1"/>
  <c r="O386" i="45" s="1"/>
  <c r="P386" i="45" s="1"/>
  <c r="Q386" i="45" s="1"/>
  <c r="R386" i="45" s="1"/>
  <c r="S386" i="45" s="1"/>
  <c r="H386" i="44"/>
  <c r="I386" i="44" s="1"/>
  <c r="J386" i="44" s="1"/>
  <c r="K386" i="44" s="1"/>
  <c r="L386" i="44" s="1"/>
  <c r="M386" i="44" s="1"/>
  <c r="N386" i="44" s="1"/>
  <c r="O386" i="44" s="1"/>
  <c r="P386" i="44" s="1"/>
  <c r="Q386" i="44" s="1"/>
  <c r="R386" i="44" s="1"/>
  <c r="S386" i="44" s="1"/>
  <c r="H386" i="43"/>
  <c r="I386" i="43" s="1"/>
  <c r="J386" i="43" s="1"/>
  <c r="K386" i="43" s="1"/>
  <c r="L386" i="43" s="1"/>
  <c r="M386" i="43" s="1"/>
  <c r="N386" i="43" s="1"/>
  <c r="O386" i="43" s="1"/>
  <c r="P386" i="43" s="1"/>
  <c r="Q386" i="43" s="1"/>
  <c r="R386" i="43" s="1"/>
  <c r="S386" i="43" s="1"/>
  <c r="H387" i="48"/>
  <c r="I387" i="48" s="1"/>
  <c r="J387" i="48" s="1"/>
  <c r="K387" i="48" s="1"/>
  <c r="L387" i="48" s="1"/>
  <c r="M387" i="48" s="1"/>
  <c r="N387" i="48" s="1"/>
  <c r="O387" i="48" s="1"/>
  <c r="P387" i="48" s="1"/>
  <c r="Q387" i="48" s="1"/>
  <c r="R387" i="48" s="1"/>
  <c r="S387" i="48" s="1"/>
  <c r="H387" i="47"/>
  <c r="I387" i="47" s="1"/>
  <c r="J387" i="47" s="1"/>
  <c r="K387" i="47" s="1"/>
  <c r="L387" i="47" s="1"/>
  <c r="M387" i="47" s="1"/>
  <c r="N387" i="47" s="1"/>
  <c r="O387" i="47" s="1"/>
  <c r="P387" i="47" s="1"/>
  <c r="Q387" i="47" s="1"/>
  <c r="R387" i="47" s="1"/>
  <c r="S387" i="47" s="1"/>
  <c r="H387" i="46"/>
  <c r="I387" i="46" s="1"/>
  <c r="J387" i="46" s="1"/>
  <c r="K387" i="46" s="1"/>
  <c r="L387" i="46" s="1"/>
  <c r="M387" i="46" s="1"/>
  <c r="N387" i="46" s="1"/>
  <c r="O387" i="46" s="1"/>
  <c r="P387" i="46" s="1"/>
  <c r="Q387" i="46" s="1"/>
  <c r="R387" i="46" s="1"/>
  <c r="S387" i="46" s="1"/>
  <c r="H387" i="45"/>
  <c r="I387" i="45" s="1"/>
  <c r="J387" i="45" s="1"/>
  <c r="K387" i="45" s="1"/>
  <c r="L387" i="45" s="1"/>
  <c r="M387" i="45" s="1"/>
  <c r="N387" i="45" s="1"/>
  <c r="O387" i="45" s="1"/>
  <c r="P387" i="45" s="1"/>
  <c r="Q387" i="45" s="1"/>
  <c r="R387" i="45" s="1"/>
  <c r="S387" i="45" s="1"/>
  <c r="H387" i="44"/>
  <c r="I387" i="44" s="1"/>
  <c r="J387" i="44" s="1"/>
  <c r="K387" i="44" s="1"/>
  <c r="L387" i="44" s="1"/>
  <c r="M387" i="44" s="1"/>
  <c r="N387" i="44" s="1"/>
  <c r="O387" i="44" s="1"/>
  <c r="P387" i="44" s="1"/>
  <c r="Q387" i="44" s="1"/>
  <c r="R387" i="44" s="1"/>
  <c r="S387" i="44" s="1"/>
  <c r="H387" i="43"/>
  <c r="I387" i="43" s="1"/>
  <c r="J387" i="43" s="1"/>
  <c r="K387" i="43" s="1"/>
  <c r="L387" i="43" s="1"/>
  <c r="M387" i="43" s="1"/>
  <c r="N387" i="43" s="1"/>
  <c r="O387" i="43" s="1"/>
  <c r="P387" i="43" s="1"/>
  <c r="Q387" i="43" s="1"/>
  <c r="R387" i="43" s="1"/>
  <c r="S387" i="43" s="1"/>
  <c r="E394" i="48"/>
  <c r="E394" i="47"/>
  <c r="E394" i="46"/>
  <c r="E394" i="45"/>
  <c r="E394" i="44"/>
  <c r="E394" i="43"/>
  <c r="E398" i="48"/>
  <c r="E398" i="47"/>
  <c r="E398" i="46"/>
  <c r="E398" i="45"/>
  <c r="E398" i="44"/>
  <c r="E398" i="43"/>
  <c r="G388" i="48"/>
  <c r="G388" i="47"/>
  <c r="G388" i="46"/>
  <c r="G388" i="45"/>
  <c r="G388" i="44"/>
  <c r="G388" i="43"/>
  <c r="F393" i="48"/>
  <c r="F393" i="47"/>
  <c r="F393" i="46"/>
  <c r="F393" i="45"/>
  <c r="F393" i="44"/>
  <c r="F393" i="43"/>
  <c r="C407" i="48"/>
  <c r="C407" i="47"/>
  <c r="C407" i="46"/>
  <c r="C407" i="45"/>
  <c r="C407" i="44"/>
  <c r="C407" i="43"/>
  <c r="C409" i="48"/>
  <c r="C409" i="47"/>
  <c r="C409" i="45"/>
  <c r="C409" i="46"/>
  <c r="C409" i="44"/>
  <c r="C409" i="43"/>
  <c r="C408" i="48"/>
  <c r="C408" i="47"/>
  <c r="C408" i="45"/>
  <c r="C408" i="46"/>
  <c r="C408" i="44"/>
  <c r="C408" i="43"/>
  <c r="C405" i="48"/>
  <c r="C405" i="47"/>
  <c r="C405" i="46"/>
  <c r="C405" i="45"/>
  <c r="C405" i="44"/>
  <c r="C405" i="43"/>
  <c r="D400" i="48"/>
  <c r="D400" i="47"/>
  <c r="D400" i="46"/>
  <c r="D400" i="45"/>
  <c r="D400" i="44"/>
  <c r="D400" i="43"/>
  <c r="D399" i="48"/>
  <c r="D399" i="47"/>
  <c r="D399" i="46"/>
  <c r="D399" i="45"/>
  <c r="D399" i="44"/>
  <c r="D399" i="43"/>
  <c r="D404" i="48"/>
  <c r="D404" i="46"/>
  <c r="D404" i="47"/>
  <c r="D404" i="45"/>
  <c r="D404" i="44"/>
  <c r="D404" i="43"/>
  <c r="D401" i="48"/>
  <c r="D401" i="47"/>
  <c r="D401" i="46"/>
  <c r="D401" i="45"/>
  <c r="D401" i="44"/>
  <c r="D401" i="43"/>
  <c r="D406" i="48"/>
  <c r="D406" i="47"/>
  <c r="D406" i="46"/>
  <c r="D406" i="45"/>
  <c r="D406" i="44"/>
  <c r="D406" i="43"/>
  <c r="D402" i="48"/>
  <c r="D402" i="47"/>
  <c r="D402" i="46"/>
  <c r="D402" i="45"/>
  <c r="D402" i="44"/>
  <c r="D402" i="43"/>
  <c r="D403" i="48"/>
  <c r="D403" i="47"/>
  <c r="D403" i="46"/>
  <c r="D403" i="45"/>
  <c r="D403" i="44"/>
  <c r="D403" i="43"/>
  <c r="E402" i="48" l="1"/>
  <c r="E402" i="47"/>
  <c r="E402" i="46"/>
  <c r="E402" i="45"/>
  <c r="E402" i="44"/>
  <c r="E402" i="43"/>
  <c r="G390" i="48"/>
  <c r="G390" i="47"/>
  <c r="G390" i="46"/>
  <c r="G390" i="45"/>
  <c r="G390" i="44"/>
  <c r="G390" i="43"/>
  <c r="H389" i="48"/>
  <c r="I389" i="48" s="1"/>
  <c r="J389" i="48" s="1"/>
  <c r="K389" i="48" s="1"/>
  <c r="L389" i="48" s="1"/>
  <c r="M389" i="48" s="1"/>
  <c r="N389" i="48" s="1"/>
  <c r="O389" i="48" s="1"/>
  <c r="P389" i="48" s="1"/>
  <c r="Q389" i="48" s="1"/>
  <c r="R389" i="48" s="1"/>
  <c r="S389" i="48" s="1"/>
  <c r="H389" i="47"/>
  <c r="I389" i="47" s="1"/>
  <c r="J389" i="47" s="1"/>
  <c r="K389" i="47" s="1"/>
  <c r="L389" i="47" s="1"/>
  <c r="M389" i="47" s="1"/>
  <c r="N389" i="47" s="1"/>
  <c r="O389" i="47" s="1"/>
  <c r="P389" i="47" s="1"/>
  <c r="Q389" i="47" s="1"/>
  <c r="R389" i="47" s="1"/>
  <c r="S389" i="47" s="1"/>
  <c r="H389" i="46"/>
  <c r="I389" i="46" s="1"/>
  <c r="J389" i="46" s="1"/>
  <c r="K389" i="46" s="1"/>
  <c r="L389" i="46" s="1"/>
  <c r="M389" i="46" s="1"/>
  <c r="N389" i="46" s="1"/>
  <c r="O389" i="46" s="1"/>
  <c r="P389" i="46" s="1"/>
  <c r="Q389" i="46" s="1"/>
  <c r="R389" i="46" s="1"/>
  <c r="S389" i="46" s="1"/>
  <c r="H389" i="45"/>
  <c r="I389" i="45" s="1"/>
  <c r="J389" i="45" s="1"/>
  <c r="K389" i="45" s="1"/>
  <c r="L389" i="45" s="1"/>
  <c r="M389" i="45" s="1"/>
  <c r="N389" i="45" s="1"/>
  <c r="O389" i="45" s="1"/>
  <c r="P389" i="45" s="1"/>
  <c r="Q389" i="45" s="1"/>
  <c r="R389" i="45" s="1"/>
  <c r="S389" i="45" s="1"/>
  <c r="H389" i="44"/>
  <c r="I389" i="44" s="1"/>
  <c r="J389" i="44" s="1"/>
  <c r="K389" i="44" s="1"/>
  <c r="L389" i="44" s="1"/>
  <c r="M389" i="44" s="1"/>
  <c r="N389" i="44" s="1"/>
  <c r="O389" i="44" s="1"/>
  <c r="P389" i="44" s="1"/>
  <c r="Q389" i="44" s="1"/>
  <c r="R389" i="44" s="1"/>
  <c r="S389" i="44" s="1"/>
  <c r="H389" i="43"/>
  <c r="I389" i="43" s="1"/>
  <c r="J389" i="43" s="1"/>
  <c r="K389" i="43" s="1"/>
  <c r="L389" i="43" s="1"/>
  <c r="M389" i="43" s="1"/>
  <c r="N389" i="43" s="1"/>
  <c r="O389" i="43" s="1"/>
  <c r="P389" i="43" s="1"/>
  <c r="Q389" i="43" s="1"/>
  <c r="R389" i="43" s="1"/>
  <c r="S389" i="43" s="1"/>
  <c r="H392" i="48"/>
  <c r="I392" i="48" s="1"/>
  <c r="J392" i="48" s="1"/>
  <c r="K392" i="48" s="1"/>
  <c r="L392" i="48" s="1"/>
  <c r="M392" i="48" s="1"/>
  <c r="N392" i="48" s="1"/>
  <c r="O392" i="48" s="1"/>
  <c r="P392" i="48" s="1"/>
  <c r="Q392" i="48" s="1"/>
  <c r="R392" i="48" s="1"/>
  <c r="S392" i="48" s="1"/>
  <c r="H392" i="47"/>
  <c r="I392" i="47" s="1"/>
  <c r="J392" i="47" s="1"/>
  <c r="K392" i="47" s="1"/>
  <c r="L392" i="47" s="1"/>
  <c r="M392" i="47" s="1"/>
  <c r="N392" i="47" s="1"/>
  <c r="O392" i="47" s="1"/>
  <c r="P392" i="47" s="1"/>
  <c r="Q392" i="47" s="1"/>
  <c r="R392" i="47" s="1"/>
  <c r="S392" i="47" s="1"/>
  <c r="H392" i="46"/>
  <c r="I392" i="46" s="1"/>
  <c r="J392" i="46" s="1"/>
  <c r="K392" i="46" s="1"/>
  <c r="L392" i="46" s="1"/>
  <c r="M392" i="46" s="1"/>
  <c r="N392" i="46" s="1"/>
  <c r="O392" i="46" s="1"/>
  <c r="P392" i="46" s="1"/>
  <c r="Q392" i="46" s="1"/>
  <c r="R392" i="46" s="1"/>
  <c r="S392" i="46" s="1"/>
  <c r="H392" i="45"/>
  <c r="I392" i="45" s="1"/>
  <c r="J392" i="45" s="1"/>
  <c r="K392" i="45" s="1"/>
  <c r="L392" i="45" s="1"/>
  <c r="M392" i="45" s="1"/>
  <c r="N392" i="45" s="1"/>
  <c r="O392" i="45" s="1"/>
  <c r="P392" i="45" s="1"/>
  <c r="Q392" i="45" s="1"/>
  <c r="R392" i="45" s="1"/>
  <c r="S392" i="45" s="1"/>
  <c r="H392" i="44"/>
  <c r="I392" i="44" s="1"/>
  <c r="J392" i="44" s="1"/>
  <c r="K392" i="44" s="1"/>
  <c r="L392" i="44" s="1"/>
  <c r="M392" i="44" s="1"/>
  <c r="N392" i="44" s="1"/>
  <c r="O392" i="44" s="1"/>
  <c r="P392" i="44" s="1"/>
  <c r="Q392" i="44" s="1"/>
  <c r="R392" i="44" s="1"/>
  <c r="S392" i="44" s="1"/>
  <c r="H392" i="43"/>
  <c r="I392" i="43" s="1"/>
  <c r="J392" i="43" s="1"/>
  <c r="K392" i="43" s="1"/>
  <c r="L392" i="43" s="1"/>
  <c r="M392" i="43" s="1"/>
  <c r="N392" i="43" s="1"/>
  <c r="O392" i="43" s="1"/>
  <c r="P392" i="43" s="1"/>
  <c r="Q392" i="43" s="1"/>
  <c r="R392" i="43" s="1"/>
  <c r="S392" i="43" s="1"/>
  <c r="F398" i="48"/>
  <c r="F398" i="47"/>
  <c r="F398" i="46"/>
  <c r="F398" i="45"/>
  <c r="F398" i="44"/>
  <c r="F398" i="43"/>
  <c r="G396" i="48"/>
  <c r="G396" i="47"/>
  <c r="G396" i="46"/>
  <c r="G396" i="45"/>
  <c r="G396" i="44"/>
  <c r="G396" i="43"/>
  <c r="E399" i="48"/>
  <c r="E399" i="47"/>
  <c r="E399" i="46"/>
  <c r="E399" i="45"/>
  <c r="E399" i="44"/>
  <c r="E399" i="43"/>
  <c r="E404" i="48"/>
  <c r="E404" i="47"/>
  <c r="E404" i="46"/>
  <c r="E404" i="45"/>
  <c r="E404" i="44"/>
  <c r="E404" i="43"/>
  <c r="F394" i="48"/>
  <c r="F394" i="47"/>
  <c r="F394" i="46"/>
  <c r="F394" i="45"/>
  <c r="F394" i="44"/>
  <c r="F394" i="43"/>
  <c r="E400" i="48"/>
  <c r="E400" i="47"/>
  <c r="E400" i="46"/>
  <c r="E400" i="45"/>
  <c r="E400" i="44"/>
  <c r="E400" i="43"/>
  <c r="E401" i="48"/>
  <c r="E401" i="47"/>
  <c r="E401" i="46"/>
  <c r="E401" i="45"/>
  <c r="E401" i="44"/>
  <c r="E401" i="43"/>
  <c r="G392" i="48"/>
  <c r="G392" i="47"/>
  <c r="G392" i="46"/>
  <c r="G392" i="45"/>
  <c r="G392" i="44"/>
  <c r="G392" i="43"/>
  <c r="F397" i="48"/>
  <c r="F397" i="47"/>
  <c r="F397" i="46"/>
  <c r="F397" i="45"/>
  <c r="F397" i="44"/>
  <c r="F397" i="43"/>
  <c r="G389" i="48"/>
  <c r="G389" i="47"/>
  <c r="G389" i="46"/>
  <c r="G389" i="45"/>
  <c r="G389" i="44"/>
  <c r="G389" i="43"/>
  <c r="F395" i="48"/>
  <c r="F395" i="47"/>
  <c r="F395" i="46"/>
  <c r="F395" i="45"/>
  <c r="F395" i="44"/>
  <c r="F395" i="43"/>
  <c r="E406" i="48"/>
  <c r="E406" i="47"/>
  <c r="E406" i="46"/>
  <c r="E406" i="45"/>
  <c r="E406" i="44"/>
  <c r="E406" i="43"/>
  <c r="G393" i="48"/>
  <c r="G393" i="47"/>
  <c r="G393" i="46"/>
  <c r="G393" i="45"/>
  <c r="G393" i="44"/>
  <c r="G393" i="43"/>
  <c r="E403" i="48"/>
  <c r="E403" i="47"/>
  <c r="E403" i="46"/>
  <c r="E403" i="45"/>
  <c r="E403" i="44"/>
  <c r="E403" i="43"/>
  <c r="G391" i="48"/>
  <c r="G391" i="47"/>
  <c r="G391" i="46"/>
  <c r="G391" i="45"/>
  <c r="G391" i="44"/>
  <c r="G391" i="43"/>
  <c r="H393" i="48"/>
  <c r="I393" i="48" s="1"/>
  <c r="J393" i="48" s="1"/>
  <c r="K393" i="48" s="1"/>
  <c r="L393" i="48" s="1"/>
  <c r="M393" i="48" s="1"/>
  <c r="N393" i="48" s="1"/>
  <c r="O393" i="48" s="1"/>
  <c r="P393" i="48" s="1"/>
  <c r="Q393" i="48" s="1"/>
  <c r="R393" i="48" s="1"/>
  <c r="S393" i="48" s="1"/>
  <c r="H393" i="47"/>
  <c r="I393" i="47" s="1"/>
  <c r="J393" i="47" s="1"/>
  <c r="K393" i="47" s="1"/>
  <c r="L393" i="47" s="1"/>
  <c r="M393" i="47" s="1"/>
  <c r="N393" i="47" s="1"/>
  <c r="O393" i="47" s="1"/>
  <c r="P393" i="47" s="1"/>
  <c r="Q393" i="47" s="1"/>
  <c r="R393" i="47" s="1"/>
  <c r="S393" i="47" s="1"/>
  <c r="H393" i="46"/>
  <c r="I393" i="46" s="1"/>
  <c r="J393" i="46" s="1"/>
  <c r="K393" i="46" s="1"/>
  <c r="L393" i="46" s="1"/>
  <c r="M393" i="46" s="1"/>
  <c r="N393" i="46" s="1"/>
  <c r="O393" i="46" s="1"/>
  <c r="P393" i="46" s="1"/>
  <c r="Q393" i="46" s="1"/>
  <c r="R393" i="46" s="1"/>
  <c r="S393" i="46" s="1"/>
  <c r="H393" i="45"/>
  <c r="I393" i="45" s="1"/>
  <c r="J393" i="45" s="1"/>
  <c r="K393" i="45" s="1"/>
  <c r="L393" i="45" s="1"/>
  <c r="M393" i="45" s="1"/>
  <c r="N393" i="45" s="1"/>
  <c r="O393" i="45" s="1"/>
  <c r="P393" i="45" s="1"/>
  <c r="Q393" i="45" s="1"/>
  <c r="R393" i="45" s="1"/>
  <c r="S393" i="45" s="1"/>
  <c r="H393" i="44"/>
  <c r="I393" i="44" s="1"/>
  <c r="J393" i="44" s="1"/>
  <c r="K393" i="44" s="1"/>
  <c r="L393" i="44" s="1"/>
  <c r="M393" i="44" s="1"/>
  <c r="N393" i="44" s="1"/>
  <c r="O393" i="44" s="1"/>
  <c r="P393" i="44" s="1"/>
  <c r="Q393" i="44" s="1"/>
  <c r="R393" i="44" s="1"/>
  <c r="S393" i="44" s="1"/>
  <c r="H393" i="43"/>
  <c r="I393" i="43" s="1"/>
  <c r="J393" i="43" s="1"/>
  <c r="K393" i="43" s="1"/>
  <c r="L393" i="43" s="1"/>
  <c r="M393" i="43" s="1"/>
  <c r="N393" i="43" s="1"/>
  <c r="O393" i="43" s="1"/>
  <c r="P393" i="43" s="1"/>
  <c r="Q393" i="43" s="1"/>
  <c r="R393" i="43" s="1"/>
  <c r="S393" i="43" s="1"/>
  <c r="H391" i="48"/>
  <c r="I391" i="48" s="1"/>
  <c r="J391" i="48" s="1"/>
  <c r="K391" i="48" s="1"/>
  <c r="L391" i="48" s="1"/>
  <c r="M391" i="48" s="1"/>
  <c r="N391" i="48" s="1"/>
  <c r="O391" i="48" s="1"/>
  <c r="P391" i="48" s="1"/>
  <c r="Q391" i="48" s="1"/>
  <c r="R391" i="48" s="1"/>
  <c r="S391" i="48" s="1"/>
  <c r="H391" i="47"/>
  <c r="I391" i="47" s="1"/>
  <c r="J391" i="47" s="1"/>
  <c r="K391" i="47" s="1"/>
  <c r="L391" i="47" s="1"/>
  <c r="M391" i="47" s="1"/>
  <c r="N391" i="47" s="1"/>
  <c r="O391" i="47" s="1"/>
  <c r="P391" i="47" s="1"/>
  <c r="Q391" i="47" s="1"/>
  <c r="R391" i="47" s="1"/>
  <c r="S391" i="47" s="1"/>
  <c r="H391" i="46"/>
  <c r="I391" i="46" s="1"/>
  <c r="J391" i="46" s="1"/>
  <c r="K391" i="46" s="1"/>
  <c r="L391" i="46" s="1"/>
  <c r="M391" i="46" s="1"/>
  <c r="N391" i="46" s="1"/>
  <c r="O391" i="46" s="1"/>
  <c r="P391" i="46" s="1"/>
  <c r="Q391" i="46" s="1"/>
  <c r="R391" i="46" s="1"/>
  <c r="S391" i="46" s="1"/>
  <c r="H391" i="45"/>
  <c r="I391" i="45" s="1"/>
  <c r="J391" i="45" s="1"/>
  <c r="K391" i="45" s="1"/>
  <c r="L391" i="45" s="1"/>
  <c r="M391" i="45" s="1"/>
  <c r="N391" i="45" s="1"/>
  <c r="O391" i="45" s="1"/>
  <c r="P391" i="45" s="1"/>
  <c r="Q391" i="45" s="1"/>
  <c r="R391" i="45" s="1"/>
  <c r="S391" i="45" s="1"/>
  <c r="H391" i="44"/>
  <c r="I391" i="44" s="1"/>
  <c r="J391" i="44" s="1"/>
  <c r="K391" i="44" s="1"/>
  <c r="L391" i="44" s="1"/>
  <c r="M391" i="44" s="1"/>
  <c r="N391" i="44" s="1"/>
  <c r="O391" i="44" s="1"/>
  <c r="P391" i="44" s="1"/>
  <c r="Q391" i="44" s="1"/>
  <c r="R391" i="44" s="1"/>
  <c r="S391" i="44" s="1"/>
  <c r="H391" i="43"/>
  <c r="I391" i="43" s="1"/>
  <c r="J391" i="43" s="1"/>
  <c r="K391" i="43" s="1"/>
  <c r="L391" i="43" s="1"/>
  <c r="M391" i="43" s="1"/>
  <c r="N391" i="43" s="1"/>
  <c r="O391" i="43" s="1"/>
  <c r="P391" i="43" s="1"/>
  <c r="Q391" i="43" s="1"/>
  <c r="R391" i="43" s="1"/>
  <c r="S391" i="43" s="1"/>
  <c r="H396" i="48"/>
  <c r="I396" i="48" s="1"/>
  <c r="J396" i="48" s="1"/>
  <c r="K396" i="48" s="1"/>
  <c r="L396" i="48" s="1"/>
  <c r="M396" i="48" s="1"/>
  <c r="N396" i="48" s="1"/>
  <c r="O396" i="48" s="1"/>
  <c r="P396" i="48" s="1"/>
  <c r="Q396" i="48" s="1"/>
  <c r="R396" i="48" s="1"/>
  <c r="S396" i="48" s="1"/>
  <c r="H396" i="47"/>
  <c r="I396" i="47" s="1"/>
  <c r="J396" i="47" s="1"/>
  <c r="K396" i="47" s="1"/>
  <c r="L396" i="47" s="1"/>
  <c r="M396" i="47" s="1"/>
  <c r="N396" i="47" s="1"/>
  <c r="O396" i="47" s="1"/>
  <c r="P396" i="47" s="1"/>
  <c r="Q396" i="47" s="1"/>
  <c r="R396" i="47" s="1"/>
  <c r="S396" i="47" s="1"/>
  <c r="H396" i="46"/>
  <c r="I396" i="46" s="1"/>
  <c r="J396" i="46" s="1"/>
  <c r="K396" i="46" s="1"/>
  <c r="L396" i="46" s="1"/>
  <c r="M396" i="46" s="1"/>
  <c r="N396" i="46" s="1"/>
  <c r="O396" i="46" s="1"/>
  <c r="P396" i="46" s="1"/>
  <c r="Q396" i="46" s="1"/>
  <c r="R396" i="46" s="1"/>
  <c r="S396" i="46" s="1"/>
  <c r="H396" i="45"/>
  <c r="I396" i="45" s="1"/>
  <c r="J396" i="45" s="1"/>
  <c r="K396" i="45" s="1"/>
  <c r="L396" i="45" s="1"/>
  <c r="M396" i="45" s="1"/>
  <c r="N396" i="45" s="1"/>
  <c r="O396" i="45" s="1"/>
  <c r="P396" i="45" s="1"/>
  <c r="Q396" i="45" s="1"/>
  <c r="R396" i="45" s="1"/>
  <c r="S396" i="45" s="1"/>
  <c r="H396" i="44"/>
  <c r="I396" i="44" s="1"/>
  <c r="J396" i="44" s="1"/>
  <c r="K396" i="44" s="1"/>
  <c r="L396" i="44" s="1"/>
  <c r="M396" i="44" s="1"/>
  <c r="N396" i="44" s="1"/>
  <c r="O396" i="44" s="1"/>
  <c r="P396" i="44" s="1"/>
  <c r="Q396" i="44" s="1"/>
  <c r="R396" i="44" s="1"/>
  <c r="S396" i="44" s="1"/>
  <c r="H396" i="43"/>
  <c r="I396" i="43" s="1"/>
  <c r="J396" i="43" s="1"/>
  <c r="K396" i="43" s="1"/>
  <c r="L396" i="43" s="1"/>
  <c r="M396" i="43" s="1"/>
  <c r="N396" i="43" s="1"/>
  <c r="O396" i="43" s="1"/>
  <c r="P396" i="43" s="1"/>
  <c r="Q396" i="43" s="1"/>
  <c r="R396" i="43" s="1"/>
  <c r="S396" i="43" s="1"/>
  <c r="H390" i="48"/>
  <c r="I390" i="48" s="1"/>
  <c r="J390" i="48" s="1"/>
  <c r="K390" i="48" s="1"/>
  <c r="L390" i="48" s="1"/>
  <c r="M390" i="48" s="1"/>
  <c r="N390" i="48" s="1"/>
  <c r="O390" i="48" s="1"/>
  <c r="P390" i="48" s="1"/>
  <c r="Q390" i="48" s="1"/>
  <c r="R390" i="48" s="1"/>
  <c r="S390" i="48" s="1"/>
  <c r="H390" i="47"/>
  <c r="I390" i="47" s="1"/>
  <c r="J390" i="47" s="1"/>
  <c r="K390" i="47" s="1"/>
  <c r="L390" i="47" s="1"/>
  <c r="M390" i="47" s="1"/>
  <c r="N390" i="47" s="1"/>
  <c r="O390" i="47" s="1"/>
  <c r="P390" i="47" s="1"/>
  <c r="Q390" i="47" s="1"/>
  <c r="R390" i="47" s="1"/>
  <c r="S390" i="47" s="1"/>
  <c r="H390" i="46"/>
  <c r="I390" i="46" s="1"/>
  <c r="J390" i="46" s="1"/>
  <c r="K390" i="46" s="1"/>
  <c r="L390" i="46" s="1"/>
  <c r="M390" i="46" s="1"/>
  <c r="N390" i="46" s="1"/>
  <c r="O390" i="46" s="1"/>
  <c r="P390" i="46" s="1"/>
  <c r="Q390" i="46" s="1"/>
  <c r="R390" i="46" s="1"/>
  <c r="S390" i="46" s="1"/>
  <c r="H390" i="45"/>
  <c r="I390" i="45" s="1"/>
  <c r="J390" i="45" s="1"/>
  <c r="K390" i="45" s="1"/>
  <c r="L390" i="45" s="1"/>
  <c r="M390" i="45" s="1"/>
  <c r="N390" i="45" s="1"/>
  <c r="O390" i="45" s="1"/>
  <c r="P390" i="45" s="1"/>
  <c r="Q390" i="45" s="1"/>
  <c r="R390" i="45" s="1"/>
  <c r="S390" i="45" s="1"/>
  <c r="H390" i="44"/>
  <c r="I390" i="44" s="1"/>
  <c r="J390" i="44" s="1"/>
  <c r="K390" i="44" s="1"/>
  <c r="L390" i="44" s="1"/>
  <c r="M390" i="44" s="1"/>
  <c r="N390" i="44" s="1"/>
  <c r="O390" i="44" s="1"/>
  <c r="P390" i="44" s="1"/>
  <c r="Q390" i="44" s="1"/>
  <c r="R390" i="44" s="1"/>
  <c r="S390" i="44" s="1"/>
  <c r="H390" i="43"/>
  <c r="I390" i="43" s="1"/>
  <c r="J390" i="43" s="1"/>
  <c r="K390" i="43" s="1"/>
  <c r="L390" i="43" s="1"/>
  <c r="M390" i="43" s="1"/>
  <c r="N390" i="43" s="1"/>
  <c r="O390" i="43" s="1"/>
  <c r="P390" i="43" s="1"/>
  <c r="Q390" i="43" s="1"/>
  <c r="R390" i="43" s="1"/>
  <c r="S390" i="43" s="1"/>
  <c r="C412" i="48"/>
  <c r="C412" i="47"/>
  <c r="C412" i="46"/>
  <c r="C412" i="45"/>
  <c r="C412" i="44"/>
  <c r="C412" i="43"/>
  <c r="C410" i="47"/>
  <c r="C410" i="48"/>
  <c r="C410" i="46"/>
  <c r="C410" i="45"/>
  <c r="C410" i="44"/>
  <c r="C410" i="43"/>
  <c r="C413" i="48"/>
  <c r="C413" i="47"/>
  <c r="C413" i="46"/>
  <c r="C413" i="45"/>
  <c r="C413" i="44"/>
  <c r="C413" i="43"/>
  <c r="C411" i="48"/>
  <c r="C411" i="47"/>
  <c r="C411" i="45"/>
  <c r="C411" i="46"/>
  <c r="C411" i="44"/>
  <c r="C411" i="43"/>
  <c r="D407" i="48"/>
  <c r="D407" i="47"/>
  <c r="D407" i="46"/>
  <c r="D407" i="45"/>
  <c r="D407" i="44"/>
  <c r="D407" i="43"/>
  <c r="D408" i="48"/>
  <c r="D408" i="47"/>
  <c r="D408" i="45"/>
  <c r="D408" i="46"/>
  <c r="D408" i="44"/>
  <c r="D408" i="43"/>
  <c r="D409" i="48"/>
  <c r="D409" i="47"/>
  <c r="D409" i="46"/>
  <c r="D409" i="45"/>
  <c r="D409" i="44"/>
  <c r="D409" i="43"/>
  <c r="D405" i="48"/>
  <c r="D405" i="47"/>
  <c r="D405" i="45"/>
  <c r="D405" i="46"/>
  <c r="D405" i="44"/>
  <c r="D405" i="43"/>
  <c r="G397" i="48" l="1"/>
  <c r="G397" i="47"/>
  <c r="G397" i="46"/>
  <c r="G397" i="45"/>
  <c r="G397" i="44"/>
  <c r="G397" i="43"/>
  <c r="E407" i="48"/>
  <c r="E407" i="47"/>
  <c r="E407" i="46"/>
  <c r="E407" i="45"/>
  <c r="E407" i="44"/>
  <c r="E407" i="43"/>
  <c r="G395" i="48"/>
  <c r="G395" i="47"/>
  <c r="G395" i="46"/>
  <c r="G395" i="45"/>
  <c r="G395" i="44"/>
  <c r="G395" i="43"/>
  <c r="F401" i="48"/>
  <c r="F401" i="47"/>
  <c r="F401" i="46"/>
  <c r="F401" i="45"/>
  <c r="F401" i="44"/>
  <c r="F401" i="43"/>
  <c r="H395" i="48"/>
  <c r="I395" i="48" s="1"/>
  <c r="J395" i="48" s="1"/>
  <c r="K395" i="48" s="1"/>
  <c r="L395" i="48" s="1"/>
  <c r="M395" i="48" s="1"/>
  <c r="N395" i="48" s="1"/>
  <c r="O395" i="48" s="1"/>
  <c r="P395" i="48" s="1"/>
  <c r="Q395" i="48" s="1"/>
  <c r="R395" i="48" s="1"/>
  <c r="S395" i="48" s="1"/>
  <c r="H395" i="47"/>
  <c r="I395" i="47" s="1"/>
  <c r="J395" i="47" s="1"/>
  <c r="K395" i="47" s="1"/>
  <c r="L395" i="47" s="1"/>
  <c r="M395" i="47" s="1"/>
  <c r="N395" i="47" s="1"/>
  <c r="O395" i="47" s="1"/>
  <c r="P395" i="47" s="1"/>
  <c r="Q395" i="47" s="1"/>
  <c r="R395" i="47" s="1"/>
  <c r="S395" i="47" s="1"/>
  <c r="H395" i="46"/>
  <c r="I395" i="46" s="1"/>
  <c r="J395" i="46" s="1"/>
  <c r="K395" i="46" s="1"/>
  <c r="L395" i="46" s="1"/>
  <c r="M395" i="46" s="1"/>
  <c r="N395" i="46" s="1"/>
  <c r="O395" i="46" s="1"/>
  <c r="P395" i="46" s="1"/>
  <c r="Q395" i="46" s="1"/>
  <c r="R395" i="46" s="1"/>
  <c r="S395" i="46" s="1"/>
  <c r="H395" i="45"/>
  <c r="I395" i="45" s="1"/>
  <c r="J395" i="45" s="1"/>
  <c r="K395" i="45" s="1"/>
  <c r="L395" i="45" s="1"/>
  <c r="M395" i="45" s="1"/>
  <c r="N395" i="45" s="1"/>
  <c r="O395" i="45" s="1"/>
  <c r="P395" i="45" s="1"/>
  <c r="Q395" i="45" s="1"/>
  <c r="R395" i="45" s="1"/>
  <c r="S395" i="45" s="1"/>
  <c r="H395" i="44"/>
  <c r="I395" i="44" s="1"/>
  <c r="J395" i="44" s="1"/>
  <c r="K395" i="44" s="1"/>
  <c r="L395" i="44" s="1"/>
  <c r="M395" i="44" s="1"/>
  <c r="N395" i="44" s="1"/>
  <c r="O395" i="44" s="1"/>
  <c r="P395" i="44" s="1"/>
  <c r="Q395" i="44" s="1"/>
  <c r="R395" i="44" s="1"/>
  <c r="S395" i="44" s="1"/>
  <c r="H395" i="43"/>
  <c r="I395" i="43" s="1"/>
  <c r="J395" i="43" s="1"/>
  <c r="K395" i="43" s="1"/>
  <c r="L395" i="43" s="1"/>
  <c r="M395" i="43" s="1"/>
  <c r="N395" i="43" s="1"/>
  <c r="O395" i="43" s="1"/>
  <c r="P395" i="43" s="1"/>
  <c r="Q395" i="43" s="1"/>
  <c r="R395" i="43" s="1"/>
  <c r="S395" i="43" s="1"/>
  <c r="F402" i="48"/>
  <c r="F402" i="47"/>
  <c r="F402" i="46"/>
  <c r="F402" i="45"/>
  <c r="F402" i="44"/>
  <c r="F402" i="43"/>
  <c r="E405" i="48"/>
  <c r="E405" i="47"/>
  <c r="E405" i="46"/>
  <c r="E405" i="45"/>
  <c r="E405" i="44"/>
  <c r="E405" i="43"/>
  <c r="F400" i="48"/>
  <c r="F400" i="47"/>
  <c r="F400" i="46"/>
  <c r="F400" i="45"/>
  <c r="F400" i="44"/>
  <c r="F400" i="43"/>
  <c r="G394" i="48"/>
  <c r="G394" i="47"/>
  <c r="G394" i="46"/>
  <c r="G394" i="45"/>
  <c r="G394" i="44"/>
  <c r="G394" i="43"/>
  <c r="E408" i="48"/>
  <c r="E408" i="47"/>
  <c r="E408" i="46"/>
  <c r="E408" i="45"/>
  <c r="E408" i="44"/>
  <c r="E408" i="43"/>
  <c r="H398" i="48"/>
  <c r="I398" i="48" s="1"/>
  <c r="J398" i="48" s="1"/>
  <c r="K398" i="48" s="1"/>
  <c r="L398" i="48" s="1"/>
  <c r="M398" i="48" s="1"/>
  <c r="N398" i="48" s="1"/>
  <c r="O398" i="48" s="1"/>
  <c r="P398" i="48" s="1"/>
  <c r="Q398" i="48" s="1"/>
  <c r="R398" i="48" s="1"/>
  <c r="S398" i="48" s="1"/>
  <c r="H398" i="47"/>
  <c r="I398" i="47" s="1"/>
  <c r="J398" i="47" s="1"/>
  <c r="K398" i="47" s="1"/>
  <c r="L398" i="47" s="1"/>
  <c r="M398" i="47" s="1"/>
  <c r="N398" i="47" s="1"/>
  <c r="O398" i="47" s="1"/>
  <c r="P398" i="47" s="1"/>
  <c r="Q398" i="47" s="1"/>
  <c r="R398" i="47" s="1"/>
  <c r="S398" i="47" s="1"/>
  <c r="H398" i="46"/>
  <c r="I398" i="46" s="1"/>
  <c r="J398" i="46" s="1"/>
  <c r="K398" i="46" s="1"/>
  <c r="L398" i="46" s="1"/>
  <c r="M398" i="46" s="1"/>
  <c r="N398" i="46" s="1"/>
  <c r="O398" i="46" s="1"/>
  <c r="P398" i="46" s="1"/>
  <c r="Q398" i="46" s="1"/>
  <c r="R398" i="46" s="1"/>
  <c r="S398" i="46" s="1"/>
  <c r="H398" i="45"/>
  <c r="I398" i="45" s="1"/>
  <c r="J398" i="45" s="1"/>
  <c r="K398" i="45" s="1"/>
  <c r="L398" i="45" s="1"/>
  <c r="M398" i="45" s="1"/>
  <c r="N398" i="45" s="1"/>
  <c r="O398" i="45" s="1"/>
  <c r="P398" i="45" s="1"/>
  <c r="Q398" i="45" s="1"/>
  <c r="R398" i="45" s="1"/>
  <c r="S398" i="45" s="1"/>
  <c r="H398" i="44"/>
  <c r="I398" i="44" s="1"/>
  <c r="J398" i="44" s="1"/>
  <c r="K398" i="44" s="1"/>
  <c r="L398" i="44" s="1"/>
  <c r="M398" i="44" s="1"/>
  <c r="N398" i="44" s="1"/>
  <c r="O398" i="44" s="1"/>
  <c r="P398" i="44" s="1"/>
  <c r="Q398" i="44" s="1"/>
  <c r="R398" i="44" s="1"/>
  <c r="S398" i="44" s="1"/>
  <c r="H398" i="43"/>
  <c r="I398" i="43" s="1"/>
  <c r="J398" i="43" s="1"/>
  <c r="K398" i="43" s="1"/>
  <c r="L398" i="43" s="1"/>
  <c r="M398" i="43" s="1"/>
  <c r="N398" i="43" s="1"/>
  <c r="O398" i="43" s="1"/>
  <c r="P398" i="43" s="1"/>
  <c r="Q398" i="43" s="1"/>
  <c r="R398" i="43" s="1"/>
  <c r="S398" i="43" s="1"/>
  <c r="F406" i="48"/>
  <c r="F406" i="47"/>
  <c r="F406" i="46"/>
  <c r="F406" i="45"/>
  <c r="F406" i="44"/>
  <c r="F406" i="43"/>
  <c r="E409" i="48"/>
  <c r="E409" i="47"/>
  <c r="E409" i="46"/>
  <c r="E409" i="45"/>
  <c r="E409" i="44"/>
  <c r="E409" i="43"/>
  <c r="H394" i="48"/>
  <c r="I394" i="48" s="1"/>
  <c r="J394" i="48" s="1"/>
  <c r="K394" i="48" s="1"/>
  <c r="L394" i="48" s="1"/>
  <c r="M394" i="48" s="1"/>
  <c r="N394" i="48" s="1"/>
  <c r="O394" i="48" s="1"/>
  <c r="P394" i="48" s="1"/>
  <c r="Q394" i="48" s="1"/>
  <c r="R394" i="48" s="1"/>
  <c r="S394" i="48" s="1"/>
  <c r="H394" i="47"/>
  <c r="I394" i="47" s="1"/>
  <c r="J394" i="47" s="1"/>
  <c r="K394" i="47" s="1"/>
  <c r="L394" i="47" s="1"/>
  <c r="M394" i="47" s="1"/>
  <c r="N394" i="47" s="1"/>
  <c r="O394" i="47" s="1"/>
  <c r="P394" i="47" s="1"/>
  <c r="Q394" i="47" s="1"/>
  <c r="R394" i="47" s="1"/>
  <c r="S394" i="47" s="1"/>
  <c r="H394" i="46"/>
  <c r="I394" i="46" s="1"/>
  <c r="J394" i="46" s="1"/>
  <c r="K394" i="46" s="1"/>
  <c r="L394" i="46" s="1"/>
  <c r="M394" i="46" s="1"/>
  <c r="N394" i="46" s="1"/>
  <c r="O394" i="46" s="1"/>
  <c r="P394" i="46" s="1"/>
  <c r="Q394" i="46" s="1"/>
  <c r="R394" i="46" s="1"/>
  <c r="S394" i="46" s="1"/>
  <c r="H394" i="45"/>
  <c r="I394" i="45" s="1"/>
  <c r="J394" i="45" s="1"/>
  <c r="K394" i="45" s="1"/>
  <c r="L394" i="45" s="1"/>
  <c r="M394" i="45" s="1"/>
  <c r="N394" i="45" s="1"/>
  <c r="O394" i="45" s="1"/>
  <c r="P394" i="45" s="1"/>
  <c r="Q394" i="45" s="1"/>
  <c r="R394" i="45" s="1"/>
  <c r="S394" i="45" s="1"/>
  <c r="H394" i="44"/>
  <c r="I394" i="44" s="1"/>
  <c r="J394" i="44" s="1"/>
  <c r="K394" i="44" s="1"/>
  <c r="L394" i="44" s="1"/>
  <c r="M394" i="44" s="1"/>
  <c r="N394" i="44" s="1"/>
  <c r="O394" i="44" s="1"/>
  <c r="P394" i="44" s="1"/>
  <c r="Q394" i="44" s="1"/>
  <c r="R394" i="44" s="1"/>
  <c r="S394" i="44" s="1"/>
  <c r="H394" i="43"/>
  <c r="I394" i="43" s="1"/>
  <c r="J394" i="43" s="1"/>
  <c r="K394" i="43" s="1"/>
  <c r="L394" i="43" s="1"/>
  <c r="M394" i="43" s="1"/>
  <c r="N394" i="43" s="1"/>
  <c r="O394" i="43" s="1"/>
  <c r="P394" i="43" s="1"/>
  <c r="Q394" i="43" s="1"/>
  <c r="R394" i="43" s="1"/>
  <c r="S394" i="43" s="1"/>
  <c r="H397" i="48"/>
  <c r="I397" i="48" s="1"/>
  <c r="J397" i="48" s="1"/>
  <c r="K397" i="48" s="1"/>
  <c r="L397" i="48" s="1"/>
  <c r="M397" i="48" s="1"/>
  <c r="N397" i="48" s="1"/>
  <c r="O397" i="48" s="1"/>
  <c r="P397" i="48" s="1"/>
  <c r="Q397" i="48" s="1"/>
  <c r="R397" i="48" s="1"/>
  <c r="S397" i="48" s="1"/>
  <c r="H397" i="47"/>
  <c r="I397" i="47" s="1"/>
  <c r="J397" i="47" s="1"/>
  <c r="K397" i="47" s="1"/>
  <c r="L397" i="47" s="1"/>
  <c r="M397" i="47" s="1"/>
  <c r="N397" i="47" s="1"/>
  <c r="O397" i="47" s="1"/>
  <c r="P397" i="47" s="1"/>
  <c r="Q397" i="47" s="1"/>
  <c r="R397" i="47" s="1"/>
  <c r="S397" i="47" s="1"/>
  <c r="H397" i="46"/>
  <c r="I397" i="46" s="1"/>
  <c r="J397" i="46" s="1"/>
  <c r="K397" i="46" s="1"/>
  <c r="L397" i="46" s="1"/>
  <c r="M397" i="46" s="1"/>
  <c r="N397" i="46" s="1"/>
  <c r="O397" i="46" s="1"/>
  <c r="P397" i="46" s="1"/>
  <c r="Q397" i="46" s="1"/>
  <c r="R397" i="46" s="1"/>
  <c r="S397" i="46" s="1"/>
  <c r="H397" i="45"/>
  <c r="I397" i="45" s="1"/>
  <c r="J397" i="45" s="1"/>
  <c r="K397" i="45" s="1"/>
  <c r="L397" i="45" s="1"/>
  <c r="M397" i="45" s="1"/>
  <c r="N397" i="45" s="1"/>
  <c r="O397" i="45" s="1"/>
  <c r="P397" i="45" s="1"/>
  <c r="Q397" i="45" s="1"/>
  <c r="R397" i="45" s="1"/>
  <c r="S397" i="45" s="1"/>
  <c r="H397" i="44"/>
  <c r="I397" i="44" s="1"/>
  <c r="J397" i="44" s="1"/>
  <c r="K397" i="44" s="1"/>
  <c r="L397" i="44" s="1"/>
  <c r="M397" i="44" s="1"/>
  <c r="N397" i="44" s="1"/>
  <c r="O397" i="44" s="1"/>
  <c r="P397" i="44" s="1"/>
  <c r="Q397" i="44" s="1"/>
  <c r="R397" i="44" s="1"/>
  <c r="S397" i="44" s="1"/>
  <c r="H397" i="43"/>
  <c r="I397" i="43" s="1"/>
  <c r="J397" i="43" s="1"/>
  <c r="K397" i="43" s="1"/>
  <c r="L397" i="43" s="1"/>
  <c r="M397" i="43" s="1"/>
  <c r="N397" i="43" s="1"/>
  <c r="O397" i="43" s="1"/>
  <c r="P397" i="43" s="1"/>
  <c r="Q397" i="43" s="1"/>
  <c r="R397" i="43" s="1"/>
  <c r="S397" i="43" s="1"/>
  <c r="F403" i="48"/>
  <c r="F403" i="47"/>
  <c r="F403" i="46"/>
  <c r="F403" i="45"/>
  <c r="F403" i="44"/>
  <c r="F403" i="43"/>
  <c r="G398" i="48"/>
  <c r="G398" i="47"/>
  <c r="G398" i="46"/>
  <c r="G398" i="45"/>
  <c r="G398" i="44"/>
  <c r="G398" i="43"/>
  <c r="F404" i="48"/>
  <c r="F404" i="47"/>
  <c r="F404" i="46"/>
  <c r="F404" i="45"/>
  <c r="F404" i="44"/>
  <c r="F404" i="43"/>
  <c r="F399" i="48"/>
  <c r="F399" i="47"/>
  <c r="F399" i="46"/>
  <c r="F399" i="45"/>
  <c r="F399" i="44"/>
  <c r="F399" i="43"/>
  <c r="C415" i="48"/>
  <c r="C415" i="47"/>
  <c r="C415" i="46"/>
  <c r="C415" i="45"/>
  <c r="C415" i="44"/>
  <c r="C415" i="43"/>
  <c r="C417" i="48"/>
  <c r="C417" i="47"/>
  <c r="C417" i="45"/>
  <c r="C417" i="46"/>
  <c r="C417" i="44"/>
  <c r="C417" i="43"/>
  <c r="C418" i="47"/>
  <c r="C418" i="48"/>
  <c r="C418" i="45"/>
  <c r="C418" i="46"/>
  <c r="C418" i="44"/>
  <c r="C418" i="43"/>
  <c r="C416" i="47"/>
  <c r="C416" i="48"/>
  <c r="C416" i="46"/>
  <c r="C416" i="45"/>
  <c r="C416" i="44"/>
  <c r="C416" i="43"/>
  <c r="C414" i="48"/>
  <c r="C414" i="47"/>
  <c r="C414" i="46"/>
  <c r="C414" i="45"/>
  <c r="C414" i="44"/>
  <c r="C414" i="43"/>
  <c r="D413" i="47"/>
  <c r="D413" i="48"/>
  <c r="D413" i="46"/>
  <c r="D413" i="45"/>
  <c r="D413" i="44"/>
  <c r="D413" i="43"/>
  <c r="D411" i="48"/>
  <c r="D411" i="46"/>
  <c r="D411" i="47"/>
  <c r="D411" i="45"/>
  <c r="D411" i="43"/>
  <c r="D411" i="44"/>
  <c r="D410" i="48"/>
  <c r="D410" i="47"/>
  <c r="D410" i="46"/>
  <c r="D410" i="45"/>
  <c r="D410" i="44"/>
  <c r="D410" i="43"/>
  <c r="D412" i="48"/>
  <c r="D412" i="46"/>
  <c r="D412" i="47"/>
  <c r="D412" i="45"/>
  <c r="D412" i="44"/>
  <c r="D412" i="43"/>
  <c r="E412" i="48" l="1"/>
  <c r="E412" i="47"/>
  <c r="E412" i="46"/>
  <c r="E412" i="45"/>
  <c r="E412" i="44"/>
  <c r="E412" i="43"/>
  <c r="G402" i="48"/>
  <c r="G402" i="47"/>
  <c r="G402" i="46"/>
  <c r="G402" i="45"/>
  <c r="G402" i="44"/>
  <c r="G402" i="43"/>
  <c r="H402" i="48"/>
  <c r="I402" i="48" s="1"/>
  <c r="J402" i="48" s="1"/>
  <c r="K402" i="48" s="1"/>
  <c r="L402" i="48" s="1"/>
  <c r="M402" i="48" s="1"/>
  <c r="N402" i="48" s="1"/>
  <c r="O402" i="48" s="1"/>
  <c r="P402" i="48" s="1"/>
  <c r="Q402" i="48" s="1"/>
  <c r="R402" i="48" s="1"/>
  <c r="S402" i="48" s="1"/>
  <c r="H402" i="47"/>
  <c r="I402" i="47" s="1"/>
  <c r="J402" i="47" s="1"/>
  <c r="K402" i="47" s="1"/>
  <c r="L402" i="47" s="1"/>
  <c r="M402" i="47" s="1"/>
  <c r="N402" i="47" s="1"/>
  <c r="O402" i="47" s="1"/>
  <c r="P402" i="47" s="1"/>
  <c r="Q402" i="47" s="1"/>
  <c r="R402" i="47" s="1"/>
  <c r="S402" i="47" s="1"/>
  <c r="H402" i="46"/>
  <c r="I402" i="46" s="1"/>
  <c r="J402" i="46" s="1"/>
  <c r="K402" i="46" s="1"/>
  <c r="L402" i="46" s="1"/>
  <c r="M402" i="46" s="1"/>
  <c r="N402" i="46" s="1"/>
  <c r="O402" i="46" s="1"/>
  <c r="P402" i="46" s="1"/>
  <c r="Q402" i="46" s="1"/>
  <c r="R402" i="46" s="1"/>
  <c r="S402" i="46" s="1"/>
  <c r="H402" i="45"/>
  <c r="I402" i="45" s="1"/>
  <c r="J402" i="45" s="1"/>
  <c r="K402" i="45" s="1"/>
  <c r="L402" i="45" s="1"/>
  <c r="M402" i="45" s="1"/>
  <c r="N402" i="45" s="1"/>
  <c r="O402" i="45" s="1"/>
  <c r="P402" i="45" s="1"/>
  <c r="Q402" i="45" s="1"/>
  <c r="R402" i="45" s="1"/>
  <c r="S402" i="45" s="1"/>
  <c r="H402" i="44"/>
  <c r="I402" i="44" s="1"/>
  <c r="J402" i="44" s="1"/>
  <c r="K402" i="44" s="1"/>
  <c r="L402" i="44" s="1"/>
  <c r="M402" i="44" s="1"/>
  <c r="N402" i="44" s="1"/>
  <c r="O402" i="44" s="1"/>
  <c r="P402" i="44" s="1"/>
  <c r="Q402" i="44" s="1"/>
  <c r="R402" i="44" s="1"/>
  <c r="S402" i="44" s="1"/>
  <c r="H402" i="43"/>
  <c r="I402" i="43" s="1"/>
  <c r="J402" i="43" s="1"/>
  <c r="K402" i="43" s="1"/>
  <c r="L402" i="43" s="1"/>
  <c r="M402" i="43" s="1"/>
  <c r="N402" i="43" s="1"/>
  <c r="O402" i="43" s="1"/>
  <c r="P402" i="43" s="1"/>
  <c r="Q402" i="43" s="1"/>
  <c r="R402" i="43" s="1"/>
  <c r="S402" i="43" s="1"/>
  <c r="H406" i="48"/>
  <c r="I406" i="48" s="1"/>
  <c r="J406" i="48" s="1"/>
  <c r="K406" i="48" s="1"/>
  <c r="L406" i="48" s="1"/>
  <c r="M406" i="48" s="1"/>
  <c r="N406" i="48" s="1"/>
  <c r="O406" i="48" s="1"/>
  <c r="P406" i="48" s="1"/>
  <c r="Q406" i="48" s="1"/>
  <c r="R406" i="48" s="1"/>
  <c r="S406" i="48" s="1"/>
  <c r="H406" i="47"/>
  <c r="I406" i="47" s="1"/>
  <c r="J406" i="47" s="1"/>
  <c r="K406" i="47" s="1"/>
  <c r="L406" i="47" s="1"/>
  <c r="M406" i="47" s="1"/>
  <c r="N406" i="47" s="1"/>
  <c r="O406" i="47" s="1"/>
  <c r="P406" i="47" s="1"/>
  <c r="Q406" i="47" s="1"/>
  <c r="R406" i="47" s="1"/>
  <c r="S406" i="47" s="1"/>
  <c r="H406" i="46"/>
  <c r="I406" i="46" s="1"/>
  <c r="J406" i="46" s="1"/>
  <c r="K406" i="46" s="1"/>
  <c r="L406" i="46" s="1"/>
  <c r="M406" i="46" s="1"/>
  <c r="N406" i="46" s="1"/>
  <c r="O406" i="46" s="1"/>
  <c r="P406" i="46" s="1"/>
  <c r="Q406" i="46" s="1"/>
  <c r="R406" i="46" s="1"/>
  <c r="S406" i="46" s="1"/>
  <c r="H406" i="45"/>
  <c r="I406" i="45" s="1"/>
  <c r="J406" i="45" s="1"/>
  <c r="K406" i="45" s="1"/>
  <c r="L406" i="45" s="1"/>
  <c r="M406" i="45" s="1"/>
  <c r="N406" i="45" s="1"/>
  <c r="O406" i="45" s="1"/>
  <c r="P406" i="45" s="1"/>
  <c r="Q406" i="45" s="1"/>
  <c r="R406" i="45" s="1"/>
  <c r="S406" i="45" s="1"/>
  <c r="H406" i="44"/>
  <c r="I406" i="44" s="1"/>
  <c r="J406" i="44" s="1"/>
  <c r="K406" i="44" s="1"/>
  <c r="L406" i="44" s="1"/>
  <c r="M406" i="44" s="1"/>
  <c r="N406" i="44" s="1"/>
  <c r="O406" i="44" s="1"/>
  <c r="P406" i="44" s="1"/>
  <c r="Q406" i="44" s="1"/>
  <c r="R406" i="44" s="1"/>
  <c r="S406" i="44" s="1"/>
  <c r="H406" i="43"/>
  <c r="I406" i="43" s="1"/>
  <c r="J406" i="43" s="1"/>
  <c r="K406" i="43" s="1"/>
  <c r="L406" i="43" s="1"/>
  <c r="M406" i="43" s="1"/>
  <c r="N406" i="43" s="1"/>
  <c r="O406" i="43" s="1"/>
  <c r="P406" i="43" s="1"/>
  <c r="Q406" i="43" s="1"/>
  <c r="R406" i="43" s="1"/>
  <c r="S406" i="43" s="1"/>
  <c r="G399" i="48"/>
  <c r="G399" i="47"/>
  <c r="G399" i="46"/>
  <c r="G399" i="45"/>
  <c r="G399" i="44"/>
  <c r="G399" i="43"/>
  <c r="F408" i="48"/>
  <c r="F408" i="47"/>
  <c r="F408" i="46"/>
  <c r="F408" i="45"/>
  <c r="F408" i="44"/>
  <c r="F408" i="43"/>
  <c r="G404" i="48"/>
  <c r="G404" i="47"/>
  <c r="G404" i="46"/>
  <c r="G404" i="45"/>
  <c r="G404" i="44"/>
  <c r="G404" i="43"/>
  <c r="H404" i="48"/>
  <c r="I404" i="48" s="1"/>
  <c r="J404" i="48" s="1"/>
  <c r="K404" i="48" s="1"/>
  <c r="L404" i="48" s="1"/>
  <c r="M404" i="48" s="1"/>
  <c r="N404" i="48" s="1"/>
  <c r="O404" i="48" s="1"/>
  <c r="P404" i="48" s="1"/>
  <c r="Q404" i="48" s="1"/>
  <c r="R404" i="48" s="1"/>
  <c r="S404" i="48" s="1"/>
  <c r="H404" i="47"/>
  <c r="I404" i="47" s="1"/>
  <c r="J404" i="47" s="1"/>
  <c r="K404" i="47" s="1"/>
  <c r="L404" i="47" s="1"/>
  <c r="M404" i="47" s="1"/>
  <c r="N404" i="47" s="1"/>
  <c r="O404" i="47" s="1"/>
  <c r="P404" i="47" s="1"/>
  <c r="Q404" i="47" s="1"/>
  <c r="R404" i="47" s="1"/>
  <c r="S404" i="47" s="1"/>
  <c r="H404" i="46"/>
  <c r="I404" i="46" s="1"/>
  <c r="J404" i="46" s="1"/>
  <c r="K404" i="46" s="1"/>
  <c r="L404" i="46" s="1"/>
  <c r="M404" i="46" s="1"/>
  <c r="N404" i="46" s="1"/>
  <c r="O404" i="46" s="1"/>
  <c r="P404" i="46" s="1"/>
  <c r="Q404" i="46" s="1"/>
  <c r="R404" i="46" s="1"/>
  <c r="S404" i="46" s="1"/>
  <c r="H404" i="45"/>
  <c r="I404" i="45" s="1"/>
  <c r="J404" i="45" s="1"/>
  <c r="K404" i="45" s="1"/>
  <c r="L404" i="45" s="1"/>
  <c r="M404" i="45" s="1"/>
  <c r="N404" i="45" s="1"/>
  <c r="O404" i="45" s="1"/>
  <c r="P404" i="45" s="1"/>
  <c r="Q404" i="45" s="1"/>
  <c r="R404" i="45" s="1"/>
  <c r="S404" i="45" s="1"/>
  <c r="H404" i="44"/>
  <c r="I404" i="44" s="1"/>
  <c r="J404" i="44" s="1"/>
  <c r="K404" i="44" s="1"/>
  <c r="L404" i="44" s="1"/>
  <c r="M404" i="44" s="1"/>
  <c r="N404" i="44" s="1"/>
  <c r="O404" i="44" s="1"/>
  <c r="P404" i="44" s="1"/>
  <c r="Q404" i="44" s="1"/>
  <c r="R404" i="44" s="1"/>
  <c r="S404" i="44" s="1"/>
  <c r="H404" i="43"/>
  <c r="I404" i="43" s="1"/>
  <c r="J404" i="43" s="1"/>
  <c r="K404" i="43" s="1"/>
  <c r="L404" i="43" s="1"/>
  <c r="M404" i="43" s="1"/>
  <c r="N404" i="43" s="1"/>
  <c r="O404" i="43" s="1"/>
  <c r="P404" i="43" s="1"/>
  <c r="Q404" i="43" s="1"/>
  <c r="R404" i="43" s="1"/>
  <c r="S404" i="43" s="1"/>
  <c r="G406" i="48"/>
  <c r="G406" i="47"/>
  <c r="G406" i="46"/>
  <c r="G406" i="45"/>
  <c r="G406" i="44"/>
  <c r="G406" i="43"/>
  <c r="G400" i="48"/>
  <c r="G400" i="47"/>
  <c r="G400" i="46"/>
  <c r="G400" i="45"/>
  <c r="G400" i="44"/>
  <c r="G400" i="43"/>
  <c r="G403" i="48"/>
  <c r="G403" i="47"/>
  <c r="G403" i="46"/>
  <c r="G403" i="45"/>
  <c r="G403" i="44"/>
  <c r="G403" i="43"/>
  <c r="E413" i="48"/>
  <c r="E413" i="47"/>
  <c r="E413" i="46"/>
  <c r="E413" i="45"/>
  <c r="E413" i="44"/>
  <c r="E413" i="43"/>
  <c r="F405" i="48"/>
  <c r="F405" i="47"/>
  <c r="F405" i="46"/>
  <c r="F405" i="45"/>
  <c r="F405" i="44"/>
  <c r="F405" i="43"/>
  <c r="F409" i="48"/>
  <c r="F409" i="47"/>
  <c r="F409" i="46"/>
  <c r="F409" i="45"/>
  <c r="F409" i="44"/>
  <c r="F409" i="43"/>
  <c r="F407" i="48"/>
  <c r="F407" i="47"/>
  <c r="F407" i="46"/>
  <c r="F407" i="45"/>
  <c r="F407" i="44"/>
  <c r="F407" i="43"/>
  <c r="E410" i="48"/>
  <c r="E410" i="47"/>
  <c r="E410" i="46"/>
  <c r="E410" i="45"/>
  <c r="E410" i="44"/>
  <c r="E410" i="43"/>
  <c r="E411" i="48"/>
  <c r="E411" i="47"/>
  <c r="E411" i="46"/>
  <c r="E411" i="45"/>
  <c r="E411" i="44"/>
  <c r="E411" i="43"/>
  <c r="H400" i="48"/>
  <c r="I400" i="48" s="1"/>
  <c r="J400" i="48" s="1"/>
  <c r="K400" i="48" s="1"/>
  <c r="L400" i="48" s="1"/>
  <c r="M400" i="48" s="1"/>
  <c r="N400" i="48" s="1"/>
  <c r="O400" i="48" s="1"/>
  <c r="P400" i="48" s="1"/>
  <c r="Q400" i="48" s="1"/>
  <c r="R400" i="48" s="1"/>
  <c r="S400" i="48" s="1"/>
  <c r="H400" i="47"/>
  <c r="I400" i="47" s="1"/>
  <c r="J400" i="47" s="1"/>
  <c r="K400" i="47" s="1"/>
  <c r="L400" i="47" s="1"/>
  <c r="M400" i="47" s="1"/>
  <c r="N400" i="47" s="1"/>
  <c r="O400" i="47" s="1"/>
  <c r="P400" i="47" s="1"/>
  <c r="Q400" i="47" s="1"/>
  <c r="R400" i="47" s="1"/>
  <c r="S400" i="47" s="1"/>
  <c r="H400" i="46"/>
  <c r="I400" i="46" s="1"/>
  <c r="J400" i="46" s="1"/>
  <c r="K400" i="46" s="1"/>
  <c r="L400" i="46" s="1"/>
  <c r="M400" i="46" s="1"/>
  <c r="N400" i="46" s="1"/>
  <c r="O400" i="46" s="1"/>
  <c r="P400" i="46" s="1"/>
  <c r="Q400" i="46" s="1"/>
  <c r="R400" i="46" s="1"/>
  <c r="S400" i="46" s="1"/>
  <c r="H400" i="45"/>
  <c r="I400" i="45" s="1"/>
  <c r="J400" i="45" s="1"/>
  <c r="K400" i="45" s="1"/>
  <c r="L400" i="45" s="1"/>
  <c r="M400" i="45" s="1"/>
  <c r="N400" i="45" s="1"/>
  <c r="O400" i="45" s="1"/>
  <c r="P400" i="45" s="1"/>
  <c r="Q400" i="45" s="1"/>
  <c r="R400" i="45" s="1"/>
  <c r="S400" i="45" s="1"/>
  <c r="H400" i="44"/>
  <c r="I400" i="44" s="1"/>
  <c r="J400" i="44" s="1"/>
  <c r="K400" i="44" s="1"/>
  <c r="L400" i="44" s="1"/>
  <c r="M400" i="44" s="1"/>
  <c r="N400" i="44" s="1"/>
  <c r="O400" i="44" s="1"/>
  <c r="P400" i="44" s="1"/>
  <c r="Q400" i="44" s="1"/>
  <c r="R400" i="44" s="1"/>
  <c r="S400" i="44" s="1"/>
  <c r="H400" i="43"/>
  <c r="I400" i="43" s="1"/>
  <c r="J400" i="43" s="1"/>
  <c r="K400" i="43" s="1"/>
  <c r="L400" i="43" s="1"/>
  <c r="M400" i="43" s="1"/>
  <c r="N400" i="43" s="1"/>
  <c r="O400" i="43" s="1"/>
  <c r="P400" i="43" s="1"/>
  <c r="Q400" i="43" s="1"/>
  <c r="R400" i="43" s="1"/>
  <c r="S400" i="43" s="1"/>
  <c r="H403" i="48"/>
  <c r="I403" i="48" s="1"/>
  <c r="J403" i="48" s="1"/>
  <c r="K403" i="48" s="1"/>
  <c r="L403" i="48" s="1"/>
  <c r="M403" i="48" s="1"/>
  <c r="N403" i="48" s="1"/>
  <c r="O403" i="48" s="1"/>
  <c r="P403" i="48" s="1"/>
  <c r="Q403" i="48" s="1"/>
  <c r="R403" i="48" s="1"/>
  <c r="S403" i="48" s="1"/>
  <c r="H403" i="47"/>
  <c r="I403" i="47" s="1"/>
  <c r="J403" i="47" s="1"/>
  <c r="K403" i="47" s="1"/>
  <c r="L403" i="47" s="1"/>
  <c r="M403" i="47" s="1"/>
  <c r="N403" i="47" s="1"/>
  <c r="O403" i="47" s="1"/>
  <c r="P403" i="47" s="1"/>
  <c r="Q403" i="47" s="1"/>
  <c r="R403" i="47" s="1"/>
  <c r="S403" i="47" s="1"/>
  <c r="H403" i="46"/>
  <c r="I403" i="46" s="1"/>
  <c r="J403" i="46" s="1"/>
  <c r="K403" i="46" s="1"/>
  <c r="L403" i="46" s="1"/>
  <c r="M403" i="46" s="1"/>
  <c r="N403" i="46" s="1"/>
  <c r="O403" i="46" s="1"/>
  <c r="P403" i="46" s="1"/>
  <c r="Q403" i="46" s="1"/>
  <c r="R403" i="46" s="1"/>
  <c r="S403" i="46" s="1"/>
  <c r="H403" i="45"/>
  <c r="I403" i="45" s="1"/>
  <c r="J403" i="45" s="1"/>
  <c r="K403" i="45" s="1"/>
  <c r="L403" i="45" s="1"/>
  <c r="M403" i="45" s="1"/>
  <c r="N403" i="45" s="1"/>
  <c r="O403" i="45" s="1"/>
  <c r="P403" i="45" s="1"/>
  <c r="Q403" i="45" s="1"/>
  <c r="R403" i="45" s="1"/>
  <c r="S403" i="45" s="1"/>
  <c r="H403" i="44"/>
  <c r="I403" i="44" s="1"/>
  <c r="J403" i="44" s="1"/>
  <c r="K403" i="44" s="1"/>
  <c r="L403" i="44" s="1"/>
  <c r="M403" i="44" s="1"/>
  <c r="N403" i="44" s="1"/>
  <c r="O403" i="44" s="1"/>
  <c r="P403" i="44" s="1"/>
  <c r="Q403" i="44" s="1"/>
  <c r="R403" i="44" s="1"/>
  <c r="S403" i="44" s="1"/>
  <c r="H403" i="43"/>
  <c r="I403" i="43" s="1"/>
  <c r="J403" i="43" s="1"/>
  <c r="K403" i="43" s="1"/>
  <c r="L403" i="43" s="1"/>
  <c r="M403" i="43" s="1"/>
  <c r="N403" i="43" s="1"/>
  <c r="O403" i="43" s="1"/>
  <c r="P403" i="43" s="1"/>
  <c r="Q403" i="43" s="1"/>
  <c r="R403" i="43" s="1"/>
  <c r="S403" i="43" s="1"/>
  <c r="G401" i="48"/>
  <c r="G401" i="47"/>
  <c r="G401" i="46"/>
  <c r="G401" i="45"/>
  <c r="G401" i="44"/>
  <c r="G401" i="43"/>
  <c r="H401" i="48"/>
  <c r="I401" i="48" s="1"/>
  <c r="J401" i="48" s="1"/>
  <c r="K401" i="48" s="1"/>
  <c r="L401" i="48" s="1"/>
  <c r="M401" i="48" s="1"/>
  <c r="N401" i="48" s="1"/>
  <c r="O401" i="48" s="1"/>
  <c r="P401" i="48" s="1"/>
  <c r="Q401" i="48" s="1"/>
  <c r="R401" i="48" s="1"/>
  <c r="S401" i="48" s="1"/>
  <c r="H401" i="47"/>
  <c r="I401" i="47" s="1"/>
  <c r="J401" i="47" s="1"/>
  <c r="K401" i="47" s="1"/>
  <c r="L401" i="47" s="1"/>
  <c r="M401" i="47" s="1"/>
  <c r="N401" i="47" s="1"/>
  <c r="O401" i="47" s="1"/>
  <c r="P401" i="47" s="1"/>
  <c r="Q401" i="47" s="1"/>
  <c r="R401" i="47" s="1"/>
  <c r="S401" i="47" s="1"/>
  <c r="H401" i="46"/>
  <c r="I401" i="46" s="1"/>
  <c r="J401" i="46" s="1"/>
  <c r="K401" i="46" s="1"/>
  <c r="L401" i="46" s="1"/>
  <c r="M401" i="46" s="1"/>
  <c r="N401" i="46" s="1"/>
  <c r="O401" i="46" s="1"/>
  <c r="P401" i="46" s="1"/>
  <c r="Q401" i="46" s="1"/>
  <c r="R401" i="46" s="1"/>
  <c r="S401" i="46" s="1"/>
  <c r="H401" i="45"/>
  <c r="I401" i="45" s="1"/>
  <c r="J401" i="45" s="1"/>
  <c r="K401" i="45" s="1"/>
  <c r="L401" i="45" s="1"/>
  <c r="M401" i="45" s="1"/>
  <c r="N401" i="45" s="1"/>
  <c r="O401" i="45" s="1"/>
  <c r="P401" i="45" s="1"/>
  <c r="Q401" i="45" s="1"/>
  <c r="R401" i="45" s="1"/>
  <c r="S401" i="45" s="1"/>
  <c r="H401" i="44"/>
  <c r="I401" i="44" s="1"/>
  <c r="J401" i="44" s="1"/>
  <c r="K401" i="44" s="1"/>
  <c r="L401" i="44" s="1"/>
  <c r="M401" i="44" s="1"/>
  <c r="N401" i="44" s="1"/>
  <c r="O401" i="44" s="1"/>
  <c r="P401" i="44" s="1"/>
  <c r="Q401" i="44" s="1"/>
  <c r="R401" i="44" s="1"/>
  <c r="S401" i="44" s="1"/>
  <c r="H401" i="43"/>
  <c r="I401" i="43" s="1"/>
  <c r="J401" i="43" s="1"/>
  <c r="K401" i="43" s="1"/>
  <c r="L401" i="43" s="1"/>
  <c r="M401" i="43" s="1"/>
  <c r="N401" i="43" s="1"/>
  <c r="O401" i="43" s="1"/>
  <c r="P401" i="43" s="1"/>
  <c r="Q401" i="43" s="1"/>
  <c r="R401" i="43" s="1"/>
  <c r="S401" i="43" s="1"/>
  <c r="H399" i="48"/>
  <c r="I399" i="48" s="1"/>
  <c r="J399" i="48" s="1"/>
  <c r="K399" i="48" s="1"/>
  <c r="L399" i="48" s="1"/>
  <c r="M399" i="48" s="1"/>
  <c r="N399" i="48" s="1"/>
  <c r="O399" i="48" s="1"/>
  <c r="P399" i="48" s="1"/>
  <c r="Q399" i="48" s="1"/>
  <c r="R399" i="48" s="1"/>
  <c r="S399" i="48" s="1"/>
  <c r="H399" i="47"/>
  <c r="I399" i="47" s="1"/>
  <c r="J399" i="47" s="1"/>
  <c r="K399" i="47" s="1"/>
  <c r="L399" i="47" s="1"/>
  <c r="M399" i="47" s="1"/>
  <c r="N399" i="47" s="1"/>
  <c r="O399" i="47" s="1"/>
  <c r="P399" i="47" s="1"/>
  <c r="Q399" i="47" s="1"/>
  <c r="R399" i="47" s="1"/>
  <c r="S399" i="47" s="1"/>
  <c r="H399" i="46"/>
  <c r="I399" i="46" s="1"/>
  <c r="J399" i="46" s="1"/>
  <c r="K399" i="46" s="1"/>
  <c r="L399" i="46" s="1"/>
  <c r="M399" i="46" s="1"/>
  <c r="N399" i="46" s="1"/>
  <c r="O399" i="46" s="1"/>
  <c r="P399" i="46" s="1"/>
  <c r="Q399" i="46" s="1"/>
  <c r="R399" i="46" s="1"/>
  <c r="S399" i="46" s="1"/>
  <c r="H399" i="45"/>
  <c r="I399" i="45" s="1"/>
  <c r="J399" i="45" s="1"/>
  <c r="K399" i="45" s="1"/>
  <c r="L399" i="45" s="1"/>
  <c r="M399" i="45" s="1"/>
  <c r="N399" i="45" s="1"/>
  <c r="O399" i="45" s="1"/>
  <c r="P399" i="45" s="1"/>
  <c r="Q399" i="45" s="1"/>
  <c r="R399" i="45" s="1"/>
  <c r="S399" i="45" s="1"/>
  <c r="H399" i="44"/>
  <c r="I399" i="44" s="1"/>
  <c r="J399" i="44" s="1"/>
  <c r="K399" i="44" s="1"/>
  <c r="L399" i="44" s="1"/>
  <c r="M399" i="44" s="1"/>
  <c r="N399" i="44" s="1"/>
  <c r="O399" i="44" s="1"/>
  <c r="P399" i="44" s="1"/>
  <c r="Q399" i="44" s="1"/>
  <c r="R399" i="44" s="1"/>
  <c r="S399" i="44" s="1"/>
  <c r="H399" i="43"/>
  <c r="I399" i="43" s="1"/>
  <c r="J399" i="43" s="1"/>
  <c r="K399" i="43" s="1"/>
  <c r="L399" i="43" s="1"/>
  <c r="M399" i="43" s="1"/>
  <c r="N399" i="43" s="1"/>
  <c r="O399" i="43" s="1"/>
  <c r="P399" i="43" s="1"/>
  <c r="Q399" i="43" s="1"/>
  <c r="R399" i="43" s="1"/>
  <c r="S399" i="43" s="1"/>
  <c r="C422" i="47"/>
  <c r="C422" i="48"/>
  <c r="C422" i="45"/>
  <c r="C422" i="46"/>
  <c r="C422" i="44"/>
  <c r="C422" i="43"/>
  <c r="C419" i="47"/>
  <c r="C419" i="48"/>
  <c r="C419" i="46"/>
  <c r="C419" i="45"/>
  <c r="C419" i="44"/>
  <c r="C419" i="43"/>
  <c r="C423" i="48"/>
  <c r="C423" i="47"/>
  <c r="C423" i="45"/>
  <c r="C423" i="46"/>
  <c r="C423" i="44"/>
  <c r="C423" i="43"/>
  <c r="C420" i="48"/>
  <c r="C420" i="47"/>
  <c r="C420" i="46"/>
  <c r="C420" i="45"/>
  <c r="C420" i="44"/>
  <c r="C420" i="43"/>
  <c r="C424" i="48"/>
  <c r="C424" i="47"/>
  <c r="C424" i="46"/>
  <c r="C424" i="45"/>
  <c r="C424" i="44"/>
  <c r="C424" i="43"/>
  <c r="C421" i="48"/>
  <c r="C421" i="47"/>
  <c r="C421" i="45"/>
  <c r="C421" i="46"/>
  <c r="C421" i="44"/>
  <c r="C421" i="43"/>
  <c r="C426" i="48"/>
  <c r="C426" i="47"/>
  <c r="C426" i="46"/>
  <c r="C426" i="45"/>
  <c r="C426" i="44"/>
  <c r="C426" i="43"/>
  <c r="D417" i="48"/>
  <c r="D417" i="47"/>
  <c r="D417" i="46"/>
  <c r="D417" i="45"/>
  <c r="D417" i="44"/>
  <c r="D417" i="43"/>
  <c r="D415" i="47"/>
  <c r="D415" i="48"/>
  <c r="D415" i="46"/>
  <c r="D415" i="45"/>
  <c r="D415" i="44"/>
  <c r="D415" i="43"/>
  <c r="D414" i="48"/>
  <c r="D414" i="47"/>
  <c r="D414" i="46"/>
  <c r="D414" i="45"/>
  <c r="D414" i="44"/>
  <c r="D414" i="43"/>
  <c r="D416" i="47"/>
  <c r="D416" i="48"/>
  <c r="D416" i="45"/>
  <c r="D416" i="46"/>
  <c r="D416" i="44"/>
  <c r="D416" i="43"/>
  <c r="D418" i="48"/>
  <c r="D418" i="47"/>
  <c r="D418" i="45"/>
  <c r="D418" i="46"/>
  <c r="D418" i="44"/>
  <c r="D418" i="43"/>
  <c r="F410" i="48" l="1"/>
  <c r="F410" i="47"/>
  <c r="F410" i="46"/>
  <c r="F410" i="45"/>
  <c r="F410" i="44"/>
  <c r="F410" i="43"/>
  <c r="E417" i="48"/>
  <c r="E417" i="47"/>
  <c r="E417" i="46"/>
  <c r="E417" i="45"/>
  <c r="E417" i="44"/>
  <c r="E417" i="43"/>
  <c r="G405" i="48"/>
  <c r="G405" i="47"/>
  <c r="G405" i="46"/>
  <c r="G405" i="45"/>
  <c r="G405" i="44"/>
  <c r="G405" i="43"/>
  <c r="F413" i="48"/>
  <c r="F413" i="47"/>
  <c r="F413" i="46"/>
  <c r="F413" i="45"/>
  <c r="F413" i="44"/>
  <c r="F413" i="43"/>
  <c r="G408" i="48"/>
  <c r="G408" i="47"/>
  <c r="G408" i="46"/>
  <c r="G408" i="45"/>
  <c r="G408" i="44"/>
  <c r="G408" i="43"/>
  <c r="E414" i="48"/>
  <c r="E414" i="47"/>
  <c r="E414" i="46"/>
  <c r="E414" i="45"/>
  <c r="E414" i="44"/>
  <c r="E414" i="43"/>
  <c r="E415" i="48"/>
  <c r="E415" i="47"/>
  <c r="E415" i="46"/>
  <c r="E415" i="45"/>
  <c r="E415" i="44"/>
  <c r="E415" i="43"/>
  <c r="H405" i="48"/>
  <c r="I405" i="48" s="1"/>
  <c r="J405" i="48" s="1"/>
  <c r="K405" i="48" s="1"/>
  <c r="L405" i="48" s="1"/>
  <c r="M405" i="48" s="1"/>
  <c r="N405" i="48" s="1"/>
  <c r="O405" i="48" s="1"/>
  <c r="P405" i="48" s="1"/>
  <c r="Q405" i="48" s="1"/>
  <c r="R405" i="48" s="1"/>
  <c r="S405" i="48" s="1"/>
  <c r="H405" i="47"/>
  <c r="I405" i="47" s="1"/>
  <c r="J405" i="47" s="1"/>
  <c r="K405" i="47" s="1"/>
  <c r="L405" i="47" s="1"/>
  <c r="M405" i="47" s="1"/>
  <c r="N405" i="47" s="1"/>
  <c r="O405" i="47" s="1"/>
  <c r="P405" i="47" s="1"/>
  <c r="Q405" i="47" s="1"/>
  <c r="R405" i="47" s="1"/>
  <c r="S405" i="47" s="1"/>
  <c r="H405" i="46"/>
  <c r="I405" i="46" s="1"/>
  <c r="J405" i="46" s="1"/>
  <c r="K405" i="46" s="1"/>
  <c r="L405" i="46" s="1"/>
  <c r="M405" i="46" s="1"/>
  <c r="N405" i="46" s="1"/>
  <c r="O405" i="46" s="1"/>
  <c r="P405" i="46" s="1"/>
  <c r="Q405" i="46" s="1"/>
  <c r="R405" i="46" s="1"/>
  <c r="S405" i="46" s="1"/>
  <c r="H405" i="45"/>
  <c r="I405" i="45" s="1"/>
  <c r="J405" i="45" s="1"/>
  <c r="K405" i="45" s="1"/>
  <c r="L405" i="45" s="1"/>
  <c r="M405" i="45" s="1"/>
  <c r="N405" i="45" s="1"/>
  <c r="O405" i="45" s="1"/>
  <c r="P405" i="45" s="1"/>
  <c r="Q405" i="45" s="1"/>
  <c r="R405" i="45" s="1"/>
  <c r="S405" i="45" s="1"/>
  <c r="H405" i="44"/>
  <c r="I405" i="44" s="1"/>
  <c r="J405" i="44" s="1"/>
  <c r="K405" i="44" s="1"/>
  <c r="L405" i="44" s="1"/>
  <c r="M405" i="44" s="1"/>
  <c r="N405" i="44" s="1"/>
  <c r="O405" i="44" s="1"/>
  <c r="P405" i="44" s="1"/>
  <c r="Q405" i="44" s="1"/>
  <c r="R405" i="44" s="1"/>
  <c r="S405" i="44" s="1"/>
  <c r="H405" i="43"/>
  <c r="I405" i="43" s="1"/>
  <c r="J405" i="43" s="1"/>
  <c r="K405" i="43" s="1"/>
  <c r="L405" i="43" s="1"/>
  <c r="M405" i="43" s="1"/>
  <c r="N405" i="43" s="1"/>
  <c r="O405" i="43" s="1"/>
  <c r="P405" i="43" s="1"/>
  <c r="Q405" i="43" s="1"/>
  <c r="R405" i="43" s="1"/>
  <c r="S405" i="43" s="1"/>
  <c r="H408" i="48"/>
  <c r="I408" i="48" s="1"/>
  <c r="J408" i="48" s="1"/>
  <c r="K408" i="48" s="1"/>
  <c r="L408" i="48" s="1"/>
  <c r="M408" i="48" s="1"/>
  <c r="N408" i="48" s="1"/>
  <c r="O408" i="48" s="1"/>
  <c r="P408" i="48" s="1"/>
  <c r="Q408" i="48" s="1"/>
  <c r="R408" i="48" s="1"/>
  <c r="S408" i="48" s="1"/>
  <c r="H408" i="47"/>
  <c r="I408" i="47" s="1"/>
  <c r="J408" i="47" s="1"/>
  <c r="K408" i="47" s="1"/>
  <c r="L408" i="47" s="1"/>
  <c r="M408" i="47" s="1"/>
  <c r="N408" i="47" s="1"/>
  <c r="O408" i="47" s="1"/>
  <c r="P408" i="47" s="1"/>
  <c r="Q408" i="47" s="1"/>
  <c r="R408" i="47" s="1"/>
  <c r="S408" i="47" s="1"/>
  <c r="H408" i="46"/>
  <c r="I408" i="46" s="1"/>
  <c r="J408" i="46" s="1"/>
  <c r="K408" i="46" s="1"/>
  <c r="L408" i="46" s="1"/>
  <c r="M408" i="46" s="1"/>
  <c r="N408" i="46" s="1"/>
  <c r="O408" i="46" s="1"/>
  <c r="P408" i="46" s="1"/>
  <c r="Q408" i="46" s="1"/>
  <c r="R408" i="46" s="1"/>
  <c r="S408" i="46" s="1"/>
  <c r="H408" i="45"/>
  <c r="I408" i="45" s="1"/>
  <c r="J408" i="45" s="1"/>
  <c r="K408" i="45" s="1"/>
  <c r="L408" i="45" s="1"/>
  <c r="M408" i="45" s="1"/>
  <c r="N408" i="45" s="1"/>
  <c r="O408" i="45" s="1"/>
  <c r="P408" i="45" s="1"/>
  <c r="Q408" i="45" s="1"/>
  <c r="R408" i="45" s="1"/>
  <c r="S408" i="45" s="1"/>
  <c r="H408" i="44"/>
  <c r="I408" i="44" s="1"/>
  <c r="J408" i="44" s="1"/>
  <c r="K408" i="44" s="1"/>
  <c r="L408" i="44" s="1"/>
  <c r="M408" i="44" s="1"/>
  <c r="N408" i="44" s="1"/>
  <c r="O408" i="44" s="1"/>
  <c r="P408" i="44" s="1"/>
  <c r="Q408" i="44" s="1"/>
  <c r="R408" i="44" s="1"/>
  <c r="S408" i="44" s="1"/>
  <c r="H408" i="43"/>
  <c r="I408" i="43" s="1"/>
  <c r="J408" i="43" s="1"/>
  <c r="K408" i="43" s="1"/>
  <c r="L408" i="43" s="1"/>
  <c r="M408" i="43" s="1"/>
  <c r="N408" i="43" s="1"/>
  <c r="O408" i="43" s="1"/>
  <c r="P408" i="43" s="1"/>
  <c r="Q408" i="43" s="1"/>
  <c r="R408" i="43" s="1"/>
  <c r="S408" i="43" s="1"/>
  <c r="H407" i="48"/>
  <c r="I407" i="48" s="1"/>
  <c r="J407" i="48" s="1"/>
  <c r="K407" i="48" s="1"/>
  <c r="L407" i="48" s="1"/>
  <c r="M407" i="48" s="1"/>
  <c r="N407" i="48" s="1"/>
  <c r="O407" i="48" s="1"/>
  <c r="P407" i="48" s="1"/>
  <c r="Q407" i="48" s="1"/>
  <c r="R407" i="48" s="1"/>
  <c r="S407" i="48" s="1"/>
  <c r="H407" i="47"/>
  <c r="I407" i="47" s="1"/>
  <c r="J407" i="47" s="1"/>
  <c r="K407" i="47" s="1"/>
  <c r="L407" i="47" s="1"/>
  <c r="M407" i="47" s="1"/>
  <c r="N407" i="47" s="1"/>
  <c r="O407" i="47" s="1"/>
  <c r="P407" i="47" s="1"/>
  <c r="Q407" i="47" s="1"/>
  <c r="R407" i="47" s="1"/>
  <c r="S407" i="47" s="1"/>
  <c r="H407" i="46"/>
  <c r="I407" i="46" s="1"/>
  <c r="J407" i="46" s="1"/>
  <c r="K407" i="46" s="1"/>
  <c r="L407" i="46" s="1"/>
  <c r="M407" i="46" s="1"/>
  <c r="N407" i="46" s="1"/>
  <c r="O407" i="46" s="1"/>
  <c r="P407" i="46" s="1"/>
  <c r="Q407" i="46" s="1"/>
  <c r="R407" i="46" s="1"/>
  <c r="S407" i="46" s="1"/>
  <c r="H407" i="45"/>
  <c r="I407" i="45" s="1"/>
  <c r="J407" i="45" s="1"/>
  <c r="K407" i="45" s="1"/>
  <c r="L407" i="45" s="1"/>
  <c r="M407" i="45" s="1"/>
  <c r="N407" i="45" s="1"/>
  <c r="O407" i="45" s="1"/>
  <c r="P407" i="45" s="1"/>
  <c r="Q407" i="45" s="1"/>
  <c r="R407" i="45" s="1"/>
  <c r="S407" i="45" s="1"/>
  <c r="H407" i="44"/>
  <c r="I407" i="44" s="1"/>
  <c r="J407" i="44" s="1"/>
  <c r="K407" i="44" s="1"/>
  <c r="L407" i="44" s="1"/>
  <c r="M407" i="44" s="1"/>
  <c r="N407" i="44" s="1"/>
  <c r="O407" i="44" s="1"/>
  <c r="P407" i="44" s="1"/>
  <c r="Q407" i="44" s="1"/>
  <c r="R407" i="44" s="1"/>
  <c r="S407" i="44" s="1"/>
  <c r="H407" i="43"/>
  <c r="I407" i="43" s="1"/>
  <c r="J407" i="43" s="1"/>
  <c r="K407" i="43" s="1"/>
  <c r="L407" i="43" s="1"/>
  <c r="M407" i="43" s="1"/>
  <c r="N407" i="43" s="1"/>
  <c r="O407" i="43" s="1"/>
  <c r="P407" i="43" s="1"/>
  <c r="Q407" i="43" s="1"/>
  <c r="R407" i="43" s="1"/>
  <c r="S407" i="43" s="1"/>
  <c r="E418" i="48"/>
  <c r="E418" i="47"/>
  <c r="E418" i="46"/>
  <c r="E418" i="45"/>
  <c r="E418" i="44"/>
  <c r="E418" i="43"/>
  <c r="F411" i="48"/>
  <c r="F411" i="47"/>
  <c r="F411" i="46"/>
  <c r="F411" i="45"/>
  <c r="F411" i="44"/>
  <c r="F411" i="43"/>
  <c r="G409" i="48"/>
  <c r="G409" i="47"/>
  <c r="G409" i="46"/>
  <c r="G409" i="45"/>
  <c r="G409" i="44"/>
  <c r="G409" i="43"/>
  <c r="E416" i="48"/>
  <c r="E416" i="47"/>
  <c r="E416" i="46"/>
  <c r="E416" i="45"/>
  <c r="E416" i="44"/>
  <c r="E416" i="43"/>
  <c r="G407" i="48"/>
  <c r="G407" i="47"/>
  <c r="G407" i="46"/>
  <c r="G407" i="45"/>
  <c r="G407" i="44"/>
  <c r="G407" i="43"/>
  <c r="F412" i="48"/>
  <c r="F412" i="47"/>
  <c r="F412" i="46"/>
  <c r="F412" i="45"/>
  <c r="F412" i="44"/>
  <c r="F412" i="43"/>
  <c r="H409" i="48"/>
  <c r="I409" i="48" s="1"/>
  <c r="J409" i="48" s="1"/>
  <c r="K409" i="48" s="1"/>
  <c r="L409" i="48" s="1"/>
  <c r="M409" i="48" s="1"/>
  <c r="N409" i="48" s="1"/>
  <c r="O409" i="48" s="1"/>
  <c r="P409" i="48" s="1"/>
  <c r="Q409" i="48" s="1"/>
  <c r="R409" i="48" s="1"/>
  <c r="S409" i="48" s="1"/>
  <c r="H409" i="47"/>
  <c r="I409" i="47" s="1"/>
  <c r="J409" i="47" s="1"/>
  <c r="K409" i="47" s="1"/>
  <c r="L409" i="47" s="1"/>
  <c r="M409" i="47" s="1"/>
  <c r="N409" i="47" s="1"/>
  <c r="O409" i="47" s="1"/>
  <c r="P409" i="47" s="1"/>
  <c r="Q409" i="47" s="1"/>
  <c r="R409" i="47" s="1"/>
  <c r="S409" i="47" s="1"/>
  <c r="H409" i="46"/>
  <c r="I409" i="46" s="1"/>
  <c r="J409" i="46" s="1"/>
  <c r="K409" i="46" s="1"/>
  <c r="L409" i="46" s="1"/>
  <c r="M409" i="46" s="1"/>
  <c r="N409" i="46" s="1"/>
  <c r="O409" i="46" s="1"/>
  <c r="P409" i="46" s="1"/>
  <c r="Q409" i="46" s="1"/>
  <c r="R409" i="46" s="1"/>
  <c r="S409" i="46" s="1"/>
  <c r="H409" i="45"/>
  <c r="I409" i="45" s="1"/>
  <c r="J409" i="45" s="1"/>
  <c r="K409" i="45" s="1"/>
  <c r="L409" i="45" s="1"/>
  <c r="M409" i="45" s="1"/>
  <c r="N409" i="45" s="1"/>
  <c r="O409" i="45" s="1"/>
  <c r="P409" i="45" s="1"/>
  <c r="Q409" i="45" s="1"/>
  <c r="R409" i="45" s="1"/>
  <c r="S409" i="45" s="1"/>
  <c r="H409" i="44"/>
  <c r="I409" i="44" s="1"/>
  <c r="J409" i="44" s="1"/>
  <c r="K409" i="44" s="1"/>
  <c r="L409" i="44" s="1"/>
  <c r="M409" i="44" s="1"/>
  <c r="N409" i="44" s="1"/>
  <c r="O409" i="44" s="1"/>
  <c r="P409" i="44" s="1"/>
  <c r="Q409" i="44" s="1"/>
  <c r="R409" i="44" s="1"/>
  <c r="S409" i="44" s="1"/>
  <c r="H409" i="43"/>
  <c r="I409" i="43" s="1"/>
  <c r="J409" i="43" s="1"/>
  <c r="K409" i="43" s="1"/>
  <c r="L409" i="43" s="1"/>
  <c r="M409" i="43" s="1"/>
  <c r="N409" i="43" s="1"/>
  <c r="O409" i="43" s="1"/>
  <c r="P409" i="43" s="1"/>
  <c r="Q409" i="43" s="1"/>
  <c r="R409" i="43" s="1"/>
  <c r="S409" i="43" s="1"/>
  <c r="C427" i="48"/>
  <c r="C427" i="47"/>
  <c r="C427" i="46"/>
  <c r="C427" i="45"/>
  <c r="C427" i="44"/>
  <c r="C427" i="43"/>
  <c r="C428" i="48"/>
  <c r="C428" i="47"/>
  <c r="C428" i="45"/>
  <c r="C428" i="46"/>
  <c r="C428" i="44"/>
  <c r="C428" i="43"/>
  <c r="C425" i="48"/>
  <c r="C425" i="47"/>
  <c r="C425" i="45"/>
  <c r="C425" i="46"/>
  <c r="C425" i="44"/>
  <c r="C425" i="43"/>
  <c r="D426" i="48"/>
  <c r="D426" i="47"/>
  <c r="D426" i="46"/>
  <c r="D426" i="45"/>
  <c r="D426" i="44"/>
  <c r="D426" i="43"/>
  <c r="D421" i="48"/>
  <c r="D421" i="47"/>
  <c r="D421" i="46"/>
  <c r="D421" i="45"/>
  <c r="D421" i="44"/>
  <c r="D421" i="43"/>
  <c r="D419" i="48"/>
  <c r="D419" i="47"/>
  <c r="D419" i="46"/>
  <c r="D419" i="45"/>
  <c r="D419" i="44"/>
  <c r="D419" i="43"/>
  <c r="D423" i="48"/>
  <c r="D423" i="47"/>
  <c r="D423" i="46"/>
  <c r="D423" i="45"/>
  <c r="D423" i="44"/>
  <c r="D423" i="43"/>
  <c r="D422" i="48"/>
  <c r="D422" i="47"/>
  <c r="D422" i="46"/>
  <c r="D422" i="45"/>
  <c r="D422" i="44"/>
  <c r="D422" i="43"/>
  <c r="D420" i="47"/>
  <c r="D420" i="48"/>
  <c r="D420" i="46"/>
  <c r="D420" i="45"/>
  <c r="D420" i="44"/>
  <c r="D420" i="43"/>
  <c r="D424" i="48"/>
  <c r="D424" i="47"/>
  <c r="D424" i="46"/>
  <c r="D424" i="45"/>
  <c r="D424" i="44"/>
  <c r="D424" i="43"/>
  <c r="G410" i="48" l="1"/>
  <c r="G410" i="47"/>
  <c r="G410" i="46"/>
  <c r="G410" i="45"/>
  <c r="G410" i="44"/>
  <c r="G410" i="43"/>
  <c r="F416" i="48"/>
  <c r="F416" i="47"/>
  <c r="F416" i="46"/>
  <c r="F416" i="45"/>
  <c r="F416" i="44"/>
  <c r="F416" i="43"/>
  <c r="H411" i="48"/>
  <c r="I411" i="48" s="1"/>
  <c r="J411" i="48" s="1"/>
  <c r="K411" i="48" s="1"/>
  <c r="L411" i="48" s="1"/>
  <c r="M411" i="48" s="1"/>
  <c r="N411" i="48" s="1"/>
  <c r="O411" i="48" s="1"/>
  <c r="P411" i="48" s="1"/>
  <c r="Q411" i="48" s="1"/>
  <c r="R411" i="48" s="1"/>
  <c r="S411" i="48" s="1"/>
  <c r="H411" i="47"/>
  <c r="I411" i="47" s="1"/>
  <c r="J411" i="47" s="1"/>
  <c r="K411" i="47" s="1"/>
  <c r="L411" i="47" s="1"/>
  <c r="M411" i="47" s="1"/>
  <c r="N411" i="47" s="1"/>
  <c r="O411" i="47" s="1"/>
  <c r="P411" i="47" s="1"/>
  <c r="Q411" i="47" s="1"/>
  <c r="R411" i="47" s="1"/>
  <c r="S411" i="47" s="1"/>
  <c r="H411" i="46"/>
  <c r="I411" i="46" s="1"/>
  <c r="J411" i="46" s="1"/>
  <c r="K411" i="46" s="1"/>
  <c r="L411" i="46" s="1"/>
  <c r="M411" i="46" s="1"/>
  <c r="N411" i="46" s="1"/>
  <c r="O411" i="46" s="1"/>
  <c r="P411" i="46" s="1"/>
  <c r="Q411" i="46" s="1"/>
  <c r="R411" i="46" s="1"/>
  <c r="S411" i="46" s="1"/>
  <c r="H411" i="45"/>
  <c r="I411" i="45" s="1"/>
  <c r="J411" i="45" s="1"/>
  <c r="K411" i="45" s="1"/>
  <c r="L411" i="45" s="1"/>
  <c r="M411" i="45" s="1"/>
  <c r="N411" i="45" s="1"/>
  <c r="O411" i="45" s="1"/>
  <c r="P411" i="45" s="1"/>
  <c r="Q411" i="45" s="1"/>
  <c r="R411" i="45" s="1"/>
  <c r="S411" i="45" s="1"/>
  <c r="H411" i="44"/>
  <c r="I411" i="44" s="1"/>
  <c r="J411" i="44" s="1"/>
  <c r="K411" i="44" s="1"/>
  <c r="L411" i="44" s="1"/>
  <c r="M411" i="44" s="1"/>
  <c r="N411" i="44" s="1"/>
  <c r="O411" i="44" s="1"/>
  <c r="P411" i="44" s="1"/>
  <c r="Q411" i="44" s="1"/>
  <c r="R411" i="44" s="1"/>
  <c r="S411" i="44" s="1"/>
  <c r="H411" i="43"/>
  <c r="I411" i="43" s="1"/>
  <c r="J411" i="43" s="1"/>
  <c r="K411" i="43" s="1"/>
  <c r="L411" i="43" s="1"/>
  <c r="M411" i="43" s="1"/>
  <c r="N411" i="43" s="1"/>
  <c r="O411" i="43" s="1"/>
  <c r="P411" i="43" s="1"/>
  <c r="Q411" i="43" s="1"/>
  <c r="R411" i="43" s="1"/>
  <c r="S411" i="43" s="1"/>
  <c r="H412" i="48"/>
  <c r="I412" i="48" s="1"/>
  <c r="J412" i="48" s="1"/>
  <c r="K412" i="48" s="1"/>
  <c r="L412" i="48" s="1"/>
  <c r="M412" i="48" s="1"/>
  <c r="N412" i="48" s="1"/>
  <c r="O412" i="48" s="1"/>
  <c r="P412" i="48" s="1"/>
  <c r="Q412" i="48" s="1"/>
  <c r="R412" i="48" s="1"/>
  <c r="S412" i="48" s="1"/>
  <c r="H412" i="47"/>
  <c r="I412" i="47" s="1"/>
  <c r="J412" i="47" s="1"/>
  <c r="K412" i="47" s="1"/>
  <c r="L412" i="47" s="1"/>
  <c r="M412" i="47" s="1"/>
  <c r="N412" i="47" s="1"/>
  <c r="O412" i="47" s="1"/>
  <c r="P412" i="47" s="1"/>
  <c r="Q412" i="47" s="1"/>
  <c r="R412" i="47" s="1"/>
  <c r="S412" i="47" s="1"/>
  <c r="H412" i="46"/>
  <c r="I412" i="46" s="1"/>
  <c r="J412" i="46" s="1"/>
  <c r="K412" i="46" s="1"/>
  <c r="L412" i="46" s="1"/>
  <c r="M412" i="46" s="1"/>
  <c r="N412" i="46" s="1"/>
  <c r="O412" i="46" s="1"/>
  <c r="P412" i="46" s="1"/>
  <c r="Q412" i="46" s="1"/>
  <c r="R412" i="46" s="1"/>
  <c r="S412" i="46" s="1"/>
  <c r="H412" i="45"/>
  <c r="I412" i="45" s="1"/>
  <c r="J412" i="45" s="1"/>
  <c r="K412" i="45" s="1"/>
  <c r="L412" i="45" s="1"/>
  <c r="M412" i="45" s="1"/>
  <c r="N412" i="45" s="1"/>
  <c r="O412" i="45" s="1"/>
  <c r="P412" i="45" s="1"/>
  <c r="Q412" i="45" s="1"/>
  <c r="R412" i="45" s="1"/>
  <c r="S412" i="45" s="1"/>
  <c r="H412" i="44"/>
  <c r="I412" i="44" s="1"/>
  <c r="J412" i="44" s="1"/>
  <c r="K412" i="44" s="1"/>
  <c r="L412" i="44" s="1"/>
  <c r="M412" i="44" s="1"/>
  <c r="N412" i="44" s="1"/>
  <c r="O412" i="44" s="1"/>
  <c r="P412" i="44" s="1"/>
  <c r="Q412" i="44" s="1"/>
  <c r="R412" i="44" s="1"/>
  <c r="S412" i="44" s="1"/>
  <c r="H412" i="43"/>
  <c r="I412" i="43" s="1"/>
  <c r="J412" i="43" s="1"/>
  <c r="K412" i="43" s="1"/>
  <c r="L412" i="43" s="1"/>
  <c r="M412" i="43" s="1"/>
  <c r="N412" i="43" s="1"/>
  <c r="O412" i="43" s="1"/>
  <c r="P412" i="43" s="1"/>
  <c r="Q412" i="43" s="1"/>
  <c r="R412" i="43" s="1"/>
  <c r="S412" i="43" s="1"/>
  <c r="E421" i="48"/>
  <c r="E421" i="47"/>
  <c r="E421" i="46"/>
  <c r="E421" i="45"/>
  <c r="E421" i="44"/>
  <c r="E421" i="43"/>
  <c r="H410" i="48"/>
  <c r="I410" i="48" s="1"/>
  <c r="J410" i="48" s="1"/>
  <c r="K410" i="48" s="1"/>
  <c r="L410" i="48" s="1"/>
  <c r="M410" i="48" s="1"/>
  <c r="N410" i="48" s="1"/>
  <c r="O410" i="48" s="1"/>
  <c r="P410" i="48" s="1"/>
  <c r="Q410" i="48" s="1"/>
  <c r="R410" i="48" s="1"/>
  <c r="S410" i="48" s="1"/>
  <c r="H410" i="47"/>
  <c r="I410" i="47" s="1"/>
  <c r="J410" i="47" s="1"/>
  <c r="K410" i="47" s="1"/>
  <c r="L410" i="47" s="1"/>
  <c r="M410" i="47" s="1"/>
  <c r="N410" i="47" s="1"/>
  <c r="O410" i="47" s="1"/>
  <c r="P410" i="47" s="1"/>
  <c r="Q410" i="47" s="1"/>
  <c r="R410" i="47" s="1"/>
  <c r="S410" i="47" s="1"/>
  <c r="H410" i="46"/>
  <c r="I410" i="46" s="1"/>
  <c r="J410" i="46" s="1"/>
  <c r="K410" i="46" s="1"/>
  <c r="L410" i="46" s="1"/>
  <c r="M410" i="46" s="1"/>
  <c r="N410" i="46" s="1"/>
  <c r="O410" i="46" s="1"/>
  <c r="P410" i="46" s="1"/>
  <c r="Q410" i="46" s="1"/>
  <c r="R410" i="46" s="1"/>
  <c r="S410" i="46" s="1"/>
  <c r="H410" i="45"/>
  <c r="I410" i="45" s="1"/>
  <c r="J410" i="45" s="1"/>
  <c r="K410" i="45" s="1"/>
  <c r="L410" i="45" s="1"/>
  <c r="M410" i="45" s="1"/>
  <c r="N410" i="45" s="1"/>
  <c r="O410" i="45" s="1"/>
  <c r="P410" i="45" s="1"/>
  <c r="Q410" i="45" s="1"/>
  <c r="R410" i="45" s="1"/>
  <c r="S410" i="45" s="1"/>
  <c r="H410" i="44"/>
  <c r="I410" i="44" s="1"/>
  <c r="J410" i="44" s="1"/>
  <c r="K410" i="44" s="1"/>
  <c r="L410" i="44" s="1"/>
  <c r="M410" i="44" s="1"/>
  <c r="N410" i="44" s="1"/>
  <c r="O410" i="44" s="1"/>
  <c r="P410" i="44" s="1"/>
  <c r="Q410" i="44" s="1"/>
  <c r="R410" i="44" s="1"/>
  <c r="S410" i="44" s="1"/>
  <c r="H410" i="43"/>
  <c r="I410" i="43" s="1"/>
  <c r="J410" i="43" s="1"/>
  <c r="K410" i="43" s="1"/>
  <c r="L410" i="43" s="1"/>
  <c r="M410" i="43" s="1"/>
  <c r="N410" i="43" s="1"/>
  <c r="O410" i="43" s="1"/>
  <c r="P410" i="43" s="1"/>
  <c r="Q410" i="43" s="1"/>
  <c r="R410" i="43" s="1"/>
  <c r="S410" i="43" s="1"/>
  <c r="F418" i="48"/>
  <c r="F418" i="47"/>
  <c r="F418" i="46"/>
  <c r="F418" i="45"/>
  <c r="F418" i="44"/>
  <c r="F418" i="43"/>
  <c r="F414" i="48"/>
  <c r="F414" i="47"/>
  <c r="F414" i="46"/>
  <c r="F414" i="45"/>
  <c r="F414" i="44"/>
  <c r="F414" i="43"/>
  <c r="H413" i="48"/>
  <c r="I413" i="48" s="1"/>
  <c r="J413" i="48" s="1"/>
  <c r="K413" i="48" s="1"/>
  <c r="L413" i="48" s="1"/>
  <c r="M413" i="48" s="1"/>
  <c r="N413" i="48" s="1"/>
  <c r="O413" i="48" s="1"/>
  <c r="P413" i="48" s="1"/>
  <c r="Q413" i="48" s="1"/>
  <c r="R413" i="48" s="1"/>
  <c r="S413" i="48" s="1"/>
  <c r="H413" i="47"/>
  <c r="I413" i="47" s="1"/>
  <c r="J413" i="47" s="1"/>
  <c r="K413" i="47" s="1"/>
  <c r="L413" i="47" s="1"/>
  <c r="M413" i="47" s="1"/>
  <c r="N413" i="47" s="1"/>
  <c r="O413" i="47" s="1"/>
  <c r="P413" i="47" s="1"/>
  <c r="Q413" i="47" s="1"/>
  <c r="R413" i="47" s="1"/>
  <c r="S413" i="47" s="1"/>
  <c r="H413" i="46"/>
  <c r="I413" i="46" s="1"/>
  <c r="J413" i="46" s="1"/>
  <c r="K413" i="46" s="1"/>
  <c r="L413" i="46" s="1"/>
  <c r="M413" i="46" s="1"/>
  <c r="N413" i="46" s="1"/>
  <c r="O413" i="46" s="1"/>
  <c r="P413" i="46" s="1"/>
  <c r="Q413" i="46" s="1"/>
  <c r="R413" i="46" s="1"/>
  <c r="S413" i="46" s="1"/>
  <c r="H413" i="45"/>
  <c r="I413" i="45" s="1"/>
  <c r="J413" i="45" s="1"/>
  <c r="K413" i="45" s="1"/>
  <c r="L413" i="45" s="1"/>
  <c r="M413" i="45" s="1"/>
  <c r="N413" i="45" s="1"/>
  <c r="O413" i="45" s="1"/>
  <c r="P413" i="45" s="1"/>
  <c r="Q413" i="45" s="1"/>
  <c r="R413" i="45" s="1"/>
  <c r="S413" i="45" s="1"/>
  <c r="H413" i="44"/>
  <c r="I413" i="44" s="1"/>
  <c r="J413" i="44" s="1"/>
  <c r="K413" i="44" s="1"/>
  <c r="L413" i="44" s="1"/>
  <c r="M413" i="44" s="1"/>
  <c r="N413" i="44" s="1"/>
  <c r="O413" i="44" s="1"/>
  <c r="P413" i="44" s="1"/>
  <c r="Q413" i="44" s="1"/>
  <c r="R413" i="44" s="1"/>
  <c r="S413" i="44" s="1"/>
  <c r="H413" i="43"/>
  <c r="I413" i="43" s="1"/>
  <c r="J413" i="43" s="1"/>
  <c r="K413" i="43" s="1"/>
  <c r="L413" i="43" s="1"/>
  <c r="M413" i="43" s="1"/>
  <c r="N413" i="43" s="1"/>
  <c r="O413" i="43" s="1"/>
  <c r="P413" i="43" s="1"/>
  <c r="Q413" i="43" s="1"/>
  <c r="R413" i="43" s="1"/>
  <c r="S413" i="43" s="1"/>
  <c r="G413" i="48"/>
  <c r="G413" i="47"/>
  <c r="G413" i="46"/>
  <c r="G413" i="45"/>
  <c r="G413" i="44"/>
  <c r="G413" i="43"/>
  <c r="F417" i="48"/>
  <c r="F417" i="47"/>
  <c r="F417" i="46"/>
  <c r="F417" i="45"/>
  <c r="F417" i="44"/>
  <c r="F417" i="43"/>
  <c r="E423" i="48"/>
  <c r="E423" i="47"/>
  <c r="E423" i="46"/>
  <c r="E423" i="45"/>
  <c r="E423" i="44"/>
  <c r="E423" i="43"/>
  <c r="F415" i="48"/>
  <c r="F415" i="47"/>
  <c r="F415" i="46"/>
  <c r="F415" i="45"/>
  <c r="F415" i="44"/>
  <c r="F415" i="43"/>
  <c r="E419" i="48"/>
  <c r="E419" i="47"/>
  <c r="E419" i="46"/>
  <c r="E419" i="45"/>
  <c r="E419" i="44"/>
  <c r="E419" i="43"/>
  <c r="E426" i="48"/>
  <c r="E426" i="47"/>
  <c r="E426" i="46"/>
  <c r="E426" i="45"/>
  <c r="E426" i="44"/>
  <c r="E426" i="43"/>
  <c r="E420" i="48"/>
  <c r="E420" i="47"/>
  <c r="E420" i="46"/>
  <c r="E420" i="45"/>
  <c r="E420" i="44"/>
  <c r="E420" i="43"/>
  <c r="E422" i="48"/>
  <c r="E422" i="47"/>
  <c r="E422" i="46"/>
  <c r="E422" i="45"/>
  <c r="E422" i="44"/>
  <c r="E422" i="43"/>
  <c r="G411" i="48"/>
  <c r="G411" i="47"/>
  <c r="G411" i="46"/>
  <c r="G411" i="45"/>
  <c r="G411" i="44"/>
  <c r="G411" i="43"/>
  <c r="G412" i="48"/>
  <c r="G412" i="47"/>
  <c r="G412" i="46"/>
  <c r="G412" i="45"/>
  <c r="G412" i="44"/>
  <c r="G412" i="43"/>
  <c r="E424" i="48"/>
  <c r="E424" i="47"/>
  <c r="E424" i="46"/>
  <c r="E424" i="45"/>
  <c r="E424" i="44"/>
  <c r="E424" i="43"/>
  <c r="C431" i="48"/>
  <c r="C431" i="47"/>
  <c r="C431" i="45"/>
  <c r="C431" i="46"/>
  <c r="C431" i="44"/>
  <c r="C431" i="43"/>
  <c r="C429" i="47"/>
  <c r="C429" i="48"/>
  <c r="C429" i="46"/>
  <c r="C429" i="45"/>
  <c r="C429" i="44"/>
  <c r="C429" i="43"/>
  <c r="C430" i="47"/>
  <c r="C430" i="48"/>
  <c r="C430" i="46"/>
  <c r="C430" i="45"/>
  <c r="C430" i="44"/>
  <c r="C430" i="43"/>
  <c r="C433" i="48"/>
  <c r="C433" i="47"/>
  <c r="C433" i="45"/>
  <c r="C433" i="46"/>
  <c r="C433" i="44"/>
  <c r="C433" i="43"/>
  <c r="C432" i="48"/>
  <c r="C432" i="47"/>
  <c r="C432" i="45"/>
  <c r="C432" i="46"/>
  <c r="C432" i="44"/>
  <c r="C432" i="43"/>
  <c r="D428" i="48"/>
  <c r="D428" i="47"/>
  <c r="D428" i="46"/>
  <c r="D428" i="45"/>
  <c r="D428" i="44"/>
  <c r="D428" i="43"/>
  <c r="D427" i="48"/>
  <c r="D427" i="47"/>
  <c r="D427" i="46"/>
  <c r="D427" i="45"/>
  <c r="D427" i="44"/>
  <c r="D427" i="43"/>
  <c r="D425" i="48"/>
  <c r="D425" i="47"/>
  <c r="D425" i="46"/>
  <c r="D425" i="45"/>
  <c r="D425" i="44"/>
  <c r="D425" i="43"/>
  <c r="G414" i="48" l="1"/>
  <c r="G414" i="47"/>
  <c r="G414" i="46"/>
  <c r="G414" i="45"/>
  <c r="G414" i="44"/>
  <c r="G414" i="43"/>
  <c r="F420" i="48"/>
  <c r="F420" i="47"/>
  <c r="F420" i="46"/>
  <c r="F420" i="45"/>
  <c r="F420" i="44"/>
  <c r="F420" i="43"/>
  <c r="F419" i="48"/>
  <c r="F419" i="47"/>
  <c r="F419" i="46"/>
  <c r="F419" i="45"/>
  <c r="F419" i="44"/>
  <c r="F419" i="43"/>
  <c r="F421" i="48"/>
  <c r="F421" i="47"/>
  <c r="F421" i="46"/>
  <c r="F421" i="45"/>
  <c r="F421" i="44"/>
  <c r="F421" i="43"/>
  <c r="E428" i="48"/>
  <c r="E428" i="47"/>
  <c r="E428" i="46"/>
  <c r="E428" i="45"/>
  <c r="E428" i="44"/>
  <c r="E428" i="43"/>
  <c r="G417" i="48"/>
  <c r="G417" i="47"/>
  <c r="G417" i="46"/>
  <c r="G417" i="45"/>
  <c r="G417" i="44"/>
  <c r="G417" i="43"/>
  <c r="E425" i="48"/>
  <c r="E425" i="47"/>
  <c r="E425" i="46"/>
  <c r="E425" i="45"/>
  <c r="E425" i="44"/>
  <c r="E425" i="43"/>
  <c r="H414" i="48"/>
  <c r="I414" i="48" s="1"/>
  <c r="J414" i="48" s="1"/>
  <c r="K414" i="48" s="1"/>
  <c r="L414" i="48" s="1"/>
  <c r="M414" i="48" s="1"/>
  <c r="N414" i="48" s="1"/>
  <c r="O414" i="48" s="1"/>
  <c r="P414" i="48" s="1"/>
  <c r="Q414" i="48" s="1"/>
  <c r="R414" i="48" s="1"/>
  <c r="S414" i="48" s="1"/>
  <c r="H414" i="47"/>
  <c r="I414" i="47" s="1"/>
  <c r="J414" i="47" s="1"/>
  <c r="K414" i="47" s="1"/>
  <c r="L414" i="47" s="1"/>
  <c r="M414" i="47" s="1"/>
  <c r="N414" i="47" s="1"/>
  <c r="O414" i="47" s="1"/>
  <c r="P414" i="47" s="1"/>
  <c r="Q414" i="47" s="1"/>
  <c r="R414" i="47" s="1"/>
  <c r="S414" i="47" s="1"/>
  <c r="H414" i="46"/>
  <c r="I414" i="46" s="1"/>
  <c r="J414" i="46" s="1"/>
  <c r="K414" i="46" s="1"/>
  <c r="L414" i="46" s="1"/>
  <c r="M414" i="46" s="1"/>
  <c r="N414" i="46" s="1"/>
  <c r="O414" i="46" s="1"/>
  <c r="P414" i="46" s="1"/>
  <c r="Q414" i="46" s="1"/>
  <c r="R414" i="46" s="1"/>
  <c r="S414" i="46" s="1"/>
  <c r="H414" i="45"/>
  <c r="I414" i="45" s="1"/>
  <c r="J414" i="45" s="1"/>
  <c r="K414" i="45" s="1"/>
  <c r="L414" i="45" s="1"/>
  <c r="M414" i="45" s="1"/>
  <c r="N414" i="45" s="1"/>
  <c r="O414" i="45" s="1"/>
  <c r="P414" i="45" s="1"/>
  <c r="Q414" i="45" s="1"/>
  <c r="R414" i="45" s="1"/>
  <c r="S414" i="45" s="1"/>
  <c r="H414" i="44"/>
  <c r="I414" i="44" s="1"/>
  <c r="J414" i="44" s="1"/>
  <c r="K414" i="44" s="1"/>
  <c r="L414" i="44" s="1"/>
  <c r="M414" i="44" s="1"/>
  <c r="N414" i="44" s="1"/>
  <c r="O414" i="44" s="1"/>
  <c r="P414" i="44" s="1"/>
  <c r="Q414" i="44" s="1"/>
  <c r="R414" i="44" s="1"/>
  <c r="S414" i="44" s="1"/>
  <c r="H414" i="43"/>
  <c r="I414" i="43" s="1"/>
  <c r="J414" i="43" s="1"/>
  <c r="K414" i="43" s="1"/>
  <c r="L414" i="43" s="1"/>
  <c r="M414" i="43" s="1"/>
  <c r="N414" i="43" s="1"/>
  <c r="O414" i="43" s="1"/>
  <c r="P414" i="43" s="1"/>
  <c r="Q414" i="43" s="1"/>
  <c r="R414" i="43" s="1"/>
  <c r="S414" i="43" s="1"/>
  <c r="H418" i="48"/>
  <c r="I418" i="48" s="1"/>
  <c r="J418" i="48" s="1"/>
  <c r="K418" i="48" s="1"/>
  <c r="L418" i="48" s="1"/>
  <c r="M418" i="48" s="1"/>
  <c r="N418" i="48" s="1"/>
  <c r="O418" i="48" s="1"/>
  <c r="P418" i="48" s="1"/>
  <c r="Q418" i="48" s="1"/>
  <c r="R418" i="48" s="1"/>
  <c r="S418" i="48" s="1"/>
  <c r="H418" i="47"/>
  <c r="I418" i="47" s="1"/>
  <c r="J418" i="47" s="1"/>
  <c r="K418" i="47" s="1"/>
  <c r="L418" i="47" s="1"/>
  <c r="M418" i="47" s="1"/>
  <c r="N418" i="47" s="1"/>
  <c r="O418" i="47" s="1"/>
  <c r="P418" i="47" s="1"/>
  <c r="Q418" i="47" s="1"/>
  <c r="R418" i="47" s="1"/>
  <c r="S418" i="47" s="1"/>
  <c r="H418" i="46"/>
  <c r="I418" i="46" s="1"/>
  <c r="J418" i="46" s="1"/>
  <c r="K418" i="46" s="1"/>
  <c r="L418" i="46" s="1"/>
  <c r="M418" i="46" s="1"/>
  <c r="N418" i="46" s="1"/>
  <c r="O418" i="46" s="1"/>
  <c r="P418" i="46" s="1"/>
  <c r="Q418" i="46" s="1"/>
  <c r="R418" i="46" s="1"/>
  <c r="S418" i="46" s="1"/>
  <c r="H418" i="45"/>
  <c r="I418" i="45" s="1"/>
  <c r="J418" i="45" s="1"/>
  <c r="K418" i="45" s="1"/>
  <c r="L418" i="45" s="1"/>
  <c r="M418" i="45" s="1"/>
  <c r="N418" i="45" s="1"/>
  <c r="O418" i="45" s="1"/>
  <c r="P418" i="45" s="1"/>
  <c r="Q418" i="45" s="1"/>
  <c r="R418" i="45" s="1"/>
  <c r="S418" i="45" s="1"/>
  <c r="H418" i="44"/>
  <c r="I418" i="44" s="1"/>
  <c r="J418" i="44" s="1"/>
  <c r="K418" i="44" s="1"/>
  <c r="L418" i="44" s="1"/>
  <c r="M418" i="44" s="1"/>
  <c r="N418" i="44" s="1"/>
  <c r="O418" i="44" s="1"/>
  <c r="P418" i="44" s="1"/>
  <c r="Q418" i="44" s="1"/>
  <c r="R418" i="44" s="1"/>
  <c r="S418" i="44" s="1"/>
  <c r="H418" i="43"/>
  <c r="I418" i="43" s="1"/>
  <c r="J418" i="43" s="1"/>
  <c r="K418" i="43" s="1"/>
  <c r="L418" i="43" s="1"/>
  <c r="M418" i="43" s="1"/>
  <c r="N418" i="43" s="1"/>
  <c r="O418" i="43" s="1"/>
  <c r="P418" i="43" s="1"/>
  <c r="Q418" i="43" s="1"/>
  <c r="R418" i="43" s="1"/>
  <c r="S418" i="43" s="1"/>
  <c r="H417" i="48"/>
  <c r="I417" i="48" s="1"/>
  <c r="J417" i="48" s="1"/>
  <c r="K417" i="48" s="1"/>
  <c r="L417" i="48" s="1"/>
  <c r="M417" i="48" s="1"/>
  <c r="N417" i="48" s="1"/>
  <c r="O417" i="48" s="1"/>
  <c r="P417" i="48" s="1"/>
  <c r="Q417" i="48" s="1"/>
  <c r="R417" i="48" s="1"/>
  <c r="S417" i="48" s="1"/>
  <c r="H417" i="47"/>
  <c r="I417" i="47" s="1"/>
  <c r="J417" i="47" s="1"/>
  <c r="K417" i="47" s="1"/>
  <c r="L417" i="47" s="1"/>
  <c r="M417" i="47" s="1"/>
  <c r="N417" i="47" s="1"/>
  <c r="O417" i="47" s="1"/>
  <c r="P417" i="47" s="1"/>
  <c r="Q417" i="47" s="1"/>
  <c r="R417" i="47" s="1"/>
  <c r="S417" i="47" s="1"/>
  <c r="H417" i="46"/>
  <c r="I417" i="46" s="1"/>
  <c r="J417" i="46" s="1"/>
  <c r="K417" i="46" s="1"/>
  <c r="L417" i="46" s="1"/>
  <c r="M417" i="46" s="1"/>
  <c r="N417" i="46" s="1"/>
  <c r="O417" i="46" s="1"/>
  <c r="P417" i="46" s="1"/>
  <c r="Q417" i="46" s="1"/>
  <c r="R417" i="46" s="1"/>
  <c r="S417" i="46" s="1"/>
  <c r="H417" i="45"/>
  <c r="I417" i="45" s="1"/>
  <c r="J417" i="45" s="1"/>
  <c r="K417" i="45" s="1"/>
  <c r="L417" i="45" s="1"/>
  <c r="M417" i="45" s="1"/>
  <c r="N417" i="45" s="1"/>
  <c r="O417" i="45" s="1"/>
  <c r="P417" i="45" s="1"/>
  <c r="Q417" i="45" s="1"/>
  <c r="R417" i="45" s="1"/>
  <c r="S417" i="45" s="1"/>
  <c r="H417" i="44"/>
  <c r="I417" i="44" s="1"/>
  <c r="J417" i="44" s="1"/>
  <c r="K417" i="44" s="1"/>
  <c r="L417" i="44" s="1"/>
  <c r="M417" i="44" s="1"/>
  <c r="N417" i="44" s="1"/>
  <c r="O417" i="44" s="1"/>
  <c r="P417" i="44" s="1"/>
  <c r="Q417" i="44" s="1"/>
  <c r="R417" i="44" s="1"/>
  <c r="S417" i="44" s="1"/>
  <c r="H417" i="43"/>
  <c r="I417" i="43" s="1"/>
  <c r="J417" i="43" s="1"/>
  <c r="K417" i="43" s="1"/>
  <c r="L417" i="43" s="1"/>
  <c r="M417" i="43" s="1"/>
  <c r="N417" i="43" s="1"/>
  <c r="O417" i="43" s="1"/>
  <c r="P417" i="43" s="1"/>
  <c r="Q417" i="43" s="1"/>
  <c r="R417" i="43" s="1"/>
  <c r="S417" i="43" s="1"/>
  <c r="F423" i="48"/>
  <c r="F423" i="47"/>
  <c r="F423" i="46"/>
  <c r="F423" i="45"/>
  <c r="F423" i="44"/>
  <c r="F423" i="43"/>
  <c r="F426" i="48"/>
  <c r="F426" i="47"/>
  <c r="F426" i="46"/>
  <c r="F426" i="45"/>
  <c r="F426" i="44"/>
  <c r="F426" i="43"/>
  <c r="E427" i="48"/>
  <c r="E427" i="47"/>
  <c r="E427" i="46"/>
  <c r="E427" i="45"/>
  <c r="E427" i="44"/>
  <c r="E427" i="43"/>
  <c r="G415" i="48"/>
  <c r="G415" i="47"/>
  <c r="G415" i="46"/>
  <c r="G415" i="45"/>
  <c r="G415" i="44"/>
  <c r="G415" i="43"/>
  <c r="G416" i="48"/>
  <c r="G416" i="47"/>
  <c r="G416" i="46"/>
  <c r="G416" i="45"/>
  <c r="G416" i="44"/>
  <c r="G416" i="43"/>
  <c r="F424" i="48"/>
  <c r="F424" i="47"/>
  <c r="F424" i="46"/>
  <c r="F424" i="45"/>
  <c r="F424" i="44"/>
  <c r="F424" i="43"/>
  <c r="G418" i="48"/>
  <c r="G418" i="47"/>
  <c r="G418" i="46"/>
  <c r="G418" i="45"/>
  <c r="G418" i="44"/>
  <c r="G418" i="43"/>
  <c r="F422" i="48"/>
  <c r="F422" i="47"/>
  <c r="F422" i="46"/>
  <c r="F422" i="45"/>
  <c r="F422" i="44"/>
  <c r="F422" i="43"/>
  <c r="H415" i="48"/>
  <c r="I415" i="48" s="1"/>
  <c r="J415" i="48" s="1"/>
  <c r="K415" i="48" s="1"/>
  <c r="L415" i="48" s="1"/>
  <c r="M415" i="48" s="1"/>
  <c r="N415" i="48" s="1"/>
  <c r="O415" i="48" s="1"/>
  <c r="P415" i="48" s="1"/>
  <c r="Q415" i="48" s="1"/>
  <c r="R415" i="48" s="1"/>
  <c r="S415" i="48" s="1"/>
  <c r="H415" i="47"/>
  <c r="I415" i="47" s="1"/>
  <c r="J415" i="47" s="1"/>
  <c r="K415" i="47" s="1"/>
  <c r="L415" i="47" s="1"/>
  <c r="M415" i="47" s="1"/>
  <c r="N415" i="47" s="1"/>
  <c r="O415" i="47" s="1"/>
  <c r="P415" i="47" s="1"/>
  <c r="Q415" i="47" s="1"/>
  <c r="R415" i="47" s="1"/>
  <c r="S415" i="47" s="1"/>
  <c r="H415" i="46"/>
  <c r="I415" i="46" s="1"/>
  <c r="J415" i="46" s="1"/>
  <c r="K415" i="46" s="1"/>
  <c r="L415" i="46" s="1"/>
  <c r="M415" i="46" s="1"/>
  <c r="N415" i="46" s="1"/>
  <c r="O415" i="46" s="1"/>
  <c r="P415" i="46" s="1"/>
  <c r="Q415" i="46" s="1"/>
  <c r="R415" i="46" s="1"/>
  <c r="S415" i="46" s="1"/>
  <c r="H415" i="45"/>
  <c r="I415" i="45" s="1"/>
  <c r="J415" i="45" s="1"/>
  <c r="K415" i="45" s="1"/>
  <c r="L415" i="45" s="1"/>
  <c r="M415" i="45" s="1"/>
  <c r="N415" i="45" s="1"/>
  <c r="O415" i="45" s="1"/>
  <c r="P415" i="45" s="1"/>
  <c r="Q415" i="45" s="1"/>
  <c r="R415" i="45" s="1"/>
  <c r="S415" i="45" s="1"/>
  <c r="H415" i="44"/>
  <c r="I415" i="44" s="1"/>
  <c r="J415" i="44" s="1"/>
  <c r="K415" i="44" s="1"/>
  <c r="L415" i="44" s="1"/>
  <c r="M415" i="44" s="1"/>
  <c r="N415" i="44" s="1"/>
  <c r="O415" i="44" s="1"/>
  <c r="P415" i="44" s="1"/>
  <c r="Q415" i="44" s="1"/>
  <c r="R415" i="44" s="1"/>
  <c r="S415" i="44" s="1"/>
  <c r="H415" i="43"/>
  <c r="I415" i="43" s="1"/>
  <c r="J415" i="43" s="1"/>
  <c r="K415" i="43" s="1"/>
  <c r="L415" i="43" s="1"/>
  <c r="M415" i="43" s="1"/>
  <c r="N415" i="43" s="1"/>
  <c r="O415" i="43" s="1"/>
  <c r="P415" i="43" s="1"/>
  <c r="Q415" i="43" s="1"/>
  <c r="R415" i="43" s="1"/>
  <c r="S415" i="43" s="1"/>
  <c r="H416" i="48"/>
  <c r="I416" i="48" s="1"/>
  <c r="J416" i="48" s="1"/>
  <c r="K416" i="48" s="1"/>
  <c r="L416" i="48" s="1"/>
  <c r="M416" i="48" s="1"/>
  <c r="N416" i="48" s="1"/>
  <c r="O416" i="48" s="1"/>
  <c r="P416" i="48" s="1"/>
  <c r="Q416" i="48" s="1"/>
  <c r="R416" i="48" s="1"/>
  <c r="S416" i="48" s="1"/>
  <c r="H416" i="47"/>
  <c r="I416" i="47" s="1"/>
  <c r="J416" i="47" s="1"/>
  <c r="K416" i="47" s="1"/>
  <c r="L416" i="47" s="1"/>
  <c r="M416" i="47" s="1"/>
  <c r="N416" i="47" s="1"/>
  <c r="O416" i="47" s="1"/>
  <c r="P416" i="47" s="1"/>
  <c r="Q416" i="47" s="1"/>
  <c r="R416" i="47" s="1"/>
  <c r="S416" i="47" s="1"/>
  <c r="H416" i="46"/>
  <c r="I416" i="46" s="1"/>
  <c r="J416" i="46" s="1"/>
  <c r="K416" i="46" s="1"/>
  <c r="L416" i="46" s="1"/>
  <c r="M416" i="46" s="1"/>
  <c r="N416" i="46" s="1"/>
  <c r="O416" i="46" s="1"/>
  <c r="P416" i="46" s="1"/>
  <c r="Q416" i="46" s="1"/>
  <c r="R416" i="46" s="1"/>
  <c r="S416" i="46" s="1"/>
  <c r="H416" i="45"/>
  <c r="I416" i="45" s="1"/>
  <c r="J416" i="45" s="1"/>
  <c r="K416" i="45" s="1"/>
  <c r="L416" i="45" s="1"/>
  <c r="M416" i="45" s="1"/>
  <c r="N416" i="45" s="1"/>
  <c r="O416" i="45" s="1"/>
  <c r="P416" i="45" s="1"/>
  <c r="Q416" i="45" s="1"/>
  <c r="R416" i="45" s="1"/>
  <c r="S416" i="45" s="1"/>
  <c r="H416" i="44"/>
  <c r="I416" i="44" s="1"/>
  <c r="J416" i="44" s="1"/>
  <c r="K416" i="44" s="1"/>
  <c r="L416" i="44" s="1"/>
  <c r="M416" i="44" s="1"/>
  <c r="N416" i="44" s="1"/>
  <c r="O416" i="44" s="1"/>
  <c r="P416" i="44" s="1"/>
  <c r="Q416" i="44" s="1"/>
  <c r="R416" i="44" s="1"/>
  <c r="S416" i="44" s="1"/>
  <c r="H416" i="43"/>
  <c r="I416" i="43" s="1"/>
  <c r="J416" i="43" s="1"/>
  <c r="K416" i="43" s="1"/>
  <c r="L416" i="43" s="1"/>
  <c r="M416" i="43" s="1"/>
  <c r="N416" i="43" s="1"/>
  <c r="O416" i="43" s="1"/>
  <c r="P416" i="43" s="1"/>
  <c r="Q416" i="43" s="1"/>
  <c r="R416" i="43" s="1"/>
  <c r="S416" i="43" s="1"/>
  <c r="C441" i="47"/>
  <c r="C441" i="48"/>
  <c r="C441" i="46"/>
  <c r="C441" i="45"/>
  <c r="C441" i="44"/>
  <c r="C441" i="43"/>
  <c r="C434" i="48"/>
  <c r="C434" i="47"/>
  <c r="C434" i="46"/>
  <c r="C434" i="45"/>
  <c r="C434" i="44"/>
  <c r="C434" i="43"/>
  <c r="C437" i="48"/>
  <c r="C437" i="47"/>
  <c r="C437" i="46"/>
  <c r="C437" i="45"/>
  <c r="C437" i="44"/>
  <c r="C437" i="43"/>
  <c r="C435" i="48"/>
  <c r="C435" i="47"/>
  <c r="C435" i="45"/>
  <c r="C435" i="46"/>
  <c r="C435" i="44"/>
  <c r="C435" i="43"/>
  <c r="C438" i="48"/>
  <c r="C438" i="47"/>
  <c r="C438" i="45"/>
  <c r="C438" i="46"/>
  <c r="C438" i="44"/>
  <c r="C438" i="43"/>
  <c r="C436" i="47"/>
  <c r="C436" i="48"/>
  <c r="C436" i="45"/>
  <c r="C436" i="46"/>
  <c r="C436" i="44"/>
  <c r="C436" i="43"/>
  <c r="D430" i="48"/>
  <c r="D430" i="47"/>
  <c r="D430" i="46"/>
  <c r="D430" i="45"/>
  <c r="D430" i="44"/>
  <c r="D430" i="43"/>
  <c r="D431" i="47"/>
  <c r="D431" i="48"/>
  <c r="D431" i="46"/>
  <c r="D431" i="45"/>
  <c r="D431" i="44"/>
  <c r="D431" i="43"/>
  <c r="D433" i="48"/>
  <c r="D433" i="47"/>
  <c r="D433" i="46"/>
  <c r="D433" i="45"/>
  <c r="D433" i="44"/>
  <c r="D433" i="43"/>
  <c r="D432" i="47"/>
  <c r="D432" i="48"/>
  <c r="D432" i="46"/>
  <c r="D432" i="45"/>
  <c r="D432" i="44"/>
  <c r="D432" i="43"/>
  <c r="D429" i="48"/>
  <c r="D429" i="47"/>
  <c r="D429" i="46"/>
  <c r="D429" i="45"/>
  <c r="D429" i="44"/>
  <c r="D429" i="43"/>
  <c r="H422" i="48" l="1"/>
  <c r="I422" i="48" s="1"/>
  <c r="J422" i="48" s="1"/>
  <c r="K422" i="48" s="1"/>
  <c r="L422" i="48" s="1"/>
  <c r="M422" i="48" s="1"/>
  <c r="N422" i="48" s="1"/>
  <c r="O422" i="48" s="1"/>
  <c r="P422" i="48" s="1"/>
  <c r="Q422" i="48" s="1"/>
  <c r="R422" i="48" s="1"/>
  <c r="S422" i="48" s="1"/>
  <c r="H422" i="47"/>
  <c r="I422" i="47" s="1"/>
  <c r="J422" i="47" s="1"/>
  <c r="K422" i="47" s="1"/>
  <c r="L422" i="47" s="1"/>
  <c r="M422" i="47" s="1"/>
  <c r="N422" i="47" s="1"/>
  <c r="O422" i="47" s="1"/>
  <c r="P422" i="47" s="1"/>
  <c r="Q422" i="47" s="1"/>
  <c r="R422" i="47" s="1"/>
  <c r="S422" i="47" s="1"/>
  <c r="H422" i="46"/>
  <c r="I422" i="46" s="1"/>
  <c r="J422" i="46" s="1"/>
  <c r="K422" i="46" s="1"/>
  <c r="L422" i="46" s="1"/>
  <c r="M422" i="46" s="1"/>
  <c r="N422" i="46" s="1"/>
  <c r="O422" i="46" s="1"/>
  <c r="P422" i="46" s="1"/>
  <c r="Q422" i="46" s="1"/>
  <c r="R422" i="46" s="1"/>
  <c r="S422" i="46" s="1"/>
  <c r="H422" i="45"/>
  <c r="I422" i="45" s="1"/>
  <c r="J422" i="45" s="1"/>
  <c r="K422" i="45" s="1"/>
  <c r="L422" i="45" s="1"/>
  <c r="M422" i="45" s="1"/>
  <c r="N422" i="45" s="1"/>
  <c r="O422" i="45" s="1"/>
  <c r="P422" i="45" s="1"/>
  <c r="Q422" i="45" s="1"/>
  <c r="R422" i="45" s="1"/>
  <c r="S422" i="45" s="1"/>
  <c r="H422" i="44"/>
  <c r="I422" i="44" s="1"/>
  <c r="J422" i="44" s="1"/>
  <c r="K422" i="44" s="1"/>
  <c r="L422" i="44" s="1"/>
  <c r="M422" i="44" s="1"/>
  <c r="N422" i="44" s="1"/>
  <c r="O422" i="44" s="1"/>
  <c r="P422" i="44" s="1"/>
  <c r="Q422" i="44" s="1"/>
  <c r="R422" i="44" s="1"/>
  <c r="S422" i="44" s="1"/>
  <c r="H422" i="43"/>
  <c r="I422" i="43" s="1"/>
  <c r="J422" i="43" s="1"/>
  <c r="K422" i="43" s="1"/>
  <c r="L422" i="43" s="1"/>
  <c r="M422" i="43" s="1"/>
  <c r="N422" i="43" s="1"/>
  <c r="O422" i="43" s="1"/>
  <c r="P422" i="43" s="1"/>
  <c r="Q422" i="43" s="1"/>
  <c r="R422" i="43" s="1"/>
  <c r="S422" i="43" s="1"/>
  <c r="E429" i="48"/>
  <c r="E429" i="47"/>
  <c r="E429" i="46"/>
  <c r="E429" i="45"/>
  <c r="E429" i="44"/>
  <c r="E429" i="43"/>
  <c r="E433" i="48"/>
  <c r="E433" i="47"/>
  <c r="E433" i="46"/>
  <c r="E433" i="45"/>
  <c r="E433" i="44"/>
  <c r="E433" i="43"/>
  <c r="E432" i="48"/>
  <c r="E432" i="47"/>
  <c r="E432" i="46"/>
  <c r="E432" i="45"/>
  <c r="E432" i="44"/>
  <c r="E432" i="43"/>
  <c r="E430" i="48"/>
  <c r="E430" i="47"/>
  <c r="E430" i="46"/>
  <c r="E430" i="45"/>
  <c r="E430" i="44"/>
  <c r="E430" i="43"/>
  <c r="H419" i="48"/>
  <c r="I419" i="48" s="1"/>
  <c r="J419" i="48" s="1"/>
  <c r="K419" i="48" s="1"/>
  <c r="L419" i="48" s="1"/>
  <c r="M419" i="48" s="1"/>
  <c r="N419" i="48" s="1"/>
  <c r="O419" i="48" s="1"/>
  <c r="P419" i="48" s="1"/>
  <c r="Q419" i="48" s="1"/>
  <c r="R419" i="48" s="1"/>
  <c r="S419" i="48" s="1"/>
  <c r="H419" i="47"/>
  <c r="I419" i="47" s="1"/>
  <c r="J419" i="47" s="1"/>
  <c r="K419" i="47" s="1"/>
  <c r="L419" i="47" s="1"/>
  <c r="M419" i="47" s="1"/>
  <c r="N419" i="47" s="1"/>
  <c r="O419" i="47" s="1"/>
  <c r="P419" i="47" s="1"/>
  <c r="Q419" i="47" s="1"/>
  <c r="R419" i="47" s="1"/>
  <c r="S419" i="47" s="1"/>
  <c r="H419" i="46"/>
  <c r="I419" i="46" s="1"/>
  <c r="J419" i="46" s="1"/>
  <c r="K419" i="46" s="1"/>
  <c r="L419" i="46" s="1"/>
  <c r="M419" i="46" s="1"/>
  <c r="N419" i="46" s="1"/>
  <c r="O419" i="46" s="1"/>
  <c r="P419" i="46" s="1"/>
  <c r="Q419" i="46" s="1"/>
  <c r="R419" i="46" s="1"/>
  <c r="S419" i="46" s="1"/>
  <c r="H419" i="45"/>
  <c r="I419" i="45" s="1"/>
  <c r="J419" i="45" s="1"/>
  <c r="K419" i="45" s="1"/>
  <c r="L419" i="45" s="1"/>
  <c r="M419" i="45" s="1"/>
  <c r="N419" i="45" s="1"/>
  <c r="O419" i="45" s="1"/>
  <c r="P419" i="45" s="1"/>
  <c r="Q419" i="45" s="1"/>
  <c r="R419" i="45" s="1"/>
  <c r="S419" i="45" s="1"/>
  <c r="H419" i="44"/>
  <c r="I419" i="44" s="1"/>
  <c r="J419" i="44" s="1"/>
  <c r="K419" i="44" s="1"/>
  <c r="L419" i="44" s="1"/>
  <c r="M419" i="44" s="1"/>
  <c r="N419" i="44" s="1"/>
  <c r="O419" i="44" s="1"/>
  <c r="P419" i="44" s="1"/>
  <c r="Q419" i="44" s="1"/>
  <c r="R419" i="44" s="1"/>
  <c r="S419" i="44" s="1"/>
  <c r="H419" i="43"/>
  <c r="I419" i="43" s="1"/>
  <c r="J419" i="43" s="1"/>
  <c r="K419" i="43" s="1"/>
  <c r="L419" i="43" s="1"/>
  <c r="M419" i="43" s="1"/>
  <c r="N419" i="43" s="1"/>
  <c r="O419" i="43" s="1"/>
  <c r="P419" i="43" s="1"/>
  <c r="Q419" i="43" s="1"/>
  <c r="R419" i="43" s="1"/>
  <c r="S419" i="43" s="1"/>
  <c r="H423" i="48"/>
  <c r="I423" i="48" s="1"/>
  <c r="J423" i="48" s="1"/>
  <c r="K423" i="48" s="1"/>
  <c r="L423" i="48" s="1"/>
  <c r="M423" i="48" s="1"/>
  <c r="N423" i="48" s="1"/>
  <c r="O423" i="48" s="1"/>
  <c r="P423" i="48" s="1"/>
  <c r="Q423" i="48" s="1"/>
  <c r="R423" i="48" s="1"/>
  <c r="S423" i="48" s="1"/>
  <c r="H423" i="47"/>
  <c r="I423" i="47" s="1"/>
  <c r="J423" i="47" s="1"/>
  <c r="K423" i="47" s="1"/>
  <c r="L423" i="47" s="1"/>
  <c r="M423" i="47" s="1"/>
  <c r="N423" i="47" s="1"/>
  <c r="O423" i="47" s="1"/>
  <c r="P423" i="47" s="1"/>
  <c r="Q423" i="47" s="1"/>
  <c r="R423" i="47" s="1"/>
  <c r="S423" i="47" s="1"/>
  <c r="H423" i="46"/>
  <c r="I423" i="46" s="1"/>
  <c r="J423" i="46" s="1"/>
  <c r="K423" i="46" s="1"/>
  <c r="L423" i="46" s="1"/>
  <c r="M423" i="46" s="1"/>
  <c r="N423" i="46" s="1"/>
  <c r="O423" i="46" s="1"/>
  <c r="P423" i="46" s="1"/>
  <c r="Q423" i="46" s="1"/>
  <c r="R423" i="46" s="1"/>
  <c r="S423" i="46" s="1"/>
  <c r="H423" i="45"/>
  <c r="I423" i="45" s="1"/>
  <c r="J423" i="45" s="1"/>
  <c r="K423" i="45" s="1"/>
  <c r="L423" i="45" s="1"/>
  <c r="M423" i="45" s="1"/>
  <c r="N423" i="45" s="1"/>
  <c r="O423" i="45" s="1"/>
  <c r="P423" i="45" s="1"/>
  <c r="Q423" i="45" s="1"/>
  <c r="R423" i="45" s="1"/>
  <c r="S423" i="45" s="1"/>
  <c r="H423" i="44"/>
  <c r="I423" i="44" s="1"/>
  <c r="J423" i="44" s="1"/>
  <c r="K423" i="44" s="1"/>
  <c r="L423" i="44" s="1"/>
  <c r="M423" i="44" s="1"/>
  <c r="N423" i="44" s="1"/>
  <c r="O423" i="44" s="1"/>
  <c r="P423" i="44" s="1"/>
  <c r="Q423" i="44" s="1"/>
  <c r="R423" i="44" s="1"/>
  <c r="S423" i="44" s="1"/>
  <c r="H423" i="43"/>
  <c r="I423" i="43" s="1"/>
  <c r="J423" i="43" s="1"/>
  <c r="K423" i="43" s="1"/>
  <c r="L423" i="43" s="1"/>
  <c r="M423" i="43" s="1"/>
  <c r="N423" i="43" s="1"/>
  <c r="O423" i="43" s="1"/>
  <c r="P423" i="43" s="1"/>
  <c r="Q423" i="43" s="1"/>
  <c r="R423" i="43" s="1"/>
  <c r="S423" i="43" s="1"/>
  <c r="F425" i="48"/>
  <c r="F425" i="47"/>
  <c r="F425" i="46"/>
  <c r="F425" i="45"/>
  <c r="F425" i="44"/>
  <c r="F425" i="43"/>
  <c r="G420" i="48"/>
  <c r="G420" i="47"/>
  <c r="G420" i="46"/>
  <c r="G420" i="45"/>
  <c r="G420" i="44"/>
  <c r="G420" i="43"/>
  <c r="G424" i="48"/>
  <c r="G424" i="47"/>
  <c r="G424" i="46"/>
  <c r="G424" i="45"/>
  <c r="G424" i="44"/>
  <c r="G424" i="43"/>
  <c r="G419" i="48"/>
  <c r="G419" i="47"/>
  <c r="G419" i="46"/>
  <c r="G419" i="45"/>
  <c r="G419" i="44"/>
  <c r="G419" i="43"/>
  <c r="G423" i="48"/>
  <c r="G423" i="47"/>
  <c r="G423" i="46"/>
  <c r="G423" i="45"/>
  <c r="G423" i="44"/>
  <c r="G423" i="43"/>
  <c r="F427" i="48"/>
  <c r="F427" i="47"/>
  <c r="F427" i="46"/>
  <c r="F427" i="45"/>
  <c r="F427" i="44"/>
  <c r="F427" i="43"/>
  <c r="F428" i="48"/>
  <c r="F428" i="47"/>
  <c r="F428" i="46"/>
  <c r="F428" i="45"/>
  <c r="F428" i="44"/>
  <c r="F428" i="43"/>
  <c r="G426" i="48"/>
  <c r="G426" i="47"/>
  <c r="G426" i="46"/>
  <c r="G426" i="45"/>
  <c r="G426" i="44"/>
  <c r="G426" i="43"/>
  <c r="H420" i="48"/>
  <c r="I420" i="48" s="1"/>
  <c r="J420" i="48" s="1"/>
  <c r="K420" i="48" s="1"/>
  <c r="L420" i="48" s="1"/>
  <c r="M420" i="48" s="1"/>
  <c r="N420" i="48" s="1"/>
  <c r="O420" i="48" s="1"/>
  <c r="P420" i="48" s="1"/>
  <c r="Q420" i="48" s="1"/>
  <c r="R420" i="48" s="1"/>
  <c r="S420" i="48" s="1"/>
  <c r="H420" i="47"/>
  <c r="I420" i="47" s="1"/>
  <c r="J420" i="47" s="1"/>
  <c r="K420" i="47" s="1"/>
  <c r="L420" i="47" s="1"/>
  <c r="M420" i="47" s="1"/>
  <c r="N420" i="47" s="1"/>
  <c r="O420" i="47" s="1"/>
  <c r="P420" i="47" s="1"/>
  <c r="Q420" i="47" s="1"/>
  <c r="R420" i="47" s="1"/>
  <c r="S420" i="47" s="1"/>
  <c r="H420" i="46"/>
  <c r="I420" i="46" s="1"/>
  <c r="J420" i="46" s="1"/>
  <c r="K420" i="46" s="1"/>
  <c r="L420" i="46" s="1"/>
  <c r="M420" i="46" s="1"/>
  <c r="N420" i="46" s="1"/>
  <c r="O420" i="46" s="1"/>
  <c r="P420" i="46" s="1"/>
  <c r="Q420" i="46" s="1"/>
  <c r="R420" i="46" s="1"/>
  <c r="S420" i="46" s="1"/>
  <c r="H420" i="45"/>
  <c r="I420" i="45" s="1"/>
  <c r="J420" i="45" s="1"/>
  <c r="K420" i="45" s="1"/>
  <c r="L420" i="45" s="1"/>
  <c r="M420" i="45" s="1"/>
  <c r="N420" i="45" s="1"/>
  <c r="O420" i="45" s="1"/>
  <c r="P420" i="45" s="1"/>
  <c r="Q420" i="45" s="1"/>
  <c r="R420" i="45" s="1"/>
  <c r="S420" i="45" s="1"/>
  <c r="H420" i="44"/>
  <c r="I420" i="44" s="1"/>
  <c r="J420" i="44" s="1"/>
  <c r="K420" i="44" s="1"/>
  <c r="L420" i="44" s="1"/>
  <c r="M420" i="44" s="1"/>
  <c r="N420" i="44" s="1"/>
  <c r="O420" i="44" s="1"/>
  <c r="P420" i="44" s="1"/>
  <c r="Q420" i="44" s="1"/>
  <c r="R420" i="44" s="1"/>
  <c r="S420" i="44" s="1"/>
  <c r="H420" i="43"/>
  <c r="I420" i="43" s="1"/>
  <c r="J420" i="43" s="1"/>
  <c r="K420" i="43" s="1"/>
  <c r="L420" i="43" s="1"/>
  <c r="M420" i="43" s="1"/>
  <c r="N420" i="43" s="1"/>
  <c r="O420" i="43" s="1"/>
  <c r="P420" i="43" s="1"/>
  <c r="Q420" i="43" s="1"/>
  <c r="R420" i="43" s="1"/>
  <c r="S420" i="43" s="1"/>
  <c r="H424" i="48"/>
  <c r="I424" i="48" s="1"/>
  <c r="J424" i="48" s="1"/>
  <c r="K424" i="48" s="1"/>
  <c r="L424" i="48" s="1"/>
  <c r="M424" i="48" s="1"/>
  <c r="N424" i="48" s="1"/>
  <c r="O424" i="48" s="1"/>
  <c r="P424" i="48" s="1"/>
  <c r="Q424" i="48" s="1"/>
  <c r="R424" i="48" s="1"/>
  <c r="S424" i="48" s="1"/>
  <c r="H424" i="47"/>
  <c r="I424" i="47" s="1"/>
  <c r="J424" i="47" s="1"/>
  <c r="K424" i="47" s="1"/>
  <c r="L424" i="47" s="1"/>
  <c r="M424" i="47" s="1"/>
  <c r="N424" i="47" s="1"/>
  <c r="O424" i="47" s="1"/>
  <c r="P424" i="47" s="1"/>
  <c r="Q424" i="47" s="1"/>
  <c r="R424" i="47" s="1"/>
  <c r="S424" i="47" s="1"/>
  <c r="H424" i="46"/>
  <c r="I424" i="46" s="1"/>
  <c r="J424" i="46" s="1"/>
  <c r="K424" i="46" s="1"/>
  <c r="L424" i="46" s="1"/>
  <c r="M424" i="46" s="1"/>
  <c r="N424" i="46" s="1"/>
  <c r="O424" i="46" s="1"/>
  <c r="P424" i="46" s="1"/>
  <c r="Q424" i="46" s="1"/>
  <c r="R424" i="46" s="1"/>
  <c r="S424" i="46" s="1"/>
  <c r="H424" i="45"/>
  <c r="I424" i="45" s="1"/>
  <c r="J424" i="45" s="1"/>
  <c r="K424" i="45" s="1"/>
  <c r="L424" i="45" s="1"/>
  <c r="M424" i="45" s="1"/>
  <c r="N424" i="45" s="1"/>
  <c r="O424" i="45" s="1"/>
  <c r="P424" i="45" s="1"/>
  <c r="Q424" i="45" s="1"/>
  <c r="R424" i="45" s="1"/>
  <c r="S424" i="45" s="1"/>
  <c r="H424" i="44"/>
  <c r="I424" i="44" s="1"/>
  <c r="J424" i="44" s="1"/>
  <c r="K424" i="44" s="1"/>
  <c r="L424" i="44" s="1"/>
  <c r="M424" i="44" s="1"/>
  <c r="N424" i="44" s="1"/>
  <c r="O424" i="44" s="1"/>
  <c r="P424" i="44" s="1"/>
  <c r="Q424" i="44" s="1"/>
  <c r="R424" i="44" s="1"/>
  <c r="S424" i="44" s="1"/>
  <c r="H424" i="43"/>
  <c r="I424" i="43" s="1"/>
  <c r="J424" i="43" s="1"/>
  <c r="K424" i="43" s="1"/>
  <c r="L424" i="43" s="1"/>
  <c r="M424" i="43" s="1"/>
  <c r="N424" i="43" s="1"/>
  <c r="O424" i="43" s="1"/>
  <c r="P424" i="43" s="1"/>
  <c r="Q424" i="43" s="1"/>
  <c r="R424" i="43" s="1"/>
  <c r="S424" i="43" s="1"/>
  <c r="G421" i="48"/>
  <c r="G421" i="47"/>
  <c r="G421" i="46"/>
  <c r="G421" i="45"/>
  <c r="G421" i="44"/>
  <c r="G421" i="43"/>
  <c r="H421" i="48"/>
  <c r="I421" i="48" s="1"/>
  <c r="J421" i="48" s="1"/>
  <c r="K421" i="48" s="1"/>
  <c r="L421" i="48" s="1"/>
  <c r="M421" i="48" s="1"/>
  <c r="N421" i="48" s="1"/>
  <c r="O421" i="48" s="1"/>
  <c r="P421" i="48" s="1"/>
  <c r="Q421" i="48" s="1"/>
  <c r="R421" i="48" s="1"/>
  <c r="S421" i="48" s="1"/>
  <c r="H421" i="47"/>
  <c r="I421" i="47" s="1"/>
  <c r="J421" i="47" s="1"/>
  <c r="K421" i="47" s="1"/>
  <c r="L421" i="47" s="1"/>
  <c r="M421" i="47" s="1"/>
  <c r="N421" i="47" s="1"/>
  <c r="O421" i="47" s="1"/>
  <c r="P421" i="47" s="1"/>
  <c r="Q421" i="47" s="1"/>
  <c r="R421" i="47" s="1"/>
  <c r="S421" i="47" s="1"/>
  <c r="H421" i="46"/>
  <c r="I421" i="46" s="1"/>
  <c r="J421" i="46" s="1"/>
  <c r="K421" i="46" s="1"/>
  <c r="L421" i="46" s="1"/>
  <c r="M421" i="46" s="1"/>
  <c r="N421" i="46" s="1"/>
  <c r="O421" i="46" s="1"/>
  <c r="P421" i="46" s="1"/>
  <c r="Q421" i="46" s="1"/>
  <c r="R421" i="46" s="1"/>
  <c r="S421" i="46" s="1"/>
  <c r="H421" i="45"/>
  <c r="I421" i="45" s="1"/>
  <c r="J421" i="45" s="1"/>
  <c r="K421" i="45" s="1"/>
  <c r="L421" i="45" s="1"/>
  <c r="M421" i="45" s="1"/>
  <c r="N421" i="45" s="1"/>
  <c r="O421" i="45" s="1"/>
  <c r="P421" i="45" s="1"/>
  <c r="Q421" i="45" s="1"/>
  <c r="R421" i="45" s="1"/>
  <c r="S421" i="45" s="1"/>
  <c r="H421" i="44"/>
  <c r="I421" i="44" s="1"/>
  <c r="J421" i="44" s="1"/>
  <c r="K421" i="44" s="1"/>
  <c r="L421" i="44" s="1"/>
  <c r="M421" i="44" s="1"/>
  <c r="N421" i="44" s="1"/>
  <c r="O421" i="44" s="1"/>
  <c r="P421" i="44" s="1"/>
  <c r="Q421" i="44" s="1"/>
  <c r="R421" i="44" s="1"/>
  <c r="S421" i="44" s="1"/>
  <c r="H421" i="43"/>
  <c r="I421" i="43" s="1"/>
  <c r="J421" i="43" s="1"/>
  <c r="K421" i="43" s="1"/>
  <c r="L421" i="43" s="1"/>
  <c r="M421" i="43" s="1"/>
  <c r="N421" i="43" s="1"/>
  <c r="O421" i="43" s="1"/>
  <c r="P421" i="43" s="1"/>
  <c r="Q421" i="43" s="1"/>
  <c r="R421" i="43" s="1"/>
  <c r="S421" i="43" s="1"/>
  <c r="H426" i="48"/>
  <c r="I426" i="48" s="1"/>
  <c r="J426" i="48" s="1"/>
  <c r="K426" i="48" s="1"/>
  <c r="L426" i="48" s="1"/>
  <c r="M426" i="48" s="1"/>
  <c r="N426" i="48" s="1"/>
  <c r="O426" i="48" s="1"/>
  <c r="P426" i="48" s="1"/>
  <c r="Q426" i="48" s="1"/>
  <c r="R426" i="48" s="1"/>
  <c r="S426" i="48" s="1"/>
  <c r="H426" i="47"/>
  <c r="I426" i="47" s="1"/>
  <c r="J426" i="47" s="1"/>
  <c r="K426" i="47" s="1"/>
  <c r="L426" i="47" s="1"/>
  <c r="M426" i="47" s="1"/>
  <c r="N426" i="47" s="1"/>
  <c r="O426" i="47" s="1"/>
  <c r="P426" i="47" s="1"/>
  <c r="Q426" i="47" s="1"/>
  <c r="R426" i="47" s="1"/>
  <c r="S426" i="47" s="1"/>
  <c r="H426" i="46"/>
  <c r="I426" i="46" s="1"/>
  <c r="J426" i="46" s="1"/>
  <c r="K426" i="46" s="1"/>
  <c r="L426" i="46" s="1"/>
  <c r="M426" i="46" s="1"/>
  <c r="N426" i="46" s="1"/>
  <c r="O426" i="46" s="1"/>
  <c r="P426" i="46" s="1"/>
  <c r="Q426" i="46" s="1"/>
  <c r="R426" i="46" s="1"/>
  <c r="S426" i="46" s="1"/>
  <c r="H426" i="45"/>
  <c r="I426" i="45" s="1"/>
  <c r="J426" i="45" s="1"/>
  <c r="K426" i="45" s="1"/>
  <c r="L426" i="45" s="1"/>
  <c r="M426" i="45" s="1"/>
  <c r="N426" i="45" s="1"/>
  <c r="O426" i="45" s="1"/>
  <c r="P426" i="45" s="1"/>
  <c r="Q426" i="45" s="1"/>
  <c r="R426" i="45" s="1"/>
  <c r="S426" i="45" s="1"/>
  <c r="H426" i="44"/>
  <c r="I426" i="44" s="1"/>
  <c r="J426" i="44" s="1"/>
  <c r="K426" i="44" s="1"/>
  <c r="L426" i="44" s="1"/>
  <c r="M426" i="44" s="1"/>
  <c r="N426" i="44" s="1"/>
  <c r="O426" i="44" s="1"/>
  <c r="P426" i="44" s="1"/>
  <c r="Q426" i="44" s="1"/>
  <c r="R426" i="44" s="1"/>
  <c r="S426" i="44" s="1"/>
  <c r="H426" i="43"/>
  <c r="I426" i="43" s="1"/>
  <c r="J426" i="43" s="1"/>
  <c r="K426" i="43" s="1"/>
  <c r="L426" i="43" s="1"/>
  <c r="M426" i="43" s="1"/>
  <c r="N426" i="43" s="1"/>
  <c r="O426" i="43" s="1"/>
  <c r="P426" i="43" s="1"/>
  <c r="Q426" i="43" s="1"/>
  <c r="R426" i="43" s="1"/>
  <c r="S426" i="43" s="1"/>
  <c r="E431" i="48"/>
  <c r="E431" i="47"/>
  <c r="E431" i="46"/>
  <c r="E431" i="45"/>
  <c r="E431" i="44"/>
  <c r="E431" i="43"/>
  <c r="G422" i="48"/>
  <c r="G422" i="47"/>
  <c r="G422" i="46"/>
  <c r="G422" i="45"/>
  <c r="G422" i="44"/>
  <c r="G422" i="43"/>
  <c r="C439" i="48"/>
  <c r="C439" i="47"/>
  <c r="C439" i="45"/>
  <c r="C439" i="46"/>
  <c r="C439" i="44"/>
  <c r="C439" i="43"/>
  <c r="C440" i="48"/>
  <c r="C440" i="47"/>
  <c r="C440" i="46"/>
  <c r="C440" i="45"/>
  <c r="C440" i="44"/>
  <c r="C440" i="43"/>
  <c r="C443" i="48"/>
  <c r="C443" i="47"/>
  <c r="C443" i="46"/>
  <c r="C443" i="45"/>
  <c r="C443" i="44"/>
  <c r="C443" i="43"/>
  <c r="C442" i="48"/>
  <c r="C442" i="47"/>
  <c r="C442" i="46"/>
  <c r="C442" i="45"/>
  <c r="C442" i="44"/>
  <c r="C442" i="43"/>
  <c r="D434" i="48"/>
  <c r="D434" i="47"/>
  <c r="D434" i="46"/>
  <c r="D434" i="45"/>
  <c r="D434" i="44"/>
  <c r="D434" i="43"/>
  <c r="D438" i="47"/>
  <c r="D438" i="48"/>
  <c r="D438" i="46"/>
  <c r="D438" i="45"/>
  <c r="D438" i="44"/>
  <c r="D438" i="43"/>
  <c r="D437" i="47"/>
  <c r="D437" i="48"/>
  <c r="D437" i="46"/>
  <c r="D437" i="45"/>
  <c r="D437" i="44"/>
  <c r="D437" i="43"/>
  <c r="D441" i="47"/>
  <c r="D441" i="48"/>
  <c r="D441" i="46"/>
  <c r="D441" i="45"/>
  <c r="D441" i="44"/>
  <c r="D441" i="43"/>
  <c r="D435" i="48"/>
  <c r="D435" i="47"/>
  <c r="D435" i="46"/>
  <c r="D435" i="45"/>
  <c r="D435" i="44"/>
  <c r="D435" i="43"/>
  <c r="D436" i="48"/>
  <c r="D436" i="47"/>
  <c r="D436" i="46"/>
  <c r="D436" i="45"/>
  <c r="D436" i="44"/>
  <c r="D436" i="43"/>
  <c r="H428" i="48" l="1"/>
  <c r="I428" i="48" s="1"/>
  <c r="J428" i="48" s="1"/>
  <c r="K428" i="48" s="1"/>
  <c r="L428" i="48" s="1"/>
  <c r="M428" i="48" s="1"/>
  <c r="N428" i="48" s="1"/>
  <c r="O428" i="48" s="1"/>
  <c r="P428" i="48" s="1"/>
  <c r="Q428" i="48" s="1"/>
  <c r="R428" i="48" s="1"/>
  <c r="S428" i="48" s="1"/>
  <c r="H428" i="47"/>
  <c r="I428" i="47" s="1"/>
  <c r="J428" i="47" s="1"/>
  <c r="K428" i="47" s="1"/>
  <c r="L428" i="47" s="1"/>
  <c r="M428" i="47" s="1"/>
  <c r="N428" i="47" s="1"/>
  <c r="O428" i="47" s="1"/>
  <c r="P428" i="47" s="1"/>
  <c r="Q428" i="47" s="1"/>
  <c r="R428" i="47" s="1"/>
  <c r="S428" i="47" s="1"/>
  <c r="H428" i="46"/>
  <c r="I428" i="46" s="1"/>
  <c r="J428" i="46" s="1"/>
  <c r="K428" i="46" s="1"/>
  <c r="L428" i="46" s="1"/>
  <c r="M428" i="46" s="1"/>
  <c r="N428" i="46" s="1"/>
  <c r="O428" i="46" s="1"/>
  <c r="P428" i="46" s="1"/>
  <c r="Q428" i="46" s="1"/>
  <c r="R428" i="46" s="1"/>
  <c r="S428" i="46" s="1"/>
  <c r="H428" i="45"/>
  <c r="I428" i="45" s="1"/>
  <c r="J428" i="45" s="1"/>
  <c r="K428" i="45" s="1"/>
  <c r="L428" i="45" s="1"/>
  <c r="M428" i="45" s="1"/>
  <c r="N428" i="45" s="1"/>
  <c r="O428" i="45" s="1"/>
  <c r="P428" i="45" s="1"/>
  <c r="Q428" i="45" s="1"/>
  <c r="R428" i="45" s="1"/>
  <c r="S428" i="45" s="1"/>
  <c r="H428" i="44"/>
  <c r="I428" i="44" s="1"/>
  <c r="J428" i="44" s="1"/>
  <c r="K428" i="44" s="1"/>
  <c r="L428" i="44" s="1"/>
  <c r="M428" i="44" s="1"/>
  <c r="N428" i="44" s="1"/>
  <c r="O428" i="44" s="1"/>
  <c r="P428" i="44" s="1"/>
  <c r="Q428" i="44" s="1"/>
  <c r="R428" i="44" s="1"/>
  <c r="S428" i="44" s="1"/>
  <c r="H428" i="43"/>
  <c r="I428" i="43" s="1"/>
  <c r="J428" i="43" s="1"/>
  <c r="K428" i="43" s="1"/>
  <c r="L428" i="43" s="1"/>
  <c r="M428" i="43" s="1"/>
  <c r="N428" i="43" s="1"/>
  <c r="O428" i="43" s="1"/>
  <c r="P428" i="43" s="1"/>
  <c r="Q428" i="43" s="1"/>
  <c r="R428" i="43" s="1"/>
  <c r="S428" i="43" s="1"/>
  <c r="E441" i="48"/>
  <c r="E441" i="47"/>
  <c r="E441" i="46"/>
  <c r="E441" i="45"/>
  <c r="E441" i="44"/>
  <c r="E441" i="43"/>
  <c r="E438" i="48"/>
  <c r="E438" i="47"/>
  <c r="E438" i="46"/>
  <c r="E438" i="45"/>
  <c r="E438" i="44"/>
  <c r="E438" i="43"/>
  <c r="F429" i="48"/>
  <c r="F429" i="47"/>
  <c r="F429" i="46"/>
  <c r="F429" i="45"/>
  <c r="F429" i="44"/>
  <c r="F429" i="43"/>
  <c r="G428" i="48"/>
  <c r="G428" i="47"/>
  <c r="G428" i="46"/>
  <c r="G428" i="45"/>
  <c r="G428" i="44"/>
  <c r="G428" i="43"/>
  <c r="F433" i="48"/>
  <c r="F433" i="47"/>
  <c r="F433" i="46"/>
  <c r="F433" i="45"/>
  <c r="F433" i="44"/>
  <c r="F433" i="43"/>
  <c r="G425" i="48"/>
  <c r="G425" i="47"/>
  <c r="G425" i="46"/>
  <c r="G425" i="45"/>
  <c r="G425" i="44"/>
  <c r="G425" i="43"/>
  <c r="H425" i="48"/>
  <c r="I425" i="48" s="1"/>
  <c r="J425" i="48" s="1"/>
  <c r="K425" i="48" s="1"/>
  <c r="L425" i="48" s="1"/>
  <c r="M425" i="48" s="1"/>
  <c r="N425" i="48" s="1"/>
  <c r="O425" i="48" s="1"/>
  <c r="P425" i="48" s="1"/>
  <c r="Q425" i="48" s="1"/>
  <c r="R425" i="48" s="1"/>
  <c r="S425" i="48" s="1"/>
  <c r="H425" i="47"/>
  <c r="I425" i="47" s="1"/>
  <c r="J425" i="47" s="1"/>
  <c r="K425" i="47" s="1"/>
  <c r="L425" i="47" s="1"/>
  <c r="M425" i="47" s="1"/>
  <c r="N425" i="47" s="1"/>
  <c r="O425" i="47" s="1"/>
  <c r="P425" i="47" s="1"/>
  <c r="Q425" i="47" s="1"/>
  <c r="R425" i="47" s="1"/>
  <c r="S425" i="47" s="1"/>
  <c r="H425" i="46"/>
  <c r="I425" i="46" s="1"/>
  <c r="J425" i="46" s="1"/>
  <c r="K425" i="46" s="1"/>
  <c r="L425" i="46" s="1"/>
  <c r="M425" i="46" s="1"/>
  <c r="N425" i="46" s="1"/>
  <c r="O425" i="46" s="1"/>
  <c r="P425" i="46" s="1"/>
  <c r="Q425" i="46" s="1"/>
  <c r="R425" i="46" s="1"/>
  <c r="S425" i="46" s="1"/>
  <c r="H425" i="45"/>
  <c r="I425" i="45" s="1"/>
  <c r="J425" i="45" s="1"/>
  <c r="K425" i="45" s="1"/>
  <c r="L425" i="45" s="1"/>
  <c r="M425" i="45" s="1"/>
  <c r="N425" i="45" s="1"/>
  <c r="O425" i="45" s="1"/>
  <c r="P425" i="45" s="1"/>
  <c r="Q425" i="45" s="1"/>
  <c r="R425" i="45" s="1"/>
  <c r="S425" i="45" s="1"/>
  <c r="H425" i="44"/>
  <c r="I425" i="44" s="1"/>
  <c r="J425" i="44" s="1"/>
  <c r="K425" i="44" s="1"/>
  <c r="L425" i="44" s="1"/>
  <c r="M425" i="44" s="1"/>
  <c r="N425" i="44" s="1"/>
  <c r="O425" i="44" s="1"/>
  <c r="P425" i="44" s="1"/>
  <c r="Q425" i="44" s="1"/>
  <c r="R425" i="44" s="1"/>
  <c r="S425" i="44" s="1"/>
  <c r="H425" i="43"/>
  <c r="I425" i="43" s="1"/>
  <c r="J425" i="43" s="1"/>
  <c r="K425" i="43" s="1"/>
  <c r="L425" i="43" s="1"/>
  <c r="M425" i="43" s="1"/>
  <c r="N425" i="43" s="1"/>
  <c r="O425" i="43" s="1"/>
  <c r="P425" i="43" s="1"/>
  <c r="Q425" i="43" s="1"/>
  <c r="R425" i="43" s="1"/>
  <c r="S425" i="43" s="1"/>
  <c r="E436" i="48"/>
  <c r="E436" i="47"/>
  <c r="E436" i="46"/>
  <c r="E436" i="45"/>
  <c r="E436" i="44"/>
  <c r="E436" i="43"/>
  <c r="F430" i="48"/>
  <c r="F430" i="47"/>
  <c r="F430" i="46"/>
  <c r="F430" i="45"/>
  <c r="F430" i="44"/>
  <c r="F430" i="43"/>
  <c r="F431" i="48"/>
  <c r="F431" i="47"/>
  <c r="F431" i="46"/>
  <c r="F431" i="45"/>
  <c r="F431" i="44"/>
  <c r="F431" i="43"/>
  <c r="E435" i="48"/>
  <c r="E435" i="47"/>
  <c r="E435" i="46"/>
  <c r="E435" i="45"/>
  <c r="E435" i="44"/>
  <c r="E435" i="43"/>
  <c r="F432" i="48"/>
  <c r="F432" i="47"/>
  <c r="F432" i="46"/>
  <c r="F432" i="45"/>
  <c r="F432" i="44"/>
  <c r="F432" i="43"/>
  <c r="G427" i="48"/>
  <c r="G427" i="47"/>
  <c r="G427" i="46"/>
  <c r="G427" i="45"/>
  <c r="G427" i="44"/>
  <c r="G427" i="43"/>
  <c r="E434" i="48"/>
  <c r="E434" i="47"/>
  <c r="E434" i="46"/>
  <c r="E434" i="45"/>
  <c r="E434" i="44"/>
  <c r="E434" i="43"/>
  <c r="E437" i="48"/>
  <c r="E437" i="47"/>
  <c r="E437" i="46"/>
  <c r="E437" i="45"/>
  <c r="E437" i="44"/>
  <c r="E437" i="43"/>
  <c r="H427" i="48"/>
  <c r="I427" i="48" s="1"/>
  <c r="J427" i="48" s="1"/>
  <c r="K427" i="48" s="1"/>
  <c r="L427" i="48" s="1"/>
  <c r="M427" i="48" s="1"/>
  <c r="N427" i="48" s="1"/>
  <c r="O427" i="48" s="1"/>
  <c r="P427" i="48" s="1"/>
  <c r="Q427" i="48" s="1"/>
  <c r="R427" i="48" s="1"/>
  <c r="S427" i="48" s="1"/>
  <c r="H427" i="47"/>
  <c r="I427" i="47" s="1"/>
  <c r="J427" i="47" s="1"/>
  <c r="K427" i="47" s="1"/>
  <c r="L427" i="47" s="1"/>
  <c r="M427" i="47" s="1"/>
  <c r="N427" i="47" s="1"/>
  <c r="O427" i="47" s="1"/>
  <c r="P427" i="47" s="1"/>
  <c r="Q427" i="47" s="1"/>
  <c r="R427" i="47" s="1"/>
  <c r="S427" i="47" s="1"/>
  <c r="H427" i="46"/>
  <c r="I427" i="46" s="1"/>
  <c r="J427" i="46" s="1"/>
  <c r="K427" i="46" s="1"/>
  <c r="L427" i="46" s="1"/>
  <c r="M427" i="46" s="1"/>
  <c r="N427" i="46" s="1"/>
  <c r="O427" i="46" s="1"/>
  <c r="P427" i="46" s="1"/>
  <c r="Q427" i="46" s="1"/>
  <c r="R427" i="46" s="1"/>
  <c r="S427" i="46" s="1"/>
  <c r="H427" i="45"/>
  <c r="I427" i="45" s="1"/>
  <c r="J427" i="45" s="1"/>
  <c r="K427" i="45" s="1"/>
  <c r="L427" i="45" s="1"/>
  <c r="M427" i="45" s="1"/>
  <c r="N427" i="45" s="1"/>
  <c r="O427" i="45" s="1"/>
  <c r="P427" i="45" s="1"/>
  <c r="Q427" i="45" s="1"/>
  <c r="R427" i="45" s="1"/>
  <c r="S427" i="45" s="1"/>
  <c r="H427" i="44"/>
  <c r="I427" i="44" s="1"/>
  <c r="J427" i="44" s="1"/>
  <c r="K427" i="44" s="1"/>
  <c r="L427" i="44" s="1"/>
  <c r="M427" i="44" s="1"/>
  <c r="N427" i="44" s="1"/>
  <c r="O427" i="44" s="1"/>
  <c r="P427" i="44" s="1"/>
  <c r="Q427" i="44" s="1"/>
  <c r="R427" i="44" s="1"/>
  <c r="S427" i="44" s="1"/>
  <c r="H427" i="43"/>
  <c r="I427" i="43" s="1"/>
  <c r="J427" i="43" s="1"/>
  <c r="K427" i="43" s="1"/>
  <c r="L427" i="43" s="1"/>
  <c r="M427" i="43" s="1"/>
  <c r="N427" i="43" s="1"/>
  <c r="O427" i="43" s="1"/>
  <c r="P427" i="43" s="1"/>
  <c r="Q427" i="43" s="1"/>
  <c r="R427" i="43" s="1"/>
  <c r="S427" i="43" s="1"/>
  <c r="C446" i="48"/>
  <c r="C446" i="47"/>
  <c r="C446" i="46"/>
  <c r="C446" i="45"/>
  <c r="C446" i="44"/>
  <c r="C446" i="43"/>
  <c r="C447" i="48"/>
  <c r="C447" i="47"/>
  <c r="C447" i="46"/>
  <c r="C447" i="45"/>
  <c r="C447" i="44"/>
  <c r="C447" i="43"/>
  <c r="C445" i="48"/>
  <c r="C445" i="47"/>
  <c r="C445" i="46"/>
  <c r="C445" i="45"/>
  <c r="C445" i="44"/>
  <c r="C445" i="43"/>
  <c r="C448" i="47"/>
  <c r="C448" i="48"/>
  <c r="C448" i="46"/>
  <c r="C448" i="45"/>
  <c r="C448" i="44"/>
  <c r="C448" i="43"/>
  <c r="C444" i="48"/>
  <c r="C444" i="47"/>
  <c r="C444" i="46"/>
  <c r="C444" i="45"/>
  <c r="C444" i="44"/>
  <c r="C444" i="43"/>
  <c r="D440" i="47"/>
  <c r="D440" i="48"/>
  <c r="D440" i="46"/>
  <c r="D440" i="45"/>
  <c r="D440" i="44"/>
  <c r="D440" i="43"/>
  <c r="D439" i="47"/>
  <c r="D439" i="48"/>
  <c r="D439" i="46"/>
  <c r="D439" i="45"/>
  <c r="D439" i="44"/>
  <c r="D439" i="43"/>
  <c r="D442" i="47"/>
  <c r="D442" i="48"/>
  <c r="D442" i="46"/>
  <c r="D442" i="45"/>
  <c r="D442" i="44"/>
  <c r="D442" i="43"/>
  <c r="D443" i="47"/>
  <c r="D443" i="48"/>
  <c r="D443" i="46"/>
  <c r="D443" i="45"/>
  <c r="D443" i="44"/>
  <c r="D443" i="43"/>
  <c r="F434" i="48" l="1"/>
  <c r="F434" i="47"/>
  <c r="F434" i="46"/>
  <c r="F434" i="45"/>
  <c r="F434" i="44"/>
  <c r="F434" i="43"/>
  <c r="F436" i="48"/>
  <c r="F436" i="47"/>
  <c r="F436" i="46"/>
  <c r="F436" i="45"/>
  <c r="F436" i="44"/>
  <c r="F436" i="43"/>
  <c r="H431" i="48"/>
  <c r="I431" i="48" s="1"/>
  <c r="J431" i="48" s="1"/>
  <c r="K431" i="48" s="1"/>
  <c r="L431" i="48" s="1"/>
  <c r="M431" i="48" s="1"/>
  <c r="N431" i="48" s="1"/>
  <c r="O431" i="48" s="1"/>
  <c r="P431" i="48" s="1"/>
  <c r="Q431" i="48" s="1"/>
  <c r="R431" i="48" s="1"/>
  <c r="S431" i="48" s="1"/>
  <c r="H431" i="47"/>
  <c r="I431" i="47" s="1"/>
  <c r="J431" i="47" s="1"/>
  <c r="K431" i="47" s="1"/>
  <c r="L431" i="47" s="1"/>
  <c r="M431" i="47" s="1"/>
  <c r="N431" i="47" s="1"/>
  <c r="O431" i="47" s="1"/>
  <c r="P431" i="47" s="1"/>
  <c r="Q431" i="47" s="1"/>
  <c r="R431" i="47" s="1"/>
  <c r="S431" i="47" s="1"/>
  <c r="H431" i="46"/>
  <c r="I431" i="46" s="1"/>
  <c r="J431" i="46" s="1"/>
  <c r="K431" i="46" s="1"/>
  <c r="L431" i="46" s="1"/>
  <c r="M431" i="46" s="1"/>
  <c r="N431" i="46" s="1"/>
  <c r="O431" i="46" s="1"/>
  <c r="P431" i="46" s="1"/>
  <c r="Q431" i="46" s="1"/>
  <c r="R431" i="46" s="1"/>
  <c r="S431" i="46" s="1"/>
  <c r="H431" i="45"/>
  <c r="I431" i="45" s="1"/>
  <c r="J431" i="45" s="1"/>
  <c r="K431" i="45" s="1"/>
  <c r="L431" i="45" s="1"/>
  <c r="M431" i="45" s="1"/>
  <c r="N431" i="45" s="1"/>
  <c r="O431" i="45" s="1"/>
  <c r="P431" i="45" s="1"/>
  <c r="Q431" i="45" s="1"/>
  <c r="R431" i="45" s="1"/>
  <c r="S431" i="45" s="1"/>
  <c r="H431" i="44"/>
  <c r="I431" i="44" s="1"/>
  <c r="J431" i="44" s="1"/>
  <c r="K431" i="44" s="1"/>
  <c r="L431" i="44" s="1"/>
  <c r="M431" i="44" s="1"/>
  <c r="N431" i="44" s="1"/>
  <c r="O431" i="44" s="1"/>
  <c r="P431" i="44" s="1"/>
  <c r="Q431" i="44" s="1"/>
  <c r="R431" i="44" s="1"/>
  <c r="S431" i="44" s="1"/>
  <c r="H431" i="43"/>
  <c r="I431" i="43" s="1"/>
  <c r="J431" i="43" s="1"/>
  <c r="K431" i="43" s="1"/>
  <c r="L431" i="43" s="1"/>
  <c r="M431" i="43" s="1"/>
  <c r="N431" i="43" s="1"/>
  <c r="O431" i="43" s="1"/>
  <c r="P431" i="43" s="1"/>
  <c r="Q431" i="43" s="1"/>
  <c r="R431" i="43" s="1"/>
  <c r="S431" i="43" s="1"/>
  <c r="F441" i="48"/>
  <c r="F441" i="47"/>
  <c r="F441" i="46"/>
  <c r="F441" i="45"/>
  <c r="F441" i="44"/>
  <c r="F441" i="43"/>
  <c r="G433" i="48"/>
  <c r="G433" i="47"/>
  <c r="G433" i="46"/>
  <c r="G433" i="45"/>
  <c r="G433" i="44"/>
  <c r="G433" i="43"/>
  <c r="F437" i="48"/>
  <c r="F437" i="47"/>
  <c r="F437" i="46"/>
  <c r="F437" i="45"/>
  <c r="F437" i="44"/>
  <c r="F437" i="43"/>
  <c r="G430" i="48"/>
  <c r="G430" i="47"/>
  <c r="G430" i="46"/>
  <c r="G430" i="45"/>
  <c r="G430" i="44"/>
  <c r="G430" i="43"/>
  <c r="H429" i="48"/>
  <c r="I429" i="48" s="1"/>
  <c r="J429" i="48" s="1"/>
  <c r="K429" i="48" s="1"/>
  <c r="L429" i="48" s="1"/>
  <c r="M429" i="48" s="1"/>
  <c r="N429" i="48" s="1"/>
  <c r="O429" i="48" s="1"/>
  <c r="P429" i="48" s="1"/>
  <c r="Q429" i="48" s="1"/>
  <c r="R429" i="48" s="1"/>
  <c r="S429" i="48" s="1"/>
  <c r="H429" i="47"/>
  <c r="I429" i="47" s="1"/>
  <c r="J429" i="47" s="1"/>
  <c r="K429" i="47" s="1"/>
  <c r="L429" i="47" s="1"/>
  <c r="M429" i="47" s="1"/>
  <c r="N429" i="47" s="1"/>
  <c r="O429" i="47" s="1"/>
  <c r="P429" i="47" s="1"/>
  <c r="Q429" i="47" s="1"/>
  <c r="R429" i="47" s="1"/>
  <c r="S429" i="47" s="1"/>
  <c r="H429" i="46"/>
  <c r="I429" i="46" s="1"/>
  <c r="J429" i="46" s="1"/>
  <c r="K429" i="46" s="1"/>
  <c r="L429" i="46" s="1"/>
  <c r="M429" i="46" s="1"/>
  <c r="N429" i="46" s="1"/>
  <c r="O429" i="46" s="1"/>
  <c r="P429" i="46" s="1"/>
  <c r="Q429" i="46" s="1"/>
  <c r="R429" i="46" s="1"/>
  <c r="S429" i="46" s="1"/>
  <c r="H429" i="45"/>
  <c r="I429" i="45" s="1"/>
  <c r="J429" i="45" s="1"/>
  <c r="K429" i="45" s="1"/>
  <c r="L429" i="45" s="1"/>
  <c r="M429" i="45" s="1"/>
  <c r="N429" i="45" s="1"/>
  <c r="O429" i="45" s="1"/>
  <c r="P429" i="45" s="1"/>
  <c r="Q429" i="45" s="1"/>
  <c r="R429" i="45" s="1"/>
  <c r="S429" i="45" s="1"/>
  <c r="H429" i="44"/>
  <c r="I429" i="44" s="1"/>
  <c r="J429" i="44" s="1"/>
  <c r="K429" i="44" s="1"/>
  <c r="L429" i="44" s="1"/>
  <c r="M429" i="44" s="1"/>
  <c r="N429" i="44" s="1"/>
  <c r="O429" i="44" s="1"/>
  <c r="P429" i="44" s="1"/>
  <c r="Q429" i="44" s="1"/>
  <c r="R429" i="44" s="1"/>
  <c r="S429" i="44" s="1"/>
  <c r="H429" i="43"/>
  <c r="I429" i="43" s="1"/>
  <c r="J429" i="43" s="1"/>
  <c r="K429" i="43" s="1"/>
  <c r="L429" i="43" s="1"/>
  <c r="M429" i="43" s="1"/>
  <c r="N429" i="43" s="1"/>
  <c r="O429" i="43" s="1"/>
  <c r="P429" i="43" s="1"/>
  <c r="Q429" i="43" s="1"/>
  <c r="R429" i="43" s="1"/>
  <c r="S429" i="43" s="1"/>
  <c r="H433" i="48"/>
  <c r="I433" i="48" s="1"/>
  <c r="J433" i="48" s="1"/>
  <c r="K433" i="48" s="1"/>
  <c r="L433" i="48" s="1"/>
  <c r="M433" i="48" s="1"/>
  <c r="N433" i="48" s="1"/>
  <c r="O433" i="48" s="1"/>
  <c r="P433" i="48" s="1"/>
  <c r="Q433" i="48" s="1"/>
  <c r="R433" i="48" s="1"/>
  <c r="S433" i="48" s="1"/>
  <c r="H433" i="47"/>
  <c r="I433" i="47" s="1"/>
  <c r="J433" i="47" s="1"/>
  <c r="K433" i="47" s="1"/>
  <c r="L433" i="47" s="1"/>
  <c r="M433" i="47" s="1"/>
  <c r="N433" i="47" s="1"/>
  <c r="O433" i="47" s="1"/>
  <c r="P433" i="47" s="1"/>
  <c r="Q433" i="47" s="1"/>
  <c r="R433" i="47" s="1"/>
  <c r="S433" i="47" s="1"/>
  <c r="H433" i="46"/>
  <c r="I433" i="46" s="1"/>
  <c r="J433" i="46" s="1"/>
  <c r="K433" i="46" s="1"/>
  <c r="L433" i="46" s="1"/>
  <c r="M433" i="46" s="1"/>
  <c r="N433" i="46" s="1"/>
  <c r="O433" i="46" s="1"/>
  <c r="P433" i="46" s="1"/>
  <c r="Q433" i="46" s="1"/>
  <c r="R433" i="46" s="1"/>
  <c r="S433" i="46" s="1"/>
  <c r="H433" i="45"/>
  <c r="I433" i="45" s="1"/>
  <c r="J433" i="45" s="1"/>
  <c r="K433" i="45" s="1"/>
  <c r="L433" i="45" s="1"/>
  <c r="M433" i="45" s="1"/>
  <c r="N433" i="45" s="1"/>
  <c r="O433" i="45" s="1"/>
  <c r="P433" i="45" s="1"/>
  <c r="Q433" i="45" s="1"/>
  <c r="R433" i="45" s="1"/>
  <c r="S433" i="45" s="1"/>
  <c r="H433" i="44"/>
  <c r="I433" i="44" s="1"/>
  <c r="J433" i="44" s="1"/>
  <c r="K433" i="44" s="1"/>
  <c r="L433" i="44" s="1"/>
  <c r="M433" i="44" s="1"/>
  <c r="N433" i="44" s="1"/>
  <c r="O433" i="44" s="1"/>
  <c r="P433" i="44" s="1"/>
  <c r="Q433" i="44" s="1"/>
  <c r="R433" i="44" s="1"/>
  <c r="S433" i="44" s="1"/>
  <c r="H433" i="43"/>
  <c r="I433" i="43" s="1"/>
  <c r="J433" i="43" s="1"/>
  <c r="K433" i="43" s="1"/>
  <c r="L433" i="43" s="1"/>
  <c r="M433" i="43" s="1"/>
  <c r="N433" i="43" s="1"/>
  <c r="O433" i="43" s="1"/>
  <c r="P433" i="43" s="1"/>
  <c r="Q433" i="43" s="1"/>
  <c r="R433" i="43" s="1"/>
  <c r="S433" i="43" s="1"/>
  <c r="H430" i="48"/>
  <c r="I430" i="48" s="1"/>
  <c r="J430" i="48" s="1"/>
  <c r="K430" i="48" s="1"/>
  <c r="L430" i="48" s="1"/>
  <c r="M430" i="48" s="1"/>
  <c r="N430" i="48" s="1"/>
  <c r="O430" i="48" s="1"/>
  <c r="P430" i="48" s="1"/>
  <c r="Q430" i="48" s="1"/>
  <c r="R430" i="48" s="1"/>
  <c r="S430" i="48" s="1"/>
  <c r="H430" i="47"/>
  <c r="I430" i="47" s="1"/>
  <c r="J430" i="47" s="1"/>
  <c r="K430" i="47" s="1"/>
  <c r="L430" i="47" s="1"/>
  <c r="M430" i="47" s="1"/>
  <c r="N430" i="47" s="1"/>
  <c r="O430" i="47" s="1"/>
  <c r="P430" i="47" s="1"/>
  <c r="Q430" i="47" s="1"/>
  <c r="R430" i="47" s="1"/>
  <c r="S430" i="47" s="1"/>
  <c r="H430" i="46"/>
  <c r="I430" i="46" s="1"/>
  <c r="J430" i="46" s="1"/>
  <c r="K430" i="46" s="1"/>
  <c r="L430" i="46" s="1"/>
  <c r="M430" i="46" s="1"/>
  <c r="N430" i="46" s="1"/>
  <c r="O430" i="46" s="1"/>
  <c r="P430" i="46" s="1"/>
  <c r="Q430" i="46" s="1"/>
  <c r="R430" i="46" s="1"/>
  <c r="S430" i="46" s="1"/>
  <c r="H430" i="45"/>
  <c r="I430" i="45" s="1"/>
  <c r="J430" i="45" s="1"/>
  <c r="K430" i="45" s="1"/>
  <c r="L430" i="45" s="1"/>
  <c r="M430" i="45" s="1"/>
  <c r="N430" i="45" s="1"/>
  <c r="O430" i="45" s="1"/>
  <c r="P430" i="45" s="1"/>
  <c r="Q430" i="45" s="1"/>
  <c r="R430" i="45" s="1"/>
  <c r="S430" i="45" s="1"/>
  <c r="H430" i="44"/>
  <c r="I430" i="44" s="1"/>
  <c r="J430" i="44" s="1"/>
  <c r="K430" i="44" s="1"/>
  <c r="L430" i="44" s="1"/>
  <c r="M430" i="44" s="1"/>
  <c r="N430" i="44" s="1"/>
  <c r="O430" i="44" s="1"/>
  <c r="P430" i="44" s="1"/>
  <c r="Q430" i="44" s="1"/>
  <c r="R430" i="44" s="1"/>
  <c r="S430" i="44" s="1"/>
  <c r="H430" i="43"/>
  <c r="I430" i="43" s="1"/>
  <c r="J430" i="43" s="1"/>
  <c r="K430" i="43" s="1"/>
  <c r="L430" i="43" s="1"/>
  <c r="M430" i="43" s="1"/>
  <c r="N430" i="43" s="1"/>
  <c r="O430" i="43" s="1"/>
  <c r="P430" i="43" s="1"/>
  <c r="Q430" i="43" s="1"/>
  <c r="R430" i="43" s="1"/>
  <c r="S430" i="43" s="1"/>
  <c r="E443" i="48"/>
  <c r="E443" i="47"/>
  <c r="E443" i="46"/>
  <c r="E443" i="45"/>
  <c r="E443" i="44"/>
  <c r="E443" i="43"/>
  <c r="G431" i="48"/>
  <c r="G431" i="47"/>
  <c r="G431" i="46"/>
  <c r="G431" i="45"/>
  <c r="G431" i="44"/>
  <c r="G431" i="43"/>
  <c r="G429" i="48"/>
  <c r="G429" i="47"/>
  <c r="G429" i="46"/>
  <c r="G429" i="45"/>
  <c r="G429" i="44"/>
  <c r="G429" i="43"/>
  <c r="G432" i="48"/>
  <c r="G432" i="47"/>
  <c r="G432" i="46"/>
  <c r="G432" i="45"/>
  <c r="G432" i="44"/>
  <c r="G432" i="43"/>
  <c r="E440" i="48"/>
  <c r="E440" i="47"/>
  <c r="E440" i="46"/>
  <c r="E440" i="45"/>
  <c r="E440" i="44"/>
  <c r="E440" i="43"/>
  <c r="F435" i="48"/>
  <c r="F435" i="47"/>
  <c r="F435" i="46"/>
  <c r="F435" i="45"/>
  <c r="F435" i="44"/>
  <c r="F435" i="43"/>
  <c r="F438" i="48"/>
  <c r="F438" i="47"/>
  <c r="F438" i="46"/>
  <c r="F438" i="45"/>
  <c r="F438" i="44"/>
  <c r="F438" i="43"/>
  <c r="E439" i="48"/>
  <c r="E439" i="47"/>
  <c r="E439" i="46"/>
  <c r="E439" i="45"/>
  <c r="E439" i="44"/>
  <c r="E439" i="43"/>
  <c r="E442" i="48"/>
  <c r="E442" i="47"/>
  <c r="E442" i="46"/>
  <c r="E442" i="45"/>
  <c r="E442" i="44"/>
  <c r="E442" i="43"/>
  <c r="H432" i="48"/>
  <c r="I432" i="48" s="1"/>
  <c r="J432" i="48" s="1"/>
  <c r="K432" i="48" s="1"/>
  <c r="L432" i="48" s="1"/>
  <c r="M432" i="48" s="1"/>
  <c r="N432" i="48" s="1"/>
  <c r="O432" i="48" s="1"/>
  <c r="P432" i="48" s="1"/>
  <c r="Q432" i="48" s="1"/>
  <c r="R432" i="48" s="1"/>
  <c r="S432" i="48" s="1"/>
  <c r="H432" i="47"/>
  <c r="I432" i="47" s="1"/>
  <c r="J432" i="47" s="1"/>
  <c r="K432" i="47" s="1"/>
  <c r="L432" i="47" s="1"/>
  <c r="M432" i="47" s="1"/>
  <c r="N432" i="47" s="1"/>
  <c r="O432" i="47" s="1"/>
  <c r="P432" i="47" s="1"/>
  <c r="Q432" i="47" s="1"/>
  <c r="R432" i="47" s="1"/>
  <c r="S432" i="47" s="1"/>
  <c r="H432" i="46"/>
  <c r="I432" i="46" s="1"/>
  <c r="J432" i="46" s="1"/>
  <c r="K432" i="46" s="1"/>
  <c r="L432" i="46" s="1"/>
  <c r="M432" i="46" s="1"/>
  <c r="N432" i="46" s="1"/>
  <c r="O432" i="46" s="1"/>
  <c r="P432" i="46" s="1"/>
  <c r="Q432" i="46" s="1"/>
  <c r="R432" i="46" s="1"/>
  <c r="S432" i="46" s="1"/>
  <c r="H432" i="45"/>
  <c r="I432" i="45" s="1"/>
  <c r="J432" i="45" s="1"/>
  <c r="K432" i="45" s="1"/>
  <c r="L432" i="45" s="1"/>
  <c r="M432" i="45" s="1"/>
  <c r="N432" i="45" s="1"/>
  <c r="O432" i="45" s="1"/>
  <c r="P432" i="45" s="1"/>
  <c r="Q432" i="45" s="1"/>
  <c r="R432" i="45" s="1"/>
  <c r="S432" i="45" s="1"/>
  <c r="H432" i="44"/>
  <c r="I432" i="44" s="1"/>
  <c r="J432" i="44" s="1"/>
  <c r="K432" i="44" s="1"/>
  <c r="L432" i="44" s="1"/>
  <c r="M432" i="44" s="1"/>
  <c r="N432" i="44" s="1"/>
  <c r="O432" i="44" s="1"/>
  <c r="P432" i="44" s="1"/>
  <c r="Q432" i="44" s="1"/>
  <c r="R432" i="44" s="1"/>
  <c r="S432" i="44" s="1"/>
  <c r="H432" i="43"/>
  <c r="I432" i="43" s="1"/>
  <c r="J432" i="43" s="1"/>
  <c r="K432" i="43" s="1"/>
  <c r="L432" i="43" s="1"/>
  <c r="M432" i="43" s="1"/>
  <c r="N432" i="43" s="1"/>
  <c r="O432" i="43" s="1"/>
  <c r="P432" i="43" s="1"/>
  <c r="Q432" i="43" s="1"/>
  <c r="R432" i="43" s="1"/>
  <c r="S432" i="43" s="1"/>
  <c r="C449" i="48"/>
  <c r="C449" i="47"/>
  <c r="C449" i="46"/>
  <c r="C449" i="45"/>
  <c r="C449" i="44"/>
  <c r="C449" i="43"/>
  <c r="C450" i="48"/>
  <c r="C450" i="47"/>
  <c r="C450" i="46"/>
  <c r="C450" i="45"/>
  <c r="C450" i="44"/>
  <c r="C450" i="43"/>
  <c r="C451" i="48"/>
  <c r="C451" i="47"/>
  <c r="C451" i="46"/>
  <c r="C451" i="45"/>
  <c r="C451" i="44"/>
  <c r="C451" i="43"/>
  <c r="C453" i="47"/>
  <c r="C453" i="46"/>
  <c r="C453" i="48"/>
  <c r="C453" i="45"/>
  <c r="C453" i="44"/>
  <c r="C453" i="43"/>
  <c r="C452" i="48"/>
  <c r="C452" i="47"/>
  <c r="C452" i="46"/>
  <c r="C452" i="45"/>
  <c r="C452" i="44"/>
  <c r="C452" i="43"/>
  <c r="D444" i="47"/>
  <c r="D444" i="48"/>
  <c r="D444" i="46"/>
  <c r="D444" i="45"/>
  <c r="D444" i="44"/>
  <c r="D444" i="43"/>
  <c r="D446" i="47"/>
  <c r="D446" i="48"/>
  <c r="D446" i="46"/>
  <c r="D446" i="45"/>
  <c r="D446" i="44"/>
  <c r="D446" i="43"/>
  <c r="D447" i="48"/>
  <c r="D447" i="47"/>
  <c r="D447" i="46"/>
  <c r="D447" i="45"/>
  <c r="D447" i="43"/>
  <c r="D447" i="44"/>
  <c r="D445" i="48"/>
  <c r="D445" i="47"/>
  <c r="D445" i="46"/>
  <c r="D445" i="45"/>
  <c r="D445" i="43"/>
  <c r="D445" i="44"/>
  <c r="D448" i="48"/>
  <c r="D448" i="47"/>
  <c r="D448" i="46"/>
  <c r="D448" i="45"/>
  <c r="D448" i="43"/>
  <c r="D448" i="44"/>
  <c r="H435" i="48" l="1"/>
  <c r="I435" i="48" s="1"/>
  <c r="J435" i="48" s="1"/>
  <c r="K435" i="48" s="1"/>
  <c r="L435" i="48" s="1"/>
  <c r="M435" i="48" s="1"/>
  <c r="N435" i="48" s="1"/>
  <c r="O435" i="48" s="1"/>
  <c r="P435" i="48" s="1"/>
  <c r="Q435" i="48" s="1"/>
  <c r="R435" i="48" s="1"/>
  <c r="S435" i="48" s="1"/>
  <c r="H435" i="47"/>
  <c r="I435" i="47" s="1"/>
  <c r="J435" i="47" s="1"/>
  <c r="K435" i="47" s="1"/>
  <c r="L435" i="47" s="1"/>
  <c r="M435" i="47" s="1"/>
  <c r="N435" i="47" s="1"/>
  <c r="O435" i="47" s="1"/>
  <c r="P435" i="47" s="1"/>
  <c r="Q435" i="47" s="1"/>
  <c r="R435" i="47" s="1"/>
  <c r="S435" i="47" s="1"/>
  <c r="H435" i="46"/>
  <c r="I435" i="46" s="1"/>
  <c r="J435" i="46" s="1"/>
  <c r="K435" i="46" s="1"/>
  <c r="L435" i="46" s="1"/>
  <c r="M435" i="46" s="1"/>
  <c r="N435" i="46" s="1"/>
  <c r="O435" i="46" s="1"/>
  <c r="P435" i="46" s="1"/>
  <c r="Q435" i="46" s="1"/>
  <c r="R435" i="46" s="1"/>
  <c r="S435" i="46" s="1"/>
  <c r="H435" i="45"/>
  <c r="I435" i="45" s="1"/>
  <c r="J435" i="45" s="1"/>
  <c r="K435" i="45" s="1"/>
  <c r="L435" i="45" s="1"/>
  <c r="M435" i="45" s="1"/>
  <c r="N435" i="45" s="1"/>
  <c r="O435" i="45" s="1"/>
  <c r="P435" i="45" s="1"/>
  <c r="Q435" i="45" s="1"/>
  <c r="R435" i="45" s="1"/>
  <c r="S435" i="45" s="1"/>
  <c r="H435" i="44"/>
  <c r="I435" i="44" s="1"/>
  <c r="J435" i="44" s="1"/>
  <c r="K435" i="44" s="1"/>
  <c r="L435" i="44" s="1"/>
  <c r="M435" i="44" s="1"/>
  <c r="N435" i="44" s="1"/>
  <c r="O435" i="44" s="1"/>
  <c r="P435" i="44" s="1"/>
  <c r="Q435" i="44" s="1"/>
  <c r="R435" i="44" s="1"/>
  <c r="S435" i="44" s="1"/>
  <c r="H435" i="43"/>
  <c r="I435" i="43" s="1"/>
  <c r="J435" i="43" s="1"/>
  <c r="K435" i="43" s="1"/>
  <c r="L435" i="43" s="1"/>
  <c r="M435" i="43" s="1"/>
  <c r="N435" i="43" s="1"/>
  <c r="O435" i="43" s="1"/>
  <c r="P435" i="43" s="1"/>
  <c r="Q435" i="43" s="1"/>
  <c r="R435" i="43" s="1"/>
  <c r="S435" i="43" s="1"/>
  <c r="H437" i="48"/>
  <c r="I437" i="48" s="1"/>
  <c r="J437" i="48" s="1"/>
  <c r="K437" i="48" s="1"/>
  <c r="L437" i="48" s="1"/>
  <c r="M437" i="48" s="1"/>
  <c r="N437" i="48" s="1"/>
  <c r="O437" i="48" s="1"/>
  <c r="P437" i="48" s="1"/>
  <c r="Q437" i="48" s="1"/>
  <c r="R437" i="48" s="1"/>
  <c r="S437" i="48" s="1"/>
  <c r="H437" i="47"/>
  <c r="I437" i="47" s="1"/>
  <c r="J437" i="47" s="1"/>
  <c r="K437" i="47" s="1"/>
  <c r="L437" i="47" s="1"/>
  <c r="M437" i="47" s="1"/>
  <c r="N437" i="47" s="1"/>
  <c r="O437" i="47" s="1"/>
  <c r="P437" i="47" s="1"/>
  <c r="Q437" i="47" s="1"/>
  <c r="R437" i="47" s="1"/>
  <c r="S437" i="47" s="1"/>
  <c r="H437" i="46"/>
  <c r="I437" i="46" s="1"/>
  <c r="J437" i="46" s="1"/>
  <c r="K437" i="46" s="1"/>
  <c r="L437" i="46" s="1"/>
  <c r="M437" i="46" s="1"/>
  <c r="N437" i="46" s="1"/>
  <c r="O437" i="46" s="1"/>
  <c r="P437" i="46" s="1"/>
  <c r="Q437" i="46" s="1"/>
  <c r="R437" i="46" s="1"/>
  <c r="S437" i="46" s="1"/>
  <c r="H437" i="45"/>
  <c r="I437" i="45" s="1"/>
  <c r="J437" i="45" s="1"/>
  <c r="K437" i="45" s="1"/>
  <c r="L437" i="45" s="1"/>
  <c r="M437" i="45" s="1"/>
  <c r="N437" i="45" s="1"/>
  <c r="O437" i="45" s="1"/>
  <c r="P437" i="45" s="1"/>
  <c r="Q437" i="45" s="1"/>
  <c r="R437" i="45" s="1"/>
  <c r="S437" i="45" s="1"/>
  <c r="H437" i="44"/>
  <c r="I437" i="44" s="1"/>
  <c r="J437" i="44" s="1"/>
  <c r="K437" i="44" s="1"/>
  <c r="L437" i="44" s="1"/>
  <c r="M437" i="44" s="1"/>
  <c r="N437" i="44" s="1"/>
  <c r="O437" i="44" s="1"/>
  <c r="P437" i="44" s="1"/>
  <c r="Q437" i="44" s="1"/>
  <c r="R437" i="44" s="1"/>
  <c r="S437" i="44" s="1"/>
  <c r="H437" i="43"/>
  <c r="I437" i="43" s="1"/>
  <c r="J437" i="43" s="1"/>
  <c r="K437" i="43" s="1"/>
  <c r="L437" i="43" s="1"/>
  <c r="M437" i="43" s="1"/>
  <c r="N437" i="43" s="1"/>
  <c r="O437" i="43" s="1"/>
  <c r="P437" i="43" s="1"/>
  <c r="Q437" i="43" s="1"/>
  <c r="R437" i="43" s="1"/>
  <c r="S437" i="43" s="1"/>
  <c r="G434" i="48"/>
  <c r="G434" i="47"/>
  <c r="G434" i="46"/>
  <c r="G434" i="45"/>
  <c r="G434" i="44"/>
  <c r="G434" i="43"/>
  <c r="G435" i="48"/>
  <c r="G435" i="47"/>
  <c r="G435" i="46"/>
  <c r="G435" i="45"/>
  <c r="G435" i="44"/>
  <c r="G435" i="43"/>
  <c r="F443" i="48"/>
  <c r="F443" i="47"/>
  <c r="F443" i="46"/>
  <c r="F443" i="45"/>
  <c r="F443" i="44"/>
  <c r="F443" i="43"/>
  <c r="E447" i="48"/>
  <c r="E447" i="47"/>
  <c r="E447" i="46"/>
  <c r="E447" i="45"/>
  <c r="E447" i="44"/>
  <c r="E447" i="43"/>
  <c r="E448" i="48"/>
  <c r="E448" i="47"/>
  <c r="E448" i="46"/>
  <c r="E448" i="45"/>
  <c r="E448" i="44"/>
  <c r="E448" i="43"/>
  <c r="E446" i="48"/>
  <c r="E446" i="47"/>
  <c r="E446" i="46"/>
  <c r="E446" i="45"/>
  <c r="E446" i="44"/>
  <c r="E446" i="43"/>
  <c r="F440" i="48"/>
  <c r="F440" i="47"/>
  <c r="F440" i="46"/>
  <c r="F440" i="45"/>
  <c r="F440" i="44"/>
  <c r="F440" i="43"/>
  <c r="F439" i="48"/>
  <c r="F439" i="47"/>
  <c r="F439" i="46"/>
  <c r="F439" i="45"/>
  <c r="F439" i="44"/>
  <c r="F439" i="43"/>
  <c r="H434" i="48"/>
  <c r="I434" i="48" s="1"/>
  <c r="J434" i="48" s="1"/>
  <c r="K434" i="48" s="1"/>
  <c r="L434" i="48" s="1"/>
  <c r="M434" i="48" s="1"/>
  <c r="N434" i="48" s="1"/>
  <c r="O434" i="48" s="1"/>
  <c r="P434" i="48" s="1"/>
  <c r="Q434" i="48" s="1"/>
  <c r="R434" i="48" s="1"/>
  <c r="S434" i="48" s="1"/>
  <c r="H434" i="47"/>
  <c r="I434" i="47" s="1"/>
  <c r="J434" i="47" s="1"/>
  <c r="K434" i="47" s="1"/>
  <c r="L434" i="47" s="1"/>
  <c r="M434" i="47" s="1"/>
  <c r="N434" i="47" s="1"/>
  <c r="O434" i="47" s="1"/>
  <c r="P434" i="47" s="1"/>
  <c r="Q434" i="47" s="1"/>
  <c r="R434" i="47" s="1"/>
  <c r="S434" i="47" s="1"/>
  <c r="H434" i="46"/>
  <c r="I434" i="46" s="1"/>
  <c r="J434" i="46" s="1"/>
  <c r="K434" i="46" s="1"/>
  <c r="L434" i="46" s="1"/>
  <c r="M434" i="46" s="1"/>
  <c r="N434" i="46" s="1"/>
  <c r="O434" i="46" s="1"/>
  <c r="P434" i="46" s="1"/>
  <c r="Q434" i="46" s="1"/>
  <c r="R434" i="46" s="1"/>
  <c r="S434" i="46" s="1"/>
  <c r="H434" i="45"/>
  <c r="I434" i="45" s="1"/>
  <c r="J434" i="45" s="1"/>
  <c r="K434" i="45" s="1"/>
  <c r="L434" i="45" s="1"/>
  <c r="M434" i="45" s="1"/>
  <c r="N434" i="45" s="1"/>
  <c r="O434" i="45" s="1"/>
  <c r="P434" i="45" s="1"/>
  <c r="Q434" i="45" s="1"/>
  <c r="R434" i="45" s="1"/>
  <c r="S434" i="45" s="1"/>
  <c r="H434" i="44"/>
  <c r="I434" i="44" s="1"/>
  <c r="J434" i="44" s="1"/>
  <c r="K434" i="44" s="1"/>
  <c r="L434" i="44" s="1"/>
  <c r="M434" i="44" s="1"/>
  <c r="N434" i="44" s="1"/>
  <c r="O434" i="44" s="1"/>
  <c r="P434" i="44" s="1"/>
  <c r="Q434" i="44" s="1"/>
  <c r="R434" i="44" s="1"/>
  <c r="S434" i="44" s="1"/>
  <c r="H434" i="43"/>
  <c r="I434" i="43" s="1"/>
  <c r="J434" i="43" s="1"/>
  <c r="K434" i="43" s="1"/>
  <c r="L434" i="43" s="1"/>
  <c r="M434" i="43" s="1"/>
  <c r="N434" i="43" s="1"/>
  <c r="O434" i="43" s="1"/>
  <c r="P434" i="43" s="1"/>
  <c r="Q434" i="43" s="1"/>
  <c r="R434" i="43" s="1"/>
  <c r="S434" i="43" s="1"/>
  <c r="H436" i="48"/>
  <c r="I436" i="48" s="1"/>
  <c r="J436" i="48" s="1"/>
  <c r="K436" i="48" s="1"/>
  <c r="L436" i="48" s="1"/>
  <c r="M436" i="48" s="1"/>
  <c r="N436" i="48" s="1"/>
  <c r="O436" i="48" s="1"/>
  <c r="P436" i="48" s="1"/>
  <c r="Q436" i="48" s="1"/>
  <c r="R436" i="48" s="1"/>
  <c r="S436" i="48" s="1"/>
  <c r="H436" i="47"/>
  <c r="I436" i="47" s="1"/>
  <c r="J436" i="47" s="1"/>
  <c r="K436" i="47" s="1"/>
  <c r="L436" i="47" s="1"/>
  <c r="M436" i="47" s="1"/>
  <c r="N436" i="47" s="1"/>
  <c r="O436" i="47" s="1"/>
  <c r="P436" i="47" s="1"/>
  <c r="Q436" i="47" s="1"/>
  <c r="R436" i="47" s="1"/>
  <c r="S436" i="47" s="1"/>
  <c r="H436" i="46"/>
  <c r="I436" i="46" s="1"/>
  <c r="J436" i="46" s="1"/>
  <c r="K436" i="46" s="1"/>
  <c r="L436" i="46" s="1"/>
  <c r="M436" i="46" s="1"/>
  <c r="N436" i="46" s="1"/>
  <c r="O436" i="46" s="1"/>
  <c r="P436" i="46" s="1"/>
  <c r="Q436" i="46" s="1"/>
  <c r="R436" i="46" s="1"/>
  <c r="S436" i="46" s="1"/>
  <c r="H436" i="45"/>
  <c r="I436" i="45" s="1"/>
  <c r="J436" i="45" s="1"/>
  <c r="K436" i="45" s="1"/>
  <c r="L436" i="45" s="1"/>
  <c r="M436" i="45" s="1"/>
  <c r="N436" i="45" s="1"/>
  <c r="O436" i="45" s="1"/>
  <c r="P436" i="45" s="1"/>
  <c r="Q436" i="45" s="1"/>
  <c r="R436" i="45" s="1"/>
  <c r="S436" i="45" s="1"/>
  <c r="H436" i="44"/>
  <c r="I436" i="44" s="1"/>
  <c r="J436" i="44" s="1"/>
  <c r="K436" i="44" s="1"/>
  <c r="L436" i="44" s="1"/>
  <c r="M436" i="44" s="1"/>
  <c r="N436" i="44" s="1"/>
  <c r="O436" i="44" s="1"/>
  <c r="P436" i="44" s="1"/>
  <c r="Q436" i="44" s="1"/>
  <c r="R436" i="44" s="1"/>
  <c r="S436" i="44" s="1"/>
  <c r="H436" i="43"/>
  <c r="I436" i="43" s="1"/>
  <c r="J436" i="43" s="1"/>
  <c r="K436" i="43" s="1"/>
  <c r="L436" i="43" s="1"/>
  <c r="M436" i="43" s="1"/>
  <c r="N436" i="43" s="1"/>
  <c r="O436" i="43" s="1"/>
  <c r="P436" i="43" s="1"/>
  <c r="Q436" i="43" s="1"/>
  <c r="R436" i="43" s="1"/>
  <c r="S436" i="43" s="1"/>
  <c r="G441" i="48"/>
  <c r="G441" i="47"/>
  <c r="G441" i="46"/>
  <c r="G441" i="45"/>
  <c r="G441" i="44"/>
  <c r="G441" i="43"/>
  <c r="G438" i="48"/>
  <c r="G438" i="47"/>
  <c r="G438" i="46"/>
  <c r="G438" i="45"/>
  <c r="G438" i="44"/>
  <c r="G438" i="43"/>
  <c r="E444" i="48"/>
  <c r="E444" i="47"/>
  <c r="E444" i="46"/>
  <c r="E444" i="45"/>
  <c r="E444" i="44"/>
  <c r="E444" i="43"/>
  <c r="E445" i="48"/>
  <c r="E445" i="47"/>
  <c r="E445" i="46"/>
  <c r="E445" i="45"/>
  <c r="E445" i="44"/>
  <c r="E445" i="43"/>
  <c r="G436" i="48"/>
  <c r="G436" i="47"/>
  <c r="G436" i="46"/>
  <c r="G436" i="45"/>
  <c r="G436" i="44"/>
  <c r="G436" i="43"/>
  <c r="F442" i="48"/>
  <c r="F442" i="47"/>
  <c r="F442" i="46"/>
  <c r="F442" i="45"/>
  <c r="F442" i="44"/>
  <c r="F442" i="43"/>
  <c r="G437" i="48"/>
  <c r="G437" i="47"/>
  <c r="G437" i="46"/>
  <c r="G437" i="45"/>
  <c r="G437" i="44"/>
  <c r="G437" i="43"/>
  <c r="H441" i="48"/>
  <c r="I441" i="48" s="1"/>
  <c r="J441" i="48" s="1"/>
  <c r="K441" i="48" s="1"/>
  <c r="L441" i="48" s="1"/>
  <c r="M441" i="48" s="1"/>
  <c r="N441" i="48" s="1"/>
  <c r="O441" i="48" s="1"/>
  <c r="P441" i="48" s="1"/>
  <c r="Q441" i="48" s="1"/>
  <c r="R441" i="48" s="1"/>
  <c r="S441" i="48" s="1"/>
  <c r="H441" i="47"/>
  <c r="I441" i="47" s="1"/>
  <c r="J441" i="47" s="1"/>
  <c r="K441" i="47" s="1"/>
  <c r="L441" i="47" s="1"/>
  <c r="M441" i="47" s="1"/>
  <c r="N441" i="47" s="1"/>
  <c r="O441" i="47" s="1"/>
  <c r="P441" i="47" s="1"/>
  <c r="Q441" i="47" s="1"/>
  <c r="R441" i="47" s="1"/>
  <c r="S441" i="47" s="1"/>
  <c r="H441" i="46"/>
  <c r="I441" i="46" s="1"/>
  <c r="J441" i="46" s="1"/>
  <c r="K441" i="46" s="1"/>
  <c r="L441" i="46" s="1"/>
  <c r="M441" i="46" s="1"/>
  <c r="N441" i="46" s="1"/>
  <c r="O441" i="46" s="1"/>
  <c r="P441" i="46" s="1"/>
  <c r="Q441" i="46" s="1"/>
  <c r="R441" i="46" s="1"/>
  <c r="S441" i="46" s="1"/>
  <c r="H441" i="45"/>
  <c r="I441" i="45" s="1"/>
  <c r="J441" i="45" s="1"/>
  <c r="K441" i="45" s="1"/>
  <c r="L441" i="45" s="1"/>
  <c r="M441" i="45" s="1"/>
  <c r="N441" i="45" s="1"/>
  <c r="O441" i="45" s="1"/>
  <c r="P441" i="45" s="1"/>
  <c r="Q441" i="45" s="1"/>
  <c r="R441" i="45" s="1"/>
  <c r="S441" i="45" s="1"/>
  <c r="H441" i="44"/>
  <c r="I441" i="44" s="1"/>
  <c r="J441" i="44" s="1"/>
  <c r="K441" i="44" s="1"/>
  <c r="L441" i="44" s="1"/>
  <c r="M441" i="44" s="1"/>
  <c r="N441" i="44" s="1"/>
  <c r="O441" i="44" s="1"/>
  <c r="P441" i="44" s="1"/>
  <c r="Q441" i="44" s="1"/>
  <c r="R441" i="44" s="1"/>
  <c r="S441" i="44" s="1"/>
  <c r="H441" i="43"/>
  <c r="I441" i="43" s="1"/>
  <c r="J441" i="43" s="1"/>
  <c r="K441" i="43" s="1"/>
  <c r="L441" i="43" s="1"/>
  <c r="M441" i="43" s="1"/>
  <c r="N441" i="43" s="1"/>
  <c r="O441" i="43" s="1"/>
  <c r="P441" i="43" s="1"/>
  <c r="Q441" i="43" s="1"/>
  <c r="R441" i="43" s="1"/>
  <c r="S441" i="43" s="1"/>
  <c r="H438" i="48"/>
  <c r="I438" i="48" s="1"/>
  <c r="J438" i="48" s="1"/>
  <c r="K438" i="48" s="1"/>
  <c r="L438" i="48" s="1"/>
  <c r="M438" i="48" s="1"/>
  <c r="N438" i="48" s="1"/>
  <c r="O438" i="48" s="1"/>
  <c r="P438" i="48" s="1"/>
  <c r="Q438" i="48" s="1"/>
  <c r="R438" i="48" s="1"/>
  <c r="S438" i="48" s="1"/>
  <c r="H438" i="47"/>
  <c r="I438" i="47" s="1"/>
  <c r="J438" i="47" s="1"/>
  <c r="K438" i="47" s="1"/>
  <c r="L438" i="47" s="1"/>
  <c r="M438" i="47" s="1"/>
  <c r="N438" i="47" s="1"/>
  <c r="O438" i="47" s="1"/>
  <c r="P438" i="47" s="1"/>
  <c r="Q438" i="47" s="1"/>
  <c r="R438" i="47" s="1"/>
  <c r="S438" i="47" s="1"/>
  <c r="H438" i="46"/>
  <c r="I438" i="46" s="1"/>
  <c r="J438" i="46" s="1"/>
  <c r="K438" i="46" s="1"/>
  <c r="L438" i="46" s="1"/>
  <c r="M438" i="46" s="1"/>
  <c r="N438" i="46" s="1"/>
  <c r="O438" i="46" s="1"/>
  <c r="P438" i="46" s="1"/>
  <c r="Q438" i="46" s="1"/>
  <c r="R438" i="46" s="1"/>
  <c r="S438" i="46" s="1"/>
  <c r="H438" i="45"/>
  <c r="I438" i="45" s="1"/>
  <c r="J438" i="45" s="1"/>
  <c r="K438" i="45" s="1"/>
  <c r="L438" i="45" s="1"/>
  <c r="M438" i="45" s="1"/>
  <c r="N438" i="45" s="1"/>
  <c r="O438" i="45" s="1"/>
  <c r="P438" i="45" s="1"/>
  <c r="Q438" i="45" s="1"/>
  <c r="R438" i="45" s="1"/>
  <c r="S438" i="45" s="1"/>
  <c r="H438" i="44"/>
  <c r="I438" i="44" s="1"/>
  <c r="J438" i="44" s="1"/>
  <c r="K438" i="44" s="1"/>
  <c r="L438" i="44" s="1"/>
  <c r="M438" i="44" s="1"/>
  <c r="N438" i="44" s="1"/>
  <c r="O438" i="44" s="1"/>
  <c r="P438" i="44" s="1"/>
  <c r="Q438" i="44" s="1"/>
  <c r="R438" i="44" s="1"/>
  <c r="S438" i="44" s="1"/>
  <c r="H438" i="43"/>
  <c r="I438" i="43" s="1"/>
  <c r="J438" i="43" s="1"/>
  <c r="K438" i="43" s="1"/>
  <c r="L438" i="43" s="1"/>
  <c r="M438" i="43" s="1"/>
  <c r="N438" i="43" s="1"/>
  <c r="O438" i="43" s="1"/>
  <c r="P438" i="43" s="1"/>
  <c r="Q438" i="43" s="1"/>
  <c r="R438" i="43" s="1"/>
  <c r="S438" i="43" s="1"/>
  <c r="C455" i="48"/>
  <c r="C455" i="46"/>
  <c r="C455" i="47"/>
  <c r="C455" i="45"/>
  <c r="C455" i="44"/>
  <c r="C455" i="43"/>
  <c r="C456" i="47"/>
  <c r="C456" i="48"/>
  <c r="C456" i="46"/>
  <c r="C456" i="45"/>
  <c r="C456" i="44"/>
  <c r="C456" i="43"/>
  <c r="C458" i="47"/>
  <c r="C458" i="48"/>
  <c r="C458" i="45"/>
  <c r="C458" i="46"/>
  <c r="C458" i="44"/>
  <c r="C458" i="43"/>
  <c r="C457" i="48"/>
  <c r="C457" i="46"/>
  <c r="C457" i="45"/>
  <c r="C457" i="47"/>
  <c r="C457" i="44"/>
  <c r="C457" i="43"/>
  <c r="C454" i="47"/>
  <c r="C454" i="48"/>
  <c r="C454" i="46"/>
  <c r="C454" i="45"/>
  <c r="C454" i="44"/>
  <c r="C454" i="43"/>
  <c r="D452" i="48"/>
  <c r="D452" i="47"/>
  <c r="D452" i="46"/>
  <c r="D452" i="45"/>
  <c r="D452" i="43"/>
  <c r="D452" i="44"/>
  <c r="D450" i="48"/>
  <c r="D450" i="47"/>
  <c r="D450" i="46"/>
  <c r="D450" i="45"/>
  <c r="D450" i="44"/>
  <c r="D450" i="43"/>
  <c r="D453" i="47"/>
  <c r="D453" i="48"/>
  <c r="D453" i="46"/>
  <c r="D453" i="45"/>
  <c r="D453" i="43"/>
  <c r="D453" i="44"/>
  <c r="D449" i="48"/>
  <c r="D449" i="47"/>
  <c r="D449" i="46"/>
  <c r="D449" i="45"/>
  <c r="D449" i="44"/>
  <c r="D449" i="43"/>
  <c r="D451" i="48"/>
  <c r="D451" i="47"/>
  <c r="D451" i="46"/>
  <c r="D451" i="45"/>
  <c r="D451" i="43"/>
  <c r="D451" i="44"/>
  <c r="F448" i="48" l="1"/>
  <c r="F448" i="47"/>
  <c r="F448" i="46"/>
  <c r="F448" i="45"/>
  <c r="F448" i="44"/>
  <c r="F448" i="43"/>
  <c r="E450" i="48"/>
  <c r="E450" i="47"/>
  <c r="E450" i="46"/>
  <c r="E450" i="45"/>
  <c r="E450" i="44"/>
  <c r="E450" i="43"/>
  <c r="F444" i="48"/>
  <c r="F444" i="47"/>
  <c r="F444" i="46"/>
  <c r="F444" i="45"/>
  <c r="F444" i="44"/>
  <c r="F444" i="43"/>
  <c r="G442" i="48"/>
  <c r="G442" i="47"/>
  <c r="G442" i="46"/>
  <c r="G442" i="45"/>
  <c r="G442" i="44"/>
  <c r="G442" i="43"/>
  <c r="G443" i="48"/>
  <c r="G443" i="47"/>
  <c r="G443" i="46"/>
  <c r="G443" i="45"/>
  <c r="G443" i="44"/>
  <c r="G443" i="43"/>
  <c r="H443" i="48"/>
  <c r="I443" i="48" s="1"/>
  <c r="J443" i="48" s="1"/>
  <c r="K443" i="48" s="1"/>
  <c r="L443" i="48" s="1"/>
  <c r="M443" i="48" s="1"/>
  <c r="N443" i="48" s="1"/>
  <c r="O443" i="48" s="1"/>
  <c r="P443" i="48" s="1"/>
  <c r="Q443" i="48" s="1"/>
  <c r="R443" i="48" s="1"/>
  <c r="S443" i="48" s="1"/>
  <c r="H443" i="47"/>
  <c r="I443" i="47" s="1"/>
  <c r="J443" i="47" s="1"/>
  <c r="K443" i="47" s="1"/>
  <c r="L443" i="47" s="1"/>
  <c r="M443" i="47" s="1"/>
  <c r="N443" i="47" s="1"/>
  <c r="O443" i="47" s="1"/>
  <c r="P443" i="47" s="1"/>
  <c r="Q443" i="47" s="1"/>
  <c r="R443" i="47" s="1"/>
  <c r="S443" i="47" s="1"/>
  <c r="H443" i="46"/>
  <c r="I443" i="46" s="1"/>
  <c r="J443" i="46" s="1"/>
  <c r="K443" i="46" s="1"/>
  <c r="L443" i="46" s="1"/>
  <c r="M443" i="46" s="1"/>
  <c r="N443" i="46" s="1"/>
  <c r="O443" i="46" s="1"/>
  <c r="P443" i="46" s="1"/>
  <c r="Q443" i="46" s="1"/>
  <c r="R443" i="46" s="1"/>
  <c r="S443" i="46" s="1"/>
  <c r="H443" i="45"/>
  <c r="I443" i="45" s="1"/>
  <c r="J443" i="45" s="1"/>
  <c r="K443" i="45" s="1"/>
  <c r="L443" i="45" s="1"/>
  <c r="M443" i="45" s="1"/>
  <c r="N443" i="45" s="1"/>
  <c r="O443" i="45" s="1"/>
  <c r="P443" i="45" s="1"/>
  <c r="Q443" i="45" s="1"/>
  <c r="R443" i="45" s="1"/>
  <c r="S443" i="45" s="1"/>
  <c r="H443" i="44"/>
  <c r="I443" i="44" s="1"/>
  <c r="J443" i="44" s="1"/>
  <c r="K443" i="44" s="1"/>
  <c r="L443" i="44" s="1"/>
  <c r="M443" i="44" s="1"/>
  <c r="N443" i="44" s="1"/>
  <c r="O443" i="44" s="1"/>
  <c r="P443" i="44" s="1"/>
  <c r="Q443" i="44" s="1"/>
  <c r="R443" i="44" s="1"/>
  <c r="S443" i="44" s="1"/>
  <c r="H443" i="43"/>
  <c r="I443" i="43" s="1"/>
  <c r="J443" i="43" s="1"/>
  <c r="K443" i="43" s="1"/>
  <c r="L443" i="43" s="1"/>
  <c r="M443" i="43" s="1"/>
  <c r="N443" i="43" s="1"/>
  <c r="O443" i="43" s="1"/>
  <c r="P443" i="43" s="1"/>
  <c r="Q443" i="43" s="1"/>
  <c r="R443" i="43" s="1"/>
  <c r="S443" i="43" s="1"/>
  <c r="H442" i="48"/>
  <c r="I442" i="48" s="1"/>
  <c r="J442" i="48" s="1"/>
  <c r="K442" i="48" s="1"/>
  <c r="L442" i="48" s="1"/>
  <c r="M442" i="48" s="1"/>
  <c r="N442" i="48" s="1"/>
  <c r="O442" i="48" s="1"/>
  <c r="P442" i="48" s="1"/>
  <c r="Q442" i="48" s="1"/>
  <c r="R442" i="48" s="1"/>
  <c r="S442" i="48" s="1"/>
  <c r="H442" i="47"/>
  <c r="I442" i="47" s="1"/>
  <c r="J442" i="47" s="1"/>
  <c r="K442" i="47" s="1"/>
  <c r="L442" i="47" s="1"/>
  <c r="M442" i="47" s="1"/>
  <c r="N442" i="47" s="1"/>
  <c r="O442" i="47" s="1"/>
  <c r="P442" i="47" s="1"/>
  <c r="Q442" i="47" s="1"/>
  <c r="R442" i="47" s="1"/>
  <c r="S442" i="47" s="1"/>
  <c r="H442" i="46"/>
  <c r="I442" i="46" s="1"/>
  <c r="J442" i="46" s="1"/>
  <c r="K442" i="46" s="1"/>
  <c r="L442" i="46" s="1"/>
  <c r="M442" i="46" s="1"/>
  <c r="N442" i="46" s="1"/>
  <c r="O442" i="46" s="1"/>
  <c r="P442" i="46" s="1"/>
  <c r="Q442" i="46" s="1"/>
  <c r="R442" i="46" s="1"/>
  <c r="S442" i="46" s="1"/>
  <c r="H442" i="45"/>
  <c r="I442" i="45" s="1"/>
  <c r="J442" i="45" s="1"/>
  <c r="K442" i="45" s="1"/>
  <c r="L442" i="45" s="1"/>
  <c r="M442" i="45" s="1"/>
  <c r="N442" i="45" s="1"/>
  <c r="O442" i="45" s="1"/>
  <c r="P442" i="45" s="1"/>
  <c r="Q442" i="45" s="1"/>
  <c r="R442" i="45" s="1"/>
  <c r="S442" i="45" s="1"/>
  <c r="H442" i="44"/>
  <c r="I442" i="44" s="1"/>
  <c r="J442" i="44" s="1"/>
  <c r="K442" i="44" s="1"/>
  <c r="L442" i="44" s="1"/>
  <c r="M442" i="44" s="1"/>
  <c r="N442" i="44" s="1"/>
  <c r="O442" i="44" s="1"/>
  <c r="P442" i="44" s="1"/>
  <c r="Q442" i="44" s="1"/>
  <c r="R442" i="44" s="1"/>
  <c r="S442" i="44" s="1"/>
  <c r="H442" i="43"/>
  <c r="I442" i="43" s="1"/>
  <c r="J442" i="43" s="1"/>
  <c r="K442" i="43" s="1"/>
  <c r="L442" i="43" s="1"/>
  <c r="M442" i="43" s="1"/>
  <c r="N442" i="43" s="1"/>
  <c r="O442" i="43" s="1"/>
  <c r="P442" i="43" s="1"/>
  <c r="Q442" i="43" s="1"/>
  <c r="R442" i="43" s="1"/>
  <c r="S442" i="43" s="1"/>
  <c r="F447" i="48"/>
  <c r="F447" i="47"/>
  <c r="F447" i="46"/>
  <c r="F447" i="45"/>
  <c r="F447" i="44"/>
  <c r="F447" i="43"/>
  <c r="E453" i="48"/>
  <c r="E453" i="47"/>
  <c r="E453" i="46"/>
  <c r="E453" i="45"/>
  <c r="E453" i="44"/>
  <c r="E453" i="43"/>
  <c r="F446" i="48"/>
  <c r="F446" i="47"/>
  <c r="F446" i="46"/>
  <c r="F446" i="45"/>
  <c r="F446" i="44"/>
  <c r="F446" i="43"/>
  <c r="E449" i="48"/>
  <c r="E449" i="47"/>
  <c r="E449" i="46"/>
  <c r="E449" i="45"/>
  <c r="E449" i="44"/>
  <c r="E449" i="43"/>
  <c r="G440" i="48"/>
  <c r="G440" i="47"/>
  <c r="G440" i="46"/>
  <c r="G440" i="45"/>
  <c r="G440" i="44"/>
  <c r="G440" i="43"/>
  <c r="F445" i="48"/>
  <c r="F445" i="47"/>
  <c r="F445" i="46"/>
  <c r="F445" i="45"/>
  <c r="F445" i="44"/>
  <c r="F445" i="43"/>
  <c r="H440" i="48"/>
  <c r="I440" i="48" s="1"/>
  <c r="J440" i="48" s="1"/>
  <c r="K440" i="48" s="1"/>
  <c r="L440" i="48" s="1"/>
  <c r="M440" i="48" s="1"/>
  <c r="N440" i="48" s="1"/>
  <c r="O440" i="48" s="1"/>
  <c r="P440" i="48" s="1"/>
  <c r="Q440" i="48" s="1"/>
  <c r="R440" i="48" s="1"/>
  <c r="S440" i="48" s="1"/>
  <c r="H440" i="47"/>
  <c r="I440" i="47" s="1"/>
  <c r="J440" i="47" s="1"/>
  <c r="K440" i="47" s="1"/>
  <c r="L440" i="47" s="1"/>
  <c r="M440" i="47" s="1"/>
  <c r="N440" i="47" s="1"/>
  <c r="O440" i="47" s="1"/>
  <c r="P440" i="47" s="1"/>
  <c r="Q440" i="47" s="1"/>
  <c r="R440" i="47" s="1"/>
  <c r="S440" i="47" s="1"/>
  <c r="H440" i="46"/>
  <c r="I440" i="46" s="1"/>
  <c r="J440" i="46" s="1"/>
  <c r="K440" i="46" s="1"/>
  <c r="L440" i="46" s="1"/>
  <c r="M440" i="46" s="1"/>
  <c r="N440" i="46" s="1"/>
  <c r="O440" i="46" s="1"/>
  <c r="P440" i="46" s="1"/>
  <c r="Q440" i="46" s="1"/>
  <c r="R440" i="46" s="1"/>
  <c r="S440" i="46" s="1"/>
  <c r="H440" i="45"/>
  <c r="I440" i="45" s="1"/>
  <c r="J440" i="45" s="1"/>
  <c r="K440" i="45" s="1"/>
  <c r="L440" i="45" s="1"/>
  <c r="M440" i="45" s="1"/>
  <c r="N440" i="45" s="1"/>
  <c r="O440" i="45" s="1"/>
  <c r="P440" i="45" s="1"/>
  <c r="Q440" i="45" s="1"/>
  <c r="R440" i="45" s="1"/>
  <c r="S440" i="45" s="1"/>
  <c r="H440" i="44"/>
  <c r="I440" i="44" s="1"/>
  <c r="J440" i="44" s="1"/>
  <c r="K440" i="44" s="1"/>
  <c r="L440" i="44" s="1"/>
  <c r="M440" i="44" s="1"/>
  <c r="N440" i="44" s="1"/>
  <c r="O440" i="44" s="1"/>
  <c r="P440" i="44" s="1"/>
  <c r="Q440" i="44" s="1"/>
  <c r="R440" i="44" s="1"/>
  <c r="S440" i="44" s="1"/>
  <c r="H440" i="43"/>
  <c r="I440" i="43" s="1"/>
  <c r="J440" i="43" s="1"/>
  <c r="K440" i="43" s="1"/>
  <c r="L440" i="43" s="1"/>
  <c r="M440" i="43" s="1"/>
  <c r="N440" i="43" s="1"/>
  <c r="O440" i="43" s="1"/>
  <c r="P440" i="43" s="1"/>
  <c r="Q440" i="43" s="1"/>
  <c r="R440" i="43" s="1"/>
  <c r="S440" i="43" s="1"/>
  <c r="E451" i="48"/>
  <c r="E451" i="47"/>
  <c r="E451" i="46"/>
  <c r="E451" i="45"/>
  <c r="E451" i="44"/>
  <c r="E451" i="43"/>
  <c r="G439" i="48"/>
  <c r="G439" i="47"/>
  <c r="G439" i="46"/>
  <c r="G439" i="45"/>
  <c r="G439" i="44"/>
  <c r="G439" i="43"/>
  <c r="E452" i="48"/>
  <c r="E452" i="47"/>
  <c r="E452" i="46"/>
  <c r="E452" i="45"/>
  <c r="E452" i="44"/>
  <c r="E452" i="43"/>
  <c r="H439" i="48"/>
  <c r="I439" i="48" s="1"/>
  <c r="J439" i="48" s="1"/>
  <c r="K439" i="48" s="1"/>
  <c r="L439" i="48" s="1"/>
  <c r="M439" i="48" s="1"/>
  <c r="N439" i="48" s="1"/>
  <c r="O439" i="48" s="1"/>
  <c r="P439" i="48" s="1"/>
  <c r="Q439" i="48" s="1"/>
  <c r="R439" i="48" s="1"/>
  <c r="S439" i="48" s="1"/>
  <c r="H439" i="47"/>
  <c r="I439" i="47" s="1"/>
  <c r="J439" i="47" s="1"/>
  <c r="K439" i="47" s="1"/>
  <c r="L439" i="47" s="1"/>
  <c r="M439" i="47" s="1"/>
  <c r="N439" i="47" s="1"/>
  <c r="O439" i="47" s="1"/>
  <c r="P439" i="47" s="1"/>
  <c r="Q439" i="47" s="1"/>
  <c r="R439" i="47" s="1"/>
  <c r="S439" i="47" s="1"/>
  <c r="H439" i="46"/>
  <c r="I439" i="46" s="1"/>
  <c r="J439" i="46" s="1"/>
  <c r="K439" i="46" s="1"/>
  <c r="L439" i="46" s="1"/>
  <c r="M439" i="46" s="1"/>
  <c r="N439" i="46" s="1"/>
  <c r="O439" i="46" s="1"/>
  <c r="P439" i="46" s="1"/>
  <c r="Q439" i="46" s="1"/>
  <c r="R439" i="46" s="1"/>
  <c r="S439" i="46" s="1"/>
  <c r="H439" i="45"/>
  <c r="I439" i="45" s="1"/>
  <c r="J439" i="45" s="1"/>
  <c r="K439" i="45" s="1"/>
  <c r="L439" i="45" s="1"/>
  <c r="M439" i="45" s="1"/>
  <c r="N439" i="45" s="1"/>
  <c r="O439" i="45" s="1"/>
  <c r="P439" i="45" s="1"/>
  <c r="Q439" i="45" s="1"/>
  <c r="R439" i="45" s="1"/>
  <c r="S439" i="45" s="1"/>
  <c r="H439" i="44"/>
  <c r="I439" i="44" s="1"/>
  <c r="J439" i="44" s="1"/>
  <c r="K439" i="44" s="1"/>
  <c r="L439" i="44" s="1"/>
  <c r="M439" i="44" s="1"/>
  <c r="N439" i="44" s="1"/>
  <c r="O439" i="44" s="1"/>
  <c r="P439" i="44" s="1"/>
  <c r="Q439" i="44" s="1"/>
  <c r="R439" i="44" s="1"/>
  <c r="S439" i="44" s="1"/>
  <c r="H439" i="43"/>
  <c r="I439" i="43" s="1"/>
  <c r="J439" i="43" s="1"/>
  <c r="K439" i="43" s="1"/>
  <c r="L439" i="43" s="1"/>
  <c r="M439" i="43" s="1"/>
  <c r="N439" i="43" s="1"/>
  <c r="O439" i="43" s="1"/>
  <c r="P439" i="43" s="1"/>
  <c r="Q439" i="43" s="1"/>
  <c r="R439" i="43" s="1"/>
  <c r="S439" i="43" s="1"/>
  <c r="C461" i="48"/>
  <c r="C461" i="47"/>
  <c r="C461" i="46"/>
  <c r="C461" i="45"/>
  <c r="C461" i="44"/>
  <c r="C461" i="43"/>
  <c r="C462" i="48"/>
  <c r="C462" i="47"/>
  <c r="C462" i="46"/>
  <c r="C462" i="45"/>
  <c r="C462" i="44"/>
  <c r="C462" i="43"/>
  <c r="C460" i="48"/>
  <c r="C460" i="47"/>
  <c r="C460" i="46"/>
  <c r="C460" i="45"/>
  <c r="C460" i="44"/>
  <c r="C460" i="43"/>
  <c r="C463" i="48"/>
  <c r="C463" i="47"/>
  <c r="C463" i="46"/>
  <c r="C463" i="45"/>
  <c r="C463" i="44"/>
  <c r="C463" i="43"/>
  <c r="C459" i="48"/>
  <c r="C459" i="47"/>
  <c r="C459" i="46"/>
  <c r="C459" i="45"/>
  <c r="C459" i="44"/>
  <c r="C459" i="43"/>
  <c r="D457" i="48"/>
  <c r="D457" i="47"/>
  <c r="D457" i="46"/>
  <c r="D457" i="45"/>
  <c r="D457" i="44"/>
  <c r="D457" i="43"/>
  <c r="D454" i="47"/>
  <c r="D454" i="48"/>
  <c r="D454" i="46"/>
  <c r="D454" i="45"/>
  <c r="D454" i="44"/>
  <c r="D454" i="43"/>
  <c r="D458" i="48"/>
  <c r="D458" i="47"/>
  <c r="D458" i="46"/>
  <c r="D458" i="45"/>
  <c r="D458" i="44"/>
  <c r="D458" i="43"/>
  <c r="D456" i="48"/>
  <c r="D456" i="47"/>
  <c r="D456" i="46"/>
  <c r="D456" i="45"/>
  <c r="D456" i="44"/>
  <c r="D456" i="43"/>
  <c r="D455" i="48"/>
  <c r="D455" i="47"/>
  <c r="D455" i="46"/>
  <c r="D455" i="45"/>
  <c r="D455" i="44"/>
  <c r="D455" i="43"/>
  <c r="E457" i="48" l="1"/>
  <c r="E457" i="47"/>
  <c r="E457" i="46"/>
  <c r="E457" i="45"/>
  <c r="E457" i="44"/>
  <c r="E457" i="43"/>
  <c r="E456" i="48"/>
  <c r="E456" i="47"/>
  <c r="E456" i="46"/>
  <c r="E456" i="45"/>
  <c r="E456" i="44"/>
  <c r="E456" i="43"/>
  <c r="E458" i="48"/>
  <c r="E458" i="47"/>
  <c r="E458" i="46"/>
  <c r="E458" i="45"/>
  <c r="E458" i="44"/>
  <c r="E458" i="43"/>
  <c r="G445" i="48"/>
  <c r="G445" i="47"/>
  <c r="G445" i="46"/>
  <c r="G445" i="45"/>
  <c r="G445" i="44"/>
  <c r="G445" i="43"/>
  <c r="F453" i="48"/>
  <c r="F453" i="47"/>
  <c r="F453" i="46"/>
  <c r="F453" i="45"/>
  <c r="F453" i="44"/>
  <c r="F453" i="43"/>
  <c r="H445" i="48"/>
  <c r="I445" i="48" s="1"/>
  <c r="J445" i="48" s="1"/>
  <c r="K445" i="48" s="1"/>
  <c r="L445" i="48" s="1"/>
  <c r="M445" i="48" s="1"/>
  <c r="N445" i="48" s="1"/>
  <c r="O445" i="48" s="1"/>
  <c r="P445" i="48" s="1"/>
  <c r="Q445" i="48" s="1"/>
  <c r="R445" i="48" s="1"/>
  <c r="S445" i="48" s="1"/>
  <c r="H445" i="47"/>
  <c r="I445" i="47" s="1"/>
  <c r="J445" i="47" s="1"/>
  <c r="K445" i="47" s="1"/>
  <c r="L445" i="47" s="1"/>
  <c r="M445" i="47" s="1"/>
  <c r="N445" i="47" s="1"/>
  <c r="O445" i="47" s="1"/>
  <c r="P445" i="47" s="1"/>
  <c r="Q445" i="47" s="1"/>
  <c r="R445" i="47" s="1"/>
  <c r="S445" i="47" s="1"/>
  <c r="H445" i="46"/>
  <c r="I445" i="46" s="1"/>
  <c r="J445" i="46" s="1"/>
  <c r="K445" i="46" s="1"/>
  <c r="L445" i="46" s="1"/>
  <c r="M445" i="46" s="1"/>
  <c r="N445" i="46" s="1"/>
  <c r="O445" i="46" s="1"/>
  <c r="P445" i="46" s="1"/>
  <c r="Q445" i="46" s="1"/>
  <c r="R445" i="46" s="1"/>
  <c r="S445" i="46" s="1"/>
  <c r="H445" i="45"/>
  <c r="I445" i="45" s="1"/>
  <c r="J445" i="45" s="1"/>
  <c r="K445" i="45" s="1"/>
  <c r="L445" i="45" s="1"/>
  <c r="M445" i="45" s="1"/>
  <c r="N445" i="45" s="1"/>
  <c r="O445" i="45" s="1"/>
  <c r="P445" i="45" s="1"/>
  <c r="Q445" i="45" s="1"/>
  <c r="R445" i="45" s="1"/>
  <c r="S445" i="45" s="1"/>
  <c r="H445" i="44"/>
  <c r="I445" i="44" s="1"/>
  <c r="J445" i="44" s="1"/>
  <c r="K445" i="44" s="1"/>
  <c r="L445" i="44" s="1"/>
  <c r="M445" i="44" s="1"/>
  <c r="N445" i="44" s="1"/>
  <c r="O445" i="44" s="1"/>
  <c r="P445" i="44" s="1"/>
  <c r="Q445" i="44" s="1"/>
  <c r="R445" i="44" s="1"/>
  <c r="S445" i="44" s="1"/>
  <c r="H445" i="43"/>
  <c r="I445" i="43" s="1"/>
  <c r="J445" i="43" s="1"/>
  <c r="K445" i="43" s="1"/>
  <c r="L445" i="43" s="1"/>
  <c r="M445" i="43" s="1"/>
  <c r="N445" i="43" s="1"/>
  <c r="O445" i="43" s="1"/>
  <c r="P445" i="43" s="1"/>
  <c r="Q445" i="43" s="1"/>
  <c r="R445" i="43" s="1"/>
  <c r="S445" i="43" s="1"/>
  <c r="F449" i="48"/>
  <c r="F449" i="47"/>
  <c r="F449" i="46"/>
  <c r="F449" i="45"/>
  <c r="F449" i="44"/>
  <c r="F449" i="43"/>
  <c r="H444" i="48"/>
  <c r="I444" i="48" s="1"/>
  <c r="J444" i="48" s="1"/>
  <c r="K444" i="48" s="1"/>
  <c r="L444" i="48" s="1"/>
  <c r="M444" i="48" s="1"/>
  <c r="N444" i="48" s="1"/>
  <c r="O444" i="48" s="1"/>
  <c r="P444" i="48" s="1"/>
  <c r="Q444" i="48" s="1"/>
  <c r="R444" i="48" s="1"/>
  <c r="S444" i="48" s="1"/>
  <c r="H444" i="47"/>
  <c r="I444" i="47" s="1"/>
  <c r="J444" i="47" s="1"/>
  <c r="K444" i="47" s="1"/>
  <c r="L444" i="47" s="1"/>
  <c r="M444" i="47" s="1"/>
  <c r="N444" i="47" s="1"/>
  <c r="O444" i="47" s="1"/>
  <c r="P444" i="47" s="1"/>
  <c r="Q444" i="47" s="1"/>
  <c r="R444" i="47" s="1"/>
  <c r="S444" i="47" s="1"/>
  <c r="H444" i="46"/>
  <c r="I444" i="46" s="1"/>
  <c r="J444" i="46" s="1"/>
  <c r="K444" i="46" s="1"/>
  <c r="L444" i="46" s="1"/>
  <c r="M444" i="46" s="1"/>
  <c r="N444" i="46" s="1"/>
  <c r="O444" i="46" s="1"/>
  <c r="P444" i="46" s="1"/>
  <c r="Q444" i="46" s="1"/>
  <c r="R444" i="46" s="1"/>
  <c r="S444" i="46" s="1"/>
  <c r="H444" i="45"/>
  <c r="I444" i="45" s="1"/>
  <c r="J444" i="45" s="1"/>
  <c r="K444" i="45" s="1"/>
  <c r="L444" i="45" s="1"/>
  <c r="M444" i="45" s="1"/>
  <c r="N444" i="45" s="1"/>
  <c r="O444" i="45" s="1"/>
  <c r="P444" i="45" s="1"/>
  <c r="Q444" i="45" s="1"/>
  <c r="R444" i="45" s="1"/>
  <c r="S444" i="45" s="1"/>
  <c r="H444" i="44"/>
  <c r="I444" i="44" s="1"/>
  <c r="J444" i="44" s="1"/>
  <c r="K444" i="44" s="1"/>
  <c r="L444" i="44" s="1"/>
  <c r="M444" i="44" s="1"/>
  <c r="N444" i="44" s="1"/>
  <c r="O444" i="44" s="1"/>
  <c r="P444" i="44" s="1"/>
  <c r="Q444" i="44" s="1"/>
  <c r="R444" i="44" s="1"/>
  <c r="S444" i="44" s="1"/>
  <c r="H444" i="43"/>
  <c r="I444" i="43" s="1"/>
  <c r="J444" i="43" s="1"/>
  <c r="K444" i="43" s="1"/>
  <c r="L444" i="43" s="1"/>
  <c r="M444" i="43" s="1"/>
  <c r="N444" i="43" s="1"/>
  <c r="O444" i="43" s="1"/>
  <c r="P444" i="43" s="1"/>
  <c r="Q444" i="43" s="1"/>
  <c r="R444" i="43" s="1"/>
  <c r="S444" i="43" s="1"/>
  <c r="H448" i="48"/>
  <c r="I448" i="48" s="1"/>
  <c r="J448" i="48" s="1"/>
  <c r="K448" i="48" s="1"/>
  <c r="L448" i="48" s="1"/>
  <c r="M448" i="48" s="1"/>
  <c r="N448" i="48" s="1"/>
  <c r="O448" i="48" s="1"/>
  <c r="P448" i="48" s="1"/>
  <c r="Q448" i="48" s="1"/>
  <c r="R448" i="48" s="1"/>
  <c r="S448" i="48" s="1"/>
  <c r="H448" i="47"/>
  <c r="I448" i="47" s="1"/>
  <c r="J448" i="47" s="1"/>
  <c r="K448" i="47" s="1"/>
  <c r="L448" i="47" s="1"/>
  <c r="M448" i="47" s="1"/>
  <c r="N448" i="47" s="1"/>
  <c r="O448" i="47" s="1"/>
  <c r="P448" i="47" s="1"/>
  <c r="Q448" i="47" s="1"/>
  <c r="R448" i="47" s="1"/>
  <c r="S448" i="47" s="1"/>
  <c r="H448" i="46"/>
  <c r="I448" i="46" s="1"/>
  <c r="J448" i="46" s="1"/>
  <c r="K448" i="46" s="1"/>
  <c r="L448" i="46" s="1"/>
  <c r="M448" i="46" s="1"/>
  <c r="N448" i="46" s="1"/>
  <c r="O448" i="46" s="1"/>
  <c r="P448" i="46" s="1"/>
  <c r="Q448" i="46" s="1"/>
  <c r="R448" i="46" s="1"/>
  <c r="S448" i="46" s="1"/>
  <c r="H448" i="45"/>
  <c r="I448" i="45" s="1"/>
  <c r="J448" i="45" s="1"/>
  <c r="K448" i="45" s="1"/>
  <c r="L448" i="45" s="1"/>
  <c r="M448" i="45" s="1"/>
  <c r="N448" i="45" s="1"/>
  <c r="O448" i="45" s="1"/>
  <c r="P448" i="45" s="1"/>
  <c r="Q448" i="45" s="1"/>
  <c r="R448" i="45" s="1"/>
  <c r="S448" i="45" s="1"/>
  <c r="H448" i="44"/>
  <c r="I448" i="44" s="1"/>
  <c r="J448" i="44" s="1"/>
  <c r="K448" i="44" s="1"/>
  <c r="L448" i="44" s="1"/>
  <c r="M448" i="44" s="1"/>
  <c r="N448" i="44" s="1"/>
  <c r="O448" i="44" s="1"/>
  <c r="P448" i="44" s="1"/>
  <c r="Q448" i="44" s="1"/>
  <c r="R448" i="44" s="1"/>
  <c r="S448" i="44" s="1"/>
  <c r="H448" i="43"/>
  <c r="I448" i="43" s="1"/>
  <c r="J448" i="43" s="1"/>
  <c r="K448" i="43" s="1"/>
  <c r="L448" i="43" s="1"/>
  <c r="M448" i="43" s="1"/>
  <c r="N448" i="43" s="1"/>
  <c r="O448" i="43" s="1"/>
  <c r="P448" i="43" s="1"/>
  <c r="Q448" i="43" s="1"/>
  <c r="R448" i="43" s="1"/>
  <c r="S448" i="43" s="1"/>
  <c r="G447" i="48"/>
  <c r="G447" i="47"/>
  <c r="G447" i="46"/>
  <c r="G447" i="45"/>
  <c r="G447" i="44"/>
  <c r="G447" i="43"/>
  <c r="G444" i="48"/>
  <c r="G444" i="47"/>
  <c r="G444" i="46"/>
  <c r="G444" i="45"/>
  <c r="G444" i="44"/>
  <c r="G444" i="43"/>
  <c r="G448" i="48"/>
  <c r="G448" i="47"/>
  <c r="G448" i="46"/>
  <c r="G448" i="45"/>
  <c r="G448" i="44"/>
  <c r="G448" i="43"/>
  <c r="E454" i="48"/>
  <c r="E454" i="47"/>
  <c r="E454" i="46"/>
  <c r="E454" i="45"/>
  <c r="E454" i="44"/>
  <c r="E454" i="43"/>
  <c r="F452" i="48"/>
  <c r="F452" i="47"/>
  <c r="F452" i="46"/>
  <c r="F452" i="45"/>
  <c r="F452" i="44"/>
  <c r="F452" i="43"/>
  <c r="F450" i="48"/>
  <c r="F450" i="47"/>
  <c r="F450" i="46"/>
  <c r="F450" i="45"/>
  <c r="F450" i="44"/>
  <c r="F450" i="43"/>
  <c r="H447" i="48"/>
  <c r="I447" i="48" s="1"/>
  <c r="J447" i="48" s="1"/>
  <c r="K447" i="48" s="1"/>
  <c r="L447" i="48" s="1"/>
  <c r="M447" i="48" s="1"/>
  <c r="N447" i="48" s="1"/>
  <c r="O447" i="48" s="1"/>
  <c r="P447" i="48" s="1"/>
  <c r="Q447" i="48" s="1"/>
  <c r="R447" i="48" s="1"/>
  <c r="S447" i="48" s="1"/>
  <c r="H447" i="47"/>
  <c r="I447" i="47" s="1"/>
  <c r="J447" i="47" s="1"/>
  <c r="K447" i="47" s="1"/>
  <c r="L447" i="47" s="1"/>
  <c r="M447" i="47" s="1"/>
  <c r="N447" i="47" s="1"/>
  <c r="O447" i="47" s="1"/>
  <c r="P447" i="47" s="1"/>
  <c r="Q447" i="47" s="1"/>
  <c r="R447" i="47" s="1"/>
  <c r="S447" i="47" s="1"/>
  <c r="H447" i="46"/>
  <c r="I447" i="46" s="1"/>
  <c r="J447" i="46" s="1"/>
  <c r="K447" i="46" s="1"/>
  <c r="L447" i="46" s="1"/>
  <c r="M447" i="46" s="1"/>
  <c r="N447" i="46" s="1"/>
  <c r="O447" i="46" s="1"/>
  <c r="P447" i="46" s="1"/>
  <c r="Q447" i="46" s="1"/>
  <c r="R447" i="46" s="1"/>
  <c r="S447" i="46" s="1"/>
  <c r="H447" i="45"/>
  <c r="I447" i="45" s="1"/>
  <c r="J447" i="45" s="1"/>
  <c r="K447" i="45" s="1"/>
  <c r="L447" i="45" s="1"/>
  <c r="M447" i="45" s="1"/>
  <c r="N447" i="45" s="1"/>
  <c r="O447" i="45" s="1"/>
  <c r="P447" i="45" s="1"/>
  <c r="Q447" i="45" s="1"/>
  <c r="R447" i="45" s="1"/>
  <c r="S447" i="45" s="1"/>
  <c r="H447" i="44"/>
  <c r="I447" i="44" s="1"/>
  <c r="J447" i="44" s="1"/>
  <c r="K447" i="44" s="1"/>
  <c r="L447" i="44" s="1"/>
  <c r="M447" i="44" s="1"/>
  <c r="N447" i="44" s="1"/>
  <c r="O447" i="44" s="1"/>
  <c r="P447" i="44" s="1"/>
  <c r="Q447" i="44" s="1"/>
  <c r="R447" i="44" s="1"/>
  <c r="S447" i="44" s="1"/>
  <c r="H447" i="43"/>
  <c r="I447" i="43" s="1"/>
  <c r="J447" i="43" s="1"/>
  <c r="K447" i="43" s="1"/>
  <c r="L447" i="43" s="1"/>
  <c r="M447" i="43" s="1"/>
  <c r="N447" i="43" s="1"/>
  <c r="O447" i="43" s="1"/>
  <c r="P447" i="43" s="1"/>
  <c r="Q447" i="43" s="1"/>
  <c r="R447" i="43" s="1"/>
  <c r="S447" i="43" s="1"/>
  <c r="E455" i="48"/>
  <c r="E455" i="47"/>
  <c r="E455" i="46"/>
  <c r="E455" i="45"/>
  <c r="E455" i="44"/>
  <c r="E455" i="43"/>
  <c r="F451" i="48"/>
  <c r="F451" i="47"/>
  <c r="F451" i="46"/>
  <c r="F451" i="45"/>
  <c r="F451" i="44"/>
  <c r="F451" i="43"/>
  <c r="G446" i="48"/>
  <c r="G446" i="47"/>
  <c r="G446" i="46"/>
  <c r="G446" i="45"/>
  <c r="G446" i="44"/>
  <c r="G446" i="43"/>
  <c r="H446" i="48"/>
  <c r="I446" i="48" s="1"/>
  <c r="J446" i="48" s="1"/>
  <c r="K446" i="48" s="1"/>
  <c r="L446" i="48" s="1"/>
  <c r="M446" i="48" s="1"/>
  <c r="N446" i="48" s="1"/>
  <c r="O446" i="48" s="1"/>
  <c r="P446" i="48" s="1"/>
  <c r="Q446" i="48" s="1"/>
  <c r="R446" i="48" s="1"/>
  <c r="S446" i="48" s="1"/>
  <c r="H446" i="47"/>
  <c r="I446" i="47" s="1"/>
  <c r="J446" i="47" s="1"/>
  <c r="K446" i="47" s="1"/>
  <c r="L446" i="47" s="1"/>
  <c r="M446" i="47" s="1"/>
  <c r="N446" i="47" s="1"/>
  <c r="O446" i="47" s="1"/>
  <c r="P446" i="47" s="1"/>
  <c r="Q446" i="47" s="1"/>
  <c r="R446" i="47" s="1"/>
  <c r="S446" i="47" s="1"/>
  <c r="H446" i="46"/>
  <c r="I446" i="46" s="1"/>
  <c r="J446" i="46" s="1"/>
  <c r="K446" i="46" s="1"/>
  <c r="L446" i="46" s="1"/>
  <c r="M446" i="46" s="1"/>
  <c r="N446" i="46" s="1"/>
  <c r="O446" i="46" s="1"/>
  <c r="P446" i="46" s="1"/>
  <c r="Q446" i="46" s="1"/>
  <c r="R446" i="46" s="1"/>
  <c r="S446" i="46" s="1"/>
  <c r="H446" i="45"/>
  <c r="I446" i="45" s="1"/>
  <c r="J446" i="45" s="1"/>
  <c r="K446" i="45" s="1"/>
  <c r="L446" i="45" s="1"/>
  <c r="M446" i="45" s="1"/>
  <c r="N446" i="45" s="1"/>
  <c r="O446" i="45" s="1"/>
  <c r="P446" i="45" s="1"/>
  <c r="Q446" i="45" s="1"/>
  <c r="R446" i="45" s="1"/>
  <c r="S446" i="45" s="1"/>
  <c r="H446" i="44"/>
  <c r="I446" i="44" s="1"/>
  <c r="J446" i="44" s="1"/>
  <c r="K446" i="44" s="1"/>
  <c r="L446" i="44" s="1"/>
  <c r="M446" i="44" s="1"/>
  <c r="N446" i="44" s="1"/>
  <c r="O446" i="44" s="1"/>
  <c r="P446" i="44" s="1"/>
  <c r="Q446" i="44" s="1"/>
  <c r="R446" i="44" s="1"/>
  <c r="S446" i="44" s="1"/>
  <c r="H446" i="43"/>
  <c r="I446" i="43" s="1"/>
  <c r="J446" i="43" s="1"/>
  <c r="K446" i="43" s="1"/>
  <c r="L446" i="43" s="1"/>
  <c r="M446" i="43" s="1"/>
  <c r="N446" i="43" s="1"/>
  <c r="O446" i="43" s="1"/>
  <c r="P446" i="43" s="1"/>
  <c r="Q446" i="43" s="1"/>
  <c r="R446" i="43" s="1"/>
  <c r="S446" i="43" s="1"/>
  <c r="C468" i="47"/>
  <c r="C468" i="48"/>
  <c r="C468" i="46"/>
  <c r="C468" i="45"/>
  <c r="C468" i="44"/>
  <c r="C468" i="43"/>
  <c r="C467" i="48"/>
  <c r="C467" i="47"/>
  <c r="C467" i="46"/>
  <c r="C467" i="45"/>
  <c r="C467" i="44"/>
  <c r="C467" i="43"/>
  <c r="C465" i="48"/>
  <c r="C465" i="46"/>
  <c r="C465" i="45"/>
  <c r="C465" i="47"/>
  <c r="C465" i="44"/>
  <c r="C465" i="43"/>
  <c r="C464" i="47"/>
  <c r="C464" i="46"/>
  <c r="C464" i="48"/>
  <c r="C464" i="45"/>
  <c r="C464" i="44"/>
  <c r="C464" i="43"/>
  <c r="C466" i="48"/>
  <c r="C466" i="46"/>
  <c r="C466" i="45"/>
  <c r="C466" i="47"/>
  <c r="C466" i="44"/>
  <c r="C466" i="43"/>
  <c r="C471" i="48"/>
  <c r="C471" i="46"/>
  <c r="C471" i="47"/>
  <c r="C471" i="45"/>
  <c r="C471" i="44"/>
  <c r="C471" i="43"/>
  <c r="D463" i="48"/>
  <c r="D463" i="47"/>
  <c r="D463" i="46"/>
  <c r="D463" i="45"/>
  <c r="D463" i="44"/>
  <c r="D463" i="43"/>
  <c r="D461" i="47"/>
  <c r="D461" i="48"/>
  <c r="D461" i="46"/>
  <c r="D461" i="45"/>
  <c r="D461" i="44"/>
  <c r="D461" i="43"/>
  <c r="D459" i="48"/>
  <c r="D459" i="47"/>
  <c r="D459" i="46"/>
  <c r="D459" i="45"/>
  <c r="D459" i="44"/>
  <c r="D459" i="43"/>
  <c r="D460" i="47"/>
  <c r="D460" i="48"/>
  <c r="D460" i="46"/>
  <c r="D460" i="45"/>
  <c r="D460" i="43"/>
  <c r="D460" i="44"/>
  <c r="D462" i="48"/>
  <c r="D462" i="47"/>
  <c r="D462" i="46"/>
  <c r="D462" i="45"/>
  <c r="D462" i="44"/>
  <c r="D462" i="43"/>
  <c r="H453" i="48" l="1"/>
  <c r="I453" i="48" s="1"/>
  <c r="J453" i="48" s="1"/>
  <c r="K453" i="48" s="1"/>
  <c r="L453" i="48" s="1"/>
  <c r="M453" i="48" s="1"/>
  <c r="N453" i="48" s="1"/>
  <c r="O453" i="48" s="1"/>
  <c r="P453" i="48" s="1"/>
  <c r="Q453" i="48" s="1"/>
  <c r="R453" i="48" s="1"/>
  <c r="S453" i="48" s="1"/>
  <c r="H453" i="47"/>
  <c r="I453" i="47" s="1"/>
  <c r="J453" i="47" s="1"/>
  <c r="K453" i="47" s="1"/>
  <c r="L453" i="47" s="1"/>
  <c r="M453" i="47" s="1"/>
  <c r="N453" i="47" s="1"/>
  <c r="O453" i="47" s="1"/>
  <c r="P453" i="47" s="1"/>
  <c r="Q453" i="47" s="1"/>
  <c r="R453" i="47" s="1"/>
  <c r="S453" i="47" s="1"/>
  <c r="H453" i="46"/>
  <c r="I453" i="46" s="1"/>
  <c r="J453" i="46" s="1"/>
  <c r="K453" i="46" s="1"/>
  <c r="L453" i="46" s="1"/>
  <c r="M453" i="46" s="1"/>
  <c r="N453" i="46" s="1"/>
  <c r="O453" i="46" s="1"/>
  <c r="P453" i="46" s="1"/>
  <c r="Q453" i="46" s="1"/>
  <c r="R453" i="46" s="1"/>
  <c r="S453" i="46" s="1"/>
  <c r="H453" i="45"/>
  <c r="I453" i="45" s="1"/>
  <c r="J453" i="45" s="1"/>
  <c r="K453" i="45" s="1"/>
  <c r="L453" i="45" s="1"/>
  <c r="M453" i="45" s="1"/>
  <c r="N453" i="45" s="1"/>
  <c r="O453" i="45" s="1"/>
  <c r="P453" i="45" s="1"/>
  <c r="Q453" i="45" s="1"/>
  <c r="R453" i="45" s="1"/>
  <c r="S453" i="45" s="1"/>
  <c r="H453" i="44"/>
  <c r="I453" i="44" s="1"/>
  <c r="J453" i="44" s="1"/>
  <c r="K453" i="44" s="1"/>
  <c r="L453" i="44" s="1"/>
  <c r="M453" i="44" s="1"/>
  <c r="N453" i="44" s="1"/>
  <c r="O453" i="44" s="1"/>
  <c r="P453" i="44" s="1"/>
  <c r="Q453" i="44" s="1"/>
  <c r="R453" i="44" s="1"/>
  <c r="S453" i="44" s="1"/>
  <c r="H453" i="43"/>
  <c r="I453" i="43" s="1"/>
  <c r="J453" i="43" s="1"/>
  <c r="K453" i="43" s="1"/>
  <c r="L453" i="43" s="1"/>
  <c r="M453" i="43" s="1"/>
  <c r="N453" i="43" s="1"/>
  <c r="O453" i="43" s="1"/>
  <c r="P453" i="43" s="1"/>
  <c r="Q453" i="43" s="1"/>
  <c r="R453" i="43" s="1"/>
  <c r="S453" i="43" s="1"/>
  <c r="G452" i="48"/>
  <c r="G452" i="47"/>
  <c r="G452" i="46"/>
  <c r="G452" i="45"/>
  <c r="G452" i="44"/>
  <c r="G452" i="43"/>
  <c r="G453" i="48"/>
  <c r="G453" i="47"/>
  <c r="G453" i="46"/>
  <c r="G453" i="45"/>
  <c r="G453" i="44"/>
  <c r="G453" i="43"/>
  <c r="F455" i="48"/>
  <c r="F455" i="47"/>
  <c r="F455" i="46"/>
  <c r="F455" i="45"/>
  <c r="F455" i="44"/>
  <c r="F455" i="43"/>
  <c r="F454" i="48"/>
  <c r="F454" i="47"/>
  <c r="F454" i="46"/>
  <c r="F454" i="45"/>
  <c r="F454" i="44"/>
  <c r="F454" i="43"/>
  <c r="G451" i="48"/>
  <c r="G451" i="47"/>
  <c r="G451" i="46"/>
  <c r="G451" i="45"/>
  <c r="G451" i="44"/>
  <c r="G451" i="43"/>
  <c r="E462" i="48"/>
  <c r="E462" i="47"/>
  <c r="E462" i="46"/>
  <c r="E462" i="45"/>
  <c r="E462" i="44"/>
  <c r="E462" i="43"/>
  <c r="F458" i="48"/>
  <c r="F458" i="47"/>
  <c r="F458" i="46"/>
  <c r="F458" i="45"/>
  <c r="F458" i="44"/>
  <c r="F458" i="43"/>
  <c r="H452" i="48"/>
  <c r="I452" i="48" s="1"/>
  <c r="J452" i="48" s="1"/>
  <c r="K452" i="48" s="1"/>
  <c r="L452" i="48" s="1"/>
  <c r="M452" i="48" s="1"/>
  <c r="N452" i="48" s="1"/>
  <c r="O452" i="48" s="1"/>
  <c r="P452" i="48" s="1"/>
  <c r="Q452" i="48" s="1"/>
  <c r="R452" i="48" s="1"/>
  <c r="S452" i="48" s="1"/>
  <c r="H452" i="47"/>
  <c r="I452" i="47" s="1"/>
  <c r="J452" i="47" s="1"/>
  <c r="K452" i="47" s="1"/>
  <c r="L452" i="47" s="1"/>
  <c r="M452" i="47" s="1"/>
  <c r="N452" i="47" s="1"/>
  <c r="O452" i="47" s="1"/>
  <c r="P452" i="47" s="1"/>
  <c r="Q452" i="47" s="1"/>
  <c r="R452" i="47" s="1"/>
  <c r="S452" i="47" s="1"/>
  <c r="H452" i="46"/>
  <c r="I452" i="46" s="1"/>
  <c r="J452" i="46" s="1"/>
  <c r="K452" i="46" s="1"/>
  <c r="L452" i="46" s="1"/>
  <c r="M452" i="46" s="1"/>
  <c r="N452" i="46" s="1"/>
  <c r="O452" i="46" s="1"/>
  <c r="P452" i="46" s="1"/>
  <c r="Q452" i="46" s="1"/>
  <c r="R452" i="46" s="1"/>
  <c r="S452" i="46" s="1"/>
  <c r="H452" i="45"/>
  <c r="I452" i="45" s="1"/>
  <c r="J452" i="45" s="1"/>
  <c r="K452" i="45" s="1"/>
  <c r="L452" i="45" s="1"/>
  <c r="M452" i="45" s="1"/>
  <c r="N452" i="45" s="1"/>
  <c r="O452" i="45" s="1"/>
  <c r="P452" i="45" s="1"/>
  <c r="Q452" i="45" s="1"/>
  <c r="R452" i="45" s="1"/>
  <c r="S452" i="45" s="1"/>
  <c r="H452" i="44"/>
  <c r="I452" i="44" s="1"/>
  <c r="J452" i="44" s="1"/>
  <c r="K452" i="44" s="1"/>
  <c r="L452" i="44" s="1"/>
  <c r="M452" i="44" s="1"/>
  <c r="N452" i="44" s="1"/>
  <c r="O452" i="44" s="1"/>
  <c r="P452" i="44" s="1"/>
  <c r="Q452" i="44" s="1"/>
  <c r="R452" i="44" s="1"/>
  <c r="S452" i="44" s="1"/>
  <c r="H452" i="43"/>
  <c r="I452" i="43" s="1"/>
  <c r="J452" i="43" s="1"/>
  <c r="K452" i="43" s="1"/>
  <c r="L452" i="43" s="1"/>
  <c r="M452" i="43" s="1"/>
  <c r="N452" i="43" s="1"/>
  <c r="O452" i="43" s="1"/>
  <c r="P452" i="43" s="1"/>
  <c r="Q452" i="43" s="1"/>
  <c r="R452" i="43" s="1"/>
  <c r="S452" i="43" s="1"/>
  <c r="H451" i="48"/>
  <c r="I451" i="48" s="1"/>
  <c r="J451" i="48" s="1"/>
  <c r="K451" i="48" s="1"/>
  <c r="L451" i="48" s="1"/>
  <c r="M451" i="48" s="1"/>
  <c r="N451" i="48" s="1"/>
  <c r="O451" i="48" s="1"/>
  <c r="P451" i="48" s="1"/>
  <c r="Q451" i="48" s="1"/>
  <c r="R451" i="48" s="1"/>
  <c r="S451" i="48" s="1"/>
  <c r="H451" i="47"/>
  <c r="I451" i="47" s="1"/>
  <c r="J451" i="47" s="1"/>
  <c r="K451" i="47" s="1"/>
  <c r="L451" i="47" s="1"/>
  <c r="M451" i="47" s="1"/>
  <c r="N451" i="47" s="1"/>
  <c r="O451" i="47" s="1"/>
  <c r="P451" i="47" s="1"/>
  <c r="Q451" i="47" s="1"/>
  <c r="R451" i="47" s="1"/>
  <c r="S451" i="47" s="1"/>
  <c r="H451" i="46"/>
  <c r="I451" i="46" s="1"/>
  <c r="J451" i="46" s="1"/>
  <c r="K451" i="46" s="1"/>
  <c r="L451" i="46" s="1"/>
  <c r="M451" i="46" s="1"/>
  <c r="N451" i="46" s="1"/>
  <c r="O451" i="46" s="1"/>
  <c r="P451" i="46" s="1"/>
  <c r="Q451" i="46" s="1"/>
  <c r="R451" i="46" s="1"/>
  <c r="S451" i="46" s="1"/>
  <c r="H451" i="45"/>
  <c r="I451" i="45" s="1"/>
  <c r="J451" i="45" s="1"/>
  <c r="K451" i="45" s="1"/>
  <c r="L451" i="45" s="1"/>
  <c r="M451" i="45" s="1"/>
  <c r="N451" i="45" s="1"/>
  <c r="O451" i="45" s="1"/>
  <c r="P451" i="45" s="1"/>
  <c r="Q451" i="45" s="1"/>
  <c r="R451" i="45" s="1"/>
  <c r="S451" i="45" s="1"/>
  <c r="H451" i="44"/>
  <c r="I451" i="44" s="1"/>
  <c r="J451" i="44" s="1"/>
  <c r="K451" i="44" s="1"/>
  <c r="L451" i="44" s="1"/>
  <c r="M451" i="44" s="1"/>
  <c r="N451" i="44" s="1"/>
  <c r="O451" i="44" s="1"/>
  <c r="P451" i="44" s="1"/>
  <c r="Q451" i="44" s="1"/>
  <c r="R451" i="44" s="1"/>
  <c r="S451" i="44" s="1"/>
  <c r="H451" i="43"/>
  <c r="I451" i="43" s="1"/>
  <c r="J451" i="43" s="1"/>
  <c r="K451" i="43" s="1"/>
  <c r="L451" i="43" s="1"/>
  <c r="M451" i="43" s="1"/>
  <c r="N451" i="43" s="1"/>
  <c r="O451" i="43" s="1"/>
  <c r="P451" i="43" s="1"/>
  <c r="Q451" i="43" s="1"/>
  <c r="R451" i="43" s="1"/>
  <c r="S451" i="43" s="1"/>
  <c r="E461" i="48"/>
  <c r="E461" i="47"/>
  <c r="E461" i="46"/>
  <c r="E461" i="45"/>
  <c r="E461" i="44"/>
  <c r="E461" i="43"/>
  <c r="F456" i="48"/>
  <c r="F456" i="47"/>
  <c r="F456" i="46"/>
  <c r="F456" i="45"/>
  <c r="F456" i="44"/>
  <c r="F456" i="43"/>
  <c r="H449" i="48"/>
  <c r="I449" i="48" s="1"/>
  <c r="J449" i="48" s="1"/>
  <c r="K449" i="48" s="1"/>
  <c r="L449" i="48" s="1"/>
  <c r="M449" i="48" s="1"/>
  <c r="N449" i="48" s="1"/>
  <c r="O449" i="48" s="1"/>
  <c r="P449" i="48" s="1"/>
  <c r="Q449" i="48" s="1"/>
  <c r="R449" i="48" s="1"/>
  <c r="S449" i="48" s="1"/>
  <c r="H449" i="47"/>
  <c r="I449" i="47" s="1"/>
  <c r="J449" i="47" s="1"/>
  <c r="K449" i="47" s="1"/>
  <c r="L449" i="47" s="1"/>
  <c r="M449" i="47" s="1"/>
  <c r="N449" i="47" s="1"/>
  <c r="O449" i="47" s="1"/>
  <c r="P449" i="47" s="1"/>
  <c r="Q449" i="47" s="1"/>
  <c r="R449" i="47" s="1"/>
  <c r="S449" i="47" s="1"/>
  <c r="H449" i="46"/>
  <c r="I449" i="46" s="1"/>
  <c r="J449" i="46" s="1"/>
  <c r="K449" i="46" s="1"/>
  <c r="L449" i="46" s="1"/>
  <c r="M449" i="46" s="1"/>
  <c r="N449" i="46" s="1"/>
  <c r="O449" i="46" s="1"/>
  <c r="P449" i="46" s="1"/>
  <c r="Q449" i="46" s="1"/>
  <c r="R449" i="46" s="1"/>
  <c r="S449" i="46" s="1"/>
  <c r="H449" i="45"/>
  <c r="I449" i="45" s="1"/>
  <c r="J449" i="45" s="1"/>
  <c r="K449" i="45" s="1"/>
  <c r="L449" i="45" s="1"/>
  <c r="M449" i="45" s="1"/>
  <c r="N449" i="45" s="1"/>
  <c r="O449" i="45" s="1"/>
  <c r="P449" i="45" s="1"/>
  <c r="Q449" i="45" s="1"/>
  <c r="R449" i="45" s="1"/>
  <c r="S449" i="45" s="1"/>
  <c r="H449" i="44"/>
  <c r="I449" i="44" s="1"/>
  <c r="J449" i="44" s="1"/>
  <c r="K449" i="44" s="1"/>
  <c r="L449" i="44" s="1"/>
  <c r="M449" i="44" s="1"/>
  <c r="N449" i="44" s="1"/>
  <c r="O449" i="44" s="1"/>
  <c r="P449" i="44" s="1"/>
  <c r="Q449" i="44" s="1"/>
  <c r="R449" i="44" s="1"/>
  <c r="S449" i="44" s="1"/>
  <c r="H449" i="43"/>
  <c r="I449" i="43" s="1"/>
  <c r="J449" i="43" s="1"/>
  <c r="K449" i="43" s="1"/>
  <c r="L449" i="43" s="1"/>
  <c r="M449" i="43" s="1"/>
  <c r="N449" i="43" s="1"/>
  <c r="O449" i="43" s="1"/>
  <c r="P449" i="43" s="1"/>
  <c r="Q449" i="43" s="1"/>
  <c r="R449" i="43" s="1"/>
  <c r="S449" i="43" s="1"/>
  <c r="G449" i="48"/>
  <c r="G449" i="47"/>
  <c r="G449" i="46"/>
  <c r="G449" i="45"/>
  <c r="G449" i="44"/>
  <c r="G449" i="43"/>
  <c r="E463" i="48"/>
  <c r="E463" i="47"/>
  <c r="E463" i="46"/>
  <c r="E463" i="45"/>
  <c r="E463" i="44"/>
  <c r="E463" i="43"/>
  <c r="E459" i="48"/>
  <c r="E459" i="47"/>
  <c r="E459" i="46"/>
  <c r="E459" i="45"/>
  <c r="E459" i="44"/>
  <c r="E459" i="43"/>
  <c r="F457" i="48"/>
  <c r="F457" i="47"/>
  <c r="F457" i="46"/>
  <c r="F457" i="45"/>
  <c r="F457" i="44"/>
  <c r="F457" i="43"/>
  <c r="E460" i="48"/>
  <c r="E460" i="47"/>
  <c r="E460" i="46"/>
  <c r="E460" i="45"/>
  <c r="E460" i="44"/>
  <c r="E460" i="43"/>
  <c r="G450" i="48"/>
  <c r="G450" i="47"/>
  <c r="G450" i="46"/>
  <c r="G450" i="45"/>
  <c r="G450" i="44"/>
  <c r="G450" i="43"/>
  <c r="H450" i="48"/>
  <c r="I450" i="48" s="1"/>
  <c r="J450" i="48" s="1"/>
  <c r="K450" i="48" s="1"/>
  <c r="L450" i="48" s="1"/>
  <c r="M450" i="48" s="1"/>
  <c r="N450" i="48" s="1"/>
  <c r="O450" i="48" s="1"/>
  <c r="P450" i="48" s="1"/>
  <c r="Q450" i="48" s="1"/>
  <c r="R450" i="48" s="1"/>
  <c r="S450" i="48" s="1"/>
  <c r="H450" i="47"/>
  <c r="I450" i="47" s="1"/>
  <c r="J450" i="47" s="1"/>
  <c r="K450" i="47" s="1"/>
  <c r="L450" i="47" s="1"/>
  <c r="M450" i="47" s="1"/>
  <c r="N450" i="47" s="1"/>
  <c r="O450" i="47" s="1"/>
  <c r="P450" i="47" s="1"/>
  <c r="Q450" i="47" s="1"/>
  <c r="R450" i="47" s="1"/>
  <c r="S450" i="47" s="1"/>
  <c r="H450" i="46"/>
  <c r="I450" i="46" s="1"/>
  <c r="J450" i="46" s="1"/>
  <c r="K450" i="46" s="1"/>
  <c r="L450" i="46" s="1"/>
  <c r="M450" i="46" s="1"/>
  <c r="N450" i="46" s="1"/>
  <c r="O450" i="46" s="1"/>
  <c r="P450" i="46" s="1"/>
  <c r="Q450" i="46" s="1"/>
  <c r="R450" i="46" s="1"/>
  <c r="S450" i="46" s="1"/>
  <c r="H450" i="45"/>
  <c r="I450" i="45" s="1"/>
  <c r="J450" i="45" s="1"/>
  <c r="K450" i="45" s="1"/>
  <c r="L450" i="45" s="1"/>
  <c r="M450" i="45" s="1"/>
  <c r="N450" i="45" s="1"/>
  <c r="O450" i="45" s="1"/>
  <c r="P450" i="45" s="1"/>
  <c r="Q450" i="45" s="1"/>
  <c r="R450" i="45" s="1"/>
  <c r="S450" i="45" s="1"/>
  <c r="H450" i="44"/>
  <c r="I450" i="44" s="1"/>
  <c r="J450" i="44" s="1"/>
  <c r="K450" i="44" s="1"/>
  <c r="L450" i="44" s="1"/>
  <c r="M450" i="44" s="1"/>
  <c r="N450" i="44" s="1"/>
  <c r="O450" i="44" s="1"/>
  <c r="P450" i="44" s="1"/>
  <c r="Q450" i="44" s="1"/>
  <c r="R450" i="44" s="1"/>
  <c r="S450" i="44" s="1"/>
  <c r="H450" i="43"/>
  <c r="I450" i="43" s="1"/>
  <c r="J450" i="43" s="1"/>
  <c r="K450" i="43" s="1"/>
  <c r="L450" i="43" s="1"/>
  <c r="M450" i="43" s="1"/>
  <c r="N450" i="43" s="1"/>
  <c r="O450" i="43" s="1"/>
  <c r="P450" i="43" s="1"/>
  <c r="Q450" i="43" s="1"/>
  <c r="R450" i="43" s="1"/>
  <c r="S450" i="43" s="1"/>
  <c r="C473" i="48"/>
  <c r="C473" i="47"/>
  <c r="C473" i="46"/>
  <c r="C473" i="45"/>
  <c r="C473" i="44"/>
  <c r="C473" i="43"/>
  <c r="C472" i="48"/>
  <c r="C472" i="46"/>
  <c r="C472" i="47"/>
  <c r="C472" i="45"/>
  <c r="C472" i="44"/>
  <c r="C472" i="43"/>
  <c r="C470" i="48"/>
  <c r="C470" i="47"/>
  <c r="C470" i="46"/>
  <c r="C470" i="45"/>
  <c r="C470" i="44"/>
  <c r="C470" i="43"/>
  <c r="C469" i="47"/>
  <c r="C469" i="48"/>
  <c r="C469" i="46"/>
  <c r="C469" i="45"/>
  <c r="C469" i="44"/>
  <c r="C469" i="43"/>
  <c r="D467" i="48"/>
  <c r="D467" i="47"/>
  <c r="D467" i="46"/>
  <c r="D467" i="45"/>
  <c r="D467" i="44"/>
  <c r="D467" i="43"/>
  <c r="D464" i="48"/>
  <c r="D464" i="47"/>
  <c r="D464" i="46"/>
  <c r="D464" i="45"/>
  <c r="D464" i="43"/>
  <c r="D464" i="44"/>
  <c r="D468" i="48"/>
  <c r="D468" i="47"/>
  <c r="D468" i="46"/>
  <c r="D468" i="45"/>
  <c r="D468" i="44"/>
  <c r="D468" i="43"/>
  <c r="D465" i="48"/>
  <c r="D465" i="47"/>
  <c r="D465" i="46"/>
  <c r="D465" i="45"/>
  <c r="D465" i="44"/>
  <c r="D465" i="43"/>
  <c r="D466" i="48"/>
  <c r="D466" i="47"/>
  <c r="D466" i="46"/>
  <c r="D466" i="45"/>
  <c r="D466" i="44"/>
  <c r="D466" i="43"/>
  <c r="D471" i="48"/>
  <c r="D471" i="47"/>
  <c r="D471" i="46"/>
  <c r="D471" i="45"/>
  <c r="D471" i="44"/>
  <c r="D471" i="43"/>
  <c r="G457" i="48" l="1"/>
  <c r="G457" i="47"/>
  <c r="G457" i="46"/>
  <c r="G457" i="45"/>
  <c r="G457" i="44"/>
  <c r="G457" i="43"/>
  <c r="E466" i="48"/>
  <c r="E466" i="47"/>
  <c r="E466" i="46"/>
  <c r="E466" i="45"/>
  <c r="E466" i="44"/>
  <c r="E466" i="43"/>
  <c r="F459" i="48"/>
  <c r="F459" i="47"/>
  <c r="F459" i="46"/>
  <c r="F459" i="45"/>
  <c r="F459" i="44"/>
  <c r="F459" i="43"/>
  <c r="E468" i="48"/>
  <c r="E468" i="47"/>
  <c r="E468" i="46"/>
  <c r="E468" i="45"/>
  <c r="E468" i="44"/>
  <c r="E468" i="43"/>
  <c r="H457" i="48"/>
  <c r="I457" i="48" s="1"/>
  <c r="J457" i="48" s="1"/>
  <c r="K457" i="48" s="1"/>
  <c r="L457" i="48" s="1"/>
  <c r="M457" i="48" s="1"/>
  <c r="N457" i="48" s="1"/>
  <c r="O457" i="48" s="1"/>
  <c r="P457" i="48" s="1"/>
  <c r="Q457" i="48" s="1"/>
  <c r="R457" i="48" s="1"/>
  <c r="S457" i="48" s="1"/>
  <c r="H457" i="47"/>
  <c r="I457" i="47" s="1"/>
  <c r="J457" i="47" s="1"/>
  <c r="K457" i="47" s="1"/>
  <c r="L457" i="47" s="1"/>
  <c r="M457" i="47" s="1"/>
  <c r="N457" i="47" s="1"/>
  <c r="O457" i="47" s="1"/>
  <c r="P457" i="47" s="1"/>
  <c r="Q457" i="47" s="1"/>
  <c r="R457" i="47" s="1"/>
  <c r="S457" i="47" s="1"/>
  <c r="H457" i="46"/>
  <c r="I457" i="46" s="1"/>
  <c r="J457" i="46" s="1"/>
  <c r="K457" i="46" s="1"/>
  <c r="L457" i="46" s="1"/>
  <c r="M457" i="46" s="1"/>
  <c r="N457" i="46" s="1"/>
  <c r="O457" i="46" s="1"/>
  <c r="P457" i="46" s="1"/>
  <c r="Q457" i="46" s="1"/>
  <c r="R457" i="46" s="1"/>
  <c r="S457" i="46" s="1"/>
  <c r="H457" i="45"/>
  <c r="I457" i="45" s="1"/>
  <c r="J457" i="45" s="1"/>
  <c r="K457" i="45" s="1"/>
  <c r="L457" i="45" s="1"/>
  <c r="M457" i="45" s="1"/>
  <c r="N457" i="45" s="1"/>
  <c r="O457" i="45" s="1"/>
  <c r="P457" i="45" s="1"/>
  <c r="Q457" i="45" s="1"/>
  <c r="R457" i="45" s="1"/>
  <c r="S457" i="45" s="1"/>
  <c r="H457" i="44"/>
  <c r="I457" i="44" s="1"/>
  <c r="J457" i="44" s="1"/>
  <c r="K457" i="44" s="1"/>
  <c r="L457" i="44" s="1"/>
  <c r="M457" i="44" s="1"/>
  <c r="N457" i="44" s="1"/>
  <c r="O457" i="44" s="1"/>
  <c r="P457" i="44" s="1"/>
  <c r="Q457" i="44" s="1"/>
  <c r="R457" i="44" s="1"/>
  <c r="S457" i="44" s="1"/>
  <c r="H457" i="43"/>
  <c r="I457" i="43" s="1"/>
  <c r="J457" i="43" s="1"/>
  <c r="K457" i="43" s="1"/>
  <c r="L457" i="43" s="1"/>
  <c r="M457" i="43" s="1"/>
  <c r="N457" i="43" s="1"/>
  <c r="O457" i="43" s="1"/>
  <c r="P457" i="43" s="1"/>
  <c r="Q457" i="43" s="1"/>
  <c r="R457" i="43" s="1"/>
  <c r="S457" i="43" s="1"/>
  <c r="E467" i="48"/>
  <c r="E467" i="47"/>
  <c r="E467" i="46"/>
  <c r="E467" i="45"/>
  <c r="E467" i="44"/>
  <c r="E467" i="43"/>
  <c r="G456" i="48"/>
  <c r="G456" i="47"/>
  <c r="G456" i="46"/>
  <c r="G456" i="45"/>
  <c r="G456" i="44"/>
  <c r="G456" i="43"/>
  <c r="F461" i="48"/>
  <c r="F461" i="47"/>
  <c r="F461" i="46"/>
  <c r="F461" i="45"/>
  <c r="F461" i="44"/>
  <c r="F461" i="43"/>
  <c r="G458" i="48"/>
  <c r="G458" i="47"/>
  <c r="G458" i="46"/>
  <c r="G458" i="45"/>
  <c r="G458" i="44"/>
  <c r="G458" i="43"/>
  <c r="E465" i="48"/>
  <c r="E465" i="47"/>
  <c r="E465" i="46"/>
  <c r="E465" i="45"/>
  <c r="E465" i="44"/>
  <c r="E465" i="43"/>
  <c r="E471" i="48"/>
  <c r="E471" i="47"/>
  <c r="E471" i="46"/>
  <c r="E471" i="45"/>
  <c r="E471" i="44"/>
  <c r="E471" i="43"/>
  <c r="H458" i="48"/>
  <c r="I458" i="48" s="1"/>
  <c r="J458" i="48" s="1"/>
  <c r="K458" i="48" s="1"/>
  <c r="L458" i="48" s="1"/>
  <c r="M458" i="48" s="1"/>
  <c r="N458" i="48" s="1"/>
  <c r="O458" i="48" s="1"/>
  <c r="P458" i="48" s="1"/>
  <c r="Q458" i="48" s="1"/>
  <c r="R458" i="48" s="1"/>
  <c r="S458" i="48" s="1"/>
  <c r="H458" i="47"/>
  <c r="I458" i="47" s="1"/>
  <c r="J458" i="47" s="1"/>
  <c r="K458" i="47" s="1"/>
  <c r="L458" i="47" s="1"/>
  <c r="M458" i="47" s="1"/>
  <c r="N458" i="47" s="1"/>
  <c r="O458" i="47" s="1"/>
  <c r="P458" i="47" s="1"/>
  <c r="Q458" i="47" s="1"/>
  <c r="R458" i="47" s="1"/>
  <c r="S458" i="47" s="1"/>
  <c r="H458" i="46"/>
  <c r="I458" i="46" s="1"/>
  <c r="J458" i="46" s="1"/>
  <c r="K458" i="46" s="1"/>
  <c r="L458" i="46" s="1"/>
  <c r="M458" i="46" s="1"/>
  <c r="N458" i="46" s="1"/>
  <c r="O458" i="46" s="1"/>
  <c r="P458" i="46" s="1"/>
  <c r="Q458" i="46" s="1"/>
  <c r="R458" i="46" s="1"/>
  <c r="S458" i="46" s="1"/>
  <c r="H458" i="45"/>
  <c r="I458" i="45" s="1"/>
  <c r="J458" i="45" s="1"/>
  <c r="K458" i="45" s="1"/>
  <c r="L458" i="45" s="1"/>
  <c r="M458" i="45" s="1"/>
  <c r="N458" i="45" s="1"/>
  <c r="O458" i="45" s="1"/>
  <c r="P458" i="45" s="1"/>
  <c r="Q458" i="45" s="1"/>
  <c r="R458" i="45" s="1"/>
  <c r="S458" i="45" s="1"/>
  <c r="H458" i="44"/>
  <c r="I458" i="44" s="1"/>
  <c r="J458" i="44" s="1"/>
  <c r="K458" i="44" s="1"/>
  <c r="L458" i="44" s="1"/>
  <c r="M458" i="44" s="1"/>
  <c r="N458" i="44" s="1"/>
  <c r="O458" i="44" s="1"/>
  <c r="P458" i="44" s="1"/>
  <c r="Q458" i="44" s="1"/>
  <c r="R458" i="44" s="1"/>
  <c r="S458" i="44" s="1"/>
  <c r="H458" i="43"/>
  <c r="I458" i="43" s="1"/>
  <c r="J458" i="43" s="1"/>
  <c r="K458" i="43" s="1"/>
  <c r="L458" i="43" s="1"/>
  <c r="M458" i="43" s="1"/>
  <c r="N458" i="43" s="1"/>
  <c r="O458" i="43" s="1"/>
  <c r="P458" i="43" s="1"/>
  <c r="Q458" i="43" s="1"/>
  <c r="R458" i="43" s="1"/>
  <c r="S458" i="43" s="1"/>
  <c r="F460" i="48"/>
  <c r="F460" i="47"/>
  <c r="F460" i="46"/>
  <c r="F460" i="45"/>
  <c r="F460" i="44"/>
  <c r="F460" i="43"/>
  <c r="E464" i="48"/>
  <c r="E464" i="47"/>
  <c r="E464" i="46"/>
  <c r="E464" i="45"/>
  <c r="E464" i="44"/>
  <c r="E464" i="43"/>
  <c r="F462" i="48"/>
  <c r="F462" i="47"/>
  <c r="F462" i="46"/>
  <c r="F462" i="45"/>
  <c r="F462" i="44"/>
  <c r="F462" i="43"/>
  <c r="G454" i="48"/>
  <c r="G454" i="47"/>
  <c r="G454" i="46"/>
  <c r="G454" i="45"/>
  <c r="G454" i="44"/>
  <c r="G454" i="43"/>
  <c r="G455" i="48"/>
  <c r="G455" i="47"/>
  <c r="G455" i="46"/>
  <c r="G455" i="45"/>
  <c r="G455" i="44"/>
  <c r="G455" i="43"/>
  <c r="F463" i="48"/>
  <c r="F463" i="47"/>
  <c r="F463" i="46"/>
  <c r="F463" i="45"/>
  <c r="F463" i="44"/>
  <c r="F463" i="43"/>
  <c r="H456" i="48"/>
  <c r="I456" i="48" s="1"/>
  <c r="J456" i="48" s="1"/>
  <c r="K456" i="48" s="1"/>
  <c r="L456" i="48" s="1"/>
  <c r="M456" i="48" s="1"/>
  <c r="N456" i="48" s="1"/>
  <c r="O456" i="48" s="1"/>
  <c r="P456" i="48" s="1"/>
  <c r="Q456" i="48" s="1"/>
  <c r="R456" i="48" s="1"/>
  <c r="S456" i="48" s="1"/>
  <c r="H456" i="47"/>
  <c r="I456" i="47" s="1"/>
  <c r="J456" i="47" s="1"/>
  <c r="K456" i="47" s="1"/>
  <c r="L456" i="47" s="1"/>
  <c r="M456" i="47" s="1"/>
  <c r="N456" i="47" s="1"/>
  <c r="O456" i="47" s="1"/>
  <c r="P456" i="47" s="1"/>
  <c r="Q456" i="47" s="1"/>
  <c r="R456" i="47" s="1"/>
  <c r="S456" i="47" s="1"/>
  <c r="H456" i="46"/>
  <c r="I456" i="46" s="1"/>
  <c r="J456" i="46" s="1"/>
  <c r="K456" i="46" s="1"/>
  <c r="L456" i="46" s="1"/>
  <c r="M456" i="46" s="1"/>
  <c r="N456" i="46" s="1"/>
  <c r="O456" i="46" s="1"/>
  <c r="P456" i="46" s="1"/>
  <c r="Q456" i="46" s="1"/>
  <c r="R456" i="46" s="1"/>
  <c r="S456" i="46" s="1"/>
  <c r="H456" i="45"/>
  <c r="I456" i="45" s="1"/>
  <c r="J456" i="45" s="1"/>
  <c r="K456" i="45" s="1"/>
  <c r="L456" i="45" s="1"/>
  <c r="M456" i="45" s="1"/>
  <c r="N456" i="45" s="1"/>
  <c r="O456" i="45" s="1"/>
  <c r="P456" i="45" s="1"/>
  <c r="Q456" i="45" s="1"/>
  <c r="R456" i="45" s="1"/>
  <c r="S456" i="45" s="1"/>
  <c r="H456" i="44"/>
  <c r="I456" i="44" s="1"/>
  <c r="J456" i="44" s="1"/>
  <c r="K456" i="44" s="1"/>
  <c r="L456" i="44" s="1"/>
  <c r="M456" i="44" s="1"/>
  <c r="N456" i="44" s="1"/>
  <c r="O456" i="44" s="1"/>
  <c r="P456" i="44" s="1"/>
  <c r="Q456" i="44" s="1"/>
  <c r="R456" i="44" s="1"/>
  <c r="S456" i="44" s="1"/>
  <c r="H456" i="43"/>
  <c r="I456" i="43" s="1"/>
  <c r="J456" i="43" s="1"/>
  <c r="K456" i="43" s="1"/>
  <c r="L456" i="43" s="1"/>
  <c r="M456" i="43" s="1"/>
  <c r="N456" i="43" s="1"/>
  <c r="O456" i="43" s="1"/>
  <c r="P456" i="43" s="1"/>
  <c r="Q456" i="43" s="1"/>
  <c r="R456" i="43" s="1"/>
  <c r="S456" i="43" s="1"/>
  <c r="H454" i="48"/>
  <c r="I454" i="48" s="1"/>
  <c r="J454" i="48" s="1"/>
  <c r="K454" i="48" s="1"/>
  <c r="L454" i="48" s="1"/>
  <c r="M454" i="48" s="1"/>
  <c r="N454" i="48" s="1"/>
  <c r="O454" i="48" s="1"/>
  <c r="P454" i="48" s="1"/>
  <c r="Q454" i="48" s="1"/>
  <c r="R454" i="48" s="1"/>
  <c r="S454" i="48" s="1"/>
  <c r="H454" i="47"/>
  <c r="I454" i="47" s="1"/>
  <c r="J454" i="47" s="1"/>
  <c r="K454" i="47" s="1"/>
  <c r="L454" i="47" s="1"/>
  <c r="M454" i="47" s="1"/>
  <c r="N454" i="47" s="1"/>
  <c r="O454" i="47" s="1"/>
  <c r="P454" i="47" s="1"/>
  <c r="Q454" i="47" s="1"/>
  <c r="R454" i="47" s="1"/>
  <c r="S454" i="47" s="1"/>
  <c r="H454" i="46"/>
  <c r="I454" i="46" s="1"/>
  <c r="J454" i="46" s="1"/>
  <c r="K454" i="46" s="1"/>
  <c r="L454" i="46" s="1"/>
  <c r="M454" i="46" s="1"/>
  <c r="N454" i="46" s="1"/>
  <c r="O454" i="46" s="1"/>
  <c r="P454" i="46" s="1"/>
  <c r="Q454" i="46" s="1"/>
  <c r="R454" i="46" s="1"/>
  <c r="S454" i="46" s="1"/>
  <c r="H454" i="45"/>
  <c r="I454" i="45" s="1"/>
  <c r="J454" i="45" s="1"/>
  <c r="K454" i="45" s="1"/>
  <c r="L454" i="45" s="1"/>
  <c r="M454" i="45" s="1"/>
  <c r="N454" i="45" s="1"/>
  <c r="O454" i="45" s="1"/>
  <c r="P454" i="45" s="1"/>
  <c r="Q454" i="45" s="1"/>
  <c r="R454" i="45" s="1"/>
  <c r="S454" i="45" s="1"/>
  <c r="H454" i="44"/>
  <c r="I454" i="44" s="1"/>
  <c r="J454" i="44" s="1"/>
  <c r="K454" i="44" s="1"/>
  <c r="L454" i="44" s="1"/>
  <c r="M454" i="44" s="1"/>
  <c r="N454" i="44" s="1"/>
  <c r="O454" i="44" s="1"/>
  <c r="P454" i="44" s="1"/>
  <c r="Q454" i="44" s="1"/>
  <c r="R454" i="44" s="1"/>
  <c r="S454" i="44" s="1"/>
  <c r="H454" i="43"/>
  <c r="I454" i="43" s="1"/>
  <c r="J454" i="43" s="1"/>
  <c r="K454" i="43" s="1"/>
  <c r="L454" i="43" s="1"/>
  <c r="M454" i="43" s="1"/>
  <c r="N454" i="43" s="1"/>
  <c r="O454" i="43" s="1"/>
  <c r="P454" i="43" s="1"/>
  <c r="Q454" i="43" s="1"/>
  <c r="R454" i="43" s="1"/>
  <c r="S454" i="43" s="1"/>
  <c r="H455" i="48"/>
  <c r="I455" i="48" s="1"/>
  <c r="J455" i="48" s="1"/>
  <c r="K455" i="48" s="1"/>
  <c r="L455" i="48" s="1"/>
  <c r="M455" i="48" s="1"/>
  <c r="N455" i="48" s="1"/>
  <c r="O455" i="48" s="1"/>
  <c r="P455" i="48" s="1"/>
  <c r="Q455" i="48" s="1"/>
  <c r="R455" i="48" s="1"/>
  <c r="S455" i="48" s="1"/>
  <c r="H455" i="47"/>
  <c r="I455" i="47" s="1"/>
  <c r="J455" i="47" s="1"/>
  <c r="K455" i="47" s="1"/>
  <c r="L455" i="47" s="1"/>
  <c r="M455" i="47" s="1"/>
  <c r="N455" i="47" s="1"/>
  <c r="O455" i="47" s="1"/>
  <c r="P455" i="47" s="1"/>
  <c r="Q455" i="47" s="1"/>
  <c r="R455" i="47" s="1"/>
  <c r="S455" i="47" s="1"/>
  <c r="H455" i="46"/>
  <c r="I455" i="46" s="1"/>
  <c r="J455" i="46" s="1"/>
  <c r="K455" i="46" s="1"/>
  <c r="L455" i="46" s="1"/>
  <c r="M455" i="46" s="1"/>
  <c r="N455" i="46" s="1"/>
  <c r="O455" i="46" s="1"/>
  <c r="P455" i="46" s="1"/>
  <c r="Q455" i="46" s="1"/>
  <c r="R455" i="46" s="1"/>
  <c r="S455" i="46" s="1"/>
  <c r="H455" i="45"/>
  <c r="I455" i="45" s="1"/>
  <c r="J455" i="45" s="1"/>
  <c r="K455" i="45" s="1"/>
  <c r="L455" i="45" s="1"/>
  <c r="M455" i="45" s="1"/>
  <c r="N455" i="45" s="1"/>
  <c r="O455" i="45" s="1"/>
  <c r="P455" i="45" s="1"/>
  <c r="Q455" i="45" s="1"/>
  <c r="R455" i="45" s="1"/>
  <c r="S455" i="45" s="1"/>
  <c r="H455" i="44"/>
  <c r="I455" i="44" s="1"/>
  <c r="J455" i="44" s="1"/>
  <c r="K455" i="44" s="1"/>
  <c r="L455" i="44" s="1"/>
  <c r="M455" i="44" s="1"/>
  <c r="N455" i="44" s="1"/>
  <c r="O455" i="44" s="1"/>
  <c r="P455" i="44" s="1"/>
  <c r="Q455" i="44" s="1"/>
  <c r="R455" i="44" s="1"/>
  <c r="S455" i="44" s="1"/>
  <c r="H455" i="43"/>
  <c r="I455" i="43" s="1"/>
  <c r="J455" i="43" s="1"/>
  <c r="K455" i="43" s="1"/>
  <c r="L455" i="43" s="1"/>
  <c r="M455" i="43" s="1"/>
  <c r="N455" i="43" s="1"/>
  <c r="O455" i="43" s="1"/>
  <c r="P455" i="43" s="1"/>
  <c r="Q455" i="43" s="1"/>
  <c r="R455" i="43" s="1"/>
  <c r="S455" i="43" s="1"/>
  <c r="D473" i="48"/>
  <c r="D473" i="47"/>
  <c r="D473" i="46"/>
  <c r="D473" i="45"/>
  <c r="D473" i="44"/>
  <c r="D473" i="43"/>
  <c r="D470" i="48"/>
  <c r="D470" i="47"/>
  <c r="D470" i="46"/>
  <c r="D470" i="45"/>
  <c r="D470" i="44"/>
  <c r="D470" i="43"/>
  <c r="D472" i="48"/>
  <c r="D472" i="47"/>
  <c r="D472" i="46"/>
  <c r="D472" i="45"/>
  <c r="D472" i="44"/>
  <c r="D472" i="43"/>
  <c r="D469" i="48"/>
  <c r="D469" i="47"/>
  <c r="D469" i="46"/>
  <c r="D469" i="45"/>
  <c r="D469" i="44"/>
  <c r="D469" i="43"/>
  <c r="F468" i="48" l="1"/>
  <c r="F468" i="47"/>
  <c r="F468" i="46"/>
  <c r="F468" i="45"/>
  <c r="F468" i="44"/>
  <c r="F468" i="43"/>
  <c r="F464" i="48"/>
  <c r="F464" i="47"/>
  <c r="F464" i="46"/>
  <c r="F464" i="45"/>
  <c r="F464" i="44"/>
  <c r="F464" i="43"/>
  <c r="H463" i="48"/>
  <c r="I463" i="48" s="1"/>
  <c r="J463" i="48" s="1"/>
  <c r="K463" i="48" s="1"/>
  <c r="L463" i="48" s="1"/>
  <c r="M463" i="48" s="1"/>
  <c r="N463" i="48" s="1"/>
  <c r="O463" i="48" s="1"/>
  <c r="P463" i="48" s="1"/>
  <c r="Q463" i="48" s="1"/>
  <c r="R463" i="48" s="1"/>
  <c r="S463" i="48" s="1"/>
  <c r="H463" i="47"/>
  <c r="I463" i="47" s="1"/>
  <c r="J463" i="47" s="1"/>
  <c r="K463" i="47" s="1"/>
  <c r="L463" i="47" s="1"/>
  <c r="M463" i="47" s="1"/>
  <c r="N463" i="47" s="1"/>
  <c r="O463" i="47" s="1"/>
  <c r="P463" i="47" s="1"/>
  <c r="Q463" i="47" s="1"/>
  <c r="R463" i="47" s="1"/>
  <c r="S463" i="47" s="1"/>
  <c r="H463" i="46"/>
  <c r="I463" i="46" s="1"/>
  <c r="J463" i="46" s="1"/>
  <c r="K463" i="46" s="1"/>
  <c r="L463" i="46" s="1"/>
  <c r="M463" i="46" s="1"/>
  <c r="N463" i="46" s="1"/>
  <c r="O463" i="46" s="1"/>
  <c r="P463" i="46" s="1"/>
  <c r="Q463" i="46" s="1"/>
  <c r="R463" i="46" s="1"/>
  <c r="S463" i="46" s="1"/>
  <c r="H463" i="45"/>
  <c r="I463" i="45" s="1"/>
  <c r="J463" i="45" s="1"/>
  <c r="K463" i="45" s="1"/>
  <c r="L463" i="45" s="1"/>
  <c r="M463" i="45" s="1"/>
  <c r="N463" i="45" s="1"/>
  <c r="O463" i="45" s="1"/>
  <c r="P463" i="45" s="1"/>
  <c r="Q463" i="45" s="1"/>
  <c r="R463" i="45" s="1"/>
  <c r="S463" i="45" s="1"/>
  <c r="H463" i="44"/>
  <c r="I463" i="44" s="1"/>
  <c r="J463" i="44" s="1"/>
  <c r="K463" i="44" s="1"/>
  <c r="L463" i="44" s="1"/>
  <c r="M463" i="44" s="1"/>
  <c r="N463" i="44" s="1"/>
  <c r="O463" i="44" s="1"/>
  <c r="P463" i="44" s="1"/>
  <c r="Q463" i="44" s="1"/>
  <c r="R463" i="44" s="1"/>
  <c r="S463" i="44" s="1"/>
  <c r="H463" i="43"/>
  <c r="I463" i="43" s="1"/>
  <c r="J463" i="43" s="1"/>
  <c r="K463" i="43" s="1"/>
  <c r="L463" i="43" s="1"/>
  <c r="M463" i="43" s="1"/>
  <c r="N463" i="43" s="1"/>
  <c r="O463" i="43" s="1"/>
  <c r="P463" i="43" s="1"/>
  <c r="Q463" i="43" s="1"/>
  <c r="R463" i="43" s="1"/>
  <c r="S463" i="43" s="1"/>
  <c r="G459" i="48"/>
  <c r="G459" i="47"/>
  <c r="G459" i="46"/>
  <c r="G459" i="45"/>
  <c r="G459" i="44"/>
  <c r="G459" i="43"/>
  <c r="G463" i="48"/>
  <c r="G463" i="47"/>
  <c r="G463" i="46"/>
  <c r="G463" i="45"/>
  <c r="G463" i="44"/>
  <c r="G463" i="43"/>
  <c r="F467" i="48"/>
  <c r="F467" i="47"/>
  <c r="F467" i="46"/>
  <c r="F467" i="45"/>
  <c r="F467" i="44"/>
  <c r="F467" i="43"/>
  <c r="E470" i="48"/>
  <c r="E470" i="47"/>
  <c r="E470" i="46"/>
  <c r="E470" i="45"/>
  <c r="E470" i="44"/>
  <c r="E470" i="43"/>
  <c r="E472" i="48"/>
  <c r="E472" i="47"/>
  <c r="E472" i="46"/>
  <c r="E472" i="45"/>
  <c r="E472" i="44"/>
  <c r="E472" i="43"/>
  <c r="F465" i="48"/>
  <c r="F465" i="47"/>
  <c r="F465" i="46"/>
  <c r="F465" i="45"/>
  <c r="F465" i="44"/>
  <c r="F465" i="43"/>
  <c r="H462" i="48"/>
  <c r="I462" i="48" s="1"/>
  <c r="J462" i="48" s="1"/>
  <c r="K462" i="48" s="1"/>
  <c r="L462" i="48" s="1"/>
  <c r="M462" i="48" s="1"/>
  <c r="N462" i="48" s="1"/>
  <c r="O462" i="48" s="1"/>
  <c r="P462" i="48" s="1"/>
  <c r="Q462" i="48" s="1"/>
  <c r="R462" i="48" s="1"/>
  <c r="S462" i="48" s="1"/>
  <c r="H462" i="47"/>
  <c r="I462" i="47" s="1"/>
  <c r="J462" i="47" s="1"/>
  <c r="K462" i="47" s="1"/>
  <c r="L462" i="47" s="1"/>
  <c r="M462" i="47" s="1"/>
  <c r="N462" i="47" s="1"/>
  <c r="O462" i="47" s="1"/>
  <c r="P462" i="47" s="1"/>
  <c r="Q462" i="47" s="1"/>
  <c r="R462" i="47" s="1"/>
  <c r="S462" i="47" s="1"/>
  <c r="H462" i="46"/>
  <c r="I462" i="46" s="1"/>
  <c r="J462" i="46" s="1"/>
  <c r="K462" i="46" s="1"/>
  <c r="L462" i="46" s="1"/>
  <c r="M462" i="46" s="1"/>
  <c r="N462" i="46" s="1"/>
  <c r="O462" i="46" s="1"/>
  <c r="P462" i="46" s="1"/>
  <c r="Q462" i="46" s="1"/>
  <c r="R462" i="46" s="1"/>
  <c r="S462" i="46" s="1"/>
  <c r="H462" i="45"/>
  <c r="I462" i="45" s="1"/>
  <c r="J462" i="45" s="1"/>
  <c r="K462" i="45" s="1"/>
  <c r="L462" i="45" s="1"/>
  <c r="M462" i="45" s="1"/>
  <c r="N462" i="45" s="1"/>
  <c r="O462" i="45" s="1"/>
  <c r="P462" i="45" s="1"/>
  <c r="Q462" i="45" s="1"/>
  <c r="R462" i="45" s="1"/>
  <c r="S462" i="45" s="1"/>
  <c r="H462" i="44"/>
  <c r="I462" i="44" s="1"/>
  <c r="J462" i="44" s="1"/>
  <c r="K462" i="44" s="1"/>
  <c r="L462" i="44" s="1"/>
  <c r="M462" i="44" s="1"/>
  <c r="N462" i="44" s="1"/>
  <c r="O462" i="44" s="1"/>
  <c r="P462" i="44" s="1"/>
  <c r="Q462" i="44" s="1"/>
  <c r="R462" i="44" s="1"/>
  <c r="S462" i="44" s="1"/>
  <c r="H462" i="43"/>
  <c r="I462" i="43" s="1"/>
  <c r="J462" i="43" s="1"/>
  <c r="K462" i="43" s="1"/>
  <c r="L462" i="43" s="1"/>
  <c r="M462" i="43" s="1"/>
  <c r="N462" i="43" s="1"/>
  <c r="O462" i="43" s="1"/>
  <c r="P462" i="43" s="1"/>
  <c r="Q462" i="43" s="1"/>
  <c r="R462" i="43" s="1"/>
  <c r="S462" i="43" s="1"/>
  <c r="F466" i="48"/>
  <c r="F466" i="47"/>
  <c r="F466" i="46"/>
  <c r="F466" i="45"/>
  <c r="F466" i="44"/>
  <c r="F466" i="43"/>
  <c r="G461" i="48"/>
  <c r="G461" i="47"/>
  <c r="G461" i="46"/>
  <c r="G461" i="45"/>
  <c r="G461" i="44"/>
  <c r="G461" i="43"/>
  <c r="E473" i="48"/>
  <c r="E473" i="47"/>
  <c r="E473" i="46"/>
  <c r="E473" i="45"/>
  <c r="E473" i="44"/>
  <c r="E473" i="43"/>
  <c r="G460" i="48"/>
  <c r="G460" i="47"/>
  <c r="G460" i="46"/>
  <c r="G460" i="45"/>
  <c r="G460" i="44"/>
  <c r="G460" i="43"/>
  <c r="E469" i="48"/>
  <c r="E469" i="47"/>
  <c r="E469" i="46"/>
  <c r="E469" i="45"/>
  <c r="E469" i="44"/>
  <c r="E469" i="43"/>
  <c r="F471" i="48"/>
  <c r="F471" i="47"/>
  <c r="F471" i="46"/>
  <c r="F471" i="45"/>
  <c r="F471" i="44"/>
  <c r="F471" i="43"/>
  <c r="G462" i="48"/>
  <c r="G462" i="47"/>
  <c r="G462" i="46"/>
  <c r="G462" i="45"/>
  <c r="G462" i="44"/>
  <c r="G462" i="43"/>
  <c r="H459" i="48"/>
  <c r="I459" i="48" s="1"/>
  <c r="J459" i="48" s="1"/>
  <c r="K459" i="48" s="1"/>
  <c r="L459" i="48" s="1"/>
  <c r="M459" i="48" s="1"/>
  <c r="N459" i="48" s="1"/>
  <c r="O459" i="48" s="1"/>
  <c r="P459" i="48" s="1"/>
  <c r="Q459" i="48" s="1"/>
  <c r="R459" i="48" s="1"/>
  <c r="S459" i="48" s="1"/>
  <c r="H459" i="47"/>
  <c r="I459" i="47" s="1"/>
  <c r="J459" i="47" s="1"/>
  <c r="K459" i="47" s="1"/>
  <c r="L459" i="47" s="1"/>
  <c r="M459" i="47" s="1"/>
  <c r="N459" i="47" s="1"/>
  <c r="O459" i="47" s="1"/>
  <c r="P459" i="47" s="1"/>
  <c r="Q459" i="47" s="1"/>
  <c r="R459" i="47" s="1"/>
  <c r="S459" i="47" s="1"/>
  <c r="H459" i="46"/>
  <c r="I459" i="46" s="1"/>
  <c r="J459" i="46" s="1"/>
  <c r="K459" i="46" s="1"/>
  <c r="L459" i="46" s="1"/>
  <c r="M459" i="46" s="1"/>
  <c r="N459" i="46" s="1"/>
  <c r="O459" i="46" s="1"/>
  <c r="P459" i="46" s="1"/>
  <c r="Q459" i="46" s="1"/>
  <c r="R459" i="46" s="1"/>
  <c r="S459" i="46" s="1"/>
  <c r="H459" i="45"/>
  <c r="I459" i="45" s="1"/>
  <c r="J459" i="45" s="1"/>
  <c r="K459" i="45" s="1"/>
  <c r="L459" i="45" s="1"/>
  <c r="M459" i="45" s="1"/>
  <c r="N459" i="45" s="1"/>
  <c r="O459" i="45" s="1"/>
  <c r="P459" i="45" s="1"/>
  <c r="Q459" i="45" s="1"/>
  <c r="R459" i="45" s="1"/>
  <c r="S459" i="45" s="1"/>
  <c r="H459" i="44"/>
  <c r="I459" i="44" s="1"/>
  <c r="J459" i="44" s="1"/>
  <c r="K459" i="44" s="1"/>
  <c r="L459" i="44" s="1"/>
  <c r="M459" i="44" s="1"/>
  <c r="N459" i="44" s="1"/>
  <c r="O459" i="44" s="1"/>
  <c r="P459" i="44" s="1"/>
  <c r="Q459" i="44" s="1"/>
  <c r="R459" i="44" s="1"/>
  <c r="S459" i="44" s="1"/>
  <c r="H459" i="43"/>
  <c r="I459" i="43" s="1"/>
  <c r="J459" i="43" s="1"/>
  <c r="K459" i="43" s="1"/>
  <c r="L459" i="43" s="1"/>
  <c r="M459" i="43" s="1"/>
  <c r="N459" i="43" s="1"/>
  <c r="O459" i="43" s="1"/>
  <c r="P459" i="43" s="1"/>
  <c r="Q459" i="43" s="1"/>
  <c r="R459" i="43" s="1"/>
  <c r="S459" i="43" s="1"/>
  <c r="H461" i="48"/>
  <c r="I461" i="48" s="1"/>
  <c r="J461" i="48" s="1"/>
  <c r="K461" i="48" s="1"/>
  <c r="L461" i="48" s="1"/>
  <c r="M461" i="48" s="1"/>
  <c r="N461" i="48" s="1"/>
  <c r="O461" i="48" s="1"/>
  <c r="P461" i="48" s="1"/>
  <c r="Q461" i="48" s="1"/>
  <c r="R461" i="48" s="1"/>
  <c r="S461" i="48" s="1"/>
  <c r="H461" i="47"/>
  <c r="I461" i="47" s="1"/>
  <c r="J461" i="47" s="1"/>
  <c r="K461" i="47" s="1"/>
  <c r="L461" i="47" s="1"/>
  <c r="M461" i="47" s="1"/>
  <c r="N461" i="47" s="1"/>
  <c r="O461" i="47" s="1"/>
  <c r="P461" i="47" s="1"/>
  <c r="Q461" i="47" s="1"/>
  <c r="R461" i="47" s="1"/>
  <c r="S461" i="47" s="1"/>
  <c r="H461" i="46"/>
  <c r="I461" i="46" s="1"/>
  <c r="J461" i="46" s="1"/>
  <c r="K461" i="46" s="1"/>
  <c r="L461" i="46" s="1"/>
  <c r="M461" i="46" s="1"/>
  <c r="N461" i="46" s="1"/>
  <c r="O461" i="46" s="1"/>
  <c r="P461" i="46" s="1"/>
  <c r="Q461" i="46" s="1"/>
  <c r="R461" i="46" s="1"/>
  <c r="S461" i="46" s="1"/>
  <c r="H461" i="45"/>
  <c r="I461" i="45" s="1"/>
  <c r="J461" i="45" s="1"/>
  <c r="K461" i="45" s="1"/>
  <c r="L461" i="45" s="1"/>
  <c r="M461" i="45" s="1"/>
  <c r="N461" i="45" s="1"/>
  <c r="O461" i="45" s="1"/>
  <c r="P461" i="45" s="1"/>
  <c r="Q461" i="45" s="1"/>
  <c r="R461" i="45" s="1"/>
  <c r="S461" i="45" s="1"/>
  <c r="H461" i="44"/>
  <c r="I461" i="44" s="1"/>
  <c r="J461" i="44" s="1"/>
  <c r="K461" i="44" s="1"/>
  <c r="L461" i="44" s="1"/>
  <c r="M461" i="44" s="1"/>
  <c r="N461" i="44" s="1"/>
  <c r="O461" i="44" s="1"/>
  <c r="P461" i="44" s="1"/>
  <c r="Q461" i="44" s="1"/>
  <c r="R461" i="44" s="1"/>
  <c r="S461" i="44" s="1"/>
  <c r="H461" i="43"/>
  <c r="I461" i="43" s="1"/>
  <c r="J461" i="43" s="1"/>
  <c r="K461" i="43" s="1"/>
  <c r="L461" i="43" s="1"/>
  <c r="M461" i="43" s="1"/>
  <c r="N461" i="43" s="1"/>
  <c r="O461" i="43" s="1"/>
  <c r="P461" i="43" s="1"/>
  <c r="Q461" i="43" s="1"/>
  <c r="R461" i="43" s="1"/>
  <c r="S461" i="43" s="1"/>
  <c r="H460" i="48"/>
  <c r="I460" i="48" s="1"/>
  <c r="J460" i="48" s="1"/>
  <c r="K460" i="48" s="1"/>
  <c r="L460" i="48" s="1"/>
  <c r="M460" i="48" s="1"/>
  <c r="N460" i="48" s="1"/>
  <c r="O460" i="48" s="1"/>
  <c r="P460" i="48" s="1"/>
  <c r="Q460" i="48" s="1"/>
  <c r="R460" i="48" s="1"/>
  <c r="S460" i="48" s="1"/>
  <c r="H460" i="47"/>
  <c r="I460" i="47" s="1"/>
  <c r="J460" i="47" s="1"/>
  <c r="K460" i="47" s="1"/>
  <c r="L460" i="47" s="1"/>
  <c r="M460" i="47" s="1"/>
  <c r="N460" i="47" s="1"/>
  <c r="O460" i="47" s="1"/>
  <c r="P460" i="47" s="1"/>
  <c r="Q460" i="47" s="1"/>
  <c r="R460" i="47" s="1"/>
  <c r="S460" i="47" s="1"/>
  <c r="H460" i="46"/>
  <c r="I460" i="46" s="1"/>
  <c r="J460" i="46" s="1"/>
  <c r="K460" i="46" s="1"/>
  <c r="L460" i="46" s="1"/>
  <c r="M460" i="46" s="1"/>
  <c r="N460" i="46" s="1"/>
  <c r="O460" i="46" s="1"/>
  <c r="P460" i="46" s="1"/>
  <c r="Q460" i="46" s="1"/>
  <c r="R460" i="46" s="1"/>
  <c r="S460" i="46" s="1"/>
  <c r="H460" i="45"/>
  <c r="I460" i="45" s="1"/>
  <c r="J460" i="45" s="1"/>
  <c r="K460" i="45" s="1"/>
  <c r="L460" i="45" s="1"/>
  <c r="M460" i="45" s="1"/>
  <c r="N460" i="45" s="1"/>
  <c r="O460" i="45" s="1"/>
  <c r="P460" i="45" s="1"/>
  <c r="Q460" i="45" s="1"/>
  <c r="R460" i="45" s="1"/>
  <c r="S460" i="45" s="1"/>
  <c r="H460" i="44"/>
  <c r="I460" i="44" s="1"/>
  <c r="J460" i="44" s="1"/>
  <c r="K460" i="44" s="1"/>
  <c r="L460" i="44" s="1"/>
  <c r="M460" i="44" s="1"/>
  <c r="N460" i="44" s="1"/>
  <c r="O460" i="44" s="1"/>
  <c r="P460" i="44" s="1"/>
  <c r="Q460" i="44" s="1"/>
  <c r="R460" i="44" s="1"/>
  <c r="S460" i="44" s="1"/>
  <c r="H460" i="43"/>
  <c r="I460" i="43" s="1"/>
  <c r="J460" i="43" s="1"/>
  <c r="K460" i="43" s="1"/>
  <c r="L460" i="43" s="1"/>
  <c r="M460" i="43" s="1"/>
  <c r="N460" i="43" s="1"/>
  <c r="O460" i="43" s="1"/>
  <c r="P460" i="43" s="1"/>
  <c r="Q460" i="43" s="1"/>
  <c r="R460" i="43" s="1"/>
  <c r="S460" i="43" s="1"/>
  <c r="H465" i="48" l="1"/>
  <c r="I465" i="48" s="1"/>
  <c r="J465" i="48" s="1"/>
  <c r="K465" i="48" s="1"/>
  <c r="L465" i="48" s="1"/>
  <c r="M465" i="48" s="1"/>
  <c r="N465" i="48" s="1"/>
  <c r="O465" i="48" s="1"/>
  <c r="P465" i="48" s="1"/>
  <c r="Q465" i="48" s="1"/>
  <c r="R465" i="48" s="1"/>
  <c r="S465" i="48" s="1"/>
  <c r="H465" i="47"/>
  <c r="I465" i="47" s="1"/>
  <c r="J465" i="47" s="1"/>
  <c r="K465" i="47" s="1"/>
  <c r="L465" i="47" s="1"/>
  <c r="M465" i="47" s="1"/>
  <c r="N465" i="47" s="1"/>
  <c r="O465" i="47" s="1"/>
  <c r="P465" i="47" s="1"/>
  <c r="Q465" i="47" s="1"/>
  <c r="R465" i="47" s="1"/>
  <c r="S465" i="47" s="1"/>
  <c r="H465" i="46"/>
  <c r="I465" i="46" s="1"/>
  <c r="J465" i="46" s="1"/>
  <c r="K465" i="46" s="1"/>
  <c r="L465" i="46" s="1"/>
  <c r="M465" i="46" s="1"/>
  <c r="N465" i="46" s="1"/>
  <c r="O465" i="46" s="1"/>
  <c r="P465" i="46" s="1"/>
  <c r="Q465" i="46" s="1"/>
  <c r="R465" i="46" s="1"/>
  <c r="S465" i="46" s="1"/>
  <c r="H465" i="45"/>
  <c r="I465" i="45" s="1"/>
  <c r="J465" i="45" s="1"/>
  <c r="K465" i="45" s="1"/>
  <c r="L465" i="45" s="1"/>
  <c r="M465" i="45" s="1"/>
  <c r="N465" i="45" s="1"/>
  <c r="O465" i="45" s="1"/>
  <c r="P465" i="45" s="1"/>
  <c r="Q465" i="45" s="1"/>
  <c r="R465" i="45" s="1"/>
  <c r="S465" i="45" s="1"/>
  <c r="H465" i="44"/>
  <c r="I465" i="44" s="1"/>
  <c r="J465" i="44" s="1"/>
  <c r="K465" i="44" s="1"/>
  <c r="L465" i="44" s="1"/>
  <c r="M465" i="44" s="1"/>
  <c r="N465" i="44" s="1"/>
  <c r="O465" i="44" s="1"/>
  <c r="P465" i="44" s="1"/>
  <c r="Q465" i="44" s="1"/>
  <c r="R465" i="44" s="1"/>
  <c r="S465" i="44" s="1"/>
  <c r="H465" i="43"/>
  <c r="I465" i="43" s="1"/>
  <c r="J465" i="43" s="1"/>
  <c r="K465" i="43" s="1"/>
  <c r="L465" i="43" s="1"/>
  <c r="M465" i="43" s="1"/>
  <c r="N465" i="43" s="1"/>
  <c r="O465" i="43" s="1"/>
  <c r="P465" i="43" s="1"/>
  <c r="Q465" i="43" s="1"/>
  <c r="R465" i="43" s="1"/>
  <c r="S465" i="43" s="1"/>
  <c r="H468" i="48"/>
  <c r="I468" i="48" s="1"/>
  <c r="J468" i="48" s="1"/>
  <c r="K468" i="48" s="1"/>
  <c r="L468" i="48" s="1"/>
  <c r="M468" i="48" s="1"/>
  <c r="N468" i="48" s="1"/>
  <c r="O468" i="48" s="1"/>
  <c r="P468" i="48" s="1"/>
  <c r="Q468" i="48" s="1"/>
  <c r="R468" i="48" s="1"/>
  <c r="S468" i="48" s="1"/>
  <c r="H468" i="47"/>
  <c r="I468" i="47" s="1"/>
  <c r="J468" i="47" s="1"/>
  <c r="K468" i="47" s="1"/>
  <c r="L468" i="47" s="1"/>
  <c r="M468" i="47" s="1"/>
  <c r="N468" i="47" s="1"/>
  <c r="O468" i="47" s="1"/>
  <c r="P468" i="47" s="1"/>
  <c r="Q468" i="47" s="1"/>
  <c r="R468" i="47" s="1"/>
  <c r="S468" i="47" s="1"/>
  <c r="H468" i="46"/>
  <c r="I468" i="46" s="1"/>
  <c r="J468" i="46" s="1"/>
  <c r="K468" i="46" s="1"/>
  <c r="L468" i="46" s="1"/>
  <c r="M468" i="46" s="1"/>
  <c r="N468" i="46" s="1"/>
  <c r="O468" i="46" s="1"/>
  <c r="P468" i="46" s="1"/>
  <c r="Q468" i="46" s="1"/>
  <c r="R468" i="46" s="1"/>
  <c r="S468" i="46" s="1"/>
  <c r="H468" i="45"/>
  <c r="I468" i="45" s="1"/>
  <c r="J468" i="45" s="1"/>
  <c r="K468" i="45" s="1"/>
  <c r="L468" i="45" s="1"/>
  <c r="M468" i="45" s="1"/>
  <c r="N468" i="45" s="1"/>
  <c r="O468" i="45" s="1"/>
  <c r="P468" i="45" s="1"/>
  <c r="Q468" i="45" s="1"/>
  <c r="R468" i="45" s="1"/>
  <c r="S468" i="45" s="1"/>
  <c r="H468" i="44"/>
  <c r="I468" i="44" s="1"/>
  <c r="J468" i="44" s="1"/>
  <c r="K468" i="44" s="1"/>
  <c r="L468" i="44" s="1"/>
  <c r="M468" i="44" s="1"/>
  <c r="N468" i="44" s="1"/>
  <c r="O468" i="44" s="1"/>
  <c r="P468" i="44" s="1"/>
  <c r="Q468" i="44" s="1"/>
  <c r="R468" i="44" s="1"/>
  <c r="S468" i="44" s="1"/>
  <c r="H468" i="43"/>
  <c r="I468" i="43" s="1"/>
  <c r="J468" i="43" s="1"/>
  <c r="K468" i="43" s="1"/>
  <c r="L468" i="43" s="1"/>
  <c r="M468" i="43" s="1"/>
  <c r="N468" i="43" s="1"/>
  <c r="O468" i="43" s="1"/>
  <c r="P468" i="43" s="1"/>
  <c r="Q468" i="43" s="1"/>
  <c r="R468" i="43" s="1"/>
  <c r="S468" i="43" s="1"/>
  <c r="H464" i="48"/>
  <c r="I464" i="48" s="1"/>
  <c r="J464" i="48" s="1"/>
  <c r="K464" i="48" s="1"/>
  <c r="L464" i="48" s="1"/>
  <c r="M464" i="48" s="1"/>
  <c r="N464" i="48" s="1"/>
  <c r="O464" i="48" s="1"/>
  <c r="P464" i="48" s="1"/>
  <c r="Q464" i="48" s="1"/>
  <c r="R464" i="48" s="1"/>
  <c r="S464" i="48" s="1"/>
  <c r="H464" i="47"/>
  <c r="I464" i="47" s="1"/>
  <c r="J464" i="47" s="1"/>
  <c r="K464" i="47" s="1"/>
  <c r="L464" i="47" s="1"/>
  <c r="M464" i="47" s="1"/>
  <c r="N464" i="47" s="1"/>
  <c r="O464" i="47" s="1"/>
  <c r="P464" i="47" s="1"/>
  <c r="Q464" i="47" s="1"/>
  <c r="R464" i="47" s="1"/>
  <c r="S464" i="47" s="1"/>
  <c r="H464" i="46"/>
  <c r="I464" i="46" s="1"/>
  <c r="J464" i="46" s="1"/>
  <c r="K464" i="46" s="1"/>
  <c r="L464" i="46" s="1"/>
  <c r="M464" i="46" s="1"/>
  <c r="N464" i="46" s="1"/>
  <c r="O464" i="46" s="1"/>
  <c r="P464" i="46" s="1"/>
  <c r="Q464" i="46" s="1"/>
  <c r="R464" i="46" s="1"/>
  <c r="S464" i="46" s="1"/>
  <c r="H464" i="45"/>
  <c r="I464" i="45" s="1"/>
  <c r="J464" i="45" s="1"/>
  <c r="K464" i="45" s="1"/>
  <c r="L464" i="45" s="1"/>
  <c r="M464" i="45" s="1"/>
  <c r="N464" i="45" s="1"/>
  <c r="O464" i="45" s="1"/>
  <c r="P464" i="45" s="1"/>
  <c r="Q464" i="45" s="1"/>
  <c r="R464" i="45" s="1"/>
  <c r="S464" i="45" s="1"/>
  <c r="H464" i="44"/>
  <c r="I464" i="44" s="1"/>
  <c r="J464" i="44" s="1"/>
  <c r="K464" i="44" s="1"/>
  <c r="L464" i="44" s="1"/>
  <c r="M464" i="44" s="1"/>
  <c r="N464" i="44" s="1"/>
  <c r="O464" i="44" s="1"/>
  <c r="P464" i="44" s="1"/>
  <c r="Q464" i="44" s="1"/>
  <c r="R464" i="44" s="1"/>
  <c r="S464" i="44" s="1"/>
  <c r="H464" i="43"/>
  <c r="I464" i="43" s="1"/>
  <c r="J464" i="43" s="1"/>
  <c r="K464" i="43" s="1"/>
  <c r="L464" i="43" s="1"/>
  <c r="M464" i="43" s="1"/>
  <c r="N464" i="43" s="1"/>
  <c r="O464" i="43" s="1"/>
  <c r="P464" i="43" s="1"/>
  <c r="Q464" i="43" s="1"/>
  <c r="R464" i="43" s="1"/>
  <c r="S464" i="43" s="1"/>
  <c r="G471" i="48"/>
  <c r="G471" i="47"/>
  <c r="G471" i="46"/>
  <c r="G471" i="45"/>
  <c r="G471" i="44"/>
  <c r="G471" i="43"/>
  <c r="F473" i="48"/>
  <c r="F473" i="47"/>
  <c r="F473" i="46"/>
  <c r="F473" i="45"/>
  <c r="F473" i="44"/>
  <c r="F473" i="43"/>
  <c r="G466" i="48"/>
  <c r="G466" i="47"/>
  <c r="G466" i="46"/>
  <c r="G466" i="45"/>
  <c r="G466" i="44"/>
  <c r="G466" i="43"/>
  <c r="F469" i="48"/>
  <c r="F469" i="47"/>
  <c r="F469" i="46"/>
  <c r="F469" i="45"/>
  <c r="F469" i="44"/>
  <c r="F469" i="43"/>
  <c r="G464" i="48"/>
  <c r="G464" i="47"/>
  <c r="G464" i="46"/>
  <c r="G464" i="45"/>
  <c r="G464" i="44"/>
  <c r="G464" i="43"/>
  <c r="H471" i="48"/>
  <c r="I471" i="48" s="1"/>
  <c r="J471" i="48" s="1"/>
  <c r="K471" i="48" s="1"/>
  <c r="L471" i="48" s="1"/>
  <c r="M471" i="48" s="1"/>
  <c r="N471" i="48" s="1"/>
  <c r="O471" i="48" s="1"/>
  <c r="P471" i="48" s="1"/>
  <c r="Q471" i="48" s="1"/>
  <c r="R471" i="48" s="1"/>
  <c r="S471" i="48" s="1"/>
  <c r="H471" i="47"/>
  <c r="I471" i="47" s="1"/>
  <c r="J471" i="47" s="1"/>
  <c r="K471" i="47" s="1"/>
  <c r="L471" i="47" s="1"/>
  <c r="M471" i="47" s="1"/>
  <c r="N471" i="47" s="1"/>
  <c r="O471" i="47" s="1"/>
  <c r="P471" i="47" s="1"/>
  <c r="Q471" i="47" s="1"/>
  <c r="R471" i="47" s="1"/>
  <c r="S471" i="47" s="1"/>
  <c r="H471" i="46"/>
  <c r="I471" i="46" s="1"/>
  <c r="J471" i="46" s="1"/>
  <c r="K471" i="46" s="1"/>
  <c r="L471" i="46" s="1"/>
  <c r="M471" i="46" s="1"/>
  <c r="N471" i="46" s="1"/>
  <c r="O471" i="46" s="1"/>
  <c r="P471" i="46" s="1"/>
  <c r="Q471" i="46" s="1"/>
  <c r="R471" i="46" s="1"/>
  <c r="S471" i="46" s="1"/>
  <c r="H471" i="45"/>
  <c r="I471" i="45" s="1"/>
  <c r="J471" i="45" s="1"/>
  <c r="K471" i="45" s="1"/>
  <c r="L471" i="45" s="1"/>
  <c r="M471" i="45" s="1"/>
  <c r="N471" i="45" s="1"/>
  <c r="O471" i="45" s="1"/>
  <c r="P471" i="45" s="1"/>
  <c r="Q471" i="45" s="1"/>
  <c r="R471" i="45" s="1"/>
  <c r="S471" i="45" s="1"/>
  <c r="H471" i="44"/>
  <c r="I471" i="44" s="1"/>
  <c r="J471" i="44" s="1"/>
  <c r="K471" i="44" s="1"/>
  <c r="L471" i="44" s="1"/>
  <c r="M471" i="44" s="1"/>
  <c r="N471" i="44" s="1"/>
  <c r="O471" i="44" s="1"/>
  <c r="P471" i="44" s="1"/>
  <c r="Q471" i="44" s="1"/>
  <c r="R471" i="44" s="1"/>
  <c r="S471" i="44" s="1"/>
  <c r="H471" i="43"/>
  <c r="I471" i="43" s="1"/>
  <c r="J471" i="43" s="1"/>
  <c r="K471" i="43" s="1"/>
  <c r="L471" i="43" s="1"/>
  <c r="M471" i="43" s="1"/>
  <c r="N471" i="43" s="1"/>
  <c r="O471" i="43" s="1"/>
  <c r="P471" i="43" s="1"/>
  <c r="Q471" i="43" s="1"/>
  <c r="R471" i="43" s="1"/>
  <c r="S471" i="43" s="1"/>
  <c r="H466" i="48"/>
  <c r="I466" i="48" s="1"/>
  <c r="J466" i="48" s="1"/>
  <c r="K466" i="48" s="1"/>
  <c r="L466" i="48" s="1"/>
  <c r="M466" i="48" s="1"/>
  <c r="N466" i="48" s="1"/>
  <c r="O466" i="48" s="1"/>
  <c r="P466" i="48" s="1"/>
  <c r="Q466" i="48" s="1"/>
  <c r="R466" i="48" s="1"/>
  <c r="S466" i="48" s="1"/>
  <c r="H466" i="47"/>
  <c r="I466" i="47" s="1"/>
  <c r="J466" i="47" s="1"/>
  <c r="K466" i="47" s="1"/>
  <c r="L466" i="47" s="1"/>
  <c r="M466" i="47" s="1"/>
  <c r="N466" i="47" s="1"/>
  <c r="O466" i="47" s="1"/>
  <c r="P466" i="47" s="1"/>
  <c r="Q466" i="47" s="1"/>
  <c r="R466" i="47" s="1"/>
  <c r="S466" i="47" s="1"/>
  <c r="H466" i="46"/>
  <c r="I466" i="46" s="1"/>
  <c r="J466" i="46" s="1"/>
  <c r="K466" i="46" s="1"/>
  <c r="L466" i="46" s="1"/>
  <c r="M466" i="46" s="1"/>
  <c r="N466" i="46" s="1"/>
  <c r="O466" i="46" s="1"/>
  <c r="P466" i="46" s="1"/>
  <c r="Q466" i="46" s="1"/>
  <c r="R466" i="46" s="1"/>
  <c r="S466" i="46" s="1"/>
  <c r="H466" i="45"/>
  <c r="I466" i="45" s="1"/>
  <c r="J466" i="45" s="1"/>
  <c r="K466" i="45" s="1"/>
  <c r="L466" i="45" s="1"/>
  <c r="M466" i="45" s="1"/>
  <c r="N466" i="45" s="1"/>
  <c r="O466" i="45" s="1"/>
  <c r="P466" i="45" s="1"/>
  <c r="Q466" i="45" s="1"/>
  <c r="R466" i="45" s="1"/>
  <c r="S466" i="45" s="1"/>
  <c r="H466" i="44"/>
  <c r="I466" i="44" s="1"/>
  <c r="J466" i="44" s="1"/>
  <c r="K466" i="44" s="1"/>
  <c r="L466" i="44" s="1"/>
  <c r="M466" i="44" s="1"/>
  <c r="N466" i="44" s="1"/>
  <c r="O466" i="44" s="1"/>
  <c r="P466" i="44" s="1"/>
  <c r="Q466" i="44" s="1"/>
  <c r="R466" i="44" s="1"/>
  <c r="S466" i="44" s="1"/>
  <c r="H466" i="43"/>
  <c r="I466" i="43" s="1"/>
  <c r="J466" i="43" s="1"/>
  <c r="K466" i="43" s="1"/>
  <c r="L466" i="43" s="1"/>
  <c r="M466" i="43" s="1"/>
  <c r="N466" i="43" s="1"/>
  <c r="O466" i="43" s="1"/>
  <c r="P466" i="43" s="1"/>
  <c r="Q466" i="43" s="1"/>
  <c r="R466" i="43" s="1"/>
  <c r="S466" i="43" s="1"/>
  <c r="F470" i="48"/>
  <c r="F470" i="47"/>
  <c r="F470" i="46"/>
  <c r="F470" i="45"/>
  <c r="F470" i="44"/>
  <c r="F470" i="43"/>
  <c r="G467" i="48"/>
  <c r="G467" i="47"/>
  <c r="G467" i="46"/>
  <c r="G467" i="45"/>
  <c r="G467" i="44"/>
  <c r="G467" i="43"/>
  <c r="F472" i="48"/>
  <c r="F472" i="47"/>
  <c r="F472" i="46"/>
  <c r="F472" i="45"/>
  <c r="F472" i="44"/>
  <c r="F472" i="43"/>
  <c r="H467" i="48"/>
  <c r="I467" i="48" s="1"/>
  <c r="J467" i="48" s="1"/>
  <c r="K467" i="48" s="1"/>
  <c r="L467" i="48" s="1"/>
  <c r="M467" i="48" s="1"/>
  <c r="N467" i="48" s="1"/>
  <c r="O467" i="48" s="1"/>
  <c r="P467" i="48" s="1"/>
  <c r="Q467" i="48" s="1"/>
  <c r="R467" i="48" s="1"/>
  <c r="S467" i="48" s="1"/>
  <c r="H467" i="47"/>
  <c r="I467" i="47" s="1"/>
  <c r="J467" i="47" s="1"/>
  <c r="K467" i="47" s="1"/>
  <c r="L467" i="47" s="1"/>
  <c r="M467" i="47" s="1"/>
  <c r="N467" i="47" s="1"/>
  <c r="O467" i="47" s="1"/>
  <c r="P467" i="47" s="1"/>
  <c r="Q467" i="47" s="1"/>
  <c r="R467" i="47" s="1"/>
  <c r="S467" i="47" s="1"/>
  <c r="H467" i="46"/>
  <c r="I467" i="46" s="1"/>
  <c r="J467" i="46" s="1"/>
  <c r="K467" i="46" s="1"/>
  <c r="L467" i="46" s="1"/>
  <c r="M467" i="46" s="1"/>
  <c r="N467" i="46" s="1"/>
  <c r="O467" i="46" s="1"/>
  <c r="P467" i="46" s="1"/>
  <c r="Q467" i="46" s="1"/>
  <c r="R467" i="46" s="1"/>
  <c r="S467" i="46" s="1"/>
  <c r="H467" i="45"/>
  <c r="I467" i="45" s="1"/>
  <c r="J467" i="45" s="1"/>
  <c r="K467" i="45" s="1"/>
  <c r="L467" i="45" s="1"/>
  <c r="M467" i="45" s="1"/>
  <c r="N467" i="45" s="1"/>
  <c r="O467" i="45" s="1"/>
  <c r="P467" i="45" s="1"/>
  <c r="Q467" i="45" s="1"/>
  <c r="R467" i="45" s="1"/>
  <c r="S467" i="45" s="1"/>
  <c r="H467" i="44"/>
  <c r="I467" i="44" s="1"/>
  <c r="J467" i="44" s="1"/>
  <c r="K467" i="44" s="1"/>
  <c r="L467" i="44" s="1"/>
  <c r="M467" i="44" s="1"/>
  <c r="N467" i="44" s="1"/>
  <c r="O467" i="44" s="1"/>
  <c r="P467" i="44" s="1"/>
  <c r="Q467" i="44" s="1"/>
  <c r="R467" i="44" s="1"/>
  <c r="S467" i="44" s="1"/>
  <c r="H467" i="43"/>
  <c r="I467" i="43" s="1"/>
  <c r="J467" i="43" s="1"/>
  <c r="K467" i="43" s="1"/>
  <c r="L467" i="43" s="1"/>
  <c r="M467" i="43" s="1"/>
  <c r="N467" i="43" s="1"/>
  <c r="O467" i="43" s="1"/>
  <c r="P467" i="43" s="1"/>
  <c r="Q467" i="43" s="1"/>
  <c r="R467" i="43" s="1"/>
  <c r="S467" i="43" s="1"/>
  <c r="G468" i="48"/>
  <c r="G468" i="47"/>
  <c r="G468" i="46"/>
  <c r="G468" i="45"/>
  <c r="G468" i="44"/>
  <c r="G468" i="43"/>
  <c r="G465" i="48"/>
  <c r="G465" i="47"/>
  <c r="G465" i="46"/>
  <c r="G465" i="45"/>
  <c r="G465" i="44"/>
  <c r="G465" i="43"/>
  <c r="H472" i="48" l="1"/>
  <c r="I472" i="48" s="1"/>
  <c r="J472" i="48" s="1"/>
  <c r="K472" i="48" s="1"/>
  <c r="L472" i="48" s="1"/>
  <c r="M472" i="48" s="1"/>
  <c r="N472" i="48" s="1"/>
  <c r="O472" i="48" s="1"/>
  <c r="P472" i="48" s="1"/>
  <c r="Q472" i="48" s="1"/>
  <c r="R472" i="48" s="1"/>
  <c r="S472" i="48" s="1"/>
  <c r="H472" i="47"/>
  <c r="I472" i="47" s="1"/>
  <c r="J472" i="47" s="1"/>
  <c r="K472" i="47" s="1"/>
  <c r="L472" i="47" s="1"/>
  <c r="M472" i="47" s="1"/>
  <c r="N472" i="47" s="1"/>
  <c r="O472" i="47" s="1"/>
  <c r="P472" i="47" s="1"/>
  <c r="Q472" i="47" s="1"/>
  <c r="R472" i="47" s="1"/>
  <c r="S472" i="47" s="1"/>
  <c r="H472" i="46"/>
  <c r="I472" i="46" s="1"/>
  <c r="J472" i="46" s="1"/>
  <c r="K472" i="46" s="1"/>
  <c r="L472" i="46" s="1"/>
  <c r="M472" i="46" s="1"/>
  <c r="N472" i="46" s="1"/>
  <c r="O472" i="46" s="1"/>
  <c r="P472" i="46" s="1"/>
  <c r="Q472" i="46" s="1"/>
  <c r="R472" i="46" s="1"/>
  <c r="S472" i="46" s="1"/>
  <c r="H472" i="45"/>
  <c r="I472" i="45" s="1"/>
  <c r="J472" i="45" s="1"/>
  <c r="K472" i="45" s="1"/>
  <c r="L472" i="45" s="1"/>
  <c r="M472" i="45" s="1"/>
  <c r="N472" i="45" s="1"/>
  <c r="O472" i="45" s="1"/>
  <c r="P472" i="45" s="1"/>
  <c r="Q472" i="45" s="1"/>
  <c r="R472" i="45" s="1"/>
  <c r="S472" i="45" s="1"/>
  <c r="H472" i="44"/>
  <c r="I472" i="44" s="1"/>
  <c r="J472" i="44" s="1"/>
  <c r="K472" i="44" s="1"/>
  <c r="L472" i="44" s="1"/>
  <c r="M472" i="44" s="1"/>
  <c r="N472" i="44" s="1"/>
  <c r="O472" i="44" s="1"/>
  <c r="P472" i="44" s="1"/>
  <c r="Q472" i="44" s="1"/>
  <c r="R472" i="44" s="1"/>
  <c r="S472" i="44" s="1"/>
  <c r="H472" i="43"/>
  <c r="I472" i="43" s="1"/>
  <c r="J472" i="43" s="1"/>
  <c r="K472" i="43" s="1"/>
  <c r="L472" i="43" s="1"/>
  <c r="M472" i="43" s="1"/>
  <c r="N472" i="43" s="1"/>
  <c r="O472" i="43" s="1"/>
  <c r="P472" i="43" s="1"/>
  <c r="Q472" i="43" s="1"/>
  <c r="R472" i="43" s="1"/>
  <c r="S472" i="43" s="1"/>
  <c r="H470" i="48"/>
  <c r="I470" i="48" s="1"/>
  <c r="J470" i="48" s="1"/>
  <c r="K470" i="48" s="1"/>
  <c r="L470" i="48" s="1"/>
  <c r="M470" i="48" s="1"/>
  <c r="N470" i="48" s="1"/>
  <c r="O470" i="48" s="1"/>
  <c r="P470" i="48" s="1"/>
  <c r="Q470" i="48" s="1"/>
  <c r="R470" i="48" s="1"/>
  <c r="S470" i="48" s="1"/>
  <c r="H470" i="47"/>
  <c r="I470" i="47" s="1"/>
  <c r="J470" i="47" s="1"/>
  <c r="K470" i="47" s="1"/>
  <c r="L470" i="47" s="1"/>
  <c r="M470" i="47" s="1"/>
  <c r="N470" i="47" s="1"/>
  <c r="O470" i="47" s="1"/>
  <c r="P470" i="47" s="1"/>
  <c r="Q470" i="47" s="1"/>
  <c r="R470" i="47" s="1"/>
  <c r="S470" i="47" s="1"/>
  <c r="H470" i="46"/>
  <c r="I470" i="46" s="1"/>
  <c r="J470" i="46" s="1"/>
  <c r="K470" i="46" s="1"/>
  <c r="L470" i="46" s="1"/>
  <c r="M470" i="46" s="1"/>
  <c r="N470" i="46" s="1"/>
  <c r="O470" i="46" s="1"/>
  <c r="P470" i="46" s="1"/>
  <c r="Q470" i="46" s="1"/>
  <c r="R470" i="46" s="1"/>
  <c r="S470" i="46" s="1"/>
  <c r="H470" i="45"/>
  <c r="I470" i="45" s="1"/>
  <c r="J470" i="45" s="1"/>
  <c r="K470" i="45" s="1"/>
  <c r="L470" i="45" s="1"/>
  <c r="M470" i="45" s="1"/>
  <c r="N470" i="45" s="1"/>
  <c r="O470" i="45" s="1"/>
  <c r="P470" i="45" s="1"/>
  <c r="Q470" i="45" s="1"/>
  <c r="R470" i="45" s="1"/>
  <c r="S470" i="45" s="1"/>
  <c r="H470" i="44"/>
  <c r="I470" i="44" s="1"/>
  <c r="J470" i="44" s="1"/>
  <c r="K470" i="44" s="1"/>
  <c r="L470" i="44" s="1"/>
  <c r="M470" i="44" s="1"/>
  <c r="N470" i="44" s="1"/>
  <c r="O470" i="44" s="1"/>
  <c r="P470" i="44" s="1"/>
  <c r="Q470" i="44" s="1"/>
  <c r="R470" i="44" s="1"/>
  <c r="S470" i="44" s="1"/>
  <c r="H470" i="43"/>
  <c r="I470" i="43" s="1"/>
  <c r="J470" i="43" s="1"/>
  <c r="K470" i="43" s="1"/>
  <c r="L470" i="43" s="1"/>
  <c r="M470" i="43" s="1"/>
  <c r="N470" i="43" s="1"/>
  <c r="O470" i="43" s="1"/>
  <c r="P470" i="43" s="1"/>
  <c r="Q470" i="43" s="1"/>
  <c r="R470" i="43" s="1"/>
  <c r="S470" i="43" s="1"/>
  <c r="H469" i="48"/>
  <c r="I469" i="48" s="1"/>
  <c r="J469" i="48" s="1"/>
  <c r="K469" i="48" s="1"/>
  <c r="L469" i="48" s="1"/>
  <c r="M469" i="48" s="1"/>
  <c r="N469" i="48" s="1"/>
  <c r="O469" i="48" s="1"/>
  <c r="P469" i="48" s="1"/>
  <c r="Q469" i="48" s="1"/>
  <c r="R469" i="48" s="1"/>
  <c r="S469" i="48" s="1"/>
  <c r="H469" i="47"/>
  <c r="I469" i="47" s="1"/>
  <c r="J469" i="47" s="1"/>
  <c r="K469" i="47" s="1"/>
  <c r="L469" i="47" s="1"/>
  <c r="M469" i="47" s="1"/>
  <c r="N469" i="47" s="1"/>
  <c r="O469" i="47" s="1"/>
  <c r="P469" i="47" s="1"/>
  <c r="Q469" i="47" s="1"/>
  <c r="R469" i="47" s="1"/>
  <c r="S469" i="47" s="1"/>
  <c r="H469" i="46"/>
  <c r="I469" i="46" s="1"/>
  <c r="J469" i="46" s="1"/>
  <c r="K469" i="46" s="1"/>
  <c r="L469" i="46" s="1"/>
  <c r="M469" i="46" s="1"/>
  <c r="N469" i="46" s="1"/>
  <c r="O469" i="46" s="1"/>
  <c r="P469" i="46" s="1"/>
  <c r="Q469" i="46" s="1"/>
  <c r="R469" i="46" s="1"/>
  <c r="S469" i="46" s="1"/>
  <c r="H469" i="45"/>
  <c r="I469" i="45" s="1"/>
  <c r="J469" i="45" s="1"/>
  <c r="K469" i="45" s="1"/>
  <c r="L469" i="45" s="1"/>
  <c r="M469" i="45" s="1"/>
  <c r="N469" i="45" s="1"/>
  <c r="O469" i="45" s="1"/>
  <c r="P469" i="45" s="1"/>
  <c r="Q469" i="45" s="1"/>
  <c r="R469" i="45" s="1"/>
  <c r="S469" i="45" s="1"/>
  <c r="H469" i="44"/>
  <c r="I469" i="44" s="1"/>
  <c r="J469" i="44" s="1"/>
  <c r="K469" i="44" s="1"/>
  <c r="L469" i="44" s="1"/>
  <c r="M469" i="44" s="1"/>
  <c r="N469" i="44" s="1"/>
  <c r="O469" i="44" s="1"/>
  <c r="P469" i="44" s="1"/>
  <c r="Q469" i="44" s="1"/>
  <c r="R469" i="44" s="1"/>
  <c r="S469" i="44" s="1"/>
  <c r="H469" i="43"/>
  <c r="I469" i="43" s="1"/>
  <c r="J469" i="43" s="1"/>
  <c r="K469" i="43" s="1"/>
  <c r="L469" i="43" s="1"/>
  <c r="M469" i="43" s="1"/>
  <c r="N469" i="43" s="1"/>
  <c r="O469" i="43" s="1"/>
  <c r="P469" i="43" s="1"/>
  <c r="Q469" i="43" s="1"/>
  <c r="R469" i="43" s="1"/>
  <c r="S469" i="43" s="1"/>
  <c r="G470" i="48"/>
  <c r="G470" i="47"/>
  <c r="G470" i="46"/>
  <c r="G470" i="45"/>
  <c r="G470" i="44"/>
  <c r="G470" i="43"/>
  <c r="G469" i="48"/>
  <c r="G469" i="47"/>
  <c r="G469" i="46"/>
  <c r="G469" i="45"/>
  <c r="G469" i="44"/>
  <c r="G469" i="43"/>
  <c r="G473" i="48"/>
  <c r="G473" i="47"/>
  <c r="G473" i="46"/>
  <c r="G473" i="45"/>
  <c r="G473" i="44"/>
  <c r="G473" i="43"/>
  <c r="H473" i="48"/>
  <c r="I473" i="48" s="1"/>
  <c r="J473" i="48" s="1"/>
  <c r="K473" i="48" s="1"/>
  <c r="L473" i="48" s="1"/>
  <c r="M473" i="48" s="1"/>
  <c r="N473" i="48" s="1"/>
  <c r="O473" i="48" s="1"/>
  <c r="P473" i="48" s="1"/>
  <c r="Q473" i="48" s="1"/>
  <c r="R473" i="48" s="1"/>
  <c r="S473" i="48" s="1"/>
  <c r="H473" i="47"/>
  <c r="I473" i="47" s="1"/>
  <c r="J473" i="47" s="1"/>
  <c r="K473" i="47" s="1"/>
  <c r="L473" i="47" s="1"/>
  <c r="M473" i="47" s="1"/>
  <c r="N473" i="47" s="1"/>
  <c r="O473" i="47" s="1"/>
  <c r="P473" i="47" s="1"/>
  <c r="Q473" i="47" s="1"/>
  <c r="R473" i="47" s="1"/>
  <c r="S473" i="47" s="1"/>
  <c r="H473" i="46"/>
  <c r="I473" i="46" s="1"/>
  <c r="J473" i="46" s="1"/>
  <c r="K473" i="46" s="1"/>
  <c r="L473" i="46" s="1"/>
  <c r="M473" i="46" s="1"/>
  <c r="N473" i="46" s="1"/>
  <c r="O473" i="46" s="1"/>
  <c r="P473" i="46" s="1"/>
  <c r="Q473" i="46" s="1"/>
  <c r="R473" i="46" s="1"/>
  <c r="S473" i="46" s="1"/>
  <c r="H473" i="45"/>
  <c r="I473" i="45" s="1"/>
  <c r="J473" i="45" s="1"/>
  <c r="K473" i="45" s="1"/>
  <c r="L473" i="45" s="1"/>
  <c r="M473" i="45" s="1"/>
  <c r="N473" i="45" s="1"/>
  <c r="O473" i="45" s="1"/>
  <c r="P473" i="45" s="1"/>
  <c r="Q473" i="45" s="1"/>
  <c r="R473" i="45" s="1"/>
  <c r="S473" i="45" s="1"/>
  <c r="H473" i="44"/>
  <c r="I473" i="44" s="1"/>
  <c r="J473" i="44" s="1"/>
  <c r="K473" i="44" s="1"/>
  <c r="L473" i="44" s="1"/>
  <c r="M473" i="44" s="1"/>
  <c r="N473" i="44" s="1"/>
  <c r="O473" i="44" s="1"/>
  <c r="P473" i="44" s="1"/>
  <c r="Q473" i="44" s="1"/>
  <c r="R473" i="44" s="1"/>
  <c r="S473" i="44" s="1"/>
  <c r="H473" i="43"/>
  <c r="I473" i="43" s="1"/>
  <c r="J473" i="43" s="1"/>
  <c r="K473" i="43" s="1"/>
  <c r="L473" i="43" s="1"/>
  <c r="M473" i="43" s="1"/>
  <c r="N473" i="43" s="1"/>
  <c r="O473" i="43" s="1"/>
  <c r="P473" i="43" s="1"/>
  <c r="Q473" i="43" s="1"/>
  <c r="R473" i="43" s="1"/>
  <c r="S473" i="43" s="1"/>
  <c r="G472" i="48"/>
  <c r="G472" i="47"/>
  <c r="G472" i="46"/>
  <c r="G472" i="45"/>
  <c r="G472" i="44"/>
  <c r="G472" i="43"/>
  <c r="G8" i="41" l="1"/>
  <c r="G4" i="41" l="1"/>
  <c r="G9" i="41"/>
  <c r="G11" i="41"/>
  <c r="G6" i="41"/>
  <c r="G7" i="41"/>
  <c r="G10" i="41"/>
  <c r="G5" i="41"/>
  <c r="G12" i="41" l="1"/>
  <c r="I22" i="41" s="1"/>
  <c r="F57" i="41" s="1"/>
  <c r="I16" i="41" l="1"/>
  <c r="F51" i="41" s="1"/>
  <c r="I15" i="41"/>
  <c r="F50" i="41" s="1"/>
  <c r="F58" i="41" s="1"/>
  <c r="I23" i="41"/>
  <c r="I19" i="41"/>
  <c r="F54" i="41" s="1"/>
  <c r="I18" i="41"/>
  <c r="F53" i="41" s="1"/>
  <c r="I17" i="41"/>
  <c r="F52" i="41" s="1"/>
  <c r="I20" i="41"/>
  <c r="F55" i="41" s="1"/>
  <c r="I21" i="41"/>
  <c r="F56" i="41" s="1"/>
  <c r="D8" i="41"/>
  <c r="E8" i="41"/>
  <c r="F8" i="41"/>
  <c r="F59" i="41" l="1"/>
  <c r="F7" i="41"/>
  <c r="F10" i="41"/>
  <c r="F4" i="41"/>
  <c r="F5" i="41"/>
  <c r="F9" i="41"/>
  <c r="F11" i="41"/>
  <c r="F6" i="41"/>
  <c r="E5" i="41"/>
  <c r="E9" i="41"/>
  <c r="E6" i="41"/>
  <c r="E11" i="41"/>
  <c r="E4" i="41"/>
  <c r="E7" i="41"/>
  <c r="E10" i="41"/>
  <c r="D7" i="41"/>
  <c r="D10" i="41"/>
  <c r="D6" i="41"/>
  <c r="D5" i="41"/>
  <c r="D11" i="41"/>
  <c r="D9" i="41"/>
  <c r="D4" i="41"/>
  <c r="D12" i="41" l="1"/>
  <c r="F19" i="41" s="1"/>
  <c r="F12" i="41"/>
  <c r="E12" i="41"/>
  <c r="G15" i="41" s="1"/>
  <c r="F26" i="41" s="1"/>
  <c r="H23" i="41" l="1"/>
  <c r="H19" i="41"/>
  <c r="F42" i="41" s="1"/>
  <c r="G23" i="41"/>
  <c r="G19" i="41"/>
  <c r="F30" i="41" s="1"/>
  <c r="H18" i="41"/>
  <c r="F41" i="41" s="1"/>
  <c r="G21" i="41"/>
  <c r="F32" i="41" s="1"/>
  <c r="F17" i="41"/>
  <c r="H20" i="41"/>
  <c r="F43" i="41" s="1"/>
  <c r="H17" i="41"/>
  <c r="F40" i="41" s="1"/>
  <c r="G18" i="41"/>
  <c r="F29" i="41" s="1"/>
  <c r="F18" i="41"/>
  <c r="G20" i="41"/>
  <c r="F31" i="41" s="1"/>
  <c r="F16" i="41"/>
  <c r="F15" i="41"/>
  <c r="F23" i="41" s="1"/>
  <c r="G17" i="41"/>
  <c r="F28" i="41" s="1"/>
  <c r="F22" i="41"/>
  <c r="F21" i="41"/>
  <c r="F20" i="41"/>
  <c r="H15" i="41"/>
  <c r="F38" i="41" s="1"/>
  <c r="H16" i="41"/>
  <c r="F39" i="41" s="1"/>
  <c r="H21" i="41"/>
  <c r="F44" i="41" s="1"/>
  <c r="H22" i="41"/>
  <c r="F45" i="41" s="1"/>
  <c r="G16" i="41"/>
  <c r="F27" i="41" s="1"/>
  <c r="F34" i="41" s="1"/>
  <c r="G22" i="41"/>
  <c r="F33" i="41" s="1"/>
  <c r="F46" i="41" l="1"/>
  <c r="F47" i="41" s="1"/>
  <c r="H8" i="41" l="1"/>
  <c r="H4" i="41" l="1"/>
  <c r="H5" i="41"/>
  <c r="H11" i="41"/>
  <c r="H7" i="41"/>
  <c r="H9" i="41"/>
  <c r="H6" i="41"/>
  <c r="H10" i="41"/>
  <c r="H12" i="41" l="1"/>
  <c r="J17" i="41" s="1"/>
  <c r="F64" i="41" s="1"/>
  <c r="J23" i="41" l="1"/>
  <c r="J19" i="41"/>
  <c r="F66" i="41" s="1"/>
  <c r="J22" i="41"/>
  <c r="F69" i="41" s="1"/>
  <c r="J20" i="41"/>
  <c r="F67" i="41" s="1"/>
  <c r="J15" i="41"/>
  <c r="F62" i="41" s="1"/>
  <c r="J16" i="41"/>
  <c r="F63" i="41" s="1"/>
  <c r="J18" i="41"/>
  <c r="F65" i="41" s="1"/>
  <c r="J21" i="41"/>
  <c r="F68" i="41" s="1"/>
  <c r="F70" i="41" l="1"/>
  <c r="F71" i="4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tc={A79D794C-B22A-48B6-B789-6AFF88403918}</author>
    <author>tc={F67DD167-9F08-4EF4-9A2E-EDFBE72CE698}</author>
    <author>tc={4A20BB6C-6235-4F77-871B-E28573D65114}</author>
    <author>tc={61BA9F8B-410B-486B-A1BD-5243582A7795}</author>
  </authors>
  <commentList>
    <comment ref="L45" authorId="0" shapeId="0" xr:uid="{A79D794C-B22A-48B6-B789-6AFF88403918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Y45" authorId="1" shapeId="0" xr:uid="{F67DD167-9F08-4EF4-9A2E-EDFBE72CE698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K82" authorId="2" shapeId="0" xr:uid="{4A20BB6C-6235-4F77-871B-E28573D65114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L111" authorId="3" shapeId="0" xr:uid="{61BA9F8B-410B-486B-A1BD-5243582A7795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tc={D99BE977-8B53-430D-B8DD-7DD89FF2017F}</author>
  </authors>
  <commentList>
    <comment ref="K3" authorId="0" shapeId="0" xr:uid="{D99BE977-8B53-430D-B8DD-7DD89FF2017F}">
      <text>
        <t>[Threaded comment]
Your version of Excel allows you to read this threaded comment; however, any edits to it will get removed if the file is opened in a newer version of Excel. Learn more: https://go.microsoft.com/fwlink/?linkid=870924
Comment:
    Lower down aggregation may be confusing, but calculates the same for each group. For ease of pasting across all calculations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tc={8DC1396D-A6A0-43D4-B085-C03E504044EF}</author>
    <author>tc={26874611-FC56-4DDC-9756-D0B5E15530E1}</author>
  </authors>
  <commentList>
    <comment ref="K73" authorId="0" shapeId="0" xr:uid="{8DC1396D-A6A0-43D4-B085-C03E504044EF}">
      <text>
        <t>[Threaded comment]
Your version of Excel allows you to read this threaded comment; however, any edits to it will get removed if the file is opened in a newer version of Excel. Learn more: https://go.microsoft.com/fwlink/?linkid=870924
Comment:
    Electricity for traction + Electricity Other</t>
      </text>
    </comment>
    <comment ref="X73" authorId="1" shapeId="0" xr:uid="{26874611-FC56-4DDC-9756-D0B5E15530E1}">
      <text>
        <t>[Threaded comment]
Your version of Excel allows you to read this threaded comment; however, any edits to it will get removed if the file is opened in a newer version of Excel. Learn more: https://go.microsoft.com/fwlink/?linkid=870924
Comment:
    Electricity for traction + Electricity Other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tc={85474FA3-7067-4CEE-AB04-8BE07CB8ED8F}</author>
    <author>tc={2798BF8F-57ED-4A22-A6D2-019002C5407B}</author>
    <author>tc={6CA181D1-DF69-4CCC-821F-866E02B4DA8B}</author>
  </authors>
  <commentList>
    <comment ref="L1" authorId="0" shapeId="0" xr:uid="{85474FA3-7067-4CEE-AB04-8BE07CB8ED8F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X1" authorId="1" shapeId="0" xr:uid="{2798BF8F-57ED-4A22-A6D2-019002C5407B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AL1" authorId="2" shapeId="0" xr:uid="{6CA181D1-DF69-4CCC-821F-866E02B4DA8B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</commentList>
</comments>
</file>

<file path=xl/sharedStrings.xml><?xml version="1.0" encoding="utf-8"?>
<sst xmlns="http://schemas.openxmlformats.org/spreadsheetml/2006/main" count="15152" uniqueCount="483">
  <si>
    <t>km</t>
  </si>
  <si>
    <t>8+ kilometres</t>
  </si>
  <si>
    <t>https://www.cso.ie/en/releasesandpublications/ep/p-nts/nts2016/ovr/</t>
  </si>
  <si>
    <t>vkm</t>
  </si>
  <si>
    <t>Total</t>
  </si>
  <si>
    <t>Private car - Driver</t>
  </si>
  <si>
    <t>Private car - Passenger</t>
  </si>
  <si>
    <t>Walk</t>
  </si>
  <si>
    <t>Bus</t>
  </si>
  <si>
    <t>Cycle</t>
  </si>
  <si>
    <t>Rail/Dart/Luas</t>
  </si>
  <si>
    <t>Taxi/hackney</t>
  </si>
  <si>
    <t>&lt;2 kilometres</t>
  </si>
  <si>
    <t>Private car - driver</t>
  </si>
  <si>
    <t>Private car - passenger</t>
  </si>
  <si>
    <t>Source</t>
  </si>
  <si>
    <t>PETROL</t>
  </si>
  <si>
    <t>DIESEL</t>
  </si>
  <si>
    <t xml:space="preserve">HYBRID </t>
  </si>
  <si>
    <t xml:space="preserve">PLUGIN </t>
  </si>
  <si>
    <t>ELECTRIC</t>
  </si>
  <si>
    <t>Table 1.8: Percentage distribution of journeys by journey distance, 2012 , 2013 and 2014</t>
  </si>
  <si>
    <t>https://www.nationaltransport.ie/wp-content/uploads/2019/08/Bus_and_Rail_Statistics_2019.pdf</t>
  </si>
  <si>
    <t>https://www.buseireann.ie/pdf/1563874902-Annual-Report-2018-english.pdf</t>
  </si>
  <si>
    <t>Passenger km</t>
  </si>
  <si>
    <t>Occupancy</t>
  </si>
  <si>
    <t>Dublin Bus</t>
  </si>
  <si>
    <t>Bus Eireann</t>
  </si>
  <si>
    <t>Luas</t>
  </si>
  <si>
    <t>Vehicle kilometres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</si>
  <si>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</si>
  <si>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</si>
  <si>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</si>
  <si>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</si>
  <si>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</si>
  <si>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</si>
  <si>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</si>
  <si>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</si>
  <si>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</si>
  <si>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</si>
  <si>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not available</t>
  </si>
  <si>
    <t>n/a</t>
  </si>
  <si>
    <t>Work</t>
  </si>
  <si>
    <t>Education</t>
  </si>
  <si>
    <t>Shopping</t>
  </si>
  <si>
    <t>To eat or drink</t>
  </si>
  <si>
    <t>Visit family / friends</t>
  </si>
  <si>
    <t>Entertainment / leisure / sports</t>
  </si>
  <si>
    <t>Personal business</t>
  </si>
  <si>
    <t>Companion / escort journey</t>
  </si>
  <si>
    <t>Other</t>
  </si>
  <si>
    <t>Lorry/motorcycle/other</t>
  </si>
  <si>
    <t>Public transport</t>
  </si>
  <si>
    <t>Dublin</t>
  </si>
  <si>
    <t>All regions excluding Dublin</t>
  </si>
  <si>
    <t>Purpose</t>
  </si>
  <si>
    <t>Visit family/friends</t>
  </si>
  <si>
    <t>Entertainment/leisure/sports</t>
  </si>
  <si>
    <t>Companion/escort journey</t>
  </si>
  <si>
    <t xml:space="preserve">Private car </t>
  </si>
  <si>
    <t>Walk / cycle</t>
  </si>
  <si>
    <t>Rest of country</t>
  </si>
  <si>
    <t>=</t>
  </si>
  <si>
    <t>Year</t>
  </si>
  <si>
    <t>Irish Rail</t>
  </si>
  <si>
    <t>https://www.dublinbus.ie/Global/DB-Annual-Report-2015-Proof-11%20ccat%20web%20version%20110716.pdf</t>
  </si>
  <si>
    <t>https://www.dublinbus.ie/PageFiles/2430/CIE-Bus%20tha%20Cliath-AR14.pdf</t>
  </si>
  <si>
    <t>https://www.dublinbus.ie/PageFiles/2430/2013EnglishAnnualReport.pdf</t>
  </si>
  <si>
    <t>https://www.dublinbus.ie/PageFiles/2430/2012EnglishReport.pdf</t>
  </si>
  <si>
    <t>https://www.dublinbus.ie/PageFiles/2430/Dublin%20Bus%20AR%202011.pdf</t>
  </si>
  <si>
    <t>https://www.cie.ie/CIECorporate/media/reports/2015AR-BE-English.pdf</t>
  </si>
  <si>
    <t>Diesel</t>
  </si>
  <si>
    <t>Natural Gas</t>
  </si>
  <si>
    <t>Electricity</t>
  </si>
  <si>
    <t>Private Vehicle Transport</t>
  </si>
  <si>
    <t>Petrol</t>
  </si>
  <si>
    <t>https://www.dublinbus.ie/Global/Bus-Atha-Cliath-Annual-Report-2016.pdf</t>
  </si>
  <si>
    <t>https://www.dublinbus.ie/Global/Bus-Atha-Cliath-2018-Annual-Report.pdf</t>
  </si>
  <si>
    <t>https://arrow.tudublin.ie/cgi/viewcontent.cgi?article=1052&amp;context=engmas</t>
  </si>
  <si>
    <t>Mode</t>
  </si>
  <si>
    <t>Fuel</t>
  </si>
  <si>
    <t>Row Labels</t>
  </si>
  <si>
    <t>Grand Total</t>
  </si>
  <si>
    <t>Sum of Energy consumption</t>
  </si>
  <si>
    <t>Column Labels</t>
  </si>
  <si>
    <t>(All)</t>
  </si>
  <si>
    <t>Source:</t>
  </si>
  <si>
    <t>https://www.ucd.ie/t4cms/NTS%20Report%202009.pdf</t>
  </si>
  <si>
    <t>Irish Car Stock Model V 2.1</t>
  </si>
  <si>
    <t>https://www.seai.ie/data-and-insights/seai-statistics/conversion-factors/</t>
  </si>
  <si>
    <t>Lorry/Motorcycle/Other</t>
  </si>
  <si>
    <t>Table 5.2 Percentage distribution of journeys by distance for Dublin and all regions excluding Dublin, 2014, 2016 and 2019</t>
  </si>
  <si>
    <t>Average</t>
  </si>
  <si>
    <t>Personal Business</t>
  </si>
  <si>
    <t>2016 (Original)</t>
  </si>
  <si>
    <t>Private car total</t>
  </si>
  <si>
    <t>Model:</t>
  </si>
  <si>
    <t>Author</t>
  </si>
  <si>
    <t>Vera O'Riordan</t>
  </si>
  <si>
    <t>Contact:</t>
  </si>
  <si>
    <t>vera.oriordan@ucc.ie</t>
  </si>
  <si>
    <t>Date:</t>
  </si>
  <si>
    <t>Business as Usual - The trajectory of passenger kilometers with performance continuing from 2019</t>
  </si>
  <si>
    <t>Smarter Travel</t>
  </si>
  <si>
    <t>Bus Connects</t>
  </si>
  <si>
    <t>Netherlands Cycling</t>
  </si>
  <si>
    <t>Short trips, active modes</t>
  </si>
  <si>
    <t>Remote working</t>
  </si>
  <si>
    <t>School bussing</t>
  </si>
  <si>
    <t>Combi</t>
  </si>
  <si>
    <t>Category</t>
  </si>
  <si>
    <t>Urban Ambition - increased urbanization, modal shift in urban areas - basic assumptions &amp; data sources</t>
  </si>
  <si>
    <t>Use of spectrums &amp; gradients in data vizualization</t>
  </si>
  <si>
    <t>Grouping data, getting averages</t>
  </si>
  <si>
    <t>Descriptive statistics</t>
  </si>
  <si>
    <t>Adding subtotals</t>
  </si>
  <si>
    <t>Units - billions easier to read</t>
  </si>
  <si>
    <t>Reduce order of magnitude</t>
  </si>
  <si>
    <t>Interpolate between years -2009, 2010, 2011 - make sure spacing is correct</t>
  </si>
  <si>
    <t>Pivot tables</t>
  </si>
  <si>
    <t>Add basic emissions calculator</t>
  </si>
  <si>
    <t>Vehicle Kilometres</t>
  </si>
  <si>
    <t xml:space="preserve">Figure 4. p11 National Travel Survey 2009 </t>
  </si>
  <si>
    <t>Link</t>
  </si>
  <si>
    <t>Percentage distribution of journey distance for all regions, 2009 - 2019</t>
  </si>
  <si>
    <t>https://www.cso.ie/en/releasesandpublications/ep/p-nts/nationaltravelsurvey2012and2013/keyfindings/</t>
  </si>
  <si>
    <t>Table 1.8: Percentage distribution of journeys by journey distance, 2012 and 2014</t>
  </si>
  <si>
    <t>https://www.cso.ie/en/releasesandpublications/ep/p-nts/nationaltravelsurvey2014/keyfindings/</t>
  </si>
  <si>
    <t>2009</t>
  </si>
  <si>
    <t>https://www.cso.ie/en/releasesandpublications/ep/p-nts/nts2016/dd/</t>
  </si>
  <si>
    <t>Table: 5.2 Percentage distribution of journey distance for Dublin versus all regions excluding Dublin, 2013, 2014 and 2016</t>
  </si>
  <si>
    <t>https://www.cso.ie/en/releasesandpublications/ep/p-nts/nationaltravelsurvey2019/distanceandduration/</t>
  </si>
  <si>
    <t>Percentage distribution of journeys by mode of travel and distance 4 - 6 km, 2009 - 2019</t>
  </si>
  <si>
    <t>Percentage distribution of journeys by mode of travel and distance 6 - 8 km, 2009 - 2019</t>
  </si>
  <si>
    <t>Percentage distribution of journeys by mode of travel and distance &lt; 2km, 2009 - 2019</t>
  </si>
  <si>
    <t>Percentage distribution of journeys by mode of travel and distance 2 - 4 km, 2009 - 2019</t>
  </si>
  <si>
    <t>Percentage distribution of journeys by mode of travel and distance &gt;8 km, 2009 - 2019</t>
  </si>
  <si>
    <t>Population</t>
  </si>
  <si>
    <t>Respondants</t>
  </si>
  <si>
    <t xml:space="preserve">Table 7. p11 National Travel Survey 2009 </t>
  </si>
  <si>
    <t>National Travel Survey 2012/2013: Table 1.8: Percentage distribution of journeys by journey distance, 2012 and 2013</t>
  </si>
  <si>
    <t>National Travel Survey 2012/2013: Table 2.5: Percentage distribution of journeys by mode of travel and distance, 2012 and 2013</t>
  </si>
  <si>
    <t>https://www.cso.ie/en/releasesandpublications/ep/p-nts/nationaltravelsurvey2012and2013/detailedanalysis/howwetravelled/</t>
  </si>
  <si>
    <t>National Travel Survey 2014: Table 2.5: Percentage distribution of journeys by mode of travel and distance, 2012, 2013 and 2014</t>
  </si>
  <si>
    <t>https://www.cso.ie/en/releasesandpublications/ep/p-nts/nationaltravelsurvey2014/detailedanalysis/howwetravelled/</t>
  </si>
  <si>
    <t>https://www.cso.ie/en/releasesandpublications/ep/p-nts/nts2016/hwt/</t>
  </si>
  <si>
    <t>National Travel Survey 2016: Table 2.5: Percentage distribution of journeys by mode of travel and distance, 2013, 2014 and 2016</t>
  </si>
  <si>
    <t>National Travel Survey 2019: Table 2.6 Percentage distribution of journeys by mode of travel and distance, 2014, 2016 and 2019</t>
  </si>
  <si>
    <t>https://www.cso.ie/en/releasesandpublications/ep/p-nts/nationaltravelsurvey2019/howwetravelled/</t>
  </si>
  <si>
    <t>https://ec.europa.eu/eurostat/web/population-demography-migration-projections/visualisations</t>
  </si>
  <si>
    <t>Eurostat, Population Development</t>
  </si>
  <si>
    <t>Population, 2009 - 2019</t>
  </si>
  <si>
    <t>National Travel Survey, p. 5</t>
  </si>
  <si>
    <t>https://www.cso.ie/en/releasesandpublications/ep/p-nts/nationaltravelsurvey2012and2013/overview/</t>
  </si>
  <si>
    <t>National Travel Survey 2012 and 2013, Overview</t>
  </si>
  <si>
    <t>https://www.cso.ie/en/releasesandpublications/ep/p-nts/nationaltravelsurvey2014/overview/</t>
  </si>
  <si>
    <t>National Travel Survey 2014, Overview</t>
  </si>
  <si>
    <t>National Travel Survey 2016, Overview</t>
  </si>
  <si>
    <t>https://www.cso.ie/en/releasesandpublications/ep/p-nts/nationaltravelsurvey2019/backgroundnotes/</t>
  </si>
  <si>
    <t>National Travel Survey 2019, Background Notes</t>
  </si>
  <si>
    <t>Number of respondants, National Travel Survey, 2009 - 2019</t>
  </si>
  <si>
    <t>National Travel Survey, p. 7, Section 2.1 Personal Travel</t>
  </si>
  <si>
    <t>Number of journeys per day</t>
  </si>
  <si>
    <t>Table 1.3 Average number of journeys taken by travel reference day, 2019</t>
  </si>
  <si>
    <t>https://www.cso.ie/en/releasesandpublications/ep/p-nts/nationaltravelsurvey2019/overviewandkeyfindings/</t>
  </si>
  <si>
    <t>Average journey distance by mode (kilometres), National Travel Survey 2009 - 2019</t>
  </si>
  <si>
    <t>Private vehicle activity, Irish Car Stock Model 2001 - 2018</t>
  </si>
  <si>
    <t>National Travel Survey 2016: Average Journey Profile by Mode of Travel - Table 1.5: Average journey profile by mode of travel, 2013, 2014 and 2016</t>
  </si>
  <si>
    <t>https://www.cso.ie/en/releasesandpublications/ep/p-nts/nts2016/keyf/</t>
  </si>
  <si>
    <t>National Travel Survey 2016: Average Journey Profile by Mode of Travel - Table 1.5: Average journey profile by mode of travel, 2013, 2014 and 2013</t>
  </si>
  <si>
    <t>National Travel Survey 2016: Average Journey Profile by Mode of Travel - Table 1.5: Average journey profile by mode of travel, 2013, 2014 and 2014</t>
  </si>
  <si>
    <t>National Travel Survey 2016: Average Journey Profile by Mode of Travel - Table 1.5: Average journey profile by mode of travel, 2013, 2014 and 2015</t>
  </si>
  <si>
    <t>Email Correspondance with Maureen Delamere @CSO</t>
  </si>
  <si>
    <t>National Travel Survey 2009, P.9, Table 3: Average Journey Distance, Duration and Speed by Mode of Travel</t>
  </si>
  <si>
    <t>Total journeys per person per day, National Travel Survey, 2009 - 2019</t>
  </si>
  <si>
    <t>Total journeys per year total, National Travel Survey, 2009 - 2019</t>
  </si>
  <si>
    <t>Total number of days per year</t>
  </si>
  <si>
    <t>Passenger kilometres by year, trip distance and mode type</t>
  </si>
  <si>
    <t>Trip distance</t>
  </si>
  <si>
    <t>Mode Type</t>
  </si>
  <si>
    <t>4-6 kilometres</t>
  </si>
  <si>
    <t>2-4 kilometres</t>
  </si>
  <si>
    <t>6-8 kilometres</t>
  </si>
  <si>
    <t>Average Journey Length</t>
  </si>
  <si>
    <t>Mode distance factor</t>
  </si>
  <si>
    <t>Adjustment factor for distance based on mode, 2009 - 2019</t>
  </si>
  <si>
    <t>Rail/DART/Luas</t>
  </si>
  <si>
    <t>Number of journeys</t>
  </si>
  <si>
    <t>Total Passenger Kilometres</t>
  </si>
  <si>
    <t>Private vehicle kilometres from the Car Stock Model</t>
  </si>
  <si>
    <t>2001</t>
  </si>
  <si>
    <t>2002</t>
  </si>
  <si>
    <t>2003</t>
  </si>
  <si>
    <t>2004</t>
  </si>
  <si>
    <t>2005</t>
  </si>
  <si>
    <t>2006</t>
  </si>
  <si>
    <t>2007</t>
  </si>
  <si>
    <t>2008</t>
  </si>
  <si>
    <t>Unit</t>
  </si>
  <si>
    <t>Fuel Type</t>
  </si>
  <si>
    <t>Total Vehicle Kilometres</t>
  </si>
  <si>
    <t>Private Vehicle Occupancy</t>
  </si>
  <si>
    <t>Sum of Total Passenger Kilometres</t>
  </si>
  <si>
    <t>Private vehicle passenger kilometres from Car Stock</t>
  </si>
  <si>
    <t>Calibration for 8+ kilometre category</t>
  </si>
  <si>
    <t>Calibrations (should = 1.000)</t>
  </si>
  <si>
    <t>Percentage distribution of journeys by reason of travel and distance &lt; 2km, 2009 - 2019</t>
  </si>
  <si>
    <t>Percentage distribution of journeys by reason of travel and distance 2 - 4 km, 2009 - 2019</t>
  </si>
  <si>
    <t>Percentage distribution of journeys by reason of travel and distance 4 - 6 km, 2009 - 2019</t>
  </si>
  <si>
    <t>Percentage distribution of journeys by reason of travel and distance 6 - 8 km, 2009 - 2019</t>
  </si>
  <si>
    <t>Percentage distribution of journeys by reason of travel and distance &gt;8 km, 2009 - 2019</t>
  </si>
  <si>
    <t xml:space="preserve">Table 35. p38 National Travel Survey 2009 </t>
  </si>
  <si>
    <t>National Travel Survey, 2016: Table 2.5: Percentage distribution of journeys by reason of travel and distance, 2013, 2014 and 2017</t>
  </si>
  <si>
    <t>National Travel Survey, 2016: Table 2.5: Percentage distribution of journeys by reason of travel and distance, 2013, 2014 and 2018</t>
  </si>
  <si>
    <t>National Travel Survey, 2016: Table 2.5: Percentage distribution of journeys by reason of travel and distance, 2013, 2014 and 2019</t>
  </si>
  <si>
    <t>National Travel Survey 2012 &amp; 2013: Table 2.5: Percentage distribution of journeys by reason of travel and distance, 2013, 2014 and 2016</t>
  </si>
  <si>
    <t>National Travel Survey 2019, Table 3.3 Percentage distribution of journeys by purpose and distance, 2014, 2016 and 2019</t>
  </si>
  <si>
    <t>https://www.cso.ie/en/releasesandpublications/ep/p-nts/nationaltravelsurvey2019/whywetravelled/</t>
  </si>
  <si>
    <t>Average journey distance by purpose of travel, 2009 - 2019</t>
  </si>
  <si>
    <t xml:space="preserve">Table 6. National Travel Survey 2009 </t>
  </si>
  <si>
    <t>Walk/cycle</t>
  </si>
  <si>
    <t>Percentage distribution of journeys by purpose and by modes for Dublin versus all regions excluding Dublin 2013 - 2019</t>
  </si>
  <si>
    <t>Reason for car journeys by percentage</t>
  </si>
  <si>
    <t>Reason for public transport journeys by percentage</t>
  </si>
  <si>
    <t>Reason for walking/cycling journeys by percentage</t>
  </si>
  <si>
    <t>Reason for Lorry/motorcycle/other journeys by percentage</t>
  </si>
  <si>
    <t>Trip purpose</t>
  </si>
  <si>
    <t>Average Distance by kilometre grouping for mode types</t>
  </si>
  <si>
    <t>Average Distance by kilometre grouping for trip purpose</t>
  </si>
  <si>
    <t xml:space="preserve"> Adjustment factor for distance based on trip purpose</t>
  </si>
  <si>
    <t>Calibration for purpose category with mode category</t>
  </si>
  <si>
    <t>Percentage distribution of journeys by purpose of travel and distance 2 - 4 km, 2009 - 2019</t>
  </si>
  <si>
    <t>Percentage distribution of journeys by purpose of travel and distance 4 - 6 km, 2009 - 2019</t>
  </si>
  <si>
    <t>Percentage distribution of journeys by purpose of travel and distance 6 - 8 km, 2009 - 2019</t>
  </si>
  <si>
    <t>Percentage distribution of journeys by purpose of travel and distance &gt;8 km, 2009 - 2019</t>
  </si>
  <si>
    <t>Passenger kilometres by year and trip purpose</t>
  </si>
  <si>
    <t>Passenger kilometres by year, mode type and trip purpose</t>
  </si>
  <si>
    <t>Passenger Kilometres for that mode type across all purpose</t>
  </si>
  <si>
    <t>Passenger Kilometres by purpose and mode type</t>
  </si>
  <si>
    <t>Average distance based on mode type</t>
  </si>
  <si>
    <t>Average distance based on trip purpose type</t>
  </si>
  <si>
    <t>Calibration factor</t>
  </si>
  <si>
    <t>Trip Distance</t>
  </si>
  <si>
    <t>Companion/Escort Journey</t>
  </si>
  <si>
    <t>Average distance based on trip purpose and mode type</t>
  </si>
  <si>
    <t>Distance weighting</t>
  </si>
  <si>
    <t>Passenger Kilometres</t>
  </si>
  <si>
    <t>Sum of Passenger Kilometres</t>
  </si>
  <si>
    <t>Calibration (should = 1.000)</t>
  </si>
  <si>
    <t>Passenger Kilometres by distance category, mode type and trip purpose</t>
  </si>
  <si>
    <t>Bus Éireann</t>
  </si>
  <si>
    <t>Occupancy Public Transport</t>
  </si>
  <si>
    <t>Emissions Intensity</t>
  </si>
  <si>
    <t xml:space="preserve">Emissions intensity </t>
  </si>
  <si>
    <t>Energy and Sustainability, p. 9, Bus Átha Cliath Annual Report 2016</t>
  </si>
  <si>
    <t>Energy and Sustainability, p. 21, Bus Átha Cliath Annual Report 2018</t>
  </si>
  <si>
    <t>Energy and Sustainability, p. 21, Bus Átha Cliath Annual Report 2019</t>
  </si>
  <si>
    <t>Energy and Sustainability, p. 9, Bus Átha Cliath Annual Report 2015</t>
  </si>
  <si>
    <t>Smart Travel Policy – Energy and Sustainibility, p10 Bus Átha Cliath Annual Report and Financial Statements, 2014</t>
  </si>
  <si>
    <t>Energy Usage, p. 9, Bus Átha Cliath Annual Report and Financial Statements 2013</t>
  </si>
  <si>
    <t>Energy Usage, p. 8, Bus Átha Cliath Annual Report and Financial Statements 2012</t>
  </si>
  <si>
    <t>Overview of Energy Usage, p. 9, Bus Átha Cliath Annual Report and Financial Statements 2011</t>
  </si>
  <si>
    <t>Energy Consumption in 2010, p. 7, Annual Report &amp; Financial Statement 2010 Bus Átha Cliath</t>
  </si>
  <si>
    <t>https://www.dublinbus.ie/PageFiles/2430/English%20Report%202010%20WEB.pdf</t>
  </si>
  <si>
    <t>Bus Éireann Annual Report 2018, Energy Management, p. 28</t>
  </si>
  <si>
    <t>https://www.buseireann.ie/pdf/1527845678-Bus-Eireann-Annual-Report-2017.pdf</t>
  </si>
  <si>
    <t>Bus Éireann Annual Report 2017, Energy Management, p. 22</t>
  </si>
  <si>
    <t>Bus Éireann Annual Report and Financial Statements, 2015 p. 26</t>
  </si>
  <si>
    <t>Bus Éireann Annual Report, 2014, Environment/Energy Consumption p.20</t>
  </si>
  <si>
    <t>https://www.cie.ie/CIECorporate/media/reports/2014AR-BE-English.pdf</t>
  </si>
  <si>
    <t>https://www.cie.ie/CIECorporate/media/reports/2013AR-BE-English.pdf</t>
  </si>
  <si>
    <t>Bus Éireann Annual Report and Financial Statements, 2013 p .24</t>
  </si>
  <si>
    <t>https://www.buseireann.ie/pdf/1439215271-Annual-Report-2012.pdf</t>
  </si>
  <si>
    <t>Energy Consumption, p. 13, Annual Report &amp; Financial Statements, 2012, Bus Éireann</t>
  </si>
  <si>
    <t>Environmental Benefits p. 10, Annual Report &amp; Financial Statements 2011, Bus Éireann</t>
  </si>
  <si>
    <t>https://www.buseireann.ie/pdf/1439215272-Annual-Report-2011.pdf</t>
  </si>
  <si>
    <t>https://www.irishrail.ie/Admin/IrishRail/media/Content/About%20Us/CIE-Iarnrod-Eireann-Annual-Report-2019.pdf</t>
  </si>
  <si>
    <t>Iarnród Éireann – Sustainability 2019, Ianród Éireann Annual Report 2019, p.18</t>
  </si>
  <si>
    <t>Iarnród Éireann – Sustainability 2019, Ianród Éireann Annual Report 2019, p.19</t>
  </si>
  <si>
    <t>https://www.irishrail.ie/IrishRail/media/Imported/2017-iarnrod-eireann-annual-report.pdf</t>
  </si>
  <si>
    <t>Iarnród Éireann – Sustainability 2019, Ianród Éireann Annual Report 2017, p. 8</t>
  </si>
  <si>
    <t>https://www.irishrail.ie/IrishRail/media/Imported/iarnrod-eireann-annual-report-2014_1.pdf</t>
  </si>
  <si>
    <t>Ianród Éireann Annual Report, 2010: Overview of Energy Usage in 2010 p. 10</t>
  </si>
  <si>
    <t>Ianród Éireann Annual Report and Financial Statements 2014, Environment: Overview of Energy Usage in 2014 p.11</t>
  </si>
  <si>
    <t>Ianród Éireann Annual Report and Financial Statements 2014, Environment: Overview of Energy Usage in 2014 p.12</t>
  </si>
  <si>
    <t>Ianród Éireann Annual Report and Financial Statements 2014, Environment: Overview of Energy Usage in 2014 p.13</t>
  </si>
  <si>
    <t>Ianród Éireann Annual Report and Financial Statements 2014, Environment: Overview of Energy Usage in 2014 p.14</t>
  </si>
  <si>
    <t>Ianród Éireann Annual Report, 2010: Overview of Energy Usage in 2010 p. 9</t>
  </si>
  <si>
    <t>https://www.irishrail.ie/IrishRail/media/Imported/2010_ar_english.pdf</t>
  </si>
  <si>
    <t>"Research into Options for Reducing Energy Consumption Across the Luas Network" p.127 Figure 61: Total Luas Energy Consumption</t>
  </si>
  <si>
    <t>"Research into Options for Reducing Energy Consumption Across the Luas Network" p.137</t>
  </si>
  <si>
    <t>"Research into Options for Reducing Energy Consumption Across the Luas Network" p.138</t>
  </si>
  <si>
    <t>"Research into Options for Reducing Energy Consumption Across the Luas Network" p.139</t>
  </si>
  <si>
    <t>"Research into Options for Reducing Energy Consumption Across the Luas Network" p.140</t>
  </si>
  <si>
    <t>"Research into Options for Reducing Energy Consumption Across the Luas Network" p.141</t>
  </si>
  <si>
    <t>https://www.buseireann.ie/pdf/1610463705-Annual-Report-2019.pdf</t>
  </si>
  <si>
    <t>Bus Éireann Annual Report 2019, p. 5, Customer Journeys and Vehicle Kilometres</t>
  </si>
  <si>
    <t>Bus Éireann Annual Report 2017, p. 17, Customer numbers and Vehicle Kilometres</t>
  </si>
  <si>
    <t>Bus Éireann Annual Report 2015, p. 16, Customers/Kilometres</t>
  </si>
  <si>
    <t>Bus Éireann Annual Report 2013, p. 11, Customer Journeys and Vehicle Kilometres</t>
  </si>
  <si>
    <t>https://www.dublinbus.ie/Global/Bus-Atha-Cliath-Annual-Report-2017.pdf</t>
  </si>
  <si>
    <t>The Envrionment and Carbon Emissions, p.2 Bus Átha Cliath Annual Report, 2018</t>
  </si>
  <si>
    <t>The Envrionment and Carbon Emissions, p.4 Bus Átha Cliath Annual Report, 2018</t>
  </si>
  <si>
    <t>https://www.nationaltransport.ie/wp-content/uploads/2013/10/Rail-Statistical-Bulletin11.pdf</t>
  </si>
  <si>
    <t>Rail Statistical Bulletin, Total operated Vehicle Kilometres and vehicle seat kilometres p. 4</t>
  </si>
  <si>
    <t>https://www.nationaltransport.ie/wp-content/uploads/2013/10/Rail_Statistics_for_Ireland_June_201411.pdf</t>
  </si>
  <si>
    <t>Statistical Bulletin Number: 04/2014 Rail Statistical Bulletin, Total operated Vehicle Kilometres and vehicle seat kilometres p. 5</t>
  </si>
  <si>
    <t>https://assets.gov.ie/10622/fbfed806d0814e29aa40c970a939250f.pdf</t>
  </si>
  <si>
    <t>Land Transport - Network, Transport Trends 2018, p.10</t>
  </si>
  <si>
    <t>Table 3A: Annual Operated Vehicle Kilometres (Millions) p.15 Bus and Rail Statistics for Ireland, Statistical Bulletin: 03/2019</t>
  </si>
  <si>
    <t>Table 3A: Annual Operated Vehicle Kilometres (Millions) p.15 Bus and Rail Statistics for Ireland, Statistical Bulletin: 03/2020</t>
  </si>
  <si>
    <t>Table 3A: Annual Operated Vehicle Kilometres (Millions) p.15 Bus and Rail Statistics for Ireland, Statistical Bulletin: 03/2021</t>
  </si>
  <si>
    <t>Table 3A: Annual Operated Vehicle Kilometres (Millions) p.15 Bus and Rail Statistics for Ireland, Statistical Bulletin: 03/2022</t>
  </si>
  <si>
    <t>Table 3A: Annual Operated Vehicle Kilometres (Millions) p.15 Bus and Rail Statistics for Ireland, Statistical Bulletin: 03/2023</t>
  </si>
  <si>
    <t>Passenger Serviced</t>
  </si>
  <si>
    <t>Calculation based on "Passenger Kilometers by mode"</t>
  </si>
  <si>
    <t>Table 1A: Annual PSO Public Transport Passenger Journeys, 2010, 2018, p.5, Bus and Rail Statistics for Ireland, Statistical Bulletin, 03/2019</t>
  </si>
  <si>
    <t>Table 1A: Annual PSO Public Transport Passenger Journeys, 2010, 2018, p.5, Bus and Rail Statistics for Ireland, Statistical Bulletin, 03/2020</t>
  </si>
  <si>
    <t>Table 1A: Annual PSO Public Transport Passenger Journeys, 2010, 2018, p.5, Bus and Rail Statistics for Ireland, Statistical Bulletin, 03/2021</t>
  </si>
  <si>
    <t>Table 1A: Annual PSO Public Transport Passenger Journeys, 2010, 2018, p.5, Bus and Rail Statistics for Ireland, Statistical Bulletin, 03/2022</t>
  </si>
  <si>
    <t>Table 1A: Annual PSO Public Transport Passenger Journeys, 2010, 2018, p.5, Bus and Rail Statistics for Ireland, Statistical Bulletin, 03/2023</t>
  </si>
  <si>
    <t>Table 1A: Annual PSO Public Transport Passenger Journeys, 2010, 2018, p.5, Bus and Rail Statistics for Ireland, Statistical Bulletin, 03/2024</t>
  </si>
  <si>
    <t>Table 1A: Annual PSO Public Transport Passenger Journeys, 2010, 2018, p.5, Bus and Rail Statistics for Ireland, Statistical Bulletin, 03/2025</t>
  </si>
  <si>
    <t>Table 1A: Annual PSO Public Transport Passenger Journeys, 2010, 2018, p.5, Bus and Rail Statistics for Ireland, Statistical Bulletin, 03/2026</t>
  </si>
  <si>
    <t>Table 1A: Annual PSO Public Transport Passenger Journeys, 2010, 2018, p.5, Bus and Rail Statistics for Ireland, Statistical Bulletin, 03/2027</t>
  </si>
  <si>
    <t>Table 1A: Annual PSO Public Transport Passenger Journeys, 2010, 2018, p.5, Bus and Rail Statistics for Ireland, Statistical Bulletin, 03/2028</t>
  </si>
  <si>
    <t>Passenger Serviced*Vehicle KM factor</t>
  </si>
  <si>
    <t>https://www.seai.ie/publications/Energy-Emissions-Report-2020.pdf</t>
  </si>
  <si>
    <t>Table 19. CO2 Emission Sources Contributing to Electricity CO2 Intensity</t>
  </si>
  <si>
    <t>Carbon Intensity by fuel type (gCO2/kWh)</t>
  </si>
  <si>
    <t>Emission Factors, Conversion Factors, SEAI</t>
  </si>
  <si>
    <t>Electricity consumption per year Public Transport (kWh)</t>
  </si>
  <si>
    <t>Natural Gas consumption per year Public Transport (kWh)</t>
  </si>
  <si>
    <t>Energy Intensity by Fuel Type - Dublin Bus (kWh/km)</t>
  </si>
  <si>
    <t>Energy Intensity by Fuel Type - Bus Éireann(kWh/km)</t>
  </si>
  <si>
    <t>Energy Intensity by Fuel Type - Irish Rail (KWh/km)</t>
  </si>
  <si>
    <t>Energy Intensity by Fuel Type - Luas (kWh/km)</t>
  </si>
  <si>
    <t>Carbon Intensity by Dublin Bus (gCO2/km)</t>
  </si>
  <si>
    <t>Carbon Intensity of Bus Éireann (gCO2/km)</t>
  </si>
  <si>
    <t>Carbon Intensity of Irish Rail (gCO2/km)</t>
  </si>
  <si>
    <t>Carbon Intensity of the Luas (gCO2/km)</t>
  </si>
  <si>
    <t>LMDI Decomposition (pkm/vkm*vkm/kwh*kwh/gCO2*gCO2) review of efficiency improvements in public transport over 2009 - 2019</t>
  </si>
  <si>
    <t>Diesel consumption per year Public Transport (kWh)</t>
  </si>
  <si>
    <t>vkm/pkm</t>
  </si>
  <si>
    <t>gco2/pkm</t>
  </si>
  <si>
    <t>kWh</t>
  </si>
  <si>
    <t>Energy Intensity</t>
  </si>
  <si>
    <t>Percentage of journeys by trip purpose</t>
  </si>
  <si>
    <t>2020</t>
  </si>
  <si>
    <t>Private Vehicle</t>
  </si>
  <si>
    <t>Hybrid</t>
  </si>
  <si>
    <t>Plugin</t>
  </si>
  <si>
    <t>Electric</t>
  </si>
  <si>
    <t>Total Emissons</t>
  </si>
  <si>
    <t>gCO2</t>
  </si>
  <si>
    <t>MTCO2</t>
  </si>
  <si>
    <t>Total Emissions</t>
  </si>
  <si>
    <t>Energy Consumption</t>
  </si>
  <si>
    <t>Carbon Intensity of private vehicles by fuel type (gCO2/km)</t>
  </si>
  <si>
    <t>&lt; 1300cc</t>
  </si>
  <si>
    <t>1300cc - 1700cc</t>
  </si>
  <si>
    <t>&gt; 1700cc</t>
  </si>
  <si>
    <t>All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</si>
  <si>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137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</si>
  <si>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138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</si>
  <si>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139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</si>
  <si>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140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</si>
  <si>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141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</si>
  <si>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142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</si>
  <si>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143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</si>
  <si>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144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</si>
  <si>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145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</si>
  <si>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146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</si>
  <si>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147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</si>
  <si>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148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</si>
  <si>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149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</si>
  <si>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150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</si>
  <si>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151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</si>
  <si>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152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</si>
  <si>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153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</si>
  <si>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154</t>
  </si>
  <si>
    <t>Data - Ex post analysis of the 2008 car tax</t>
  </si>
  <si>
    <t>Energy Consumption (MJ/km) Electric</t>
  </si>
  <si>
    <t>% Diesel</t>
  </si>
  <si>
    <t>% Electric</t>
  </si>
  <si>
    <t>Sum of Total Passenger Kilometres by Mode</t>
  </si>
  <si>
    <t>Sum of Total Passenger Kilometres by trip purpose</t>
  </si>
  <si>
    <t>Sum of Passenger Kilometres by trip distance</t>
  </si>
  <si>
    <t>Energy Consumption (MJ/km)  Hybrid</t>
  </si>
  <si>
    <t>MJ to kWh</t>
  </si>
  <si>
    <t>Conversion factor</t>
  </si>
  <si>
    <t>% Petrol</t>
  </si>
  <si>
    <t>Carbon Intensity of Hybrids by fuel type (gCO2/km)</t>
  </si>
  <si>
    <t>Carbon Intensity of Electric vehicles by fuel type (gCO2/km)</t>
  </si>
  <si>
    <t>Carbon Intensity of Plug in Hybrids by fuel type (gCO2/km)</t>
  </si>
  <si>
    <t>Energy Consumption (kWh/km) Electric</t>
  </si>
  <si>
    <t>Energy Consumption (kWh/km) Plug In Hybrid</t>
  </si>
  <si>
    <t>Energy Consumption (kWh/km) Hybrid</t>
  </si>
  <si>
    <t>Energy Consumption (MJ/100km) Hybrid</t>
  </si>
  <si>
    <t>Energy Consumption (MJ/100km) Plug in Hybrid</t>
  </si>
  <si>
    <t>Hybrid MJ/KM</t>
  </si>
  <si>
    <t>Diesel Hybrid (MJ/km)</t>
  </si>
  <si>
    <t>Average Diesel Hybrid (MJ/100km)</t>
  </si>
  <si>
    <t>Average Diesel Plug in Hybrid (MJ/100km)</t>
  </si>
  <si>
    <t>Diesel Plug in Hybrid (MJ/km)</t>
  </si>
  <si>
    <t>Electric (MJ/km)</t>
  </si>
  <si>
    <t>Electric Hybrid (MJ/km)</t>
  </si>
  <si>
    <t>On road factor for diesel</t>
  </si>
  <si>
    <t>Energy intensity of private vehicles by fuel type (kWh/pkm)</t>
  </si>
  <si>
    <t>Carbon Intensity of private vehicles by fuel type (gCO2/pkm)</t>
  </si>
  <si>
    <t>Sum of Total Emissons</t>
  </si>
  <si>
    <t>Sum of Energy Intensity</t>
  </si>
  <si>
    <t>Sum of Emissions Intensity</t>
  </si>
  <si>
    <t>Private Vehicle - Diesel</t>
  </si>
  <si>
    <t>Private Vehicle - Petrol</t>
  </si>
  <si>
    <t>Private Vehicle - Hybrid</t>
  </si>
  <si>
    <t>Private Vehicle - Plugin</t>
  </si>
  <si>
    <t>Private Vehicle - Electric</t>
  </si>
  <si>
    <t>Sum of Vehicle Kilometres</t>
  </si>
  <si>
    <t>Sum of Occupancy</t>
  </si>
  <si>
    <t>Sum of Total Emissions</t>
  </si>
  <si>
    <t>Values</t>
  </si>
  <si>
    <t>Average of Occupancy</t>
  </si>
  <si>
    <t>Average of Passenger Kilometres</t>
  </si>
  <si>
    <t>Average of Vehicle Kilometres</t>
  </si>
  <si>
    <t>Sum of Energy Consumption</t>
  </si>
  <si>
    <t>Mass transit or vehicle</t>
  </si>
  <si>
    <t>Mass transport</t>
  </si>
  <si>
    <t>Single Vehicle transport</t>
  </si>
  <si>
    <t>Single Vehicle Transport</t>
  </si>
  <si>
    <t>Mass Transport</t>
  </si>
  <si>
    <t>Vehicle Kilometres (vkm)</t>
  </si>
  <si>
    <t>Passenger Kilometres (pkm)</t>
  </si>
  <si>
    <t>kWh/100pkm</t>
  </si>
  <si>
    <t>MWh</t>
  </si>
  <si>
    <t>Energy Consumption (MWH)</t>
  </si>
  <si>
    <t>Sum of Energy Consumption (MWH)</t>
  </si>
  <si>
    <t>Interpolation of  Passenger Kilometres</t>
  </si>
  <si>
    <t>Interpolation of  Passenger Kilometres by trip purpose</t>
  </si>
  <si>
    <t>Interpolation of  Passenger Kilometres by trip distance</t>
  </si>
  <si>
    <t>Double check all interpolation calculations are accurate and reflected throughout, interpolation</t>
  </si>
  <si>
    <t>Table 1.</t>
  </si>
  <si>
    <t>Days per year</t>
  </si>
  <si>
    <t>Number of journeys per year (Billions)</t>
  </si>
  <si>
    <t>Population (Millions)</t>
  </si>
  <si>
    <t>Interpolation of  Passenger Kilometres (Billions)</t>
  </si>
  <si>
    <t>Trip purpose distance factor</t>
  </si>
  <si>
    <t>Less than 2 kilometres</t>
  </si>
  <si>
    <t>% Pkm for that year by distance, mode type and trip purpose category</t>
  </si>
  <si>
    <t>Sum of % Pkm for that year by distance, mode type and trip purpose category</t>
  </si>
  <si>
    <t>Average cycling trip distance</t>
  </si>
  <si>
    <t>Number of journeys by trip purpose</t>
  </si>
  <si>
    <t>Reason for journey by percentage %</t>
  </si>
  <si>
    <t>National Travel Survey 2019 Table 3.2</t>
  </si>
  <si>
    <t>National Travel Survey 2019 Table 3.3</t>
  </si>
  <si>
    <t>National Travel Survey 2019 Table 3.4</t>
  </si>
  <si>
    <t>National Travel Survey 2012/2013 Table 1.3</t>
  </si>
  <si>
    <t>National Travel Survey 2012/2013 Table 1.4</t>
  </si>
  <si>
    <t>National Travel Survey 2009</t>
  </si>
  <si>
    <t>Average distance by cycling</t>
  </si>
  <si>
    <t>Average distance of journeys by trip purpose</t>
  </si>
  <si>
    <t>Sum of Average distance based on trip purpose type</t>
  </si>
  <si>
    <t>Sum of Passenger Kilometres by distance category, mode type and trip purpose</t>
  </si>
  <si>
    <t>Intercity Bus</t>
  </si>
  <si>
    <t>Urban Bus</t>
  </si>
  <si>
    <t>Heavy Rail</t>
  </si>
  <si>
    <t>Light Rail</t>
  </si>
  <si>
    <t>Private Cars - Diesel</t>
  </si>
  <si>
    <t>Private Cars - Electric</t>
  </si>
  <si>
    <t>Private Cars - Hybrid</t>
  </si>
  <si>
    <t>Private Cars - Petrol</t>
  </si>
  <si>
    <t>Private Cars- Plugin</t>
  </si>
  <si>
    <t>Dublin Bus (Urban Bus)</t>
  </si>
  <si>
    <t>Bus Éireann (Intercity Bus)</t>
  </si>
  <si>
    <t>Irish Rail (Heavy Rail)</t>
  </si>
  <si>
    <t>Luas (Light Rail)</t>
  </si>
  <si>
    <t>Transport Mode</t>
  </si>
  <si>
    <t>Energy Intensity (kWh/km)</t>
  </si>
  <si>
    <t>Sum of Energy Intensity (kWh/km)</t>
  </si>
  <si>
    <t xml:space="preserve">Dublin Bus (Urban Bus) </t>
  </si>
  <si>
    <t>Possible Future Projection Scenarios</t>
  </si>
  <si>
    <t>Irish Passenger Transport Emissions and Mobility Model V2.7</t>
  </si>
  <si>
    <t>Suggestions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</si>
</sst>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0.000"/>
    <numFmt numFmtId="167" formatCode="yyyy"/>
    <numFmt numFmtId="168" formatCode="_-* #,##0.0_-;\-* #,##0.0_-;_-* &quot;-&quot;??_-;_-@_-"/>
    <numFmt numFmtId="169" formatCode="_-* #,##0.0000_-;\-* #,##0.0000_-;_-* &quot;-&quot;??_-;_-@_-"/>
    <numFmt numFmtId="170" formatCode="_-* #,##0.00000_-;\-* #,##0.00000_-;_-* &quot;-&quot;??_-;_-@_-"/>
    <numFmt numFmtId="171" formatCode="_-* #,##0.000000_-;\-* #,##0.000000_-;_-* &quot;-&quot;??_-;_-@_-"/>
    <numFmt numFmtId="172" formatCode="_-* #,##0.0000000_-;\-* #,##0.0000000_-;_-* &quot;-&quot;??_-;_-@_-"/>
    <numFmt numFmtId="173" formatCode="_-* #,##0.0000000_-;\-* #,##0.0000000_-;_-* &quot;-&quot;???????_-;_-@_-"/>
    <numFmt numFmtId="174" formatCode="#,##0.0"/>
  </numFmts>
  <fonts count="3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Times New Roman"/>
      <family val="1"/>
    </font>
  </fonts>
  <fills count="5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622D8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/>
      <bottom style="double">
        <color indexed="64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</borders>
  <cellStyleXfs count="48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5" fillId="0" borderId="0"/>
    <xf numFmtId="0" fontId="7" fillId="0" borderId="0"/>
    <xf numFmtId="0" fontId="9" fillId="0" borderId="0" applyNumberForma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6" applyNumberFormat="0" applyAlignment="0" applyProtection="0"/>
    <xf numFmtId="0" fontId="17" fillId="7" borderId="7" applyNumberFormat="0" applyAlignment="0" applyProtection="0"/>
    <xf numFmtId="0" fontId="18" fillId="7" borderId="6" applyNumberFormat="0" applyAlignment="0" applyProtection="0"/>
    <xf numFmtId="0" fontId="19" fillId="0" borderId="8" applyNumberFormat="0" applyFill="0" applyAlignment="0" applyProtection="0"/>
    <xf numFmtId="0" fontId="20" fillId="8" borderId="9" applyNumberFormat="0" applyAlignment="0" applyProtection="0"/>
    <xf numFmtId="0" fontId="21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4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4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4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4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4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4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</cellStyleXfs>
  <cellXfs count="213">
    <xf numFmtId="0" fontId="0" fillId="0" borderId="0" xfId="0"/>
    <xf numFmtId="3" fontId="0" fillId="0" borderId="0" xfId="0" applyNumberFormat="1"/>
    <xf numFmtId="0" fontId="4" fillId="0" borderId="0" xfId="3"/>
    <xf numFmtId="43" fontId="0" fillId="0" borderId="0" xfId="1" applyFont="1"/>
    <xf numFmtId="9" fontId="0" fillId="0" borderId="0" xfId="2" applyFont="1"/>
    <xf numFmtId="43" fontId="0" fillId="0" borderId="0" xfId="0" applyNumberForma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166" fontId="0" fillId="0" borderId="0" xfId="0" applyNumberFormat="1"/>
    <xf numFmtId="0" fontId="0" fillId="0" borderId="0" xfId="0" applyFill="1"/>
    <xf numFmtId="0" fontId="2" fillId="0" borderId="0" xfId="0" applyFont="1" applyFill="1" applyBorder="1" applyAlignment="1"/>
    <xf numFmtId="165" fontId="0" fillId="0" borderId="0" xfId="0" applyNumberFormat="1"/>
    <xf numFmtId="49" fontId="0" fillId="0" borderId="0" xfId="0" applyNumberFormat="1"/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wrapText="1"/>
    </xf>
    <xf numFmtId="0" fontId="1" fillId="0" borderId="0" xfId="0" applyFont="1" applyFill="1" applyAlignment="1">
      <alignment horizontal="right"/>
    </xf>
    <xf numFmtId="0" fontId="1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right"/>
    </xf>
    <xf numFmtId="0" fontId="0" fillId="34" borderId="0" xfId="0" applyFill="1"/>
    <xf numFmtId="0" fontId="1" fillId="0" borderId="0" xfId="0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" fillId="0" borderId="0" xfId="0" applyNumberFormat="1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" fillId="0" borderId="0" xfId="0" applyFont="1" applyFill="1" applyBorder="1" applyAlignment="1">
      <alignment horizontal="left" wrapText="1"/>
    </xf>
    <xf numFmtId="164" fontId="1" fillId="0" borderId="0" xfId="0" applyNumberFormat="1" applyFont="1" applyFill="1" applyBorder="1" applyAlignment="1">
      <alignment horizontal="right"/>
    </xf>
    <xf numFmtId="0" fontId="0" fillId="0" borderId="0" xfId="0"/>
    <xf numFmtId="0" fontId="23" fillId="0" borderId="0" xfId="0" applyFont="1"/>
    <xf numFmtId="2" fontId="23" fillId="0" borderId="0" xfId="0" applyNumberFormat="1" applyFont="1"/>
    <xf numFmtId="0" fontId="0" fillId="0" borderId="0" xfId="0" applyAlignment="1"/>
    <xf numFmtId="165" fontId="0" fillId="0" borderId="0" xfId="1" applyNumberFormat="1" applyFont="1"/>
    <xf numFmtId="0" fontId="25" fillId="0" borderId="0" xfId="0" applyFont="1" applyAlignment="1">
      <alignment horizontal="center" wrapText="1"/>
    </xf>
    <xf numFmtId="0" fontId="25" fillId="0" borderId="0" xfId="0" applyFont="1" applyAlignment="1">
      <alignment wrapText="1"/>
    </xf>
    <xf numFmtId="0" fontId="1" fillId="0" borderId="0" xfId="0" applyFont="1" applyFill="1" applyBorder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Border="1" applyAlignment="1">
      <alignment horizontal="left"/>
    </xf>
    <xf numFmtId="0" fontId="25" fillId="0" borderId="0" xfId="0" applyFont="1" applyAlignment="1">
      <alignment horizontal="right" wrapText="1"/>
    </xf>
    <xf numFmtId="164" fontId="25" fillId="0" borderId="0" xfId="0" applyNumberFormat="1" applyFont="1" applyAlignment="1">
      <alignment horizontal="right" wrapText="1"/>
    </xf>
    <xf numFmtId="0" fontId="1" fillId="0" borderId="15" xfId="0" applyFont="1" applyBorder="1" applyAlignment="1">
      <alignment horizontal="left" wrapText="1"/>
    </xf>
    <xf numFmtId="0" fontId="27" fillId="44" borderId="13" xfId="0" applyFont="1" applyFill="1" applyBorder="1" applyAlignment="1">
      <alignment horizontal="left" wrapText="1"/>
    </xf>
    <xf numFmtId="0" fontId="1" fillId="43" borderId="13" xfId="0" applyFont="1" applyFill="1" applyBorder="1" applyAlignment="1">
      <alignment horizontal="left" wrapText="1"/>
    </xf>
    <xf numFmtId="0" fontId="1" fillId="0" borderId="13" xfId="0" applyFont="1" applyBorder="1" applyAlignment="1">
      <alignment horizontal="left" wrapText="1"/>
    </xf>
    <xf numFmtId="0" fontId="1" fillId="0" borderId="16" xfId="0" applyFont="1" applyBorder="1" applyAlignment="1">
      <alignment horizontal="left" wrapText="1"/>
    </xf>
    <xf numFmtId="0" fontId="1" fillId="0" borderId="15" xfId="0" applyFont="1" applyFill="1" applyBorder="1" applyAlignment="1">
      <alignment horizontal="left" wrapText="1"/>
    </xf>
    <xf numFmtId="0" fontId="0" fillId="45" borderId="0" xfId="0" applyFill="1"/>
    <xf numFmtId="0" fontId="28" fillId="45" borderId="0" xfId="0" applyFont="1" applyFill="1" applyAlignment="1">
      <alignment wrapText="1"/>
    </xf>
    <xf numFmtId="165" fontId="25" fillId="0" borderId="0" xfId="1" applyNumberFormat="1" applyFont="1" applyAlignment="1">
      <alignment horizontal="center" wrapText="1"/>
    </xf>
    <xf numFmtId="0" fontId="20" fillId="44" borderId="13" xfId="0" applyFont="1" applyFill="1" applyBorder="1"/>
    <xf numFmtId="0" fontId="20" fillId="44" borderId="14" xfId="0" applyFont="1" applyFill="1" applyBorder="1"/>
    <xf numFmtId="165" fontId="1" fillId="0" borderId="15" xfId="1" applyNumberFormat="1" applyFont="1" applyBorder="1" applyAlignment="1">
      <alignment horizontal="left" wrapText="1"/>
    </xf>
    <xf numFmtId="0" fontId="1" fillId="0" borderId="17" xfId="0" applyFont="1" applyFill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43" fontId="1" fillId="0" borderId="0" xfId="0" applyNumberFormat="1" applyFont="1" applyBorder="1" applyAlignment="1">
      <alignment horizontal="right" wrapText="1"/>
    </xf>
    <xf numFmtId="43" fontId="1" fillId="0" borderId="16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  <xf numFmtId="0" fontId="27" fillId="44" borderId="19" xfId="0" applyFont="1" applyFill="1" applyBorder="1" applyAlignment="1">
      <alignment horizontal="left" wrapText="1"/>
    </xf>
    <xf numFmtId="0" fontId="27" fillId="44" borderId="17" xfId="0" applyFont="1" applyFill="1" applyBorder="1" applyAlignment="1">
      <alignment horizontal="left" wrapText="1"/>
    </xf>
    <xf numFmtId="0" fontId="1" fillId="43" borderId="18" xfId="0" applyFont="1" applyFill="1" applyBorder="1" applyAlignment="1">
      <alignment horizontal="left" wrapText="1"/>
    </xf>
    <xf numFmtId="165" fontId="1" fillId="43" borderId="16" xfId="1" applyNumberFormat="1" applyFont="1" applyFill="1" applyBorder="1" applyAlignment="1">
      <alignment horizontal="left" wrapText="1"/>
    </xf>
    <xf numFmtId="165" fontId="1" fillId="0" borderId="0" xfId="0" applyNumberFormat="1" applyFont="1" applyBorder="1" applyAlignment="1">
      <alignment horizontal="right" wrapText="1"/>
    </xf>
    <xf numFmtId="0" fontId="4" fillId="0" borderId="0" xfId="3" applyBorder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20" fillId="44" borderId="15" xfId="0" applyFont="1" applyFill="1" applyBorder="1"/>
    <xf numFmtId="0" fontId="1" fillId="43" borderId="15" xfId="0" applyFont="1" applyFill="1" applyBorder="1" applyAlignment="1">
      <alignment horizontal="left" wrapText="1"/>
    </xf>
    <xf numFmtId="0" fontId="0" fillId="0" borderId="0" xfId="0" applyAlignment="1">
      <alignment vertical="center"/>
    </xf>
    <xf numFmtId="9" fontId="0" fillId="0" borderId="0" xfId="2" quotePrefix="1" applyFont="1" applyAlignment="1">
      <alignment wrapText="1"/>
    </xf>
    <xf numFmtId="9" fontId="0" fillId="0" borderId="0" xfId="2" applyFon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20" xfId="0" applyFont="1" applyFill="1" applyBorder="1" applyAlignment="1">
      <alignment horizontal="left" wrapText="1"/>
    </xf>
    <xf numFmtId="0" fontId="0" fillId="43" borderId="13" xfId="0" applyFont="1" applyFill="1" applyBorder="1"/>
    <xf numFmtId="0" fontId="0" fillId="43" borderId="14" xfId="0" applyFont="1" applyFill="1" applyBorder="1"/>
    <xf numFmtId="166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167" fontId="0" fillId="0" borderId="0" xfId="0" applyNumberFormat="1" applyAlignment="1">
      <alignment horizontal="right"/>
    </xf>
    <xf numFmtId="167" fontId="1" fillId="0" borderId="1" xfId="0" applyNumberFormat="1" applyFont="1" applyBorder="1" applyAlignment="1">
      <alignment horizontal="left"/>
    </xf>
    <xf numFmtId="167" fontId="1" fillId="0" borderId="2" xfId="0" applyNumberFormat="1" applyFont="1" applyBorder="1" applyAlignment="1">
      <alignment horizontal="left"/>
    </xf>
    <xf numFmtId="0" fontId="0" fillId="0" borderId="15" xfId="0" applyFont="1" applyBorder="1"/>
    <xf numFmtId="0" fontId="0" fillId="0" borderId="13" xfId="0" applyFont="1" applyBorder="1"/>
    <xf numFmtId="0" fontId="0" fillId="0" borderId="14" xfId="0" applyFont="1" applyBorder="1"/>
    <xf numFmtId="0" fontId="0" fillId="43" borderId="15" xfId="0" applyFont="1" applyFill="1" applyBorder="1"/>
    <xf numFmtId="14" fontId="0" fillId="0" borderId="0" xfId="0" applyNumberFormat="1"/>
    <xf numFmtId="167" fontId="24" fillId="46" borderId="21" xfId="0" applyNumberFormat="1" applyFont="1" applyFill="1" applyBorder="1"/>
    <xf numFmtId="0" fontId="0" fillId="47" borderId="12" xfId="0" applyFill="1" applyBorder="1"/>
    <xf numFmtId="0" fontId="0" fillId="0" borderId="0" xfId="0"/>
    <xf numFmtId="0" fontId="1" fillId="0" borderId="0" xfId="0" applyFont="1" applyFill="1" applyAlignment="1">
      <alignment horizontal="left"/>
    </xf>
    <xf numFmtId="0" fontId="29" fillId="7" borderId="7" xfId="16" applyFont="1"/>
    <xf numFmtId="0" fontId="8" fillId="0" borderId="0" xfId="0" applyFont="1"/>
    <xf numFmtId="0" fontId="30" fillId="0" borderId="0" xfId="0" applyFont="1"/>
    <xf numFmtId="0" fontId="6" fillId="0" borderId="0" xfId="0" applyFont="1" applyFill="1" applyBorder="1" applyAlignment="1">
      <alignment wrapText="1"/>
    </xf>
    <xf numFmtId="0" fontId="8" fillId="7" borderId="7" xfId="16" applyFont="1"/>
    <xf numFmtId="0" fontId="0" fillId="0" borderId="0" xfId="0" applyFill="1" applyBorder="1"/>
    <xf numFmtId="0" fontId="12" fillId="43" borderId="5" xfId="10" applyFill="1"/>
    <xf numFmtId="49" fontId="12" fillId="48" borderId="5" xfId="10" applyNumberFormat="1" applyFill="1"/>
    <xf numFmtId="165" fontId="12" fillId="48" borderId="5" xfId="10" applyNumberFormat="1" applyFill="1"/>
    <xf numFmtId="0" fontId="0" fillId="34" borderId="13" xfId="0" applyFont="1" applyFill="1" applyBorder="1"/>
    <xf numFmtId="0" fontId="0" fillId="34" borderId="14" xfId="0" applyFont="1" applyFill="1" applyBorder="1"/>
    <xf numFmtId="165" fontId="0" fillId="0" borderId="0" xfId="0" applyNumberFormat="1" applyFill="1"/>
    <xf numFmtId="0" fontId="20" fillId="44" borderId="13" xfId="0" applyFont="1" applyFill="1" applyBorder="1" applyAlignment="1">
      <alignment horizontal="left"/>
    </xf>
    <xf numFmtId="165" fontId="0" fillId="0" borderId="0" xfId="1" applyNumberFormat="1" applyFont="1" applyBorder="1"/>
    <xf numFmtId="0" fontId="12" fillId="48" borderId="5" xfId="10" applyFill="1" applyAlignment="1"/>
    <xf numFmtId="0" fontId="23" fillId="43" borderId="17" xfId="0" applyFont="1" applyFill="1" applyBorder="1"/>
    <xf numFmtId="0" fontId="20" fillId="44" borderId="15" xfId="0" applyFont="1" applyFill="1" applyBorder="1" applyAlignment="1">
      <alignment horizontal="left"/>
    </xf>
    <xf numFmtId="166" fontId="0" fillId="43" borderId="13" xfId="0" applyNumberFormat="1" applyFont="1" applyFill="1" applyBorder="1"/>
    <xf numFmtId="166" fontId="0" fillId="43" borderId="14" xfId="0" applyNumberFormat="1" applyFont="1" applyFill="1" applyBorder="1"/>
    <xf numFmtId="0" fontId="0" fillId="0" borderId="0" xfId="0" applyAlignment="1">
      <alignment horizontal="left" indent="1"/>
    </xf>
    <xf numFmtId="0" fontId="23" fillId="0" borderId="17" xfId="0" applyFont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23" fillId="0" borderId="0" xfId="0" applyNumberFormat="1" applyFont="1"/>
    <xf numFmtId="0" fontId="0" fillId="0" borderId="0" xfId="0" applyFont="1" applyBorder="1"/>
    <xf numFmtId="0" fontId="0" fillId="0" borderId="0" xfId="0" applyFont="1" applyFill="1" applyBorder="1"/>
    <xf numFmtId="0" fontId="0" fillId="0" borderId="15" xfId="0" applyFont="1" applyBorder="1" applyAlignment="1">
      <alignment horizontal="right"/>
    </xf>
    <xf numFmtId="0" fontId="0" fillId="43" borderId="15" xfId="0" applyFont="1" applyFill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Alignment="1">
      <alignment horizontal="right"/>
    </xf>
    <xf numFmtId="165" fontId="0" fillId="0" borderId="0" xfId="1" applyNumberFormat="1" applyFont="1" applyAlignment="1">
      <alignment wrapText="1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0" fillId="0" borderId="0" xfId="0" applyFont="1"/>
    <xf numFmtId="0" fontId="11" fillId="0" borderId="4" xfId="9"/>
    <xf numFmtId="0" fontId="0" fillId="0" borderId="0" xfId="0" applyFont="1" applyAlignment="1">
      <alignment horizontal="right"/>
    </xf>
    <xf numFmtId="0" fontId="0" fillId="0" borderId="19" xfId="0" applyFont="1" applyBorder="1"/>
    <xf numFmtId="0" fontId="0" fillId="43" borderId="18" xfId="0" applyFont="1" applyFill="1" applyBorder="1"/>
    <xf numFmtId="0" fontId="0" fillId="0" borderId="18" xfId="0" applyFont="1" applyBorder="1"/>
    <xf numFmtId="0" fontId="0" fillId="43" borderId="0" xfId="0" applyFont="1" applyFill="1" applyBorder="1"/>
    <xf numFmtId="0" fontId="23" fillId="43" borderId="13" xfId="0" applyFont="1" applyFill="1" applyBorder="1"/>
    <xf numFmtId="0" fontId="23" fillId="0" borderId="13" xfId="0" applyFont="1" applyBorder="1"/>
    <xf numFmtId="9" fontId="0" fillId="0" borderId="13" xfId="0" applyNumberFormat="1" applyFont="1" applyBorder="1"/>
    <xf numFmtId="0" fontId="0" fillId="47" borderId="12" xfId="0" applyFont="1" applyFill="1" applyBorder="1"/>
    <xf numFmtId="0" fontId="0" fillId="47" borderId="25" xfId="0" applyFill="1" applyBorder="1"/>
    <xf numFmtId="165" fontId="0" fillId="0" borderId="0" xfId="0" applyNumberFormat="1" applyFont="1"/>
    <xf numFmtId="0" fontId="20" fillId="44" borderId="19" xfId="0" applyFont="1" applyFill="1" applyBorder="1"/>
    <xf numFmtId="0" fontId="20" fillId="44" borderId="17" xfId="0" applyFont="1" applyFill="1" applyBorder="1"/>
    <xf numFmtId="0" fontId="20" fillId="44" borderId="26" xfId="0" applyFont="1" applyFill="1" applyBorder="1"/>
    <xf numFmtId="0" fontId="0" fillId="43" borderId="27" xfId="0" applyFont="1" applyFill="1" applyBorder="1"/>
    <xf numFmtId="0" fontId="0" fillId="0" borderId="27" xfId="0" applyFont="1" applyBorder="1"/>
    <xf numFmtId="0" fontId="0" fillId="0" borderId="17" xfId="0" applyFont="1" applyFill="1" applyBorder="1"/>
    <xf numFmtId="0" fontId="0" fillId="43" borderId="0" xfId="0" applyFont="1" applyFill="1"/>
    <xf numFmtId="0" fontId="0" fillId="0" borderId="0" xfId="0" applyBorder="1"/>
    <xf numFmtId="1" fontId="0" fillId="0" borderId="0" xfId="0" applyNumberFormat="1"/>
    <xf numFmtId="0" fontId="0" fillId="47" borderId="28" xfId="0" applyFont="1" applyFill="1" applyBorder="1"/>
    <xf numFmtId="165" fontId="0" fillId="0" borderId="0" xfId="0" applyNumberFormat="1" applyBorder="1"/>
    <xf numFmtId="0" fontId="0" fillId="47" borderId="28" xfId="0" applyNumberFormat="1" applyFont="1" applyFill="1" applyBorder="1"/>
    <xf numFmtId="43" fontId="25" fillId="0" borderId="0" xfId="1" applyNumberFormat="1" applyFont="1" applyAlignment="1">
      <alignment horizontal="center" wrapText="1"/>
    </xf>
    <xf numFmtId="2" fontId="6" fillId="0" borderId="0" xfId="0" applyNumberFormat="1" applyFont="1" applyFill="1" applyBorder="1" applyAlignment="1">
      <alignment horizontal="left" wrapText="1"/>
    </xf>
    <xf numFmtId="2" fontId="6" fillId="0" borderId="0" xfId="0" applyNumberFormat="1" applyFont="1" applyFill="1" applyBorder="1" applyAlignment="1">
      <alignment horizontal="center" wrapText="1"/>
    </xf>
    <xf numFmtId="2" fontId="1" fillId="0" borderId="0" xfId="0" applyNumberFormat="1" applyFont="1" applyFill="1" applyBorder="1" applyAlignment="1"/>
    <xf numFmtId="2" fontId="1" fillId="0" borderId="0" xfId="0" applyNumberFormat="1" applyFont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168" fontId="0" fillId="43" borderId="13" xfId="0" applyNumberFormat="1" applyFont="1" applyFill="1" applyBorder="1"/>
    <xf numFmtId="168" fontId="0" fillId="0" borderId="0" xfId="1" applyNumberFormat="1" applyFont="1" applyBorder="1"/>
    <xf numFmtId="0" fontId="23" fillId="43" borderId="16" xfId="0" applyFont="1" applyFill="1" applyBorder="1"/>
    <xf numFmtId="168" fontId="0" fillId="43" borderId="18" xfId="0" applyNumberFormat="1" applyFont="1" applyFill="1" applyBorder="1"/>
    <xf numFmtId="1" fontId="0" fillId="43" borderId="13" xfId="0" applyNumberFormat="1" applyFont="1" applyFill="1" applyBorder="1"/>
    <xf numFmtId="0" fontId="0" fillId="0" borderId="13" xfId="0" applyFont="1" applyBorder="1" applyAlignment="1">
      <alignment horizontal="right"/>
    </xf>
    <xf numFmtId="167" fontId="20" fillId="46" borderId="29" xfId="0" applyNumberFormat="1" applyFont="1" applyFill="1" applyBorder="1"/>
    <xf numFmtId="14" fontId="20" fillId="44" borderId="17" xfId="0" applyNumberFormat="1" applyFont="1" applyFill="1" applyBorder="1"/>
    <xf numFmtId="14" fontId="20" fillId="44" borderId="26" xfId="0" applyNumberFormat="1" applyFont="1" applyFill="1" applyBorder="1"/>
    <xf numFmtId="165" fontId="12" fillId="48" borderId="0" xfId="10" applyNumberFormat="1" applyFill="1" applyBorder="1"/>
    <xf numFmtId="167" fontId="0" fillId="49" borderId="0" xfId="0" applyNumberFormat="1" applyFill="1" applyAlignment="1">
      <alignment horizontal="right"/>
    </xf>
    <xf numFmtId="0" fontId="0" fillId="49" borderId="0" xfId="0" applyFill="1"/>
    <xf numFmtId="165" fontId="0" fillId="49" borderId="0" xfId="0" applyNumberFormat="1" applyFill="1"/>
    <xf numFmtId="165" fontId="0" fillId="49" borderId="0" xfId="1" applyNumberFormat="1" applyFont="1" applyFill="1"/>
    <xf numFmtId="0" fontId="20" fillId="44" borderId="17" xfId="0" applyFont="1" applyFill="1" applyBorder="1" applyAlignment="1">
      <alignment horizontal="left" wrapText="1"/>
    </xf>
    <xf numFmtId="0" fontId="29" fillId="7" borderId="30" xfId="16" applyFont="1" applyBorder="1"/>
    <xf numFmtId="174" fontId="1" fillId="0" borderId="0" xfId="0" applyNumberFormat="1" applyFont="1" applyAlignment="1">
      <alignment horizontal="right"/>
    </xf>
    <xf numFmtId="0" fontId="0" fillId="0" borderId="0" xfId="0"/>
    <xf numFmtId="0" fontId="1" fillId="0" borderId="0" xfId="0" applyFont="1"/>
    <xf numFmtId="174" fontId="1" fillId="0" borderId="0" xfId="0" applyNumberFormat="1" applyFont="1"/>
    <xf numFmtId="164" fontId="1" fillId="0" borderId="0" xfId="0" applyNumberFormat="1" applyFont="1"/>
    <xf numFmtId="168" fontId="0" fillId="0" borderId="0" xfId="0" applyNumberFormat="1"/>
    <xf numFmtId="0" fontId="0" fillId="0" borderId="0" xfId="0" applyAlignment="1">
      <alignment horizontal="left" indent="2"/>
    </xf>
    <xf numFmtId="10" fontId="0" fillId="0" borderId="0" xfId="2" applyNumberFormat="1" applyFont="1"/>
    <xf numFmtId="10" fontId="0" fillId="0" borderId="0" xfId="0" applyNumberFormat="1"/>
    <xf numFmtId="0" fontId="23" fillId="43" borderId="15" xfId="0" applyFont="1" applyFill="1" applyBorder="1"/>
    <xf numFmtId="165" fontId="23" fillId="43" borderId="13" xfId="0" applyNumberFormat="1" applyFont="1" applyFill="1" applyBorder="1"/>
    <xf numFmtId="168" fontId="0" fillId="0" borderId="0" xfId="0" applyNumberFormat="1" applyBorder="1"/>
    <xf numFmtId="0" fontId="3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8" fillId="3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41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12" fillId="48" borderId="5" xfId="10" applyFill="1" applyAlignment="1">
      <alignment horizontal="center"/>
    </xf>
    <xf numFmtId="0" fontId="12" fillId="48" borderId="0" xfId="10" applyFill="1" applyBorder="1" applyAlignment="1">
      <alignment horizontal="center"/>
    </xf>
    <xf numFmtId="0" fontId="11" fillId="0" borderId="0" xfId="9" applyBorder="1" applyAlignment="1">
      <alignment horizontal="center"/>
    </xf>
    <xf numFmtId="0" fontId="29" fillId="7" borderId="7" xfId="16" applyFont="1" applyAlignment="1">
      <alignment horizontal="center"/>
    </xf>
    <xf numFmtId="0" fontId="29" fillId="7" borderId="7" xfId="16" applyFont="1" applyAlignment="1">
      <alignment horizontal="center" wrapText="1"/>
    </xf>
    <xf numFmtId="0" fontId="29" fillId="7" borderId="22" xfId="16" applyFont="1" applyBorder="1" applyAlignment="1">
      <alignment horizontal="left" wrapText="1"/>
    </xf>
    <xf numFmtId="0" fontId="29" fillId="7" borderId="23" xfId="16" applyFont="1" applyBorder="1" applyAlignment="1">
      <alignment horizontal="left" wrapText="1"/>
    </xf>
    <xf numFmtId="0" fontId="29" fillId="7" borderId="24" xfId="16" applyFont="1" applyBorder="1" applyAlignment="1">
      <alignment horizontal="left" wrapText="1"/>
    </xf>
    <xf numFmtId="15" fontId="0" fillId="0" borderId="0" xfId="0" applyNumberFormat="1" applyAlignment="1">
      <alignment horizontal="center"/>
    </xf>
    <xf numFmtId="0" fontId="0" fillId="0" borderId="31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0" fontId="20" fillId="44" borderId="34" xfId="0" applyFont="1" applyFill="1" applyBorder="1" applyAlignment="1">
      <alignment horizontal="center"/>
    </xf>
    <xf numFmtId="0" fontId="20" fillId="44" borderId="35" xfId="0" applyFont="1" applyFill="1" applyBorder="1" applyAlignment="1">
      <alignment horizontal="center"/>
    </xf>
  </cellXfs>
  <cellStyles count="4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3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5" xr:uid="{A2265BCB-6EAA-4761-B2F3-9ECBB6E1FA5E}"/>
    <cellStyle name="Normal 3" xfId="4" xr:uid="{8BDA1121-A84D-4F8B-981C-46320DC07060}"/>
    <cellStyle name="Normal 4" xfId="6" xr:uid="{54CB396A-8796-44D1-A7F2-3CF26AF36D17}"/>
    <cellStyle name="Note" xfId="21" builtinId="10" customBuiltin="1"/>
    <cellStyle name="Output" xfId="16" builtinId="21" customBuiltin="1"/>
    <cellStyle name="Percent" xfId="2" builtinId="5"/>
    <cellStyle name="Title" xfId="7" builtinId="15" customBuiltin="1"/>
    <cellStyle name="Total" xfId="23" builtinId="25" customBuiltin="1"/>
    <cellStyle name="Warning Text" xfId="20" builtinId="11" customBuiltin="1"/>
  </cellStyles>
  <dxfs count="75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164" formatCode="0.0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164" formatCode="0.0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numFmt numFmtId="164" formatCode="0.0"/>
    </dxf>
    <dxf>
      <numFmt numFmtId="164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71" formatCode="_-* #,##0.000000_-;\-* #,##0.000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72" formatCode="_-* #,##0.0000000_-;\-* #,##0.0000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6" formatCode="0.000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9" formatCode="dd/mm/yyyy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9" formatCode="dd/mm/yyyy"/>
    </dxf>
  </dxfs>
  <tableStyles count="0" defaultTableStyle="TableStyleMedium2" defaultPivotStyle="PivotStyleLight16"/>
  <colors>
    <mruColors>
      <color rgb="FFFFFF99"/>
      <color rgb="FFFFFFCC"/>
      <color rgb="FF336600"/>
      <color rgb="FFCC0066"/>
      <color rgb="FFFFCCCC"/>
      <color rgb="FFFF99CC"/>
      <color rgb="FFFFFF66"/>
      <color rgb="FFFF0F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8-498C-8F9E-D582856981ED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8-498C-8F9E-D582856981ED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8-498C-8F9E-D582856981ED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E8-498C-8F9E-D582856981ED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E8-498C-8F9E-D582856981ED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E8-498C-8F9E-D582856981ED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8-498C-8F9E-D582856981ED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8-498C-8F9E-D582856981ED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E8-498C-8F9E-D582856981ED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E8-498C-8F9E-D582856981ED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E8-498C-8F9E-D582856981ED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E8-498C-8F9E-D582856981ED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E8-498C-8F9E-D582856981ED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E8-498C-8F9E-D582856981ED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E8-498C-8F9E-D582856981ED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E8-498C-8F9E-D582856981ED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3E8-498C-8F9E-D582856981ED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3E8-498C-8F9E-D582856981ED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E8-498C-8F9E-D582856981ED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3E8-498C-8F9E-D582856981ED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3E8-498C-8F9E-D582856981ED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3E8-498C-8F9E-D582856981ED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3E8-498C-8F9E-D582856981ED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3E8-498C-8F9E-D582856981ED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E8-498C-8F9E-D582856981ED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E8-498C-8F9E-D582856981ED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3E8-498C-8F9E-D582856981ED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3E8-498C-8F9E-D582856981ED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3E8-498C-8F9E-D582856981ED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3E8-498C-8F9E-D582856981ED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3E8-498C-8F9E-D582856981ED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3E8-498C-8F9E-D582856981ED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3E8-498C-8F9E-D582856981ED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E8-498C-8F9E-D582856981ED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3E8-498C-8F9E-D582856981ED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3E8-498C-8F9E-D582856981ED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3E8-498C-8F9E-D582856981ED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3E8-498C-8F9E-D582856981ED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3E8-498C-8F9E-D582856981ED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3E8-498C-8F9E-D582856981ED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3E8-498C-8F9E-D582856981ED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3E8-498C-8F9E-D582856981ED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3E8-498C-8F9E-D582856981ED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3E8-498C-8F9E-D582856981ED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3E8-498C-8F9E-D582856981ED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3E8-498C-8F9E-D582856981ED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3E8-498C-8F9E-D582856981ED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3E8-498C-8F9E-D582856981ED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3E8-498C-8F9E-D582856981ED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3E8-498C-8F9E-D582856981ED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3E8-498C-8F9E-D582856981ED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3E8-498C-8F9E-D582856981ED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3E8-498C-8F9E-D582856981ED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3E8-498C-8F9E-D582856981ED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3E8-498C-8F9E-D582856981ED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3E8-498C-8F9E-D582856981ED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3E8-498C-8F9E-D582856981ED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3E8-498C-8F9E-D582856981ED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3E8-498C-8F9E-D582856981ED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3E8-498C-8F9E-D582856981ED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3E8-498C-8F9E-D582856981ED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3E8-498C-8F9E-D582856981ED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3E8-498C-8F9E-D582856981ED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3E8-498C-8F9E-D582856981ED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3E8-498C-8F9E-D582856981ED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3E8-498C-8F9E-D582856981ED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3E8-498C-8F9E-D582856981ED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3E8-498C-8F9E-D582856981ED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3E8-498C-8F9E-D582856981ED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3E8-498C-8F9E-D582856981ED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3E8-498C-8F9E-D582856981ED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3E8-498C-8F9E-D58285698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8-4BE7-A680-A4C072EFAF88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8-4BE7-A680-A4C072EFAF88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8-4BE7-A680-A4C072EFAF88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8-4BE7-A680-A4C072EFAF88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8-4BE7-A680-A4C072EFAF88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B8-4BE7-A680-A4C072EFAF88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B8-4BE7-A680-A4C072EFAF88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B8-4BE7-A680-A4C072EFAF88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B8-4BE7-A680-A4C072EFAF88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B8-4BE7-A680-A4C072EFAF88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B8-4BE7-A680-A4C072EFAF88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B8-4BE7-A680-A4C072EFAF88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B8-4BE7-A680-A4C072EFAF88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B8-4BE7-A680-A4C072EFAF88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B8-4BE7-A680-A4C072EFAF88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B8-4BE7-A680-A4C072EFAF88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B8-4BE7-A680-A4C072EFAF88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FB8-4BE7-A680-A4C072EFAF88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B8-4BE7-A680-A4C072EFAF88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B8-4BE7-A680-A4C072EFAF88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B8-4BE7-A680-A4C072EFAF88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B8-4BE7-A680-A4C072EFAF88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B8-4BE7-A680-A4C072EFAF88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B8-4BE7-A680-A4C072EFAF88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B8-4BE7-A680-A4C072EFAF88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B8-4BE7-A680-A4C072EFAF88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B8-4BE7-A680-A4C072EFAF88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B8-4BE7-A680-A4C072EFAF88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FB8-4BE7-A680-A4C072EFAF88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FB8-4BE7-A680-A4C072EFAF88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FB8-4BE7-A680-A4C072EFAF88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FB8-4BE7-A680-A4C072EFAF88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FB8-4BE7-A680-A4C072EFAF88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FB8-4BE7-A680-A4C072EFAF88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FB8-4BE7-A680-A4C072EFAF88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B8-4BE7-A680-A4C072EFAF88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B8-4BE7-A680-A4C072EFAF88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FB8-4BE7-A680-A4C072EFAF88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FB8-4BE7-A680-A4C072EFAF88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FB8-4BE7-A680-A4C072EFAF88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FB8-4BE7-A680-A4C072EFAF88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FB8-4BE7-A680-A4C072EFAF88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FB8-4BE7-A680-A4C072EFAF88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FB8-4BE7-A680-A4C072EFAF88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FB8-4BE7-A680-A4C072EFAF88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FB8-4BE7-A680-A4C072EFAF88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FB8-4BE7-A680-A4C072EFAF88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FB8-4BE7-A680-A4C072EFAF88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FB8-4BE7-A680-A4C072EFAF88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FB8-4BE7-A680-A4C072EFAF88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FB8-4BE7-A680-A4C072EFAF88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FB8-4BE7-A680-A4C072EFAF88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FB8-4BE7-A680-A4C072EFAF88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FB8-4BE7-A680-A4C072EFAF88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FB8-4BE7-A680-A4C072EFAF88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FB8-4BE7-A680-A4C072EFAF88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FB8-4BE7-A680-A4C072EFAF88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FB8-4BE7-A680-A4C072EFAF88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FB8-4BE7-A680-A4C072EFAF88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FB8-4BE7-A680-A4C072EFAF88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FB8-4BE7-A680-A4C072EFAF88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FB8-4BE7-A680-A4C072EFAF88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FB8-4BE7-A680-A4C072EFAF88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FB8-4BE7-A680-A4C072EFAF88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FB8-4BE7-A680-A4C072EFAF88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FB8-4BE7-A680-A4C072EFAF88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FB8-4BE7-A680-A4C072EFAF88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FB8-4BE7-A680-A4C072EFAF88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FB8-4BE7-A680-A4C072EFAF88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FB8-4BE7-A680-A4C072EFAF88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FB8-4BE7-A680-A4C072EFAF88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FB8-4BE7-A680-A4C072EF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6-45AF-AE95-3D69F543A16B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6-45AF-AE95-3D69F543A16B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6-45AF-AE95-3D69F543A16B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6-45AF-AE95-3D69F543A16B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46-45AF-AE95-3D69F543A16B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46-45AF-AE95-3D69F543A16B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46-45AF-AE95-3D69F543A16B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46-45AF-AE95-3D69F543A16B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46-45AF-AE95-3D69F543A16B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46-45AF-AE95-3D69F543A16B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46-45AF-AE95-3D69F543A16B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46-45AF-AE95-3D69F543A16B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46-45AF-AE95-3D69F543A16B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46-45AF-AE95-3D69F543A16B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46-45AF-AE95-3D69F543A16B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46-45AF-AE95-3D69F543A16B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46-45AF-AE95-3D69F543A16B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46-45AF-AE95-3D69F543A16B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46-45AF-AE95-3D69F543A16B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46-45AF-AE95-3D69F543A16B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46-45AF-AE95-3D69F543A16B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46-45AF-AE95-3D69F543A16B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46-45AF-AE95-3D69F543A16B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46-45AF-AE95-3D69F543A16B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646-45AF-AE95-3D69F543A16B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646-45AF-AE95-3D69F543A16B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46-45AF-AE95-3D69F543A16B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646-45AF-AE95-3D69F543A16B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646-45AF-AE95-3D69F543A16B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646-45AF-AE95-3D69F543A16B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646-45AF-AE95-3D69F543A16B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646-45AF-AE95-3D69F543A16B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646-45AF-AE95-3D69F543A16B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646-45AF-AE95-3D69F543A16B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646-45AF-AE95-3D69F543A16B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646-45AF-AE95-3D69F543A16B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646-45AF-AE95-3D69F543A16B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646-45AF-AE95-3D69F543A16B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646-45AF-AE95-3D69F543A16B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646-45AF-AE95-3D69F543A16B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646-45AF-AE95-3D69F543A16B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646-45AF-AE95-3D69F543A16B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646-45AF-AE95-3D69F543A16B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646-45AF-AE95-3D69F543A16B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646-45AF-AE95-3D69F543A16B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646-45AF-AE95-3D69F543A16B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646-45AF-AE95-3D69F543A16B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646-45AF-AE95-3D69F543A16B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646-45AF-AE95-3D69F543A16B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646-45AF-AE95-3D69F543A16B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646-45AF-AE95-3D69F543A16B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646-45AF-AE95-3D69F543A16B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646-45AF-AE95-3D69F543A16B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646-45AF-AE95-3D69F543A16B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646-45AF-AE95-3D69F543A16B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646-45AF-AE95-3D69F543A16B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646-45AF-AE95-3D69F543A16B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646-45AF-AE95-3D69F543A16B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646-45AF-AE95-3D69F543A16B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646-45AF-AE95-3D69F543A16B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646-45AF-AE95-3D69F543A16B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646-45AF-AE95-3D69F543A16B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646-45AF-AE95-3D69F543A16B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46-45AF-AE95-3D69F543A16B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46-45AF-AE95-3D69F543A16B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46-45AF-AE95-3D69F543A16B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46-45AF-AE95-3D69F543A16B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46-45AF-AE95-3D69F543A16B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46-45AF-AE95-3D69F543A16B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46-45AF-AE95-3D69F543A16B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46-45AF-AE95-3D69F543A16B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46-45AF-AE95-3D69F543A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E-41FC-A541-90F39AA834AA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E-41FC-A541-90F39AA834AA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E-41FC-A541-90F39AA834AA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E-41FC-A541-90F39AA834AA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DE-41FC-A541-90F39AA834AA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DE-41FC-A541-90F39AA834AA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DE-41FC-A541-90F39AA834AA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DE-41FC-A541-90F39AA834AA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DE-41FC-A541-90F39AA834AA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DE-41FC-A541-90F39AA834AA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DE-41FC-A541-90F39AA834AA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DE-41FC-A541-90F39AA834AA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DE-41FC-A541-90F39AA834AA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DE-41FC-A541-90F39AA834AA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DE-41FC-A541-90F39AA834AA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DE-41FC-A541-90F39AA834AA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EDE-41FC-A541-90F39AA834AA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EDE-41FC-A541-90F39AA834AA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EDE-41FC-A541-90F39AA834AA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EDE-41FC-A541-90F39AA834AA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EDE-41FC-A541-90F39AA834AA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EDE-41FC-A541-90F39AA834AA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EDE-41FC-A541-90F39AA834AA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EDE-41FC-A541-90F39AA834AA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EDE-41FC-A541-90F39AA834AA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EDE-41FC-A541-90F39AA834AA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EDE-41FC-A541-90F39AA834AA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EDE-41FC-A541-90F39AA834AA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EDE-41FC-A541-90F39AA834AA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EDE-41FC-A541-90F39AA834AA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EDE-41FC-A541-90F39AA834AA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EDE-41FC-A541-90F39AA834AA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EDE-41FC-A541-90F39AA834AA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EDE-41FC-A541-90F39AA834AA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EDE-41FC-A541-90F39AA834AA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EDE-41FC-A541-90F39AA834AA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EDE-41FC-A541-90F39AA834AA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EDE-41FC-A541-90F39AA834AA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EDE-41FC-A541-90F39AA834AA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EDE-41FC-A541-90F39AA834AA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EDE-41FC-A541-90F39AA834AA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EDE-41FC-A541-90F39AA834AA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EDE-41FC-A541-90F39AA834AA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EDE-41FC-A541-90F39AA834AA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EDE-41FC-A541-90F39AA834AA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EDE-41FC-A541-90F39AA834AA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EDE-41FC-A541-90F39AA834AA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EDE-41FC-A541-90F39AA834AA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EDE-41FC-A541-90F39AA834AA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EDE-41FC-A541-90F39AA834AA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EDE-41FC-A541-90F39AA834AA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EDE-41FC-A541-90F39AA834AA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EDE-41FC-A541-90F39AA834AA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EDE-41FC-A541-90F39AA834AA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EDE-41FC-A541-90F39AA834AA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EDE-41FC-A541-90F39AA834AA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EDE-41FC-A541-90F39AA834AA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EDE-41FC-A541-90F39AA834AA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EDE-41FC-A541-90F39AA834AA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EDE-41FC-A541-90F39AA834AA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EDE-41FC-A541-90F39AA834AA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EDE-41FC-A541-90F39AA834AA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EDE-41FC-A541-90F39AA834AA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EDE-41FC-A541-90F39AA834AA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EDE-41FC-A541-90F39AA834AA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EDE-41FC-A541-90F39AA834AA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EDE-41FC-A541-90F39AA834AA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EDE-41FC-A541-90F39AA834AA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EDE-41FC-A541-90F39AA834AA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EDE-41FC-A541-90F39AA834AA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EDE-41FC-A541-90F39AA834AA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EDE-41FC-A541-90F39AA83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B-4148-8F3B-0E8730059B8D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B-4148-8F3B-0E8730059B8D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B-4148-8F3B-0E8730059B8D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B-4148-8F3B-0E8730059B8D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8B-4148-8F3B-0E8730059B8D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8B-4148-8F3B-0E8730059B8D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8B-4148-8F3B-0E8730059B8D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8B-4148-8F3B-0E8730059B8D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8B-4148-8F3B-0E8730059B8D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8B-4148-8F3B-0E8730059B8D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8B-4148-8F3B-0E8730059B8D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8B-4148-8F3B-0E8730059B8D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8B-4148-8F3B-0E8730059B8D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8B-4148-8F3B-0E8730059B8D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8B-4148-8F3B-0E8730059B8D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8B-4148-8F3B-0E8730059B8D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8B-4148-8F3B-0E8730059B8D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8B-4148-8F3B-0E8730059B8D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8B-4148-8F3B-0E8730059B8D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8B-4148-8F3B-0E8730059B8D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8B-4148-8F3B-0E8730059B8D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8B-4148-8F3B-0E8730059B8D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8B-4148-8F3B-0E8730059B8D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8B-4148-8F3B-0E8730059B8D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8B-4148-8F3B-0E8730059B8D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8B-4148-8F3B-0E8730059B8D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8B-4148-8F3B-0E8730059B8D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8B-4148-8F3B-0E8730059B8D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8B-4148-8F3B-0E8730059B8D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8B-4148-8F3B-0E8730059B8D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8B-4148-8F3B-0E8730059B8D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8B-4148-8F3B-0E8730059B8D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8B-4148-8F3B-0E8730059B8D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8B-4148-8F3B-0E8730059B8D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8B-4148-8F3B-0E8730059B8D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8B-4148-8F3B-0E8730059B8D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8B-4148-8F3B-0E8730059B8D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8B-4148-8F3B-0E8730059B8D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8B-4148-8F3B-0E8730059B8D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8B-4148-8F3B-0E8730059B8D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8B-4148-8F3B-0E8730059B8D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8B-4148-8F3B-0E8730059B8D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8B-4148-8F3B-0E8730059B8D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8B-4148-8F3B-0E8730059B8D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8B-4148-8F3B-0E8730059B8D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8B-4148-8F3B-0E8730059B8D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8B-4148-8F3B-0E8730059B8D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8B-4148-8F3B-0E8730059B8D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E8B-4148-8F3B-0E8730059B8D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E8B-4148-8F3B-0E8730059B8D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E8B-4148-8F3B-0E8730059B8D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E8B-4148-8F3B-0E8730059B8D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E8B-4148-8F3B-0E8730059B8D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E8B-4148-8F3B-0E8730059B8D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E8B-4148-8F3B-0E8730059B8D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E8B-4148-8F3B-0E8730059B8D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E8B-4148-8F3B-0E8730059B8D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E8B-4148-8F3B-0E8730059B8D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E8B-4148-8F3B-0E8730059B8D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E8B-4148-8F3B-0E8730059B8D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E8B-4148-8F3B-0E8730059B8D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E8B-4148-8F3B-0E8730059B8D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E8B-4148-8F3B-0E8730059B8D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E8B-4148-8F3B-0E8730059B8D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E8B-4148-8F3B-0E8730059B8D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E8B-4148-8F3B-0E8730059B8D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E8B-4148-8F3B-0E8730059B8D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E8B-4148-8F3B-0E8730059B8D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E8B-4148-8F3B-0E8730059B8D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E8B-4148-8F3B-0E8730059B8D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E8B-4148-8F3B-0E8730059B8D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E8B-4148-8F3B-0E8730059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1-46E6-A3DC-7C186F480AB2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1-46E6-A3DC-7C186F480AB2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1-46E6-A3DC-7C186F480AB2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F1-46E6-A3DC-7C186F480AB2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F1-46E6-A3DC-7C186F480AB2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F1-46E6-A3DC-7C186F480AB2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F1-46E6-A3DC-7C186F480AB2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F1-46E6-A3DC-7C186F480AB2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F1-46E6-A3DC-7C186F480AB2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F1-46E6-A3DC-7C186F480AB2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F1-46E6-A3DC-7C186F480AB2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F1-46E6-A3DC-7C186F480AB2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BF1-46E6-A3DC-7C186F480AB2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F1-46E6-A3DC-7C186F480AB2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BF1-46E6-A3DC-7C186F480AB2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F1-46E6-A3DC-7C186F480AB2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F1-46E6-A3DC-7C186F480AB2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F1-46E6-A3DC-7C186F480AB2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F1-46E6-A3DC-7C186F480AB2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BF1-46E6-A3DC-7C186F480AB2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BF1-46E6-A3DC-7C186F480AB2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BF1-46E6-A3DC-7C186F480AB2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BF1-46E6-A3DC-7C186F480AB2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BF1-46E6-A3DC-7C186F480AB2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BF1-46E6-A3DC-7C186F480AB2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BF1-46E6-A3DC-7C186F480AB2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BF1-46E6-A3DC-7C186F480AB2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BF1-46E6-A3DC-7C186F480AB2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BF1-46E6-A3DC-7C186F480AB2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BF1-46E6-A3DC-7C186F480AB2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BF1-46E6-A3DC-7C186F480AB2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BF1-46E6-A3DC-7C186F480AB2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BF1-46E6-A3DC-7C186F480AB2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BF1-46E6-A3DC-7C186F480AB2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BF1-46E6-A3DC-7C186F480AB2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BF1-46E6-A3DC-7C186F480AB2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BF1-46E6-A3DC-7C186F480AB2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BF1-46E6-A3DC-7C186F480AB2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BF1-46E6-A3DC-7C186F480AB2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BF1-46E6-A3DC-7C186F480AB2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BF1-46E6-A3DC-7C186F480AB2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BF1-46E6-A3DC-7C186F480AB2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BF1-46E6-A3DC-7C186F480AB2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BF1-46E6-A3DC-7C186F480AB2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BF1-46E6-A3DC-7C186F480AB2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BF1-46E6-A3DC-7C186F480AB2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BF1-46E6-A3DC-7C186F480AB2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BF1-46E6-A3DC-7C186F480AB2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BF1-46E6-A3DC-7C186F480AB2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BF1-46E6-A3DC-7C186F480AB2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BF1-46E6-A3DC-7C186F480AB2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BF1-46E6-A3DC-7C186F480AB2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BF1-46E6-A3DC-7C186F480AB2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BF1-46E6-A3DC-7C186F480AB2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BF1-46E6-A3DC-7C186F480AB2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BF1-46E6-A3DC-7C186F480AB2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BF1-46E6-A3DC-7C186F480AB2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BF1-46E6-A3DC-7C186F480AB2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BF1-46E6-A3DC-7C186F480AB2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BF1-46E6-A3DC-7C186F480AB2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BF1-46E6-A3DC-7C186F480AB2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BF1-46E6-A3DC-7C186F480AB2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BF1-46E6-A3DC-7C186F480AB2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BF1-46E6-A3DC-7C186F480AB2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BF1-46E6-A3DC-7C186F480AB2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BF1-46E6-A3DC-7C186F480AB2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BF1-46E6-A3DC-7C186F480AB2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BF1-46E6-A3DC-7C186F480AB2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BF1-46E6-A3DC-7C186F480AB2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BF1-46E6-A3DC-7C186F480AB2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BF1-46E6-A3DC-7C186F480AB2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BF1-46E6-A3DC-7C186F480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</a:t>
            </a:r>
            <a:r>
              <a:rPr lang="en-IE" baseline="0"/>
              <a:t> Kilometres by Mode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3"/>
          <c:order val="0"/>
          <c:tx>
            <c:strRef>
              <c:f>'PKM display'!$A$49</c:f>
              <c:strCache>
                <c:ptCount val="1"/>
                <c:pt idx="0">
                  <c:v>Private car - Driver</c:v>
                </c:pt>
              </c:strCache>
            </c:strRef>
          </c:tx>
          <c:spPr>
            <a:solidFill>
              <a:schemeClr val="accent4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display'!$B$49:$L$49</c:f>
              <c:numCache>
                <c:formatCode>_-* #,##0_-;\-* #,##0_-;_-* "-"??_-;_-@_-</c:formatCode>
                <c:ptCount val="11"/>
                <c:pt idx="0">
                  <c:v>41186265414.625694</c:v>
                </c:pt>
                <c:pt idx="1">
                  <c:v>39940480043.855347</c:v>
                </c:pt>
                <c:pt idx="2">
                  <c:v>38694694673.084999</c:v>
                </c:pt>
                <c:pt idx="3">
                  <c:v>37448909302.314651</c:v>
                </c:pt>
                <c:pt idx="4">
                  <c:v>40897858608.807022</c:v>
                </c:pt>
                <c:pt idx="5">
                  <c:v>41379942945.20134</c:v>
                </c:pt>
                <c:pt idx="6">
                  <c:v>44463509562.758942</c:v>
                </c:pt>
                <c:pt idx="7">
                  <c:v>47547076180.316536</c:v>
                </c:pt>
                <c:pt idx="8">
                  <c:v>46074859894.918442</c:v>
                </c:pt>
                <c:pt idx="9">
                  <c:v>44602643609.520348</c:v>
                </c:pt>
                <c:pt idx="10">
                  <c:v>43130427324.122261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67-48B8-A13B-207FC7A3C4F4}"/>
            </c:ext>
          </c:extLst>
        </c:ser>
        <c:ser>
          <c:idx val="4"/>
          <c:order val="1"/>
          <c:tx>
            <c:strRef>
              <c:f>'PKM display'!$A$50</c:f>
              <c:strCache>
                <c:ptCount val="1"/>
                <c:pt idx="0">
                  <c:v>Private car - Passenger</c:v>
                </c:pt>
              </c:strCache>
            </c:strRef>
          </c:tx>
          <c:spPr>
            <a:solidFill>
              <a:schemeClr val="accent5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display'!$B$50:$L$50</c:f>
              <c:numCache>
                <c:formatCode>_-* #,##0_-;\-* #,##0_-;_-* "-"??_-;_-@_-</c:formatCode>
                <c:ptCount val="11"/>
                <c:pt idx="0">
                  <c:v>7789254559.7352896</c:v>
                </c:pt>
                <c:pt idx="1">
                  <c:v>7374774519.7272787</c:v>
                </c:pt>
                <c:pt idx="2">
                  <c:v>6960294479.7192678</c:v>
                </c:pt>
                <c:pt idx="3">
                  <c:v>6545814439.711257</c:v>
                </c:pt>
                <c:pt idx="4">
                  <c:v>6533218281.3236027</c:v>
                </c:pt>
                <c:pt idx="5">
                  <c:v>6799367587.5175657</c:v>
                </c:pt>
                <c:pt idx="6">
                  <c:v>6586395148.4300165</c:v>
                </c:pt>
                <c:pt idx="7">
                  <c:v>6373422709.3424673</c:v>
                </c:pt>
                <c:pt idx="8">
                  <c:v>7846436876.3303118</c:v>
                </c:pt>
                <c:pt idx="9">
                  <c:v>9319451043.3181553</c:v>
                </c:pt>
                <c:pt idx="10">
                  <c:v>10792465210.306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67-48B8-A13B-207FC7A3C4F4}"/>
            </c:ext>
          </c:extLst>
        </c:ser>
        <c:ser>
          <c:idx val="2"/>
          <c:order val="2"/>
          <c:tx>
            <c:strRef>
              <c:f>'PKM display'!$A$48</c:f>
              <c:strCache>
                <c:ptCount val="1"/>
                <c:pt idx="0">
                  <c:v>Lorry/Motorcycle/Other</c:v>
                </c:pt>
              </c:strCache>
            </c:strRef>
          </c:tx>
          <c:spPr>
            <a:solidFill>
              <a:schemeClr val="accent3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display'!$B$48:$L$48</c:f>
              <c:numCache>
                <c:formatCode>_-* #,##0_-;\-* #,##0_-;_-* "-"??_-;_-@_-</c:formatCode>
                <c:ptCount val="11"/>
                <c:pt idx="0">
                  <c:v>5875413924.046442</c:v>
                </c:pt>
                <c:pt idx="1">
                  <c:v>4931764118.9216518</c:v>
                </c:pt>
                <c:pt idx="2">
                  <c:v>3988114313.7968612</c:v>
                </c:pt>
                <c:pt idx="3">
                  <c:v>3044464508.67207</c:v>
                </c:pt>
                <c:pt idx="4">
                  <c:v>3443459091.9606371</c:v>
                </c:pt>
                <c:pt idx="5">
                  <c:v>3334832249.6264081</c:v>
                </c:pt>
                <c:pt idx="6">
                  <c:v>3773515610.8395071</c:v>
                </c:pt>
                <c:pt idx="7">
                  <c:v>4212198972.0526061</c:v>
                </c:pt>
                <c:pt idx="8">
                  <c:v>3920061469.4901867</c:v>
                </c:pt>
                <c:pt idx="9">
                  <c:v>3627923966.9277673</c:v>
                </c:pt>
                <c:pt idx="10">
                  <c:v>3335786464.3653483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7-48B8-A13B-207FC7A3C4F4}"/>
            </c:ext>
          </c:extLst>
        </c:ser>
        <c:ser>
          <c:idx val="5"/>
          <c:order val="3"/>
          <c:tx>
            <c:strRef>
              <c:f>'PKM display'!$A$51</c:f>
              <c:strCache>
                <c:ptCount val="1"/>
                <c:pt idx="0">
                  <c:v>Rail/Dart/Luas</c:v>
                </c:pt>
              </c:strCache>
            </c:strRef>
          </c:tx>
          <c:spPr>
            <a:solidFill>
              <a:schemeClr val="accent6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display'!$B$51:$L$51</c:f>
              <c:numCache>
                <c:formatCode>_-* #,##0_-;\-* #,##0_-;_-* "-"??_-;_-@_-</c:formatCode>
                <c:ptCount val="11"/>
                <c:pt idx="0">
                  <c:v>2755466733.4071422</c:v>
                </c:pt>
                <c:pt idx="1">
                  <c:v>2536243629.7317185</c:v>
                </c:pt>
                <c:pt idx="2">
                  <c:v>2317020526.0562949</c:v>
                </c:pt>
                <c:pt idx="3">
                  <c:v>2097797422.3808711</c:v>
                </c:pt>
                <c:pt idx="4">
                  <c:v>2141662556.5333641</c:v>
                </c:pt>
                <c:pt idx="5">
                  <c:v>2709659549.1139545</c:v>
                </c:pt>
                <c:pt idx="6">
                  <c:v>2392121338.0469012</c:v>
                </c:pt>
                <c:pt idx="7">
                  <c:v>2074583126.9798479</c:v>
                </c:pt>
                <c:pt idx="8">
                  <c:v>2699058700.1352186</c:v>
                </c:pt>
                <c:pt idx="9">
                  <c:v>3323534273.2905893</c:v>
                </c:pt>
                <c:pt idx="10">
                  <c:v>3948009846.44596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67-48B8-A13B-207FC7A3C4F4}"/>
            </c:ext>
          </c:extLst>
        </c:ser>
        <c:ser>
          <c:idx val="0"/>
          <c:order val="4"/>
          <c:tx>
            <c:strRef>
              <c:f>'PKM display'!$A$46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chemeClr val="accent1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display'!$B$46:$L$46</c:f>
              <c:numCache>
                <c:formatCode>_-* #,##0_-;\-* #,##0_-;_-* "-"??_-;_-@_-</c:formatCode>
                <c:ptCount val="11"/>
                <c:pt idx="0">
                  <c:v>2807733662.5477371</c:v>
                </c:pt>
                <c:pt idx="1">
                  <c:v>2584455608.5057116</c:v>
                </c:pt>
                <c:pt idx="2">
                  <c:v>2361177554.463686</c:v>
                </c:pt>
                <c:pt idx="3">
                  <c:v>2137899500.4216602</c:v>
                </c:pt>
                <c:pt idx="4">
                  <c:v>2719981114.5358052</c:v>
                </c:pt>
                <c:pt idx="5">
                  <c:v>3059690963.0623112</c:v>
                </c:pt>
                <c:pt idx="6">
                  <c:v>2552459581.154387</c:v>
                </c:pt>
                <c:pt idx="7">
                  <c:v>2045228199.2464628</c:v>
                </c:pt>
                <c:pt idx="8">
                  <c:v>2577732381.8494964</c:v>
                </c:pt>
                <c:pt idx="9">
                  <c:v>3110236564.4525299</c:v>
                </c:pt>
                <c:pt idx="10">
                  <c:v>3642740747.0555634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7-48B8-A13B-207FC7A3C4F4}"/>
            </c:ext>
          </c:extLst>
        </c:ser>
        <c:ser>
          <c:idx val="6"/>
          <c:order val="5"/>
          <c:tx>
            <c:strRef>
              <c:f>'PKM display'!$A$52</c:f>
              <c:strCache>
                <c:ptCount val="1"/>
                <c:pt idx="0">
                  <c:v>Taxi/hackney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display'!$B$52:$L$52</c:f>
              <c:numCache>
                <c:formatCode>_-* #,##0_-;\-* #,##0_-;_-* "-"??_-;_-@_-</c:formatCode>
                <c:ptCount val="11"/>
                <c:pt idx="0">
                  <c:v>0</c:v>
                </c:pt>
                <c:pt idx="1">
                  <c:v>66810417.845929325</c:v>
                </c:pt>
                <c:pt idx="2">
                  <c:v>133620835.69185865</c:v>
                </c:pt>
                <c:pt idx="3">
                  <c:v>200431253.53778797</c:v>
                </c:pt>
                <c:pt idx="4">
                  <c:v>175307461.32720459</c:v>
                </c:pt>
                <c:pt idx="5">
                  <c:v>179885559.24640933</c:v>
                </c:pt>
                <c:pt idx="6">
                  <c:v>191272501.86110705</c:v>
                </c:pt>
                <c:pt idx="7">
                  <c:v>202659444.47580478</c:v>
                </c:pt>
                <c:pt idx="8">
                  <c:v>235786560.52003828</c:v>
                </c:pt>
                <c:pt idx="9">
                  <c:v>268913676.56427175</c:v>
                </c:pt>
                <c:pt idx="10">
                  <c:v>302040792.60850525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67-48B8-A13B-207FC7A3C4F4}"/>
            </c:ext>
          </c:extLst>
        </c:ser>
        <c:ser>
          <c:idx val="1"/>
          <c:order val="6"/>
          <c:tx>
            <c:strRef>
              <c:f>'PKM display'!$A$47</c:f>
              <c:strCache>
                <c:ptCount val="1"/>
                <c:pt idx="0">
                  <c:v>Cycle</c:v>
                </c:pt>
              </c:strCache>
            </c:strRef>
          </c:tx>
          <c:spPr>
            <a:solidFill>
              <a:schemeClr val="accent2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display'!$B$47:$L$47</c:f>
              <c:numCache>
                <c:formatCode>_-* #,##0_-;\-* #,##0_-;_-* "-"??_-;_-@_-</c:formatCode>
                <c:ptCount val="11"/>
                <c:pt idx="0">
                  <c:v>223983167.86609241</c:v>
                </c:pt>
                <c:pt idx="1">
                  <c:v>205550653.02885583</c:v>
                </c:pt>
                <c:pt idx="2">
                  <c:v>187118138.19161925</c:v>
                </c:pt>
                <c:pt idx="3">
                  <c:v>168685623.35438263</c:v>
                </c:pt>
                <c:pt idx="4">
                  <c:v>145514747.73957029</c:v>
                </c:pt>
                <c:pt idx="5">
                  <c:v>199728407.91332668</c:v>
                </c:pt>
                <c:pt idx="6">
                  <c:v>206665345.08277473</c:v>
                </c:pt>
                <c:pt idx="7">
                  <c:v>213602282.25222278</c:v>
                </c:pt>
                <c:pt idx="8">
                  <c:v>220095060.18671253</c:v>
                </c:pt>
                <c:pt idx="9">
                  <c:v>226587838.12120229</c:v>
                </c:pt>
                <c:pt idx="10">
                  <c:v>233080616.05569208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7-48B8-A13B-207FC7A3C4F4}"/>
            </c:ext>
          </c:extLst>
        </c:ser>
        <c:ser>
          <c:idx val="7"/>
          <c:order val="7"/>
          <c:tx>
            <c:strRef>
              <c:f>'PKM display'!$A$53</c:f>
              <c:strCache>
                <c:ptCount val="1"/>
                <c:pt idx="0">
                  <c:v>Walk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display'!$B$53:$L$53</c:f>
              <c:numCache>
                <c:formatCode>_-* #,##0_-;\-* #,##0_-;_-* "-"??_-;_-@_-</c:formatCode>
                <c:ptCount val="11"/>
                <c:pt idx="0">
                  <c:v>157552739.62167439</c:v>
                </c:pt>
                <c:pt idx="1">
                  <c:v>145988890.88306299</c:v>
                </c:pt>
                <c:pt idx="2">
                  <c:v>134425042.14445159</c:v>
                </c:pt>
                <c:pt idx="3">
                  <c:v>122861193.40584016</c:v>
                </c:pt>
                <c:pt idx="4">
                  <c:v>157166834.45463219</c:v>
                </c:pt>
                <c:pt idx="5">
                  <c:v>198715758.57007572</c:v>
                </c:pt>
                <c:pt idx="6">
                  <c:v>169405646.95680004</c:v>
                </c:pt>
                <c:pt idx="7">
                  <c:v>140095535.3435244</c:v>
                </c:pt>
                <c:pt idx="8">
                  <c:v>194533493.12747893</c:v>
                </c:pt>
                <c:pt idx="9">
                  <c:v>248971450.91143346</c:v>
                </c:pt>
                <c:pt idx="10">
                  <c:v>303409408.69538796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67-48B8-A13B-207FC7A3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11119"/>
        <c:axId val="1902160383"/>
      </c:areaChart>
      <c:dateAx>
        <c:axId val="189971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0383"/>
        <c:crosses val="autoZero"/>
        <c:auto val="0"/>
        <c:lblOffset val="100"/>
        <c:baseTimeUnit val="days"/>
      </c:dateAx>
      <c:valAx>
        <c:axId val="19021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11119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</a:t>
            </a:r>
            <a:r>
              <a:rPr lang="en-IE" baseline="0"/>
              <a:t> Kilometres by Purpose 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5937390776536E-2"/>
          <c:y val="0.12135782631132423"/>
          <c:w val="0.87046826933864596"/>
          <c:h val="0.64712433349817722"/>
        </c:manualLayout>
      </c:layout>
      <c:areaChart>
        <c:grouping val="stacked"/>
        <c:varyColors val="0"/>
        <c:ser>
          <c:idx val="8"/>
          <c:order val="0"/>
          <c:tx>
            <c:strRef>
              <c:f>'PKM display'!$A$91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display'!$B$91:$L$91</c:f>
              <c:numCache>
                <c:formatCode>_-* #,##0_-;\-* #,##0_-;_-* "-"??_-;_-@_-</c:formatCode>
                <c:ptCount val="11"/>
                <c:pt idx="0">
                  <c:v>21336198042.177856</c:v>
                </c:pt>
                <c:pt idx="1">
                  <c:v>19497622298.836826</c:v>
                </c:pt>
                <c:pt idx="2">
                  <c:v>17659046555.495796</c:v>
                </c:pt>
                <c:pt idx="3">
                  <c:v>15820470812.154762</c:v>
                </c:pt>
                <c:pt idx="4">
                  <c:v>12212433391.061647</c:v>
                </c:pt>
                <c:pt idx="5">
                  <c:v>18622699272.893982</c:v>
                </c:pt>
                <c:pt idx="6">
                  <c:v>20975130679.834465</c:v>
                </c:pt>
                <c:pt idx="7">
                  <c:v>23327562086.774952</c:v>
                </c:pt>
                <c:pt idx="8">
                  <c:v>22040086448.913967</c:v>
                </c:pt>
                <c:pt idx="9">
                  <c:v>20752610811.052982</c:v>
                </c:pt>
                <c:pt idx="10">
                  <c:v>19465135173.191998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C3-4CB4-A507-1735A71CB1D3}"/>
            </c:ext>
          </c:extLst>
        </c:ser>
        <c:ser>
          <c:idx val="5"/>
          <c:order val="1"/>
          <c:tx>
            <c:strRef>
              <c:f>'PKM display'!$A$88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display'!$B$88:$L$88</c:f>
              <c:numCache>
                <c:formatCode>_-* #,##0_-;\-* #,##0_-;_-* "-"??_-;_-@_-</c:formatCode>
                <c:ptCount val="11"/>
                <c:pt idx="0">
                  <c:v>10147549167.737141</c:v>
                </c:pt>
                <c:pt idx="1">
                  <c:v>9848240509.5595264</c:v>
                </c:pt>
                <c:pt idx="2">
                  <c:v>9548931851.3819122</c:v>
                </c:pt>
                <c:pt idx="3">
                  <c:v>9249623193.2042999</c:v>
                </c:pt>
                <c:pt idx="4">
                  <c:v>13438610800.787188</c:v>
                </c:pt>
                <c:pt idx="5">
                  <c:v>10992314145.931013</c:v>
                </c:pt>
                <c:pt idx="6">
                  <c:v>11150569750.818331</c:v>
                </c:pt>
                <c:pt idx="7">
                  <c:v>11308825355.705648</c:v>
                </c:pt>
                <c:pt idx="8">
                  <c:v>11642965475.875765</c:v>
                </c:pt>
                <c:pt idx="9">
                  <c:v>11977105596.045881</c:v>
                </c:pt>
                <c:pt idx="10">
                  <c:v>12311245716.216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3-4CB4-A507-1735A71CB1D3}"/>
            </c:ext>
          </c:extLst>
        </c:ser>
        <c:ser>
          <c:idx val="0"/>
          <c:order val="2"/>
          <c:tx>
            <c:strRef>
              <c:f>'PKM display'!$A$83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display'!$B$83:$L$83</c:f>
              <c:numCache>
                <c:formatCode>_-* #,##0_-;\-* #,##0_-;_-* "-"??_-;_-@_-</c:formatCode>
                <c:ptCount val="11"/>
                <c:pt idx="0">
                  <c:v>4912442902.313571</c:v>
                </c:pt>
                <c:pt idx="1">
                  <c:v>5789435937.0202179</c:v>
                </c:pt>
                <c:pt idx="2">
                  <c:v>6666428971.7268648</c:v>
                </c:pt>
                <c:pt idx="3">
                  <c:v>7543422006.4335108</c:v>
                </c:pt>
                <c:pt idx="4">
                  <c:v>8048756454.5379753</c:v>
                </c:pt>
                <c:pt idx="5">
                  <c:v>5756282082.9487886</c:v>
                </c:pt>
                <c:pt idx="6">
                  <c:v>6435062807.5474987</c:v>
                </c:pt>
                <c:pt idx="7">
                  <c:v>7113843532.1462078</c:v>
                </c:pt>
                <c:pt idx="8">
                  <c:v>8166656670.9801378</c:v>
                </c:pt>
                <c:pt idx="9">
                  <c:v>9219469809.8140678</c:v>
                </c:pt>
                <c:pt idx="10">
                  <c:v>10272282948.647999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3-4CB4-A507-1735A71CB1D3}"/>
            </c:ext>
          </c:extLst>
        </c:ser>
        <c:ser>
          <c:idx val="2"/>
          <c:order val="3"/>
          <c:tx>
            <c:strRef>
              <c:f>'PKM display'!$A$85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display'!$B$85:$L$85</c:f>
              <c:numCache>
                <c:formatCode>_-* #,##0_-;\-* #,##0_-;_-* "-"??_-;_-@_-</c:formatCode>
                <c:ptCount val="11"/>
                <c:pt idx="0">
                  <c:v>3875062196.0442853</c:v>
                </c:pt>
                <c:pt idx="1">
                  <c:v>4150511794.0063386</c:v>
                </c:pt>
                <c:pt idx="2">
                  <c:v>4425961391.9683924</c:v>
                </c:pt>
                <c:pt idx="3">
                  <c:v>4701410989.9304457</c:v>
                </c:pt>
                <c:pt idx="4">
                  <c:v>7262984713.167099</c:v>
                </c:pt>
                <c:pt idx="5">
                  <c:v>5771980169.5604744</c:v>
                </c:pt>
                <c:pt idx="6">
                  <c:v>5725229686.2500992</c:v>
                </c:pt>
                <c:pt idx="7">
                  <c:v>5678479202.9397249</c:v>
                </c:pt>
                <c:pt idx="8">
                  <c:v>5761495852.0558167</c:v>
                </c:pt>
                <c:pt idx="9">
                  <c:v>5844512501.1719084</c:v>
                </c:pt>
                <c:pt idx="10">
                  <c:v>5927529150.2879992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3-4CB4-A507-1735A71CB1D3}"/>
            </c:ext>
          </c:extLst>
        </c:ser>
        <c:ser>
          <c:idx val="7"/>
          <c:order val="4"/>
          <c:tx>
            <c:strRef>
              <c:f>'PKM display'!$A$90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display'!$B$90:$L$90</c:f>
              <c:numCache>
                <c:formatCode>_-* #,##0_-;\-* #,##0_-;_-* "-"??_-;_-@_-</c:formatCode>
                <c:ptCount val="11"/>
                <c:pt idx="0">
                  <c:v>7027564286.1599998</c:v>
                </c:pt>
                <c:pt idx="1">
                  <c:v>6871780406.8804903</c:v>
                </c:pt>
                <c:pt idx="2">
                  <c:v>6715996527.6009808</c:v>
                </c:pt>
                <c:pt idx="3">
                  <c:v>6560212648.3214722</c:v>
                </c:pt>
                <c:pt idx="4">
                  <c:v>5469797669.5738354</c:v>
                </c:pt>
                <c:pt idx="5">
                  <c:v>7576455423.9867735</c:v>
                </c:pt>
                <c:pt idx="6">
                  <c:v>7054928833.5176411</c:v>
                </c:pt>
                <c:pt idx="7">
                  <c:v>6533402243.0485096</c:v>
                </c:pt>
                <c:pt idx="8">
                  <c:v>6965678924.3096733</c:v>
                </c:pt>
                <c:pt idx="9">
                  <c:v>7397955605.570837</c:v>
                </c:pt>
                <c:pt idx="10">
                  <c:v>7830232286.8319998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C3-4CB4-A507-1735A71CB1D3}"/>
            </c:ext>
          </c:extLst>
        </c:ser>
        <c:ser>
          <c:idx val="4"/>
          <c:order val="5"/>
          <c:tx>
            <c:strRef>
              <c:f>'PKM display'!$A$87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display'!$B$87:$L$87</c:f>
              <c:numCache>
                <c:formatCode>_-* #,##0_-;\-* #,##0_-;_-* "-"??_-;_-@_-</c:formatCode>
                <c:ptCount val="11"/>
                <c:pt idx="0">
                  <c:v>4968776942.297142</c:v>
                </c:pt>
                <c:pt idx="1">
                  <c:v>4391268702.2282438</c:v>
                </c:pt>
                <c:pt idx="2">
                  <c:v>3813760462.1593461</c:v>
                </c:pt>
                <c:pt idx="3">
                  <c:v>3236252222.0904484</c:v>
                </c:pt>
                <c:pt idx="4">
                  <c:v>3121411922.0722361</c:v>
                </c:pt>
                <c:pt idx="5">
                  <c:v>3400424950.5024071</c:v>
                </c:pt>
                <c:pt idx="6">
                  <c:v>3751189256.4140301</c:v>
                </c:pt>
                <c:pt idx="7">
                  <c:v>4101953562.3256531</c:v>
                </c:pt>
                <c:pt idx="8">
                  <c:v>4065806048.7291021</c:v>
                </c:pt>
                <c:pt idx="9">
                  <c:v>4029658535.1325512</c:v>
                </c:pt>
                <c:pt idx="10">
                  <c:v>3993511021.5359998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3-4CB4-A507-1735A71CB1D3}"/>
            </c:ext>
          </c:extLst>
        </c:ser>
        <c:ser>
          <c:idx val="3"/>
          <c:order val="6"/>
          <c:tx>
            <c:strRef>
              <c:f>'PKM display'!$A$86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display'!$B$86:$L$86</c:f>
              <c:numCache>
                <c:formatCode>_-* #,##0_-;\-* #,##0_-;_-* "-"??_-;_-@_-</c:formatCode>
                <c:ptCount val="11"/>
                <c:pt idx="0">
                  <c:v>5507218473.9235697</c:v>
                </c:pt>
                <c:pt idx="1">
                  <c:v>4267822628.9624939</c:v>
                </c:pt>
                <c:pt idx="2">
                  <c:v>3028426784.0014181</c:v>
                </c:pt>
                <c:pt idx="3">
                  <c:v>1789030939.040343</c:v>
                </c:pt>
                <c:pt idx="4">
                  <c:v>2681463899.1065645</c:v>
                </c:pt>
                <c:pt idx="5">
                  <c:v>3012806606.9094148</c:v>
                </c:pt>
                <c:pt idx="6">
                  <c:v>2562829235.6835799</c:v>
                </c:pt>
                <c:pt idx="7">
                  <c:v>2112851864.4577448</c:v>
                </c:pt>
                <c:pt idx="8">
                  <c:v>2208760935.8304968</c:v>
                </c:pt>
                <c:pt idx="9">
                  <c:v>2304670007.2032485</c:v>
                </c:pt>
                <c:pt idx="10">
                  <c:v>2400579078.5760002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3-4CB4-A507-1735A71CB1D3}"/>
            </c:ext>
          </c:extLst>
        </c:ser>
        <c:ser>
          <c:idx val="1"/>
          <c:order val="7"/>
          <c:tx>
            <c:strRef>
              <c:f>'PKM display'!$A$84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display'!$B$84:$L$84</c:f>
              <c:numCache>
                <c:formatCode>_-* #,##0_-;\-* #,##0_-;_-* "-"??_-;_-@_-</c:formatCode>
                <c:ptCount val="11"/>
                <c:pt idx="0">
                  <c:v>2294831660.2199998</c:v>
                </c:pt>
                <c:pt idx="1">
                  <c:v>2243608842.5541124</c:v>
                </c:pt>
                <c:pt idx="2">
                  <c:v>2192386024.8882251</c:v>
                </c:pt>
                <c:pt idx="3">
                  <c:v>2141163207.222338</c:v>
                </c:pt>
                <c:pt idx="4">
                  <c:v>2777588776.8574338</c:v>
                </c:pt>
                <c:pt idx="5">
                  <c:v>1972836667.3669925</c:v>
                </c:pt>
                <c:pt idx="6">
                  <c:v>1814852135.0957899</c:v>
                </c:pt>
                <c:pt idx="7">
                  <c:v>1656867602.8245873</c:v>
                </c:pt>
                <c:pt idx="8">
                  <c:v>1677820251.7230582</c:v>
                </c:pt>
                <c:pt idx="9">
                  <c:v>1698772900.6215291</c:v>
                </c:pt>
                <c:pt idx="10">
                  <c:v>1719725549.52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3-4CB4-A507-1735A71CB1D3}"/>
            </c:ext>
          </c:extLst>
        </c:ser>
        <c:ser>
          <c:idx val="6"/>
          <c:order val="8"/>
          <c:tx>
            <c:strRef>
              <c:f>'PKM display'!$A$89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display'!$B$89:$L$89</c:f>
              <c:numCache>
                <c:formatCode>_-* #,##0_-;\-* #,##0_-;_-* "-"??_-;_-@_-</c:formatCode>
                <c:ptCount val="11"/>
                <c:pt idx="0">
                  <c:v>736414184.05499995</c:v>
                </c:pt>
                <c:pt idx="1">
                  <c:v>738396380.78963268</c:v>
                </c:pt>
                <c:pt idx="2">
                  <c:v>740378577.52426541</c:v>
                </c:pt>
                <c:pt idx="3">
                  <c:v>742360774.25889802</c:v>
                </c:pt>
                <c:pt idx="4">
                  <c:v>1228135960.7301898</c:v>
                </c:pt>
                <c:pt idx="5">
                  <c:v>734268717.88953209</c:v>
                </c:pt>
                <c:pt idx="6">
                  <c:v>868070427.31170297</c:v>
                </c:pt>
                <c:pt idx="7">
                  <c:v>1001872136.7338737</c:v>
                </c:pt>
                <c:pt idx="8">
                  <c:v>1249924547.7265825</c:v>
                </c:pt>
                <c:pt idx="9">
                  <c:v>1497976958.7192912</c:v>
                </c:pt>
                <c:pt idx="10">
                  <c:v>1746029369.7119999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C3-4CB4-A507-1735A71C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06895"/>
        <c:axId val="1509771391"/>
      </c:areaChart>
      <c:catAx>
        <c:axId val="192830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71391"/>
        <c:crosses val="autoZero"/>
        <c:auto val="1"/>
        <c:lblAlgn val="ctr"/>
        <c:lblOffset val="100"/>
        <c:noMultiLvlLbl val="1"/>
      </c:catAx>
      <c:valAx>
        <c:axId val="15097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06895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510946938846331E-2"/>
          <c:y val="0.86772643988506259"/>
          <c:w val="0.96415198627348253"/>
          <c:h val="0.13227356011493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 Kilometres by Journey</a:t>
            </a:r>
            <a:r>
              <a:rPr lang="en-IE" baseline="0"/>
              <a:t> 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2979901484917"/>
          <c:y val="0.14334299516908214"/>
          <c:w val="0.84163412792579007"/>
          <c:h val="0.65540720453421586"/>
        </c:manualLayout>
      </c:layout>
      <c:areaChart>
        <c:grouping val="stacked"/>
        <c:varyColors val="0"/>
        <c:ser>
          <c:idx val="4"/>
          <c:order val="0"/>
          <c:tx>
            <c:strRef>
              <c:f>'PKM display'!$A$116</c:f>
              <c:strCache>
                <c:ptCount val="1"/>
                <c:pt idx="0">
                  <c:v>8+ kilometres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display'!$B$116:$L$116</c:f>
              <c:numCache>
                <c:formatCode>_-* #,##0_-;\-* #,##0_-;_-* "-"??_-;_-@_-</c:formatCode>
                <c:ptCount val="11"/>
                <c:pt idx="0">
                  <c:v>40289066992.624802</c:v>
                </c:pt>
                <c:pt idx="1">
                  <c:v>38510250044.675423</c:v>
                </c:pt>
                <c:pt idx="2">
                  <c:v>36731433096.726044</c:v>
                </c:pt>
                <c:pt idx="3">
                  <c:v>34952616148.776672</c:v>
                </c:pt>
                <c:pt idx="4">
                  <c:v>39142389269.009659</c:v>
                </c:pt>
                <c:pt idx="5">
                  <c:v>41542793238.853279</c:v>
                </c:pt>
                <c:pt idx="6">
                  <c:v>43543707224.059601</c:v>
                </c:pt>
                <c:pt idx="7">
                  <c:v>45544621209.265915</c:v>
                </c:pt>
                <c:pt idx="8">
                  <c:v>45544621207.892525</c:v>
                </c:pt>
                <c:pt idx="9">
                  <c:v>44100916708.487839</c:v>
                </c:pt>
                <c:pt idx="10">
                  <c:v>41213507711.051857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B0-4520-AF53-5B5CA6B5C8DD}"/>
            </c:ext>
          </c:extLst>
        </c:ser>
        <c:ser>
          <c:idx val="3"/>
          <c:order val="1"/>
          <c:tx>
            <c:strRef>
              <c:f>'PKM display'!$A$115</c:f>
              <c:strCache>
                <c:ptCount val="1"/>
                <c:pt idx="0">
                  <c:v>6-8 kilometres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display'!$B$115:$L$115</c:f>
              <c:numCache>
                <c:formatCode>_-* #,##0_-;\-* #,##0_-;_-* "-"??_-;_-@_-</c:formatCode>
                <c:ptCount val="11"/>
                <c:pt idx="0">
                  <c:v>8971638904.0360603</c:v>
                </c:pt>
                <c:pt idx="1">
                  <c:v>8433170304.0480585</c:v>
                </c:pt>
                <c:pt idx="2">
                  <c:v>7894701704.0600567</c:v>
                </c:pt>
                <c:pt idx="3">
                  <c:v>7356233104.0720558</c:v>
                </c:pt>
                <c:pt idx="4">
                  <c:v>7468903499.6065788</c:v>
                </c:pt>
                <c:pt idx="5">
                  <c:v>7141442845.5789032</c:v>
                </c:pt>
                <c:pt idx="6">
                  <c:v>7346329528.7210178</c:v>
                </c:pt>
                <c:pt idx="7">
                  <c:v>7551216211.8631325</c:v>
                </c:pt>
                <c:pt idx="8">
                  <c:v>7551216213.2631321</c:v>
                </c:pt>
                <c:pt idx="9">
                  <c:v>8602413208.5340233</c:v>
                </c:pt>
                <c:pt idx="10">
                  <c:v>10704807197.675808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0-4520-AF53-5B5CA6B5C8DD}"/>
            </c:ext>
          </c:extLst>
        </c:ser>
        <c:ser>
          <c:idx val="2"/>
          <c:order val="2"/>
          <c:tx>
            <c:strRef>
              <c:f>'PKM display'!$A$114</c:f>
              <c:strCache>
                <c:ptCount val="1"/>
                <c:pt idx="0">
                  <c:v>4-6 kilometres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display'!$B$114:$L$114</c:f>
              <c:numCache>
                <c:formatCode>_-* #,##0_-;\-* #,##0_-;_-* "-"??_-;_-@_-</c:formatCode>
                <c:ptCount val="11"/>
                <c:pt idx="0">
                  <c:v>6408313502.8829012</c:v>
                </c:pt>
                <c:pt idx="1">
                  <c:v>6023693074.3200426</c:v>
                </c:pt>
                <c:pt idx="2">
                  <c:v>5639072645.757184</c:v>
                </c:pt>
                <c:pt idx="3">
                  <c:v>5254452217.1943264</c:v>
                </c:pt>
                <c:pt idx="4">
                  <c:v>5334931071.1475611</c:v>
                </c:pt>
                <c:pt idx="5">
                  <c:v>5101030603.9849291</c:v>
                </c:pt>
                <c:pt idx="6">
                  <c:v>5247378234.8007278</c:v>
                </c:pt>
                <c:pt idx="7">
                  <c:v>5393725865.6165266</c:v>
                </c:pt>
                <c:pt idx="8">
                  <c:v>5393725867.2831936</c:v>
                </c:pt>
                <c:pt idx="9">
                  <c:v>6144580863.9052572</c:v>
                </c:pt>
                <c:pt idx="10">
                  <c:v>7646290855.4827185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0-4520-AF53-5B5CA6B5C8DD}"/>
            </c:ext>
          </c:extLst>
        </c:ser>
        <c:ser>
          <c:idx val="1"/>
          <c:order val="3"/>
          <c:tx>
            <c:strRef>
              <c:f>'PKM display'!$A$113</c:f>
              <c:strCache>
                <c:ptCount val="1"/>
                <c:pt idx="0">
                  <c:v>2-4 kilometres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display'!$B$113:$L$113</c:f>
              <c:numCache>
                <c:formatCode>_-* #,##0_-;\-* #,##0_-;_-* "-"??_-;_-@_-</c:formatCode>
                <c:ptCount val="11"/>
                <c:pt idx="0">
                  <c:v>3844988101.7297411</c:v>
                </c:pt>
                <c:pt idx="1">
                  <c:v>3614215844.5920272</c:v>
                </c:pt>
                <c:pt idx="2">
                  <c:v>3383443587.4543133</c:v>
                </c:pt>
                <c:pt idx="3">
                  <c:v>3152671330.3165989</c:v>
                </c:pt>
                <c:pt idx="4">
                  <c:v>3200958642.6885362</c:v>
                </c:pt>
                <c:pt idx="5">
                  <c:v>3060618362.3909559</c:v>
                </c:pt>
                <c:pt idx="6">
                  <c:v>3148426940.8804345</c:v>
                </c:pt>
                <c:pt idx="7">
                  <c:v>3236235519.3699131</c:v>
                </c:pt>
                <c:pt idx="8">
                  <c:v>3236235522.3699131</c:v>
                </c:pt>
                <c:pt idx="9">
                  <c:v>3686748520.343153</c:v>
                </c:pt>
                <c:pt idx="10">
                  <c:v>4587774513.2896328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0-4520-AF53-5B5CA6B5C8DD}"/>
            </c:ext>
          </c:extLst>
        </c:ser>
        <c:ser>
          <c:idx val="0"/>
          <c:order val="4"/>
          <c:tx>
            <c:strRef>
              <c:f>'PKM display'!$A$112</c:f>
              <c:strCache>
                <c:ptCount val="1"/>
                <c:pt idx="0">
                  <c:v>&lt;2 kilometres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display'!$B$112:$L$112</c:f>
              <c:numCache>
                <c:formatCode>_-* #,##0_-;\-* #,##0_-;_-* "-"??_-;_-@_-</c:formatCode>
                <c:ptCount val="11"/>
                <c:pt idx="0">
                  <c:v>1281662700.57658</c:v>
                </c:pt>
                <c:pt idx="1">
                  <c:v>1204738614.8640084</c:v>
                </c:pt>
                <c:pt idx="2">
                  <c:v>1127814529.1514368</c:v>
                </c:pt>
                <c:pt idx="3">
                  <c:v>1050890443.4388655</c:v>
                </c:pt>
                <c:pt idx="4">
                  <c:v>1066986214.2295119</c:v>
                </c:pt>
                <c:pt idx="5">
                  <c:v>1020206120.796986</c:v>
                </c:pt>
                <c:pt idx="6">
                  <c:v>1049475646.960145</c:v>
                </c:pt>
                <c:pt idx="7">
                  <c:v>1078745173.1233039</c:v>
                </c:pt>
                <c:pt idx="8">
                  <c:v>1228916172.4477174</c:v>
                </c:pt>
                <c:pt idx="9">
                  <c:v>1379087171.772131</c:v>
                </c:pt>
                <c:pt idx="10">
                  <c:v>1529258171.0965445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0-4520-AF53-5B5CA6B5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02095"/>
        <c:axId val="1509771807"/>
      </c:areaChart>
      <c:catAx>
        <c:axId val="1928302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71807"/>
        <c:crosses val="autoZero"/>
        <c:auto val="1"/>
        <c:lblAlgn val="ctr"/>
        <c:lblOffset val="100"/>
        <c:noMultiLvlLbl val="0"/>
      </c:catAx>
      <c:valAx>
        <c:axId val="150977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02095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trips by distance group 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strRef>
              <c:f>'PKM display'!$O$103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59-43D8-8AF2-DD8FC24E2F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59-43D8-8AF2-DD8FC24E2F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59-43D8-8AF2-DD8FC24E2F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59-43D8-8AF2-DD8FC24E2F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259-43D8-8AF2-DD8FC24E2FE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'PKM display'!$I$104:$I$109</c15:sqref>
                  </c15:fullRef>
                </c:ext>
              </c:extLst>
              <c:f>'PKM display'!$I$104:$I$108</c:f>
              <c:strCache>
                <c:ptCount val="5"/>
                <c:pt idx="0">
                  <c:v>Less than 2 kilometres</c:v>
                </c:pt>
                <c:pt idx="1">
                  <c:v>2-4 kilometres</c:v>
                </c:pt>
                <c:pt idx="2">
                  <c:v>4-6 kilometres</c:v>
                </c:pt>
                <c:pt idx="3">
                  <c:v>6-8 kilometres</c:v>
                </c:pt>
                <c:pt idx="4">
                  <c:v>8+ kilometres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'PKM display'!$O$104:$O$109</c15:sqref>
                  </c15:fullRef>
                </c:ext>
              </c:extLst>
              <c:f>'PKM display'!$O$104:$O$108</c:f>
              <c:numCache>
                <c:formatCode>_-* #,##0_-;\-* #,##0_-;_-* "-"??_-;_-@_-</c:formatCode>
                <c:ptCount val="5"/>
                <c:pt idx="0">
                  <c:v>1529258171.0965445</c:v>
                </c:pt>
                <c:pt idx="1">
                  <c:v>4587774513.2896328</c:v>
                </c:pt>
                <c:pt idx="2">
                  <c:v>7646290855.4827185</c:v>
                </c:pt>
                <c:pt idx="3">
                  <c:v>10704807197.675808</c:v>
                </c:pt>
                <c:pt idx="4">
                  <c:v>41213507711.051857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5-A39B-4CE1-A638-C6A6AE6FDDB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'PKM display'!$J$103</c15:sqref>
                        </c15:formulaRef>
                      </c:ext>
                    </c:extLst>
                    <c:strCache>
                      <c:ptCount val="1"/>
                      <c:pt idx="0">
                        <c:v>2009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B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D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F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1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'PKM display'!$J$104:$J$109</c15:sqref>
                        </c15:fullRef>
                        <c15:formulaRef>
                          <c15:sqref>'PKM display'!$J$104:$J$108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1281662700.57658</c:v>
                      </c:pt>
                      <c:pt idx="1">
                        <c:v>3844988101.7297411</c:v>
                      </c:pt>
                      <c:pt idx="2">
                        <c:v>6408313502.8829012</c:v>
                      </c:pt>
                      <c:pt idx="3">
                        <c:v>8971638904.0360603</c:v>
                      </c:pt>
                      <c:pt idx="4">
                        <c:v>40289066992.624802</c:v>
                      </c:pt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0-A39B-4CE1-A638-C6A6AE6FDDB4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display'!$K$103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D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display'!$K$104:$K$109</c15:sqref>
                        </c15:fullRef>
                        <c15:formulaRef>
                          <c15:sqref>'PKM display'!$K$104:$K$108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1050890443.4388655</c:v>
                      </c:pt>
                      <c:pt idx="1">
                        <c:v>3152671330.3165989</c:v>
                      </c:pt>
                      <c:pt idx="2">
                        <c:v>5254452217.1943264</c:v>
                      </c:pt>
                      <c:pt idx="3">
                        <c:v>7356233104.0720558</c:v>
                      </c:pt>
                      <c:pt idx="4">
                        <c:v>34952616148.776672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1-A39B-4CE1-A638-C6A6AE6FDDB4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display'!$L$103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F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1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3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display'!$L$104:$L$109</c15:sqref>
                        </c15:fullRef>
                        <c15:formulaRef>
                          <c15:sqref>'PKM display'!$L$104:$L$108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1066986214.2295119</c:v>
                      </c:pt>
                      <c:pt idx="1">
                        <c:v>3200958642.6885362</c:v>
                      </c:pt>
                      <c:pt idx="2">
                        <c:v>5334931071.1475611</c:v>
                      </c:pt>
                      <c:pt idx="3">
                        <c:v>7468903499.6065788</c:v>
                      </c:pt>
                      <c:pt idx="4">
                        <c:v>39142389269.009659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2-A39B-4CE1-A638-C6A6AE6FDDB4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display'!$M$103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display'!$M$104:$M$109</c15:sqref>
                        </c15:fullRef>
                        <c15:formulaRef>
                          <c15:sqref>'PKM display'!$M$104:$M$108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1020206120.796986</c:v>
                      </c:pt>
                      <c:pt idx="1">
                        <c:v>3060618362.3909559</c:v>
                      </c:pt>
                      <c:pt idx="2">
                        <c:v>5101030603.9849291</c:v>
                      </c:pt>
                      <c:pt idx="3">
                        <c:v>7141442845.5789032</c:v>
                      </c:pt>
                      <c:pt idx="4">
                        <c:v>41542793238.853279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3-A39B-4CE1-A638-C6A6AE6FDDB4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display'!$N$103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7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9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display'!$N$104:$N$109</c15:sqref>
                        </c15:fullRef>
                        <c15:formulaRef>
                          <c15:sqref>'PKM display'!$N$104:$N$108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1078745173.1233039</c:v>
                      </c:pt>
                      <c:pt idx="1">
                        <c:v>3236235519.3699131</c:v>
                      </c:pt>
                      <c:pt idx="2">
                        <c:v>5393725865.6165266</c:v>
                      </c:pt>
                      <c:pt idx="3">
                        <c:v>7551216211.8631325</c:v>
                      </c:pt>
                      <c:pt idx="4">
                        <c:v>45544621209.265915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4-A39B-4CE1-A638-C6A6AE6FDDB4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25062074301673"/>
          <c:y val="3.3876828596090279E-2"/>
          <c:w val="0.70362154642968433"/>
          <c:h val="0.88823578397484271"/>
        </c:manualLayout>
      </c:layout>
      <c:areaChart>
        <c:grouping val="stacked"/>
        <c:varyColors val="0"/>
        <c:ser>
          <c:idx val="8"/>
          <c:order val="0"/>
          <c:tx>
            <c:strRef>
              <c:f>'PKM display'!$A$91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2403206863425693"/>
                  <c:y val="-1.560210164324674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display'!$B$91:$L$91</c:f>
              <c:numCache>
                <c:formatCode>_-* #,##0_-;\-* #,##0_-;_-* "-"??_-;_-@_-</c:formatCode>
                <c:ptCount val="11"/>
                <c:pt idx="0">
                  <c:v>21336198042.177856</c:v>
                </c:pt>
                <c:pt idx="1">
                  <c:v>19497622298.836826</c:v>
                </c:pt>
                <c:pt idx="2">
                  <c:v>17659046555.495796</c:v>
                </c:pt>
                <c:pt idx="3">
                  <c:v>15820470812.154762</c:v>
                </c:pt>
                <c:pt idx="4">
                  <c:v>12212433391.061647</c:v>
                </c:pt>
                <c:pt idx="5">
                  <c:v>18622699272.893982</c:v>
                </c:pt>
                <c:pt idx="6">
                  <c:v>20975130679.834465</c:v>
                </c:pt>
                <c:pt idx="7">
                  <c:v>23327562086.774952</c:v>
                </c:pt>
                <c:pt idx="8">
                  <c:v>22040086448.913967</c:v>
                </c:pt>
                <c:pt idx="9">
                  <c:v>20752610811.052982</c:v>
                </c:pt>
                <c:pt idx="10">
                  <c:v>19465135173.191998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6F-4D6D-9EE3-301D25D017E9}"/>
            </c:ext>
          </c:extLst>
        </c:ser>
        <c:ser>
          <c:idx val="5"/>
          <c:order val="1"/>
          <c:tx>
            <c:strRef>
              <c:f>'PKM display'!$A$88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2A-4536-972B-D160ADF61F1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F2A-4536-972B-D160ADF61F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2A-4536-972B-D160ADF61F1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2A-4536-972B-D160ADF61F1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2A-4536-972B-D160ADF61F1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2A-4536-972B-D160ADF61F1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2A-4536-972B-D160ADF61F1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2A-4536-972B-D160ADF61F1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2A-4536-972B-D160ADF61F1E}"/>
                </c:ext>
              </c:extLst>
            </c:dLbl>
            <c:dLbl>
              <c:idx val="9"/>
              <c:layout>
                <c:manualLayout>
                  <c:x val="2.9324169107172563E-2"/>
                  <c:y val="2.814423766678507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2A-4536-972B-D160ADF61F1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display'!$B$88:$L$88</c:f>
              <c:numCache>
                <c:formatCode>_-* #,##0_-;\-* #,##0_-;_-* "-"??_-;_-@_-</c:formatCode>
                <c:ptCount val="11"/>
                <c:pt idx="0">
                  <c:v>10147549167.737141</c:v>
                </c:pt>
                <c:pt idx="1">
                  <c:v>9848240509.5595264</c:v>
                </c:pt>
                <c:pt idx="2">
                  <c:v>9548931851.3819122</c:v>
                </c:pt>
                <c:pt idx="3">
                  <c:v>9249623193.2042999</c:v>
                </c:pt>
                <c:pt idx="4">
                  <c:v>13438610800.787188</c:v>
                </c:pt>
                <c:pt idx="5">
                  <c:v>10992314145.931013</c:v>
                </c:pt>
                <c:pt idx="6">
                  <c:v>11150569750.818331</c:v>
                </c:pt>
                <c:pt idx="7">
                  <c:v>11308825355.705648</c:v>
                </c:pt>
                <c:pt idx="8">
                  <c:v>11642965475.875765</c:v>
                </c:pt>
                <c:pt idx="9">
                  <c:v>11977105596.045881</c:v>
                </c:pt>
                <c:pt idx="10">
                  <c:v>12311245716.216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6F-4D6D-9EE3-301D25D017E9}"/>
            </c:ext>
          </c:extLst>
        </c:ser>
        <c:ser>
          <c:idx val="0"/>
          <c:order val="2"/>
          <c:tx>
            <c:strRef>
              <c:f>'PKM display'!$A$83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F2A-4536-972B-D160ADF61F1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2A-4536-972B-D160ADF61F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F2A-4536-972B-D160ADF61F1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2A-4536-972B-D160ADF61F1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2A-4536-972B-D160ADF61F1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F2A-4536-972B-D160ADF61F1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2A-4536-972B-D160ADF61F1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2A-4536-972B-D160ADF61F1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2A-4536-972B-D160ADF61F1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F2A-4536-972B-D160ADF61F1E}"/>
                </c:ext>
              </c:extLst>
            </c:dLbl>
            <c:dLbl>
              <c:idx val="10"/>
              <c:layout>
                <c:manualLayout>
                  <c:x val="-8.6506298866159168E-2"/>
                  <c:y val="-5.4294001798133853E-4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display'!$B$83:$L$83</c:f>
              <c:numCache>
                <c:formatCode>_-* #,##0_-;\-* #,##0_-;_-* "-"??_-;_-@_-</c:formatCode>
                <c:ptCount val="11"/>
                <c:pt idx="0">
                  <c:v>4912442902.313571</c:v>
                </c:pt>
                <c:pt idx="1">
                  <c:v>5789435937.0202179</c:v>
                </c:pt>
                <c:pt idx="2">
                  <c:v>6666428971.7268648</c:v>
                </c:pt>
                <c:pt idx="3">
                  <c:v>7543422006.4335108</c:v>
                </c:pt>
                <c:pt idx="4">
                  <c:v>8048756454.5379753</c:v>
                </c:pt>
                <c:pt idx="5">
                  <c:v>5756282082.9487886</c:v>
                </c:pt>
                <c:pt idx="6">
                  <c:v>6435062807.5474987</c:v>
                </c:pt>
                <c:pt idx="7">
                  <c:v>7113843532.1462078</c:v>
                </c:pt>
                <c:pt idx="8">
                  <c:v>8166656670.9801378</c:v>
                </c:pt>
                <c:pt idx="9">
                  <c:v>9219469809.8140678</c:v>
                </c:pt>
                <c:pt idx="10">
                  <c:v>10272282948.647999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D6D-9EE3-301D25D017E9}"/>
            </c:ext>
          </c:extLst>
        </c:ser>
        <c:ser>
          <c:idx val="2"/>
          <c:order val="3"/>
          <c:tx>
            <c:strRef>
              <c:f>'PKM display'!$A$85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5365406277704267"/>
                  <c:y val="-8.057916852171172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display'!$B$85:$L$85</c:f>
              <c:numCache>
                <c:formatCode>_-* #,##0_-;\-* #,##0_-;_-* "-"??_-;_-@_-</c:formatCode>
                <c:ptCount val="11"/>
                <c:pt idx="0">
                  <c:v>3875062196.0442853</c:v>
                </c:pt>
                <c:pt idx="1">
                  <c:v>4150511794.0063386</c:v>
                </c:pt>
                <c:pt idx="2">
                  <c:v>4425961391.9683924</c:v>
                </c:pt>
                <c:pt idx="3">
                  <c:v>4701410989.9304457</c:v>
                </c:pt>
                <c:pt idx="4">
                  <c:v>7262984713.167099</c:v>
                </c:pt>
                <c:pt idx="5">
                  <c:v>5771980169.5604744</c:v>
                </c:pt>
                <c:pt idx="6">
                  <c:v>5725229686.2500992</c:v>
                </c:pt>
                <c:pt idx="7">
                  <c:v>5678479202.9397249</c:v>
                </c:pt>
                <c:pt idx="8">
                  <c:v>5761495852.0558167</c:v>
                </c:pt>
                <c:pt idx="9">
                  <c:v>5844512501.1719084</c:v>
                </c:pt>
                <c:pt idx="10">
                  <c:v>5927529150.2879992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D6D-9EE3-301D25D017E9}"/>
            </c:ext>
          </c:extLst>
        </c:ser>
        <c:ser>
          <c:idx val="7"/>
          <c:order val="4"/>
          <c:tx>
            <c:strRef>
              <c:f>'PKM display'!$A$90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444444033957389"/>
                  <c:y val="-7.386421934422159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display'!$B$90:$L$90</c:f>
              <c:numCache>
                <c:formatCode>_-* #,##0_-;\-* #,##0_-;_-* "-"??_-;_-@_-</c:formatCode>
                <c:ptCount val="11"/>
                <c:pt idx="0">
                  <c:v>7027564286.1599998</c:v>
                </c:pt>
                <c:pt idx="1">
                  <c:v>6871780406.8804903</c:v>
                </c:pt>
                <c:pt idx="2">
                  <c:v>6715996527.6009808</c:v>
                </c:pt>
                <c:pt idx="3">
                  <c:v>6560212648.3214722</c:v>
                </c:pt>
                <c:pt idx="4">
                  <c:v>5469797669.5738354</c:v>
                </c:pt>
                <c:pt idx="5">
                  <c:v>7576455423.9867735</c:v>
                </c:pt>
                <c:pt idx="6">
                  <c:v>7054928833.5176411</c:v>
                </c:pt>
                <c:pt idx="7">
                  <c:v>6533402243.0485096</c:v>
                </c:pt>
                <c:pt idx="8">
                  <c:v>6965678924.3096733</c:v>
                </c:pt>
                <c:pt idx="9">
                  <c:v>7397955605.570837</c:v>
                </c:pt>
                <c:pt idx="10">
                  <c:v>7830232286.8319998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6F-4D6D-9EE3-301D25D017E9}"/>
            </c:ext>
          </c:extLst>
        </c:ser>
        <c:ser>
          <c:idx val="4"/>
          <c:order val="5"/>
          <c:tx>
            <c:strRef>
              <c:f>'PKM display'!$A$87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737685725029116"/>
                  <c:y val="-8.4432713000355208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display'!$B$87:$L$87</c:f>
              <c:numCache>
                <c:formatCode>_-* #,##0_-;\-* #,##0_-;_-* "-"??_-;_-@_-</c:formatCode>
                <c:ptCount val="11"/>
                <c:pt idx="0">
                  <c:v>4968776942.297142</c:v>
                </c:pt>
                <c:pt idx="1">
                  <c:v>4391268702.2282438</c:v>
                </c:pt>
                <c:pt idx="2">
                  <c:v>3813760462.1593461</c:v>
                </c:pt>
                <c:pt idx="3">
                  <c:v>3236252222.0904484</c:v>
                </c:pt>
                <c:pt idx="4">
                  <c:v>3121411922.0722361</c:v>
                </c:pt>
                <c:pt idx="5">
                  <c:v>3400424950.5024071</c:v>
                </c:pt>
                <c:pt idx="6">
                  <c:v>3751189256.4140301</c:v>
                </c:pt>
                <c:pt idx="7">
                  <c:v>4101953562.3256531</c:v>
                </c:pt>
                <c:pt idx="8">
                  <c:v>4065806048.7291021</c:v>
                </c:pt>
                <c:pt idx="9">
                  <c:v>4029658535.1325512</c:v>
                </c:pt>
                <c:pt idx="10">
                  <c:v>3993511021.5359998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6F-4D6D-9EE3-301D25D017E9}"/>
            </c:ext>
          </c:extLst>
        </c:ser>
        <c:ser>
          <c:idx val="3"/>
          <c:order val="6"/>
          <c:tx>
            <c:strRef>
              <c:f>'PKM display'!$A$86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1963344326818083"/>
                  <c:y val="-9.00615605337122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display'!$B$86:$L$86</c:f>
              <c:numCache>
                <c:formatCode>_-* #,##0_-;\-* #,##0_-;_-* "-"??_-;_-@_-</c:formatCode>
                <c:ptCount val="11"/>
                <c:pt idx="0">
                  <c:v>5507218473.9235697</c:v>
                </c:pt>
                <c:pt idx="1">
                  <c:v>4267822628.9624939</c:v>
                </c:pt>
                <c:pt idx="2">
                  <c:v>3028426784.0014181</c:v>
                </c:pt>
                <c:pt idx="3">
                  <c:v>1789030939.040343</c:v>
                </c:pt>
                <c:pt idx="4">
                  <c:v>2681463899.1065645</c:v>
                </c:pt>
                <c:pt idx="5">
                  <c:v>3012806606.9094148</c:v>
                </c:pt>
                <c:pt idx="6">
                  <c:v>2562829235.6835799</c:v>
                </c:pt>
                <c:pt idx="7">
                  <c:v>2112851864.4577448</c:v>
                </c:pt>
                <c:pt idx="8">
                  <c:v>2208760935.8304968</c:v>
                </c:pt>
                <c:pt idx="9">
                  <c:v>2304670007.2032485</c:v>
                </c:pt>
                <c:pt idx="10">
                  <c:v>2400579078.5760002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D6D-9EE3-301D25D017E9}"/>
            </c:ext>
          </c:extLst>
        </c:ser>
        <c:ser>
          <c:idx val="1"/>
          <c:order val="7"/>
          <c:tx>
            <c:strRef>
              <c:f>'PKM display'!$A$84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1230240099138773"/>
                  <c:y val="-8.31221222793996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50572288868006E-2"/>
                      <c:h val="3.2981279206571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display'!$B$84:$L$84</c:f>
              <c:numCache>
                <c:formatCode>_-* #,##0_-;\-* #,##0_-;_-* "-"??_-;_-@_-</c:formatCode>
                <c:ptCount val="11"/>
                <c:pt idx="0">
                  <c:v>2294831660.2199998</c:v>
                </c:pt>
                <c:pt idx="1">
                  <c:v>2243608842.5541124</c:v>
                </c:pt>
                <c:pt idx="2">
                  <c:v>2192386024.8882251</c:v>
                </c:pt>
                <c:pt idx="3">
                  <c:v>2141163207.222338</c:v>
                </c:pt>
                <c:pt idx="4">
                  <c:v>2777588776.8574338</c:v>
                </c:pt>
                <c:pt idx="5">
                  <c:v>1972836667.3669925</c:v>
                </c:pt>
                <c:pt idx="6">
                  <c:v>1814852135.0957899</c:v>
                </c:pt>
                <c:pt idx="7">
                  <c:v>1656867602.8245873</c:v>
                </c:pt>
                <c:pt idx="8">
                  <c:v>1677820251.7230582</c:v>
                </c:pt>
                <c:pt idx="9">
                  <c:v>1698772900.6215291</c:v>
                </c:pt>
                <c:pt idx="10">
                  <c:v>1719725549.52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D6D-9EE3-301D25D017E9}"/>
            </c:ext>
          </c:extLst>
        </c:ser>
        <c:ser>
          <c:idx val="6"/>
          <c:order val="8"/>
          <c:tx>
            <c:strRef>
              <c:f>'PKM display'!$A$89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049598516113709"/>
                  <c:y val="-9.45667438380186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503367530621198E-2"/>
                      <c:h val="4.47821358994377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display'!$B$89:$L$89</c:f>
              <c:numCache>
                <c:formatCode>_-* #,##0_-;\-* #,##0_-;_-* "-"??_-;_-@_-</c:formatCode>
                <c:ptCount val="11"/>
                <c:pt idx="0">
                  <c:v>736414184.05499995</c:v>
                </c:pt>
                <c:pt idx="1">
                  <c:v>738396380.78963268</c:v>
                </c:pt>
                <c:pt idx="2">
                  <c:v>740378577.52426541</c:v>
                </c:pt>
                <c:pt idx="3">
                  <c:v>742360774.25889802</c:v>
                </c:pt>
                <c:pt idx="4">
                  <c:v>1228135960.7301898</c:v>
                </c:pt>
                <c:pt idx="5">
                  <c:v>734268717.88953209</c:v>
                </c:pt>
                <c:pt idx="6">
                  <c:v>868070427.31170297</c:v>
                </c:pt>
                <c:pt idx="7">
                  <c:v>1001872136.7338737</c:v>
                </c:pt>
                <c:pt idx="8">
                  <c:v>1249924547.7265825</c:v>
                </c:pt>
                <c:pt idx="9">
                  <c:v>1497976958.7192912</c:v>
                </c:pt>
                <c:pt idx="10">
                  <c:v>1746029369.7119999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6F-4D6D-9EE3-301D25D01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06463"/>
        <c:axId val="861822927"/>
      </c:areaChart>
      <c:catAx>
        <c:axId val="72810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22927"/>
        <c:crosses val="autoZero"/>
        <c:auto val="1"/>
        <c:lblAlgn val="ctr"/>
        <c:lblOffset val="100"/>
        <c:noMultiLvlLbl val="0"/>
      </c:catAx>
      <c:valAx>
        <c:axId val="8618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</a:t>
                </a:r>
                <a:r>
                  <a:rPr lang="en-IE" baseline="0"/>
                  <a:t> Kilometres (Pkm)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06463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Bus Eireann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300121</c:v>
              </c:pt>
              <c:pt idx="1">
                <c:v>307397</c:v>
              </c:pt>
              <c:pt idx="2">
                <c:v>301606</c:v>
              </c:pt>
              <c:pt idx="3">
                <c:v>297760</c:v>
              </c:pt>
              <c:pt idx="4">
                <c:v>297319</c:v>
              </c:pt>
              <c:pt idx="5">
                <c:v>297632</c:v>
              </c:pt>
              <c:pt idx="6">
                <c:v>302945</c:v>
              </c:pt>
              <c:pt idx="7">
                <c:v>279972</c:v>
              </c:pt>
              <c:pt idx="8">
                <c:v>301941</c:v>
              </c:pt>
            </c:numLit>
          </c:val>
          <c:extLst>
            <c:ext xmlns:c16="http://schemas.microsoft.com/office/drawing/2014/chart" uri="{C3380CC4-5D6E-409C-BE32-E72D297353CC}">
              <c16:uniqueId val="{00000000-AC72-4B7D-A15A-467CDB59B213}"/>
            </c:ext>
          </c:extLst>
        </c:ser>
        <c:ser>
          <c:idx val="1"/>
          <c:order val="1"/>
          <c:tx>
            <c:v>Dublin Bus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336579</c:v>
              </c:pt>
              <c:pt idx="1">
                <c:v>336089</c:v>
              </c:pt>
              <c:pt idx="2">
                <c:v>299453</c:v>
              </c:pt>
              <c:pt idx="3">
                <c:v>293044</c:v>
              </c:pt>
              <c:pt idx="4">
                <c:v>293714</c:v>
              </c:pt>
              <c:pt idx="5">
                <c:v>296578</c:v>
              </c:pt>
              <c:pt idx="6">
                <c:v>294508</c:v>
              </c:pt>
              <c:pt idx="7">
                <c:v>295230</c:v>
              </c:pt>
              <c:pt idx="8">
                <c:v>283160</c:v>
              </c:pt>
            </c:numLit>
          </c:val>
          <c:extLst>
            <c:ext xmlns:c16="http://schemas.microsoft.com/office/drawing/2014/chart" uri="{C3380CC4-5D6E-409C-BE32-E72D297353CC}">
              <c16:uniqueId val="{00000001-AC72-4B7D-A15A-467CDB59B213}"/>
            </c:ext>
          </c:extLst>
        </c:ser>
        <c:ser>
          <c:idx val="2"/>
          <c:order val="2"/>
          <c:tx>
            <c:v>Irish Rail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547900</c:v>
              </c:pt>
              <c:pt idx="1">
                <c:v>544100</c:v>
              </c:pt>
              <c:pt idx="2">
                <c:v>526800</c:v>
              </c:pt>
              <c:pt idx="3">
                <c:v>520700</c:v>
              </c:pt>
              <c:pt idx="4">
                <c:v>480300</c:v>
              </c:pt>
              <c:pt idx="5">
                <c:v>476700</c:v>
              </c:pt>
              <c:pt idx="6">
                <c:v>499047</c:v>
              </c:pt>
              <c:pt idx="7">
                <c:v>509256</c:v>
              </c:pt>
              <c:pt idx="8">
                <c:v>517785</c:v>
              </c:pt>
            </c:numLit>
          </c:val>
          <c:extLst>
            <c:ext xmlns:c16="http://schemas.microsoft.com/office/drawing/2014/chart" uri="{C3380CC4-5D6E-409C-BE32-E72D297353CC}">
              <c16:uniqueId val="{00000002-AC72-4B7D-A15A-467CDB59B213}"/>
            </c:ext>
          </c:extLst>
        </c:ser>
        <c:ser>
          <c:idx val="3"/>
          <c:order val="3"/>
          <c:tx>
            <c:v>Luas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21000</c:v>
              </c:pt>
              <c:pt idx="1">
                <c:v>21000</c:v>
              </c:pt>
              <c:pt idx="2">
                <c:v>21000</c:v>
              </c:pt>
              <c:pt idx="3">
                <c:v>21000</c:v>
              </c:pt>
              <c:pt idx="4">
                <c:v>21000</c:v>
              </c:pt>
              <c:pt idx="5">
                <c:v>21000</c:v>
              </c:pt>
              <c:pt idx="6">
                <c:v>21000</c:v>
              </c:pt>
              <c:pt idx="7">
                <c:v>21000</c:v>
              </c:pt>
              <c:pt idx="8">
                <c:v>21000</c:v>
              </c:pt>
            </c:numLit>
          </c:val>
          <c:extLst>
            <c:ext xmlns:c16="http://schemas.microsoft.com/office/drawing/2014/chart" uri="{C3380CC4-5D6E-409C-BE32-E72D297353CC}">
              <c16:uniqueId val="{00000003-AC72-4B7D-A15A-467CDB59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2075311"/>
        <c:axId val="1323046479"/>
      </c:barChart>
      <c:catAx>
        <c:axId val="1472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046479"/>
        <c:crosses val="autoZero"/>
        <c:auto val="1"/>
        <c:lblAlgn val="ctr"/>
        <c:lblOffset val="100"/>
        <c:noMultiLvlLbl val="0"/>
      </c:catAx>
      <c:valAx>
        <c:axId val="132304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Total</a:t>
                </a:r>
                <a:r>
                  <a:rPr lang="en-IE" baseline="0"/>
                  <a:t> Energy Consumption (MWH)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7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calc.!Emissions_Intensity_Pivot_Table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calc.'!$B$1:$B$2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calc.'!$B$3:$B$11</c:f>
              <c:numCache>
                <c:formatCode>0.0</c:formatCode>
                <c:ptCount val="9"/>
                <c:pt idx="0">
                  <c:v>120.85393473053892</c:v>
                </c:pt>
                <c:pt idx="1">
                  <c:v>122.39199063795034</c:v>
                </c:pt>
                <c:pt idx="2">
                  <c:v>122.69272369370873</c:v>
                </c:pt>
                <c:pt idx="3">
                  <c:v>121.88746457728054</c:v>
                </c:pt>
                <c:pt idx="4">
                  <c:v>124.62883418383154</c:v>
                </c:pt>
                <c:pt idx="5">
                  <c:v>125.18880280260738</c:v>
                </c:pt>
                <c:pt idx="6">
                  <c:v>123.90473187717517</c:v>
                </c:pt>
                <c:pt idx="7">
                  <c:v>122.39013937994162</c:v>
                </c:pt>
                <c:pt idx="8">
                  <c:v>120.42919485982483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B-478A-AAF9-3B5A16A2AC06}"/>
            </c:ext>
          </c:extLst>
        </c:ser>
        <c:ser>
          <c:idx val="1"/>
          <c:order val="1"/>
          <c:tx>
            <c:strRef>
              <c:f>'Pivot Tables Emissions calc.'!$C$1:$C$2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calc.'!$C$3:$C$11</c:f>
              <c:numCache>
                <c:formatCode>0.0</c:formatCode>
                <c:ptCount val="9"/>
                <c:pt idx="0">
                  <c:v>125.10660465842953</c:v>
                </c:pt>
                <c:pt idx="1">
                  <c:v>124.96902487063288</c:v>
                </c:pt>
                <c:pt idx="2">
                  <c:v>124.8128556115047</c:v>
                </c:pt>
                <c:pt idx="3">
                  <c:v>124.47143524167987</c:v>
                </c:pt>
                <c:pt idx="4">
                  <c:v>124.21712594344631</c:v>
                </c:pt>
                <c:pt idx="5">
                  <c:v>123.92482689257048</c:v>
                </c:pt>
                <c:pt idx="6">
                  <c:v>122.33232964196444</c:v>
                </c:pt>
                <c:pt idx="7">
                  <c:v>121.60262138145234</c:v>
                </c:pt>
                <c:pt idx="8">
                  <c:v>120.6687305107329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B-478A-AAF9-3B5A16A2AC06}"/>
            </c:ext>
          </c:extLst>
        </c:ser>
        <c:ser>
          <c:idx val="2"/>
          <c:order val="2"/>
          <c:tx>
            <c:strRef>
              <c:f>'Pivot Tables Emissions calc.'!$D$1:$D$2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calc.'!$D$3:$D$11</c:f>
              <c:numCache>
                <c:formatCode>0.0</c:formatCode>
                <c:ptCount val="9"/>
                <c:pt idx="0">
                  <c:v>40.605035114210004</c:v>
                </c:pt>
                <c:pt idx="1">
                  <c:v>35.49510644710535</c:v>
                </c:pt>
                <c:pt idx="2">
                  <c:v>33.832675268658178</c:v>
                </c:pt>
                <c:pt idx="3">
                  <c:v>35.596139828196918</c:v>
                </c:pt>
                <c:pt idx="4">
                  <c:v>32.400166054997037</c:v>
                </c:pt>
                <c:pt idx="5">
                  <c:v>30.543916912019906</c:v>
                </c:pt>
                <c:pt idx="6">
                  <c:v>31.665763212865645</c:v>
                </c:pt>
                <c:pt idx="7">
                  <c:v>32.298246434342154</c:v>
                </c:pt>
                <c:pt idx="8">
                  <c:v>30.510971266556925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B-478A-AAF9-3B5A16A2AC06}"/>
            </c:ext>
          </c:extLst>
        </c:ser>
        <c:ser>
          <c:idx val="3"/>
          <c:order val="3"/>
          <c:tx>
            <c:strRef>
              <c:f>'Pivot Tables Emissions calc.'!$E$1:$E$2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calc.'!$E$3:$E$11</c:f>
              <c:numCache>
                <c:formatCode>0.0</c:formatCode>
                <c:ptCount val="9"/>
                <c:pt idx="0">
                  <c:v>47.018244727103053</c:v>
                </c:pt>
                <c:pt idx="1">
                  <c:v>40.893284566123846</c:v>
                </c:pt>
                <c:pt idx="2">
                  <c:v>38.5314400990476</c:v>
                </c:pt>
                <c:pt idx="3">
                  <c:v>41.447302670973215</c:v>
                </c:pt>
                <c:pt idx="4">
                  <c:v>38.009769269744481</c:v>
                </c:pt>
                <c:pt idx="5">
                  <c:v>37.392354332869573</c:v>
                </c:pt>
                <c:pt idx="6">
                  <c:v>38.072156931546218</c:v>
                </c:pt>
                <c:pt idx="7">
                  <c:v>39.020881763760983</c:v>
                </c:pt>
                <c:pt idx="8">
                  <c:v>36.339969012083131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FB-478A-AAF9-3B5A16A2AC06}"/>
            </c:ext>
          </c:extLst>
        </c:ser>
        <c:ser>
          <c:idx val="4"/>
          <c:order val="4"/>
          <c:tx>
            <c:strRef>
              <c:f>'Pivot Tables Emissions calc.'!$F$1:$F$2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calc.'!$F$3:$F$11</c:f>
              <c:numCache>
                <c:formatCode>0.0</c:formatCode>
                <c:ptCount val="9"/>
                <c:pt idx="0">
                  <c:v>64.819328859060406</c:v>
                </c:pt>
                <c:pt idx="1">
                  <c:v>54.046711409395968</c:v>
                </c:pt>
                <c:pt idx="2">
                  <c:v>49.884563758389262</c:v>
                </c:pt>
                <c:pt idx="3">
                  <c:v>54.067114093959731</c:v>
                </c:pt>
                <c:pt idx="4">
                  <c:v>47.660671140939591</c:v>
                </c:pt>
                <c:pt idx="5">
                  <c:v>46.405906040268448</c:v>
                </c:pt>
                <c:pt idx="6">
                  <c:v>47.426040268456376</c:v>
                </c:pt>
                <c:pt idx="7">
                  <c:v>49.007248322147646</c:v>
                </c:pt>
                <c:pt idx="8">
                  <c:v>44.539060402684569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7FB-478A-AAF9-3B5A16A2AC06}"/>
            </c:ext>
          </c:extLst>
        </c:ser>
        <c:ser>
          <c:idx val="5"/>
          <c:order val="5"/>
          <c:tx>
            <c:strRef>
              <c:f>'Pivot Tables Emissions calc.'!$G$1:$G$2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calc.'!$G$3:$G$11</c:f>
              <c:numCache>
                <c:formatCode>0.0</c:formatCode>
                <c:ptCount val="9"/>
                <c:pt idx="0">
                  <c:v>69.358043893199735</c:v>
                </c:pt>
                <c:pt idx="1">
                  <c:v>68.730908021738486</c:v>
                </c:pt>
                <c:pt idx="2">
                  <c:v>65.958964431550996</c:v>
                </c:pt>
                <c:pt idx="3">
                  <c:v>65.636392456294487</c:v>
                </c:pt>
                <c:pt idx="4">
                  <c:v>59.946102185328762</c:v>
                </c:pt>
                <c:pt idx="5">
                  <c:v>59.251106606863559</c:v>
                </c:pt>
                <c:pt idx="6">
                  <c:v>61.230082685655717</c:v>
                </c:pt>
                <c:pt idx="7">
                  <c:v>64.546420197874752</c:v>
                </c:pt>
                <c:pt idx="8">
                  <c:v>65.140403493455111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7FB-478A-AAF9-3B5A16A2AC06}"/>
            </c:ext>
          </c:extLst>
        </c:ser>
        <c:ser>
          <c:idx val="6"/>
          <c:order val="6"/>
          <c:tx>
            <c:strRef>
              <c:f>'Pivot Tables Emissions calc.'!$H$1:$H$2</c:f>
              <c:strCache>
                <c:ptCount val="1"/>
                <c:pt idx="0">
                  <c:v>Luas (Light Rail)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calc.'!$H$3:$H$11</c:f>
              <c:numCache>
                <c:formatCode>0.0</c:formatCode>
                <c:ptCount val="9"/>
                <c:pt idx="0">
                  <c:v>40.632983612763176</c:v>
                </c:pt>
                <c:pt idx="1">
                  <c:v>25.714490337856063</c:v>
                </c:pt>
                <c:pt idx="2">
                  <c:v>24.237789146004257</c:v>
                </c:pt>
                <c:pt idx="3">
                  <c:v>25.487471479376428</c:v>
                </c:pt>
                <c:pt idx="4">
                  <c:v>20.299446716273671</c:v>
                </c:pt>
                <c:pt idx="5">
                  <c:v>20.782194279969286</c:v>
                </c:pt>
                <c:pt idx="6">
                  <c:v>23.921636598272382</c:v>
                </c:pt>
                <c:pt idx="7">
                  <c:v>21.810894652844528</c:v>
                </c:pt>
                <c:pt idx="8">
                  <c:v>18.508966303040559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7FB-478A-AAF9-3B5A16A2AC06}"/>
            </c:ext>
          </c:extLst>
        </c:ser>
        <c:ser>
          <c:idx val="7"/>
          <c:order val="7"/>
          <c:tx>
            <c:strRef>
              <c:f>'Pivot Tables Emissions calc.'!$I$1:$I$2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calc.'!$I$3:$I$11</c:f>
              <c:numCache>
                <c:formatCode>0.0</c:formatCode>
                <c:ptCount val="9"/>
                <c:pt idx="0">
                  <c:v>72.688216780918225</c:v>
                </c:pt>
                <c:pt idx="1">
                  <c:v>90.859613255221404</c:v>
                </c:pt>
                <c:pt idx="2">
                  <c:v>87.497778340935383</c:v>
                </c:pt>
                <c:pt idx="3">
                  <c:v>67.483040780434507</c:v>
                </c:pt>
                <c:pt idx="4">
                  <c:v>61.416678676175025</c:v>
                </c:pt>
                <c:pt idx="5">
                  <c:v>61.988641333086548</c:v>
                </c:pt>
                <c:pt idx="6">
                  <c:v>91.404597314144084</c:v>
                </c:pt>
                <c:pt idx="7">
                  <c:v>87.993009709124152</c:v>
                </c:pt>
                <c:pt idx="8">
                  <c:v>47.805809465208206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7FB-478A-AAF9-3B5A16A2AC06}"/>
            </c:ext>
          </c:extLst>
        </c:ser>
        <c:ser>
          <c:idx val="8"/>
          <c:order val="8"/>
          <c:tx>
            <c:strRef>
              <c:f>'Pivot Tables Emissions calc.'!$J$1:$J$2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calc.'!$J$3:$J$11</c:f>
              <c:numCache>
                <c:formatCode>0.0</c:formatCode>
                <c:ptCount val="9"/>
                <c:pt idx="0">
                  <c:v>54.814507911947302</c:v>
                </c:pt>
                <c:pt idx="1">
                  <c:v>68.872251878095867</c:v>
                </c:pt>
                <c:pt idx="2">
                  <c:v>65.863925988310214</c:v>
                </c:pt>
                <c:pt idx="3">
                  <c:v>51.06597977333</c:v>
                </c:pt>
                <c:pt idx="4">
                  <c:v>44.334557228380255</c:v>
                </c:pt>
                <c:pt idx="5">
                  <c:v>44.393565813954858</c:v>
                </c:pt>
                <c:pt idx="6">
                  <c:v>67.449540740862631</c:v>
                </c:pt>
                <c:pt idx="7">
                  <c:v>65.708282091525376</c:v>
                </c:pt>
                <c:pt idx="8">
                  <c:v>38.269622398160024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7FB-478A-AAF9-3B5A16A2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037887"/>
        <c:axId val="1476322431"/>
      </c:lineChart>
      <c:catAx>
        <c:axId val="190603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22431"/>
        <c:crosses val="autoZero"/>
        <c:auto val="1"/>
        <c:lblAlgn val="ctr"/>
        <c:lblOffset val="100"/>
        <c:noMultiLvlLbl val="0"/>
      </c:catAx>
      <c:valAx>
        <c:axId val="147632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378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calc.'!$B$18:$B$19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calc.'!$B$20:$B$28</c:f>
              <c:numCache>
                <c:formatCode>General</c:formatCode>
                <c:ptCount val="9"/>
                <c:pt idx="0">
                  <c:v>10959399339</c:v>
                </c:pt>
                <c:pt idx="1">
                  <c:v>12526350906</c:v>
                </c:pt>
                <c:pt idx="2">
                  <c:v>13541022168</c:v>
                </c:pt>
                <c:pt idx="3">
                  <c:v>14752242235</c:v>
                </c:pt>
                <c:pt idx="4">
                  <c:v>16684732301</c:v>
                </c:pt>
                <c:pt idx="5">
                  <c:v>19198399205</c:v>
                </c:pt>
                <c:pt idx="6">
                  <c:v>21618978317</c:v>
                </c:pt>
                <c:pt idx="7">
                  <c:v>23766498565</c:v>
                </c:pt>
                <c:pt idx="8">
                  <c:v>23972319492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8-4A00-904A-E2A6413EB48A}"/>
            </c:ext>
          </c:extLst>
        </c:ser>
        <c:ser>
          <c:idx val="1"/>
          <c:order val="1"/>
          <c:tx>
            <c:strRef>
              <c:f>'Pivot Tables Emissions calc.'!$C$18:$C$19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calc.'!$C$20:$C$28</c:f>
              <c:numCache>
                <c:formatCode>General</c:formatCode>
                <c:ptCount val="9"/>
                <c:pt idx="0">
                  <c:v>606092</c:v>
                </c:pt>
                <c:pt idx="1">
                  <c:v>1370622</c:v>
                </c:pt>
                <c:pt idx="2">
                  <c:v>4054688</c:v>
                </c:pt>
                <c:pt idx="3">
                  <c:v>4105503</c:v>
                </c:pt>
                <c:pt idx="4">
                  <c:v>7825666</c:v>
                </c:pt>
                <c:pt idx="5">
                  <c:v>16281443</c:v>
                </c:pt>
                <c:pt idx="6">
                  <c:v>24853198</c:v>
                </c:pt>
                <c:pt idx="7">
                  <c:v>39747301</c:v>
                </c:pt>
                <c:pt idx="8">
                  <c:v>61724141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8-4A00-904A-E2A6413EB48A}"/>
            </c:ext>
          </c:extLst>
        </c:ser>
        <c:ser>
          <c:idx val="2"/>
          <c:order val="2"/>
          <c:tx>
            <c:strRef>
              <c:f>'Pivot Tables Emissions calc.'!$D$18:$D$19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calc.'!$D$20:$D$28</c:f>
              <c:numCache>
                <c:formatCode>General</c:formatCode>
                <c:ptCount val="9"/>
                <c:pt idx="0">
                  <c:v>90235482</c:v>
                </c:pt>
                <c:pt idx="1">
                  <c:v>101220024</c:v>
                </c:pt>
                <c:pt idx="2">
                  <c:v>132652109</c:v>
                </c:pt>
                <c:pt idx="3">
                  <c:v>116713683</c:v>
                </c:pt>
                <c:pt idx="4">
                  <c:v>133293917</c:v>
                </c:pt>
                <c:pt idx="5">
                  <c:v>162705393</c:v>
                </c:pt>
                <c:pt idx="6">
                  <c:v>202000218</c:v>
                </c:pt>
                <c:pt idx="7">
                  <c:v>298864147</c:v>
                </c:pt>
                <c:pt idx="8">
                  <c:v>412781948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8-4A00-904A-E2A6413EB48A}"/>
            </c:ext>
          </c:extLst>
        </c:ser>
        <c:ser>
          <c:idx val="3"/>
          <c:order val="3"/>
          <c:tx>
            <c:strRef>
              <c:f>'Pivot Tables Emissions calc.'!$E$18:$E$19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calc.'!$E$20:$E$28</c:f>
              <c:numCache>
                <c:formatCode>General</c:formatCode>
                <c:ptCount val="9"/>
                <c:pt idx="0">
                  <c:v>20132966506</c:v>
                </c:pt>
                <c:pt idx="1">
                  <c:v>18807795150</c:v>
                </c:pt>
                <c:pt idx="2">
                  <c:v>15857327208</c:v>
                </c:pt>
                <c:pt idx="3">
                  <c:v>16948237773</c:v>
                </c:pt>
                <c:pt idx="4">
                  <c:v>15497223549</c:v>
                </c:pt>
                <c:pt idx="5">
                  <c:v>15142086282</c:v>
                </c:pt>
                <c:pt idx="6">
                  <c:v>14318726283</c:v>
                </c:pt>
                <c:pt idx="7">
                  <c:v>13271978988</c:v>
                </c:pt>
                <c:pt idx="8">
                  <c:v>11710674441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88-4A00-904A-E2A6413EB48A}"/>
            </c:ext>
          </c:extLst>
        </c:ser>
        <c:ser>
          <c:idx val="4"/>
          <c:order val="4"/>
          <c:tx>
            <c:strRef>
              <c:f>'Pivot Tables Emissions calc.'!$F$18:$F$19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calc.'!$F$20:$F$28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12039</c:v>
                </c:pt>
                <c:pt idx="6">
                  <c:v>6601685</c:v>
                </c:pt>
                <c:pt idx="7">
                  <c:v>12692006</c:v>
                </c:pt>
                <c:pt idx="8">
                  <c:v>37824250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88-4A00-904A-E2A6413EB48A}"/>
            </c:ext>
          </c:extLst>
        </c:ser>
        <c:ser>
          <c:idx val="5"/>
          <c:order val="5"/>
          <c:tx>
            <c:strRef>
              <c:f>'Pivot Tables Emissions calc.'!$G$18:$G$19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calc.'!$G$20:$G$28</c:f>
              <c:numCache>
                <c:formatCode>General</c:formatCode>
                <c:ptCount val="9"/>
                <c:pt idx="0">
                  <c:v>15950000</c:v>
                </c:pt>
                <c:pt idx="1">
                  <c:v>15960000</c:v>
                </c:pt>
                <c:pt idx="2">
                  <c:v>15960000</c:v>
                </c:pt>
                <c:pt idx="3">
                  <c:v>15970000</c:v>
                </c:pt>
                <c:pt idx="4">
                  <c:v>15965000</c:v>
                </c:pt>
                <c:pt idx="5">
                  <c:v>15965000</c:v>
                </c:pt>
                <c:pt idx="6">
                  <c:v>15960000</c:v>
                </c:pt>
                <c:pt idx="7">
                  <c:v>15010000</c:v>
                </c:pt>
                <c:pt idx="8">
                  <c:v>16200000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88-4A00-904A-E2A6413EB48A}"/>
            </c:ext>
          </c:extLst>
        </c:ser>
        <c:ser>
          <c:idx val="6"/>
          <c:order val="6"/>
          <c:tx>
            <c:strRef>
              <c:f>'Pivot Tables Emissions calc.'!$H$18:$H$19</c:f>
              <c:strCache>
                <c:ptCount val="1"/>
                <c:pt idx="0">
                  <c:v>Luas (Light Rail)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calc.'!$H$20:$H$28</c:f>
              <c:numCache>
                <c:formatCode>General</c:formatCode>
                <c:ptCount val="9"/>
                <c:pt idx="0">
                  <c:v>2900000</c:v>
                </c:pt>
                <c:pt idx="1">
                  <c:v>3690000</c:v>
                </c:pt>
                <c:pt idx="2">
                  <c:v>3840000</c:v>
                </c:pt>
                <c:pt idx="3">
                  <c:v>3540000</c:v>
                </c:pt>
                <c:pt idx="4">
                  <c:v>3667000</c:v>
                </c:pt>
                <c:pt idx="5">
                  <c:v>3664000</c:v>
                </c:pt>
                <c:pt idx="6">
                  <c:v>3490000</c:v>
                </c:pt>
                <c:pt idx="7">
                  <c:v>3660000</c:v>
                </c:pt>
                <c:pt idx="8">
                  <c:v>4070000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88-4A00-904A-E2A6413EB48A}"/>
            </c:ext>
          </c:extLst>
        </c:ser>
        <c:ser>
          <c:idx val="7"/>
          <c:order val="7"/>
          <c:tx>
            <c:strRef>
              <c:f>'Pivot Tables Emissions calc.'!$I$18:$I$19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calc.'!$I$20:$I$28</c:f>
              <c:numCache>
                <c:formatCode>General</c:formatCode>
                <c:ptCount val="9"/>
                <c:pt idx="0">
                  <c:v>172452000</c:v>
                </c:pt>
                <c:pt idx="1">
                  <c:v>172452000</c:v>
                </c:pt>
                <c:pt idx="2">
                  <c:v>172452000</c:v>
                </c:pt>
                <c:pt idx="3">
                  <c:v>169432000</c:v>
                </c:pt>
                <c:pt idx="4">
                  <c:v>163579000</c:v>
                </c:pt>
                <c:pt idx="5">
                  <c:v>163013000</c:v>
                </c:pt>
                <c:pt idx="6">
                  <c:v>170602000</c:v>
                </c:pt>
                <c:pt idx="7">
                  <c:v>181752000</c:v>
                </c:pt>
                <c:pt idx="8">
                  <c:v>194179000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88-4A00-904A-E2A6413EB48A}"/>
            </c:ext>
          </c:extLst>
        </c:ser>
        <c:ser>
          <c:idx val="8"/>
          <c:order val="8"/>
          <c:tx>
            <c:strRef>
              <c:f>'Pivot Tables Emissions calc.'!$J$18:$J$19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calc.'!$J$20:$J$28</c:f>
              <c:numCache>
                <c:formatCode>General</c:formatCode>
                <c:ptCount val="9"/>
                <c:pt idx="0">
                  <c:v>61800000</c:v>
                </c:pt>
                <c:pt idx="1">
                  <c:v>60086140</c:v>
                </c:pt>
                <c:pt idx="2">
                  <c:v>57372160</c:v>
                </c:pt>
                <c:pt idx="3">
                  <c:v>56000000</c:v>
                </c:pt>
                <c:pt idx="4">
                  <c:v>57000000</c:v>
                </c:pt>
                <c:pt idx="5">
                  <c:v>57000000</c:v>
                </c:pt>
                <c:pt idx="6">
                  <c:v>57300000</c:v>
                </c:pt>
                <c:pt idx="7">
                  <c:v>58400000</c:v>
                </c:pt>
                <c:pt idx="8">
                  <c:v>57100000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88-4A00-904A-E2A6413E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230543"/>
        <c:axId val="2025115871"/>
      </c:lineChart>
      <c:catAx>
        <c:axId val="153523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115871"/>
        <c:crosses val="autoZero"/>
        <c:auto val="1"/>
        <c:lblAlgn val="ctr"/>
        <c:lblOffset val="100"/>
        <c:noMultiLvlLbl val="0"/>
      </c:catAx>
      <c:valAx>
        <c:axId val="20251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23054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calc.'!$B$31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calc.'!$A$32:$A$40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calc.'!$B$32:$B$40</c:f>
              <c:numCache>
                <c:formatCode>_-* #,##0_-;\-* #,##0_-;_-* "-"??_-;_-@_-</c:formatCode>
                <c:ptCount val="9"/>
                <c:pt idx="0">
                  <c:v>31183207419</c:v>
                </c:pt>
                <c:pt idx="1">
                  <c:v>31436736702</c:v>
                </c:pt>
                <c:pt idx="2">
                  <c:v>29535056173</c:v>
                </c:pt>
                <c:pt idx="3">
                  <c:v>31821299194</c:v>
                </c:pt>
                <c:pt idx="4">
                  <c:v>32323075433</c:v>
                </c:pt>
                <c:pt idx="5">
                  <c:v>34519472323</c:v>
                </c:pt>
                <c:pt idx="6">
                  <c:v>36164558016</c:v>
                </c:pt>
                <c:pt idx="7">
                  <c:v>37377089001</c:v>
                </c:pt>
                <c:pt idx="8">
                  <c:v>36157500022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A-4062-AB19-1A25FBEC388B}"/>
            </c:ext>
          </c:extLst>
        </c:ser>
        <c:ser>
          <c:idx val="1"/>
          <c:order val="1"/>
          <c:tx>
            <c:strRef>
              <c:f>'Pivot Tables Emissions calc.'!$C$31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Emissions calc.'!$A$32:$A$40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calc.'!$C$32:$C$40</c:f>
              <c:numCache>
                <c:formatCode>_-* #,##0_-;\-* #,##0_-;_-* "-"??_-;_-@_-</c:formatCode>
                <c:ptCount val="9"/>
                <c:pt idx="0">
                  <c:v>253102000</c:v>
                </c:pt>
                <c:pt idx="1">
                  <c:v>252188140</c:v>
                </c:pt>
                <c:pt idx="2">
                  <c:v>249624160</c:v>
                </c:pt>
                <c:pt idx="3">
                  <c:v>244942000</c:v>
                </c:pt>
                <c:pt idx="4">
                  <c:v>240211000</c:v>
                </c:pt>
                <c:pt idx="5">
                  <c:v>239654039</c:v>
                </c:pt>
                <c:pt idx="6">
                  <c:v>253953685</c:v>
                </c:pt>
                <c:pt idx="7">
                  <c:v>271514006</c:v>
                </c:pt>
                <c:pt idx="8">
                  <c:v>309373250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A-4062-AB19-1A25FBEC3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5764783"/>
        <c:axId val="1725882511"/>
      </c:barChart>
      <c:catAx>
        <c:axId val="186576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882511"/>
        <c:crosses val="autoZero"/>
        <c:auto val="1"/>
        <c:lblAlgn val="ctr"/>
        <c:lblOffset val="100"/>
        <c:noMultiLvlLbl val="0"/>
      </c:catAx>
      <c:valAx>
        <c:axId val="17258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6478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calc.'!$B$59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calc.'!$B$60:$B$68</c:f>
              <c:numCache>
                <c:formatCode>_-* #,##0_-;\-* #,##0_-;_-* "-"??_-;_-@_-</c:formatCode>
                <c:ptCount val="9"/>
                <c:pt idx="0">
                  <c:v>46462979054.309998</c:v>
                </c:pt>
                <c:pt idx="1">
                  <c:v>46840737685.979996</c:v>
                </c:pt>
                <c:pt idx="2">
                  <c:v>44007233697.769997</c:v>
                </c:pt>
                <c:pt idx="3">
                  <c:v>47413735799.059998</c:v>
                </c:pt>
                <c:pt idx="4">
                  <c:v>48161382395.169998</c:v>
                </c:pt>
                <c:pt idx="5">
                  <c:v>51434013761.270004</c:v>
                </c:pt>
                <c:pt idx="6">
                  <c:v>53885191443.839996</c:v>
                </c:pt>
                <c:pt idx="7">
                  <c:v>55691862611.48999</c:v>
                </c:pt>
                <c:pt idx="8">
                  <c:v>53874675032.779999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B-4E95-929D-87E3357A2DFA}"/>
            </c:ext>
          </c:extLst>
        </c:ser>
        <c:ser>
          <c:idx val="1"/>
          <c:order val="1"/>
          <c:tx>
            <c:strRef>
              <c:f>'Pivot Tables Emissions calc.'!$C$59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calc.'!$C$60:$C$68</c:f>
              <c:numCache>
                <c:formatCode>_-* #,##0_-;\-* #,##0_-;_-* "-"??_-;_-@_-</c:formatCode>
                <c:ptCount val="9"/>
                <c:pt idx="0">
                  <c:v>16051589462.04451</c:v>
                </c:pt>
                <c:pt idx="1">
                  <c:v>13839489390.705013</c:v>
                </c:pt>
                <c:pt idx="2">
                  <c:v>13792393974.360046</c:v>
                </c:pt>
                <c:pt idx="3">
                  <c:v>15569608892.152275</c:v>
                </c:pt>
                <c:pt idx="4">
                  <c:v>16534063026.927788</c:v>
                </c:pt>
                <c:pt idx="5">
                  <c:v>16526155959.112474</c:v>
                </c:pt>
                <c:pt idx="6">
                  <c:v>13595681168.861759</c:v>
                </c:pt>
                <c:pt idx="7">
                  <c:v>13495916915.077501</c:v>
                </c:pt>
                <c:pt idx="8">
                  <c:v>18260260741.144802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B-4E95-929D-87E3357A2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52527"/>
        <c:axId val="1476350303"/>
      </c:barChart>
      <c:catAx>
        <c:axId val="846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50303"/>
        <c:crosses val="autoZero"/>
        <c:auto val="1"/>
        <c:lblAlgn val="ctr"/>
        <c:lblOffset val="100"/>
        <c:noMultiLvlLbl val="0"/>
      </c:catAx>
      <c:valAx>
        <c:axId val="14763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52527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'Pivot Tables Emissions calc.'!$B$59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calc.'!$B$60:$B$68</c:f>
              <c:numCache>
                <c:formatCode>_-* #,##0_-;\-* #,##0_-;_-* "-"??_-;_-@_-</c:formatCode>
                <c:ptCount val="9"/>
                <c:pt idx="0">
                  <c:v>46462979054.309998</c:v>
                </c:pt>
                <c:pt idx="1">
                  <c:v>46840737685.979996</c:v>
                </c:pt>
                <c:pt idx="2">
                  <c:v>44007233697.769997</c:v>
                </c:pt>
                <c:pt idx="3">
                  <c:v>47413735799.059998</c:v>
                </c:pt>
                <c:pt idx="4">
                  <c:v>48161382395.169998</c:v>
                </c:pt>
                <c:pt idx="5">
                  <c:v>51434013761.270004</c:v>
                </c:pt>
                <c:pt idx="6">
                  <c:v>53885191443.839996</c:v>
                </c:pt>
                <c:pt idx="7">
                  <c:v>55691862611.48999</c:v>
                </c:pt>
                <c:pt idx="8">
                  <c:v>53874675032.779999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D-4AC6-A6A4-A227A8B6CFB3}"/>
            </c:ext>
          </c:extLst>
        </c:ser>
        <c:ser>
          <c:idx val="1"/>
          <c:order val="1"/>
          <c:tx>
            <c:strRef>
              <c:f>'Pivot Tables Emissions calc.'!$C$59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calc.'!$C$60:$C$68</c:f>
              <c:numCache>
                <c:formatCode>_-* #,##0_-;\-* #,##0_-;_-* "-"??_-;_-@_-</c:formatCode>
                <c:ptCount val="9"/>
                <c:pt idx="0">
                  <c:v>16051589462.04451</c:v>
                </c:pt>
                <c:pt idx="1">
                  <c:v>13839489390.705013</c:v>
                </c:pt>
                <c:pt idx="2">
                  <c:v>13792393974.360046</c:v>
                </c:pt>
                <c:pt idx="3">
                  <c:v>15569608892.152275</c:v>
                </c:pt>
                <c:pt idx="4">
                  <c:v>16534063026.927788</c:v>
                </c:pt>
                <c:pt idx="5">
                  <c:v>16526155959.112474</c:v>
                </c:pt>
                <c:pt idx="6">
                  <c:v>13595681168.861759</c:v>
                </c:pt>
                <c:pt idx="7">
                  <c:v>13495916915.077501</c:v>
                </c:pt>
                <c:pt idx="8">
                  <c:v>18260260741.144802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D-4AC6-A6A4-A227A8B6C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52527"/>
        <c:axId val="1476350303"/>
      </c:areaChart>
      <c:catAx>
        <c:axId val="846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50303"/>
        <c:crosses val="autoZero"/>
        <c:auto val="1"/>
        <c:lblAlgn val="ctr"/>
        <c:lblOffset val="100"/>
        <c:noMultiLvlLbl val="0"/>
      </c:catAx>
      <c:valAx>
        <c:axId val="14763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52527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calc.'!$B$84:$B$85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calc.'!$B$86:$B$94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3-41C2-8BCC-1F1D93FDB1D0}"/>
            </c:ext>
          </c:extLst>
        </c:ser>
        <c:ser>
          <c:idx val="1"/>
          <c:order val="1"/>
          <c:tx>
            <c:strRef>
              <c:f>'Pivot Tables Emissions calc.'!$C$84:$C$85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calc.'!$C$86:$C$94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3-41C2-8BCC-1F1D93FDB1D0}"/>
            </c:ext>
          </c:extLst>
        </c:ser>
        <c:ser>
          <c:idx val="2"/>
          <c:order val="2"/>
          <c:tx>
            <c:strRef>
              <c:f>'Pivot Tables Emissions calc.'!$D$84:$D$85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calc.'!$D$86:$D$94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3-41C2-8BCC-1F1D93FDB1D0}"/>
            </c:ext>
          </c:extLst>
        </c:ser>
        <c:ser>
          <c:idx val="3"/>
          <c:order val="3"/>
          <c:tx>
            <c:strRef>
              <c:f>'Pivot Tables Emissions calc.'!$E$84:$E$85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calc.'!$E$86:$E$94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E3-41C2-8BCC-1F1D93FDB1D0}"/>
            </c:ext>
          </c:extLst>
        </c:ser>
        <c:ser>
          <c:idx val="4"/>
          <c:order val="4"/>
          <c:tx>
            <c:strRef>
              <c:f>'Pivot Tables Emissions calc.'!$F$84:$F$85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calc.'!$F$86:$F$94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E3-41C2-8BCC-1F1D93FDB1D0}"/>
            </c:ext>
          </c:extLst>
        </c:ser>
        <c:ser>
          <c:idx val="5"/>
          <c:order val="5"/>
          <c:tx>
            <c:strRef>
              <c:f>'Pivot Tables Emissions calc.'!$G$84:$G$85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calc.'!$G$86:$G$94</c:f>
              <c:numCache>
                <c:formatCode>General</c:formatCode>
                <c:ptCount val="9"/>
                <c:pt idx="0">
                  <c:v>152.75616742928392</c:v>
                </c:pt>
                <c:pt idx="1">
                  <c:v>146.31341340955171</c:v>
                </c:pt>
                <c:pt idx="2">
                  <c:v>144.83799309799255</c:v>
                </c:pt>
                <c:pt idx="3">
                  <c:v>145.71693222096798</c:v>
                </c:pt>
                <c:pt idx="4">
                  <c:v>144.05021623343919</c:v>
                </c:pt>
                <c:pt idx="5">
                  <c:v>143.80201686214838</c:v>
                </c:pt>
                <c:pt idx="6">
                  <c:v>147.07685861733168</c:v>
                </c:pt>
                <c:pt idx="7">
                  <c:v>152.75997651535548</c:v>
                </c:pt>
                <c:pt idx="8">
                  <c:v>139.51276648367187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E3-41C2-8BCC-1F1D93FDB1D0}"/>
            </c:ext>
          </c:extLst>
        </c:ser>
        <c:ser>
          <c:idx val="6"/>
          <c:order val="6"/>
          <c:tx>
            <c:strRef>
              <c:f>'Pivot Tables Emissions calc.'!$H$84:$H$85</c:f>
              <c:strCache>
                <c:ptCount val="1"/>
                <c:pt idx="0">
                  <c:v>Luas (Light Rail)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calc.'!$H$86:$H$94</c:f>
              <c:numCache>
                <c:formatCode>General</c:formatCode>
                <c:ptCount val="9"/>
                <c:pt idx="0">
                  <c:v>110.00202169312544</c:v>
                </c:pt>
                <c:pt idx="1">
                  <c:v>113.90370064788534</c:v>
                </c:pt>
                <c:pt idx="2">
                  <c:v>115.58655301124502</c:v>
                </c:pt>
                <c:pt idx="3">
                  <c:v>121.00771916335691</c:v>
                </c:pt>
                <c:pt idx="4">
                  <c:v>124.27189289345112</c:v>
                </c:pt>
                <c:pt idx="5">
                  <c:v>125.4551130466549</c:v>
                </c:pt>
                <c:pt idx="6">
                  <c:v>116.93984810158405</c:v>
                </c:pt>
                <c:pt idx="7">
                  <c:v>126.37690871903175</c:v>
                </c:pt>
                <c:pt idx="8">
                  <c:v>121.71005316256945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E3-41C2-8BCC-1F1D93FDB1D0}"/>
            </c:ext>
          </c:extLst>
        </c:ser>
        <c:ser>
          <c:idx val="7"/>
          <c:order val="7"/>
          <c:tx>
            <c:strRef>
              <c:f>'Pivot Tables Emissions calc.'!$I$84:$I$85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calc.'!$I$86:$I$94</c:f>
              <c:numCache>
                <c:formatCode>General</c:formatCode>
                <c:ptCount val="9"/>
                <c:pt idx="0">
                  <c:v>6.6727449788540385</c:v>
                </c:pt>
                <c:pt idx="1">
                  <c:v>5.1493242273339748</c:v>
                </c:pt>
                <c:pt idx="2">
                  <c:v>5.3520304264211696</c:v>
                </c:pt>
                <c:pt idx="3">
                  <c:v>6.9853345908100239</c:v>
                </c:pt>
                <c:pt idx="4">
                  <c:v>7.9106874099897801</c:v>
                </c:pt>
                <c:pt idx="5">
                  <c:v>7.8667650673985143</c:v>
                </c:pt>
                <c:pt idx="6">
                  <c:v>5.188060242389148</c:v>
                </c:pt>
                <c:pt idx="7">
                  <c:v>4.6761296124051848</c:v>
                </c:pt>
                <c:pt idx="8">
                  <c:v>8.6520989286054881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E3-41C2-8BCC-1F1D93FDB1D0}"/>
            </c:ext>
          </c:extLst>
        </c:ser>
        <c:ser>
          <c:idx val="8"/>
          <c:order val="8"/>
          <c:tx>
            <c:strRef>
              <c:f>'Pivot Tables Emissions calc.'!$J$84:$J$85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calc.'!$J$86:$J$94</c:f>
              <c:numCache>
                <c:formatCode>General</c:formatCode>
                <c:ptCount val="9"/>
                <c:pt idx="0">
                  <c:v>26.812385848776703</c:v>
                </c:pt>
                <c:pt idx="1">
                  <c:v>20.801606473131102</c:v>
                </c:pt>
                <c:pt idx="2">
                  <c:v>21.176318781173251</c:v>
                </c:pt>
                <c:pt idx="3">
                  <c:v>27.436462574030021</c:v>
                </c:pt>
                <c:pt idx="4">
                  <c:v>30.976642582870053</c:v>
                </c:pt>
                <c:pt idx="5">
                  <c:v>31.180806826850482</c:v>
                </c:pt>
                <c:pt idx="6">
                  <c:v>20.246679681926519</c:v>
                </c:pt>
                <c:pt idx="7">
                  <c:v>20.468018663229376</c:v>
                </c:pt>
                <c:pt idx="8">
                  <c:v>34.372764084025889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E3-41C2-8BCC-1F1D93FD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231503"/>
        <c:axId val="1476449727"/>
      </c:lineChart>
      <c:catAx>
        <c:axId val="159623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449727"/>
        <c:crosses val="autoZero"/>
        <c:auto val="1"/>
        <c:lblAlgn val="ctr"/>
        <c:lblOffset val="100"/>
        <c:noMultiLvlLbl val="0"/>
      </c:catAx>
      <c:valAx>
        <c:axId val="14764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23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 Emissions calc.'!$B$99:$B$100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calc.'!$B$101:$B$109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5E99-41BA-8F0A-F59F0F9E693C}"/>
            </c:ext>
          </c:extLst>
        </c:ser>
        <c:ser>
          <c:idx val="1"/>
          <c:order val="1"/>
          <c:tx>
            <c:strRef>
              <c:f>'Pivot Tables Emissions calc.'!$C$99:$C$100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calc.'!$C$101:$C$109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E99-41BA-8F0A-F59F0F9E693C}"/>
            </c:ext>
          </c:extLst>
        </c:ser>
        <c:ser>
          <c:idx val="2"/>
          <c:order val="2"/>
          <c:tx>
            <c:strRef>
              <c:f>'Pivot Tables Emissions calc.'!$D$99:$D$100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calc.'!$D$101:$D$109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E99-41BA-8F0A-F59F0F9E693C}"/>
            </c:ext>
          </c:extLst>
        </c:ser>
        <c:ser>
          <c:idx val="3"/>
          <c:order val="3"/>
          <c:tx>
            <c:strRef>
              <c:f>'Pivot Tables Emissions calc.'!$E$99:$E$100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calc.'!$E$101:$E$109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E99-41BA-8F0A-F59F0F9E693C}"/>
            </c:ext>
          </c:extLst>
        </c:ser>
        <c:ser>
          <c:idx val="4"/>
          <c:order val="4"/>
          <c:tx>
            <c:strRef>
              <c:f>'Pivot Tables Emissions calc.'!$F$99:$F$100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calc.'!$F$101:$F$109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E99-41BA-8F0A-F59F0F9E693C}"/>
            </c:ext>
          </c:extLst>
        </c:ser>
        <c:ser>
          <c:idx val="5"/>
          <c:order val="5"/>
          <c:tx>
            <c:strRef>
              <c:f>'Pivot Tables Emissions calc.'!$G$99:$G$100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calc.'!$G$101:$G$109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E99-41BA-8F0A-F59F0F9E693C}"/>
            </c:ext>
          </c:extLst>
        </c:ser>
        <c:ser>
          <c:idx val="6"/>
          <c:order val="6"/>
          <c:tx>
            <c:strRef>
              <c:f>'Pivot Tables Emissions calc.'!$H$99:$H$100</c:f>
              <c:strCache>
                <c:ptCount val="1"/>
                <c:pt idx="0">
                  <c:v>Luas (Light Rail)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calc.'!$H$101:$H$109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E99-41BA-8F0A-F59F0F9E693C}"/>
            </c:ext>
          </c:extLst>
        </c:ser>
        <c:ser>
          <c:idx val="7"/>
          <c:order val="7"/>
          <c:tx>
            <c:strRef>
              <c:f>'Pivot Tables Emissions calc.'!$I$99:$I$100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calc.'!$I$101:$I$109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E99-41BA-8F0A-F59F0F9E693C}"/>
            </c:ext>
          </c:extLst>
        </c:ser>
        <c:ser>
          <c:idx val="8"/>
          <c:order val="8"/>
          <c:tx>
            <c:strRef>
              <c:f>'Pivot Tables Emissions calc.'!$J$99:$J$100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calc.'!$J$101:$J$109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E99-41BA-8F0A-F59F0F9E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67679"/>
        <c:axId val="1871779167"/>
      </c:areaChart>
      <c:catAx>
        <c:axId val="1977867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79167"/>
        <c:crosses val="autoZero"/>
        <c:auto val="1"/>
        <c:lblAlgn val="ctr"/>
        <c:lblOffset val="100"/>
        <c:noMultiLvlLbl val="0"/>
      </c:catAx>
      <c:valAx>
        <c:axId val="18717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7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calc.!PivotTable56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calc.'!$B$113:$B$114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calc.'!$B$115:$B$123</c:f>
              <c:numCache>
                <c:formatCode>General</c:formatCode>
                <c:ptCount val="9"/>
                <c:pt idx="0">
                  <c:v>45.795352304107212</c:v>
                </c:pt>
                <c:pt idx="1">
                  <c:v>46.378170003012634</c:v>
                </c:pt>
                <c:pt idx="2">
                  <c:v>46.492127204891524</c:v>
                </c:pt>
                <c:pt idx="3">
                  <c:v>46.186989229738742</c:v>
                </c:pt>
                <c:pt idx="4">
                  <c:v>47.225780289439776</c:v>
                </c:pt>
                <c:pt idx="5">
                  <c:v>47.437969989620079</c:v>
                </c:pt>
                <c:pt idx="6">
                  <c:v>46.951395178922006</c:v>
                </c:pt>
                <c:pt idx="7">
                  <c:v>46.377468503198799</c:v>
                </c:pt>
                <c:pt idx="8">
                  <c:v>45.634405024564167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D-4514-8731-AFB8849B94A6}"/>
            </c:ext>
          </c:extLst>
        </c:ser>
        <c:ser>
          <c:idx val="1"/>
          <c:order val="1"/>
          <c:tx>
            <c:strRef>
              <c:f>'Pivot Tables Emissions calc.'!$C$113:$C$114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calc.'!$C$115:$C$123</c:f>
              <c:numCache>
                <c:formatCode>General</c:formatCode>
                <c:ptCount val="9"/>
                <c:pt idx="0">
                  <c:v>10.201342281879194</c:v>
                </c:pt>
                <c:pt idx="1">
                  <c:v>10.201342281879194</c:v>
                </c:pt>
                <c:pt idx="2">
                  <c:v>10.201342281879194</c:v>
                </c:pt>
                <c:pt idx="3">
                  <c:v>10.201342281879194</c:v>
                </c:pt>
                <c:pt idx="4">
                  <c:v>10.201342281879194</c:v>
                </c:pt>
                <c:pt idx="5">
                  <c:v>10.201342281879194</c:v>
                </c:pt>
                <c:pt idx="6">
                  <c:v>10.201342281879194</c:v>
                </c:pt>
                <c:pt idx="7">
                  <c:v>10.201342281879194</c:v>
                </c:pt>
                <c:pt idx="8">
                  <c:v>10.201342281879194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D-4514-8731-AFB8849B94A6}"/>
            </c:ext>
          </c:extLst>
        </c:ser>
        <c:ser>
          <c:idx val="2"/>
          <c:order val="2"/>
          <c:tx>
            <c:strRef>
              <c:f>'Pivot Tables Emissions calc.'!$D$113:$D$114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calc.'!$D$115:$D$123</c:f>
              <c:numCache>
                <c:formatCode>General</c:formatCode>
                <c:ptCount val="9"/>
                <c:pt idx="0">
                  <c:v>8.7152797353441525</c:v>
                </c:pt>
                <c:pt idx="1">
                  <c:v>8.2871066386620882</c:v>
                </c:pt>
                <c:pt idx="2">
                  <c:v>8.2215858561603525</c:v>
                </c:pt>
                <c:pt idx="3">
                  <c:v>8.0605402150429377</c:v>
                </c:pt>
                <c:pt idx="4">
                  <c:v>7.7160696654079333</c:v>
                </c:pt>
                <c:pt idx="5">
                  <c:v>7.3005279624219339</c:v>
                </c:pt>
                <c:pt idx="6">
                  <c:v>7.4683297454729649</c:v>
                </c:pt>
                <c:pt idx="7">
                  <c:v>7.4683297454729649</c:v>
                </c:pt>
                <c:pt idx="8">
                  <c:v>7.4683297454729676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D-4514-8731-AFB8849B94A6}"/>
            </c:ext>
          </c:extLst>
        </c:ser>
        <c:ser>
          <c:idx val="3"/>
          <c:order val="3"/>
          <c:tx>
            <c:strRef>
              <c:f>'Pivot Tables Emissions calc.'!$E$113:$E$114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calc.'!$E$115:$E$123</c:f>
              <c:numCache>
                <c:formatCode>General</c:formatCode>
                <c:ptCount val="9"/>
                <c:pt idx="0">
                  <c:v>49.66518644637933</c:v>
                </c:pt>
                <c:pt idx="1">
                  <c:v>49.610569619147626</c:v>
                </c:pt>
                <c:pt idx="2">
                  <c:v>49.548573089124531</c:v>
                </c:pt>
                <c:pt idx="3">
                  <c:v>49.413035030440597</c:v>
                </c:pt>
                <c:pt idx="4">
                  <c:v>49.312078580169235</c:v>
                </c:pt>
                <c:pt idx="5">
                  <c:v>49.196040846594073</c:v>
                </c:pt>
                <c:pt idx="6">
                  <c:v>48.563846622455117</c:v>
                </c:pt>
                <c:pt idx="7">
                  <c:v>48.274164899345905</c:v>
                </c:pt>
                <c:pt idx="8">
                  <c:v>47.903426165435846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D-4514-8731-AFB8849B94A6}"/>
            </c:ext>
          </c:extLst>
        </c:ser>
        <c:ser>
          <c:idx val="4"/>
          <c:order val="4"/>
          <c:tx>
            <c:strRef>
              <c:f>'Pivot Tables Emissions calc.'!$F$113:$F$114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calc.'!$F$115:$F$123</c:f>
              <c:numCache>
                <c:formatCode>General</c:formatCode>
                <c:ptCount val="9"/>
                <c:pt idx="0">
                  <c:v>8.6870070274787903</c:v>
                </c:pt>
                <c:pt idx="1">
                  <c:v>8.6870070274787903</c:v>
                </c:pt>
                <c:pt idx="2">
                  <c:v>8.6870070274787903</c:v>
                </c:pt>
                <c:pt idx="3">
                  <c:v>8.6870070274787903</c:v>
                </c:pt>
                <c:pt idx="4">
                  <c:v>8.6870070274787903</c:v>
                </c:pt>
                <c:pt idx="5">
                  <c:v>8.6870070274787903</c:v>
                </c:pt>
                <c:pt idx="6">
                  <c:v>8.6870070274787903</c:v>
                </c:pt>
                <c:pt idx="7">
                  <c:v>8.6870070274787903</c:v>
                </c:pt>
                <c:pt idx="8">
                  <c:v>8.6870070274787903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5D-4514-8731-AFB8849B94A6}"/>
            </c:ext>
          </c:extLst>
        </c:ser>
        <c:ser>
          <c:idx val="5"/>
          <c:order val="5"/>
          <c:tx>
            <c:strRef>
              <c:f>'Pivot Tables Emissions calc.'!$G$113:$G$114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calc.'!$G$115:$G$123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5D-4514-8731-AFB8849B94A6}"/>
            </c:ext>
          </c:extLst>
        </c:ser>
        <c:ser>
          <c:idx val="6"/>
          <c:order val="6"/>
          <c:tx>
            <c:strRef>
              <c:f>'Pivot Tables Emissions calc.'!$H$113:$H$114</c:f>
              <c:strCache>
                <c:ptCount val="1"/>
                <c:pt idx="0">
                  <c:v>Luas (Light Rail)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calc.'!$H$115:$H$123</c:f>
              <c:numCache>
                <c:formatCode>General</c:formatCode>
                <c:ptCount val="9"/>
                <c:pt idx="0">
                  <c:v>2.6965341736268522</c:v>
                </c:pt>
                <c:pt idx="1">
                  <c:v>2.7835326983047319</c:v>
                </c:pt>
                <c:pt idx="2">
                  <c:v>2.6518263945615583</c:v>
                </c:pt>
                <c:pt idx="3">
                  <c:v>2.5353450655396723</c:v>
                </c:pt>
                <c:pt idx="4">
                  <c:v>2.4611245568039055</c:v>
                </c:pt>
                <c:pt idx="5">
                  <c:v>2.4966904779768497</c:v>
                </c:pt>
                <c:pt idx="6">
                  <c:v>2.6134614436402206</c:v>
                </c:pt>
                <c:pt idx="7">
                  <c:v>2.7634544475500089</c:v>
                </c:pt>
                <c:pt idx="8">
                  <c:v>2.7963280108547073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5D-4514-8731-AFB8849B94A6}"/>
            </c:ext>
          </c:extLst>
        </c:ser>
        <c:ser>
          <c:idx val="7"/>
          <c:order val="7"/>
          <c:tx>
            <c:strRef>
              <c:f>'Pivot Tables Emissions calc.'!$I$113:$I$114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calc.'!$I$115:$I$123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5D-4514-8731-AFB8849B94A6}"/>
            </c:ext>
          </c:extLst>
        </c:ser>
        <c:ser>
          <c:idx val="8"/>
          <c:order val="8"/>
          <c:tx>
            <c:strRef>
              <c:f>'Pivot Tables Emissions calc.'!$J$113:$J$114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calc.'!$J$115:$J$123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5D-4514-8731-AFB8849B9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161519"/>
        <c:axId val="1856429167"/>
      </c:lineChart>
      <c:catAx>
        <c:axId val="8651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29167"/>
        <c:crosses val="autoZero"/>
        <c:auto val="1"/>
        <c:lblAlgn val="ctr"/>
        <c:lblOffset val="100"/>
        <c:noMultiLvlLbl val="0"/>
      </c:catAx>
      <c:valAx>
        <c:axId val="185642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Energy Intenisty (jWh/100</a:t>
                </a:r>
                <a:r>
                  <a:rPr lang="en-IE" baseline="0"/>
                  <a:t> Pkm)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calc.!PivotTable58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 Emissions calc.'!$B$126:$B$127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calc.'!$B$128:$B$136</c:f>
              <c:numCache>
                <c:formatCode>General</c:formatCode>
                <c:ptCount val="9"/>
                <c:pt idx="0">
                  <c:v>7478154.3511864804</c:v>
                </c:pt>
                <c:pt idx="1">
                  <c:v>8656143.5543543026</c:v>
                </c:pt>
                <c:pt idx="2">
                  <c:v>9380308.7842717879</c:v>
                </c:pt>
                <c:pt idx="3">
                  <c:v>10152288.633014385</c:v>
                </c:pt>
                <c:pt idx="4">
                  <c:v>11740447.577343659</c:v>
                </c:pt>
                <c:pt idx="5">
                  <c:v>13569922.971499488</c:v>
                </c:pt>
                <c:pt idx="6">
                  <c:v>15124113.795457596</c:v>
                </c:pt>
                <c:pt idx="7">
                  <c:v>16423227.575581143</c:v>
                </c:pt>
                <c:pt idx="8">
                  <c:v>16300041.802435117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E-48A6-B525-FA2A627246C0}"/>
            </c:ext>
          </c:extLst>
        </c:ser>
        <c:ser>
          <c:idx val="1"/>
          <c:order val="1"/>
          <c:tx>
            <c:strRef>
              <c:f>'Pivot Tables Emissions calc.'!$C$126:$C$127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calc.'!$C$128:$C$136</c:f>
              <c:numCache>
                <c:formatCode>General</c:formatCode>
                <c:ptCount val="9"/>
                <c:pt idx="0">
                  <c:v>92.125983999999988</c:v>
                </c:pt>
                <c:pt idx="1">
                  <c:v>208.33454399999999</c:v>
                </c:pt>
                <c:pt idx="2">
                  <c:v>616.31257600000004</c:v>
                </c:pt>
                <c:pt idx="3">
                  <c:v>624.03645599999993</c:v>
                </c:pt>
                <c:pt idx="4">
                  <c:v>1189.5012319999998</c:v>
                </c:pt>
                <c:pt idx="5">
                  <c:v>2474.7793360000001</c:v>
                </c:pt>
                <c:pt idx="6">
                  <c:v>3777.6860960000004</c:v>
                </c:pt>
                <c:pt idx="7">
                  <c:v>6041.5897520000008</c:v>
                </c:pt>
                <c:pt idx="8">
                  <c:v>9382.0694320000002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E-48A6-B525-FA2A627246C0}"/>
            </c:ext>
          </c:extLst>
        </c:ser>
        <c:ser>
          <c:idx val="2"/>
          <c:order val="2"/>
          <c:tx>
            <c:strRef>
              <c:f>'Pivot Tables Emissions calc.'!$D$126:$D$127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calc.'!$D$128:$D$136</c:f>
              <c:numCache>
                <c:formatCode>General</c:formatCode>
                <c:ptCount val="9"/>
                <c:pt idx="0">
                  <c:v>11717.769268485819</c:v>
                </c:pt>
                <c:pt idx="1">
                  <c:v>12498.434879553444</c:v>
                </c:pt>
                <c:pt idx="2">
                  <c:v>16250.099476849196</c:v>
                </c:pt>
                <c:pt idx="3">
                  <c:v>14017.55249846237</c:v>
                </c:pt>
                <c:pt idx="4">
                  <c:v>15324.726728251833</c:v>
                </c:pt>
                <c:pt idx="5">
                  <c:v>17698.745541376913</c:v>
                </c:pt>
                <c:pt idx="6">
                  <c:v>22478.203126553206</c:v>
                </c:pt>
                <c:pt idx="7">
                  <c:v>33257.038383543018</c:v>
                </c:pt>
                <c:pt idx="8">
                  <c:v>45933.596339575866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E-48A6-B525-FA2A627246C0}"/>
            </c:ext>
          </c:extLst>
        </c:ser>
        <c:ser>
          <c:idx val="3"/>
          <c:order val="3"/>
          <c:tx>
            <c:strRef>
              <c:f>'Pivot Tables Emissions calc.'!$E$126:$E$127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calc.'!$E$128:$E$136</c:f>
              <c:numCache>
                <c:formatCode>General</c:formatCode>
                <c:ptCount val="9"/>
                <c:pt idx="0">
                  <c:v>14898622.275064081</c:v>
                </c:pt>
                <c:pt idx="1">
                  <c:v>13902674.917008957</c:v>
                </c:pt>
                <c:pt idx="2">
                  <c:v>11707048.248839889</c:v>
                </c:pt>
                <c:pt idx="3">
                  <c:v>12478211.615044134</c:v>
                </c:pt>
                <c:pt idx="4">
                  <c:v>11386584.550798783</c:v>
                </c:pt>
                <c:pt idx="5">
                  <c:v>11099467.358955665</c:v>
                </c:pt>
                <c:pt idx="6">
                  <c:v>10361049.162844278</c:v>
                </c:pt>
                <c:pt idx="7">
                  <c:v>9546336.1628897507</c:v>
                </c:pt>
                <c:pt idx="8">
                  <c:v>8358623.2836353118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E-48A6-B525-FA2A627246C0}"/>
            </c:ext>
          </c:extLst>
        </c:ser>
        <c:ser>
          <c:idx val="4"/>
          <c:order val="4"/>
          <c:tx>
            <c:strRef>
              <c:f>'Pivot Tables Emissions calc.'!$F$126:$F$127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calc.'!$F$128:$F$136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1.5582848762968755</c:v>
                </c:pt>
                <c:pt idx="6">
                  <c:v>854.49837142419972</c:v>
                </c:pt>
                <c:pt idx="7">
                  <c:v>1642.8076251905645</c:v>
                </c:pt>
                <c:pt idx="8">
                  <c:v>4895.8349308308079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2E-48A6-B525-FA2A627246C0}"/>
            </c:ext>
          </c:extLst>
        </c:ser>
        <c:ser>
          <c:idx val="5"/>
          <c:order val="5"/>
          <c:tx>
            <c:strRef>
              <c:f>'Pivot Tables Emissions calc.'!$G$126:$G$127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calc.'!$G$128:$G$136</c:f>
              <c:numCache>
                <c:formatCode>General</c:formatCode>
                <c:ptCount val="9"/>
                <c:pt idx="0">
                  <c:v>550300.00000000012</c:v>
                </c:pt>
                <c:pt idx="1">
                  <c:v>544100</c:v>
                </c:pt>
                <c:pt idx="2">
                  <c:v>526800</c:v>
                </c:pt>
                <c:pt idx="3">
                  <c:v>520700</c:v>
                </c:pt>
                <c:pt idx="4">
                  <c:v>479900</c:v>
                </c:pt>
                <c:pt idx="5">
                  <c:v>475019</c:v>
                </c:pt>
                <c:pt idx="6">
                  <c:v>499047</c:v>
                </c:pt>
                <c:pt idx="7">
                  <c:v>509964</c:v>
                </c:pt>
                <c:pt idx="8">
                  <c:v>517699.99999999994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2E-48A6-B525-FA2A627246C0}"/>
            </c:ext>
          </c:extLst>
        </c:ser>
        <c:ser>
          <c:idx val="6"/>
          <c:order val="6"/>
          <c:tx>
            <c:strRef>
              <c:f>'Pivot Tables Emissions calc.'!$H$126:$H$127</c:f>
              <c:strCache>
                <c:ptCount val="1"/>
                <c:pt idx="0">
                  <c:v>Luas (Light Rail)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calc.'!$H$128:$H$136</c:f>
              <c:numCache>
                <c:formatCode>General</c:formatCode>
                <c:ptCount val="9"/>
                <c:pt idx="0">
                  <c:v>8602.1021092430983</c:v>
                </c:pt>
                <c:pt idx="1">
                  <c:v>11699.317515297073</c:v>
                </c:pt>
                <c:pt idx="2">
                  <c:v>11770.194129853759</c:v>
                </c:pt>
                <c:pt idx="3">
                  <c:v>10860.589858025169</c:v>
                </c:pt>
                <c:pt idx="4">
                  <c:v>11215.468430445571</c:v>
                </c:pt>
                <c:pt idx="5">
                  <c:v>11476.475556795871</c:v>
                </c:pt>
                <c:pt idx="6">
                  <c:v>10666.060669928325</c:v>
                </c:pt>
                <c:pt idx="7">
                  <c:v>12782.06799510061</c:v>
                </c:pt>
                <c:pt idx="8">
                  <c:v>13851.888096047114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2E-48A6-B525-FA2A627246C0}"/>
            </c:ext>
          </c:extLst>
        </c:ser>
        <c:ser>
          <c:idx val="7"/>
          <c:order val="7"/>
          <c:tx>
            <c:strRef>
              <c:f>'Pivot Tables Emissions calc.'!$I$126:$I$127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calc.'!$I$128:$I$136</c:f>
              <c:numCache>
                <c:formatCode>General</c:formatCode>
                <c:ptCount val="9"/>
                <c:pt idx="0">
                  <c:v>259903.92274893</c:v>
                </c:pt>
                <c:pt idx="1">
                  <c:v>206909.37559048465</c:v>
                </c:pt>
                <c:pt idx="2">
                  <c:v>210337.73353416956</c:v>
                </c:pt>
                <c:pt idx="3">
                  <c:v>264822.75095156301</c:v>
                </c:pt>
                <c:pt idx="4">
                  <c:v>270028.55051629379</c:v>
                </c:pt>
                <c:pt idx="5">
                  <c:v>265335.58690293127</c:v>
                </c:pt>
                <c:pt idx="6">
                  <c:v>188171.28272401885</c:v>
                </c:pt>
                <c:pt idx="7">
                  <c:v>189023.14409266497</c:v>
                </c:pt>
                <c:pt idx="8">
                  <c:v>384833.55836064799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2E-48A6-B525-FA2A627246C0}"/>
            </c:ext>
          </c:extLst>
        </c:ser>
        <c:ser>
          <c:idx val="8"/>
          <c:order val="8"/>
          <c:tx>
            <c:strRef>
              <c:f>'Pivot Tables Emissions calc.'!$J$126:$J$127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calc.'!$J$128:$J$136</c:f>
              <c:numCache>
                <c:formatCode>General</c:formatCode>
                <c:ptCount val="9"/>
                <c:pt idx="0">
                  <c:v>374251.89448970061</c:v>
                </c:pt>
                <c:pt idx="1">
                  <c:v>291227.83258459321</c:v>
                </c:pt>
                <c:pt idx="2">
                  <c:v>276873.91885668953</c:v>
                </c:pt>
                <c:pt idx="3">
                  <c:v>343786.47379075643</c:v>
                </c:pt>
                <c:pt idx="4">
                  <c:v>368448.77162978525</c:v>
                </c:pt>
                <c:pt idx="5">
                  <c:v>367738.65673592757</c:v>
                </c:pt>
                <c:pt idx="6">
                  <c:v>246645.19027759181</c:v>
                </c:pt>
                <c:pt idx="7">
                  <c:v>265850.75325395219</c:v>
                </c:pt>
                <c:pt idx="8">
                  <c:v>449572.52835001232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2E-48A6-B525-FA2A6272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2527"/>
        <c:axId val="1476341983"/>
      </c:areaChart>
      <c:catAx>
        <c:axId val="846062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41983"/>
        <c:crosses val="autoZero"/>
        <c:auto val="1"/>
        <c:lblAlgn val="ctr"/>
        <c:lblOffset val="100"/>
        <c:noMultiLvlLbl val="0"/>
      </c:catAx>
      <c:valAx>
        <c:axId val="14763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252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calc.'!$B$264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calc.'!$A$265:$A$269</c:f>
              <c:strCache>
                <c:ptCount val="5"/>
                <c:pt idx="0">
                  <c:v>Irish Rail</c:v>
                </c:pt>
                <c:pt idx="1">
                  <c:v>Luas</c:v>
                </c:pt>
                <c:pt idx="2">
                  <c:v>Dublin Bus</c:v>
                </c:pt>
                <c:pt idx="3">
                  <c:v>Bus Éireann</c:v>
                </c:pt>
                <c:pt idx="4">
                  <c:v>Private Vehicle</c:v>
                </c:pt>
              </c:strCache>
            </c:strRef>
          </c:cat>
          <c:val>
            <c:numRef>
              <c:f>'Pivot Tables Emissions calc.'!$B$265:$B$269</c:f>
              <c:numCache>
                <c:formatCode>General</c:formatCode>
                <c:ptCount val="5"/>
                <c:pt idx="0">
                  <c:v>139.51276648367187</c:v>
                </c:pt>
                <c:pt idx="1">
                  <c:v>121.71005316256945</c:v>
                </c:pt>
                <c:pt idx="2">
                  <c:v>34.372764084025889</c:v>
                </c:pt>
                <c:pt idx="3">
                  <c:v>8.6520989286054881</c:v>
                </c:pt>
                <c:pt idx="4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0-4AC2-9FCF-FE72FE641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2863711"/>
        <c:axId val="824824527"/>
      </c:barChart>
      <c:catAx>
        <c:axId val="72286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824527"/>
        <c:crosses val="autoZero"/>
        <c:auto val="1"/>
        <c:lblAlgn val="ctr"/>
        <c:lblOffset val="100"/>
        <c:noMultiLvlLbl val="0"/>
      </c:catAx>
      <c:valAx>
        <c:axId val="82482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calc.'!$B$280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calc.'!$A$281:$A$285</c:f>
              <c:strCache>
                <c:ptCount val="5"/>
                <c:pt idx="0">
                  <c:v>Private Vehicle</c:v>
                </c:pt>
                <c:pt idx="1">
                  <c:v>Irish Rail</c:v>
                </c:pt>
                <c:pt idx="2">
                  <c:v>Bus Éireann</c:v>
                </c:pt>
                <c:pt idx="3">
                  <c:v>Dublin Bus</c:v>
                </c:pt>
                <c:pt idx="4">
                  <c:v>Luas</c:v>
                </c:pt>
              </c:strCache>
            </c:strRef>
          </c:cat>
          <c:val>
            <c:numRef>
              <c:f>'Pivot Tables Emissions calc.'!$B$281:$B$285</c:f>
              <c:numCache>
                <c:formatCode>0.0</c:formatCode>
                <c:ptCount val="5"/>
                <c:pt idx="0">
                  <c:v>120.42919485982483</c:v>
                </c:pt>
                <c:pt idx="1">
                  <c:v>65.140403493455125</c:v>
                </c:pt>
                <c:pt idx="2">
                  <c:v>47.805809465208213</c:v>
                </c:pt>
                <c:pt idx="3">
                  <c:v>38.269622398160024</c:v>
                </c:pt>
                <c:pt idx="4">
                  <c:v>18.508966303040559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8-4F0F-8A25-AA69FFE28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217391"/>
        <c:axId val="1869604399"/>
      </c:barChart>
      <c:catAx>
        <c:axId val="129321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604399"/>
        <c:crosses val="autoZero"/>
        <c:auto val="1"/>
        <c:lblAlgn val="ctr"/>
        <c:lblOffset val="100"/>
        <c:noMultiLvlLbl val="0"/>
      </c:catAx>
      <c:valAx>
        <c:axId val="18696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1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86444433966712"/>
          <c:y val="2.002807788561314E-2"/>
          <c:w val="0.72178254360858585"/>
          <c:h val="0.44869578278787953"/>
        </c:manualLayout>
      </c:layout>
      <c:areaChart>
        <c:grouping val="stacked"/>
        <c:varyColors val="0"/>
        <c:ser>
          <c:idx val="3"/>
          <c:order val="0"/>
          <c:tx>
            <c:strRef>
              <c:f>'Manuscript Figures'!$A$5</c:f>
              <c:strCache>
                <c:ptCount val="1"/>
                <c:pt idx="0">
                  <c:v>Private car - Driver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Figures'!$B$5:$L$5</c:f>
              <c:numCache>
                <c:formatCode>_-* #,##0.0_-;\-* #,##0.0_-;_-* "-"??_-;_-@_-</c:formatCode>
                <c:ptCount val="11"/>
                <c:pt idx="0">
                  <c:v>41.186265414625694</c:v>
                </c:pt>
                <c:pt idx="1">
                  <c:v>39.940480043855345</c:v>
                </c:pt>
                <c:pt idx="2">
                  <c:v>38.694694673084996</c:v>
                </c:pt>
                <c:pt idx="3">
                  <c:v>37.448909302314654</c:v>
                </c:pt>
                <c:pt idx="4">
                  <c:v>40.89785860880702</c:v>
                </c:pt>
                <c:pt idx="5">
                  <c:v>41.379942945201343</c:v>
                </c:pt>
                <c:pt idx="6">
                  <c:v>44.463509562758944</c:v>
                </c:pt>
                <c:pt idx="7">
                  <c:v>47.547076180316537</c:v>
                </c:pt>
                <c:pt idx="8">
                  <c:v>46.07485989491844</c:v>
                </c:pt>
                <c:pt idx="9">
                  <c:v>44.602643609520349</c:v>
                </c:pt>
                <c:pt idx="10">
                  <c:v>43.130427324122259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2-4F41-9B84-5167714C6EAE}"/>
            </c:ext>
          </c:extLst>
        </c:ser>
        <c:ser>
          <c:idx val="4"/>
          <c:order val="1"/>
          <c:tx>
            <c:strRef>
              <c:f>'Manuscript Figures'!$A$6</c:f>
              <c:strCache>
                <c:ptCount val="1"/>
                <c:pt idx="0">
                  <c:v>Private car - Passenger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Figures'!$B$6:$L$6</c:f>
              <c:numCache>
                <c:formatCode>_-* #,##0.0_-;\-* #,##0.0_-;_-* "-"??_-;_-@_-</c:formatCode>
                <c:ptCount val="11"/>
                <c:pt idx="0">
                  <c:v>7.7892545597352898</c:v>
                </c:pt>
                <c:pt idx="1">
                  <c:v>7.3747745197272785</c:v>
                </c:pt>
                <c:pt idx="2">
                  <c:v>6.9602944797192681</c:v>
                </c:pt>
                <c:pt idx="3">
                  <c:v>6.5458144397112568</c:v>
                </c:pt>
                <c:pt idx="4">
                  <c:v>6.5332182813236024</c:v>
                </c:pt>
                <c:pt idx="5">
                  <c:v>6.7993675875175654</c:v>
                </c:pt>
                <c:pt idx="6">
                  <c:v>6.5863951484300163</c:v>
                </c:pt>
                <c:pt idx="7">
                  <c:v>6.3734227093424671</c:v>
                </c:pt>
                <c:pt idx="8">
                  <c:v>7.8464368763303121</c:v>
                </c:pt>
                <c:pt idx="9">
                  <c:v>9.3194510433181552</c:v>
                </c:pt>
                <c:pt idx="10">
                  <c:v>10.792465210306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2-4F41-9B84-5167714C6EAE}"/>
            </c:ext>
          </c:extLst>
        </c:ser>
        <c:ser>
          <c:idx val="2"/>
          <c:order val="2"/>
          <c:tx>
            <c:strRef>
              <c:f>'Manuscript Figures'!$A$4</c:f>
              <c:strCache>
                <c:ptCount val="1"/>
                <c:pt idx="0">
                  <c:v>Lorry/Motorcycle/Other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Figures'!$B$4:$L$4</c:f>
              <c:numCache>
                <c:formatCode>_-* #,##0.0_-;\-* #,##0.0_-;_-* "-"??_-;_-@_-</c:formatCode>
                <c:ptCount val="11"/>
                <c:pt idx="0">
                  <c:v>5.875413924046442</c:v>
                </c:pt>
                <c:pt idx="1">
                  <c:v>4.9317641189216515</c:v>
                </c:pt>
                <c:pt idx="2">
                  <c:v>3.9881143137968613</c:v>
                </c:pt>
                <c:pt idx="3">
                  <c:v>3.0444645086720699</c:v>
                </c:pt>
                <c:pt idx="4">
                  <c:v>3.4434590919606372</c:v>
                </c:pt>
                <c:pt idx="5">
                  <c:v>3.334832249626408</c:v>
                </c:pt>
                <c:pt idx="6">
                  <c:v>3.7735156108395072</c:v>
                </c:pt>
                <c:pt idx="7">
                  <c:v>4.2121989720526063</c:v>
                </c:pt>
                <c:pt idx="8">
                  <c:v>3.9200614694901867</c:v>
                </c:pt>
                <c:pt idx="9">
                  <c:v>3.6279239669277672</c:v>
                </c:pt>
                <c:pt idx="10">
                  <c:v>3.3357864643653485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2-4F41-9B84-5167714C6EAE}"/>
            </c:ext>
          </c:extLst>
        </c:ser>
        <c:ser>
          <c:idx val="5"/>
          <c:order val="3"/>
          <c:tx>
            <c:strRef>
              <c:f>'Manuscript Figures'!$A$7</c:f>
              <c:strCache>
                <c:ptCount val="1"/>
                <c:pt idx="0">
                  <c:v>Rail/Dart/Luas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Figures'!$B$7:$L$7</c:f>
              <c:numCache>
                <c:formatCode>_-* #,##0.0_-;\-* #,##0.0_-;_-* "-"??_-;_-@_-</c:formatCode>
                <c:ptCount val="11"/>
                <c:pt idx="0">
                  <c:v>2.7554667334071423</c:v>
                </c:pt>
                <c:pt idx="1">
                  <c:v>2.5362436297317186</c:v>
                </c:pt>
                <c:pt idx="2">
                  <c:v>2.3170205260562948</c:v>
                </c:pt>
                <c:pt idx="3">
                  <c:v>2.0977974223808711</c:v>
                </c:pt>
                <c:pt idx="4">
                  <c:v>2.141662556533364</c:v>
                </c:pt>
                <c:pt idx="5">
                  <c:v>2.7096595491139546</c:v>
                </c:pt>
                <c:pt idx="6">
                  <c:v>2.3921213380469011</c:v>
                </c:pt>
                <c:pt idx="7">
                  <c:v>2.074583126979848</c:v>
                </c:pt>
                <c:pt idx="8">
                  <c:v>2.6990587001352186</c:v>
                </c:pt>
                <c:pt idx="9">
                  <c:v>3.3235342732905893</c:v>
                </c:pt>
                <c:pt idx="10">
                  <c:v>3.9480098464459599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F2-4F41-9B84-5167714C6EAE}"/>
            </c:ext>
          </c:extLst>
        </c:ser>
        <c:ser>
          <c:idx val="0"/>
          <c:order val="4"/>
          <c:tx>
            <c:strRef>
              <c:f>'Manuscript Figures'!$A$2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Figures'!$B$2:$L$2</c:f>
              <c:numCache>
                <c:formatCode>_-* #,##0.0_-;\-* #,##0.0_-;_-* "-"??_-;_-@_-</c:formatCode>
                <c:ptCount val="11"/>
                <c:pt idx="0">
                  <c:v>2.8077336625477369</c:v>
                </c:pt>
                <c:pt idx="1">
                  <c:v>2.5844556085057118</c:v>
                </c:pt>
                <c:pt idx="2">
                  <c:v>2.3611775544636862</c:v>
                </c:pt>
                <c:pt idx="3">
                  <c:v>2.1378995004216601</c:v>
                </c:pt>
                <c:pt idx="4">
                  <c:v>2.719981114535805</c:v>
                </c:pt>
                <c:pt idx="5">
                  <c:v>3.059690963062311</c:v>
                </c:pt>
                <c:pt idx="6">
                  <c:v>2.5524595811543871</c:v>
                </c:pt>
                <c:pt idx="7">
                  <c:v>2.0452281992464627</c:v>
                </c:pt>
                <c:pt idx="8">
                  <c:v>2.5777323818494962</c:v>
                </c:pt>
                <c:pt idx="9">
                  <c:v>3.1102365644525301</c:v>
                </c:pt>
                <c:pt idx="10">
                  <c:v>3.6427407470555635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2-4F41-9B84-5167714C6EAE}"/>
            </c:ext>
          </c:extLst>
        </c:ser>
        <c:ser>
          <c:idx val="6"/>
          <c:order val="5"/>
          <c:tx>
            <c:strRef>
              <c:f>'Manuscript Figures'!$A$8</c:f>
              <c:strCache>
                <c:ptCount val="1"/>
                <c:pt idx="0">
                  <c:v>Taxi/hackney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Figures'!$B$8:$L$8</c:f>
              <c:numCache>
                <c:formatCode>_-* #,##0.0_-;\-* #,##0.0_-;_-* "-"??_-;_-@_-</c:formatCode>
                <c:ptCount val="11"/>
                <c:pt idx="0">
                  <c:v>0</c:v>
                </c:pt>
                <c:pt idx="1">
                  <c:v>6.6810417845929324E-2</c:v>
                </c:pt>
                <c:pt idx="2">
                  <c:v>0.13362083569185865</c:v>
                </c:pt>
                <c:pt idx="3">
                  <c:v>0.20043125353778798</c:v>
                </c:pt>
                <c:pt idx="4">
                  <c:v>0.17530746132720459</c:v>
                </c:pt>
                <c:pt idx="5">
                  <c:v>0.17988555924640934</c:v>
                </c:pt>
                <c:pt idx="6">
                  <c:v>0.19127250186110706</c:v>
                </c:pt>
                <c:pt idx="7">
                  <c:v>0.20265944447580478</c:v>
                </c:pt>
                <c:pt idx="8">
                  <c:v>0.23578656052003827</c:v>
                </c:pt>
                <c:pt idx="9">
                  <c:v>0.26891367656427173</c:v>
                </c:pt>
                <c:pt idx="10">
                  <c:v>0.30204079260850525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F2-4F41-9B84-5167714C6EAE}"/>
            </c:ext>
          </c:extLst>
        </c:ser>
        <c:ser>
          <c:idx val="1"/>
          <c:order val="6"/>
          <c:tx>
            <c:strRef>
              <c:f>'Manuscript Figures'!$A$3</c:f>
              <c:strCache>
                <c:ptCount val="1"/>
                <c:pt idx="0">
                  <c:v>Cycle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Figures'!$B$3:$L$3</c:f>
              <c:numCache>
                <c:formatCode>_-* #,##0.0_-;\-* #,##0.0_-;_-* "-"??_-;_-@_-</c:formatCode>
                <c:ptCount val="11"/>
                <c:pt idx="0">
                  <c:v>0.2239831678660924</c:v>
                </c:pt>
                <c:pt idx="1">
                  <c:v>0.20555065302885583</c:v>
                </c:pt>
                <c:pt idx="2">
                  <c:v>0.18711813819161924</c:v>
                </c:pt>
                <c:pt idx="3">
                  <c:v>0.16868562335438264</c:v>
                </c:pt>
                <c:pt idx="4">
                  <c:v>0.14551474773957029</c:v>
                </c:pt>
                <c:pt idx="5">
                  <c:v>0.19972840791332669</c:v>
                </c:pt>
                <c:pt idx="6">
                  <c:v>0.20666534508277473</c:v>
                </c:pt>
                <c:pt idx="7">
                  <c:v>0.21360228225222277</c:v>
                </c:pt>
                <c:pt idx="8">
                  <c:v>0.22009506018671254</c:v>
                </c:pt>
                <c:pt idx="9">
                  <c:v>0.22658783812120228</c:v>
                </c:pt>
                <c:pt idx="10">
                  <c:v>0.23308061605569208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2-4F41-9B84-5167714C6EAE}"/>
            </c:ext>
          </c:extLst>
        </c:ser>
        <c:ser>
          <c:idx val="7"/>
          <c:order val="7"/>
          <c:tx>
            <c:strRef>
              <c:f>'Manuscript Figures'!$A$9</c:f>
              <c:strCache>
                <c:ptCount val="1"/>
                <c:pt idx="0">
                  <c:v>Walk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Figures'!$B$9:$L$9</c:f>
              <c:numCache>
                <c:formatCode>_-* #,##0.0_-;\-* #,##0.0_-;_-* "-"??_-;_-@_-</c:formatCode>
                <c:ptCount val="11"/>
                <c:pt idx="0">
                  <c:v>0.15755273962167438</c:v>
                </c:pt>
                <c:pt idx="1">
                  <c:v>0.14598889088306299</c:v>
                </c:pt>
                <c:pt idx="2">
                  <c:v>0.13442504214445158</c:v>
                </c:pt>
                <c:pt idx="3">
                  <c:v>0.12286119340584016</c:v>
                </c:pt>
                <c:pt idx="4">
                  <c:v>0.1571668344546322</c:v>
                </c:pt>
                <c:pt idx="5">
                  <c:v>0.19871575857007573</c:v>
                </c:pt>
                <c:pt idx="6">
                  <c:v>0.16940564695680005</c:v>
                </c:pt>
                <c:pt idx="7">
                  <c:v>0.1400955353435244</c:v>
                </c:pt>
                <c:pt idx="8">
                  <c:v>0.19453349312747892</c:v>
                </c:pt>
                <c:pt idx="9">
                  <c:v>0.24897145091143347</c:v>
                </c:pt>
                <c:pt idx="10">
                  <c:v>0.30340940869538796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F2-4F41-9B84-5167714C6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69839"/>
        <c:axId val="1085785247"/>
      </c:areaChart>
      <c:catAx>
        <c:axId val="1018169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85247"/>
        <c:crosses val="autoZero"/>
        <c:auto val="1"/>
        <c:lblAlgn val="ctr"/>
        <c:lblOffset val="100"/>
        <c:noMultiLvlLbl val="0"/>
      </c:catAx>
      <c:valAx>
        <c:axId val="10857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 Kilometres</a:t>
                </a:r>
              </a:p>
            </c:rich>
          </c:tx>
          <c:layout>
            <c:manualLayout>
              <c:xMode val="edge"/>
              <c:yMode val="edge"/>
              <c:x val="0.22997166468249824"/>
              <c:y val="1.621942199722148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6983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68253968253968"/>
          <c:y val="2.7288328089423601E-2"/>
          <c:w val="0.60317460317460314"/>
          <c:h val="0.51520429511528454"/>
        </c:manualLayout>
      </c:layout>
      <c:areaChart>
        <c:grouping val="stacked"/>
        <c:varyColors val="0"/>
        <c:ser>
          <c:idx val="8"/>
          <c:order val="0"/>
          <c:tx>
            <c:strRef>
              <c:f>'Manuscript Figures'!$N$10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Figures'!$O$10:$Y$10</c:f>
              <c:numCache>
                <c:formatCode>_-* #,##0.0_-;\-* #,##0.0_-;_-* "-"??_-;_-@_-</c:formatCode>
                <c:ptCount val="11"/>
                <c:pt idx="0">
                  <c:v>21.336198042177855</c:v>
                </c:pt>
                <c:pt idx="1">
                  <c:v>19.497622298836827</c:v>
                </c:pt>
                <c:pt idx="2">
                  <c:v>17.659046555495795</c:v>
                </c:pt>
                <c:pt idx="3">
                  <c:v>15.820470812154761</c:v>
                </c:pt>
                <c:pt idx="4">
                  <c:v>12.212433391061648</c:v>
                </c:pt>
                <c:pt idx="5">
                  <c:v>18.622699272893982</c:v>
                </c:pt>
                <c:pt idx="6">
                  <c:v>20.975130679834464</c:v>
                </c:pt>
                <c:pt idx="7">
                  <c:v>23.32756208677495</c:v>
                </c:pt>
                <c:pt idx="8">
                  <c:v>22.040086448913968</c:v>
                </c:pt>
                <c:pt idx="9">
                  <c:v>20.752610811052982</c:v>
                </c:pt>
                <c:pt idx="10">
                  <c:v>19.465135173191996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C6-4B5D-91B3-B629F7639B2E}"/>
            </c:ext>
          </c:extLst>
        </c:ser>
        <c:ser>
          <c:idx val="5"/>
          <c:order val="1"/>
          <c:tx>
            <c:strRef>
              <c:f>'Manuscript Figures'!$N$7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Figures'!$O$7:$Y$7</c:f>
              <c:numCache>
                <c:formatCode>_-* #,##0.0_-;\-* #,##0.0_-;_-* "-"??_-;_-@_-</c:formatCode>
                <c:ptCount val="11"/>
                <c:pt idx="0">
                  <c:v>10.147549167737141</c:v>
                </c:pt>
                <c:pt idx="1">
                  <c:v>9.8482405095595258</c:v>
                </c:pt>
                <c:pt idx="2">
                  <c:v>9.5489318513819121</c:v>
                </c:pt>
                <c:pt idx="3">
                  <c:v>9.2496231932043003</c:v>
                </c:pt>
                <c:pt idx="4">
                  <c:v>13.438610800787188</c:v>
                </c:pt>
                <c:pt idx="5">
                  <c:v>10.992314145931013</c:v>
                </c:pt>
                <c:pt idx="6">
                  <c:v>11.150569750818331</c:v>
                </c:pt>
                <c:pt idx="7">
                  <c:v>11.308825355705649</c:v>
                </c:pt>
                <c:pt idx="8">
                  <c:v>11.642965475875766</c:v>
                </c:pt>
                <c:pt idx="9">
                  <c:v>11.977105596045881</c:v>
                </c:pt>
                <c:pt idx="10">
                  <c:v>12.311245716216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C6-4B5D-91B3-B629F7639B2E}"/>
            </c:ext>
          </c:extLst>
        </c:ser>
        <c:ser>
          <c:idx val="0"/>
          <c:order val="2"/>
          <c:tx>
            <c:strRef>
              <c:f>'Manuscript Figures'!$N$2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Figures'!$O$2:$Y$2</c:f>
              <c:numCache>
                <c:formatCode>_-* #,##0.0_-;\-* #,##0.0_-;_-* "-"??_-;_-@_-</c:formatCode>
                <c:ptCount val="11"/>
                <c:pt idx="0">
                  <c:v>4.9124429023135709</c:v>
                </c:pt>
                <c:pt idx="1">
                  <c:v>5.789435937020218</c:v>
                </c:pt>
                <c:pt idx="2">
                  <c:v>6.666428971726865</c:v>
                </c:pt>
                <c:pt idx="3">
                  <c:v>7.5434220064335111</c:v>
                </c:pt>
                <c:pt idx="4">
                  <c:v>8.0487564545379762</c:v>
                </c:pt>
                <c:pt idx="5">
                  <c:v>5.7562820829487888</c:v>
                </c:pt>
                <c:pt idx="6">
                  <c:v>6.4350628075474985</c:v>
                </c:pt>
                <c:pt idx="7">
                  <c:v>7.1138435321462081</c:v>
                </c:pt>
                <c:pt idx="8">
                  <c:v>8.1666566709801387</c:v>
                </c:pt>
                <c:pt idx="9">
                  <c:v>9.2194698098140684</c:v>
                </c:pt>
                <c:pt idx="10">
                  <c:v>10.272282948647998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6-4B5D-91B3-B629F7639B2E}"/>
            </c:ext>
          </c:extLst>
        </c:ser>
        <c:ser>
          <c:idx val="2"/>
          <c:order val="3"/>
          <c:tx>
            <c:strRef>
              <c:f>'Manuscript Figures'!$N$4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Figures'!$O$4:$Y$4</c:f>
              <c:numCache>
                <c:formatCode>_-* #,##0.0_-;\-* #,##0.0_-;_-* "-"??_-;_-@_-</c:formatCode>
                <c:ptCount val="11"/>
                <c:pt idx="0">
                  <c:v>3.8750621960442855</c:v>
                </c:pt>
                <c:pt idx="1">
                  <c:v>4.1505117940063387</c:v>
                </c:pt>
                <c:pt idx="2">
                  <c:v>4.425961391968392</c:v>
                </c:pt>
                <c:pt idx="3">
                  <c:v>4.7014109899304453</c:v>
                </c:pt>
                <c:pt idx="4">
                  <c:v>7.262984713167099</c:v>
                </c:pt>
                <c:pt idx="5">
                  <c:v>5.7719801695604742</c:v>
                </c:pt>
                <c:pt idx="6">
                  <c:v>5.7252296862500991</c:v>
                </c:pt>
                <c:pt idx="7">
                  <c:v>5.6784792029397249</c:v>
                </c:pt>
                <c:pt idx="8">
                  <c:v>5.761495852055817</c:v>
                </c:pt>
                <c:pt idx="9">
                  <c:v>5.8445125011719083</c:v>
                </c:pt>
                <c:pt idx="10">
                  <c:v>5.9275291502879988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6-4B5D-91B3-B629F7639B2E}"/>
            </c:ext>
          </c:extLst>
        </c:ser>
        <c:ser>
          <c:idx val="7"/>
          <c:order val="4"/>
          <c:tx>
            <c:strRef>
              <c:f>'Manuscript Figures'!$N$9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Figures'!$O$9:$Y$9</c:f>
              <c:numCache>
                <c:formatCode>_-* #,##0.0_-;\-* #,##0.0_-;_-* "-"??_-;_-@_-</c:formatCode>
                <c:ptCount val="11"/>
                <c:pt idx="0">
                  <c:v>7.0275642861599996</c:v>
                </c:pt>
                <c:pt idx="1">
                  <c:v>6.8717804068804904</c:v>
                </c:pt>
                <c:pt idx="2">
                  <c:v>6.7159965276009803</c:v>
                </c:pt>
                <c:pt idx="3">
                  <c:v>6.560212648321472</c:v>
                </c:pt>
                <c:pt idx="4">
                  <c:v>5.4697976695738353</c:v>
                </c:pt>
                <c:pt idx="5">
                  <c:v>7.5764554239867739</c:v>
                </c:pt>
                <c:pt idx="6">
                  <c:v>7.054928833517641</c:v>
                </c:pt>
                <c:pt idx="7">
                  <c:v>6.5334022430485099</c:v>
                </c:pt>
                <c:pt idx="8">
                  <c:v>6.9656789243096737</c:v>
                </c:pt>
                <c:pt idx="9">
                  <c:v>7.3979556055708366</c:v>
                </c:pt>
                <c:pt idx="10">
                  <c:v>7.8302322868319996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C6-4B5D-91B3-B629F7639B2E}"/>
            </c:ext>
          </c:extLst>
        </c:ser>
        <c:ser>
          <c:idx val="4"/>
          <c:order val="5"/>
          <c:tx>
            <c:strRef>
              <c:f>'Manuscript Figures'!$N$6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Figures'!$O$6:$Y$6</c:f>
              <c:numCache>
                <c:formatCode>_-* #,##0.0_-;\-* #,##0.0_-;_-* "-"??_-;_-@_-</c:formatCode>
                <c:ptCount val="11"/>
                <c:pt idx="0">
                  <c:v>4.9687769422971417</c:v>
                </c:pt>
                <c:pt idx="1">
                  <c:v>4.3912687022282437</c:v>
                </c:pt>
                <c:pt idx="2">
                  <c:v>3.8137604621593462</c:v>
                </c:pt>
                <c:pt idx="3">
                  <c:v>3.2362522220904482</c:v>
                </c:pt>
                <c:pt idx="4">
                  <c:v>3.1214119220722361</c:v>
                </c:pt>
                <c:pt idx="5">
                  <c:v>3.4004249505024071</c:v>
                </c:pt>
                <c:pt idx="6">
                  <c:v>3.7511892564140301</c:v>
                </c:pt>
                <c:pt idx="7">
                  <c:v>4.1019535623256527</c:v>
                </c:pt>
                <c:pt idx="8">
                  <c:v>4.0658060487291019</c:v>
                </c:pt>
                <c:pt idx="9">
                  <c:v>4.0296585351325511</c:v>
                </c:pt>
                <c:pt idx="10">
                  <c:v>3.9935110215359999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C6-4B5D-91B3-B629F7639B2E}"/>
            </c:ext>
          </c:extLst>
        </c:ser>
        <c:ser>
          <c:idx val="3"/>
          <c:order val="6"/>
          <c:tx>
            <c:strRef>
              <c:f>'Manuscript Figures'!$N$5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Figures'!$O$5:$Y$5</c:f>
              <c:numCache>
                <c:formatCode>_-* #,##0.0_-;\-* #,##0.0_-;_-* "-"??_-;_-@_-</c:formatCode>
                <c:ptCount val="11"/>
                <c:pt idx="0">
                  <c:v>5.5072184739235697</c:v>
                </c:pt>
                <c:pt idx="1">
                  <c:v>4.2678226289624943</c:v>
                </c:pt>
                <c:pt idx="2">
                  <c:v>3.0284267840014181</c:v>
                </c:pt>
                <c:pt idx="3">
                  <c:v>1.7890309390403429</c:v>
                </c:pt>
                <c:pt idx="4">
                  <c:v>2.6814638991065647</c:v>
                </c:pt>
                <c:pt idx="5">
                  <c:v>3.0128066069094146</c:v>
                </c:pt>
                <c:pt idx="6">
                  <c:v>2.56282923568358</c:v>
                </c:pt>
                <c:pt idx="7">
                  <c:v>2.112851864457745</c:v>
                </c:pt>
                <c:pt idx="8">
                  <c:v>2.2087609358304969</c:v>
                </c:pt>
                <c:pt idx="9">
                  <c:v>2.3046700072032484</c:v>
                </c:pt>
                <c:pt idx="10">
                  <c:v>2.4005790785760004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6-4B5D-91B3-B629F7639B2E}"/>
            </c:ext>
          </c:extLst>
        </c:ser>
        <c:ser>
          <c:idx val="1"/>
          <c:order val="7"/>
          <c:tx>
            <c:strRef>
              <c:f>'Manuscript Figures'!$N$3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Figures'!$O$3:$Y$3</c:f>
              <c:numCache>
                <c:formatCode>_-* #,##0.0_-;\-* #,##0.0_-;_-* "-"??_-;_-@_-</c:formatCode>
                <c:ptCount val="11"/>
                <c:pt idx="0">
                  <c:v>2.2948316602199998</c:v>
                </c:pt>
                <c:pt idx="1">
                  <c:v>2.2436088425541123</c:v>
                </c:pt>
                <c:pt idx="2">
                  <c:v>2.1923860248882252</c:v>
                </c:pt>
                <c:pt idx="3">
                  <c:v>2.1411632072223381</c:v>
                </c:pt>
                <c:pt idx="4">
                  <c:v>2.7775887768574337</c:v>
                </c:pt>
                <c:pt idx="5">
                  <c:v>1.9728366673669924</c:v>
                </c:pt>
                <c:pt idx="6">
                  <c:v>1.81485213509579</c:v>
                </c:pt>
                <c:pt idx="7">
                  <c:v>1.6568676028245874</c:v>
                </c:pt>
                <c:pt idx="8">
                  <c:v>1.6778202517230583</c:v>
                </c:pt>
                <c:pt idx="9">
                  <c:v>1.6987729006215291</c:v>
                </c:pt>
                <c:pt idx="10">
                  <c:v>1.7197255495199999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6-4B5D-91B3-B629F7639B2E}"/>
            </c:ext>
          </c:extLst>
        </c:ser>
        <c:ser>
          <c:idx val="6"/>
          <c:order val="8"/>
          <c:tx>
            <c:strRef>
              <c:f>'Manuscript Figures'!$N$8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Figures'!$O$8:$Y$8</c:f>
              <c:numCache>
                <c:formatCode>_-* #,##0.0_-;\-* #,##0.0_-;_-* "-"??_-;_-@_-</c:formatCode>
                <c:ptCount val="11"/>
                <c:pt idx="0">
                  <c:v>0.73641418405499992</c:v>
                </c:pt>
                <c:pt idx="1">
                  <c:v>0.73839638078963266</c:v>
                </c:pt>
                <c:pt idx="2">
                  <c:v>0.74037857752426539</c:v>
                </c:pt>
                <c:pt idx="3">
                  <c:v>0.74236077425889802</c:v>
                </c:pt>
                <c:pt idx="4">
                  <c:v>1.2281359607301898</c:v>
                </c:pt>
                <c:pt idx="5">
                  <c:v>0.73426871788953207</c:v>
                </c:pt>
                <c:pt idx="6">
                  <c:v>0.86807042731170292</c:v>
                </c:pt>
                <c:pt idx="7">
                  <c:v>1.0018721367338737</c:v>
                </c:pt>
                <c:pt idx="8">
                  <c:v>1.2499245477265826</c:v>
                </c:pt>
                <c:pt idx="9">
                  <c:v>1.4979769587192913</c:v>
                </c:pt>
                <c:pt idx="10">
                  <c:v>1.746029369712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C6-4B5D-91B3-B629F7639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21551"/>
        <c:axId val="1047551439"/>
      </c:areaChart>
      <c:catAx>
        <c:axId val="1052621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51439"/>
        <c:crosses val="autoZero"/>
        <c:auto val="1"/>
        <c:lblAlgn val="ctr"/>
        <c:lblOffset val="100"/>
        <c:noMultiLvlLbl val="0"/>
      </c:catAx>
      <c:valAx>
        <c:axId val="10475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 Kilometres</a:t>
                </a:r>
              </a:p>
            </c:rich>
          </c:tx>
          <c:layout>
            <c:manualLayout>
              <c:xMode val="edge"/>
              <c:yMode val="edge"/>
              <c:x val="0.2907268170426065"/>
              <c:y val="7.500329843959669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62155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86391406956483"/>
          <c:y val="4.1283806929683808E-2"/>
          <c:w val="0.82613608593043519"/>
          <c:h val="0.46640657355016557"/>
        </c:manualLayout>
      </c:layout>
      <c:areaChart>
        <c:grouping val="stacked"/>
        <c:varyColors val="0"/>
        <c:ser>
          <c:idx val="4"/>
          <c:order val="0"/>
          <c:tx>
            <c:strRef>
              <c:f>'Manuscript Figures'!$AA$6</c:f>
              <c:strCache>
                <c:ptCount val="1"/>
                <c:pt idx="0">
                  <c:v>8+ kilometres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Figures'!$AB$1:$AL$1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Figures'!$AB$6:$AL$6</c:f>
              <c:numCache>
                <c:formatCode>_-* #,##0_-;\-* #,##0_-;_-* "-"??_-;_-@_-</c:formatCode>
                <c:ptCount val="11"/>
                <c:pt idx="0">
                  <c:v>40.289066992624804</c:v>
                </c:pt>
                <c:pt idx="1">
                  <c:v>38.510250044675423</c:v>
                </c:pt>
                <c:pt idx="2">
                  <c:v>36.731433096726043</c:v>
                </c:pt>
                <c:pt idx="3">
                  <c:v>34.95261614877667</c:v>
                </c:pt>
                <c:pt idx="4">
                  <c:v>39.142389269009662</c:v>
                </c:pt>
                <c:pt idx="5">
                  <c:v>41.542793238853278</c:v>
                </c:pt>
                <c:pt idx="6">
                  <c:v>43.543707224059602</c:v>
                </c:pt>
                <c:pt idx="7">
                  <c:v>45.544621209265912</c:v>
                </c:pt>
                <c:pt idx="8">
                  <c:v>45.544621207892526</c:v>
                </c:pt>
                <c:pt idx="9">
                  <c:v>44.100916708487837</c:v>
                </c:pt>
                <c:pt idx="10">
                  <c:v>41.213507711051854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7D-4B49-B4D4-0C46D7E26728}"/>
            </c:ext>
          </c:extLst>
        </c:ser>
        <c:ser>
          <c:idx val="3"/>
          <c:order val="1"/>
          <c:tx>
            <c:strRef>
              <c:f>'Manuscript Figures'!$AA$5</c:f>
              <c:strCache>
                <c:ptCount val="1"/>
                <c:pt idx="0">
                  <c:v>6-8 kilometres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Figures'!$AB$1:$AL$1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Figures'!$AB$5:$AL$5</c:f>
              <c:numCache>
                <c:formatCode>_-* #,##0_-;\-* #,##0_-;_-* "-"??_-;_-@_-</c:formatCode>
                <c:ptCount val="11"/>
                <c:pt idx="0">
                  <c:v>8.9716389040360607</c:v>
                </c:pt>
                <c:pt idx="1">
                  <c:v>8.4331703040480583</c:v>
                </c:pt>
                <c:pt idx="2">
                  <c:v>7.8947017040600569</c:v>
                </c:pt>
                <c:pt idx="3">
                  <c:v>7.3562331040720554</c:v>
                </c:pt>
                <c:pt idx="4">
                  <c:v>7.4689034996065784</c:v>
                </c:pt>
                <c:pt idx="5">
                  <c:v>7.1414428455789034</c:v>
                </c:pt>
                <c:pt idx="6">
                  <c:v>7.346329528721018</c:v>
                </c:pt>
                <c:pt idx="7">
                  <c:v>7.5512162118631325</c:v>
                </c:pt>
                <c:pt idx="8">
                  <c:v>7.5512162132631317</c:v>
                </c:pt>
                <c:pt idx="9">
                  <c:v>8.6024132085340241</c:v>
                </c:pt>
                <c:pt idx="10">
                  <c:v>10.704807197675809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B49-B4D4-0C46D7E26728}"/>
            </c:ext>
          </c:extLst>
        </c:ser>
        <c:ser>
          <c:idx val="2"/>
          <c:order val="2"/>
          <c:tx>
            <c:strRef>
              <c:f>'Manuscript Figures'!$AA$4</c:f>
              <c:strCache>
                <c:ptCount val="1"/>
                <c:pt idx="0">
                  <c:v>4-6 kilometres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Figures'!$AB$1:$AL$1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Figures'!$AB$4:$AL$4</c:f>
              <c:numCache>
                <c:formatCode>_-* #,##0_-;\-* #,##0_-;_-* "-"??_-;_-@_-</c:formatCode>
                <c:ptCount val="11"/>
                <c:pt idx="0">
                  <c:v>6.4083135028829012</c:v>
                </c:pt>
                <c:pt idx="1">
                  <c:v>6.0236930743200423</c:v>
                </c:pt>
                <c:pt idx="2">
                  <c:v>5.6390726457571843</c:v>
                </c:pt>
                <c:pt idx="3">
                  <c:v>5.2544522171943262</c:v>
                </c:pt>
                <c:pt idx="4">
                  <c:v>5.3349310711475608</c:v>
                </c:pt>
                <c:pt idx="5">
                  <c:v>5.1010306039849294</c:v>
                </c:pt>
                <c:pt idx="6">
                  <c:v>5.2473782348007276</c:v>
                </c:pt>
                <c:pt idx="7">
                  <c:v>5.3937258656165268</c:v>
                </c:pt>
                <c:pt idx="8">
                  <c:v>5.3937258672831936</c:v>
                </c:pt>
                <c:pt idx="9">
                  <c:v>6.144580863905257</c:v>
                </c:pt>
                <c:pt idx="10">
                  <c:v>7.646290855482718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B49-B4D4-0C46D7E26728}"/>
            </c:ext>
          </c:extLst>
        </c:ser>
        <c:ser>
          <c:idx val="1"/>
          <c:order val="3"/>
          <c:tx>
            <c:strRef>
              <c:f>'Manuscript Figures'!$AA$3</c:f>
              <c:strCache>
                <c:ptCount val="1"/>
                <c:pt idx="0">
                  <c:v>2-4 kilometres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Figures'!$AB$1:$AL$1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Figures'!$AB$3:$AL$3</c:f>
              <c:numCache>
                <c:formatCode>_-* #,##0_-;\-* #,##0_-;_-* "-"??_-;_-@_-</c:formatCode>
                <c:ptCount val="11"/>
                <c:pt idx="0">
                  <c:v>3.8449881017297409</c:v>
                </c:pt>
                <c:pt idx="1">
                  <c:v>3.6142158445920272</c:v>
                </c:pt>
                <c:pt idx="2">
                  <c:v>3.3834435874543134</c:v>
                </c:pt>
                <c:pt idx="3">
                  <c:v>3.1526713303165987</c:v>
                </c:pt>
                <c:pt idx="4">
                  <c:v>3.2009586426885361</c:v>
                </c:pt>
                <c:pt idx="5">
                  <c:v>3.0606183623909557</c:v>
                </c:pt>
                <c:pt idx="6">
                  <c:v>3.1484269408804346</c:v>
                </c:pt>
                <c:pt idx="7">
                  <c:v>3.236235519369913</c:v>
                </c:pt>
                <c:pt idx="8">
                  <c:v>3.2362355223699133</c:v>
                </c:pt>
                <c:pt idx="9">
                  <c:v>3.6867485203431531</c:v>
                </c:pt>
                <c:pt idx="10">
                  <c:v>4.5877745132896326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B49-B4D4-0C46D7E26728}"/>
            </c:ext>
          </c:extLst>
        </c:ser>
        <c:ser>
          <c:idx val="0"/>
          <c:order val="4"/>
          <c:tx>
            <c:strRef>
              <c:f>'Manuscript Figures'!$AA$2</c:f>
              <c:strCache>
                <c:ptCount val="1"/>
                <c:pt idx="0">
                  <c:v>&lt;2 kilometres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Figures'!$AB$1:$AL$1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Figures'!$AB$2:$AL$2</c:f>
              <c:numCache>
                <c:formatCode>_-* #,##0_-;\-* #,##0_-;_-* "-"??_-;_-@_-</c:formatCode>
                <c:ptCount val="11"/>
                <c:pt idx="0">
                  <c:v>1.2816627005765799</c:v>
                </c:pt>
                <c:pt idx="1">
                  <c:v>1.2047386148640085</c:v>
                </c:pt>
                <c:pt idx="2">
                  <c:v>1.1278145291514368</c:v>
                </c:pt>
                <c:pt idx="3">
                  <c:v>1.0508904434388655</c:v>
                </c:pt>
                <c:pt idx="4">
                  <c:v>1.0669862142295119</c:v>
                </c:pt>
                <c:pt idx="5">
                  <c:v>1.0202061207969859</c:v>
                </c:pt>
                <c:pt idx="6">
                  <c:v>1.0494756469601449</c:v>
                </c:pt>
                <c:pt idx="7">
                  <c:v>1.078745173123304</c:v>
                </c:pt>
                <c:pt idx="8">
                  <c:v>1.2289161724477173</c:v>
                </c:pt>
                <c:pt idx="9">
                  <c:v>1.3790871717721309</c:v>
                </c:pt>
                <c:pt idx="10">
                  <c:v>1.5292581710965445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D-4B49-B4D4-0C46D7E26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741071"/>
        <c:axId val="1069105439"/>
      </c:areaChart>
      <c:catAx>
        <c:axId val="110474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05439"/>
        <c:crosses val="autoZero"/>
        <c:auto val="1"/>
        <c:lblAlgn val="ctr"/>
        <c:lblOffset val="100"/>
        <c:noMultiLvlLbl val="0"/>
      </c:catAx>
      <c:valAx>
        <c:axId val="10691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 Kilometres</a:t>
                </a:r>
              </a:p>
            </c:rich>
          </c:tx>
          <c:layout>
            <c:manualLayout>
              <c:xMode val="edge"/>
              <c:yMode val="edge"/>
              <c:x val="0.13664600728583079"/>
              <c:y val="1.9910108248629558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4107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(7).xlsx]Manuscript Figures!PivotTable10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578042883850655"/>
          <c:y val="2.0660735992071789E-2"/>
          <c:w val="0.51230039400527372"/>
          <c:h val="0.345557336306413"/>
        </c:manualLayout>
      </c:layout>
      <c:areaChart>
        <c:grouping val="stacked"/>
        <c:varyColors val="0"/>
        <c:ser>
          <c:idx val="0"/>
          <c:order val="0"/>
          <c:tx>
            <c:strRef>
              <c:f>'Manuscript Figures'!$AO$1:$AO$2</c:f>
              <c:strCache>
                <c:ptCount val="1"/>
                <c:pt idx="0">
                  <c:v>Intercity 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Figures'!$AO$3:$AO$11</c:f>
              <c:numCache>
                <c:formatCode>0.00</c:formatCode>
                <c:ptCount val="9"/>
                <c:pt idx="0">
                  <c:v>8.3644382100000012E-2</c:v>
                </c:pt>
                <c:pt idx="1">
                  <c:v>8.068435979999998E-2</c:v>
                </c:pt>
                <c:pt idx="2">
                  <c:v>8.0757680200000001E-2</c:v>
                </c:pt>
                <c:pt idx="3">
                  <c:v>7.9868824800000002E-2</c:v>
                </c:pt>
                <c:pt idx="4">
                  <c:v>7.9474553999999989E-2</c:v>
                </c:pt>
                <c:pt idx="5">
                  <c:v>7.9493302199999977E-2</c:v>
                </c:pt>
                <c:pt idx="6">
                  <c:v>8.0901610699999987E-2</c:v>
                </c:pt>
                <c:pt idx="7">
                  <c:v>7.4784899000000002E-2</c:v>
                </c:pt>
                <c:pt idx="8">
                  <c:v>8.0316433099999987E-2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4E41-9FE0-24861AEF504E}"/>
            </c:ext>
          </c:extLst>
        </c:ser>
        <c:ser>
          <c:idx val="1"/>
          <c:order val="1"/>
          <c:tx>
            <c:strRef>
              <c:f>'Manuscript Figures'!$AP$1:$AP$2</c:f>
              <c:strCache>
                <c:ptCount val="1"/>
                <c:pt idx="0">
                  <c:v>Urban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Figures'!$AP$3:$AP$11</c:f>
              <c:numCache>
                <c:formatCode>0.00</c:formatCode>
                <c:ptCount val="9"/>
                <c:pt idx="0">
                  <c:v>9.0827938099999977E-2</c:v>
                </c:pt>
                <c:pt idx="1">
                  <c:v>8.608261759999998E-2</c:v>
                </c:pt>
                <c:pt idx="2">
                  <c:v>8.0020135300000003E-2</c:v>
                </c:pt>
                <c:pt idx="3">
                  <c:v>7.8459911199999982E-2</c:v>
                </c:pt>
                <c:pt idx="4">
                  <c:v>7.8280136799999983E-2</c:v>
                </c:pt>
                <c:pt idx="5">
                  <c:v>7.8900950399999989E-2</c:v>
                </c:pt>
                <c:pt idx="6">
                  <c:v>7.8250555799999996E-2</c:v>
                </c:pt>
                <c:pt idx="7">
                  <c:v>7.8543231299999988E-2</c:v>
                </c:pt>
                <c:pt idx="8">
                  <c:v>7.5111207299999996E-2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4E41-9FE0-24861AEF504E}"/>
            </c:ext>
          </c:extLst>
        </c:ser>
        <c:ser>
          <c:idx val="2"/>
          <c:order val="2"/>
          <c:tx>
            <c:strRef>
              <c:f>'Manuscript Figures'!$AQ$1:$AQ$2</c:f>
              <c:strCache>
                <c:ptCount val="1"/>
                <c:pt idx="0">
                  <c:v>Heavy Rail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Figures'!$AQ$3:$AQ$11</c:f>
              <c:numCache>
                <c:formatCode>0.00</c:formatCode>
                <c:ptCount val="9"/>
                <c:pt idx="0">
                  <c:v>0.16898816</c:v>
                </c:pt>
                <c:pt idx="1">
                  <c:v>0.16049780999999999</c:v>
                </c:pt>
                <c:pt idx="2">
                  <c:v>0.15247168999999999</c:v>
                </c:pt>
                <c:pt idx="3">
                  <c:v>0.15274241</c:v>
                </c:pt>
                <c:pt idx="4">
                  <c:v>0.13786175000000001</c:v>
                </c:pt>
                <c:pt idx="5">
                  <c:v>0.13602864309999999</c:v>
                </c:pt>
                <c:pt idx="6">
                  <c:v>0.14372823029999998</c:v>
                </c:pt>
                <c:pt idx="7">
                  <c:v>0.14800024559999997</c:v>
                </c:pt>
                <c:pt idx="8">
                  <c:v>0.14722426999999999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3-4E41-9FE0-24861AEF504E}"/>
            </c:ext>
          </c:extLst>
        </c:ser>
        <c:ser>
          <c:idx val="3"/>
          <c:order val="3"/>
          <c:tx>
            <c:strRef>
              <c:f>'Manuscript Figures'!$AR$1:$AR$2</c:f>
              <c:strCache>
                <c:ptCount val="1"/>
                <c:pt idx="0">
                  <c:v>Light Rail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Figures'!$AR$3:$AR$11</c:f>
              <c:numCache>
                <c:formatCode>0.00</c:formatCode>
                <c:ptCount val="9"/>
                <c:pt idx="0">
                  <c:v>1.2962159999999999E-2</c:v>
                </c:pt>
                <c:pt idx="1">
                  <c:v>1.0807919999999999E-2</c:v>
                </c:pt>
                <c:pt idx="2">
                  <c:v>1.0758E-2</c:v>
                </c:pt>
                <c:pt idx="3">
                  <c:v>1.0918000000000001E-2</c:v>
                </c:pt>
                <c:pt idx="4">
                  <c:v>9.2505599999999997E-3</c:v>
                </c:pt>
                <c:pt idx="5">
                  <c:v>9.5528999999999996E-3</c:v>
                </c:pt>
                <c:pt idx="6">
                  <c:v>9.7628999999999997E-3</c:v>
                </c:pt>
                <c:pt idx="7">
                  <c:v>1.0088400000000001E-2</c:v>
                </c:pt>
                <c:pt idx="8">
                  <c:v>9.1686000000000024E-3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3-4E41-9FE0-24861AEF504E}"/>
            </c:ext>
          </c:extLst>
        </c:ser>
        <c:ser>
          <c:idx val="4"/>
          <c:order val="4"/>
          <c:tx>
            <c:strRef>
              <c:f>'Manuscript Figures'!$AS$1:$AS$2</c:f>
              <c:strCache>
                <c:ptCount val="1"/>
                <c:pt idx="0">
                  <c:v>Private Cars - 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Figures'!$AS$3:$AS$11</c:f>
              <c:numCache>
                <c:formatCode>0.00</c:formatCode>
                <c:ptCount val="9"/>
                <c:pt idx="0">
                  <c:v>1.9734849332781121</c:v>
                </c:pt>
                <c:pt idx="1">
                  <c:v>2.2843562839941005</c:v>
                </c:pt>
                <c:pt idx="2">
                  <c:v>2.4754634881693254</c:v>
                </c:pt>
                <c:pt idx="3">
                  <c:v>2.6791889702524965</c:v>
                </c:pt>
                <c:pt idx="4">
                  <c:v>3.0983041156609912</c:v>
                </c:pt>
                <c:pt idx="5">
                  <c:v>3.5811026721787145</c:v>
                </c:pt>
                <c:pt idx="6">
                  <c:v>3.9912536306212592</c:v>
                </c:pt>
                <c:pt idx="7">
                  <c:v>4.334089757195863</c:v>
                </c:pt>
                <c:pt idx="8">
                  <c:v>4.3015810316626277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3-4E41-9FE0-24861AEF504E}"/>
            </c:ext>
          </c:extLst>
        </c:ser>
        <c:ser>
          <c:idx val="5"/>
          <c:order val="5"/>
          <c:tx>
            <c:strRef>
              <c:f>'Manuscript Figures'!$AT$1:$AT$2</c:f>
              <c:strCache>
                <c:ptCount val="1"/>
                <c:pt idx="0">
                  <c:v>Private Cars - Electric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Figures'!$AT$3:$AT$11</c:f>
              <c:numCache>
                <c:formatCode>0.00</c:formatCode>
                <c:ptCount val="9"/>
                <c:pt idx="0">
                  <c:v>5.85368502336E-5</c:v>
                </c:pt>
                <c:pt idx="1">
                  <c:v>1.1037564141119999E-4</c:v>
                </c:pt>
                <c:pt idx="2">
                  <c:v>3.0137684966400003E-4</c:v>
                </c:pt>
                <c:pt idx="3">
                  <c:v>3.3073932168E-4</c:v>
                </c:pt>
                <c:pt idx="4">
                  <c:v>5.5573497559040003E-4</c:v>
                </c:pt>
                <c:pt idx="5">
                  <c:v>1.1257771199463999E-3</c:v>
                </c:pt>
                <c:pt idx="6">
                  <c:v>1.7562462660304001E-3</c:v>
                </c:pt>
                <c:pt idx="7">
                  <c:v>2.9023797168608E-3</c:v>
                </c:pt>
                <c:pt idx="8">
                  <c:v>4.0962115140112006E-3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D3-4E41-9FE0-24861AEF504E}"/>
            </c:ext>
          </c:extLst>
        </c:ser>
        <c:ser>
          <c:idx val="6"/>
          <c:order val="6"/>
          <c:tx>
            <c:strRef>
              <c:f>'Manuscript Figures'!$AU$1:$AU$2</c:f>
              <c:strCache>
                <c:ptCount val="1"/>
                <c:pt idx="0">
                  <c:v>Private Cars -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Figures'!$AU$3:$AU$11</c:f>
              <c:numCache>
                <c:formatCode>0.00</c:formatCode>
                <c:ptCount val="9"/>
                <c:pt idx="0">
                  <c:v>5.459382223584921E-3</c:v>
                </c:pt>
                <c:pt idx="1">
                  <c:v>5.3532951344232513E-3</c:v>
                </c:pt>
                <c:pt idx="2">
                  <c:v>6.6870838339744771E-3</c:v>
                </c:pt>
                <c:pt idx="3">
                  <c:v>6.1902893040984555E-3</c:v>
                </c:pt>
                <c:pt idx="4">
                  <c:v>6.43493011693228E-3</c:v>
                </c:pt>
                <c:pt idx="5">
                  <c:v>7.4047934073450221E-3</c:v>
                </c:pt>
                <c:pt idx="6">
                  <c:v>9.5307716974815087E-3</c:v>
                </c:pt>
                <c:pt idx="7">
                  <c:v>1.4382653926591235E-2</c:v>
                </c:pt>
                <c:pt idx="8">
                  <c:v>1.876562345062428E-2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D3-4E41-9FE0-24861AEF504E}"/>
            </c:ext>
          </c:extLst>
        </c:ser>
        <c:ser>
          <c:idx val="7"/>
          <c:order val="7"/>
          <c:tx>
            <c:strRef>
              <c:f>'Manuscript Figures'!$AV$1:$AV$2</c:f>
              <c:strCache>
                <c:ptCount val="1"/>
                <c:pt idx="0">
                  <c:v>Private Cars - Petrol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Figures'!$AV$3:$AV$11</c:f>
              <c:numCache>
                <c:formatCode>0.00</c:formatCode>
                <c:ptCount val="9"/>
                <c:pt idx="0">
                  <c:v>3.7529629510886426</c:v>
                </c:pt>
                <c:pt idx="1">
                  <c:v>3.5020838115945567</c:v>
                </c:pt>
                <c:pt idx="2">
                  <c:v>2.9490054538827684</c:v>
                </c:pt>
                <c:pt idx="3">
                  <c:v>3.1432615058296176</c:v>
                </c:pt>
                <c:pt idx="4">
                  <c:v>2.8682806483462135</c:v>
                </c:pt>
                <c:pt idx="5">
                  <c:v>2.795955827720932</c:v>
                </c:pt>
                <c:pt idx="6">
                  <c:v>2.6099482841204735</c:v>
                </c:pt>
                <c:pt idx="7">
                  <c:v>2.4047220794319286</c:v>
                </c:pt>
                <c:pt idx="8">
                  <c:v>2.1055372051477352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D3-4E41-9FE0-24861AEF504E}"/>
            </c:ext>
          </c:extLst>
        </c:ser>
        <c:ser>
          <c:idx val="8"/>
          <c:order val="8"/>
          <c:tx>
            <c:strRef>
              <c:f>'Manuscript Figures'!$AW$1:$AW$2</c:f>
              <c:strCache>
                <c:ptCount val="1"/>
                <c:pt idx="0">
                  <c:v>Private Cars- Plugin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Figures'!$AW$3:$AW$11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6.7074816518199107E-7</c:v>
                </c:pt>
                <c:pt idx="6">
                  <c:v>3.7449717712562575E-4</c:v>
                </c:pt>
                <c:pt idx="7">
                  <c:v>7.3792736555170814E-4</c:v>
                </c:pt>
                <c:pt idx="8">
                  <c:v>2.0480527886288752E-3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D3-4E41-9FE0-24861AEF5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048895"/>
        <c:axId val="1339745983"/>
      </c:areaChart>
      <c:catAx>
        <c:axId val="1115048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45983"/>
        <c:crosses val="autoZero"/>
        <c:auto val="1"/>
        <c:lblAlgn val="ctr"/>
        <c:lblOffset val="100"/>
        <c:noMultiLvlLbl val="0"/>
      </c:catAx>
      <c:valAx>
        <c:axId val="13397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Emissions (MTCO2)</a:t>
                </a:r>
              </a:p>
            </c:rich>
          </c:tx>
          <c:layout>
            <c:manualLayout>
              <c:xMode val="edge"/>
              <c:yMode val="edge"/>
              <c:x val="0.16898916637740469"/>
              <c:y val="6.11413838756881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48895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(7).xlsx]Manuscript Figures!PivotTable10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286089238845143"/>
          <c:y val="2.0660735992071789E-2"/>
          <c:w val="0.57179458336938649"/>
          <c:h val="0.345557336306413"/>
        </c:manualLayout>
      </c:layout>
      <c:areaChart>
        <c:grouping val="stacked"/>
        <c:varyColors val="0"/>
        <c:ser>
          <c:idx val="0"/>
          <c:order val="0"/>
          <c:tx>
            <c:strRef>
              <c:f>'Manuscript Figures'!$AO$1:$AO$2</c:f>
              <c:strCache>
                <c:ptCount val="1"/>
                <c:pt idx="0">
                  <c:v>Intercity 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Figures'!$AO$3:$AO$11</c:f>
              <c:numCache>
                <c:formatCode>0.00</c:formatCode>
                <c:ptCount val="9"/>
                <c:pt idx="0">
                  <c:v>8.3644382100000012E-2</c:v>
                </c:pt>
                <c:pt idx="1">
                  <c:v>8.068435979999998E-2</c:v>
                </c:pt>
                <c:pt idx="2">
                  <c:v>8.0757680200000001E-2</c:v>
                </c:pt>
                <c:pt idx="3">
                  <c:v>7.9868824800000002E-2</c:v>
                </c:pt>
                <c:pt idx="4">
                  <c:v>7.9474553999999989E-2</c:v>
                </c:pt>
                <c:pt idx="5">
                  <c:v>7.9493302199999977E-2</c:v>
                </c:pt>
                <c:pt idx="6">
                  <c:v>8.0901610699999987E-2</c:v>
                </c:pt>
                <c:pt idx="7">
                  <c:v>7.4784899000000002E-2</c:v>
                </c:pt>
                <c:pt idx="8">
                  <c:v>8.0316433099999987E-2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0-4C62-8715-2E9E756EE940}"/>
            </c:ext>
          </c:extLst>
        </c:ser>
        <c:ser>
          <c:idx val="1"/>
          <c:order val="1"/>
          <c:tx>
            <c:strRef>
              <c:f>'Manuscript Figures'!$AP$1:$AP$2</c:f>
              <c:strCache>
                <c:ptCount val="1"/>
                <c:pt idx="0">
                  <c:v>Urban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Figures'!$AP$3:$AP$11</c:f>
              <c:numCache>
                <c:formatCode>0.00</c:formatCode>
                <c:ptCount val="9"/>
                <c:pt idx="0">
                  <c:v>9.0827938099999977E-2</c:v>
                </c:pt>
                <c:pt idx="1">
                  <c:v>8.608261759999998E-2</c:v>
                </c:pt>
                <c:pt idx="2">
                  <c:v>8.0020135300000003E-2</c:v>
                </c:pt>
                <c:pt idx="3">
                  <c:v>7.8459911199999982E-2</c:v>
                </c:pt>
                <c:pt idx="4">
                  <c:v>7.8280136799999983E-2</c:v>
                </c:pt>
                <c:pt idx="5">
                  <c:v>7.8900950399999989E-2</c:v>
                </c:pt>
                <c:pt idx="6">
                  <c:v>7.8250555799999996E-2</c:v>
                </c:pt>
                <c:pt idx="7">
                  <c:v>7.8543231299999988E-2</c:v>
                </c:pt>
                <c:pt idx="8">
                  <c:v>7.5111207299999996E-2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0-4C62-8715-2E9E756EE940}"/>
            </c:ext>
          </c:extLst>
        </c:ser>
        <c:ser>
          <c:idx val="2"/>
          <c:order val="2"/>
          <c:tx>
            <c:strRef>
              <c:f>'Manuscript Figures'!$AQ$1:$AQ$2</c:f>
              <c:strCache>
                <c:ptCount val="1"/>
                <c:pt idx="0">
                  <c:v>Heavy Rail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Figures'!$AQ$3:$AQ$11</c:f>
              <c:numCache>
                <c:formatCode>0.00</c:formatCode>
                <c:ptCount val="9"/>
                <c:pt idx="0">
                  <c:v>0.16898816</c:v>
                </c:pt>
                <c:pt idx="1">
                  <c:v>0.16049780999999999</c:v>
                </c:pt>
                <c:pt idx="2">
                  <c:v>0.15247168999999999</c:v>
                </c:pt>
                <c:pt idx="3">
                  <c:v>0.15274241</c:v>
                </c:pt>
                <c:pt idx="4">
                  <c:v>0.13786175000000001</c:v>
                </c:pt>
                <c:pt idx="5">
                  <c:v>0.13602864309999999</c:v>
                </c:pt>
                <c:pt idx="6">
                  <c:v>0.14372823029999998</c:v>
                </c:pt>
                <c:pt idx="7">
                  <c:v>0.14800024559999997</c:v>
                </c:pt>
                <c:pt idx="8">
                  <c:v>0.14722426999999999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0-4C62-8715-2E9E756EE940}"/>
            </c:ext>
          </c:extLst>
        </c:ser>
        <c:ser>
          <c:idx val="3"/>
          <c:order val="3"/>
          <c:tx>
            <c:strRef>
              <c:f>'Manuscript Figures'!$AR$1:$AR$2</c:f>
              <c:strCache>
                <c:ptCount val="1"/>
                <c:pt idx="0">
                  <c:v>Light Rail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Figures'!$AR$3:$AR$11</c:f>
              <c:numCache>
                <c:formatCode>0.00</c:formatCode>
                <c:ptCount val="9"/>
                <c:pt idx="0">
                  <c:v>1.2962159999999999E-2</c:v>
                </c:pt>
                <c:pt idx="1">
                  <c:v>1.0807919999999999E-2</c:v>
                </c:pt>
                <c:pt idx="2">
                  <c:v>1.0758E-2</c:v>
                </c:pt>
                <c:pt idx="3">
                  <c:v>1.0918000000000001E-2</c:v>
                </c:pt>
                <c:pt idx="4">
                  <c:v>9.2505599999999997E-3</c:v>
                </c:pt>
                <c:pt idx="5">
                  <c:v>9.5528999999999996E-3</c:v>
                </c:pt>
                <c:pt idx="6">
                  <c:v>9.7628999999999997E-3</c:v>
                </c:pt>
                <c:pt idx="7">
                  <c:v>1.0088400000000001E-2</c:v>
                </c:pt>
                <c:pt idx="8">
                  <c:v>9.1686000000000024E-3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80-4C62-8715-2E9E756EE940}"/>
            </c:ext>
          </c:extLst>
        </c:ser>
        <c:ser>
          <c:idx val="4"/>
          <c:order val="4"/>
          <c:tx>
            <c:strRef>
              <c:f>'Manuscript Figures'!$AS$1:$AS$2</c:f>
              <c:strCache>
                <c:ptCount val="1"/>
                <c:pt idx="0">
                  <c:v>Private Cars - 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Figures'!$AS$3:$AS$11</c:f>
              <c:numCache>
                <c:formatCode>0.00</c:formatCode>
                <c:ptCount val="9"/>
                <c:pt idx="0">
                  <c:v>1.9734849332781121</c:v>
                </c:pt>
                <c:pt idx="1">
                  <c:v>2.2843562839941005</c:v>
                </c:pt>
                <c:pt idx="2">
                  <c:v>2.4754634881693254</c:v>
                </c:pt>
                <c:pt idx="3">
                  <c:v>2.6791889702524965</c:v>
                </c:pt>
                <c:pt idx="4">
                  <c:v>3.0983041156609912</c:v>
                </c:pt>
                <c:pt idx="5">
                  <c:v>3.5811026721787145</c:v>
                </c:pt>
                <c:pt idx="6">
                  <c:v>3.9912536306212592</c:v>
                </c:pt>
                <c:pt idx="7">
                  <c:v>4.334089757195863</c:v>
                </c:pt>
                <c:pt idx="8">
                  <c:v>4.3015810316626277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80-4C62-8715-2E9E756EE940}"/>
            </c:ext>
          </c:extLst>
        </c:ser>
        <c:ser>
          <c:idx val="5"/>
          <c:order val="5"/>
          <c:tx>
            <c:strRef>
              <c:f>'Manuscript Figures'!$AT$1:$AT$2</c:f>
              <c:strCache>
                <c:ptCount val="1"/>
                <c:pt idx="0">
                  <c:v>Private Cars - Electric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Figures'!$AT$3:$AT$11</c:f>
              <c:numCache>
                <c:formatCode>0.00</c:formatCode>
                <c:ptCount val="9"/>
                <c:pt idx="0">
                  <c:v>5.85368502336E-5</c:v>
                </c:pt>
                <c:pt idx="1">
                  <c:v>1.1037564141119999E-4</c:v>
                </c:pt>
                <c:pt idx="2">
                  <c:v>3.0137684966400003E-4</c:v>
                </c:pt>
                <c:pt idx="3">
                  <c:v>3.3073932168E-4</c:v>
                </c:pt>
                <c:pt idx="4">
                  <c:v>5.5573497559040003E-4</c:v>
                </c:pt>
                <c:pt idx="5">
                  <c:v>1.1257771199463999E-3</c:v>
                </c:pt>
                <c:pt idx="6">
                  <c:v>1.7562462660304001E-3</c:v>
                </c:pt>
                <c:pt idx="7">
                  <c:v>2.9023797168608E-3</c:v>
                </c:pt>
                <c:pt idx="8">
                  <c:v>4.0962115140112006E-3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80-4C62-8715-2E9E756EE940}"/>
            </c:ext>
          </c:extLst>
        </c:ser>
        <c:ser>
          <c:idx val="6"/>
          <c:order val="6"/>
          <c:tx>
            <c:strRef>
              <c:f>'Manuscript Figures'!$AU$1:$AU$2</c:f>
              <c:strCache>
                <c:ptCount val="1"/>
                <c:pt idx="0">
                  <c:v>Private Cars -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Figures'!$AU$3:$AU$11</c:f>
              <c:numCache>
                <c:formatCode>0.00</c:formatCode>
                <c:ptCount val="9"/>
                <c:pt idx="0">
                  <c:v>5.459382223584921E-3</c:v>
                </c:pt>
                <c:pt idx="1">
                  <c:v>5.3532951344232513E-3</c:v>
                </c:pt>
                <c:pt idx="2">
                  <c:v>6.6870838339744771E-3</c:v>
                </c:pt>
                <c:pt idx="3">
                  <c:v>6.1902893040984555E-3</c:v>
                </c:pt>
                <c:pt idx="4">
                  <c:v>6.43493011693228E-3</c:v>
                </c:pt>
                <c:pt idx="5">
                  <c:v>7.4047934073450221E-3</c:v>
                </c:pt>
                <c:pt idx="6">
                  <c:v>9.5307716974815087E-3</c:v>
                </c:pt>
                <c:pt idx="7">
                  <c:v>1.4382653926591235E-2</c:v>
                </c:pt>
                <c:pt idx="8">
                  <c:v>1.876562345062428E-2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80-4C62-8715-2E9E756EE940}"/>
            </c:ext>
          </c:extLst>
        </c:ser>
        <c:ser>
          <c:idx val="7"/>
          <c:order val="7"/>
          <c:tx>
            <c:strRef>
              <c:f>'Manuscript Figures'!$AV$1:$AV$2</c:f>
              <c:strCache>
                <c:ptCount val="1"/>
                <c:pt idx="0">
                  <c:v>Private Cars - Petrol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Figures'!$AV$3:$AV$11</c:f>
              <c:numCache>
                <c:formatCode>0.00</c:formatCode>
                <c:ptCount val="9"/>
                <c:pt idx="0">
                  <c:v>3.7529629510886426</c:v>
                </c:pt>
                <c:pt idx="1">
                  <c:v>3.5020838115945567</c:v>
                </c:pt>
                <c:pt idx="2">
                  <c:v>2.9490054538827684</c:v>
                </c:pt>
                <c:pt idx="3">
                  <c:v>3.1432615058296176</c:v>
                </c:pt>
                <c:pt idx="4">
                  <c:v>2.8682806483462135</c:v>
                </c:pt>
                <c:pt idx="5">
                  <c:v>2.795955827720932</c:v>
                </c:pt>
                <c:pt idx="6">
                  <c:v>2.6099482841204735</c:v>
                </c:pt>
                <c:pt idx="7">
                  <c:v>2.4047220794319286</c:v>
                </c:pt>
                <c:pt idx="8">
                  <c:v>2.1055372051477352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80-4C62-8715-2E9E756EE940}"/>
            </c:ext>
          </c:extLst>
        </c:ser>
        <c:ser>
          <c:idx val="8"/>
          <c:order val="8"/>
          <c:tx>
            <c:strRef>
              <c:f>'Manuscript Figures'!$AW$1:$AW$2</c:f>
              <c:strCache>
                <c:ptCount val="1"/>
                <c:pt idx="0">
                  <c:v>Private Cars- Plugin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Figures'!$AN$3:$AN$11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'Manuscript Figures'!$AW$3:$AW$11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6.7074816518199107E-7</c:v>
                </c:pt>
                <c:pt idx="6">
                  <c:v>3.7449717712562575E-4</c:v>
                </c:pt>
                <c:pt idx="7">
                  <c:v>7.3792736555170814E-4</c:v>
                </c:pt>
                <c:pt idx="8">
                  <c:v>2.0480527886288752E-3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80-4C62-8715-2E9E756EE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048895"/>
        <c:axId val="1339745983"/>
      </c:areaChart>
      <c:catAx>
        <c:axId val="1115048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45983"/>
        <c:crosses val="autoZero"/>
        <c:auto val="1"/>
        <c:lblAlgn val="ctr"/>
        <c:lblOffset val="100"/>
        <c:noMultiLvlLbl val="0"/>
      </c:catAx>
      <c:valAx>
        <c:axId val="13397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Emissions (MTCO2)</a:t>
                </a:r>
              </a:p>
            </c:rich>
          </c:tx>
          <c:layout>
            <c:manualLayout>
              <c:xMode val="edge"/>
              <c:yMode val="edge"/>
              <c:x val="9.5728995414034762E-2"/>
              <c:y val="5.327511052268908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48895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86444433966712"/>
          <c:y val="2.002807788561314E-2"/>
          <c:w val="0.76268299795858852"/>
          <c:h val="0.89485026632376297"/>
        </c:manualLayout>
      </c:layout>
      <c:areaChart>
        <c:grouping val="stacked"/>
        <c:varyColors val="0"/>
        <c:ser>
          <c:idx val="3"/>
          <c:order val="0"/>
          <c:tx>
            <c:strRef>
              <c:f>'Manuscript Figures'!$A$5</c:f>
              <c:strCache>
                <c:ptCount val="1"/>
                <c:pt idx="0">
                  <c:v>Private car - Driver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Figures'!$B$5:$L$5</c:f>
              <c:numCache>
                <c:formatCode>_-* #,##0.0_-;\-* #,##0.0_-;_-* "-"??_-;_-@_-</c:formatCode>
                <c:ptCount val="11"/>
                <c:pt idx="0">
                  <c:v>41.186265414625694</c:v>
                </c:pt>
                <c:pt idx="1">
                  <c:v>39.940480043855345</c:v>
                </c:pt>
                <c:pt idx="2">
                  <c:v>38.694694673084996</c:v>
                </c:pt>
                <c:pt idx="3">
                  <c:v>37.448909302314654</c:v>
                </c:pt>
                <c:pt idx="4">
                  <c:v>40.89785860880702</c:v>
                </c:pt>
                <c:pt idx="5">
                  <c:v>41.379942945201343</c:v>
                </c:pt>
                <c:pt idx="6">
                  <c:v>44.463509562758944</c:v>
                </c:pt>
                <c:pt idx="7">
                  <c:v>47.547076180316537</c:v>
                </c:pt>
                <c:pt idx="8">
                  <c:v>46.07485989491844</c:v>
                </c:pt>
                <c:pt idx="9">
                  <c:v>44.602643609520349</c:v>
                </c:pt>
                <c:pt idx="10">
                  <c:v>43.130427324122259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D1-8334-F62312F5866D}"/>
            </c:ext>
          </c:extLst>
        </c:ser>
        <c:ser>
          <c:idx val="4"/>
          <c:order val="1"/>
          <c:tx>
            <c:strRef>
              <c:f>'Manuscript Figures'!$A$6</c:f>
              <c:strCache>
                <c:ptCount val="1"/>
                <c:pt idx="0">
                  <c:v>Private car - Passenger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Figures'!$B$6:$L$6</c:f>
              <c:numCache>
                <c:formatCode>_-* #,##0.0_-;\-* #,##0.0_-;_-* "-"??_-;_-@_-</c:formatCode>
                <c:ptCount val="11"/>
                <c:pt idx="0">
                  <c:v>7.7892545597352898</c:v>
                </c:pt>
                <c:pt idx="1">
                  <c:v>7.3747745197272785</c:v>
                </c:pt>
                <c:pt idx="2">
                  <c:v>6.9602944797192681</c:v>
                </c:pt>
                <c:pt idx="3">
                  <c:v>6.5458144397112568</c:v>
                </c:pt>
                <c:pt idx="4">
                  <c:v>6.5332182813236024</c:v>
                </c:pt>
                <c:pt idx="5">
                  <c:v>6.7993675875175654</c:v>
                </c:pt>
                <c:pt idx="6">
                  <c:v>6.5863951484300163</c:v>
                </c:pt>
                <c:pt idx="7">
                  <c:v>6.3734227093424671</c:v>
                </c:pt>
                <c:pt idx="8">
                  <c:v>7.8464368763303121</c:v>
                </c:pt>
                <c:pt idx="9">
                  <c:v>9.3194510433181552</c:v>
                </c:pt>
                <c:pt idx="10">
                  <c:v>10.792465210306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D1-8334-F62312F5866D}"/>
            </c:ext>
          </c:extLst>
        </c:ser>
        <c:ser>
          <c:idx val="2"/>
          <c:order val="2"/>
          <c:tx>
            <c:strRef>
              <c:f>'Manuscript Figures'!$A$4</c:f>
              <c:strCache>
                <c:ptCount val="1"/>
                <c:pt idx="0">
                  <c:v>Lorry/Motorcycle/Other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Figures'!$B$4:$L$4</c:f>
              <c:numCache>
                <c:formatCode>_-* #,##0.0_-;\-* #,##0.0_-;_-* "-"??_-;_-@_-</c:formatCode>
                <c:ptCount val="11"/>
                <c:pt idx="0">
                  <c:v>5.875413924046442</c:v>
                </c:pt>
                <c:pt idx="1">
                  <c:v>4.9317641189216515</c:v>
                </c:pt>
                <c:pt idx="2">
                  <c:v>3.9881143137968613</c:v>
                </c:pt>
                <c:pt idx="3">
                  <c:v>3.0444645086720699</c:v>
                </c:pt>
                <c:pt idx="4">
                  <c:v>3.4434590919606372</c:v>
                </c:pt>
                <c:pt idx="5">
                  <c:v>3.334832249626408</c:v>
                </c:pt>
                <c:pt idx="6">
                  <c:v>3.7735156108395072</c:v>
                </c:pt>
                <c:pt idx="7">
                  <c:v>4.2121989720526063</c:v>
                </c:pt>
                <c:pt idx="8">
                  <c:v>3.9200614694901867</c:v>
                </c:pt>
                <c:pt idx="9">
                  <c:v>3.6279239669277672</c:v>
                </c:pt>
                <c:pt idx="10">
                  <c:v>3.3357864643653485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D1-8334-F62312F5866D}"/>
            </c:ext>
          </c:extLst>
        </c:ser>
        <c:ser>
          <c:idx val="5"/>
          <c:order val="3"/>
          <c:tx>
            <c:strRef>
              <c:f>'Manuscript Figures'!$A$7</c:f>
              <c:strCache>
                <c:ptCount val="1"/>
                <c:pt idx="0">
                  <c:v>Rail/Dart/Luas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Figures'!$B$7:$L$7</c:f>
              <c:numCache>
                <c:formatCode>_-* #,##0.0_-;\-* #,##0.0_-;_-* "-"??_-;_-@_-</c:formatCode>
                <c:ptCount val="11"/>
                <c:pt idx="0">
                  <c:v>2.7554667334071423</c:v>
                </c:pt>
                <c:pt idx="1">
                  <c:v>2.5362436297317186</c:v>
                </c:pt>
                <c:pt idx="2">
                  <c:v>2.3170205260562948</c:v>
                </c:pt>
                <c:pt idx="3">
                  <c:v>2.0977974223808711</c:v>
                </c:pt>
                <c:pt idx="4">
                  <c:v>2.141662556533364</c:v>
                </c:pt>
                <c:pt idx="5">
                  <c:v>2.7096595491139546</c:v>
                </c:pt>
                <c:pt idx="6">
                  <c:v>2.3921213380469011</c:v>
                </c:pt>
                <c:pt idx="7">
                  <c:v>2.074583126979848</c:v>
                </c:pt>
                <c:pt idx="8">
                  <c:v>2.6990587001352186</c:v>
                </c:pt>
                <c:pt idx="9">
                  <c:v>3.3235342732905893</c:v>
                </c:pt>
                <c:pt idx="10">
                  <c:v>3.9480098464459599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D1-8334-F62312F5866D}"/>
            </c:ext>
          </c:extLst>
        </c:ser>
        <c:ser>
          <c:idx val="0"/>
          <c:order val="4"/>
          <c:tx>
            <c:strRef>
              <c:f>'Manuscript Figures'!$A$2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Figures'!$B$2:$L$2</c:f>
              <c:numCache>
                <c:formatCode>_-* #,##0.0_-;\-* #,##0.0_-;_-* "-"??_-;_-@_-</c:formatCode>
                <c:ptCount val="11"/>
                <c:pt idx="0">
                  <c:v>2.8077336625477369</c:v>
                </c:pt>
                <c:pt idx="1">
                  <c:v>2.5844556085057118</c:v>
                </c:pt>
                <c:pt idx="2">
                  <c:v>2.3611775544636862</c:v>
                </c:pt>
                <c:pt idx="3">
                  <c:v>2.1378995004216601</c:v>
                </c:pt>
                <c:pt idx="4">
                  <c:v>2.719981114535805</c:v>
                </c:pt>
                <c:pt idx="5">
                  <c:v>3.059690963062311</c:v>
                </c:pt>
                <c:pt idx="6">
                  <c:v>2.5524595811543871</c:v>
                </c:pt>
                <c:pt idx="7">
                  <c:v>2.0452281992464627</c:v>
                </c:pt>
                <c:pt idx="8">
                  <c:v>2.5777323818494962</c:v>
                </c:pt>
                <c:pt idx="9">
                  <c:v>3.1102365644525301</c:v>
                </c:pt>
                <c:pt idx="10">
                  <c:v>3.6427407470555635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D1-8334-F62312F5866D}"/>
            </c:ext>
          </c:extLst>
        </c:ser>
        <c:ser>
          <c:idx val="6"/>
          <c:order val="5"/>
          <c:tx>
            <c:strRef>
              <c:f>'Manuscript Figures'!$A$8</c:f>
              <c:strCache>
                <c:ptCount val="1"/>
                <c:pt idx="0">
                  <c:v>Taxi/hackney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Figures'!$B$8:$L$8</c:f>
              <c:numCache>
                <c:formatCode>_-* #,##0.0_-;\-* #,##0.0_-;_-* "-"??_-;_-@_-</c:formatCode>
                <c:ptCount val="11"/>
                <c:pt idx="0">
                  <c:v>0</c:v>
                </c:pt>
                <c:pt idx="1">
                  <c:v>6.6810417845929324E-2</c:v>
                </c:pt>
                <c:pt idx="2">
                  <c:v>0.13362083569185865</c:v>
                </c:pt>
                <c:pt idx="3">
                  <c:v>0.20043125353778798</c:v>
                </c:pt>
                <c:pt idx="4">
                  <c:v>0.17530746132720459</c:v>
                </c:pt>
                <c:pt idx="5">
                  <c:v>0.17988555924640934</c:v>
                </c:pt>
                <c:pt idx="6">
                  <c:v>0.19127250186110706</c:v>
                </c:pt>
                <c:pt idx="7">
                  <c:v>0.20265944447580478</c:v>
                </c:pt>
                <c:pt idx="8">
                  <c:v>0.23578656052003827</c:v>
                </c:pt>
                <c:pt idx="9">
                  <c:v>0.26891367656427173</c:v>
                </c:pt>
                <c:pt idx="10">
                  <c:v>0.30204079260850525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D1-8334-F62312F5866D}"/>
            </c:ext>
          </c:extLst>
        </c:ser>
        <c:ser>
          <c:idx val="1"/>
          <c:order val="6"/>
          <c:tx>
            <c:strRef>
              <c:f>'Manuscript Figures'!$A$3</c:f>
              <c:strCache>
                <c:ptCount val="1"/>
                <c:pt idx="0">
                  <c:v>Cycle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Figures'!$B$3:$L$3</c:f>
              <c:numCache>
                <c:formatCode>_-* #,##0.0_-;\-* #,##0.0_-;_-* "-"??_-;_-@_-</c:formatCode>
                <c:ptCount val="11"/>
                <c:pt idx="0">
                  <c:v>0.2239831678660924</c:v>
                </c:pt>
                <c:pt idx="1">
                  <c:v>0.20555065302885583</c:v>
                </c:pt>
                <c:pt idx="2">
                  <c:v>0.18711813819161924</c:v>
                </c:pt>
                <c:pt idx="3">
                  <c:v>0.16868562335438264</c:v>
                </c:pt>
                <c:pt idx="4">
                  <c:v>0.14551474773957029</c:v>
                </c:pt>
                <c:pt idx="5">
                  <c:v>0.19972840791332669</c:v>
                </c:pt>
                <c:pt idx="6">
                  <c:v>0.20666534508277473</c:v>
                </c:pt>
                <c:pt idx="7">
                  <c:v>0.21360228225222277</c:v>
                </c:pt>
                <c:pt idx="8">
                  <c:v>0.22009506018671254</c:v>
                </c:pt>
                <c:pt idx="9">
                  <c:v>0.22658783812120228</c:v>
                </c:pt>
                <c:pt idx="10">
                  <c:v>0.23308061605569208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D1-8334-F62312F5866D}"/>
            </c:ext>
          </c:extLst>
        </c:ser>
        <c:ser>
          <c:idx val="7"/>
          <c:order val="7"/>
          <c:tx>
            <c:strRef>
              <c:f>'Manuscript Figures'!$A$9</c:f>
              <c:strCache>
                <c:ptCount val="1"/>
                <c:pt idx="0">
                  <c:v>Walk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Figures'!$B$1:$L$1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Figures'!$B$9:$L$9</c:f>
              <c:numCache>
                <c:formatCode>_-* #,##0.0_-;\-* #,##0.0_-;_-* "-"??_-;_-@_-</c:formatCode>
                <c:ptCount val="11"/>
                <c:pt idx="0">
                  <c:v>0.15755273962167438</c:v>
                </c:pt>
                <c:pt idx="1">
                  <c:v>0.14598889088306299</c:v>
                </c:pt>
                <c:pt idx="2">
                  <c:v>0.13442504214445158</c:v>
                </c:pt>
                <c:pt idx="3">
                  <c:v>0.12286119340584016</c:v>
                </c:pt>
                <c:pt idx="4">
                  <c:v>0.1571668344546322</c:v>
                </c:pt>
                <c:pt idx="5">
                  <c:v>0.19871575857007573</c:v>
                </c:pt>
                <c:pt idx="6">
                  <c:v>0.16940564695680005</c:v>
                </c:pt>
                <c:pt idx="7">
                  <c:v>0.1400955353435244</c:v>
                </c:pt>
                <c:pt idx="8">
                  <c:v>0.19453349312747892</c:v>
                </c:pt>
                <c:pt idx="9">
                  <c:v>0.24897145091143347</c:v>
                </c:pt>
                <c:pt idx="10">
                  <c:v>0.30340940869538796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D1-8334-F62312F58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69839"/>
        <c:axId val="1085785247"/>
      </c:areaChart>
      <c:catAx>
        <c:axId val="1018169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85247"/>
        <c:crosses val="autoZero"/>
        <c:auto val="1"/>
        <c:lblAlgn val="ctr"/>
        <c:lblOffset val="100"/>
        <c:noMultiLvlLbl val="0"/>
      </c:catAx>
      <c:valAx>
        <c:axId val="10857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 Kilometres  (Billions)</a:t>
                </a:r>
              </a:p>
            </c:rich>
          </c:tx>
          <c:layout>
            <c:manualLayout>
              <c:xMode val="edge"/>
              <c:yMode val="edge"/>
              <c:x val="8.1430550624142811E-2"/>
              <c:y val="2.72631059112932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6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980785296574773E-2"/>
          <c:y val="2.7288328089423601E-2"/>
          <c:w val="0.89724310776942351"/>
          <c:h val="0.89323755522875081"/>
        </c:manualLayout>
      </c:layout>
      <c:areaChart>
        <c:grouping val="stacked"/>
        <c:varyColors val="0"/>
        <c:ser>
          <c:idx val="8"/>
          <c:order val="0"/>
          <c:tx>
            <c:strRef>
              <c:f>'Manuscript Figures'!$N$10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Figures'!$O$10:$Y$10</c:f>
              <c:numCache>
                <c:formatCode>_-* #,##0.0_-;\-* #,##0.0_-;_-* "-"??_-;_-@_-</c:formatCode>
                <c:ptCount val="11"/>
                <c:pt idx="0">
                  <c:v>21.336198042177855</c:v>
                </c:pt>
                <c:pt idx="1">
                  <c:v>19.497622298836827</c:v>
                </c:pt>
                <c:pt idx="2">
                  <c:v>17.659046555495795</c:v>
                </c:pt>
                <c:pt idx="3">
                  <c:v>15.820470812154761</c:v>
                </c:pt>
                <c:pt idx="4">
                  <c:v>12.212433391061648</c:v>
                </c:pt>
                <c:pt idx="5">
                  <c:v>18.622699272893982</c:v>
                </c:pt>
                <c:pt idx="6">
                  <c:v>20.975130679834464</c:v>
                </c:pt>
                <c:pt idx="7">
                  <c:v>23.32756208677495</c:v>
                </c:pt>
                <c:pt idx="8">
                  <c:v>22.040086448913968</c:v>
                </c:pt>
                <c:pt idx="9">
                  <c:v>20.752610811052982</c:v>
                </c:pt>
                <c:pt idx="10">
                  <c:v>19.465135173191996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2-48C6-8C51-C34139F13A5B}"/>
            </c:ext>
          </c:extLst>
        </c:ser>
        <c:ser>
          <c:idx val="5"/>
          <c:order val="1"/>
          <c:tx>
            <c:strRef>
              <c:f>'Manuscript Figures'!$N$7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Figures'!$O$7:$Y$7</c:f>
              <c:numCache>
                <c:formatCode>_-* #,##0.0_-;\-* #,##0.0_-;_-* "-"??_-;_-@_-</c:formatCode>
                <c:ptCount val="11"/>
                <c:pt idx="0">
                  <c:v>10.147549167737141</c:v>
                </c:pt>
                <c:pt idx="1">
                  <c:v>9.8482405095595258</c:v>
                </c:pt>
                <c:pt idx="2">
                  <c:v>9.5489318513819121</c:v>
                </c:pt>
                <c:pt idx="3">
                  <c:v>9.2496231932043003</c:v>
                </c:pt>
                <c:pt idx="4">
                  <c:v>13.438610800787188</c:v>
                </c:pt>
                <c:pt idx="5">
                  <c:v>10.992314145931013</c:v>
                </c:pt>
                <c:pt idx="6">
                  <c:v>11.150569750818331</c:v>
                </c:pt>
                <c:pt idx="7">
                  <c:v>11.308825355705649</c:v>
                </c:pt>
                <c:pt idx="8">
                  <c:v>11.642965475875766</c:v>
                </c:pt>
                <c:pt idx="9">
                  <c:v>11.977105596045881</c:v>
                </c:pt>
                <c:pt idx="10">
                  <c:v>12.311245716216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2-48C6-8C51-C34139F13A5B}"/>
            </c:ext>
          </c:extLst>
        </c:ser>
        <c:ser>
          <c:idx val="0"/>
          <c:order val="2"/>
          <c:tx>
            <c:strRef>
              <c:f>'Manuscript Figures'!$N$2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Figures'!$O$2:$Y$2</c:f>
              <c:numCache>
                <c:formatCode>_-* #,##0.0_-;\-* #,##0.0_-;_-* "-"??_-;_-@_-</c:formatCode>
                <c:ptCount val="11"/>
                <c:pt idx="0">
                  <c:v>4.9124429023135709</c:v>
                </c:pt>
                <c:pt idx="1">
                  <c:v>5.789435937020218</c:v>
                </c:pt>
                <c:pt idx="2">
                  <c:v>6.666428971726865</c:v>
                </c:pt>
                <c:pt idx="3">
                  <c:v>7.5434220064335111</c:v>
                </c:pt>
                <c:pt idx="4">
                  <c:v>8.0487564545379762</c:v>
                </c:pt>
                <c:pt idx="5">
                  <c:v>5.7562820829487888</c:v>
                </c:pt>
                <c:pt idx="6">
                  <c:v>6.4350628075474985</c:v>
                </c:pt>
                <c:pt idx="7">
                  <c:v>7.1138435321462081</c:v>
                </c:pt>
                <c:pt idx="8">
                  <c:v>8.1666566709801387</c:v>
                </c:pt>
                <c:pt idx="9">
                  <c:v>9.2194698098140684</c:v>
                </c:pt>
                <c:pt idx="10">
                  <c:v>10.272282948647998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2-48C6-8C51-C34139F13A5B}"/>
            </c:ext>
          </c:extLst>
        </c:ser>
        <c:ser>
          <c:idx val="2"/>
          <c:order val="3"/>
          <c:tx>
            <c:strRef>
              <c:f>'Manuscript Figures'!$N$4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Figures'!$O$4:$Y$4</c:f>
              <c:numCache>
                <c:formatCode>_-* #,##0.0_-;\-* #,##0.0_-;_-* "-"??_-;_-@_-</c:formatCode>
                <c:ptCount val="11"/>
                <c:pt idx="0">
                  <c:v>3.8750621960442855</c:v>
                </c:pt>
                <c:pt idx="1">
                  <c:v>4.1505117940063387</c:v>
                </c:pt>
                <c:pt idx="2">
                  <c:v>4.425961391968392</c:v>
                </c:pt>
                <c:pt idx="3">
                  <c:v>4.7014109899304453</c:v>
                </c:pt>
                <c:pt idx="4">
                  <c:v>7.262984713167099</c:v>
                </c:pt>
                <c:pt idx="5">
                  <c:v>5.7719801695604742</c:v>
                </c:pt>
                <c:pt idx="6">
                  <c:v>5.7252296862500991</c:v>
                </c:pt>
                <c:pt idx="7">
                  <c:v>5.6784792029397249</c:v>
                </c:pt>
                <c:pt idx="8">
                  <c:v>5.761495852055817</c:v>
                </c:pt>
                <c:pt idx="9">
                  <c:v>5.8445125011719083</c:v>
                </c:pt>
                <c:pt idx="10">
                  <c:v>5.9275291502879988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2-48C6-8C51-C34139F13A5B}"/>
            </c:ext>
          </c:extLst>
        </c:ser>
        <c:ser>
          <c:idx val="7"/>
          <c:order val="4"/>
          <c:tx>
            <c:strRef>
              <c:f>'Manuscript Figures'!$N$9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Figures'!$O$9:$Y$9</c:f>
              <c:numCache>
                <c:formatCode>_-* #,##0.0_-;\-* #,##0.0_-;_-* "-"??_-;_-@_-</c:formatCode>
                <c:ptCount val="11"/>
                <c:pt idx="0">
                  <c:v>7.0275642861599996</c:v>
                </c:pt>
                <c:pt idx="1">
                  <c:v>6.8717804068804904</c:v>
                </c:pt>
                <c:pt idx="2">
                  <c:v>6.7159965276009803</c:v>
                </c:pt>
                <c:pt idx="3">
                  <c:v>6.560212648321472</c:v>
                </c:pt>
                <c:pt idx="4">
                  <c:v>5.4697976695738353</c:v>
                </c:pt>
                <c:pt idx="5">
                  <c:v>7.5764554239867739</c:v>
                </c:pt>
                <c:pt idx="6">
                  <c:v>7.054928833517641</c:v>
                </c:pt>
                <c:pt idx="7">
                  <c:v>6.5334022430485099</c:v>
                </c:pt>
                <c:pt idx="8">
                  <c:v>6.9656789243096737</c:v>
                </c:pt>
                <c:pt idx="9">
                  <c:v>7.3979556055708366</c:v>
                </c:pt>
                <c:pt idx="10">
                  <c:v>7.8302322868319996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12-48C6-8C51-C34139F13A5B}"/>
            </c:ext>
          </c:extLst>
        </c:ser>
        <c:ser>
          <c:idx val="4"/>
          <c:order val="5"/>
          <c:tx>
            <c:strRef>
              <c:f>'Manuscript Figures'!$N$6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Figures'!$O$6:$Y$6</c:f>
              <c:numCache>
                <c:formatCode>_-* #,##0.0_-;\-* #,##0.0_-;_-* "-"??_-;_-@_-</c:formatCode>
                <c:ptCount val="11"/>
                <c:pt idx="0">
                  <c:v>4.9687769422971417</c:v>
                </c:pt>
                <c:pt idx="1">
                  <c:v>4.3912687022282437</c:v>
                </c:pt>
                <c:pt idx="2">
                  <c:v>3.8137604621593462</c:v>
                </c:pt>
                <c:pt idx="3">
                  <c:v>3.2362522220904482</c:v>
                </c:pt>
                <c:pt idx="4">
                  <c:v>3.1214119220722361</c:v>
                </c:pt>
                <c:pt idx="5">
                  <c:v>3.4004249505024071</c:v>
                </c:pt>
                <c:pt idx="6">
                  <c:v>3.7511892564140301</c:v>
                </c:pt>
                <c:pt idx="7">
                  <c:v>4.1019535623256527</c:v>
                </c:pt>
                <c:pt idx="8">
                  <c:v>4.0658060487291019</c:v>
                </c:pt>
                <c:pt idx="9">
                  <c:v>4.0296585351325511</c:v>
                </c:pt>
                <c:pt idx="10">
                  <c:v>3.9935110215359999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12-48C6-8C51-C34139F13A5B}"/>
            </c:ext>
          </c:extLst>
        </c:ser>
        <c:ser>
          <c:idx val="3"/>
          <c:order val="6"/>
          <c:tx>
            <c:strRef>
              <c:f>'Manuscript Figures'!$N$5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Figures'!$O$5:$Y$5</c:f>
              <c:numCache>
                <c:formatCode>_-* #,##0.0_-;\-* #,##0.0_-;_-* "-"??_-;_-@_-</c:formatCode>
                <c:ptCount val="11"/>
                <c:pt idx="0">
                  <c:v>5.5072184739235697</c:v>
                </c:pt>
                <c:pt idx="1">
                  <c:v>4.2678226289624943</c:v>
                </c:pt>
                <c:pt idx="2">
                  <c:v>3.0284267840014181</c:v>
                </c:pt>
                <c:pt idx="3">
                  <c:v>1.7890309390403429</c:v>
                </c:pt>
                <c:pt idx="4">
                  <c:v>2.6814638991065647</c:v>
                </c:pt>
                <c:pt idx="5">
                  <c:v>3.0128066069094146</c:v>
                </c:pt>
                <c:pt idx="6">
                  <c:v>2.56282923568358</c:v>
                </c:pt>
                <c:pt idx="7">
                  <c:v>2.112851864457745</c:v>
                </c:pt>
                <c:pt idx="8">
                  <c:v>2.2087609358304969</c:v>
                </c:pt>
                <c:pt idx="9">
                  <c:v>2.3046700072032484</c:v>
                </c:pt>
                <c:pt idx="10">
                  <c:v>2.4005790785760004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12-48C6-8C51-C34139F13A5B}"/>
            </c:ext>
          </c:extLst>
        </c:ser>
        <c:ser>
          <c:idx val="1"/>
          <c:order val="7"/>
          <c:tx>
            <c:strRef>
              <c:f>'Manuscript Figures'!$N$3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Figures'!$O$3:$Y$3</c:f>
              <c:numCache>
                <c:formatCode>_-* #,##0.0_-;\-* #,##0.0_-;_-* "-"??_-;_-@_-</c:formatCode>
                <c:ptCount val="11"/>
                <c:pt idx="0">
                  <c:v>2.2948316602199998</c:v>
                </c:pt>
                <c:pt idx="1">
                  <c:v>2.2436088425541123</c:v>
                </c:pt>
                <c:pt idx="2">
                  <c:v>2.1923860248882252</c:v>
                </c:pt>
                <c:pt idx="3">
                  <c:v>2.1411632072223381</c:v>
                </c:pt>
                <c:pt idx="4">
                  <c:v>2.7775887768574337</c:v>
                </c:pt>
                <c:pt idx="5">
                  <c:v>1.9728366673669924</c:v>
                </c:pt>
                <c:pt idx="6">
                  <c:v>1.81485213509579</c:v>
                </c:pt>
                <c:pt idx="7">
                  <c:v>1.6568676028245874</c:v>
                </c:pt>
                <c:pt idx="8">
                  <c:v>1.6778202517230583</c:v>
                </c:pt>
                <c:pt idx="9">
                  <c:v>1.6987729006215291</c:v>
                </c:pt>
                <c:pt idx="10">
                  <c:v>1.7197255495199999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12-48C6-8C51-C34139F13A5B}"/>
            </c:ext>
          </c:extLst>
        </c:ser>
        <c:ser>
          <c:idx val="6"/>
          <c:order val="8"/>
          <c:tx>
            <c:strRef>
              <c:f>'Manuscript Figures'!$N$8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'Manuscript Figures'!$O$1:$Y$1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'Manuscript Figures'!$O$8:$Y$8</c:f>
              <c:numCache>
                <c:formatCode>_-* #,##0.0_-;\-* #,##0.0_-;_-* "-"??_-;_-@_-</c:formatCode>
                <c:ptCount val="11"/>
                <c:pt idx="0">
                  <c:v>0.73641418405499992</c:v>
                </c:pt>
                <c:pt idx="1">
                  <c:v>0.73839638078963266</c:v>
                </c:pt>
                <c:pt idx="2">
                  <c:v>0.74037857752426539</c:v>
                </c:pt>
                <c:pt idx="3">
                  <c:v>0.74236077425889802</c:v>
                </c:pt>
                <c:pt idx="4">
                  <c:v>1.2281359607301898</c:v>
                </c:pt>
                <c:pt idx="5">
                  <c:v>0.73426871788953207</c:v>
                </c:pt>
                <c:pt idx="6">
                  <c:v>0.86807042731170292</c:v>
                </c:pt>
                <c:pt idx="7">
                  <c:v>1.0018721367338737</c:v>
                </c:pt>
                <c:pt idx="8">
                  <c:v>1.2499245477265826</c:v>
                </c:pt>
                <c:pt idx="9">
                  <c:v>1.4979769587192913</c:v>
                </c:pt>
                <c:pt idx="10">
                  <c:v>1.746029369712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12-48C6-8C51-C34139F13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21551"/>
        <c:axId val="1047551439"/>
      </c:areaChart>
      <c:catAx>
        <c:axId val="1052621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51439"/>
        <c:crosses val="autoZero"/>
        <c:auto val="1"/>
        <c:lblAlgn val="ctr"/>
        <c:lblOffset val="100"/>
        <c:noMultiLvlLbl val="0"/>
      </c:catAx>
      <c:valAx>
        <c:axId val="10475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IE"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 Kilometres (Billions)</a:t>
                </a:r>
              </a:p>
            </c:rich>
          </c:tx>
          <c:layout>
            <c:manualLayout>
              <c:xMode val="edge"/>
              <c:yMode val="edge"/>
              <c:x val="1.6708437761069339E-2"/>
              <c:y val="9.9454389820854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IE" sz="7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IE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621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IE" sz="7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'Graphs for Manuscripts'!$A$37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Manuscripts'!$B$37:$J$37</c:f>
              <c:numCache>
                <c:formatCode>General</c:formatCode>
                <c:ptCount val="9"/>
                <c:pt idx="0">
                  <c:v>1.9734849332781121</c:v>
                </c:pt>
                <c:pt idx="1">
                  <c:v>2.2843562839941005</c:v>
                </c:pt>
                <c:pt idx="2">
                  <c:v>2.4754634881693254</c:v>
                </c:pt>
                <c:pt idx="3">
                  <c:v>2.6791889702524965</c:v>
                </c:pt>
                <c:pt idx="4">
                  <c:v>3.0983041156609912</c:v>
                </c:pt>
                <c:pt idx="5">
                  <c:v>3.5811026721787145</c:v>
                </c:pt>
                <c:pt idx="6">
                  <c:v>3.9912536306212592</c:v>
                </c:pt>
                <c:pt idx="7">
                  <c:v>4.334089757195863</c:v>
                </c:pt>
                <c:pt idx="8">
                  <c:v>4.3015810316626277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72-46DE-95A8-C58F15B1FC74}"/>
            </c:ext>
          </c:extLst>
        </c:ser>
        <c:ser>
          <c:idx val="7"/>
          <c:order val="1"/>
          <c:tx>
            <c:strRef>
              <c:f>'Graphs for Manuscripts'!$A$40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Manuscripts'!$B$40:$J$40</c:f>
              <c:numCache>
                <c:formatCode>General</c:formatCode>
                <c:ptCount val="9"/>
                <c:pt idx="0">
                  <c:v>3.7529629510886426</c:v>
                </c:pt>
                <c:pt idx="1">
                  <c:v>3.5020838115945567</c:v>
                </c:pt>
                <c:pt idx="2">
                  <c:v>2.9490054538827684</c:v>
                </c:pt>
                <c:pt idx="3">
                  <c:v>3.1432615058296176</c:v>
                </c:pt>
                <c:pt idx="4">
                  <c:v>2.8682806483462135</c:v>
                </c:pt>
                <c:pt idx="5">
                  <c:v>2.795955827720932</c:v>
                </c:pt>
                <c:pt idx="6">
                  <c:v>2.6099482841204735</c:v>
                </c:pt>
                <c:pt idx="7">
                  <c:v>2.4047220794319286</c:v>
                </c:pt>
                <c:pt idx="8">
                  <c:v>2.1055372051477352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72-46DE-95A8-C58F15B1FC74}"/>
            </c:ext>
          </c:extLst>
        </c:ser>
        <c:ser>
          <c:idx val="6"/>
          <c:order val="2"/>
          <c:tx>
            <c:strRef>
              <c:f>'Graphs for Manuscripts'!$A$39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Manuscripts'!$B$39:$J$39</c:f>
              <c:numCache>
                <c:formatCode>General</c:formatCode>
                <c:ptCount val="9"/>
                <c:pt idx="0">
                  <c:v>5.459382223584921E-3</c:v>
                </c:pt>
                <c:pt idx="1">
                  <c:v>5.3532951344232513E-3</c:v>
                </c:pt>
                <c:pt idx="2">
                  <c:v>6.6870838339744771E-3</c:v>
                </c:pt>
                <c:pt idx="3">
                  <c:v>6.1902893040984555E-3</c:v>
                </c:pt>
                <c:pt idx="4">
                  <c:v>6.43493011693228E-3</c:v>
                </c:pt>
                <c:pt idx="5">
                  <c:v>7.4047934073450221E-3</c:v>
                </c:pt>
                <c:pt idx="6">
                  <c:v>9.5307716974815087E-3</c:v>
                </c:pt>
                <c:pt idx="7">
                  <c:v>1.4382653926591235E-2</c:v>
                </c:pt>
                <c:pt idx="8">
                  <c:v>1.876562345062428E-2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72-46DE-95A8-C58F15B1FC74}"/>
            </c:ext>
          </c:extLst>
        </c:ser>
        <c:ser>
          <c:idx val="5"/>
          <c:order val="3"/>
          <c:tx>
            <c:strRef>
              <c:f>'Graphs for Manuscripts'!$A$38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Manuscripts'!$B$38:$J$38</c:f>
              <c:numCache>
                <c:formatCode>General</c:formatCode>
                <c:ptCount val="9"/>
                <c:pt idx="0">
                  <c:v>5.85368502336E-5</c:v>
                </c:pt>
                <c:pt idx="1">
                  <c:v>1.1037564141119999E-4</c:v>
                </c:pt>
                <c:pt idx="2">
                  <c:v>3.0137684966400003E-4</c:v>
                </c:pt>
                <c:pt idx="3">
                  <c:v>3.3073932168E-4</c:v>
                </c:pt>
                <c:pt idx="4">
                  <c:v>5.5573497559040003E-4</c:v>
                </c:pt>
                <c:pt idx="5">
                  <c:v>1.1257771199463999E-3</c:v>
                </c:pt>
                <c:pt idx="6">
                  <c:v>1.7562462660304001E-3</c:v>
                </c:pt>
                <c:pt idx="7">
                  <c:v>2.9023797168608E-3</c:v>
                </c:pt>
                <c:pt idx="8">
                  <c:v>4.0962115140112006E-3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72-46DE-95A8-C58F15B1FC74}"/>
            </c:ext>
          </c:extLst>
        </c:ser>
        <c:ser>
          <c:idx val="2"/>
          <c:order val="4"/>
          <c:tx>
            <c:strRef>
              <c:f>'Graphs for Manuscripts'!$A$35</c:f>
              <c:strCache>
                <c:ptCount val="1"/>
                <c:pt idx="0">
                  <c:v>Irish Rail (Heavy Rail)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Manuscripts'!$B$35:$J$35</c:f>
              <c:numCache>
                <c:formatCode>General</c:formatCode>
                <c:ptCount val="9"/>
                <c:pt idx="0">
                  <c:v>0.16898816</c:v>
                </c:pt>
                <c:pt idx="1">
                  <c:v>0.16049780999999999</c:v>
                </c:pt>
                <c:pt idx="2">
                  <c:v>0.15247168999999999</c:v>
                </c:pt>
                <c:pt idx="3">
                  <c:v>0.15274241</c:v>
                </c:pt>
                <c:pt idx="4">
                  <c:v>0.13786175000000001</c:v>
                </c:pt>
                <c:pt idx="5">
                  <c:v>0.13602864309999999</c:v>
                </c:pt>
                <c:pt idx="6">
                  <c:v>0.14372823029999998</c:v>
                </c:pt>
                <c:pt idx="7">
                  <c:v>0.14800024559999997</c:v>
                </c:pt>
                <c:pt idx="8">
                  <c:v>0.14722426999999999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2-46DE-95A8-C58F15B1FC74}"/>
            </c:ext>
          </c:extLst>
        </c:ser>
        <c:ser>
          <c:idx val="0"/>
          <c:order val="5"/>
          <c:tx>
            <c:strRef>
              <c:f>'Graphs for Manuscripts'!$A$33</c:f>
              <c:strCache>
                <c:ptCount val="1"/>
                <c:pt idx="0">
                  <c:v>Bus Éireann (Intercity Bus)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Manuscripts'!$B$33:$J$33</c:f>
              <c:numCache>
                <c:formatCode>General</c:formatCode>
                <c:ptCount val="9"/>
                <c:pt idx="0">
                  <c:v>8.3644382100000012E-2</c:v>
                </c:pt>
                <c:pt idx="1">
                  <c:v>8.068435979999998E-2</c:v>
                </c:pt>
                <c:pt idx="2">
                  <c:v>8.0757680200000001E-2</c:v>
                </c:pt>
                <c:pt idx="3">
                  <c:v>7.9868824800000002E-2</c:v>
                </c:pt>
                <c:pt idx="4">
                  <c:v>7.9474553999999989E-2</c:v>
                </c:pt>
                <c:pt idx="5">
                  <c:v>7.9493302199999977E-2</c:v>
                </c:pt>
                <c:pt idx="6">
                  <c:v>8.0901610699999987E-2</c:v>
                </c:pt>
                <c:pt idx="7">
                  <c:v>7.4784899000000002E-2</c:v>
                </c:pt>
                <c:pt idx="8">
                  <c:v>8.0316433099999987E-2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2-46DE-95A8-C58F15B1FC74}"/>
            </c:ext>
          </c:extLst>
        </c:ser>
        <c:ser>
          <c:idx val="1"/>
          <c:order val="6"/>
          <c:tx>
            <c:strRef>
              <c:f>'Graphs for Manuscripts'!$A$34</c:f>
              <c:strCache>
                <c:ptCount val="1"/>
                <c:pt idx="0">
                  <c:v>Dublin Bus (Urban Bus)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Manuscripts'!$B$34:$J$34</c:f>
              <c:numCache>
                <c:formatCode>General</c:formatCode>
                <c:ptCount val="9"/>
                <c:pt idx="0">
                  <c:v>9.0827938099999977E-2</c:v>
                </c:pt>
                <c:pt idx="1">
                  <c:v>8.608261759999998E-2</c:v>
                </c:pt>
                <c:pt idx="2">
                  <c:v>8.0020135300000003E-2</c:v>
                </c:pt>
                <c:pt idx="3">
                  <c:v>7.8459911199999982E-2</c:v>
                </c:pt>
                <c:pt idx="4">
                  <c:v>7.8280136799999983E-2</c:v>
                </c:pt>
                <c:pt idx="5">
                  <c:v>7.8900950399999989E-2</c:v>
                </c:pt>
                <c:pt idx="6">
                  <c:v>7.8250555799999996E-2</c:v>
                </c:pt>
                <c:pt idx="7">
                  <c:v>7.8543231299999988E-2</c:v>
                </c:pt>
                <c:pt idx="8">
                  <c:v>7.5111207299999996E-2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2-46DE-95A8-C58F15B1FC74}"/>
            </c:ext>
          </c:extLst>
        </c:ser>
        <c:ser>
          <c:idx val="3"/>
          <c:order val="7"/>
          <c:tx>
            <c:strRef>
              <c:f>'Graphs for Manuscripts'!$A$36</c:f>
              <c:strCache>
                <c:ptCount val="1"/>
                <c:pt idx="0">
                  <c:v>Luas (Light Rail)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'Graphs for Manuscripts'!$B$32:$J$32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'Graphs for Manuscripts'!$B$36:$J$36</c:f>
              <c:numCache>
                <c:formatCode>General</c:formatCode>
                <c:ptCount val="9"/>
                <c:pt idx="0">
                  <c:v>1.2962159999999999E-2</c:v>
                </c:pt>
                <c:pt idx="1">
                  <c:v>1.0807919999999999E-2</c:v>
                </c:pt>
                <c:pt idx="2">
                  <c:v>1.0758E-2</c:v>
                </c:pt>
                <c:pt idx="3">
                  <c:v>1.0918000000000001E-2</c:v>
                </c:pt>
                <c:pt idx="4">
                  <c:v>9.2505599999999997E-3</c:v>
                </c:pt>
                <c:pt idx="5">
                  <c:v>9.5528999999999996E-3</c:v>
                </c:pt>
                <c:pt idx="6">
                  <c:v>9.7628999999999997E-3</c:v>
                </c:pt>
                <c:pt idx="7">
                  <c:v>1.0088400000000001E-2</c:v>
                </c:pt>
                <c:pt idx="8">
                  <c:v>9.1686000000000024E-3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2-46DE-95A8-C58F15B1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304832"/>
        <c:axId val="1872725040"/>
      </c:areaChart>
      <c:catAx>
        <c:axId val="194230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25040"/>
        <c:crosses val="autoZero"/>
        <c:auto val="1"/>
        <c:lblAlgn val="ctr"/>
        <c:lblOffset val="100"/>
        <c:noMultiLvlLbl val="0"/>
      </c:catAx>
      <c:valAx>
        <c:axId val="18727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Carbon Dioxide Emissions</a:t>
                </a:r>
                <a:r>
                  <a:rPr lang="en-IE" baseline="0"/>
                  <a:t> (MTCO2)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30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8AF0318-30EC-47FA-836B-24B61B86D2AF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IE"/>
        </a:p>
      </dgm:t>
    </dgm:pt>
    <dgm:pt modelId="{E29A3462-4F33-4AB9-A748-0616F6E67A65}">
      <dgm:prSet phldrT="[Text]"/>
      <dgm:spPr/>
      <dgm:t>
        <a:bodyPr/>
        <a:lstStyle/>
        <a:p>
          <a:r>
            <a:rPr lang="en-IE"/>
            <a:t>Journey</a:t>
          </a:r>
        </a:p>
      </dgm:t>
    </dgm:pt>
    <dgm:pt modelId="{F8C8F1DF-8B53-4BC2-8286-A2C19B7A07DA}" type="parTrans" cxnId="{5B1A9887-6B15-4240-B9DA-CCE15C0FAD9F}">
      <dgm:prSet/>
      <dgm:spPr/>
      <dgm:t>
        <a:bodyPr/>
        <a:lstStyle/>
        <a:p>
          <a:endParaRPr lang="en-IE"/>
        </a:p>
      </dgm:t>
    </dgm:pt>
    <dgm:pt modelId="{C9DF23E3-88E6-4163-B0F9-D8215DA38A03}" type="sibTrans" cxnId="{5B1A9887-6B15-4240-B9DA-CCE15C0FAD9F}">
      <dgm:prSet/>
      <dgm:spPr/>
      <dgm:t>
        <a:bodyPr/>
        <a:lstStyle/>
        <a:p>
          <a:endParaRPr lang="en-IE"/>
        </a:p>
      </dgm:t>
    </dgm:pt>
    <dgm:pt modelId="{95DC7EEC-A034-4626-954E-668A4930671E}">
      <dgm:prSet phldrT="[Text]"/>
      <dgm:spPr/>
      <dgm:t>
        <a:bodyPr/>
        <a:lstStyle/>
        <a:p>
          <a:r>
            <a:rPr lang="en-IE"/>
            <a:t>Work</a:t>
          </a:r>
        </a:p>
      </dgm:t>
    </dgm:pt>
    <dgm:pt modelId="{1E47C542-1346-40E6-84D7-F12A5CCE1B42}" type="parTrans" cxnId="{C7DD8357-6540-434F-B101-ED87F65E91E3}">
      <dgm:prSet/>
      <dgm:spPr/>
      <dgm:t>
        <a:bodyPr/>
        <a:lstStyle/>
        <a:p>
          <a:endParaRPr lang="en-IE"/>
        </a:p>
      </dgm:t>
    </dgm:pt>
    <dgm:pt modelId="{EFF26B2E-B154-4874-AF7B-DBFE486B118D}" type="sibTrans" cxnId="{C7DD8357-6540-434F-B101-ED87F65E91E3}">
      <dgm:prSet/>
      <dgm:spPr/>
      <dgm:t>
        <a:bodyPr/>
        <a:lstStyle/>
        <a:p>
          <a:endParaRPr lang="en-IE"/>
        </a:p>
      </dgm:t>
    </dgm:pt>
    <dgm:pt modelId="{60028438-7772-4A63-BCFC-1697B307A383}">
      <dgm:prSet phldrT="[Text]"/>
      <dgm:spPr/>
      <dgm:t>
        <a:bodyPr/>
        <a:lstStyle/>
        <a:p>
          <a:r>
            <a:rPr lang="en-IE"/>
            <a:t>2</a:t>
          </a:r>
        </a:p>
      </dgm:t>
    </dgm:pt>
    <dgm:pt modelId="{F2D2C074-51DE-4F28-B2C5-9CD17D90ECF4}" type="parTrans" cxnId="{FA7B49A4-8B31-4057-A1E7-6C993B9357FC}">
      <dgm:prSet/>
      <dgm:spPr/>
      <dgm:t>
        <a:bodyPr/>
        <a:lstStyle/>
        <a:p>
          <a:endParaRPr lang="en-IE"/>
        </a:p>
      </dgm:t>
    </dgm:pt>
    <dgm:pt modelId="{9774A0E1-536A-41D2-8C52-66D6F6367734}" type="sibTrans" cxnId="{FA7B49A4-8B31-4057-A1E7-6C993B9357FC}">
      <dgm:prSet/>
      <dgm:spPr/>
      <dgm:t>
        <a:bodyPr/>
        <a:lstStyle/>
        <a:p>
          <a:endParaRPr lang="en-IE"/>
        </a:p>
      </dgm:t>
    </dgm:pt>
    <dgm:pt modelId="{383ED7F8-9072-4AED-AFAF-FFEA72A6BD67}">
      <dgm:prSet phldrT="[Text]"/>
      <dgm:spPr/>
      <dgm:t>
        <a:bodyPr/>
        <a:lstStyle/>
        <a:p>
          <a:r>
            <a:rPr lang="en-IE"/>
            <a:t>2-4</a:t>
          </a:r>
        </a:p>
      </dgm:t>
    </dgm:pt>
    <dgm:pt modelId="{D348CB07-5278-4B6A-9923-E8B9AC9EF1C2}" type="parTrans" cxnId="{3EBF924E-7B08-4171-AC3C-F7A59165D28F}">
      <dgm:prSet/>
      <dgm:spPr/>
      <dgm:t>
        <a:bodyPr/>
        <a:lstStyle/>
        <a:p>
          <a:endParaRPr lang="en-IE"/>
        </a:p>
      </dgm:t>
    </dgm:pt>
    <dgm:pt modelId="{80A3880D-15D3-4FE9-A016-F50250083C89}" type="sibTrans" cxnId="{3EBF924E-7B08-4171-AC3C-F7A59165D28F}">
      <dgm:prSet/>
      <dgm:spPr/>
      <dgm:t>
        <a:bodyPr/>
        <a:lstStyle/>
        <a:p>
          <a:endParaRPr lang="en-IE"/>
        </a:p>
      </dgm:t>
    </dgm:pt>
    <dgm:pt modelId="{7C24B597-A54B-4703-94AF-6C1A0F26A2D8}">
      <dgm:prSet phldrT="[Text]"/>
      <dgm:spPr/>
      <dgm:t>
        <a:bodyPr/>
        <a:lstStyle/>
        <a:p>
          <a:r>
            <a:rPr lang="en-IE"/>
            <a:t>Visit Family or Friends</a:t>
          </a:r>
        </a:p>
      </dgm:t>
    </dgm:pt>
    <dgm:pt modelId="{CB0EDE17-DD43-415E-B597-F9A045C2C0D1}" type="parTrans" cxnId="{C9652DEE-E728-4873-8128-E5AEC063E576}">
      <dgm:prSet/>
      <dgm:spPr/>
      <dgm:t>
        <a:bodyPr/>
        <a:lstStyle/>
        <a:p>
          <a:endParaRPr lang="en-IE"/>
        </a:p>
      </dgm:t>
    </dgm:pt>
    <dgm:pt modelId="{3B111499-5C9F-4FCA-B887-6FE42E065962}" type="sibTrans" cxnId="{C9652DEE-E728-4873-8128-E5AEC063E576}">
      <dgm:prSet/>
      <dgm:spPr/>
      <dgm:t>
        <a:bodyPr/>
        <a:lstStyle/>
        <a:p>
          <a:endParaRPr lang="en-IE"/>
        </a:p>
      </dgm:t>
    </dgm:pt>
    <dgm:pt modelId="{EA485993-626F-4CF1-A4AC-E6CFAED1AA68}">
      <dgm:prSet phldrT="[Text]"/>
      <dgm:spPr/>
      <dgm:t>
        <a:bodyPr/>
        <a:lstStyle/>
        <a:p>
          <a:r>
            <a:rPr lang="en-IE"/>
            <a:t>2</a:t>
          </a:r>
        </a:p>
      </dgm:t>
    </dgm:pt>
    <dgm:pt modelId="{6994A181-52F5-4FDE-89B7-3F8FD963AC75}" type="parTrans" cxnId="{E86D081D-9E5E-4D0C-B321-A85E29D40BDF}">
      <dgm:prSet/>
      <dgm:spPr/>
      <dgm:t>
        <a:bodyPr/>
        <a:lstStyle/>
        <a:p>
          <a:endParaRPr lang="en-IE"/>
        </a:p>
      </dgm:t>
    </dgm:pt>
    <dgm:pt modelId="{CB0A005B-306D-4740-B06F-56332E8FC2A5}" type="sibTrans" cxnId="{E86D081D-9E5E-4D0C-B321-A85E29D40BDF}">
      <dgm:prSet/>
      <dgm:spPr/>
      <dgm:t>
        <a:bodyPr/>
        <a:lstStyle/>
        <a:p>
          <a:endParaRPr lang="en-IE"/>
        </a:p>
      </dgm:t>
    </dgm:pt>
    <dgm:pt modelId="{41C9D7EE-0A89-4777-9CA2-AA4624A07232}">
      <dgm:prSet/>
      <dgm:spPr/>
      <dgm:t>
        <a:bodyPr/>
        <a:lstStyle/>
        <a:p>
          <a:r>
            <a:rPr lang="en-IE"/>
            <a:t>Education</a:t>
          </a:r>
        </a:p>
      </dgm:t>
    </dgm:pt>
    <dgm:pt modelId="{493B2C1A-7DAC-4885-9A40-29EA9EA2C895}" type="parTrans" cxnId="{6203E412-51F8-40D0-A08E-E02CDE074CF0}">
      <dgm:prSet/>
      <dgm:spPr/>
      <dgm:t>
        <a:bodyPr/>
        <a:lstStyle/>
        <a:p>
          <a:endParaRPr lang="en-IE"/>
        </a:p>
      </dgm:t>
    </dgm:pt>
    <dgm:pt modelId="{99E201AC-405A-452C-83AF-081B96C629D7}" type="sibTrans" cxnId="{6203E412-51F8-40D0-A08E-E02CDE074CF0}">
      <dgm:prSet/>
      <dgm:spPr/>
      <dgm:t>
        <a:bodyPr/>
        <a:lstStyle/>
        <a:p>
          <a:endParaRPr lang="en-IE"/>
        </a:p>
      </dgm:t>
    </dgm:pt>
    <dgm:pt modelId="{52298998-3DB5-4F56-A2B4-5852AC05C26D}">
      <dgm:prSet/>
      <dgm:spPr/>
      <dgm:t>
        <a:bodyPr/>
        <a:lstStyle/>
        <a:p>
          <a:r>
            <a:rPr lang="en-IE"/>
            <a:t>To eat or drink</a:t>
          </a:r>
        </a:p>
      </dgm:t>
    </dgm:pt>
    <dgm:pt modelId="{02368F0D-E2E7-429B-A30F-0CAC806DABCB}" type="parTrans" cxnId="{DB8B7D1D-8264-45B6-9C59-B933BF6B29D6}">
      <dgm:prSet/>
      <dgm:spPr/>
      <dgm:t>
        <a:bodyPr/>
        <a:lstStyle/>
        <a:p>
          <a:endParaRPr lang="en-IE"/>
        </a:p>
      </dgm:t>
    </dgm:pt>
    <dgm:pt modelId="{A3D707AA-B86E-44DC-8123-3A837AEB061F}" type="sibTrans" cxnId="{DB8B7D1D-8264-45B6-9C59-B933BF6B29D6}">
      <dgm:prSet/>
      <dgm:spPr/>
      <dgm:t>
        <a:bodyPr/>
        <a:lstStyle/>
        <a:p>
          <a:endParaRPr lang="en-IE"/>
        </a:p>
      </dgm:t>
    </dgm:pt>
    <dgm:pt modelId="{0961655E-987E-4A0B-B819-704DD4A6640F}">
      <dgm:prSet/>
      <dgm:spPr/>
      <dgm:t>
        <a:bodyPr/>
        <a:lstStyle/>
        <a:p>
          <a:r>
            <a:rPr lang="en-IE"/>
            <a:t>2</a:t>
          </a:r>
        </a:p>
      </dgm:t>
    </dgm:pt>
    <dgm:pt modelId="{AA0970ED-2DE3-4E3A-BD30-5035546E5A0A}" type="parTrans" cxnId="{939AAF78-07F0-4405-AA74-4E58A5B6F7F7}">
      <dgm:prSet/>
      <dgm:spPr/>
      <dgm:t>
        <a:bodyPr/>
        <a:lstStyle/>
        <a:p>
          <a:endParaRPr lang="en-IE"/>
        </a:p>
      </dgm:t>
    </dgm:pt>
    <dgm:pt modelId="{4A64D623-B681-484C-B44B-37F62235C547}" type="sibTrans" cxnId="{939AAF78-07F0-4405-AA74-4E58A5B6F7F7}">
      <dgm:prSet/>
      <dgm:spPr/>
      <dgm:t>
        <a:bodyPr/>
        <a:lstStyle/>
        <a:p>
          <a:endParaRPr lang="en-IE"/>
        </a:p>
      </dgm:t>
    </dgm:pt>
    <dgm:pt modelId="{A94A2461-A7A9-4ABE-BA25-E8D970151E4E}">
      <dgm:prSet/>
      <dgm:spPr/>
      <dgm:t>
        <a:bodyPr/>
        <a:lstStyle/>
        <a:p>
          <a:r>
            <a:rPr lang="en-IE"/>
            <a:t>6-8</a:t>
          </a:r>
        </a:p>
      </dgm:t>
    </dgm:pt>
    <dgm:pt modelId="{048B0ED6-4192-41A8-9DE5-E06190C24203}" type="parTrans" cxnId="{8C76CF7D-684D-4391-A1AF-078B5A1B7551}">
      <dgm:prSet/>
      <dgm:spPr/>
      <dgm:t>
        <a:bodyPr/>
        <a:lstStyle/>
        <a:p>
          <a:endParaRPr lang="en-IE"/>
        </a:p>
      </dgm:t>
    </dgm:pt>
    <dgm:pt modelId="{87822044-33CA-4282-9E34-8DBC8AFBAA68}" type="sibTrans" cxnId="{8C76CF7D-684D-4391-A1AF-078B5A1B7551}">
      <dgm:prSet/>
      <dgm:spPr/>
      <dgm:t>
        <a:bodyPr/>
        <a:lstStyle/>
        <a:p>
          <a:endParaRPr lang="en-IE"/>
        </a:p>
      </dgm:t>
    </dgm:pt>
    <dgm:pt modelId="{E02867ED-568A-4A83-8455-F3DEA1D50330}">
      <dgm:prSet phldrT="[Text]"/>
      <dgm:spPr/>
      <dgm:t>
        <a:bodyPr/>
        <a:lstStyle/>
        <a:p>
          <a:r>
            <a:rPr lang="en-IE"/>
            <a:t>2-4</a:t>
          </a:r>
        </a:p>
      </dgm:t>
    </dgm:pt>
    <dgm:pt modelId="{B95F1261-DE19-4A36-AF43-39F680FC5D5F}" type="parTrans" cxnId="{EAD07551-D648-4174-BCA8-8FEAEDC14BE9}">
      <dgm:prSet/>
      <dgm:spPr/>
      <dgm:t>
        <a:bodyPr/>
        <a:lstStyle/>
        <a:p>
          <a:endParaRPr lang="en-IE"/>
        </a:p>
      </dgm:t>
    </dgm:pt>
    <dgm:pt modelId="{7FEC5297-932B-4BD9-845E-205D867B9A55}" type="sibTrans" cxnId="{EAD07551-D648-4174-BCA8-8FEAEDC14BE9}">
      <dgm:prSet/>
      <dgm:spPr/>
      <dgm:t>
        <a:bodyPr/>
        <a:lstStyle/>
        <a:p>
          <a:endParaRPr lang="en-IE"/>
        </a:p>
      </dgm:t>
    </dgm:pt>
    <dgm:pt modelId="{157A0C5D-EDD7-4351-8ED5-B0499F1CB8D2}">
      <dgm:prSet/>
      <dgm:spPr/>
      <dgm:t>
        <a:bodyPr/>
        <a:lstStyle/>
        <a:p>
          <a:r>
            <a:rPr lang="en-IE"/>
            <a:t>Shopping</a:t>
          </a:r>
        </a:p>
      </dgm:t>
    </dgm:pt>
    <dgm:pt modelId="{A1BF4C5E-31B9-4A36-A89D-319C4B23E955}" type="sibTrans" cxnId="{59DCA9A6-4AB6-4BA3-9774-986D8630C096}">
      <dgm:prSet/>
      <dgm:spPr/>
      <dgm:t>
        <a:bodyPr/>
        <a:lstStyle/>
        <a:p>
          <a:endParaRPr lang="en-IE"/>
        </a:p>
      </dgm:t>
    </dgm:pt>
    <dgm:pt modelId="{832A8BB8-B96D-4470-95AA-3AFA8AB29599}" type="parTrans" cxnId="{59DCA9A6-4AB6-4BA3-9774-986D8630C096}">
      <dgm:prSet/>
      <dgm:spPr/>
      <dgm:t>
        <a:bodyPr/>
        <a:lstStyle/>
        <a:p>
          <a:endParaRPr lang="en-IE"/>
        </a:p>
      </dgm:t>
    </dgm:pt>
    <dgm:pt modelId="{A546E00C-45DF-4F02-B835-25F1D1BFE0B7}">
      <dgm:prSet/>
      <dgm:spPr/>
      <dgm:t>
        <a:bodyPr/>
        <a:lstStyle/>
        <a:p>
          <a:r>
            <a:rPr lang="en-IE"/>
            <a:t>Entertainment</a:t>
          </a:r>
        </a:p>
      </dgm:t>
    </dgm:pt>
    <dgm:pt modelId="{3C50AE57-8D80-410C-AE1B-20E8B196896B}" type="parTrans" cxnId="{19E9754D-FBDB-4938-8BCA-6D1D1F5972A9}">
      <dgm:prSet/>
      <dgm:spPr/>
      <dgm:t>
        <a:bodyPr/>
        <a:lstStyle/>
        <a:p>
          <a:endParaRPr lang="en-IE"/>
        </a:p>
      </dgm:t>
    </dgm:pt>
    <dgm:pt modelId="{0A4BE1E3-403C-4C22-ABB8-BA713E10E5B4}" type="sibTrans" cxnId="{19E9754D-FBDB-4938-8BCA-6D1D1F5972A9}">
      <dgm:prSet/>
      <dgm:spPr/>
      <dgm:t>
        <a:bodyPr/>
        <a:lstStyle/>
        <a:p>
          <a:endParaRPr lang="en-IE"/>
        </a:p>
      </dgm:t>
    </dgm:pt>
    <dgm:pt modelId="{C3E10554-2DA1-4AF2-94A8-CAE385C3A02C}">
      <dgm:prSet/>
      <dgm:spPr/>
      <dgm:t>
        <a:bodyPr/>
        <a:lstStyle/>
        <a:p>
          <a:r>
            <a:rPr lang="en-IE"/>
            <a:t>Personal Business</a:t>
          </a:r>
        </a:p>
      </dgm:t>
    </dgm:pt>
    <dgm:pt modelId="{741D50CF-5277-453A-8B7A-95541BF18767}" type="parTrans" cxnId="{B1AD4981-A2E1-4B23-B361-59F6F990454E}">
      <dgm:prSet/>
      <dgm:spPr/>
      <dgm:t>
        <a:bodyPr/>
        <a:lstStyle/>
        <a:p>
          <a:endParaRPr lang="en-IE"/>
        </a:p>
      </dgm:t>
    </dgm:pt>
    <dgm:pt modelId="{7D6B5C40-0FF7-4B3C-84B2-0B392EE14C33}" type="sibTrans" cxnId="{B1AD4981-A2E1-4B23-B361-59F6F990454E}">
      <dgm:prSet/>
      <dgm:spPr/>
      <dgm:t>
        <a:bodyPr/>
        <a:lstStyle/>
        <a:p>
          <a:endParaRPr lang="en-IE"/>
        </a:p>
      </dgm:t>
    </dgm:pt>
    <dgm:pt modelId="{550A6E63-CC99-470D-9F36-72F8310C48EE}">
      <dgm:prSet/>
      <dgm:spPr/>
      <dgm:t>
        <a:bodyPr/>
        <a:lstStyle/>
        <a:p>
          <a:r>
            <a:rPr lang="en-IE"/>
            <a:t>Companion/escort journey</a:t>
          </a:r>
        </a:p>
      </dgm:t>
    </dgm:pt>
    <dgm:pt modelId="{8C8BB335-9CDE-47FA-B45F-B9C5C7B41160}" type="parTrans" cxnId="{73A942B8-F842-4715-8715-95F8A3AD522E}">
      <dgm:prSet/>
      <dgm:spPr/>
      <dgm:t>
        <a:bodyPr/>
        <a:lstStyle/>
        <a:p>
          <a:endParaRPr lang="en-IE"/>
        </a:p>
      </dgm:t>
    </dgm:pt>
    <dgm:pt modelId="{4CDEDECA-5926-4174-B380-69F09BF4ABB0}" type="sibTrans" cxnId="{73A942B8-F842-4715-8715-95F8A3AD522E}">
      <dgm:prSet/>
      <dgm:spPr/>
      <dgm:t>
        <a:bodyPr/>
        <a:lstStyle/>
        <a:p>
          <a:endParaRPr lang="en-IE"/>
        </a:p>
      </dgm:t>
    </dgm:pt>
    <dgm:pt modelId="{CDFDA4D3-BF23-439C-938E-26B04A724F24}">
      <dgm:prSet/>
      <dgm:spPr/>
      <dgm:t>
        <a:bodyPr/>
        <a:lstStyle/>
        <a:p>
          <a:r>
            <a:rPr lang="en-IE"/>
            <a:t>Other</a:t>
          </a:r>
        </a:p>
      </dgm:t>
    </dgm:pt>
    <dgm:pt modelId="{8EFB3221-6836-4829-B3BE-03D45FDC2AED}" type="parTrans" cxnId="{5E8FEBDB-1942-4AEE-99C7-962A2860974C}">
      <dgm:prSet/>
      <dgm:spPr/>
      <dgm:t>
        <a:bodyPr/>
        <a:lstStyle/>
        <a:p>
          <a:endParaRPr lang="en-IE"/>
        </a:p>
      </dgm:t>
    </dgm:pt>
    <dgm:pt modelId="{C4D132B5-C914-414F-A059-6F3C720A4D8C}" type="sibTrans" cxnId="{5E8FEBDB-1942-4AEE-99C7-962A2860974C}">
      <dgm:prSet/>
      <dgm:spPr/>
      <dgm:t>
        <a:bodyPr/>
        <a:lstStyle/>
        <a:p>
          <a:endParaRPr lang="en-IE"/>
        </a:p>
      </dgm:t>
    </dgm:pt>
    <dgm:pt modelId="{132FE15F-0F20-4440-B00D-5E32CF22E741}">
      <dgm:prSet/>
      <dgm:spPr/>
      <dgm:t>
        <a:bodyPr/>
        <a:lstStyle/>
        <a:p>
          <a:r>
            <a:rPr lang="en-IE"/>
            <a:t>4-6</a:t>
          </a:r>
        </a:p>
      </dgm:t>
    </dgm:pt>
    <dgm:pt modelId="{21BD6DCD-831F-4EAA-8FD4-3C898392BA8C}" type="parTrans" cxnId="{4E337FEB-11D0-4D32-8B62-43663DD1EC5F}">
      <dgm:prSet/>
      <dgm:spPr/>
      <dgm:t>
        <a:bodyPr/>
        <a:lstStyle/>
        <a:p>
          <a:endParaRPr lang="en-IE"/>
        </a:p>
      </dgm:t>
    </dgm:pt>
    <dgm:pt modelId="{F3EF2A30-9491-4FD4-AFBD-36A4A2A94D7D}" type="sibTrans" cxnId="{4E337FEB-11D0-4D32-8B62-43663DD1EC5F}">
      <dgm:prSet/>
      <dgm:spPr/>
      <dgm:t>
        <a:bodyPr/>
        <a:lstStyle/>
        <a:p>
          <a:endParaRPr lang="en-IE"/>
        </a:p>
      </dgm:t>
    </dgm:pt>
    <dgm:pt modelId="{BF94530D-B25B-48F3-A59F-BE220F0AA271}">
      <dgm:prSet/>
      <dgm:spPr/>
      <dgm:t>
        <a:bodyPr/>
        <a:lstStyle/>
        <a:p>
          <a:r>
            <a:rPr lang="en-IE"/>
            <a:t>6-8</a:t>
          </a:r>
        </a:p>
      </dgm:t>
    </dgm:pt>
    <dgm:pt modelId="{69A3040E-C809-4D10-A0C2-AA88F769DDCE}" type="parTrans" cxnId="{6D9404A9-633A-489C-AF9D-DB7D9804377D}">
      <dgm:prSet/>
      <dgm:spPr/>
      <dgm:t>
        <a:bodyPr/>
        <a:lstStyle/>
        <a:p>
          <a:endParaRPr lang="en-IE"/>
        </a:p>
      </dgm:t>
    </dgm:pt>
    <dgm:pt modelId="{88C38A87-B2B5-4843-B392-810E79EDD8B2}" type="sibTrans" cxnId="{6D9404A9-633A-489C-AF9D-DB7D9804377D}">
      <dgm:prSet/>
      <dgm:spPr/>
      <dgm:t>
        <a:bodyPr/>
        <a:lstStyle/>
        <a:p>
          <a:endParaRPr lang="en-IE"/>
        </a:p>
      </dgm:t>
    </dgm:pt>
    <dgm:pt modelId="{9B4AAA3B-A718-437E-A5FB-8555CD0EEC1E}">
      <dgm:prSet/>
      <dgm:spPr/>
      <dgm:t>
        <a:bodyPr/>
        <a:lstStyle/>
        <a:p>
          <a:r>
            <a:rPr lang="en-IE"/>
            <a:t>8+</a:t>
          </a:r>
        </a:p>
      </dgm:t>
    </dgm:pt>
    <dgm:pt modelId="{0DFC8A6C-B7E0-49AC-B388-1FECEA72A3CE}" type="parTrans" cxnId="{E4491112-6889-4ED7-BF06-2EE778A5735C}">
      <dgm:prSet/>
      <dgm:spPr/>
      <dgm:t>
        <a:bodyPr/>
        <a:lstStyle/>
        <a:p>
          <a:endParaRPr lang="en-IE"/>
        </a:p>
      </dgm:t>
    </dgm:pt>
    <dgm:pt modelId="{EB4F8BE3-ED54-4DBD-ADB2-D4C624214220}" type="sibTrans" cxnId="{E4491112-6889-4ED7-BF06-2EE778A5735C}">
      <dgm:prSet/>
      <dgm:spPr/>
      <dgm:t>
        <a:bodyPr/>
        <a:lstStyle/>
        <a:p>
          <a:endParaRPr lang="en-IE"/>
        </a:p>
      </dgm:t>
    </dgm:pt>
    <dgm:pt modelId="{47D24819-5847-4630-A399-DB14760814E2}">
      <dgm:prSet/>
      <dgm:spPr/>
      <dgm:t>
        <a:bodyPr/>
        <a:lstStyle/>
        <a:p>
          <a:r>
            <a:rPr lang="en-IE"/>
            <a:t>2-4</a:t>
          </a:r>
        </a:p>
      </dgm:t>
    </dgm:pt>
    <dgm:pt modelId="{9CF6B297-D190-45F4-B548-8A09186F806C}" type="parTrans" cxnId="{9B2A605D-1F98-41DA-8551-4DD1A10F3BF9}">
      <dgm:prSet/>
      <dgm:spPr/>
      <dgm:t>
        <a:bodyPr/>
        <a:lstStyle/>
        <a:p>
          <a:endParaRPr lang="en-IE"/>
        </a:p>
      </dgm:t>
    </dgm:pt>
    <dgm:pt modelId="{79956F11-3CB5-4C2C-AEC3-1FAD2D90C2F5}" type="sibTrans" cxnId="{9B2A605D-1F98-41DA-8551-4DD1A10F3BF9}">
      <dgm:prSet/>
      <dgm:spPr/>
      <dgm:t>
        <a:bodyPr/>
        <a:lstStyle/>
        <a:p>
          <a:endParaRPr lang="en-IE"/>
        </a:p>
      </dgm:t>
    </dgm:pt>
    <dgm:pt modelId="{1F88322A-1C7F-4819-8DEE-E0250F055981}">
      <dgm:prSet/>
      <dgm:spPr/>
      <dgm:t>
        <a:bodyPr/>
        <a:lstStyle/>
        <a:p>
          <a:r>
            <a:rPr lang="en-IE"/>
            <a:t>4-6</a:t>
          </a:r>
        </a:p>
      </dgm:t>
    </dgm:pt>
    <dgm:pt modelId="{73814A12-F6C0-47B8-8FCC-15945C1793DA}" type="parTrans" cxnId="{7D7296A5-3567-438D-AFD9-3481C296448D}">
      <dgm:prSet/>
      <dgm:spPr/>
      <dgm:t>
        <a:bodyPr/>
        <a:lstStyle/>
        <a:p>
          <a:endParaRPr lang="en-IE"/>
        </a:p>
      </dgm:t>
    </dgm:pt>
    <dgm:pt modelId="{9A084FA2-9573-4007-A1FE-0B4F846B805C}" type="sibTrans" cxnId="{7D7296A5-3567-438D-AFD9-3481C296448D}">
      <dgm:prSet/>
      <dgm:spPr/>
      <dgm:t>
        <a:bodyPr/>
        <a:lstStyle/>
        <a:p>
          <a:endParaRPr lang="en-IE"/>
        </a:p>
      </dgm:t>
    </dgm:pt>
    <dgm:pt modelId="{69E627C9-3259-451E-84C9-2E892D103BE1}">
      <dgm:prSet/>
      <dgm:spPr/>
      <dgm:t>
        <a:bodyPr/>
        <a:lstStyle/>
        <a:p>
          <a:r>
            <a:rPr lang="en-IE"/>
            <a:t>4-6</a:t>
          </a:r>
        </a:p>
      </dgm:t>
    </dgm:pt>
    <dgm:pt modelId="{A3BFBCD4-6E0A-4B96-A2A8-407B58FF83DF}" type="parTrans" cxnId="{FAEB2587-A11B-44A4-997B-A3CE03D99211}">
      <dgm:prSet/>
      <dgm:spPr/>
      <dgm:t>
        <a:bodyPr/>
        <a:lstStyle/>
        <a:p>
          <a:endParaRPr lang="en-IE"/>
        </a:p>
      </dgm:t>
    </dgm:pt>
    <dgm:pt modelId="{2989E085-206B-40E2-8D47-D8CD43BC784B}" type="sibTrans" cxnId="{FAEB2587-A11B-44A4-997B-A3CE03D99211}">
      <dgm:prSet/>
      <dgm:spPr/>
      <dgm:t>
        <a:bodyPr/>
        <a:lstStyle/>
        <a:p>
          <a:endParaRPr lang="en-IE"/>
        </a:p>
      </dgm:t>
    </dgm:pt>
    <dgm:pt modelId="{0855C757-8959-458C-BD25-6BA683A277F9}">
      <dgm:prSet/>
      <dgm:spPr/>
      <dgm:t>
        <a:bodyPr/>
        <a:lstStyle/>
        <a:p>
          <a:r>
            <a:rPr lang="en-IE"/>
            <a:t>6-8</a:t>
          </a:r>
        </a:p>
      </dgm:t>
    </dgm:pt>
    <dgm:pt modelId="{5D98FFCD-25A0-4C2D-BB05-553830264498}" type="parTrans" cxnId="{70333CCD-90A0-4D0F-95CA-007BE1583CC0}">
      <dgm:prSet/>
      <dgm:spPr/>
      <dgm:t>
        <a:bodyPr/>
        <a:lstStyle/>
        <a:p>
          <a:endParaRPr lang="en-IE"/>
        </a:p>
      </dgm:t>
    </dgm:pt>
    <dgm:pt modelId="{2BF3E829-4D48-4A2D-B31D-6E8F3F9D8C43}" type="sibTrans" cxnId="{70333CCD-90A0-4D0F-95CA-007BE1583CC0}">
      <dgm:prSet/>
      <dgm:spPr/>
      <dgm:t>
        <a:bodyPr/>
        <a:lstStyle/>
        <a:p>
          <a:endParaRPr lang="en-IE"/>
        </a:p>
      </dgm:t>
    </dgm:pt>
    <dgm:pt modelId="{662DA4AB-A07B-4173-9E11-E271D69336C8}">
      <dgm:prSet/>
      <dgm:spPr/>
      <dgm:t>
        <a:bodyPr/>
        <a:lstStyle/>
        <a:p>
          <a:r>
            <a:rPr lang="en-IE"/>
            <a:t>8+</a:t>
          </a:r>
        </a:p>
      </dgm:t>
    </dgm:pt>
    <dgm:pt modelId="{6663A8E4-D43C-4298-8B2B-9146AF091811}" type="parTrans" cxnId="{AAAD54D3-6C30-473F-9616-2F6567EE8B02}">
      <dgm:prSet/>
      <dgm:spPr/>
      <dgm:t>
        <a:bodyPr/>
        <a:lstStyle/>
        <a:p>
          <a:endParaRPr lang="en-IE"/>
        </a:p>
      </dgm:t>
    </dgm:pt>
    <dgm:pt modelId="{B6D898BD-2624-4007-8DE0-1DBE591E09F5}" type="sibTrans" cxnId="{AAAD54D3-6C30-473F-9616-2F6567EE8B02}">
      <dgm:prSet/>
      <dgm:spPr/>
      <dgm:t>
        <a:bodyPr/>
        <a:lstStyle/>
        <a:p>
          <a:endParaRPr lang="en-IE"/>
        </a:p>
      </dgm:t>
    </dgm:pt>
    <dgm:pt modelId="{DC3812F8-563D-43EA-A78E-CF3346E71C62}">
      <dgm:prSet/>
      <dgm:spPr/>
      <dgm:t>
        <a:bodyPr/>
        <a:lstStyle/>
        <a:p>
          <a:r>
            <a:rPr lang="en-IE"/>
            <a:t>8+</a:t>
          </a:r>
        </a:p>
      </dgm:t>
    </dgm:pt>
    <dgm:pt modelId="{883242AF-8E47-4819-9BAE-C367DE942C15}" type="parTrans" cxnId="{37DD90CF-A723-44B8-8852-13BD9A580600}">
      <dgm:prSet/>
      <dgm:spPr/>
      <dgm:t>
        <a:bodyPr/>
        <a:lstStyle/>
        <a:p>
          <a:endParaRPr lang="en-IE"/>
        </a:p>
      </dgm:t>
    </dgm:pt>
    <dgm:pt modelId="{04306524-8F69-4090-9044-5B29E9D0B1B6}" type="sibTrans" cxnId="{37DD90CF-A723-44B8-8852-13BD9A580600}">
      <dgm:prSet/>
      <dgm:spPr/>
      <dgm:t>
        <a:bodyPr/>
        <a:lstStyle/>
        <a:p>
          <a:endParaRPr lang="en-IE"/>
        </a:p>
      </dgm:t>
    </dgm:pt>
    <dgm:pt modelId="{A083431D-50FD-4442-B0CE-4B27FB35DFAA}">
      <dgm:prSet/>
      <dgm:spPr/>
      <dgm:t>
        <a:bodyPr/>
        <a:lstStyle/>
        <a:p>
          <a:r>
            <a:rPr lang="en-IE"/>
            <a:t>2</a:t>
          </a:r>
        </a:p>
      </dgm:t>
    </dgm:pt>
    <dgm:pt modelId="{D1620F58-CA1E-4C51-9178-D280A9EC6AF8}" type="parTrans" cxnId="{FD498B6D-23F9-43E4-B388-75B28B5DAAF0}">
      <dgm:prSet/>
      <dgm:spPr/>
      <dgm:t>
        <a:bodyPr/>
        <a:lstStyle/>
        <a:p>
          <a:endParaRPr lang="en-IE"/>
        </a:p>
      </dgm:t>
    </dgm:pt>
    <dgm:pt modelId="{188BA9B3-5D6E-4615-86DB-1D6EB75064CC}" type="sibTrans" cxnId="{FD498B6D-23F9-43E4-B388-75B28B5DAAF0}">
      <dgm:prSet/>
      <dgm:spPr/>
      <dgm:t>
        <a:bodyPr/>
        <a:lstStyle/>
        <a:p>
          <a:endParaRPr lang="en-IE"/>
        </a:p>
      </dgm:t>
    </dgm:pt>
    <dgm:pt modelId="{B841F871-FFED-4CD9-9877-26B25FF0BCE4}">
      <dgm:prSet/>
      <dgm:spPr/>
      <dgm:t>
        <a:bodyPr/>
        <a:lstStyle/>
        <a:p>
          <a:r>
            <a:rPr lang="en-IE"/>
            <a:t>2-4</a:t>
          </a:r>
        </a:p>
      </dgm:t>
    </dgm:pt>
    <dgm:pt modelId="{1A77E062-76BA-4E76-B4EA-CAB2C8BD9F01}" type="parTrans" cxnId="{186181B1-C53F-4E71-AB3B-EEA4578EBCF3}">
      <dgm:prSet/>
      <dgm:spPr/>
      <dgm:t>
        <a:bodyPr/>
        <a:lstStyle/>
        <a:p>
          <a:endParaRPr lang="en-IE"/>
        </a:p>
      </dgm:t>
    </dgm:pt>
    <dgm:pt modelId="{8B4EA658-33EF-4FCB-83FA-A83173D80ACA}" type="sibTrans" cxnId="{186181B1-C53F-4E71-AB3B-EEA4578EBCF3}">
      <dgm:prSet/>
      <dgm:spPr/>
      <dgm:t>
        <a:bodyPr/>
        <a:lstStyle/>
        <a:p>
          <a:endParaRPr lang="en-IE"/>
        </a:p>
      </dgm:t>
    </dgm:pt>
    <dgm:pt modelId="{C0D1D7B0-884C-4B95-9236-794FCE76F92D}">
      <dgm:prSet/>
      <dgm:spPr/>
      <dgm:t>
        <a:bodyPr/>
        <a:lstStyle/>
        <a:p>
          <a:r>
            <a:rPr lang="en-IE"/>
            <a:t>4-6</a:t>
          </a:r>
        </a:p>
      </dgm:t>
    </dgm:pt>
    <dgm:pt modelId="{D363B763-1F4C-4CC2-9A74-245F8D21EBBE}" type="parTrans" cxnId="{9C89EF0F-4713-4663-8D0F-1EA6AA3D0CA8}">
      <dgm:prSet/>
      <dgm:spPr/>
      <dgm:t>
        <a:bodyPr/>
        <a:lstStyle/>
        <a:p>
          <a:endParaRPr lang="en-IE"/>
        </a:p>
      </dgm:t>
    </dgm:pt>
    <dgm:pt modelId="{CC0D8337-6859-46F3-A451-F81D39AE84B6}" type="sibTrans" cxnId="{9C89EF0F-4713-4663-8D0F-1EA6AA3D0CA8}">
      <dgm:prSet/>
      <dgm:spPr/>
      <dgm:t>
        <a:bodyPr/>
        <a:lstStyle/>
        <a:p>
          <a:endParaRPr lang="en-IE"/>
        </a:p>
      </dgm:t>
    </dgm:pt>
    <dgm:pt modelId="{F46B11CF-9D14-46B0-900E-BB663821389F}">
      <dgm:prSet/>
      <dgm:spPr/>
      <dgm:t>
        <a:bodyPr/>
        <a:lstStyle/>
        <a:p>
          <a:r>
            <a:rPr lang="en-IE"/>
            <a:t>6-8</a:t>
          </a:r>
        </a:p>
      </dgm:t>
    </dgm:pt>
    <dgm:pt modelId="{1A30929E-A15D-46D1-B6EC-1F7663AA0DAA}" type="parTrans" cxnId="{4F3292CE-F556-47F0-A958-0540E1F93A7C}">
      <dgm:prSet/>
      <dgm:spPr/>
      <dgm:t>
        <a:bodyPr/>
        <a:lstStyle/>
        <a:p>
          <a:endParaRPr lang="en-IE"/>
        </a:p>
      </dgm:t>
    </dgm:pt>
    <dgm:pt modelId="{4D1F1749-88A1-4A72-BC95-3AF4483038F8}" type="sibTrans" cxnId="{4F3292CE-F556-47F0-A958-0540E1F93A7C}">
      <dgm:prSet/>
      <dgm:spPr/>
      <dgm:t>
        <a:bodyPr/>
        <a:lstStyle/>
        <a:p>
          <a:endParaRPr lang="en-IE"/>
        </a:p>
      </dgm:t>
    </dgm:pt>
    <dgm:pt modelId="{4ED448E1-5FF4-4AE0-AEBD-2EE061124AED}">
      <dgm:prSet/>
      <dgm:spPr/>
      <dgm:t>
        <a:bodyPr/>
        <a:lstStyle/>
        <a:p>
          <a:r>
            <a:rPr lang="en-IE"/>
            <a:t>2</a:t>
          </a:r>
        </a:p>
      </dgm:t>
    </dgm:pt>
    <dgm:pt modelId="{1548E5C8-DF44-44F2-A859-295A72D07B43}" type="parTrans" cxnId="{87E09299-5F01-4B3A-A934-D3CAA83BE52F}">
      <dgm:prSet/>
      <dgm:spPr/>
      <dgm:t>
        <a:bodyPr/>
        <a:lstStyle/>
        <a:p>
          <a:endParaRPr lang="en-IE"/>
        </a:p>
      </dgm:t>
    </dgm:pt>
    <dgm:pt modelId="{4E5709DB-E3E6-458C-B9AC-F19FB73D0FFA}" type="sibTrans" cxnId="{87E09299-5F01-4B3A-A934-D3CAA83BE52F}">
      <dgm:prSet/>
      <dgm:spPr/>
      <dgm:t>
        <a:bodyPr/>
        <a:lstStyle/>
        <a:p>
          <a:endParaRPr lang="en-IE"/>
        </a:p>
      </dgm:t>
    </dgm:pt>
    <dgm:pt modelId="{3E35BAB9-5048-494F-8FDF-604CDEF843D4}">
      <dgm:prSet/>
      <dgm:spPr/>
      <dgm:t>
        <a:bodyPr/>
        <a:lstStyle/>
        <a:p>
          <a:r>
            <a:rPr lang="en-IE"/>
            <a:t>2-4</a:t>
          </a:r>
        </a:p>
      </dgm:t>
    </dgm:pt>
    <dgm:pt modelId="{DD6E3001-EFD2-46DB-845A-D6EC831C4E5C}" type="parTrans" cxnId="{03C0C89A-5DD2-40F9-A689-64ED785297C0}">
      <dgm:prSet/>
      <dgm:spPr/>
      <dgm:t>
        <a:bodyPr/>
        <a:lstStyle/>
        <a:p>
          <a:endParaRPr lang="en-IE"/>
        </a:p>
      </dgm:t>
    </dgm:pt>
    <dgm:pt modelId="{4393DD70-9FEE-4B87-9F81-975145750C86}" type="sibTrans" cxnId="{03C0C89A-5DD2-40F9-A689-64ED785297C0}">
      <dgm:prSet/>
      <dgm:spPr/>
      <dgm:t>
        <a:bodyPr/>
        <a:lstStyle/>
        <a:p>
          <a:endParaRPr lang="en-IE"/>
        </a:p>
      </dgm:t>
    </dgm:pt>
    <dgm:pt modelId="{F3A190E9-7D7B-48FE-B0B6-62865AE1BC06}">
      <dgm:prSet/>
      <dgm:spPr/>
      <dgm:t>
        <a:bodyPr/>
        <a:lstStyle/>
        <a:p>
          <a:r>
            <a:rPr lang="en-IE"/>
            <a:t>4-6</a:t>
          </a:r>
        </a:p>
      </dgm:t>
    </dgm:pt>
    <dgm:pt modelId="{2785ABE3-685F-4AC1-85FF-5845D7A8A7E9}" type="parTrans" cxnId="{0B7B17EB-3EA2-4122-BE91-8CCD19E928D9}">
      <dgm:prSet/>
      <dgm:spPr/>
      <dgm:t>
        <a:bodyPr/>
        <a:lstStyle/>
        <a:p>
          <a:endParaRPr lang="en-IE"/>
        </a:p>
      </dgm:t>
    </dgm:pt>
    <dgm:pt modelId="{3FCEA20D-4075-45F6-AC7F-0004D5F79E9A}" type="sibTrans" cxnId="{0B7B17EB-3EA2-4122-BE91-8CCD19E928D9}">
      <dgm:prSet/>
      <dgm:spPr/>
      <dgm:t>
        <a:bodyPr/>
        <a:lstStyle/>
        <a:p>
          <a:endParaRPr lang="en-IE"/>
        </a:p>
      </dgm:t>
    </dgm:pt>
    <dgm:pt modelId="{CD706315-C30E-445D-B2EE-57EA9CA9A99C}">
      <dgm:prSet/>
      <dgm:spPr/>
      <dgm:t>
        <a:bodyPr/>
        <a:lstStyle/>
        <a:p>
          <a:r>
            <a:rPr lang="en-IE"/>
            <a:t>6-8</a:t>
          </a:r>
        </a:p>
      </dgm:t>
    </dgm:pt>
    <dgm:pt modelId="{9F2C1CE0-F57B-4B89-B46C-8EDE30122FB9}" type="parTrans" cxnId="{78B1037C-46F5-4DAA-BE73-2A0E5ACF7F51}">
      <dgm:prSet/>
      <dgm:spPr/>
      <dgm:t>
        <a:bodyPr/>
        <a:lstStyle/>
        <a:p>
          <a:endParaRPr lang="en-IE"/>
        </a:p>
      </dgm:t>
    </dgm:pt>
    <dgm:pt modelId="{FE2A3FC2-B127-4E44-B586-6DB79820D110}" type="sibTrans" cxnId="{78B1037C-46F5-4DAA-BE73-2A0E5ACF7F51}">
      <dgm:prSet/>
      <dgm:spPr/>
      <dgm:t>
        <a:bodyPr/>
        <a:lstStyle/>
        <a:p>
          <a:endParaRPr lang="en-IE"/>
        </a:p>
      </dgm:t>
    </dgm:pt>
    <dgm:pt modelId="{A52FD434-E379-4728-8613-D86A25402881}">
      <dgm:prSet/>
      <dgm:spPr/>
      <dgm:t>
        <a:bodyPr/>
        <a:lstStyle/>
        <a:p>
          <a:r>
            <a:rPr lang="en-IE"/>
            <a:t>8+</a:t>
          </a:r>
        </a:p>
      </dgm:t>
    </dgm:pt>
    <dgm:pt modelId="{B79ED632-4344-4D65-A520-72BE9C4CC400}" type="parTrans" cxnId="{F839BA64-27AA-4418-89BE-C6AE1C7712BB}">
      <dgm:prSet/>
      <dgm:spPr/>
      <dgm:t>
        <a:bodyPr/>
        <a:lstStyle/>
        <a:p>
          <a:endParaRPr lang="en-IE"/>
        </a:p>
      </dgm:t>
    </dgm:pt>
    <dgm:pt modelId="{947A44F7-0E81-4C01-84D0-A6608ED51CA1}" type="sibTrans" cxnId="{F839BA64-27AA-4418-89BE-C6AE1C7712BB}">
      <dgm:prSet/>
      <dgm:spPr/>
      <dgm:t>
        <a:bodyPr/>
        <a:lstStyle/>
        <a:p>
          <a:endParaRPr lang="en-IE"/>
        </a:p>
      </dgm:t>
    </dgm:pt>
    <dgm:pt modelId="{7EC431B3-5EF1-472F-8C92-3CA4D2441C51}">
      <dgm:prSet/>
      <dgm:spPr/>
      <dgm:t>
        <a:bodyPr/>
        <a:lstStyle/>
        <a:p>
          <a:r>
            <a:rPr lang="en-IE"/>
            <a:t>8+</a:t>
          </a:r>
        </a:p>
      </dgm:t>
    </dgm:pt>
    <dgm:pt modelId="{E4C67530-67C9-4B5F-925A-2820648FEC37}" type="parTrans" cxnId="{0F488F4C-1429-4E13-AFF5-E3040D470AD9}">
      <dgm:prSet/>
      <dgm:spPr/>
      <dgm:t>
        <a:bodyPr/>
        <a:lstStyle/>
        <a:p>
          <a:endParaRPr lang="en-IE"/>
        </a:p>
      </dgm:t>
    </dgm:pt>
    <dgm:pt modelId="{F9B3B239-45A2-40E3-8559-AD7AC2A4E9E9}" type="sibTrans" cxnId="{0F488F4C-1429-4E13-AFF5-E3040D470AD9}">
      <dgm:prSet/>
      <dgm:spPr/>
      <dgm:t>
        <a:bodyPr/>
        <a:lstStyle/>
        <a:p>
          <a:endParaRPr lang="en-IE"/>
        </a:p>
      </dgm:t>
    </dgm:pt>
    <dgm:pt modelId="{C23E818F-A3E2-4426-8CE4-271734965D71}">
      <dgm:prSet/>
      <dgm:spPr/>
      <dgm:t>
        <a:bodyPr/>
        <a:lstStyle/>
        <a:p>
          <a:r>
            <a:rPr lang="en-IE"/>
            <a:t>2</a:t>
          </a:r>
        </a:p>
      </dgm:t>
    </dgm:pt>
    <dgm:pt modelId="{3472ACE5-C693-4F80-B674-425A527B32A7}" type="parTrans" cxnId="{D3C8ACEA-F4C4-46C2-9170-BF8A7544F34B}">
      <dgm:prSet/>
      <dgm:spPr/>
      <dgm:t>
        <a:bodyPr/>
        <a:lstStyle/>
        <a:p>
          <a:endParaRPr lang="en-IE"/>
        </a:p>
      </dgm:t>
    </dgm:pt>
    <dgm:pt modelId="{73A3D2C8-7CFE-4C42-9861-3E89BE70694C}" type="sibTrans" cxnId="{D3C8ACEA-F4C4-46C2-9170-BF8A7544F34B}">
      <dgm:prSet/>
      <dgm:spPr/>
      <dgm:t>
        <a:bodyPr/>
        <a:lstStyle/>
        <a:p>
          <a:endParaRPr lang="en-IE"/>
        </a:p>
      </dgm:t>
    </dgm:pt>
    <dgm:pt modelId="{BD91800C-A685-4B72-A123-709315DE081B}">
      <dgm:prSet/>
      <dgm:spPr/>
      <dgm:t>
        <a:bodyPr/>
        <a:lstStyle/>
        <a:p>
          <a:r>
            <a:rPr lang="en-IE"/>
            <a:t>2-4</a:t>
          </a:r>
        </a:p>
      </dgm:t>
    </dgm:pt>
    <dgm:pt modelId="{91AA37CB-0A67-4E52-A514-D9A3CAD21285}" type="parTrans" cxnId="{B94662B0-07B7-4D92-B49A-B01BC658C80E}">
      <dgm:prSet/>
      <dgm:spPr/>
      <dgm:t>
        <a:bodyPr/>
        <a:lstStyle/>
        <a:p>
          <a:endParaRPr lang="en-IE"/>
        </a:p>
      </dgm:t>
    </dgm:pt>
    <dgm:pt modelId="{FEF08C14-295B-4869-BC03-A6B2A448855A}" type="sibTrans" cxnId="{B94662B0-07B7-4D92-B49A-B01BC658C80E}">
      <dgm:prSet/>
      <dgm:spPr/>
      <dgm:t>
        <a:bodyPr/>
        <a:lstStyle/>
        <a:p>
          <a:endParaRPr lang="en-IE"/>
        </a:p>
      </dgm:t>
    </dgm:pt>
    <dgm:pt modelId="{3B21E965-7131-49A0-ADAC-D3399B727ADB}">
      <dgm:prSet/>
      <dgm:spPr/>
      <dgm:t>
        <a:bodyPr/>
        <a:lstStyle/>
        <a:p>
          <a:r>
            <a:rPr lang="en-IE"/>
            <a:t>4-6</a:t>
          </a:r>
        </a:p>
      </dgm:t>
    </dgm:pt>
    <dgm:pt modelId="{6202CEA9-0F71-4813-ACEC-4DCC7A3E19F1}" type="parTrans" cxnId="{CF8C29C7-E5E7-46DB-A8D0-0FFAB0DD1CE8}">
      <dgm:prSet/>
      <dgm:spPr/>
      <dgm:t>
        <a:bodyPr/>
        <a:lstStyle/>
        <a:p>
          <a:endParaRPr lang="en-IE"/>
        </a:p>
      </dgm:t>
    </dgm:pt>
    <dgm:pt modelId="{2CC66904-3A36-4113-BC83-AAF21F62B4CB}" type="sibTrans" cxnId="{CF8C29C7-E5E7-46DB-A8D0-0FFAB0DD1CE8}">
      <dgm:prSet/>
      <dgm:spPr/>
      <dgm:t>
        <a:bodyPr/>
        <a:lstStyle/>
        <a:p>
          <a:endParaRPr lang="en-IE"/>
        </a:p>
      </dgm:t>
    </dgm:pt>
    <dgm:pt modelId="{69898723-E7E2-49A4-B3AA-72450C39A375}">
      <dgm:prSet/>
      <dgm:spPr/>
      <dgm:t>
        <a:bodyPr/>
        <a:lstStyle/>
        <a:p>
          <a:r>
            <a:rPr lang="en-IE"/>
            <a:t>6-8</a:t>
          </a:r>
        </a:p>
      </dgm:t>
    </dgm:pt>
    <dgm:pt modelId="{E01C1CFD-5A58-4C43-A3E2-A3B807D2889A}" type="parTrans" cxnId="{77A2CC85-43F7-4075-AC86-8A50F6BD8789}">
      <dgm:prSet/>
      <dgm:spPr/>
      <dgm:t>
        <a:bodyPr/>
        <a:lstStyle/>
        <a:p>
          <a:endParaRPr lang="en-IE"/>
        </a:p>
      </dgm:t>
    </dgm:pt>
    <dgm:pt modelId="{5B3DC781-5775-4FBD-8720-C9E020F4EA05}" type="sibTrans" cxnId="{77A2CC85-43F7-4075-AC86-8A50F6BD8789}">
      <dgm:prSet/>
      <dgm:spPr/>
      <dgm:t>
        <a:bodyPr/>
        <a:lstStyle/>
        <a:p>
          <a:endParaRPr lang="en-IE"/>
        </a:p>
      </dgm:t>
    </dgm:pt>
    <dgm:pt modelId="{27F07D40-E4E8-4BB7-A505-CCF7B06D0D10}">
      <dgm:prSet/>
      <dgm:spPr/>
      <dgm:t>
        <a:bodyPr/>
        <a:lstStyle/>
        <a:p>
          <a:r>
            <a:rPr lang="en-IE"/>
            <a:t>8+</a:t>
          </a:r>
        </a:p>
      </dgm:t>
    </dgm:pt>
    <dgm:pt modelId="{517CDC6A-6CB9-45FB-8B5E-176F0C856E7E}" type="parTrans" cxnId="{693EE91A-ED1B-47D0-A20A-F2E77FC0352C}">
      <dgm:prSet/>
      <dgm:spPr/>
      <dgm:t>
        <a:bodyPr/>
        <a:lstStyle/>
        <a:p>
          <a:endParaRPr lang="en-IE"/>
        </a:p>
      </dgm:t>
    </dgm:pt>
    <dgm:pt modelId="{59EFE1FD-667A-43E3-A3CD-CF7C96830645}" type="sibTrans" cxnId="{693EE91A-ED1B-47D0-A20A-F2E77FC0352C}">
      <dgm:prSet/>
      <dgm:spPr/>
      <dgm:t>
        <a:bodyPr/>
        <a:lstStyle/>
        <a:p>
          <a:endParaRPr lang="en-IE"/>
        </a:p>
      </dgm:t>
    </dgm:pt>
    <dgm:pt modelId="{8DA6A2B0-95FD-49A6-939B-84B4C7BD47E2}">
      <dgm:prSet/>
      <dgm:spPr/>
      <dgm:t>
        <a:bodyPr/>
        <a:lstStyle/>
        <a:p>
          <a:r>
            <a:rPr lang="en-IE"/>
            <a:t>2</a:t>
          </a:r>
        </a:p>
      </dgm:t>
    </dgm:pt>
    <dgm:pt modelId="{4E20AE40-C7E0-434A-A9A8-EE9F843426C5}" type="parTrans" cxnId="{F7CA8AEE-ABB1-47AD-89A2-9E338AF90ED8}">
      <dgm:prSet/>
      <dgm:spPr/>
      <dgm:t>
        <a:bodyPr/>
        <a:lstStyle/>
        <a:p>
          <a:endParaRPr lang="en-IE"/>
        </a:p>
      </dgm:t>
    </dgm:pt>
    <dgm:pt modelId="{EA4AC459-B0F8-4426-85FF-138D068606A1}" type="sibTrans" cxnId="{F7CA8AEE-ABB1-47AD-89A2-9E338AF90ED8}">
      <dgm:prSet/>
      <dgm:spPr/>
      <dgm:t>
        <a:bodyPr/>
        <a:lstStyle/>
        <a:p>
          <a:endParaRPr lang="en-IE"/>
        </a:p>
      </dgm:t>
    </dgm:pt>
    <dgm:pt modelId="{909B2BCD-192B-482D-8F7A-6E165DA5EFBF}">
      <dgm:prSet/>
      <dgm:spPr/>
      <dgm:t>
        <a:bodyPr/>
        <a:lstStyle/>
        <a:p>
          <a:r>
            <a:rPr lang="en-IE"/>
            <a:t>2-4</a:t>
          </a:r>
        </a:p>
      </dgm:t>
    </dgm:pt>
    <dgm:pt modelId="{D9FE688C-EEC2-4054-88BB-2D9969BBCE91}" type="parTrans" cxnId="{8951EBD1-0357-4144-A01C-15293109E33D}">
      <dgm:prSet/>
      <dgm:spPr/>
      <dgm:t>
        <a:bodyPr/>
        <a:lstStyle/>
        <a:p>
          <a:endParaRPr lang="en-IE"/>
        </a:p>
      </dgm:t>
    </dgm:pt>
    <dgm:pt modelId="{63AD75D6-0760-4F49-A101-D7D8290BD7F3}" type="sibTrans" cxnId="{8951EBD1-0357-4144-A01C-15293109E33D}">
      <dgm:prSet/>
      <dgm:spPr/>
      <dgm:t>
        <a:bodyPr/>
        <a:lstStyle/>
        <a:p>
          <a:endParaRPr lang="en-IE"/>
        </a:p>
      </dgm:t>
    </dgm:pt>
    <dgm:pt modelId="{A1085B30-34D9-40C4-89B8-C6DBFBD2A535}">
      <dgm:prSet/>
      <dgm:spPr/>
      <dgm:t>
        <a:bodyPr/>
        <a:lstStyle/>
        <a:p>
          <a:r>
            <a:rPr lang="en-IE"/>
            <a:t>4-6</a:t>
          </a:r>
        </a:p>
      </dgm:t>
    </dgm:pt>
    <dgm:pt modelId="{AE3001F3-D657-4264-A2A8-A5C186A17812}" type="parTrans" cxnId="{88ED78F5-D389-4A50-AE84-F2503F5AB75E}">
      <dgm:prSet/>
      <dgm:spPr/>
      <dgm:t>
        <a:bodyPr/>
        <a:lstStyle/>
        <a:p>
          <a:endParaRPr lang="en-IE"/>
        </a:p>
      </dgm:t>
    </dgm:pt>
    <dgm:pt modelId="{30630210-8A7D-4570-81CC-A3D73FBB3AE2}" type="sibTrans" cxnId="{88ED78F5-D389-4A50-AE84-F2503F5AB75E}">
      <dgm:prSet/>
      <dgm:spPr/>
      <dgm:t>
        <a:bodyPr/>
        <a:lstStyle/>
        <a:p>
          <a:endParaRPr lang="en-IE"/>
        </a:p>
      </dgm:t>
    </dgm:pt>
    <dgm:pt modelId="{5DF420DC-EBAA-4721-98CB-69091B293A07}">
      <dgm:prSet/>
      <dgm:spPr/>
      <dgm:t>
        <a:bodyPr/>
        <a:lstStyle/>
        <a:p>
          <a:r>
            <a:rPr lang="en-IE"/>
            <a:t>6-8</a:t>
          </a:r>
        </a:p>
      </dgm:t>
    </dgm:pt>
    <dgm:pt modelId="{3FC73334-02D2-4DD7-BE55-111249F442F7}" type="parTrans" cxnId="{DC979710-F9F0-4E47-8D9D-AACFA0701EB9}">
      <dgm:prSet/>
      <dgm:spPr/>
      <dgm:t>
        <a:bodyPr/>
        <a:lstStyle/>
        <a:p>
          <a:endParaRPr lang="en-IE"/>
        </a:p>
      </dgm:t>
    </dgm:pt>
    <dgm:pt modelId="{BA1CEF47-9FF4-4B36-9360-3EBDFD0876F5}" type="sibTrans" cxnId="{DC979710-F9F0-4E47-8D9D-AACFA0701EB9}">
      <dgm:prSet/>
      <dgm:spPr/>
      <dgm:t>
        <a:bodyPr/>
        <a:lstStyle/>
        <a:p>
          <a:endParaRPr lang="en-IE"/>
        </a:p>
      </dgm:t>
    </dgm:pt>
    <dgm:pt modelId="{0A3C87E9-CFBE-4357-95F2-F876542DAFA2}">
      <dgm:prSet/>
      <dgm:spPr/>
      <dgm:t>
        <a:bodyPr/>
        <a:lstStyle/>
        <a:p>
          <a:r>
            <a:rPr lang="en-IE"/>
            <a:t>8+</a:t>
          </a:r>
        </a:p>
      </dgm:t>
    </dgm:pt>
    <dgm:pt modelId="{9D0E08B9-AB9A-4E10-8478-A7C6EA01CBD3}" type="parTrans" cxnId="{9CC58853-FB51-4104-B495-323D301D6D61}">
      <dgm:prSet/>
      <dgm:spPr/>
      <dgm:t>
        <a:bodyPr/>
        <a:lstStyle/>
        <a:p>
          <a:endParaRPr lang="en-IE"/>
        </a:p>
      </dgm:t>
    </dgm:pt>
    <dgm:pt modelId="{A24303DB-4506-48A1-9274-720257394909}" type="sibTrans" cxnId="{9CC58853-FB51-4104-B495-323D301D6D61}">
      <dgm:prSet/>
      <dgm:spPr/>
      <dgm:t>
        <a:bodyPr/>
        <a:lstStyle/>
        <a:p>
          <a:endParaRPr lang="en-IE"/>
        </a:p>
      </dgm:t>
    </dgm:pt>
    <dgm:pt modelId="{63D12A25-EB09-4D00-B50E-F5E3C4D0F044}">
      <dgm:prSet/>
      <dgm:spPr/>
      <dgm:t>
        <a:bodyPr/>
        <a:lstStyle/>
        <a:p>
          <a:r>
            <a:rPr lang="en-IE"/>
            <a:t>2</a:t>
          </a:r>
        </a:p>
      </dgm:t>
    </dgm:pt>
    <dgm:pt modelId="{97817301-9321-4A01-BF51-4B445AD60B38}" type="parTrans" cxnId="{EA140487-3AAC-480D-A25E-04CC75CDD7CF}">
      <dgm:prSet/>
      <dgm:spPr/>
      <dgm:t>
        <a:bodyPr/>
        <a:lstStyle/>
        <a:p>
          <a:endParaRPr lang="en-IE"/>
        </a:p>
      </dgm:t>
    </dgm:pt>
    <dgm:pt modelId="{ED35840E-6B09-499A-BFE9-9DCAF09E3FB5}" type="sibTrans" cxnId="{EA140487-3AAC-480D-A25E-04CC75CDD7CF}">
      <dgm:prSet/>
      <dgm:spPr/>
      <dgm:t>
        <a:bodyPr/>
        <a:lstStyle/>
        <a:p>
          <a:endParaRPr lang="en-IE"/>
        </a:p>
      </dgm:t>
    </dgm:pt>
    <dgm:pt modelId="{67BA703F-0CD9-4F14-AC29-436083BD617F}">
      <dgm:prSet/>
      <dgm:spPr/>
      <dgm:t>
        <a:bodyPr/>
        <a:lstStyle/>
        <a:p>
          <a:r>
            <a:rPr lang="en-IE"/>
            <a:t>2-4</a:t>
          </a:r>
        </a:p>
      </dgm:t>
    </dgm:pt>
    <dgm:pt modelId="{2B38EC46-CD2C-48E4-82E5-7E2D2568D692}" type="parTrans" cxnId="{CF3EE840-366B-4013-B442-A75EF3504C5A}">
      <dgm:prSet/>
      <dgm:spPr/>
      <dgm:t>
        <a:bodyPr/>
        <a:lstStyle/>
        <a:p>
          <a:endParaRPr lang="en-IE"/>
        </a:p>
      </dgm:t>
    </dgm:pt>
    <dgm:pt modelId="{95660EBE-52F2-4ED9-BD4E-0DB449CFDB32}" type="sibTrans" cxnId="{CF3EE840-366B-4013-B442-A75EF3504C5A}">
      <dgm:prSet/>
      <dgm:spPr/>
      <dgm:t>
        <a:bodyPr/>
        <a:lstStyle/>
        <a:p>
          <a:endParaRPr lang="en-IE"/>
        </a:p>
      </dgm:t>
    </dgm:pt>
    <dgm:pt modelId="{A2AAFE0F-974C-4D7F-AE69-3399B964C0DF}">
      <dgm:prSet/>
      <dgm:spPr/>
      <dgm:t>
        <a:bodyPr/>
        <a:lstStyle/>
        <a:p>
          <a:r>
            <a:rPr lang="en-IE"/>
            <a:t>4-6</a:t>
          </a:r>
        </a:p>
      </dgm:t>
    </dgm:pt>
    <dgm:pt modelId="{353F4D23-2EA8-4FEF-BEE4-FA712B1E29D1}" type="parTrans" cxnId="{5037143D-2EF1-499D-886A-48F3C6747D0D}">
      <dgm:prSet/>
      <dgm:spPr/>
      <dgm:t>
        <a:bodyPr/>
        <a:lstStyle/>
        <a:p>
          <a:endParaRPr lang="en-IE"/>
        </a:p>
      </dgm:t>
    </dgm:pt>
    <dgm:pt modelId="{1E55624B-9FA4-4B58-BCD0-E2C333DA63D3}" type="sibTrans" cxnId="{5037143D-2EF1-499D-886A-48F3C6747D0D}">
      <dgm:prSet/>
      <dgm:spPr/>
      <dgm:t>
        <a:bodyPr/>
        <a:lstStyle/>
        <a:p>
          <a:endParaRPr lang="en-IE"/>
        </a:p>
      </dgm:t>
    </dgm:pt>
    <dgm:pt modelId="{FC147763-D6B2-4A47-AE95-680136D9A9C6}">
      <dgm:prSet/>
      <dgm:spPr/>
      <dgm:t>
        <a:bodyPr/>
        <a:lstStyle/>
        <a:p>
          <a:r>
            <a:rPr lang="en-IE"/>
            <a:t>6-8</a:t>
          </a:r>
        </a:p>
      </dgm:t>
    </dgm:pt>
    <dgm:pt modelId="{922D9325-9E0B-4295-BC21-A377F2F34A4F}" type="parTrans" cxnId="{F0E6957D-B8D2-495E-AC4B-C685EEB34C20}">
      <dgm:prSet/>
      <dgm:spPr/>
      <dgm:t>
        <a:bodyPr/>
        <a:lstStyle/>
        <a:p>
          <a:endParaRPr lang="en-IE"/>
        </a:p>
      </dgm:t>
    </dgm:pt>
    <dgm:pt modelId="{BB60BF0F-B1D9-4EE3-8E3D-3324F268F5AB}" type="sibTrans" cxnId="{F0E6957D-B8D2-495E-AC4B-C685EEB34C20}">
      <dgm:prSet/>
      <dgm:spPr/>
      <dgm:t>
        <a:bodyPr/>
        <a:lstStyle/>
        <a:p>
          <a:endParaRPr lang="en-IE"/>
        </a:p>
      </dgm:t>
    </dgm:pt>
    <dgm:pt modelId="{52351FF7-040D-4167-83B3-940BDC73591D}">
      <dgm:prSet/>
      <dgm:spPr/>
      <dgm:t>
        <a:bodyPr/>
        <a:lstStyle/>
        <a:p>
          <a:r>
            <a:rPr lang="en-IE"/>
            <a:t>8+</a:t>
          </a:r>
        </a:p>
      </dgm:t>
    </dgm:pt>
    <dgm:pt modelId="{D83863D3-823D-4B37-B13B-FF3B33524270}" type="parTrans" cxnId="{7DD696BF-9DAF-471A-9448-C356E50024AB}">
      <dgm:prSet/>
      <dgm:spPr/>
      <dgm:t>
        <a:bodyPr/>
        <a:lstStyle/>
        <a:p>
          <a:endParaRPr lang="en-IE"/>
        </a:p>
      </dgm:t>
    </dgm:pt>
    <dgm:pt modelId="{138E8662-E2A7-45FE-8F9F-3FD095D1B5E5}" type="sibTrans" cxnId="{7DD696BF-9DAF-471A-9448-C356E50024AB}">
      <dgm:prSet/>
      <dgm:spPr/>
      <dgm:t>
        <a:bodyPr/>
        <a:lstStyle/>
        <a:p>
          <a:endParaRPr lang="en-IE"/>
        </a:p>
      </dgm:t>
    </dgm:pt>
    <dgm:pt modelId="{C5FB4CC8-E6EC-4C5A-A7C0-2E7793AF8EBA}">
      <dgm:prSet/>
      <dgm:spPr/>
      <dgm:t>
        <a:bodyPr/>
        <a:lstStyle/>
        <a:p>
          <a:r>
            <a:rPr lang="en-IE"/>
            <a:t>2</a:t>
          </a:r>
        </a:p>
      </dgm:t>
    </dgm:pt>
    <dgm:pt modelId="{A35A71C3-D636-4772-9BA2-BF12A4D32889}" type="parTrans" cxnId="{F50F3B0D-2859-40B7-AE71-5B720A4DC20C}">
      <dgm:prSet/>
      <dgm:spPr/>
      <dgm:t>
        <a:bodyPr/>
        <a:lstStyle/>
        <a:p>
          <a:endParaRPr lang="en-IE"/>
        </a:p>
      </dgm:t>
    </dgm:pt>
    <dgm:pt modelId="{C1497043-BDE6-4A5D-A768-E294364A74E2}" type="sibTrans" cxnId="{F50F3B0D-2859-40B7-AE71-5B720A4DC20C}">
      <dgm:prSet/>
      <dgm:spPr/>
      <dgm:t>
        <a:bodyPr/>
        <a:lstStyle/>
        <a:p>
          <a:endParaRPr lang="en-IE"/>
        </a:p>
      </dgm:t>
    </dgm:pt>
    <dgm:pt modelId="{54A2EB49-F28B-4C4F-A6F0-58B06F64D422}">
      <dgm:prSet/>
      <dgm:spPr/>
      <dgm:t>
        <a:bodyPr/>
        <a:lstStyle/>
        <a:p>
          <a:r>
            <a:rPr lang="en-IE"/>
            <a:t>2-4</a:t>
          </a:r>
        </a:p>
      </dgm:t>
    </dgm:pt>
    <dgm:pt modelId="{CC81F826-1781-4FA5-BD60-4E9172B57452}" type="parTrans" cxnId="{058D392B-C869-4F3A-80CA-142F63A452B1}">
      <dgm:prSet/>
      <dgm:spPr/>
      <dgm:t>
        <a:bodyPr/>
        <a:lstStyle/>
        <a:p>
          <a:endParaRPr lang="en-IE"/>
        </a:p>
      </dgm:t>
    </dgm:pt>
    <dgm:pt modelId="{525EDED7-9D7D-4E77-A566-20A0C47445C9}" type="sibTrans" cxnId="{058D392B-C869-4F3A-80CA-142F63A452B1}">
      <dgm:prSet/>
      <dgm:spPr/>
      <dgm:t>
        <a:bodyPr/>
        <a:lstStyle/>
        <a:p>
          <a:endParaRPr lang="en-IE"/>
        </a:p>
      </dgm:t>
    </dgm:pt>
    <dgm:pt modelId="{A2E9AAB2-65F0-4EDD-A2EB-55D732C8A846}">
      <dgm:prSet/>
      <dgm:spPr/>
      <dgm:t>
        <a:bodyPr/>
        <a:lstStyle/>
        <a:p>
          <a:r>
            <a:rPr lang="en-IE"/>
            <a:t>4-6</a:t>
          </a:r>
        </a:p>
      </dgm:t>
    </dgm:pt>
    <dgm:pt modelId="{8567D8C2-1524-482A-A524-93E8ACCA0704}" type="parTrans" cxnId="{C54CB982-4B54-4AE9-A2D9-A9FC7B41AA11}">
      <dgm:prSet/>
      <dgm:spPr/>
      <dgm:t>
        <a:bodyPr/>
        <a:lstStyle/>
        <a:p>
          <a:endParaRPr lang="en-IE"/>
        </a:p>
      </dgm:t>
    </dgm:pt>
    <dgm:pt modelId="{7646A4F1-C012-4E70-9099-D630ED965758}" type="sibTrans" cxnId="{C54CB982-4B54-4AE9-A2D9-A9FC7B41AA11}">
      <dgm:prSet/>
      <dgm:spPr/>
      <dgm:t>
        <a:bodyPr/>
        <a:lstStyle/>
        <a:p>
          <a:endParaRPr lang="en-IE"/>
        </a:p>
      </dgm:t>
    </dgm:pt>
    <dgm:pt modelId="{A4920E4F-055C-4745-8EDD-1736A9C586FF}">
      <dgm:prSet/>
      <dgm:spPr/>
      <dgm:t>
        <a:bodyPr/>
        <a:lstStyle/>
        <a:p>
          <a:r>
            <a:rPr lang="en-IE"/>
            <a:t>6-8</a:t>
          </a:r>
        </a:p>
      </dgm:t>
    </dgm:pt>
    <dgm:pt modelId="{725A2381-F0FE-4653-9957-23CB65ED7DA5}" type="parTrans" cxnId="{8436FEE8-7148-4CB5-AF8C-0F557B1012D5}">
      <dgm:prSet/>
      <dgm:spPr/>
      <dgm:t>
        <a:bodyPr/>
        <a:lstStyle/>
        <a:p>
          <a:endParaRPr lang="en-IE"/>
        </a:p>
      </dgm:t>
    </dgm:pt>
    <dgm:pt modelId="{0929C793-69CE-46FB-A4C9-3E70B053BA98}" type="sibTrans" cxnId="{8436FEE8-7148-4CB5-AF8C-0F557B1012D5}">
      <dgm:prSet/>
      <dgm:spPr/>
      <dgm:t>
        <a:bodyPr/>
        <a:lstStyle/>
        <a:p>
          <a:endParaRPr lang="en-IE"/>
        </a:p>
      </dgm:t>
    </dgm:pt>
    <dgm:pt modelId="{5AD0374A-C445-4E70-B398-CEFDC558ADAE}">
      <dgm:prSet/>
      <dgm:spPr/>
      <dgm:t>
        <a:bodyPr/>
        <a:lstStyle/>
        <a:p>
          <a:r>
            <a:rPr lang="en-IE"/>
            <a:t>8+</a:t>
          </a:r>
        </a:p>
      </dgm:t>
    </dgm:pt>
    <dgm:pt modelId="{2932A683-616E-46AE-8D18-BB76D14D6FFC}" type="parTrans" cxnId="{02150848-B057-4BBB-877C-B52249278A45}">
      <dgm:prSet/>
      <dgm:spPr/>
      <dgm:t>
        <a:bodyPr/>
        <a:lstStyle/>
        <a:p>
          <a:endParaRPr lang="en-IE"/>
        </a:p>
      </dgm:t>
    </dgm:pt>
    <dgm:pt modelId="{2B877470-8A74-4B06-908E-631B2C5BE06C}" type="sibTrans" cxnId="{02150848-B057-4BBB-877C-B52249278A45}">
      <dgm:prSet/>
      <dgm:spPr/>
      <dgm:t>
        <a:bodyPr/>
        <a:lstStyle/>
        <a:p>
          <a:endParaRPr lang="en-IE"/>
        </a:p>
      </dgm:t>
    </dgm:pt>
    <dgm:pt modelId="{1B7589A1-13C4-4ABA-BFAD-27E2D3EBE7A0}">
      <dgm:prSet phldrT="[Text]"/>
      <dgm:spPr/>
      <dgm:t>
        <a:bodyPr/>
        <a:lstStyle/>
        <a:p>
          <a:r>
            <a:rPr lang="en-IE"/>
            <a:t>Modes</a:t>
          </a:r>
        </a:p>
      </dgm:t>
    </dgm:pt>
    <dgm:pt modelId="{614B8C29-114E-442E-A030-27EF92C793AC}" type="parTrans" cxnId="{9C8B91E2-0121-40C2-BB84-ACDCD7F2C03D}">
      <dgm:prSet/>
      <dgm:spPr/>
      <dgm:t>
        <a:bodyPr/>
        <a:lstStyle/>
        <a:p>
          <a:endParaRPr lang="en-IE"/>
        </a:p>
      </dgm:t>
    </dgm:pt>
    <dgm:pt modelId="{1CBF685B-7313-4FE3-B451-97A915B0A83A}" type="sibTrans" cxnId="{9C8B91E2-0121-40C2-BB84-ACDCD7F2C03D}">
      <dgm:prSet/>
      <dgm:spPr/>
      <dgm:t>
        <a:bodyPr/>
        <a:lstStyle/>
        <a:p>
          <a:endParaRPr lang="en-IE"/>
        </a:p>
      </dgm:t>
    </dgm:pt>
    <dgm:pt modelId="{EFCF7C40-E11D-4581-AFD2-99CA521189AF}">
      <dgm:prSet/>
      <dgm:spPr/>
      <dgm:t>
        <a:bodyPr/>
        <a:lstStyle/>
        <a:p>
          <a:r>
            <a:rPr lang="en-IE"/>
            <a:t>Modes</a:t>
          </a:r>
        </a:p>
      </dgm:t>
    </dgm:pt>
    <dgm:pt modelId="{E1FCF47B-E0F5-41EB-9B51-027DB7B79EEB}" type="parTrans" cxnId="{E6AC94D1-E675-4430-AA89-25AEC9CF1610}">
      <dgm:prSet/>
      <dgm:spPr/>
      <dgm:t>
        <a:bodyPr/>
        <a:lstStyle/>
        <a:p>
          <a:endParaRPr lang="en-IE"/>
        </a:p>
      </dgm:t>
    </dgm:pt>
    <dgm:pt modelId="{09494EAC-E6A5-4785-BDCE-3F457720A813}" type="sibTrans" cxnId="{E6AC94D1-E675-4430-AA89-25AEC9CF1610}">
      <dgm:prSet/>
      <dgm:spPr/>
      <dgm:t>
        <a:bodyPr/>
        <a:lstStyle/>
        <a:p>
          <a:endParaRPr lang="en-IE"/>
        </a:p>
      </dgm:t>
    </dgm:pt>
    <dgm:pt modelId="{F2DA8E48-2D58-4BBD-86AD-449BF813AE40}">
      <dgm:prSet/>
      <dgm:spPr/>
      <dgm:t>
        <a:bodyPr/>
        <a:lstStyle/>
        <a:p>
          <a:r>
            <a:rPr lang="en-IE"/>
            <a:t>Modes</a:t>
          </a:r>
        </a:p>
      </dgm:t>
    </dgm:pt>
    <dgm:pt modelId="{E865D8B9-8661-4EE4-A814-2DD944044B81}" type="parTrans" cxnId="{AB3DD286-DC15-4C10-9FDF-36C4282DA998}">
      <dgm:prSet/>
      <dgm:spPr/>
      <dgm:t>
        <a:bodyPr/>
        <a:lstStyle/>
        <a:p>
          <a:endParaRPr lang="en-IE"/>
        </a:p>
      </dgm:t>
    </dgm:pt>
    <dgm:pt modelId="{44310E9A-57CC-4162-A39A-C4A206A225FE}" type="sibTrans" cxnId="{AB3DD286-DC15-4C10-9FDF-36C4282DA998}">
      <dgm:prSet/>
      <dgm:spPr/>
      <dgm:t>
        <a:bodyPr/>
        <a:lstStyle/>
        <a:p>
          <a:endParaRPr lang="en-IE"/>
        </a:p>
      </dgm:t>
    </dgm:pt>
    <dgm:pt modelId="{12994FBE-F501-4AAD-B267-FD86D6046B8E}">
      <dgm:prSet/>
      <dgm:spPr/>
      <dgm:t>
        <a:bodyPr/>
        <a:lstStyle/>
        <a:p>
          <a:r>
            <a:rPr lang="en-IE"/>
            <a:t>Modes</a:t>
          </a:r>
        </a:p>
      </dgm:t>
    </dgm:pt>
    <dgm:pt modelId="{641EC9A1-9D52-48FA-8852-2DCC49C41EF4}" type="parTrans" cxnId="{E44C9142-74B6-4E03-A0A1-84F776384852}">
      <dgm:prSet/>
      <dgm:spPr/>
      <dgm:t>
        <a:bodyPr/>
        <a:lstStyle/>
        <a:p>
          <a:endParaRPr lang="en-IE"/>
        </a:p>
      </dgm:t>
    </dgm:pt>
    <dgm:pt modelId="{2AC3D800-5CEF-4FC5-BAEF-D41F1C0DC4F4}" type="sibTrans" cxnId="{E44C9142-74B6-4E03-A0A1-84F776384852}">
      <dgm:prSet/>
      <dgm:spPr/>
      <dgm:t>
        <a:bodyPr/>
        <a:lstStyle/>
        <a:p>
          <a:endParaRPr lang="en-IE"/>
        </a:p>
      </dgm:t>
    </dgm:pt>
    <dgm:pt modelId="{016C3E81-F292-41B7-8AE7-566087DF21DF}">
      <dgm:prSet phldrT="[Text]"/>
      <dgm:spPr/>
      <dgm:t>
        <a:bodyPr/>
        <a:lstStyle/>
        <a:p>
          <a:r>
            <a:rPr lang="en-IE"/>
            <a:t>Modes</a:t>
          </a:r>
        </a:p>
      </dgm:t>
    </dgm:pt>
    <dgm:pt modelId="{32929E9C-01ED-4666-805F-7E3CCD83EF5A}" type="parTrans" cxnId="{458DE31B-8EEF-4E11-8704-7643570B1E89}">
      <dgm:prSet/>
      <dgm:spPr/>
      <dgm:t>
        <a:bodyPr/>
        <a:lstStyle/>
        <a:p>
          <a:endParaRPr lang="en-IE"/>
        </a:p>
      </dgm:t>
    </dgm:pt>
    <dgm:pt modelId="{F0015B14-B414-4FFF-B3BF-3BECD878BD99}" type="sibTrans" cxnId="{458DE31B-8EEF-4E11-8704-7643570B1E89}">
      <dgm:prSet/>
      <dgm:spPr/>
      <dgm:t>
        <a:bodyPr/>
        <a:lstStyle/>
        <a:p>
          <a:endParaRPr lang="en-IE"/>
        </a:p>
      </dgm:t>
    </dgm:pt>
    <dgm:pt modelId="{AE154C40-EF18-4659-A0BF-D2A2A306B2FD}">
      <dgm:prSet/>
      <dgm:spPr/>
      <dgm:t>
        <a:bodyPr/>
        <a:lstStyle/>
        <a:p>
          <a:r>
            <a:rPr lang="en-IE"/>
            <a:t>Modes</a:t>
          </a:r>
        </a:p>
      </dgm:t>
    </dgm:pt>
    <dgm:pt modelId="{7F6CEB9F-AA6A-4090-9FE1-D9046B79DFF8}" type="parTrans" cxnId="{ABDF6676-7456-4895-8D5A-B4DB72262C13}">
      <dgm:prSet/>
      <dgm:spPr/>
      <dgm:t>
        <a:bodyPr/>
        <a:lstStyle/>
        <a:p>
          <a:endParaRPr lang="en-IE"/>
        </a:p>
      </dgm:t>
    </dgm:pt>
    <dgm:pt modelId="{AC6E2B56-0907-4B47-A917-C919B6B6052C}" type="sibTrans" cxnId="{ABDF6676-7456-4895-8D5A-B4DB72262C13}">
      <dgm:prSet/>
      <dgm:spPr/>
      <dgm:t>
        <a:bodyPr/>
        <a:lstStyle/>
        <a:p>
          <a:endParaRPr lang="en-IE"/>
        </a:p>
      </dgm:t>
    </dgm:pt>
    <dgm:pt modelId="{88BBF2C5-B533-4F4E-B701-7E0329E2F912}">
      <dgm:prSet/>
      <dgm:spPr/>
      <dgm:t>
        <a:bodyPr/>
        <a:lstStyle/>
        <a:p>
          <a:r>
            <a:rPr lang="en-IE"/>
            <a:t>Modes</a:t>
          </a:r>
        </a:p>
      </dgm:t>
    </dgm:pt>
    <dgm:pt modelId="{17B15512-16B5-4317-A230-F57C4F8BCAB2}" type="parTrans" cxnId="{B4853D37-ADB3-4514-9B7F-0BF598B0F552}">
      <dgm:prSet/>
      <dgm:spPr/>
      <dgm:t>
        <a:bodyPr/>
        <a:lstStyle/>
        <a:p>
          <a:endParaRPr lang="en-IE"/>
        </a:p>
      </dgm:t>
    </dgm:pt>
    <dgm:pt modelId="{674801D7-66D4-4280-8EE1-38A7832B24EA}" type="sibTrans" cxnId="{B4853D37-ADB3-4514-9B7F-0BF598B0F552}">
      <dgm:prSet/>
      <dgm:spPr/>
      <dgm:t>
        <a:bodyPr/>
        <a:lstStyle/>
        <a:p>
          <a:endParaRPr lang="en-IE"/>
        </a:p>
      </dgm:t>
    </dgm:pt>
    <dgm:pt modelId="{4FAE5EE6-F5B9-4F6F-A2D3-A1A5D622697E}">
      <dgm:prSet/>
      <dgm:spPr/>
      <dgm:t>
        <a:bodyPr/>
        <a:lstStyle/>
        <a:p>
          <a:r>
            <a:rPr lang="en-IE"/>
            <a:t>Modes</a:t>
          </a:r>
        </a:p>
      </dgm:t>
    </dgm:pt>
    <dgm:pt modelId="{061832D4-3F9D-4082-AEF7-15355CF5F336}" type="parTrans" cxnId="{1F54E92D-6858-42A1-9A03-0AF08D9E4126}">
      <dgm:prSet/>
      <dgm:spPr/>
      <dgm:t>
        <a:bodyPr/>
        <a:lstStyle/>
        <a:p>
          <a:endParaRPr lang="en-IE"/>
        </a:p>
      </dgm:t>
    </dgm:pt>
    <dgm:pt modelId="{86EE0F99-0EDA-4C53-BC06-0A6F7EC93378}" type="sibTrans" cxnId="{1F54E92D-6858-42A1-9A03-0AF08D9E4126}">
      <dgm:prSet/>
      <dgm:spPr/>
      <dgm:t>
        <a:bodyPr/>
        <a:lstStyle/>
        <a:p>
          <a:endParaRPr lang="en-IE"/>
        </a:p>
      </dgm:t>
    </dgm:pt>
    <dgm:pt modelId="{27CFAA59-14FB-4869-8118-1BC455EF38EA}">
      <dgm:prSet/>
      <dgm:spPr/>
      <dgm:t>
        <a:bodyPr/>
        <a:lstStyle/>
        <a:p>
          <a:r>
            <a:rPr lang="en-IE"/>
            <a:t>Modes</a:t>
          </a:r>
        </a:p>
      </dgm:t>
    </dgm:pt>
    <dgm:pt modelId="{98741AEB-971D-466E-88AA-0069C4726F12}" type="parTrans" cxnId="{903B9E81-0C4A-4DF5-8B9C-7C052F5A67B0}">
      <dgm:prSet/>
      <dgm:spPr/>
      <dgm:t>
        <a:bodyPr/>
        <a:lstStyle/>
        <a:p>
          <a:endParaRPr lang="en-IE"/>
        </a:p>
      </dgm:t>
    </dgm:pt>
    <dgm:pt modelId="{62903DCF-DB59-40D1-821F-8E0A107914B5}" type="sibTrans" cxnId="{903B9E81-0C4A-4DF5-8B9C-7C052F5A67B0}">
      <dgm:prSet/>
      <dgm:spPr/>
      <dgm:t>
        <a:bodyPr/>
        <a:lstStyle/>
        <a:p>
          <a:endParaRPr lang="en-IE"/>
        </a:p>
      </dgm:t>
    </dgm:pt>
    <dgm:pt modelId="{D124216D-6630-484D-A018-791DCE27CF63}" type="pres">
      <dgm:prSet presAssocID="{98AF0318-30EC-47FA-836B-24B61B86D2AF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26C0E19F-E761-493A-8F9C-F7E76B09ACF0}" type="pres">
      <dgm:prSet presAssocID="{E29A3462-4F33-4AB9-A748-0616F6E67A65}" presName="vertOne" presStyleCnt="0"/>
      <dgm:spPr/>
    </dgm:pt>
    <dgm:pt modelId="{CBABBCA2-2253-4F33-8264-09D1D5EFF6C6}" type="pres">
      <dgm:prSet presAssocID="{E29A3462-4F33-4AB9-A748-0616F6E67A65}" presName="txOne" presStyleLbl="node0" presStyleIdx="0" presStyleCnt="1" custLinFactNeighborX="-55" custLinFactNeighborY="-8734">
        <dgm:presLayoutVars>
          <dgm:chPref val="3"/>
        </dgm:presLayoutVars>
      </dgm:prSet>
      <dgm:spPr/>
    </dgm:pt>
    <dgm:pt modelId="{82F494FA-B6F8-4A20-A14C-2B108AB338A9}" type="pres">
      <dgm:prSet presAssocID="{E29A3462-4F33-4AB9-A748-0616F6E67A65}" presName="parTransOne" presStyleCnt="0"/>
      <dgm:spPr/>
    </dgm:pt>
    <dgm:pt modelId="{FF332C31-2B13-4276-9983-64F41EE1F9D8}" type="pres">
      <dgm:prSet presAssocID="{E29A3462-4F33-4AB9-A748-0616F6E67A65}" presName="horzOne" presStyleCnt="0"/>
      <dgm:spPr/>
    </dgm:pt>
    <dgm:pt modelId="{B6038E43-6EB6-4EB3-9EF6-243210E0D3F6}" type="pres">
      <dgm:prSet presAssocID="{95DC7EEC-A034-4626-954E-668A4930671E}" presName="vertTwo" presStyleCnt="0"/>
      <dgm:spPr/>
    </dgm:pt>
    <dgm:pt modelId="{ACAC085C-D0A4-4F89-A919-8AC88553F08A}" type="pres">
      <dgm:prSet presAssocID="{95DC7EEC-A034-4626-954E-668A4930671E}" presName="txTwo" presStyleLbl="node2" presStyleIdx="0" presStyleCnt="9" custLinFactY="100000" custLinFactNeighborX="-506" custLinFactNeighborY="101007">
        <dgm:presLayoutVars>
          <dgm:chPref val="3"/>
        </dgm:presLayoutVars>
      </dgm:prSet>
      <dgm:spPr/>
    </dgm:pt>
    <dgm:pt modelId="{4F3DF935-1262-45AF-AB55-317C2A8F6234}" type="pres">
      <dgm:prSet presAssocID="{95DC7EEC-A034-4626-954E-668A4930671E}" presName="parTransTwo" presStyleCnt="0"/>
      <dgm:spPr/>
    </dgm:pt>
    <dgm:pt modelId="{D7603E10-9A19-4AE3-B8A6-C2E0D1D4EE9B}" type="pres">
      <dgm:prSet presAssocID="{95DC7EEC-A034-4626-954E-668A4930671E}" presName="horzTwo" presStyleCnt="0"/>
      <dgm:spPr/>
    </dgm:pt>
    <dgm:pt modelId="{4C27ABD8-F193-4DA9-B07F-C21A2A2F683E}" type="pres">
      <dgm:prSet presAssocID="{1B7589A1-13C4-4ABA-BFAD-27E2D3EBE7A0}" presName="vertThree" presStyleCnt="0"/>
      <dgm:spPr/>
    </dgm:pt>
    <dgm:pt modelId="{219C0D6B-0F74-49BB-AC46-A57F867DE762}" type="pres">
      <dgm:prSet presAssocID="{1B7589A1-13C4-4ABA-BFAD-27E2D3EBE7A0}" presName="txThree" presStyleLbl="node3" presStyleIdx="0" presStyleCnt="9" custLinFactY="-100000" custLinFactNeighborX="-506" custLinFactNeighborY="-101006">
        <dgm:presLayoutVars>
          <dgm:chPref val="3"/>
        </dgm:presLayoutVars>
      </dgm:prSet>
      <dgm:spPr/>
    </dgm:pt>
    <dgm:pt modelId="{90F5A745-63F5-4AA6-A39E-C8C12F6D567B}" type="pres">
      <dgm:prSet presAssocID="{1B7589A1-13C4-4ABA-BFAD-27E2D3EBE7A0}" presName="parTransThree" presStyleCnt="0"/>
      <dgm:spPr/>
    </dgm:pt>
    <dgm:pt modelId="{1E40D8A2-5045-4B78-B4D2-A295E65DA962}" type="pres">
      <dgm:prSet presAssocID="{1B7589A1-13C4-4ABA-BFAD-27E2D3EBE7A0}" presName="horzThree" presStyleCnt="0"/>
      <dgm:spPr/>
    </dgm:pt>
    <dgm:pt modelId="{BE0F92EB-CD22-4AFF-9D97-8EAB67017189}" type="pres">
      <dgm:prSet presAssocID="{60028438-7772-4A63-BCFC-1697B307A383}" presName="vertFour" presStyleCnt="0">
        <dgm:presLayoutVars>
          <dgm:chPref val="3"/>
        </dgm:presLayoutVars>
      </dgm:prSet>
      <dgm:spPr/>
    </dgm:pt>
    <dgm:pt modelId="{CEFDA918-F28C-42EB-AD95-B0734AE28954}" type="pres">
      <dgm:prSet presAssocID="{60028438-7772-4A63-BCFC-1697B307A383}" presName="txFour" presStyleLbl="node4" presStyleIdx="0" presStyleCnt="45">
        <dgm:presLayoutVars>
          <dgm:chPref val="3"/>
        </dgm:presLayoutVars>
      </dgm:prSet>
      <dgm:spPr/>
    </dgm:pt>
    <dgm:pt modelId="{A06DE82F-7DE5-4961-96A3-DF44EE140591}" type="pres">
      <dgm:prSet presAssocID="{60028438-7772-4A63-BCFC-1697B307A383}" presName="horzFour" presStyleCnt="0"/>
      <dgm:spPr/>
    </dgm:pt>
    <dgm:pt modelId="{DDFFAF27-7029-47DB-A915-0CAB1FC7F9A8}" type="pres">
      <dgm:prSet presAssocID="{9774A0E1-536A-41D2-8C52-66D6F6367734}" presName="sibSpaceFour" presStyleCnt="0"/>
      <dgm:spPr/>
    </dgm:pt>
    <dgm:pt modelId="{ED2621A3-99B0-4361-8800-1333E89A7756}" type="pres">
      <dgm:prSet presAssocID="{383ED7F8-9072-4AED-AFAF-FFEA72A6BD67}" presName="vertFour" presStyleCnt="0">
        <dgm:presLayoutVars>
          <dgm:chPref val="3"/>
        </dgm:presLayoutVars>
      </dgm:prSet>
      <dgm:spPr/>
    </dgm:pt>
    <dgm:pt modelId="{40D4527E-30B5-4382-A9E5-4F122AF48E86}" type="pres">
      <dgm:prSet presAssocID="{383ED7F8-9072-4AED-AFAF-FFEA72A6BD67}" presName="txFour" presStyleLbl="node4" presStyleIdx="1" presStyleCnt="45">
        <dgm:presLayoutVars>
          <dgm:chPref val="3"/>
        </dgm:presLayoutVars>
      </dgm:prSet>
      <dgm:spPr/>
    </dgm:pt>
    <dgm:pt modelId="{8430D189-7910-40FD-9BE1-6F3945F2CA4F}" type="pres">
      <dgm:prSet presAssocID="{383ED7F8-9072-4AED-AFAF-FFEA72A6BD67}" presName="horzFour" presStyleCnt="0"/>
      <dgm:spPr/>
    </dgm:pt>
    <dgm:pt modelId="{2ABE3AC3-4009-427D-8C2E-0B73053D2686}" type="pres">
      <dgm:prSet presAssocID="{80A3880D-15D3-4FE9-A016-F50250083C89}" presName="sibSpaceFour" presStyleCnt="0"/>
      <dgm:spPr/>
    </dgm:pt>
    <dgm:pt modelId="{DBB48383-4505-43BA-B08A-53496E6220F1}" type="pres">
      <dgm:prSet presAssocID="{69E627C9-3259-451E-84C9-2E892D103BE1}" presName="vertFour" presStyleCnt="0">
        <dgm:presLayoutVars>
          <dgm:chPref val="3"/>
        </dgm:presLayoutVars>
      </dgm:prSet>
      <dgm:spPr/>
    </dgm:pt>
    <dgm:pt modelId="{AE7649D9-2ABB-4302-9384-D4EC80229344}" type="pres">
      <dgm:prSet presAssocID="{69E627C9-3259-451E-84C9-2E892D103BE1}" presName="txFour" presStyleLbl="node4" presStyleIdx="2" presStyleCnt="45">
        <dgm:presLayoutVars>
          <dgm:chPref val="3"/>
        </dgm:presLayoutVars>
      </dgm:prSet>
      <dgm:spPr/>
    </dgm:pt>
    <dgm:pt modelId="{977C3B0F-7E8E-4FB4-9FC5-63F095E51D0D}" type="pres">
      <dgm:prSet presAssocID="{69E627C9-3259-451E-84C9-2E892D103BE1}" presName="horzFour" presStyleCnt="0"/>
      <dgm:spPr/>
    </dgm:pt>
    <dgm:pt modelId="{81E57B68-EB57-44C7-A6E7-B2CE7C893037}" type="pres">
      <dgm:prSet presAssocID="{2989E085-206B-40E2-8D47-D8CD43BC784B}" presName="sibSpaceFour" presStyleCnt="0"/>
      <dgm:spPr/>
    </dgm:pt>
    <dgm:pt modelId="{7ADF8BA2-3058-4841-9029-F3E4DC3CD302}" type="pres">
      <dgm:prSet presAssocID="{0855C757-8959-458C-BD25-6BA683A277F9}" presName="vertFour" presStyleCnt="0">
        <dgm:presLayoutVars>
          <dgm:chPref val="3"/>
        </dgm:presLayoutVars>
      </dgm:prSet>
      <dgm:spPr/>
    </dgm:pt>
    <dgm:pt modelId="{956C6D66-1281-47CE-92DD-19DFE1F826A8}" type="pres">
      <dgm:prSet presAssocID="{0855C757-8959-458C-BD25-6BA683A277F9}" presName="txFour" presStyleLbl="node4" presStyleIdx="3" presStyleCnt="45">
        <dgm:presLayoutVars>
          <dgm:chPref val="3"/>
        </dgm:presLayoutVars>
      </dgm:prSet>
      <dgm:spPr/>
    </dgm:pt>
    <dgm:pt modelId="{4B43DA52-F3F0-4F33-9262-51D3EEE42170}" type="pres">
      <dgm:prSet presAssocID="{0855C757-8959-458C-BD25-6BA683A277F9}" presName="horzFour" presStyleCnt="0"/>
      <dgm:spPr/>
    </dgm:pt>
    <dgm:pt modelId="{79FE530E-1759-4E4D-8BD9-BB059FB9AC3F}" type="pres">
      <dgm:prSet presAssocID="{2BF3E829-4D48-4A2D-B31D-6E8F3F9D8C43}" presName="sibSpaceFour" presStyleCnt="0"/>
      <dgm:spPr/>
    </dgm:pt>
    <dgm:pt modelId="{8B7B7E84-40F6-4464-A305-95F4BDCE73EA}" type="pres">
      <dgm:prSet presAssocID="{662DA4AB-A07B-4173-9E11-E271D69336C8}" presName="vertFour" presStyleCnt="0">
        <dgm:presLayoutVars>
          <dgm:chPref val="3"/>
        </dgm:presLayoutVars>
      </dgm:prSet>
      <dgm:spPr/>
    </dgm:pt>
    <dgm:pt modelId="{6E3E1EAF-06DF-4186-A1F8-280D69209EC8}" type="pres">
      <dgm:prSet presAssocID="{662DA4AB-A07B-4173-9E11-E271D69336C8}" presName="txFour" presStyleLbl="node4" presStyleIdx="4" presStyleCnt="45">
        <dgm:presLayoutVars>
          <dgm:chPref val="3"/>
        </dgm:presLayoutVars>
      </dgm:prSet>
      <dgm:spPr/>
    </dgm:pt>
    <dgm:pt modelId="{87D063A6-79D4-44F9-867C-7FD7B0F809C0}" type="pres">
      <dgm:prSet presAssocID="{662DA4AB-A07B-4173-9E11-E271D69336C8}" presName="horzFour" presStyleCnt="0"/>
      <dgm:spPr/>
    </dgm:pt>
    <dgm:pt modelId="{A6D4A063-3B3F-40AF-8AC9-7A177A83F96E}" type="pres">
      <dgm:prSet presAssocID="{EFF26B2E-B154-4874-AF7B-DBFE486B118D}" presName="sibSpaceTwo" presStyleCnt="0"/>
      <dgm:spPr/>
    </dgm:pt>
    <dgm:pt modelId="{BFF80FFF-2A95-4830-914E-80A9933A63D3}" type="pres">
      <dgm:prSet presAssocID="{41C9D7EE-0A89-4777-9CA2-AA4624A07232}" presName="vertTwo" presStyleCnt="0"/>
      <dgm:spPr/>
    </dgm:pt>
    <dgm:pt modelId="{585F529F-70DB-4B35-BA8A-5FFC92CA6443}" type="pres">
      <dgm:prSet presAssocID="{41C9D7EE-0A89-4777-9CA2-AA4624A07232}" presName="txTwo" presStyleLbl="node2" presStyleIdx="1" presStyleCnt="9">
        <dgm:presLayoutVars>
          <dgm:chPref val="3"/>
        </dgm:presLayoutVars>
      </dgm:prSet>
      <dgm:spPr/>
    </dgm:pt>
    <dgm:pt modelId="{1CCA52F5-B18A-403F-92EE-BDEDFDDB4F6F}" type="pres">
      <dgm:prSet presAssocID="{41C9D7EE-0A89-4777-9CA2-AA4624A07232}" presName="parTransTwo" presStyleCnt="0"/>
      <dgm:spPr/>
    </dgm:pt>
    <dgm:pt modelId="{853233CF-9141-4666-B1BD-EDC05C9C783F}" type="pres">
      <dgm:prSet presAssocID="{41C9D7EE-0A89-4777-9CA2-AA4624A07232}" presName="horzTwo" presStyleCnt="0"/>
      <dgm:spPr/>
    </dgm:pt>
    <dgm:pt modelId="{294B2970-D054-4C59-B843-91889CCAA16D}" type="pres">
      <dgm:prSet presAssocID="{EFCF7C40-E11D-4581-AFD2-99CA521189AF}" presName="vertThree" presStyleCnt="0"/>
      <dgm:spPr/>
    </dgm:pt>
    <dgm:pt modelId="{3248AA5B-B92F-4FDA-BBE6-C00443184EFF}" type="pres">
      <dgm:prSet presAssocID="{EFCF7C40-E11D-4581-AFD2-99CA521189AF}" presName="txThree" presStyleLbl="node3" presStyleIdx="1" presStyleCnt="9">
        <dgm:presLayoutVars>
          <dgm:chPref val="3"/>
        </dgm:presLayoutVars>
      </dgm:prSet>
      <dgm:spPr/>
    </dgm:pt>
    <dgm:pt modelId="{80EB9029-F0CD-448D-A1ED-A284F7DB8893}" type="pres">
      <dgm:prSet presAssocID="{EFCF7C40-E11D-4581-AFD2-99CA521189AF}" presName="parTransThree" presStyleCnt="0"/>
      <dgm:spPr/>
    </dgm:pt>
    <dgm:pt modelId="{82712175-CE8E-46A7-B4EB-6F2CA884016B}" type="pres">
      <dgm:prSet presAssocID="{EFCF7C40-E11D-4581-AFD2-99CA521189AF}" presName="horzThree" presStyleCnt="0"/>
      <dgm:spPr/>
    </dgm:pt>
    <dgm:pt modelId="{ADCAB5F2-86DC-4230-B161-7E5A34296135}" type="pres">
      <dgm:prSet presAssocID="{4ED448E1-5FF4-4AE0-AEBD-2EE061124AED}" presName="vertFour" presStyleCnt="0">
        <dgm:presLayoutVars>
          <dgm:chPref val="3"/>
        </dgm:presLayoutVars>
      </dgm:prSet>
      <dgm:spPr/>
    </dgm:pt>
    <dgm:pt modelId="{13A3A146-8AEB-412F-AB10-7AD5DB1D3192}" type="pres">
      <dgm:prSet presAssocID="{4ED448E1-5FF4-4AE0-AEBD-2EE061124AED}" presName="txFour" presStyleLbl="node4" presStyleIdx="5" presStyleCnt="45">
        <dgm:presLayoutVars>
          <dgm:chPref val="3"/>
        </dgm:presLayoutVars>
      </dgm:prSet>
      <dgm:spPr/>
    </dgm:pt>
    <dgm:pt modelId="{0453B39A-42FA-446B-8A8A-FFE867F96A3C}" type="pres">
      <dgm:prSet presAssocID="{4ED448E1-5FF4-4AE0-AEBD-2EE061124AED}" presName="horzFour" presStyleCnt="0"/>
      <dgm:spPr/>
    </dgm:pt>
    <dgm:pt modelId="{32323DB5-A6E8-4C59-9D7F-AEC0F70E2407}" type="pres">
      <dgm:prSet presAssocID="{4E5709DB-E3E6-458C-B9AC-F19FB73D0FFA}" presName="sibSpaceFour" presStyleCnt="0"/>
      <dgm:spPr/>
    </dgm:pt>
    <dgm:pt modelId="{B02DB9CB-07F8-469A-A780-55A4258A5509}" type="pres">
      <dgm:prSet presAssocID="{3E35BAB9-5048-494F-8FDF-604CDEF843D4}" presName="vertFour" presStyleCnt="0">
        <dgm:presLayoutVars>
          <dgm:chPref val="3"/>
        </dgm:presLayoutVars>
      </dgm:prSet>
      <dgm:spPr/>
    </dgm:pt>
    <dgm:pt modelId="{20AFCBCE-985D-4FB4-B89C-2BC87A879509}" type="pres">
      <dgm:prSet presAssocID="{3E35BAB9-5048-494F-8FDF-604CDEF843D4}" presName="txFour" presStyleLbl="node4" presStyleIdx="6" presStyleCnt="45">
        <dgm:presLayoutVars>
          <dgm:chPref val="3"/>
        </dgm:presLayoutVars>
      </dgm:prSet>
      <dgm:spPr/>
    </dgm:pt>
    <dgm:pt modelId="{3C0B234B-68FD-4B67-9C89-671FADFE7C44}" type="pres">
      <dgm:prSet presAssocID="{3E35BAB9-5048-494F-8FDF-604CDEF843D4}" presName="horzFour" presStyleCnt="0"/>
      <dgm:spPr/>
    </dgm:pt>
    <dgm:pt modelId="{580C5366-EB1A-4FE1-9C96-CEAF78E52301}" type="pres">
      <dgm:prSet presAssocID="{4393DD70-9FEE-4B87-9F81-975145750C86}" presName="sibSpaceFour" presStyleCnt="0"/>
      <dgm:spPr/>
    </dgm:pt>
    <dgm:pt modelId="{12A68B83-972C-44AF-B981-E7992E0CC348}" type="pres">
      <dgm:prSet presAssocID="{F3A190E9-7D7B-48FE-B0B6-62865AE1BC06}" presName="vertFour" presStyleCnt="0">
        <dgm:presLayoutVars>
          <dgm:chPref val="3"/>
        </dgm:presLayoutVars>
      </dgm:prSet>
      <dgm:spPr/>
    </dgm:pt>
    <dgm:pt modelId="{1D5655C1-BF1F-4EBA-B60C-EC91104A3857}" type="pres">
      <dgm:prSet presAssocID="{F3A190E9-7D7B-48FE-B0B6-62865AE1BC06}" presName="txFour" presStyleLbl="node4" presStyleIdx="7" presStyleCnt="45">
        <dgm:presLayoutVars>
          <dgm:chPref val="3"/>
        </dgm:presLayoutVars>
      </dgm:prSet>
      <dgm:spPr/>
    </dgm:pt>
    <dgm:pt modelId="{4F02CC16-FE7D-41B4-9A81-70E2F0E1BD01}" type="pres">
      <dgm:prSet presAssocID="{F3A190E9-7D7B-48FE-B0B6-62865AE1BC06}" presName="horzFour" presStyleCnt="0"/>
      <dgm:spPr/>
    </dgm:pt>
    <dgm:pt modelId="{5C398DA1-D009-4C05-A40F-BD85DA29779B}" type="pres">
      <dgm:prSet presAssocID="{3FCEA20D-4075-45F6-AC7F-0004D5F79E9A}" presName="sibSpaceFour" presStyleCnt="0"/>
      <dgm:spPr/>
    </dgm:pt>
    <dgm:pt modelId="{1E7BAB0E-23CA-4386-8FF3-095A8833C2B8}" type="pres">
      <dgm:prSet presAssocID="{CD706315-C30E-445D-B2EE-57EA9CA9A99C}" presName="vertFour" presStyleCnt="0">
        <dgm:presLayoutVars>
          <dgm:chPref val="3"/>
        </dgm:presLayoutVars>
      </dgm:prSet>
      <dgm:spPr/>
    </dgm:pt>
    <dgm:pt modelId="{83701003-83A5-4100-82A6-E1725A3481FB}" type="pres">
      <dgm:prSet presAssocID="{CD706315-C30E-445D-B2EE-57EA9CA9A99C}" presName="txFour" presStyleLbl="node4" presStyleIdx="8" presStyleCnt="45">
        <dgm:presLayoutVars>
          <dgm:chPref val="3"/>
        </dgm:presLayoutVars>
      </dgm:prSet>
      <dgm:spPr/>
    </dgm:pt>
    <dgm:pt modelId="{4A89990C-D4E3-47E8-B013-0906CDA5481A}" type="pres">
      <dgm:prSet presAssocID="{CD706315-C30E-445D-B2EE-57EA9CA9A99C}" presName="horzFour" presStyleCnt="0"/>
      <dgm:spPr/>
    </dgm:pt>
    <dgm:pt modelId="{13063E2F-C962-4509-A35B-C071D3695031}" type="pres">
      <dgm:prSet presAssocID="{FE2A3FC2-B127-4E44-B586-6DB79820D110}" presName="sibSpaceFour" presStyleCnt="0"/>
      <dgm:spPr/>
    </dgm:pt>
    <dgm:pt modelId="{4A6D47FE-8839-41A2-A5BD-C3CC23FAE75A}" type="pres">
      <dgm:prSet presAssocID="{A52FD434-E379-4728-8613-D86A25402881}" presName="vertFour" presStyleCnt="0">
        <dgm:presLayoutVars>
          <dgm:chPref val="3"/>
        </dgm:presLayoutVars>
      </dgm:prSet>
      <dgm:spPr/>
    </dgm:pt>
    <dgm:pt modelId="{ECA39028-D9BC-4E79-AE96-F19FF0211288}" type="pres">
      <dgm:prSet presAssocID="{A52FD434-E379-4728-8613-D86A25402881}" presName="txFour" presStyleLbl="node4" presStyleIdx="9" presStyleCnt="45">
        <dgm:presLayoutVars>
          <dgm:chPref val="3"/>
        </dgm:presLayoutVars>
      </dgm:prSet>
      <dgm:spPr/>
    </dgm:pt>
    <dgm:pt modelId="{37910A8B-469D-412D-B49F-18B55C160661}" type="pres">
      <dgm:prSet presAssocID="{A52FD434-E379-4728-8613-D86A25402881}" presName="horzFour" presStyleCnt="0"/>
      <dgm:spPr/>
    </dgm:pt>
    <dgm:pt modelId="{5CB000A1-26D7-4CEB-B8E7-EF29BC648F3E}" type="pres">
      <dgm:prSet presAssocID="{99E201AC-405A-452C-83AF-081B96C629D7}" presName="sibSpaceTwo" presStyleCnt="0"/>
      <dgm:spPr/>
    </dgm:pt>
    <dgm:pt modelId="{A46D8050-F440-4944-B508-DE9DBD8FA951}" type="pres">
      <dgm:prSet presAssocID="{157A0C5D-EDD7-4351-8ED5-B0499F1CB8D2}" presName="vertTwo" presStyleCnt="0"/>
      <dgm:spPr/>
    </dgm:pt>
    <dgm:pt modelId="{1A22F6ED-1E4B-4994-9F6E-8BC291B38B34}" type="pres">
      <dgm:prSet presAssocID="{157A0C5D-EDD7-4351-8ED5-B0499F1CB8D2}" presName="txTwo" presStyleLbl="node2" presStyleIdx="2" presStyleCnt="9">
        <dgm:presLayoutVars>
          <dgm:chPref val="3"/>
        </dgm:presLayoutVars>
      </dgm:prSet>
      <dgm:spPr/>
    </dgm:pt>
    <dgm:pt modelId="{A624A613-70CE-4574-AC68-6AD5497BFA79}" type="pres">
      <dgm:prSet presAssocID="{157A0C5D-EDD7-4351-8ED5-B0499F1CB8D2}" presName="parTransTwo" presStyleCnt="0"/>
      <dgm:spPr/>
    </dgm:pt>
    <dgm:pt modelId="{BFD97595-3A5D-461E-8BDC-0868EDA133BE}" type="pres">
      <dgm:prSet presAssocID="{157A0C5D-EDD7-4351-8ED5-B0499F1CB8D2}" presName="horzTwo" presStyleCnt="0"/>
      <dgm:spPr/>
    </dgm:pt>
    <dgm:pt modelId="{A55A18E1-2257-4357-9F9B-7814D51E15A1}" type="pres">
      <dgm:prSet presAssocID="{F2DA8E48-2D58-4BBD-86AD-449BF813AE40}" presName="vertThree" presStyleCnt="0"/>
      <dgm:spPr/>
    </dgm:pt>
    <dgm:pt modelId="{93F307B7-8144-4644-A59B-870D7D58A6CA}" type="pres">
      <dgm:prSet presAssocID="{F2DA8E48-2D58-4BBD-86AD-449BF813AE40}" presName="txThree" presStyleLbl="node3" presStyleIdx="2" presStyleCnt="9">
        <dgm:presLayoutVars>
          <dgm:chPref val="3"/>
        </dgm:presLayoutVars>
      </dgm:prSet>
      <dgm:spPr/>
    </dgm:pt>
    <dgm:pt modelId="{F550B543-1576-4508-9F82-8A2568E7B80B}" type="pres">
      <dgm:prSet presAssocID="{F2DA8E48-2D58-4BBD-86AD-449BF813AE40}" presName="parTransThree" presStyleCnt="0"/>
      <dgm:spPr/>
    </dgm:pt>
    <dgm:pt modelId="{46B6238D-FA21-4CBC-9312-FD011D386F2E}" type="pres">
      <dgm:prSet presAssocID="{F2DA8E48-2D58-4BBD-86AD-449BF813AE40}" presName="horzThree" presStyleCnt="0"/>
      <dgm:spPr/>
    </dgm:pt>
    <dgm:pt modelId="{F621D18A-3CBF-42D6-AB87-58B5760CC4FA}" type="pres">
      <dgm:prSet presAssocID="{A083431D-50FD-4442-B0CE-4B27FB35DFAA}" presName="vertFour" presStyleCnt="0">
        <dgm:presLayoutVars>
          <dgm:chPref val="3"/>
        </dgm:presLayoutVars>
      </dgm:prSet>
      <dgm:spPr/>
    </dgm:pt>
    <dgm:pt modelId="{9650B868-5EA9-4C33-85B6-773B4083E473}" type="pres">
      <dgm:prSet presAssocID="{A083431D-50FD-4442-B0CE-4B27FB35DFAA}" presName="txFour" presStyleLbl="node4" presStyleIdx="10" presStyleCnt="45">
        <dgm:presLayoutVars>
          <dgm:chPref val="3"/>
        </dgm:presLayoutVars>
      </dgm:prSet>
      <dgm:spPr/>
    </dgm:pt>
    <dgm:pt modelId="{83DC2382-0E03-4C71-9CAE-75A8020145A7}" type="pres">
      <dgm:prSet presAssocID="{A083431D-50FD-4442-B0CE-4B27FB35DFAA}" presName="horzFour" presStyleCnt="0"/>
      <dgm:spPr/>
    </dgm:pt>
    <dgm:pt modelId="{8E5F14CB-9A65-4D8D-8E9C-FE20679392B0}" type="pres">
      <dgm:prSet presAssocID="{188BA9B3-5D6E-4615-86DB-1D6EB75064CC}" presName="sibSpaceFour" presStyleCnt="0"/>
      <dgm:spPr/>
    </dgm:pt>
    <dgm:pt modelId="{BF82734B-01B6-49C3-A950-6EFA51DEDF22}" type="pres">
      <dgm:prSet presAssocID="{B841F871-FFED-4CD9-9877-26B25FF0BCE4}" presName="vertFour" presStyleCnt="0">
        <dgm:presLayoutVars>
          <dgm:chPref val="3"/>
        </dgm:presLayoutVars>
      </dgm:prSet>
      <dgm:spPr/>
    </dgm:pt>
    <dgm:pt modelId="{7932D13A-6947-4712-8AF3-C06B48E3BC9C}" type="pres">
      <dgm:prSet presAssocID="{B841F871-FFED-4CD9-9877-26B25FF0BCE4}" presName="txFour" presStyleLbl="node4" presStyleIdx="11" presStyleCnt="45">
        <dgm:presLayoutVars>
          <dgm:chPref val="3"/>
        </dgm:presLayoutVars>
      </dgm:prSet>
      <dgm:spPr/>
    </dgm:pt>
    <dgm:pt modelId="{3395C0DF-65E1-4048-84C6-277F4FFDC359}" type="pres">
      <dgm:prSet presAssocID="{B841F871-FFED-4CD9-9877-26B25FF0BCE4}" presName="horzFour" presStyleCnt="0"/>
      <dgm:spPr/>
    </dgm:pt>
    <dgm:pt modelId="{7E158AC2-8303-4B48-8A18-2C4C2F861A18}" type="pres">
      <dgm:prSet presAssocID="{8B4EA658-33EF-4FCB-83FA-A83173D80ACA}" presName="sibSpaceFour" presStyleCnt="0"/>
      <dgm:spPr/>
    </dgm:pt>
    <dgm:pt modelId="{953A567D-C86B-4545-941E-A89FB2EA0A86}" type="pres">
      <dgm:prSet presAssocID="{C0D1D7B0-884C-4B95-9236-794FCE76F92D}" presName="vertFour" presStyleCnt="0">
        <dgm:presLayoutVars>
          <dgm:chPref val="3"/>
        </dgm:presLayoutVars>
      </dgm:prSet>
      <dgm:spPr/>
    </dgm:pt>
    <dgm:pt modelId="{92A8FC88-4385-4749-AA28-E17B84C1B86B}" type="pres">
      <dgm:prSet presAssocID="{C0D1D7B0-884C-4B95-9236-794FCE76F92D}" presName="txFour" presStyleLbl="node4" presStyleIdx="12" presStyleCnt="45">
        <dgm:presLayoutVars>
          <dgm:chPref val="3"/>
        </dgm:presLayoutVars>
      </dgm:prSet>
      <dgm:spPr/>
    </dgm:pt>
    <dgm:pt modelId="{F1AC6F1A-DAC3-422F-B82F-E8D6E8C2EAF6}" type="pres">
      <dgm:prSet presAssocID="{C0D1D7B0-884C-4B95-9236-794FCE76F92D}" presName="horzFour" presStyleCnt="0"/>
      <dgm:spPr/>
    </dgm:pt>
    <dgm:pt modelId="{EDADAC1D-0AE6-48D3-96B5-547FC7D3BD9B}" type="pres">
      <dgm:prSet presAssocID="{CC0D8337-6859-46F3-A451-F81D39AE84B6}" presName="sibSpaceFour" presStyleCnt="0"/>
      <dgm:spPr/>
    </dgm:pt>
    <dgm:pt modelId="{56F12FC8-A47B-49E3-9F3E-CFF9B5571F43}" type="pres">
      <dgm:prSet presAssocID="{F46B11CF-9D14-46B0-900E-BB663821389F}" presName="vertFour" presStyleCnt="0">
        <dgm:presLayoutVars>
          <dgm:chPref val="3"/>
        </dgm:presLayoutVars>
      </dgm:prSet>
      <dgm:spPr/>
    </dgm:pt>
    <dgm:pt modelId="{4FF3F459-EF5A-41FC-B29A-B8EF53928CC3}" type="pres">
      <dgm:prSet presAssocID="{F46B11CF-9D14-46B0-900E-BB663821389F}" presName="txFour" presStyleLbl="node4" presStyleIdx="13" presStyleCnt="45">
        <dgm:presLayoutVars>
          <dgm:chPref val="3"/>
        </dgm:presLayoutVars>
      </dgm:prSet>
      <dgm:spPr/>
    </dgm:pt>
    <dgm:pt modelId="{95222B31-5C2B-43FF-99ED-6BB92B0BD4D4}" type="pres">
      <dgm:prSet presAssocID="{F46B11CF-9D14-46B0-900E-BB663821389F}" presName="horzFour" presStyleCnt="0"/>
      <dgm:spPr/>
    </dgm:pt>
    <dgm:pt modelId="{04B06308-B626-4FB7-930B-58946A85FB39}" type="pres">
      <dgm:prSet presAssocID="{4D1F1749-88A1-4A72-BC95-3AF4483038F8}" presName="sibSpaceFour" presStyleCnt="0"/>
      <dgm:spPr/>
    </dgm:pt>
    <dgm:pt modelId="{9D0A32B0-C8BB-4AF1-998D-D94CD5D2B85C}" type="pres">
      <dgm:prSet presAssocID="{7EC431B3-5EF1-472F-8C92-3CA4D2441C51}" presName="vertFour" presStyleCnt="0">
        <dgm:presLayoutVars>
          <dgm:chPref val="3"/>
        </dgm:presLayoutVars>
      </dgm:prSet>
      <dgm:spPr/>
    </dgm:pt>
    <dgm:pt modelId="{F358A509-3F7F-451A-ACB3-BE5C338770C6}" type="pres">
      <dgm:prSet presAssocID="{7EC431B3-5EF1-472F-8C92-3CA4D2441C51}" presName="txFour" presStyleLbl="node4" presStyleIdx="14" presStyleCnt="45">
        <dgm:presLayoutVars>
          <dgm:chPref val="3"/>
        </dgm:presLayoutVars>
      </dgm:prSet>
      <dgm:spPr/>
    </dgm:pt>
    <dgm:pt modelId="{44FA3F1E-C867-4572-BB12-5EA38AEB9ADF}" type="pres">
      <dgm:prSet presAssocID="{7EC431B3-5EF1-472F-8C92-3CA4D2441C51}" presName="horzFour" presStyleCnt="0"/>
      <dgm:spPr/>
    </dgm:pt>
    <dgm:pt modelId="{D4DAAA74-6775-49BE-9A79-B178FFFB4C3E}" type="pres">
      <dgm:prSet presAssocID="{A1BF4C5E-31B9-4A36-A89D-319C4B23E955}" presName="sibSpaceTwo" presStyleCnt="0"/>
      <dgm:spPr/>
    </dgm:pt>
    <dgm:pt modelId="{1602D182-D20F-44B0-AE3F-2C7238D383EC}" type="pres">
      <dgm:prSet presAssocID="{52298998-3DB5-4F56-A2B4-5852AC05C26D}" presName="vertTwo" presStyleCnt="0"/>
      <dgm:spPr/>
    </dgm:pt>
    <dgm:pt modelId="{E461BD08-2FB3-4D86-97BE-765BAA842BF1}" type="pres">
      <dgm:prSet presAssocID="{52298998-3DB5-4F56-A2B4-5852AC05C26D}" presName="txTwo" presStyleLbl="node2" presStyleIdx="3" presStyleCnt="9">
        <dgm:presLayoutVars>
          <dgm:chPref val="3"/>
        </dgm:presLayoutVars>
      </dgm:prSet>
      <dgm:spPr/>
    </dgm:pt>
    <dgm:pt modelId="{1459CD29-1FB8-4734-9D50-503D819F5875}" type="pres">
      <dgm:prSet presAssocID="{52298998-3DB5-4F56-A2B4-5852AC05C26D}" presName="parTransTwo" presStyleCnt="0"/>
      <dgm:spPr/>
    </dgm:pt>
    <dgm:pt modelId="{5904A699-2FCD-49AE-9070-E990B57E38F7}" type="pres">
      <dgm:prSet presAssocID="{52298998-3DB5-4F56-A2B4-5852AC05C26D}" presName="horzTwo" presStyleCnt="0"/>
      <dgm:spPr/>
    </dgm:pt>
    <dgm:pt modelId="{CA311B3B-D02B-4BBF-B410-0BF3B3ECC461}" type="pres">
      <dgm:prSet presAssocID="{12994FBE-F501-4AAD-B267-FD86D6046B8E}" presName="vertThree" presStyleCnt="0"/>
      <dgm:spPr/>
    </dgm:pt>
    <dgm:pt modelId="{CA142A2A-A5E8-46CF-9D1F-F0713572BDD1}" type="pres">
      <dgm:prSet presAssocID="{12994FBE-F501-4AAD-B267-FD86D6046B8E}" presName="txThree" presStyleLbl="node3" presStyleIdx="3" presStyleCnt="9">
        <dgm:presLayoutVars>
          <dgm:chPref val="3"/>
        </dgm:presLayoutVars>
      </dgm:prSet>
      <dgm:spPr/>
    </dgm:pt>
    <dgm:pt modelId="{06651252-7669-415D-A8CD-119B700EE04B}" type="pres">
      <dgm:prSet presAssocID="{12994FBE-F501-4AAD-B267-FD86D6046B8E}" presName="parTransThree" presStyleCnt="0"/>
      <dgm:spPr/>
    </dgm:pt>
    <dgm:pt modelId="{6426DD40-AF46-412B-97F7-C9C8F4CEDB4B}" type="pres">
      <dgm:prSet presAssocID="{12994FBE-F501-4AAD-B267-FD86D6046B8E}" presName="horzThree" presStyleCnt="0"/>
      <dgm:spPr/>
    </dgm:pt>
    <dgm:pt modelId="{2CEB86BE-43F4-461B-B473-E45AF95EA75A}" type="pres">
      <dgm:prSet presAssocID="{0961655E-987E-4A0B-B819-704DD4A6640F}" presName="vertFour" presStyleCnt="0">
        <dgm:presLayoutVars>
          <dgm:chPref val="3"/>
        </dgm:presLayoutVars>
      </dgm:prSet>
      <dgm:spPr/>
    </dgm:pt>
    <dgm:pt modelId="{8E1FB5CC-F84F-4E71-A9A8-A393715EA84B}" type="pres">
      <dgm:prSet presAssocID="{0961655E-987E-4A0B-B819-704DD4A6640F}" presName="txFour" presStyleLbl="node4" presStyleIdx="15" presStyleCnt="45">
        <dgm:presLayoutVars>
          <dgm:chPref val="3"/>
        </dgm:presLayoutVars>
      </dgm:prSet>
      <dgm:spPr/>
    </dgm:pt>
    <dgm:pt modelId="{1ECF3C41-A7CE-46BD-8D1D-C8CB45B333BC}" type="pres">
      <dgm:prSet presAssocID="{0961655E-987E-4A0B-B819-704DD4A6640F}" presName="horzFour" presStyleCnt="0"/>
      <dgm:spPr/>
    </dgm:pt>
    <dgm:pt modelId="{2E0CDE78-985F-4433-A44E-4F000CF44029}" type="pres">
      <dgm:prSet presAssocID="{4A64D623-B681-484C-B44B-37F62235C547}" presName="sibSpaceFour" presStyleCnt="0"/>
      <dgm:spPr/>
    </dgm:pt>
    <dgm:pt modelId="{9B5572DC-9B59-4CE4-AA25-48805A138F38}" type="pres">
      <dgm:prSet presAssocID="{47D24819-5847-4630-A399-DB14760814E2}" presName="vertFour" presStyleCnt="0">
        <dgm:presLayoutVars>
          <dgm:chPref val="3"/>
        </dgm:presLayoutVars>
      </dgm:prSet>
      <dgm:spPr/>
    </dgm:pt>
    <dgm:pt modelId="{4ACE6F9E-1D22-43B9-A6CB-DFE696CA7FDE}" type="pres">
      <dgm:prSet presAssocID="{47D24819-5847-4630-A399-DB14760814E2}" presName="txFour" presStyleLbl="node4" presStyleIdx="16" presStyleCnt="45">
        <dgm:presLayoutVars>
          <dgm:chPref val="3"/>
        </dgm:presLayoutVars>
      </dgm:prSet>
      <dgm:spPr/>
    </dgm:pt>
    <dgm:pt modelId="{02F11AA6-7C87-452D-8D4F-D32E2F499DED}" type="pres">
      <dgm:prSet presAssocID="{47D24819-5847-4630-A399-DB14760814E2}" presName="horzFour" presStyleCnt="0"/>
      <dgm:spPr/>
    </dgm:pt>
    <dgm:pt modelId="{9C4145C1-2F99-4171-B5B6-48CA71746118}" type="pres">
      <dgm:prSet presAssocID="{79956F11-3CB5-4C2C-AEC3-1FAD2D90C2F5}" presName="sibSpaceFour" presStyleCnt="0"/>
      <dgm:spPr/>
    </dgm:pt>
    <dgm:pt modelId="{2872EA90-66B0-48B5-AE4F-05E7291DF82B}" type="pres">
      <dgm:prSet presAssocID="{1F88322A-1C7F-4819-8DEE-E0250F055981}" presName="vertFour" presStyleCnt="0">
        <dgm:presLayoutVars>
          <dgm:chPref val="3"/>
        </dgm:presLayoutVars>
      </dgm:prSet>
      <dgm:spPr/>
    </dgm:pt>
    <dgm:pt modelId="{424D2898-FF30-41BA-9A36-333D9EFC088F}" type="pres">
      <dgm:prSet presAssocID="{1F88322A-1C7F-4819-8DEE-E0250F055981}" presName="txFour" presStyleLbl="node4" presStyleIdx="17" presStyleCnt="45">
        <dgm:presLayoutVars>
          <dgm:chPref val="3"/>
        </dgm:presLayoutVars>
      </dgm:prSet>
      <dgm:spPr/>
    </dgm:pt>
    <dgm:pt modelId="{AEB23DE8-3856-42C5-B126-ADF8C82165B7}" type="pres">
      <dgm:prSet presAssocID="{1F88322A-1C7F-4819-8DEE-E0250F055981}" presName="horzFour" presStyleCnt="0"/>
      <dgm:spPr/>
    </dgm:pt>
    <dgm:pt modelId="{71873B2C-E084-4F30-AFC0-14F4545A7696}" type="pres">
      <dgm:prSet presAssocID="{9A084FA2-9573-4007-A1FE-0B4F846B805C}" presName="sibSpaceFour" presStyleCnt="0"/>
      <dgm:spPr/>
    </dgm:pt>
    <dgm:pt modelId="{ACC67643-426E-44FE-BCCA-BB8CE090B302}" type="pres">
      <dgm:prSet presAssocID="{A94A2461-A7A9-4ABE-BA25-E8D970151E4E}" presName="vertFour" presStyleCnt="0">
        <dgm:presLayoutVars>
          <dgm:chPref val="3"/>
        </dgm:presLayoutVars>
      </dgm:prSet>
      <dgm:spPr/>
    </dgm:pt>
    <dgm:pt modelId="{65A00C59-FD86-4B84-B9D5-AE1FB1994B39}" type="pres">
      <dgm:prSet presAssocID="{A94A2461-A7A9-4ABE-BA25-E8D970151E4E}" presName="txFour" presStyleLbl="node4" presStyleIdx="18" presStyleCnt="45">
        <dgm:presLayoutVars>
          <dgm:chPref val="3"/>
        </dgm:presLayoutVars>
      </dgm:prSet>
      <dgm:spPr/>
    </dgm:pt>
    <dgm:pt modelId="{208FD661-FAA2-439F-A705-B5251026989C}" type="pres">
      <dgm:prSet presAssocID="{A94A2461-A7A9-4ABE-BA25-E8D970151E4E}" presName="horzFour" presStyleCnt="0"/>
      <dgm:spPr/>
    </dgm:pt>
    <dgm:pt modelId="{53E540A0-BF25-4459-9A29-DBB03D5744A7}" type="pres">
      <dgm:prSet presAssocID="{87822044-33CA-4282-9E34-8DBC8AFBAA68}" presName="sibSpaceFour" presStyleCnt="0"/>
      <dgm:spPr/>
    </dgm:pt>
    <dgm:pt modelId="{24F3CDA3-9A9A-4C91-A4D4-2821D8C0D99C}" type="pres">
      <dgm:prSet presAssocID="{DC3812F8-563D-43EA-A78E-CF3346E71C62}" presName="vertFour" presStyleCnt="0">
        <dgm:presLayoutVars>
          <dgm:chPref val="3"/>
        </dgm:presLayoutVars>
      </dgm:prSet>
      <dgm:spPr/>
    </dgm:pt>
    <dgm:pt modelId="{FA635E87-A9A9-4E0B-8807-D762DD9863C4}" type="pres">
      <dgm:prSet presAssocID="{DC3812F8-563D-43EA-A78E-CF3346E71C62}" presName="txFour" presStyleLbl="node4" presStyleIdx="19" presStyleCnt="45">
        <dgm:presLayoutVars>
          <dgm:chPref val="3"/>
        </dgm:presLayoutVars>
      </dgm:prSet>
      <dgm:spPr/>
    </dgm:pt>
    <dgm:pt modelId="{7FCBFD4E-539D-4E3C-B52F-6E6508C435E5}" type="pres">
      <dgm:prSet presAssocID="{DC3812F8-563D-43EA-A78E-CF3346E71C62}" presName="horzFour" presStyleCnt="0"/>
      <dgm:spPr/>
    </dgm:pt>
    <dgm:pt modelId="{D5FC90A4-3B4A-45DD-A2EF-6F60144B3FC7}" type="pres">
      <dgm:prSet presAssocID="{A3D707AA-B86E-44DC-8123-3A837AEB061F}" presName="sibSpaceTwo" presStyleCnt="0"/>
      <dgm:spPr/>
    </dgm:pt>
    <dgm:pt modelId="{840E38D4-2B2F-4175-ACE9-6D20FB4B187F}" type="pres">
      <dgm:prSet presAssocID="{7C24B597-A54B-4703-94AF-6C1A0F26A2D8}" presName="vertTwo" presStyleCnt="0"/>
      <dgm:spPr/>
    </dgm:pt>
    <dgm:pt modelId="{F31770FE-14A1-4B05-90F6-A095AC909AB1}" type="pres">
      <dgm:prSet presAssocID="{7C24B597-A54B-4703-94AF-6C1A0F26A2D8}" presName="txTwo" presStyleLbl="node2" presStyleIdx="4" presStyleCnt="9">
        <dgm:presLayoutVars>
          <dgm:chPref val="3"/>
        </dgm:presLayoutVars>
      </dgm:prSet>
      <dgm:spPr/>
    </dgm:pt>
    <dgm:pt modelId="{F2835174-2BFA-45AD-86EF-1FF86FE7871F}" type="pres">
      <dgm:prSet presAssocID="{7C24B597-A54B-4703-94AF-6C1A0F26A2D8}" presName="parTransTwo" presStyleCnt="0"/>
      <dgm:spPr/>
    </dgm:pt>
    <dgm:pt modelId="{B0E9B81C-568E-4AF2-A1D6-F3E7C3F7FF9E}" type="pres">
      <dgm:prSet presAssocID="{7C24B597-A54B-4703-94AF-6C1A0F26A2D8}" presName="horzTwo" presStyleCnt="0"/>
      <dgm:spPr/>
    </dgm:pt>
    <dgm:pt modelId="{1DF70728-1F0B-47A8-82D3-A043EA6F782B}" type="pres">
      <dgm:prSet presAssocID="{016C3E81-F292-41B7-8AE7-566087DF21DF}" presName="vertThree" presStyleCnt="0"/>
      <dgm:spPr/>
    </dgm:pt>
    <dgm:pt modelId="{781C4169-DF5D-4697-A623-B9A06EED3790}" type="pres">
      <dgm:prSet presAssocID="{016C3E81-F292-41B7-8AE7-566087DF21DF}" presName="txThree" presStyleLbl="node3" presStyleIdx="4" presStyleCnt="9">
        <dgm:presLayoutVars>
          <dgm:chPref val="3"/>
        </dgm:presLayoutVars>
      </dgm:prSet>
      <dgm:spPr/>
    </dgm:pt>
    <dgm:pt modelId="{E00AD1F4-DFB3-4E1E-9F1C-EA876EDE1B46}" type="pres">
      <dgm:prSet presAssocID="{016C3E81-F292-41B7-8AE7-566087DF21DF}" presName="parTransThree" presStyleCnt="0"/>
      <dgm:spPr/>
    </dgm:pt>
    <dgm:pt modelId="{8D230873-4C79-4EF3-9C49-B897D76242E3}" type="pres">
      <dgm:prSet presAssocID="{016C3E81-F292-41B7-8AE7-566087DF21DF}" presName="horzThree" presStyleCnt="0"/>
      <dgm:spPr/>
    </dgm:pt>
    <dgm:pt modelId="{4E5A263C-65C6-41F7-A15F-5EDBF1FFD2C2}" type="pres">
      <dgm:prSet presAssocID="{EA485993-626F-4CF1-A4AC-E6CFAED1AA68}" presName="vertFour" presStyleCnt="0">
        <dgm:presLayoutVars>
          <dgm:chPref val="3"/>
        </dgm:presLayoutVars>
      </dgm:prSet>
      <dgm:spPr/>
    </dgm:pt>
    <dgm:pt modelId="{F92C6C86-EE0D-4421-AA09-2FF1349D3D6D}" type="pres">
      <dgm:prSet presAssocID="{EA485993-626F-4CF1-A4AC-E6CFAED1AA68}" presName="txFour" presStyleLbl="node4" presStyleIdx="20" presStyleCnt="45">
        <dgm:presLayoutVars>
          <dgm:chPref val="3"/>
        </dgm:presLayoutVars>
      </dgm:prSet>
      <dgm:spPr/>
    </dgm:pt>
    <dgm:pt modelId="{C29B7975-53E8-4D12-9BF7-FBD0AFC1CF1A}" type="pres">
      <dgm:prSet presAssocID="{EA485993-626F-4CF1-A4AC-E6CFAED1AA68}" presName="horzFour" presStyleCnt="0"/>
      <dgm:spPr/>
    </dgm:pt>
    <dgm:pt modelId="{F3BF0EF5-0CEE-46C3-8CD2-68D35AFFC97D}" type="pres">
      <dgm:prSet presAssocID="{CB0A005B-306D-4740-B06F-56332E8FC2A5}" presName="sibSpaceFour" presStyleCnt="0"/>
      <dgm:spPr/>
    </dgm:pt>
    <dgm:pt modelId="{941E6EFD-5981-4EB3-9133-C2B4CB92CFE5}" type="pres">
      <dgm:prSet presAssocID="{E02867ED-568A-4A83-8455-F3DEA1D50330}" presName="vertFour" presStyleCnt="0">
        <dgm:presLayoutVars>
          <dgm:chPref val="3"/>
        </dgm:presLayoutVars>
      </dgm:prSet>
      <dgm:spPr/>
    </dgm:pt>
    <dgm:pt modelId="{FCE1D37B-FE7A-47DA-99E5-EB50DCC9CB2A}" type="pres">
      <dgm:prSet presAssocID="{E02867ED-568A-4A83-8455-F3DEA1D50330}" presName="txFour" presStyleLbl="node4" presStyleIdx="21" presStyleCnt="45">
        <dgm:presLayoutVars>
          <dgm:chPref val="3"/>
        </dgm:presLayoutVars>
      </dgm:prSet>
      <dgm:spPr/>
    </dgm:pt>
    <dgm:pt modelId="{2866117E-E976-4957-872F-9FB289BB7490}" type="pres">
      <dgm:prSet presAssocID="{E02867ED-568A-4A83-8455-F3DEA1D50330}" presName="horzFour" presStyleCnt="0"/>
      <dgm:spPr/>
    </dgm:pt>
    <dgm:pt modelId="{AADA6E97-6979-4AF1-8D22-BC6333B69489}" type="pres">
      <dgm:prSet presAssocID="{7FEC5297-932B-4BD9-845E-205D867B9A55}" presName="sibSpaceFour" presStyleCnt="0"/>
      <dgm:spPr/>
    </dgm:pt>
    <dgm:pt modelId="{98A87E4B-EA77-4D71-95AB-6A85B9F57191}" type="pres">
      <dgm:prSet presAssocID="{132FE15F-0F20-4440-B00D-5E32CF22E741}" presName="vertFour" presStyleCnt="0">
        <dgm:presLayoutVars>
          <dgm:chPref val="3"/>
        </dgm:presLayoutVars>
      </dgm:prSet>
      <dgm:spPr/>
    </dgm:pt>
    <dgm:pt modelId="{7A8996B5-07B1-42FA-8DA8-01584C900588}" type="pres">
      <dgm:prSet presAssocID="{132FE15F-0F20-4440-B00D-5E32CF22E741}" presName="txFour" presStyleLbl="node4" presStyleIdx="22" presStyleCnt="45">
        <dgm:presLayoutVars>
          <dgm:chPref val="3"/>
        </dgm:presLayoutVars>
      </dgm:prSet>
      <dgm:spPr/>
    </dgm:pt>
    <dgm:pt modelId="{ED2D56EE-6215-414F-95A6-3CFEE6082150}" type="pres">
      <dgm:prSet presAssocID="{132FE15F-0F20-4440-B00D-5E32CF22E741}" presName="horzFour" presStyleCnt="0"/>
      <dgm:spPr/>
    </dgm:pt>
    <dgm:pt modelId="{106AE113-B19B-4CAF-8491-3E690B583619}" type="pres">
      <dgm:prSet presAssocID="{F3EF2A30-9491-4FD4-AFBD-36A4A2A94D7D}" presName="sibSpaceFour" presStyleCnt="0"/>
      <dgm:spPr/>
    </dgm:pt>
    <dgm:pt modelId="{C74FE6B1-0172-451B-88AC-CE4519856318}" type="pres">
      <dgm:prSet presAssocID="{BF94530D-B25B-48F3-A59F-BE220F0AA271}" presName="vertFour" presStyleCnt="0">
        <dgm:presLayoutVars>
          <dgm:chPref val="3"/>
        </dgm:presLayoutVars>
      </dgm:prSet>
      <dgm:spPr/>
    </dgm:pt>
    <dgm:pt modelId="{DDB5A897-7489-42D2-B0F5-A393B0D63B86}" type="pres">
      <dgm:prSet presAssocID="{BF94530D-B25B-48F3-A59F-BE220F0AA271}" presName="txFour" presStyleLbl="node4" presStyleIdx="23" presStyleCnt="45">
        <dgm:presLayoutVars>
          <dgm:chPref val="3"/>
        </dgm:presLayoutVars>
      </dgm:prSet>
      <dgm:spPr/>
    </dgm:pt>
    <dgm:pt modelId="{8807A1A9-6B13-43B8-8E56-0C9A9932AF85}" type="pres">
      <dgm:prSet presAssocID="{BF94530D-B25B-48F3-A59F-BE220F0AA271}" presName="horzFour" presStyleCnt="0"/>
      <dgm:spPr/>
    </dgm:pt>
    <dgm:pt modelId="{EB9EF923-BFE0-4965-A2C5-8FF77BCBF530}" type="pres">
      <dgm:prSet presAssocID="{88C38A87-B2B5-4843-B392-810E79EDD8B2}" presName="sibSpaceFour" presStyleCnt="0"/>
      <dgm:spPr/>
    </dgm:pt>
    <dgm:pt modelId="{D1C8BB9D-E7FB-4EAF-B8D3-52A572F7A809}" type="pres">
      <dgm:prSet presAssocID="{9B4AAA3B-A718-437E-A5FB-8555CD0EEC1E}" presName="vertFour" presStyleCnt="0">
        <dgm:presLayoutVars>
          <dgm:chPref val="3"/>
        </dgm:presLayoutVars>
      </dgm:prSet>
      <dgm:spPr/>
    </dgm:pt>
    <dgm:pt modelId="{B6F87DD0-B407-4F68-9501-095CAFB90699}" type="pres">
      <dgm:prSet presAssocID="{9B4AAA3B-A718-437E-A5FB-8555CD0EEC1E}" presName="txFour" presStyleLbl="node4" presStyleIdx="24" presStyleCnt="45">
        <dgm:presLayoutVars>
          <dgm:chPref val="3"/>
        </dgm:presLayoutVars>
      </dgm:prSet>
      <dgm:spPr/>
    </dgm:pt>
    <dgm:pt modelId="{3472AAA2-1D11-46F2-A8BD-CD6E7BEB485D}" type="pres">
      <dgm:prSet presAssocID="{9B4AAA3B-A718-437E-A5FB-8555CD0EEC1E}" presName="horzFour" presStyleCnt="0"/>
      <dgm:spPr/>
    </dgm:pt>
    <dgm:pt modelId="{194971AD-963B-4EE0-9CFC-27A75D12947B}" type="pres">
      <dgm:prSet presAssocID="{3B111499-5C9F-4FCA-B887-6FE42E065962}" presName="sibSpaceTwo" presStyleCnt="0"/>
      <dgm:spPr/>
    </dgm:pt>
    <dgm:pt modelId="{C19AACB7-5790-4619-84D6-CE9976D9D629}" type="pres">
      <dgm:prSet presAssocID="{A546E00C-45DF-4F02-B835-25F1D1BFE0B7}" presName="vertTwo" presStyleCnt="0"/>
      <dgm:spPr/>
    </dgm:pt>
    <dgm:pt modelId="{B5DFDB8F-B340-4DE7-B135-CDE8C4BD080A}" type="pres">
      <dgm:prSet presAssocID="{A546E00C-45DF-4F02-B835-25F1D1BFE0B7}" presName="txTwo" presStyleLbl="node2" presStyleIdx="5" presStyleCnt="9">
        <dgm:presLayoutVars>
          <dgm:chPref val="3"/>
        </dgm:presLayoutVars>
      </dgm:prSet>
      <dgm:spPr/>
    </dgm:pt>
    <dgm:pt modelId="{DAAE53AF-CEC1-4EE2-858F-F9D2A437D025}" type="pres">
      <dgm:prSet presAssocID="{A546E00C-45DF-4F02-B835-25F1D1BFE0B7}" presName="parTransTwo" presStyleCnt="0"/>
      <dgm:spPr/>
    </dgm:pt>
    <dgm:pt modelId="{048435E1-1F5F-4FB4-B288-F4043B3B8097}" type="pres">
      <dgm:prSet presAssocID="{A546E00C-45DF-4F02-B835-25F1D1BFE0B7}" presName="horzTwo" presStyleCnt="0"/>
      <dgm:spPr/>
    </dgm:pt>
    <dgm:pt modelId="{E77B19A7-1BF1-48CA-B4B4-9682CFCF119B}" type="pres">
      <dgm:prSet presAssocID="{AE154C40-EF18-4659-A0BF-D2A2A306B2FD}" presName="vertThree" presStyleCnt="0"/>
      <dgm:spPr/>
    </dgm:pt>
    <dgm:pt modelId="{02024957-B84F-4987-948D-73034DE4F968}" type="pres">
      <dgm:prSet presAssocID="{AE154C40-EF18-4659-A0BF-D2A2A306B2FD}" presName="txThree" presStyleLbl="node3" presStyleIdx="5" presStyleCnt="9">
        <dgm:presLayoutVars>
          <dgm:chPref val="3"/>
        </dgm:presLayoutVars>
      </dgm:prSet>
      <dgm:spPr/>
    </dgm:pt>
    <dgm:pt modelId="{84F87FAF-549D-43A3-B36E-F1D78C1D89B1}" type="pres">
      <dgm:prSet presAssocID="{AE154C40-EF18-4659-A0BF-D2A2A306B2FD}" presName="parTransThree" presStyleCnt="0"/>
      <dgm:spPr/>
    </dgm:pt>
    <dgm:pt modelId="{769D7385-387C-4B1C-8421-8B1BC6F61A63}" type="pres">
      <dgm:prSet presAssocID="{AE154C40-EF18-4659-A0BF-D2A2A306B2FD}" presName="horzThree" presStyleCnt="0"/>
      <dgm:spPr/>
    </dgm:pt>
    <dgm:pt modelId="{1DBC7157-856B-4EF6-8A32-22C243DB025A}" type="pres">
      <dgm:prSet presAssocID="{C23E818F-A3E2-4426-8CE4-271734965D71}" presName="vertFour" presStyleCnt="0">
        <dgm:presLayoutVars>
          <dgm:chPref val="3"/>
        </dgm:presLayoutVars>
      </dgm:prSet>
      <dgm:spPr/>
    </dgm:pt>
    <dgm:pt modelId="{C0845D07-48DD-4E16-BC24-AD25B5713F72}" type="pres">
      <dgm:prSet presAssocID="{C23E818F-A3E2-4426-8CE4-271734965D71}" presName="txFour" presStyleLbl="node4" presStyleIdx="25" presStyleCnt="45">
        <dgm:presLayoutVars>
          <dgm:chPref val="3"/>
        </dgm:presLayoutVars>
      </dgm:prSet>
      <dgm:spPr/>
    </dgm:pt>
    <dgm:pt modelId="{BEC85500-829B-4472-8620-C1F8E866D204}" type="pres">
      <dgm:prSet presAssocID="{C23E818F-A3E2-4426-8CE4-271734965D71}" presName="horzFour" presStyleCnt="0"/>
      <dgm:spPr/>
    </dgm:pt>
    <dgm:pt modelId="{1CC2E80C-EFCB-44DE-BB4D-FD5D14461323}" type="pres">
      <dgm:prSet presAssocID="{73A3D2C8-7CFE-4C42-9861-3E89BE70694C}" presName="sibSpaceFour" presStyleCnt="0"/>
      <dgm:spPr/>
    </dgm:pt>
    <dgm:pt modelId="{B918514E-A1F0-4F4B-AC5F-2AB3E046B1CB}" type="pres">
      <dgm:prSet presAssocID="{BD91800C-A685-4B72-A123-709315DE081B}" presName="vertFour" presStyleCnt="0">
        <dgm:presLayoutVars>
          <dgm:chPref val="3"/>
        </dgm:presLayoutVars>
      </dgm:prSet>
      <dgm:spPr/>
    </dgm:pt>
    <dgm:pt modelId="{B7B9B41E-E143-413D-AC59-904856A78240}" type="pres">
      <dgm:prSet presAssocID="{BD91800C-A685-4B72-A123-709315DE081B}" presName="txFour" presStyleLbl="node4" presStyleIdx="26" presStyleCnt="45">
        <dgm:presLayoutVars>
          <dgm:chPref val="3"/>
        </dgm:presLayoutVars>
      </dgm:prSet>
      <dgm:spPr/>
    </dgm:pt>
    <dgm:pt modelId="{9BA4F1E1-A899-4051-9D79-305105736A9A}" type="pres">
      <dgm:prSet presAssocID="{BD91800C-A685-4B72-A123-709315DE081B}" presName="horzFour" presStyleCnt="0"/>
      <dgm:spPr/>
    </dgm:pt>
    <dgm:pt modelId="{7C3063D1-8516-442D-B989-844B457699D4}" type="pres">
      <dgm:prSet presAssocID="{FEF08C14-295B-4869-BC03-A6B2A448855A}" presName="sibSpaceFour" presStyleCnt="0"/>
      <dgm:spPr/>
    </dgm:pt>
    <dgm:pt modelId="{1B04F138-71E4-40E3-886B-6D79FFFC2D85}" type="pres">
      <dgm:prSet presAssocID="{3B21E965-7131-49A0-ADAC-D3399B727ADB}" presName="vertFour" presStyleCnt="0">
        <dgm:presLayoutVars>
          <dgm:chPref val="3"/>
        </dgm:presLayoutVars>
      </dgm:prSet>
      <dgm:spPr/>
    </dgm:pt>
    <dgm:pt modelId="{6E903580-6C75-494C-A5A0-3498772D39EC}" type="pres">
      <dgm:prSet presAssocID="{3B21E965-7131-49A0-ADAC-D3399B727ADB}" presName="txFour" presStyleLbl="node4" presStyleIdx="27" presStyleCnt="45">
        <dgm:presLayoutVars>
          <dgm:chPref val="3"/>
        </dgm:presLayoutVars>
      </dgm:prSet>
      <dgm:spPr/>
    </dgm:pt>
    <dgm:pt modelId="{8993E571-A990-4856-B1EE-1570A7FC1694}" type="pres">
      <dgm:prSet presAssocID="{3B21E965-7131-49A0-ADAC-D3399B727ADB}" presName="horzFour" presStyleCnt="0"/>
      <dgm:spPr/>
    </dgm:pt>
    <dgm:pt modelId="{B160CFF7-606D-4BF0-BA54-410FD7E62008}" type="pres">
      <dgm:prSet presAssocID="{2CC66904-3A36-4113-BC83-AAF21F62B4CB}" presName="sibSpaceFour" presStyleCnt="0"/>
      <dgm:spPr/>
    </dgm:pt>
    <dgm:pt modelId="{89447249-27BA-47EF-A303-A128C5C21EE7}" type="pres">
      <dgm:prSet presAssocID="{69898723-E7E2-49A4-B3AA-72450C39A375}" presName="vertFour" presStyleCnt="0">
        <dgm:presLayoutVars>
          <dgm:chPref val="3"/>
        </dgm:presLayoutVars>
      </dgm:prSet>
      <dgm:spPr/>
    </dgm:pt>
    <dgm:pt modelId="{C36DFDC0-7DC0-40C7-9BD5-F740EEF3CD0E}" type="pres">
      <dgm:prSet presAssocID="{69898723-E7E2-49A4-B3AA-72450C39A375}" presName="txFour" presStyleLbl="node4" presStyleIdx="28" presStyleCnt="45">
        <dgm:presLayoutVars>
          <dgm:chPref val="3"/>
        </dgm:presLayoutVars>
      </dgm:prSet>
      <dgm:spPr/>
    </dgm:pt>
    <dgm:pt modelId="{586758E6-A582-41C6-8FC0-689A236D3AD0}" type="pres">
      <dgm:prSet presAssocID="{69898723-E7E2-49A4-B3AA-72450C39A375}" presName="horzFour" presStyleCnt="0"/>
      <dgm:spPr/>
    </dgm:pt>
    <dgm:pt modelId="{CCCBBE7F-64DB-4C61-A4D4-0BE8B53C6974}" type="pres">
      <dgm:prSet presAssocID="{5B3DC781-5775-4FBD-8720-C9E020F4EA05}" presName="sibSpaceFour" presStyleCnt="0"/>
      <dgm:spPr/>
    </dgm:pt>
    <dgm:pt modelId="{FF7F6D9B-A4CD-4826-954D-3420F00FE5C3}" type="pres">
      <dgm:prSet presAssocID="{27F07D40-E4E8-4BB7-A505-CCF7B06D0D10}" presName="vertFour" presStyleCnt="0">
        <dgm:presLayoutVars>
          <dgm:chPref val="3"/>
        </dgm:presLayoutVars>
      </dgm:prSet>
      <dgm:spPr/>
    </dgm:pt>
    <dgm:pt modelId="{155B6DD5-A514-47A6-B884-44D923BA7CB0}" type="pres">
      <dgm:prSet presAssocID="{27F07D40-E4E8-4BB7-A505-CCF7B06D0D10}" presName="txFour" presStyleLbl="node4" presStyleIdx="29" presStyleCnt="45">
        <dgm:presLayoutVars>
          <dgm:chPref val="3"/>
        </dgm:presLayoutVars>
      </dgm:prSet>
      <dgm:spPr/>
    </dgm:pt>
    <dgm:pt modelId="{5D3D7DC1-6DA4-47BB-A77E-987EDCEBD1DF}" type="pres">
      <dgm:prSet presAssocID="{27F07D40-E4E8-4BB7-A505-CCF7B06D0D10}" presName="horzFour" presStyleCnt="0"/>
      <dgm:spPr/>
    </dgm:pt>
    <dgm:pt modelId="{A6398D8D-8D25-460F-AC77-43C967F8A824}" type="pres">
      <dgm:prSet presAssocID="{0A4BE1E3-403C-4C22-ABB8-BA713E10E5B4}" presName="sibSpaceTwo" presStyleCnt="0"/>
      <dgm:spPr/>
    </dgm:pt>
    <dgm:pt modelId="{D0B7A61F-CBD0-429C-81D4-CECD37AF0F0D}" type="pres">
      <dgm:prSet presAssocID="{C3E10554-2DA1-4AF2-94A8-CAE385C3A02C}" presName="vertTwo" presStyleCnt="0"/>
      <dgm:spPr/>
    </dgm:pt>
    <dgm:pt modelId="{F832C234-6D3E-4E21-8EDD-BBE97E7D4BF6}" type="pres">
      <dgm:prSet presAssocID="{C3E10554-2DA1-4AF2-94A8-CAE385C3A02C}" presName="txTwo" presStyleLbl="node2" presStyleIdx="6" presStyleCnt="9">
        <dgm:presLayoutVars>
          <dgm:chPref val="3"/>
        </dgm:presLayoutVars>
      </dgm:prSet>
      <dgm:spPr/>
    </dgm:pt>
    <dgm:pt modelId="{4F888135-EA9E-4C58-8B10-00D8EF11DD2E}" type="pres">
      <dgm:prSet presAssocID="{C3E10554-2DA1-4AF2-94A8-CAE385C3A02C}" presName="parTransTwo" presStyleCnt="0"/>
      <dgm:spPr/>
    </dgm:pt>
    <dgm:pt modelId="{BB9487A0-637F-4EB0-B5B2-5FBED0B20C5F}" type="pres">
      <dgm:prSet presAssocID="{C3E10554-2DA1-4AF2-94A8-CAE385C3A02C}" presName="horzTwo" presStyleCnt="0"/>
      <dgm:spPr/>
    </dgm:pt>
    <dgm:pt modelId="{0A107C04-8129-4EC8-BBAA-75C852549522}" type="pres">
      <dgm:prSet presAssocID="{88BBF2C5-B533-4F4E-B701-7E0329E2F912}" presName="vertThree" presStyleCnt="0"/>
      <dgm:spPr/>
    </dgm:pt>
    <dgm:pt modelId="{F192C2F2-06F2-4F16-9A89-8936A3691C19}" type="pres">
      <dgm:prSet presAssocID="{88BBF2C5-B533-4F4E-B701-7E0329E2F912}" presName="txThree" presStyleLbl="node3" presStyleIdx="6" presStyleCnt="9">
        <dgm:presLayoutVars>
          <dgm:chPref val="3"/>
        </dgm:presLayoutVars>
      </dgm:prSet>
      <dgm:spPr/>
    </dgm:pt>
    <dgm:pt modelId="{882F1C5F-900A-4865-BA33-59ADB2CDEB1E}" type="pres">
      <dgm:prSet presAssocID="{88BBF2C5-B533-4F4E-B701-7E0329E2F912}" presName="parTransThree" presStyleCnt="0"/>
      <dgm:spPr/>
    </dgm:pt>
    <dgm:pt modelId="{EE72B701-A8CE-4B52-8112-38DA371F0CC3}" type="pres">
      <dgm:prSet presAssocID="{88BBF2C5-B533-4F4E-B701-7E0329E2F912}" presName="horzThree" presStyleCnt="0"/>
      <dgm:spPr/>
    </dgm:pt>
    <dgm:pt modelId="{5B45EB7E-CA81-4EA0-A895-63C51911C526}" type="pres">
      <dgm:prSet presAssocID="{8DA6A2B0-95FD-49A6-939B-84B4C7BD47E2}" presName="vertFour" presStyleCnt="0">
        <dgm:presLayoutVars>
          <dgm:chPref val="3"/>
        </dgm:presLayoutVars>
      </dgm:prSet>
      <dgm:spPr/>
    </dgm:pt>
    <dgm:pt modelId="{D53A857C-4F66-49C4-B1A6-7E3C61115762}" type="pres">
      <dgm:prSet presAssocID="{8DA6A2B0-95FD-49A6-939B-84B4C7BD47E2}" presName="txFour" presStyleLbl="node4" presStyleIdx="30" presStyleCnt="45">
        <dgm:presLayoutVars>
          <dgm:chPref val="3"/>
        </dgm:presLayoutVars>
      </dgm:prSet>
      <dgm:spPr/>
    </dgm:pt>
    <dgm:pt modelId="{EC139D71-F12B-4393-BB62-7EEE16B5D802}" type="pres">
      <dgm:prSet presAssocID="{8DA6A2B0-95FD-49A6-939B-84B4C7BD47E2}" presName="horzFour" presStyleCnt="0"/>
      <dgm:spPr/>
    </dgm:pt>
    <dgm:pt modelId="{298CE0EA-3437-4F4C-9F65-374524D05DF5}" type="pres">
      <dgm:prSet presAssocID="{EA4AC459-B0F8-4426-85FF-138D068606A1}" presName="sibSpaceFour" presStyleCnt="0"/>
      <dgm:spPr/>
    </dgm:pt>
    <dgm:pt modelId="{09653890-5B27-412C-A057-3792DED17FB7}" type="pres">
      <dgm:prSet presAssocID="{909B2BCD-192B-482D-8F7A-6E165DA5EFBF}" presName="vertFour" presStyleCnt="0">
        <dgm:presLayoutVars>
          <dgm:chPref val="3"/>
        </dgm:presLayoutVars>
      </dgm:prSet>
      <dgm:spPr/>
    </dgm:pt>
    <dgm:pt modelId="{8CCE61C2-4B46-4F39-A65B-17FBA386B1FD}" type="pres">
      <dgm:prSet presAssocID="{909B2BCD-192B-482D-8F7A-6E165DA5EFBF}" presName="txFour" presStyleLbl="node4" presStyleIdx="31" presStyleCnt="45">
        <dgm:presLayoutVars>
          <dgm:chPref val="3"/>
        </dgm:presLayoutVars>
      </dgm:prSet>
      <dgm:spPr/>
    </dgm:pt>
    <dgm:pt modelId="{4D2F34B5-5126-4078-B9F0-86EE17B0C0DF}" type="pres">
      <dgm:prSet presAssocID="{909B2BCD-192B-482D-8F7A-6E165DA5EFBF}" presName="horzFour" presStyleCnt="0"/>
      <dgm:spPr/>
    </dgm:pt>
    <dgm:pt modelId="{36B25F2E-6CDB-4980-874D-77FEA42C064B}" type="pres">
      <dgm:prSet presAssocID="{63AD75D6-0760-4F49-A101-D7D8290BD7F3}" presName="sibSpaceFour" presStyleCnt="0"/>
      <dgm:spPr/>
    </dgm:pt>
    <dgm:pt modelId="{343CBCA2-5168-4A55-AC83-B58412530A09}" type="pres">
      <dgm:prSet presAssocID="{A1085B30-34D9-40C4-89B8-C6DBFBD2A535}" presName="vertFour" presStyleCnt="0">
        <dgm:presLayoutVars>
          <dgm:chPref val="3"/>
        </dgm:presLayoutVars>
      </dgm:prSet>
      <dgm:spPr/>
    </dgm:pt>
    <dgm:pt modelId="{B2E80F71-304D-4A8F-90A6-0EA4FD8DF367}" type="pres">
      <dgm:prSet presAssocID="{A1085B30-34D9-40C4-89B8-C6DBFBD2A535}" presName="txFour" presStyleLbl="node4" presStyleIdx="32" presStyleCnt="45">
        <dgm:presLayoutVars>
          <dgm:chPref val="3"/>
        </dgm:presLayoutVars>
      </dgm:prSet>
      <dgm:spPr/>
    </dgm:pt>
    <dgm:pt modelId="{DA8C0F12-E747-4663-A172-C14E826E36F9}" type="pres">
      <dgm:prSet presAssocID="{A1085B30-34D9-40C4-89B8-C6DBFBD2A535}" presName="horzFour" presStyleCnt="0"/>
      <dgm:spPr/>
    </dgm:pt>
    <dgm:pt modelId="{B876B26E-C81A-432D-9589-97F46E6018DD}" type="pres">
      <dgm:prSet presAssocID="{30630210-8A7D-4570-81CC-A3D73FBB3AE2}" presName="sibSpaceFour" presStyleCnt="0"/>
      <dgm:spPr/>
    </dgm:pt>
    <dgm:pt modelId="{394B7A59-E700-4087-8405-6FC6C6A40E0B}" type="pres">
      <dgm:prSet presAssocID="{5DF420DC-EBAA-4721-98CB-69091B293A07}" presName="vertFour" presStyleCnt="0">
        <dgm:presLayoutVars>
          <dgm:chPref val="3"/>
        </dgm:presLayoutVars>
      </dgm:prSet>
      <dgm:spPr/>
    </dgm:pt>
    <dgm:pt modelId="{12C72820-5147-48AC-8801-9A4902030E58}" type="pres">
      <dgm:prSet presAssocID="{5DF420DC-EBAA-4721-98CB-69091B293A07}" presName="txFour" presStyleLbl="node4" presStyleIdx="33" presStyleCnt="45">
        <dgm:presLayoutVars>
          <dgm:chPref val="3"/>
        </dgm:presLayoutVars>
      </dgm:prSet>
      <dgm:spPr/>
    </dgm:pt>
    <dgm:pt modelId="{E3BFF483-CEDA-40DB-A5B8-D2878DB1889B}" type="pres">
      <dgm:prSet presAssocID="{5DF420DC-EBAA-4721-98CB-69091B293A07}" presName="horzFour" presStyleCnt="0"/>
      <dgm:spPr/>
    </dgm:pt>
    <dgm:pt modelId="{48ED0D62-44FB-44A4-A481-720FE7472592}" type="pres">
      <dgm:prSet presAssocID="{BA1CEF47-9FF4-4B36-9360-3EBDFD0876F5}" presName="sibSpaceFour" presStyleCnt="0"/>
      <dgm:spPr/>
    </dgm:pt>
    <dgm:pt modelId="{18B1E0A5-6C72-4C29-82A0-415E8AF99249}" type="pres">
      <dgm:prSet presAssocID="{0A3C87E9-CFBE-4357-95F2-F876542DAFA2}" presName="vertFour" presStyleCnt="0">
        <dgm:presLayoutVars>
          <dgm:chPref val="3"/>
        </dgm:presLayoutVars>
      </dgm:prSet>
      <dgm:spPr/>
    </dgm:pt>
    <dgm:pt modelId="{65790018-D7CB-4DCE-97E8-18548F652072}" type="pres">
      <dgm:prSet presAssocID="{0A3C87E9-CFBE-4357-95F2-F876542DAFA2}" presName="txFour" presStyleLbl="node4" presStyleIdx="34" presStyleCnt="45">
        <dgm:presLayoutVars>
          <dgm:chPref val="3"/>
        </dgm:presLayoutVars>
      </dgm:prSet>
      <dgm:spPr/>
    </dgm:pt>
    <dgm:pt modelId="{CF215351-942E-458B-BC8B-323DAB591819}" type="pres">
      <dgm:prSet presAssocID="{0A3C87E9-CFBE-4357-95F2-F876542DAFA2}" presName="horzFour" presStyleCnt="0"/>
      <dgm:spPr/>
    </dgm:pt>
    <dgm:pt modelId="{9F1BB954-0DFB-4E3B-8E62-719511851331}" type="pres">
      <dgm:prSet presAssocID="{7D6B5C40-0FF7-4B3C-84B2-0B392EE14C33}" presName="sibSpaceTwo" presStyleCnt="0"/>
      <dgm:spPr/>
    </dgm:pt>
    <dgm:pt modelId="{6696E845-0616-44C6-B258-343CBC0A5CE0}" type="pres">
      <dgm:prSet presAssocID="{550A6E63-CC99-470D-9F36-72F8310C48EE}" presName="vertTwo" presStyleCnt="0"/>
      <dgm:spPr/>
    </dgm:pt>
    <dgm:pt modelId="{84C19DD8-4D05-4519-9809-0DBABCC00D85}" type="pres">
      <dgm:prSet presAssocID="{550A6E63-CC99-470D-9F36-72F8310C48EE}" presName="txTwo" presStyleLbl="node2" presStyleIdx="7" presStyleCnt="9">
        <dgm:presLayoutVars>
          <dgm:chPref val="3"/>
        </dgm:presLayoutVars>
      </dgm:prSet>
      <dgm:spPr/>
    </dgm:pt>
    <dgm:pt modelId="{9BFC261D-97B0-4B79-A5A8-83FA8CD9C97A}" type="pres">
      <dgm:prSet presAssocID="{550A6E63-CC99-470D-9F36-72F8310C48EE}" presName="parTransTwo" presStyleCnt="0"/>
      <dgm:spPr/>
    </dgm:pt>
    <dgm:pt modelId="{9B748981-BF74-4AD7-880E-0CEBF9951DEF}" type="pres">
      <dgm:prSet presAssocID="{550A6E63-CC99-470D-9F36-72F8310C48EE}" presName="horzTwo" presStyleCnt="0"/>
      <dgm:spPr/>
    </dgm:pt>
    <dgm:pt modelId="{36DBC73B-4D71-4623-AD39-C144285D373A}" type="pres">
      <dgm:prSet presAssocID="{4FAE5EE6-F5B9-4F6F-A2D3-A1A5D622697E}" presName="vertThree" presStyleCnt="0"/>
      <dgm:spPr/>
    </dgm:pt>
    <dgm:pt modelId="{9F0D0398-6863-465A-8084-73C32D797539}" type="pres">
      <dgm:prSet presAssocID="{4FAE5EE6-F5B9-4F6F-A2D3-A1A5D622697E}" presName="txThree" presStyleLbl="node3" presStyleIdx="7" presStyleCnt="9">
        <dgm:presLayoutVars>
          <dgm:chPref val="3"/>
        </dgm:presLayoutVars>
      </dgm:prSet>
      <dgm:spPr/>
    </dgm:pt>
    <dgm:pt modelId="{0EA0D42A-6B60-4C7A-89CB-498004D2A287}" type="pres">
      <dgm:prSet presAssocID="{4FAE5EE6-F5B9-4F6F-A2D3-A1A5D622697E}" presName="parTransThree" presStyleCnt="0"/>
      <dgm:spPr/>
    </dgm:pt>
    <dgm:pt modelId="{EFA9B06D-0D05-4ABB-962B-17254342B4DB}" type="pres">
      <dgm:prSet presAssocID="{4FAE5EE6-F5B9-4F6F-A2D3-A1A5D622697E}" presName="horzThree" presStyleCnt="0"/>
      <dgm:spPr/>
    </dgm:pt>
    <dgm:pt modelId="{C671EBB4-5986-477C-83C3-CB39A8644F00}" type="pres">
      <dgm:prSet presAssocID="{63D12A25-EB09-4D00-B50E-F5E3C4D0F044}" presName="vertFour" presStyleCnt="0">
        <dgm:presLayoutVars>
          <dgm:chPref val="3"/>
        </dgm:presLayoutVars>
      </dgm:prSet>
      <dgm:spPr/>
    </dgm:pt>
    <dgm:pt modelId="{DF31CC8B-CB71-4DB9-8C83-CF45E3748CC6}" type="pres">
      <dgm:prSet presAssocID="{63D12A25-EB09-4D00-B50E-F5E3C4D0F044}" presName="txFour" presStyleLbl="node4" presStyleIdx="35" presStyleCnt="45">
        <dgm:presLayoutVars>
          <dgm:chPref val="3"/>
        </dgm:presLayoutVars>
      </dgm:prSet>
      <dgm:spPr/>
    </dgm:pt>
    <dgm:pt modelId="{9B93FC51-72B4-42AA-981F-AFD3B1738E73}" type="pres">
      <dgm:prSet presAssocID="{63D12A25-EB09-4D00-B50E-F5E3C4D0F044}" presName="horzFour" presStyleCnt="0"/>
      <dgm:spPr/>
    </dgm:pt>
    <dgm:pt modelId="{9B04F06E-E32A-4C1C-9014-054549F26D69}" type="pres">
      <dgm:prSet presAssocID="{ED35840E-6B09-499A-BFE9-9DCAF09E3FB5}" presName="sibSpaceFour" presStyleCnt="0"/>
      <dgm:spPr/>
    </dgm:pt>
    <dgm:pt modelId="{29988B3A-391A-4C88-9284-91C7F92FF940}" type="pres">
      <dgm:prSet presAssocID="{67BA703F-0CD9-4F14-AC29-436083BD617F}" presName="vertFour" presStyleCnt="0">
        <dgm:presLayoutVars>
          <dgm:chPref val="3"/>
        </dgm:presLayoutVars>
      </dgm:prSet>
      <dgm:spPr/>
    </dgm:pt>
    <dgm:pt modelId="{EF530F14-D3F8-4856-BE44-639FF3389386}" type="pres">
      <dgm:prSet presAssocID="{67BA703F-0CD9-4F14-AC29-436083BD617F}" presName="txFour" presStyleLbl="node4" presStyleIdx="36" presStyleCnt="45">
        <dgm:presLayoutVars>
          <dgm:chPref val="3"/>
        </dgm:presLayoutVars>
      </dgm:prSet>
      <dgm:spPr/>
    </dgm:pt>
    <dgm:pt modelId="{9455AC0B-2A0F-4669-B62B-B68A5B5C6745}" type="pres">
      <dgm:prSet presAssocID="{67BA703F-0CD9-4F14-AC29-436083BD617F}" presName="horzFour" presStyleCnt="0"/>
      <dgm:spPr/>
    </dgm:pt>
    <dgm:pt modelId="{102D408D-73DE-49A2-AF91-F7FFB797F89B}" type="pres">
      <dgm:prSet presAssocID="{95660EBE-52F2-4ED9-BD4E-0DB449CFDB32}" presName="sibSpaceFour" presStyleCnt="0"/>
      <dgm:spPr/>
    </dgm:pt>
    <dgm:pt modelId="{814782CD-89C6-4746-9B21-2B2DB9E11DF3}" type="pres">
      <dgm:prSet presAssocID="{A2AAFE0F-974C-4D7F-AE69-3399B964C0DF}" presName="vertFour" presStyleCnt="0">
        <dgm:presLayoutVars>
          <dgm:chPref val="3"/>
        </dgm:presLayoutVars>
      </dgm:prSet>
      <dgm:spPr/>
    </dgm:pt>
    <dgm:pt modelId="{7F1AA4DD-C676-4FBB-BE7A-D3787ECB9470}" type="pres">
      <dgm:prSet presAssocID="{A2AAFE0F-974C-4D7F-AE69-3399B964C0DF}" presName="txFour" presStyleLbl="node4" presStyleIdx="37" presStyleCnt="45">
        <dgm:presLayoutVars>
          <dgm:chPref val="3"/>
        </dgm:presLayoutVars>
      </dgm:prSet>
      <dgm:spPr/>
    </dgm:pt>
    <dgm:pt modelId="{819B7FF1-48B4-48AF-8D19-300F705D73BE}" type="pres">
      <dgm:prSet presAssocID="{A2AAFE0F-974C-4D7F-AE69-3399B964C0DF}" presName="horzFour" presStyleCnt="0"/>
      <dgm:spPr/>
    </dgm:pt>
    <dgm:pt modelId="{38E2567D-A32F-4FB8-BCBC-95F7FB0C3C83}" type="pres">
      <dgm:prSet presAssocID="{1E55624B-9FA4-4B58-BCD0-E2C333DA63D3}" presName="sibSpaceFour" presStyleCnt="0"/>
      <dgm:spPr/>
    </dgm:pt>
    <dgm:pt modelId="{8C5BC9F4-0577-47C5-A0E8-042F095C52F4}" type="pres">
      <dgm:prSet presAssocID="{FC147763-D6B2-4A47-AE95-680136D9A9C6}" presName="vertFour" presStyleCnt="0">
        <dgm:presLayoutVars>
          <dgm:chPref val="3"/>
        </dgm:presLayoutVars>
      </dgm:prSet>
      <dgm:spPr/>
    </dgm:pt>
    <dgm:pt modelId="{B8001B13-63BD-4E47-88C2-F56C82466ADA}" type="pres">
      <dgm:prSet presAssocID="{FC147763-D6B2-4A47-AE95-680136D9A9C6}" presName="txFour" presStyleLbl="node4" presStyleIdx="38" presStyleCnt="45">
        <dgm:presLayoutVars>
          <dgm:chPref val="3"/>
        </dgm:presLayoutVars>
      </dgm:prSet>
      <dgm:spPr/>
    </dgm:pt>
    <dgm:pt modelId="{FDF5EF41-1849-4758-9DCA-DCD65061E53B}" type="pres">
      <dgm:prSet presAssocID="{FC147763-D6B2-4A47-AE95-680136D9A9C6}" presName="horzFour" presStyleCnt="0"/>
      <dgm:spPr/>
    </dgm:pt>
    <dgm:pt modelId="{D3919179-7D5E-4528-AA8C-F08F64A3F917}" type="pres">
      <dgm:prSet presAssocID="{BB60BF0F-B1D9-4EE3-8E3D-3324F268F5AB}" presName="sibSpaceFour" presStyleCnt="0"/>
      <dgm:spPr/>
    </dgm:pt>
    <dgm:pt modelId="{4A6E3592-5648-4C80-BE76-B35184D561A0}" type="pres">
      <dgm:prSet presAssocID="{52351FF7-040D-4167-83B3-940BDC73591D}" presName="vertFour" presStyleCnt="0">
        <dgm:presLayoutVars>
          <dgm:chPref val="3"/>
        </dgm:presLayoutVars>
      </dgm:prSet>
      <dgm:spPr/>
    </dgm:pt>
    <dgm:pt modelId="{78A64AF9-52CB-45B7-A6B5-95922D0E0421}" type="pres">
      <dgm:prSet presAssocID="{52351FF7-040D-4167-83B3-940BDC73591D}" presName="txFour" presStyleLbl="node4" presStyleIdx="39" presStyleCnt="45">
        <dgm:presLayoutVars>
          <dgm:chPref val="3"/>
        </dgm:presLayoutVars>
      </dgm:prSet>
      <dgm:spPr/>
    </dgm:pt>
    <dgm:pt modelId="{D1C31575-0EBF-4AAB-81D7-A7856459556C}" type="pres">
      <dgm:prSet presAssocID="{52351FF7-040D-4167-83B3-940BDC73591D}" presName="horzFour" presStyleCnt="0"/>
      <dgm:spPr/>
    </dgm:pt>
    <dgm:pt modelId="{00E43BB1-6F54-451F-8D44-0F2B1BC08A12}" type="pres">
      <dgm:prSet presAssocID="{4CDEDECA-5926-4174-B380-69F09BF4ABB0}" presName="sibSpaceTwo" presStyleCnt="0"/>
      <dgm:spPr/>
    </dgm:pt>
    <dgm:pt modelId="{0CB23F5B-F35E-417A-AE32-D347F3AB9AA3}" type="pres">
      <dgm:prSet presAssocID="{CDFDA4D3-BF23-439C-938E-26B04A724F24}" presName="vertTwo" presStyleCnt="0"/>
      <dgm:spPr/>
    </dgm:pt>
    <dgm:pt modelId="{9C3473BC-48C4-4785-A87E-DEC7F2608F18}" type="pres">
      <dgm:prSet presAssocID="{CDFDA4D3-BF23-439C-938E-26B04A724F24}" presName="txTwo" presStyleLbl="node2" presStyleIdx="8" presStyleCnt="9">
        <dgm:presLayoutVars>
          <dgm:chPref val="3"/>
        </dgm:presLayoutVars>
      </dgm:prSet>
      <dgm:spPr/>
    </dgm:pt>
    <dgm:pt modelId="{950F8DB3-C8C5-47E9-9512-BC7E9ED5D8DA}" type="pres">
      <dgm:prSet presAssocID="{CDFDA4D3-BF23-439C-938E-26B04A724F24}" presName="parTransTwo" presStyleCnt="0"/>
      <dgm:spPr/>
    </dgm:pt>
    <dgm:pt modelId="{F3812964-0059-42C5-8DE4-1EADD42D2EA6}" type="pres">
      <dgm:prSet presAssocID="{CDFDA4D3-BF23-439C-938E-26B04A724F24}" presName="horzTwo" presStyleCnt="0"/>
      <dgm:spPr/>
    </dgm:pt>
    <dgm:pt modelId="{8223540C-1CEB-48A8-9B48-7BBEC192CC60}" type="pres">
      <dgm:prSet presAssocID="{27CFAA59-14FB-4869-8118-1BC455EF38EA}" presName="vertThree" presStyleCnt="0"/>
      <dgm:spPr/>
    </dgm:pt>
    <dgm:pt modelId="{2710DF2F-B352-45F0-833C-9C8FE6D8DA87}" type="pres">
      <dgm:prSet presAssocID="{27CFAA59-14FB-4869-8118-1BC455EF38EA}" presName="txThree" presStyleLbl="node3" presStyleIdx="8" presStyleCnt="9">
        <dgm:presLayoutVars>
          <dgm:chPref val="3"/>
        </dgm:presLayoutVars>
      </dgm:prSet>
      <dgm:spPr/>
    </dgm:pt>
    <dgm:pt modelId="{F365DCB4-2F61-4775-B30C-04147E85AA4B}" type="pres">
      <dgm:prSet presAssocID="{27CFAA59-14FB-4869-8118-1BC455EF38EA}" presName="parTransThree" presStyleCnt="0"/>
      <dgm:spPr/>
    </dgm:pt>
    <dgm:pt modelId="{058854D5-2037-45A3-9E5A-A4DDE8BB8B02}" type="pres">
      <dgm:prSet presAssocID="{27CFAA59-14FB-4869-8118-1BC455EF38EA}" presName="horzThree" presStyleCnt="0"/>
      <dgm:spPr/>
    </dgm:pt>
    <dgm:pt modelId="{B7EAA546-64F2-4697-B29C-C129D3393810}" type="pres">
      <dgm:prSet presAssocID="{C5FB4CC8-E6EC-4C5A-A7C0-2E7793AF8EBA}" presName="vertFour" presStyleCnt="0">
        <dgm:presLayoutVars>
          <dgm:chPref val="3"/>
        </dgm:presLayoutVars>
      </dgm:prSet>
      <dgm:spPr/>
    </dgm:pt>
    <dgm:pt modelId="{0C251DB2-0AA1-48D1-ADC5-05E99BAE6ADC}" type="pres">
      <dgm:prSet presAssocID="{C5FB4CC8-E6EC-4C5A-A7C0-2E7793AF8EBA}" presName="txFour" presStyleLbl="node4" presStyleIdx="40" presStyleCnt="45">
        <dgm:presLayoutVars>
          <dgm:chPref val="3"/>
        </dgm:presLayoutVars>
      </dgm:prSet>
      <dgm:spPr/>
    </dgm:pt>
    <dgm:pt modelId="{595792D3-D691-4738-A9C7-3457268C045D}" type="pres">
      <dgm:prSet presAssocID="{C5FB4CC8-E6EC-4C5A-A7C0-2E7793AF8EBA}" presName="horzFour" presStyleCnt="0"/>
      <dgm:spPr/>
    </dgm:pt>
    <dgm:pt modelId="{8FB7EE2B-5B42-4D22-9FD7-E298D448C8B0}" type="pres">
      <dgm:prSet presAssocID="{C1497043-BDE6-4A5D-A768-E294364A74E2}" presName="sibSpaceFour" presStyleCnt="0"/>
      <dgm:spPr/>
    </dgm:pt>
    <dgm:pt modelId="{1B96A602-7995-45D5-94BF-D3A8A5331E81}" type="pres">
      <dgm:prSet presAssocID="{54A2EB49-F28B-4C4F-A6F0-58B06F64D422}" presName="vertFour" presStyleCnt="0">
        <dgm:presLayoutVars>
          <dgm:chPref val="3"/>
        </dgm:presLayoutVars>
      </dgm:prSet>
      <dgm:spPr/>
    </dgm:pt>
    <dgm:pt modelId="{7BB8F70E-64E1-434B-9C89-108C6841E0D7}" type="pres">
      <dgm:prSet presAssocID="{54A2EB49-F28B-4C4F-A6F0-58B06F64D422}" presName="txFour" presStyleLbl="node4" presStyleIdx="41" presStyleCnt="45">
        <dgm:presLayoutVars>
          <dgm:chPref val="3"/>
        </dgm:presLayoutVars>
      </dgm:prSet>
      <dgm:spPr/>
    </dgm:pt>
    <dgm:pt modelId="{739DAFA3-887B-411E-9CA6-3F83301CD29C}" type="pres">
      <dgm:prSet presAssocID="{54A2EB49-F28B-4C4F-A6F0-58B06F64D422}" presName="horzFour" presStyleCnt="0"/>
      <dgm:spPr/>
    </dgm:pt>
    <dgm:pt modelId="{0E1DEA78-3D76-4FDB-B672-753833E4017E}" type="pres">
      <dgm:prSet presAssocID="{525EDED7-9D7D-4E77-A566-20A0C47445C9}" presName="sibSpaceFour" presStyleCnt="0"/>
      <dgm:spPr/>
    </dgm:pt>
    <dgm:pt modelId="{E979D474-0FF9-4B0D-B865-8A1B75B29E45}" type="pres">
      <dgm:prSet presAssocID="{A2E9AAB2-65F0-4EDD-A2EB-55D732C8A846}" presName="vertFour" presStyleCnt="0">
        <dgm:presLayoutVars>
          <dgm:chPref val="3"/>
        </dgm:presLayoutVars>
      </dgm:prSet>
      <dgm:spPr/>
    </dgm:pt>
    <dgm:pt modelId="{A52AB2D5-A49F-4740-B409-20BE826628D9}" type="pres">
      <dgm:prSet presAssocID="{A2E9AAB2-65F0-4EDD-A2EB-55D732C8A846}" presName="txFour" presStyleLbl="node4" presStyleIdx="42" presStyleCnt="45">
        <dgm:presLayoutVars>
          <dgm:chPref val="3"/>
        </dgm:presLayoutVars>
      </dgm:prSet>
      <dgm:spPr/>
    </dgm:pt>
    <dgm:pt modelId="{70517892-F0C1-4F1E-A17D-1545202AE194}" type="pres">
      <dgm:prSet presAssocID="{A2E9AAB2-65F0-4EDD-A2EB-55D732C8A846}" presName="horzFour" presStyleCnt="0"/>
      <dgm:spPr/>
    </dgm:pt>
    <dgm:pt modelId="{BD6B275B-563E-4F7E-9C2C-6D9555BD2E01}" type="pres">
      <dgm:prSet presAssocID="{7646A4F1-C012-4E70-9099-D630ED965758}" presName="sibSpaceFour" presStyleCnt="0"/>
      <dgm:spPr/>
    </dgm:pt>
    <dgm:pt modelId="{ECB63B61-2E56-435C-BC1E-892931F75EFD}" type="pres">
      <dgm:prSet presAssocID="{A4920E4F-055C-4745-8EDD-1736A9C586FF}" presName="vertFour" presStyleCnt="0">
        <dgm:presLayoutVars>
          <dgm:chPref val="3"/>
        </dgm:presLayoutVars>
      </dgm:prSet>
      <dgm:spPr/>
    </dgm:pt>
    <dgm:pt modelId="{9FFB9B27-EDE8-4F4C-BD5A-E781A3D7F198}" type="pres">
      <dgm:prSet presAssocID="{A4920E4F-055C-4745-8EDD-1736A9C586FF}" presName="txFour" presStyleLbl="node4" presStyleIdx="43" presStyleCnt="45">
        <dgm:presLayoutVars>
          <dgm:chPref val="3"/>
        </dgm:presLayoutVars>
      </dgm:prSet>
      <dgm:spPr/>
    </dgm:pt>
    <dgm:pt modelId="{59D76FC0-E0C2-4651-A2EF-42F6935D71EA}" type="pres">
      <dgm:prSet presAssocID="{A4920E4F-055C-4745-8EDD-1736A9C586FF}" presName="horzFour" presStyleCnt="0"/>
      <dgm:spPr/>
    </dgm:pt>
    <dgm:pt modelId="{84049955-2742-4EBA-8002-789EFB8E7D7E}" type="pres">
      <dgm:prSet presAssocID="{0929C793-69CE-46FB-A4C9-3E70B053BA98}" presName="sibSpaceFour" presStyleCnt="0"/>
      <dgm:spPr/>
    </dgm:pt>
    <dgm:pt modelId="{CBF7D254-C756-4385-B85D-6F1F1631E740}" type="pres">
      <dgm:prSet presAssocID="{5AD0374A-C445-4E70-B398-CEFDC558ADAE}" presName="vertFour" presStyleCnt="0">
        <dgm:presLayoutVars>
          <dgm:chPref val="3"/>
        </dgm:presLayoutVars>
      </dgm:prSet>
      <dgm:spPr/>
    </dgm:pt>
    <dgm:pt modelId="{5D68FDB8-05BE-4462-BA06-CFF3CA8A75D7}" type="pres">
      <dgm:prSet presAssocID="{5AD0374A-C445-4E70-B398-CEFDC558ADAE}" presName="txFour" presStyleLbl="node4" presStyleIdx="44" presStyleCnt="45">
        <dgm:presLayoutVars>
          <dgm:chPref val="3"/>
        </dgm:presLayoutVars>
      </dgm:prSet>
      <dgm:spPr/>
    </dgm:pt>
    <dgm:pt modelId="{6F7AF8E4-52F7-469F-9809-017839078C6E}" type="pres">
      <dgm:prSet presAssocID="{5AD0374A-C445-4E70-B398-CEFDC558ADAE}" presName="horzFour" presStyleCnt="0"/>
      <dgm:spPr/>
    </dgm:pt>
  </dgm:ptLst>
  <dgm:cxnLst>
    <dgm:cxn modelId="{1A1E1103-376E-4645-92CD-C3839074C16D}" type="presOf" srcId="{CD706315-C30E-445D-B2EE-57EA9CA9A99C}" destId="{83701003-83A5-4100-82A6-E1725A3481FB}" srcOrd="0" destOrd="0" presId="urn:microsoft.com/office/officeart/2005/8/layout/hierarchy4"/>
    <dgm:cxn modelId="{914F0506-B569-4B3F-A83E-73E957BDA6CC}" type="presOf" srcId="{C23E818F-A3E2-4426-8CE4-271734965D71}" destId="{C0845D07-48DD-4E16-BC24-AD25B5713F72}" srcOrd="0" destOrd="0" presId="urn:microsoft.com/office/officeart/2005/8/layout/hierarchy4"/>
    <dgm:cxn modelId="{BAA0DA0A-796F-46C5-A375-F6346FF9D4C4}" type="presOf" srcId="{FC147763-D6B2-4A47-AE95-680136D9A9C6}" destId="{B8001B13-63BD-4E47-88C2-F56C82466ADA}" srcOrd="0" destOrd="0" presId="urn:microsoft.com/office/officeart/2005/8/layout/hierarchy4"/>
    <dgm:cxn modelId="{F50F3B0D-2859-40B7-AE71-5B720A4DC20C}" srcId="{27CFAA59-14FB-4869-8118-1BC455EF38EA}" destId="{C5FB4CC8-E6EC-4C5A-A7C0-2E7793AF8EBA}" srcOrd="0" destOrd="0" parTransId="{A35A71C3-D636-4772-9BA2-BF12A4D32889}" sibTransId="{C1497043-BDE6-4A5D-A768-E294364A74E2}"/>
    <dgm:cxn modelId="{9E237C0D-B3BF-43D7-AF05-FA1AA0A49061}" type="presOf" srcId="{A083431D-50FD-4442-B0CE-4B27FB35DFAA}" destId="{9650B868-5EA9-4C33-85B6-773B4083E473}" srcOrd="0" destOrd="0" presId="urn:microsoft.com/office/officeart/2005/8/layout/hierarchy4"/>
    <dgm:cxn modelId="{9C89EF0F-4713-4663-8D0F-1EA6AA3D0CA8}" srcId="{F2DA8E48-2D58-4BBD-86AD-449BF813AE40}" destId="{C0D1D7B0-884C-4B95-9236-794FCE76F92D}" srcOrd="2" destOrd="0" parTransId="{D363B763-1F4C-4CC2-9A74-245F8D21EBBE}" sibTransId="{CC0D8337-6859-46F3-A451-F81D39AE84B6}"/>
    <dgm:cxn modelId="{DC979710-F9F0-4E47-8D9D-AACFA0701EB9}" srcId="{88BBF2C5-B533-4F4E-B701-7E0329E2F912}" destId="{5DF420DC-EBAA-4721-98CB-69091B293A07}" srcOrd="3" destOrd="0" parTransId="{3FC73334-02D2-4DD7-BE55-111249F442F7}" sibTransId="{BA1CEF47-9FF4-4B36-9360-3EBDFD0876F5}"/>
    <dgm:cxn modelId="{E4491112-6889-4ED7-BF06-2EE778A5735C}" srcId="{016C3E81-F292-41B7-8AE7-566087DF21DF}" destId="{9B4AAA3B-A718-437E-A5FB-8555CD0EEC1E}" srcOrd="4" destOrd="0" parTransId="{0DFC8A6C-B7E0-49AC-B388-1FECEA72A3CE}" sibTransId="{EB4F8BE3-ED54-4DBD-ADB2-D4C624214220}"/>
    <dgm:cxn modelId="{6203E412-51F8-40D0-A08E-E02CDE074CF0}" srcId="{E29A3462-4F33-4AB9-A748-0616F6E67A65}" destId="{41C9D7EE-0A89-4777-9CA2-AA4624A07232}" srcOrd="1" destOrd="0" parTransId="{493B2C1A-7DAC-4885-9A40-29EA9EA2C895}" sibTransId="{99E201AC-405A-452C-83AF-081B96C629D7}"/>
    <dgm:cxn modelId="{9D6E0E14-222D-4F3C-8BB8-288A40E93022}" type="presOf" srcId="{88BBF2C5-B533-4F4E-B701-7E0329E2F912}" destId="{F192C2F2-06F2-4F16-9A89-8936A3691C19}" srcOrd="0" destOrd="0" presId="urn:microsoft.com/office/officeart/2005/8/layout/hierarchy4"/>
    <dgm:cxn modelId="{66D75016-DD0F-4281-9AFF-B7D2BA4F3770}" type="presOf" srcId="{7C24B597-A54B-4703-94AF-6C1A0F26A2D8}" destId="{F31770FE-14A1-4B05-90F6-A095AC909AB1}" srcOrd="0" destOrd="0" presId="urn:microsoft.com/office/officeart/2005/8/layout/hierarchy4"/>
    <dgm:cxn modelId="{66904719-3F98-4404-A641-705AF45310A5}" type="presOf" srcId="{DC3812F8-563D-43EA-A78E-CF3346E71C62}" destId="{FA635E87-A9A9-4E0B-8807-D762DD9863C4}" srcOrd="0" destOrd="0" presId="urn:microsoft.com/office/officeart/2005/8/layout/hierarchy4"/>
    <dgm:cxn modelId="{693EE91A-ED1B-47D0-A20A-F2E77FC0352C}" srcId="{AE154C40-EF18-4659-A0BF-D2A2A306B2FD}" destId="{27F07D40-E4E8-4BB7-A505-CCF7B06D0D10}" srcOrd="4" destOrd="0" parTransId="{517CDC6A-6CB9-45FB-8B5E-176F0C856E7E}" sibTransId="{59EFE1FD-667A-43E3-A3CD-CF7C96830645}"/>
    <dgm:cxn modelId="{458DE31B-8EEF-4E11-8704-7643570B1E89}" srcId="{7C24B597-A54B-4703-94AF-6C1A0F26A2D8}" destId="{016C3E81-F292-41B7-8AE7-566087DF21DF}" srcOrd="0" destOrd="0" parTransId="{32929E9C-01ED-4666-805F-7E3CCD83EF5A}" sibTransId="{F0015B14-B414-4FFF-B3BF-3BECD878BD99}"/>
    <dgm:cxn modelId="{E86D081D-9E5E-4D0C-B321-A85E29D40BDF}" srcId="{016C3E81-F292-41B7-8AE7-566087DF21DF}" destId="{EA485993-626F-4CF1-A4AC-E6CFAED1AA68}" srcOrd="0" destOrd="0" parTransId="{6994A181-52F5-4FDE-89B7-3F8FD963AC75}" sibTransId="{CB0A005B-306D-4740-B06F-56332E8FC2A5}"/>
    <dgm:cxn modelId="{DB8B7D1D-8264-45B6-9C59-B933BF6B29D6}" srcId="{E29A3462-4F33-4AB9-A748-0616F6E67A65}" destId="{52298998-3DB5-4F56-A2B4-5852AC05C26D}" srcOrd="3" destOrd="0" parTransId="{02368F0D-E2E7-429B-A30F-0CAC806DABCB}" sibTransId="{A3D707AA-B86E-44DC-8123-3A837AEB061F}"/>
    <dgm:cxn modelId="{BD56F21E-94B7-4A8A-84D8-8E869E4F2D9F}" type="presOf" srcId="{016C3E81-F292-41B7-8AE7-566087DF21DF}" destId="{781C4169-DF5D-4697-A623-B9A06EED3790}" srcOrd="0" destOrd="0" presId="urn:microsoft.com/office/officeart/2005/8/layout/hierarchy4"/>
    <dgm:cxn modelId="{01DE5722-9DE9-4495-87AF-E0F17B87D76B}" type="presOf" srcId="{0961655E-987E-4A0B-B819-704DD4A6640F}" destId="{8E1FB5CC-F84F-4E71-A9A8-A393715EA84B}" srcOrd="0" destOrd="0" presId="urn:microsoft.com/office/officeart/2005/8/layout/hierarchy4"/>
    <dgm:cxn modelId="{F6746B25-E025-4902-B9EC-2018857E021C}" type="presOf" srcId="{67BA703F-0CD9-4F14-AC29-436083BD617F}" destId="{EF530F14-D3F8-4856-BE44-639FF3389386}" srcOrd="0" destOrd="0" presId="urn:microsoft.com/office/officeart/2005/8/layout/hierarchy4"/>
    <dgm:cxn modelId="{EEB10A27-11F1-4745-B6BB-3AB7DA5DDEEA}" type="presOf" srcId="{4ED448E1-5FF4-4AE0-AEBD-2EE061124AED}" destId="{13A3A146-8AEB-412F-AB10-7AD5DB1D3192}" srcOrd="0" destOrd="0" presId="urn:microsoft.com/office/officeart/2005/8/layout/hierarchy4"/>
    <dgm:cxn modelId="{058D392B-C869-4F3A-80CA-142F63A452B1}" srcId="{27CFAA59-14FB-4869-8118-1BC455EF38EA}" destId="{54A2EB49-F28B-4C4F-A6F0-58B06F64D422}" srcOrd="1" destOrd="0" parTransId="{CC81F826-1781-4FA5-BD60-4E9172B57452}" sibTransId="{525EDED7-9D7D-4E77-A566-20A0C47445C9}"/>
    <dgm:cxn modelId="{6C0D102C-EE33-46E1-A198-BD8BF3507F74}" type="presOf" srcId="{3E35BAB9-5048-494F-8FDF-604CDEF843D4}" destId="{20AFCBCE-985D-4FB4-B89C-2BC87A879509}" srcOrd="0" destOrd="0" presId="urn:microsoft.com/office/officeart/2005/8/layout/hierarchy4"/>
    <dgm:cxn modelId="{D0FD022D-E7C9-4EBC-96F1-91B3C91E83AA}" type="presOf" srcId="{7EC431B3-5EF1-472F-8C92-3CA4D2441C51}" destId="{F358A509-3F7F-451A-ACB3-BE5C338770C6}" srcOrd="0" destOrd="0" presId="urn:microsoft.com/office/officeart/2005/8/layout/hierarchy4"/>
    <dgm:cxn modelId="{1F54E92D-6858-42A1-9A03-0AF08D9E4126}" srcId="{550A6E63-CC99-470D-9F36-72F8310C48EE}" destId="{4FAE5EE6-F5B9-4F6F-A2D3-A1A5D622697E}" srcOrd="0" destOrd="0" parTransId="{061832D4-3F9D-4082-AEF7-15355CF5F336}" sibTransId="{86EE0F99-0EDA-4C53-BC06-0A6F7EC93378}"/>
    <dgm:cxn modelId="{4574642E-4F57-4C3B-90A5-E273D48AA663}" type="presOf" srcId="{F46B11CF-9D14-46B0-900E-BB663821389F}" destId="{4FF3F459-EF5A-41FC-B29A-B8EF53928CC3}" srcOrd="0" destOrd="0" presId="urn:microsoft.com/office/officeart/2005/8/layout/hierarchy4"/>
    <dgm:cxn modelId="{551D3830-2AC5-437B-886C-F8AD13E085EB}" type="presOf" srcId="{F2DA8E48-2D58-4BBD-86AD-449BF813AE40}" destId="{93F307B7-8144-4644-A59B-870D7D58A6CA}" srcOrd="0" destOrd="0" presId="urn:microsoft.com/office/officeart/2005/8/layout/hierarchy4"/>
    <dgm:cxn modelId="{B0BBAC30-300F-45C9-A32A-2E7A32D94B90}" type="presOf" srcId="{909B2BCD-192B-482D-8F7A-6E165DA5EFBF}" destId="{8CCE61C2-4B46-4F39-A65B-17FBA386B1FD}" srcOrd="0" destOrd="0" presId="urn:microsoft.com/office/officeart/2005/8/layout/hierarchy4"/>
    <dgm:cxn modelId="{B4853D37-ADB3-4514-9B7F-0BF598B0F552}" srcId="{C3E10554-2DA1-4AF2-94A8-CAE385C3A02C}" destId="{88BBF2C5-B533-4F4E-B701-7E0329E2F912}" srcOrd="0" destOrd="0" parTransId="{17B15512-16B5-4317-A230-F57C4F8BCAB2}" sibTransId="{674801D7-66D4-4280-8EE1-38A7832B24EA}"/>
    <dgm:cxn modelId="{486F7E39-E75D-4016-A0D9-5A2AFCF5A655}" type="presOf" srcId="{BF94530D-B25B-48F3-A59F-BE220F0AA271}" destId="{DDB5A897-7489-42D2-B0F5-A393B0D63B86}" srcOrd="0" destOrd="0" presId="urn:microsoft.com/office/officeart/2005/8/layout/hierarchy4"/>
    <dgm:cxn modelId="{E7ACCE3A-F917-4E57-95DE-23C4EDAEA7B2}" type="presOf" srcId="{C5FB4CC8-E6EC-4C5A-A7C0-2E7793AF8EBA}" destId="{0C251DB2-0AA1-48D1-ADC5-05E99BAE6ADC}" srcOrd="0" destOrd="0" presId="urn:microsoft.com/office/officeart/2005/8/layout/hierarchy4"/>
    <dgm:cxn modelId="{5037143D-2EF1-499D-886A-48F3C6747D0D}" srcId="{4FAE5EE6-F5B9-4F6F-A2D3-A1A5D622697E}" destId="{A2AAFE0F-974C-4D7F-AE69-3399B964C0DF}" srcOrd="2" destOrd="0" parTransId="{353F4D23-2EA8-4FEF-BEE4-FA712B1E29D1}" sibTransId="{1E55624B-9FA4-4B58-BCD0-E2C333DA63D3}"/>
    <dgm:cxn modelId="{8D552340-AAAA-4803-904E-F65F45B80B52}" type="presOf" srcId="{550A6E63-CC99-470D-9F36-72F8310C48EE}" destId="{84C19DD8-4D05-4519-9809-0DBABCC00D85}" srcOrd="0" destOrd="0" presId="urn:microsoft.com/office/officeart/2005/8/layout/hierarchy4"/>
    <dgm:cxn modelId="{CF3EE840-366B-4013-B442-A75EF3504C5A}" srcId="{4FAE5EE6-F5B9-4F6F-A2D3-A1A5D622697E}" destId="{67BA703F-0CD9-4F14-AC29-436083BD617F}" srcOrd="1" destOrd="0" parTransId="{2B38EC46-CD2C-48E4-82E5-7E2D2568D692}" sibTransId="{95660EBE-52F2-4ED9-BD4E-0DB449CFDB32}"/>
    <dgm:cxn modelId="{DDCBEA40-9375-4D3D-9198-A9387318337B}" type="presOf" srcId="{41C9D7EE-0A89-4777-9CA2-AA4624A07232}" destId="{585F529F-70DB-4B35-BA8A-5FFC92CA6443}" srcOrd="0" destOrd="0" presId="urn:microsoft.com/office/officeart/2005/8/layout/hierarchy4"/>
    <dgm:cxn modelId="{9B2A605D-1F98-41DA-8551-4DD1A10F3BF9}" srcId="{12994FBE-F501-4AAD-B267-FD86D6046B8E}" destId="{47D24819-5847-4630-A399-DB14760814E2}" srcOrd="1" destOrd="0" parTransId="{9CF6B297-D190-45F4-B548-8A09186F806C}" sibTransId="{79956F11-3CB5-4C2C-AEC3-1FAD2D90C2F5}"/>
    <dgm:cxn modelId="{0B859F60-21EB-431C-A7EF-6C68C315B2FF}" type="presOf" srcId="{EFCF7C40-E11D-4581-AFD2-99CA521189AF}" destId="{3248AA5B-B92F-4FDA-BBE6-C00443184EFF}" srcOrd="0" destOrd="0" presId="urn:microsoft.com/office/officeart/2005/8/layout/hierarchy4"/>
    <dgm:cxn modelId="{DD04DC41-DBD5-499D-B0DD-73651770ED1B}" type="presOf" srcId="{52351FF7-040D-4167-83B3-940BDC73591D}" destId="{78A64AF9-52CB-45B7-A6B5-95922D0E0421}" srcOrd="0" destOrd="0" presId="urn:microsoft.com/office/officeart/2005/8/layout/hierarchy4"/>
    <dgm:cxn modelId="{9D356562-2095-46E2-BE4E-A4464785CFF8}" type="presOf" srcId="{AE154C40-EF18-4659-A0BF-D2A2A306B2FD}" destId="{02024957-B84F-4987-948D-73034DE4F968}" srcOrd="0" destOrd="0" presId="urn:microsoft.com/office/officeart/2005/8/layout/hierarchy4"/>
    <dgm:cxn modelId="{E44C9142-74B6-4E03-A0A1-84F776384852}" srcId="{52298998-3DB5-4F56-A2B4-5852AC05C26D}" destId="{12994FBE-F501-4AAD-B267-FD86D6046B8E}" srcOrd="0" destOrd="0" parTransId="{641EC9A1-9D52-48FA-8852-2DCC49C41EF4}" sibTransId="{2AC3D800-5CEF-4FC5-BAEF-D41F1C0DC4F4}"/>
    <dgm:cxn modelId="{F839BA64-27AA-4418-89BE-C6AE1C7712BB}" srcId="{EFCF7C40-E11D-4581-AFD2-99CA521189AF}" destId="{A52FD434-E379-4728-8613-D86A25402881}" srcOrd="4" destOrd="0" parTransId="{B79ED632-4344-4D65-A520-72BE9C4CC400}" sibTransId="{947A44F7-0E81-4C01-84D0-A6608ED51CA1}"/>
    <dgm:cxn modelId="{FDCEBB64-44A9-4887-981B-06291FF21F98}" type="presOf" srcId="{5AD0374A-C445-4E70-B398-CEFDC558ADAE}" destId="{5D68FDB8-05BE-4462-BA06-CFF3CA8A75D7}" srcOrd="0" destOrd="0" presId="urn:microsoft.com/office/officeart/2005/8/layout/hierarchy4"/>
    <dgm:cxn modelId="{E4962B67-D977-4EBF-A2A1-B5099E0539AE}" type="presOf" srcId="{27F07D40-E4E8-4BB7-A505-CCF7B06D0D10}" destId="{155B6DD5-A514-47A6-B884-44D923BA7CB0}" srcOrd="0" destOrd="0" presId="urn:microsoft.com/office/officeart/2005/8/layout/hierarchy4"/>
    <dgm:cxn modelId="{02150848-B057-4BBB-877C-B52249278A45}" srcId="{27CFAA59-14FB-4869-8118-1BC455EF38EA}" destId="{5AD0374A-C445-4E70-B398-CEFDC558ADAE}" srcOrd="4" destOrd="0" parTransId="{2932A683-616E-46AE-8D18-BB76D14D6FFC}" sibTransId="{2B877470-8A74-4B06-908E-631B2C5BE06C}"/>
    <dgm:cxn modelId="{4FB08D6A-6CAF-4FBA-A040-686E5170B78D}" type="presOf" srcId="{8DA6A2B0-95FD-49A6-939B-84B4C7BD47E2}" destId="{D53A857C-4F66-49C4-B1A6-7E3C61115762}" srcOrd="0" destOrd="0" presId="urn:microsoft.com/office/officeart/2005/8/layout/hierarchy4"/>
    <dgm:cxn modelId="{CC9AAD6A-93A9-42E0-A1BF-7713646DF9EF}" type="presOf" srcId="{132FE15F-0F20-4440-B00D-5E32CF22E741}" destId="{7A8996B5-07B1-42FA-8DA8-01584C900588}" srcOrd="0" destOrd="0" presId="urn:microsoft.com/office/officeart/2005/8/layout/hierarchy4"/>
    <dgm:cxn modelId="{0F488F4C-1429-4E13-AFF5-E3040D470AD9}" srcId="{F2DA8E48-2D58-4BBD-86AD-449BF813AE40}" destId="{7EC431B3-5EF1-472F-8C92-3CA4D2441C51}" srcOrd="4" destOrd="0" parTransId="{E4C67530-67C9-4B5F-925A-2820648FEC37}" sibTransId="{F9B3B239-45A2-40E3-8559-AD7AC2A4E9E9}"/>
    <dgm:cxn modelId="{E79D614D-C5EA-49E5-8EC3-81EA067C8A8F}" type="presOf" srcId="{A2AAFE0F-974C-4D7F-AE69-3399B964C0DF}" destId="{7F1AA4DD-C676-4FBB-BE7A-D3787ECB9470}" srcOrd="0" destOrd="0" presId="urn:microsoft.com/office/officeart/2005/8/layout/hierarchy4"/>
    <dgm:cxn modelId="{19E9754D-FBDB-4938-8BCA-6D1D1F5972A9}" srcId="{E29A3462-4F33-4AB9-A748-0616F6E67A65}" destId="{A546E00C-45DF-4F02-B835-25F1D1BFE0B7}" srcOrd="5" destOrd="0" parTransId="{3C50AE57-8D80-410C-AE1B-20E8B196896B}" sibTransId="{0A4BE1E3-403C-4C22-ABB8-BA713E10E5B4}"/>
    <dgm:cxn modelId="{FD498B6D-23F9-43E4-B388-75B28B5DAAF0}" srcId="{F2DA8E48-2D58-4BBD-86AD-449BF813AE40}" destId="{A083431D-50FD-4442-B0CE-4B27FB35DFAA}" srcOrd="0" destOrd="0" parTransId="{D1620F58-CA1E-4C51-9178-D280A9EC6AF8}" sibTransId="{188BA9B3-5D6E-4615-86DB-1D6EB75064CC}"/>
    <dgm:cxn modelId="{3EBF924E-7B08-4171-AC3C-F7A59165D28F}" srcId="{1B7589A1-13C4-4ABA-BFAD-27E2D3EBE7A0}" destId="{383ED7F8-9072-4AED-AFAF-FFEA72A6BD67}" srcOrd="1" destOrd="0" parTransId="{D348CB07-5278-4B6A-9923-E8B9AC9EF1C2}" sibTransId="{80A3880D-15D3-4FE9-A016-F50250083C89}"/>
    <dgm:cxn modelId="{648F1150-6DAE-4B87-9770-C44AAFC59EC8}" type="presOf" srcId="{662DA4AB-A07B-4173-9E11-E271D69336C8}" destId="{6E3E1EAF-06DF-4186-A1F8-280D69209EC8}" srcOrd="0" destOrd="0" presId="urn:microsoft.com/office/officeart/2005/8/layout/hierarchy4"/>
    <dgm:cxn modelId="{EAD07551-D648-4174-BCA8-8FEAEDC14BE9}" srcId="{016C3E81-F292-41B7-8AE7-566087DF21DF}" destId="{E02867ED-568A-4A83-8455-F3DEA1D50330}" srcOrd="1" destOrd="0" parTransId="{B95F1261-DE19-4A36-AF43-39F680FC5D5F}" sibTransId="{7FEC5297-932B-4BD9-845E-205D867B9A55}"/>
    <dgm:cxn modelId="{FD377452-B5DC-4206-804C-982FC5D162B8}" type="presOf" srcId="{98AF0318-30EC-47FA-836B-24B61B86D2AF}" destId="{D124216D-6630-484D-A018-791DCE27CF63}" srcOrd="0" destOrd="0" presId="urn:microsoft.com/office/officeart/2005/8/layout/hierarchy4"/>
    <dgm:cxn modelId="{0B238352-E79A-4832-946B-4EC389E3DF63}" type="presOf" srcId="{E02867ED-568A-4A83-8455-F3DEA1D50330}" destId="{FCE1D37B-FE7A-47DA-99E5-EB50DCC9CB2A}" srcOrd="0" destOrd="0" presId="urn:microsoft.com/office/officeart/2005/8/layout/hierarchy4"/>
    <dgm:cxn modelId="{95FADD72-FD53-44B4-9BCA-44ACA980E5FE}" type="presOf" srcId="{95DC7EEC-A034-4626-954E-668A4930671E}" destId="{ACAC085C-D0A4-4F89-A919-8AC88553F08A}" srcOrd="0" destOrd="0" presId="urn:microsoft.com/office/officeart/2005/8/layout/hierarchy4"/>
    <dgm:cxn modelId="{9CC58853-FB51-4104-B495-323D301D6D61}" srcId="{88BBF2C5-B533-4F4E-B701-7E0329E2F912}" destId="{0A3C87E9-CFBE-4357-95F2-F876542DAFA2}" srcOrd="4" destOrd="0" parTransId="{9D0E08B9-AB9A-4E10-8478-A7C6EA01CBD3}" sibTransId="{A24303DB-4506-48A1-9274-720257394909}"/>
    <dgm:cxn modelId="{EE1D6555-1584-48C2-B297-C907E6C12BD5}" type="presOf" srcId="{52298998-3DB5-4F56-A2B4-5852AC05C26D}" destId="{E461BD08-2FB3-4D86-97BE-765BAA842BF1}" srcOrd="0" destOrd="0" presId="urn:microsoft.com/office/officeart/2005/8/layout/hierarchy4"/>
    <dgm:cxn modelId="{728E8E75-90D4-489E-B527-5001BFA3745A}" type="presOf" srcId="{BD91800C-A685-4B72-A123-709315DE081B}" destId="{B7B9B41E-E143-413D-AC59-904856A78240}" srcOrd="0" destOrd="0" presId="urn:microsoft.com/office/officeart/2005/8/layout/hierarchy4"/>
    <dgm:cxn modelId="{F672E955-5109-439E-9123-44B7ADADE8FC}" type="presOf" srcId="{1F88322A-1C7F-4819-8DEE-E0250F055981}" destId="{424D2898-FF30-41BA-9A36-333D9EFC088F}" srcOrd="0" destOrd="0" presId="urn:microsoft.com/office/officeart/2005/8/layout/hierarchy4"/>
    <dgm:cxn modelId="{ABDF6676-7456-4895-8D5A-B4DB72262C13}" srcId="{A546E00C-45DF-4F02-B835-25F1D1BFE0B7}" destId="{AE154C40-EF18-4659-A0BF-D2A2A306B2FD}" srcOrd="0" destOrd="0" parTransId="{7F6CEB9F-AA6A-4090-9FE1-D9046B79DFF8}" sibTransId="{AC6E2B56-0907-4B47-A917-C919B6B6052C}"/>
    <dgm:cxn modelId="{C7DD8357-6540-434F-B101-ED87F65E91E3}" srcId="{E29A3462-4F33-4AB9-A748-0616F6E67A65}" destId="{95DC7EEC-A034-4626-954E-668A4930671E}" srcOrd="0" destOrd="0" parTransId="{1E47C542-1346-40E6-84D7-F12A5CCE1B42}" sibTransId="{EFF26B2E-B154-4874-AF7B-DBFE486B118D}"/>
    <dgm:cxn modelId="{98445B58-3C11-4093-9029-9133BA1AA952}" type="presOf" srcId="{A94A2461-A7A9-4ABE-BA25-E8D970151E4E}" destId="{65A00C59-FD86-4B84-B9D5-AE1FB1994B39}" srcOrd="0" destOrd="0" presId="urn:microsoft.com/office/officeart/2005/8/layout/hierarchy4"/>
    <dgm:cxn modelId="{22DA5278-E3C0-46E7-85BE-307EF70242E1}" type="presOf" srcId="{A546E00C-45DF-4F02-B835-25F1D1BFE0B7}" destId="{B5DFDB8F-B340-4DE7-B135-CDE8C4BD080A}" srcOrd="0" destOrd="0" presId="urn:microsoft.com/office/officeart/2005/8/layout/hierarchy4"/>
    <dgm:cxn modelId="{939AAF78-07F0-4405-AA74-4E58A5B6F7F7}" srcId="{12994FBE-F501-4AAD-B267-FD86D6046B8E}" destId="{0961655E-987E-4A0B-B819-704DD4A6640F}" srcOrd="0" destOrd="0" parTransId="{AA0970ED-2DE3-4E3A-BD30-5035546E5A0A}" sibTransId="{4A64D623-B681-484C-B44B-37F62235C547}"/>
    <dgm:cxn modelId="{9F36537B-1029-4898-AA61-8D8E27700605}" type="presOf" srcId="{A4920E4F-055C-4745-8EDD-1736A9C586FF}" destId="{9FFB9B27-EDE8-4F4C-BD5A-E781A3D7F198}" srcOrd="0" destOrd="0" presId="urn:microsoft.com/office/officeart/2005/8/layout/hierarchy4"/>
    <dgm:cxn modelId="{78B1037C-46F5-4DAA-BE73-2A0E5ACF7F51}" srcId="{EFCF7C40-E11D-4581-AFD2-99CA521189AF}" destId="{CD706315-C30E-445D-B2EE-57EA9CA9A99C}" srcOrd="3" destOrd="0" parTransId="{9F2C1CE0-F57B-4B89-B46C-8EDE30122FB9}" sibTransId="{FE2A3FC2-B127-4E44-B586-6DB79820D110}"/>
    <dgm:cxn modelId="{F0E6957D-B8D2-495E-AC4B-C685EEB34C20}" srcId="{4FAE5EE6-F5B9-4F6F-A2D3-A1A5D622697E}" destId="{FC147763-D6B2-4A47-AE95-680136D9A9C6}" srcOrd="3" destOrd="0" parTransId="{922D9325-9E0B-4295-BC21-A377F2F34A4F}" sibTransId="{BB60BF0F-B1D9-4EE3-8E3D-3324F268F5AB}"/>
    <dgm:cxn modelId="{8C76CF7D-684D-4391-A1AF-078B5A1B7551}" srcId="{12994FBE-F501-4AAD-B267-FD86D6046B8E}" destId="{A94A2461-A7A9-4ABE-BA25-E8D970151E4E}" srcOrd="3" destOrd="0" parTransId="{048B0ED6-4192-41A8-9DE5-E06190C24203}" sibTransId="{87822044-33CA-4282-9E34-8DBC8AFBAA68}"/>
    <dgm:cxn modelId="{B1AD4981-A2E1-4B23-B361-59F6F990454E}" srcId="{E29A3462-4F33-4AB9-A748-0616F6E67A65}" destId="{C3E10554-2DA1-4AF2-94A8-CAE385C3A02C}" srcOrd="6" destOrd="0" parTransId="{741D50CF-5277-453A-8B7A-95541BF18767}" sibTransId="{7D6B5C40-0FF7-4B3C-84B2-0B392EE14C33}"/>
    <dgm:cxn modelId="{903B9E81-0C4A-4DF5-8B9C-7C052F5A67B0}" srcId="{CDFDA4D3-BF23-439C-938E-26B04A724F24}" destId="{27CFAA59-14FB-4869-8118-1BC455EF38EA}" srcOrd="0" destOrd="0" parTransId="{98741AEB-971D-466E-88AA-0069C4726F12}" sibTransId="{62903DCF-DB59-40D1-821F-8E0A107914B5}"/>
    <dgm:cxn modelId="{C54CB982-4B54-4AE9-A2D9-A9FC7B41AA11}" srcId="{27CFAA59-14FB-4869-8118-1BC455EF38EA}" destId="{A2E9AAB2-65F0-4EDD-A2EB-55D732C8A846}" srcOrd="2" destOrd="0" parTransId="{8567D8C2-1524-482A-A524-93E8ACCA0704}" sibTransId="{7646A4F1-C012-4E70-9099-D630ED965758}"/>
    <dgm:cxn modelId="{77A2CC85-43F7-4075-AC86-8A50F6BD8789}" srcId="{AE154C40-EF18-4659-A0BF-D2A2A306B2FD}" destId="{69898723-E7E2-49A4-B3AA-72450C39A375}" srcOrd="3" destOrd="0" parTransId="{E01C1CFD-5A58-4C43-A3E2-A3B807D2889A}" sibTransId="{5B3DC781-5775-4FBD-8720-C9E020F4EA05}"/>
    <dgm:cxn modelId="{836A7D86-7F30-4C73-BC27-6FD577C8FCF2}" type="presOf" srcId="{A1085B30-34D9-40C4-89B8-C6DBFBD2A535}" destId="{B2E80F71-304D-4A8F-90A6-0EA4FD8DF367}" srcOrd="0" destOrd="0" presId="urn:microsoft.com/office/officeart/2005/8/layout/hierarchy4"/>
    <dgm:cxn modelId="{AB3DD286-DC15-4C10-9FDF-36C4282DA998}" srcId="{157A0C5D-EDD7-4351-8ED5-B0499F1CB8D2}" destId="{F2DA8E48-2D58-4BBD-86AD-449BF813AE40}" srcOrd="0" destOrd="0" parTransId="{E865D8B9-8661-4EE4-A814-2DD944044B81}" sibTransId="{44310E9A-57CC-4162-A39A-C4A206A225FE}"/>
    <dgm:cxn modelId="{EA140487-3AAC-480D-A25E-04CC75CDD7CF}" srcId="{4FAE5EE6-F5B9-4F6F-A2D3-A1A5D622697E}" destId="{63D12A25-EB09-4D00-B50E-F5E3C4D0F044}" srcOrd="0" destOrd="0" parTransId="{97817301-9321-4A01-BF51-4B445AD60B38}" sibTransId="{ED35840E-6B09-499A-BFE9-9DCAF09E3FB5}"/>
    <dgm:cxn modelId="{FAEB2587-A11B-44A4-997B-A3CE03D99211}" srcId="{1B7589A1-13C4-4ABA-BFAD-27E2D3EBE7A0}" destId="{69E627C9-3259-451E-84C9-2E892D103BE1}" srcOrd="2" destOrd="0" parTransId="{A3BFBCD4-6E0A-4B96-A2A8-407B58FF83DF}" sibTransId="{2989E085-206B-40E2-8D47-D8CD43BC784B}"/>
    <dgm:cxn modelId="{5B1A9887-6B15-4240-B9DA-CCE15C0FAD9F}" srcId="{98AF0318-30EC-47FA-836B-24B61B86D2AF}" destId="{E29A3462-4F33-4AB9-A748-0616F6E67A65}" srcOrd="0" destOrd="0" parTransId="{F8C8F1DF-8B53-4BC2-8286-A2C19B7A07DA}" sibTransId="{C9DF23E3-88E6-4163-B0F9-D8215DA38A03}"/>
    <dgm:cxn modelId="{73D98B88-FAF3-4710-89B9-9A6252F29407}" type="presOf" srcId="{157A0C5D-EDD7-4351-8ED5-B0499F1CB8D2}" destId="{1A22F6ED-1E4B-4994-9F6E-8BC291B38B34}" srcOrd="0" destOrd="0" presId="urn:microsoft.com/office/officeart/2005/8/layout/hierarchy4"/>
    <dgm:cxn modelId="{12C6CF8A-CEB9-4A5B-8712-2F8FC0EE8331}" type="presOf" srcId="{47D24819-5847-4630-A399-DB14760814E2}" destId="{4ACE6F9E-1D22-43B9-A6CB-DFE696CA7FDE}" srcOrd="0" destOrd="0" presId="urn:microsoft.com/office/officeart/2005/8/layout/hierarchy4"/>
    <dgm:cxn modelId="{3C08308B-2D0E-4C96-8E4E-2E831744FBA7}" type="presOf" srcId="{12994FBE-F501-4AAD-B267-FD86D6046B8E}" destId="{CA142A2A-A5E8-46CF-9D1F-F0713572BDD1}" srcOrd="0" destOrd="0" presId="urn:microsoft.com/office/officeart/2005/8/layout/hierarchy4"/>
    <dgm:cxn modelId="{4D550E93-0338-4AF4-ACDA-21F2E25A3791}" type="presOf" srcId="{69E627C9-3259-451E-84C9-2E892D103BE1}" destId="{AE7649D9-2ABB-4302-9384-D4EC80229344}" srcOrd="0" destOrd="0" presId="urn:microsoft.com/office/officeart/2005/8/layout/hierarchy4"/>
    <dgm:cxn modelId="{E97DDF94-8FCE-4CE4-BC02-AC1FEDF28496}" type="presOf" srcId="{27CFAA59-14FB-4869-8118-1BC455EF38EA}" destId="{2710DF2F-B352-45F0-833C-9C8FE6D8DA87}" srcOrd="0" destOrd="0" presId="urn:microsoft.com/office/officeart/2005/8/layout/hierarchy4"/>
    <dgm:cxn modelId="{4FAD8598-17F4-4E59-9DE9-2D7DB6275944}" type="presOf" srcId="{3B21E965-7131-49A0-ADAC-D3399B727ADB}" destId="{6E903580-6C75-494C-A5A0-3498772D39EC}" srcOrd="0" destOrd="0" presId="urn:microsoft.com/office/officeart/2005/8/layout/hierarchy4"/>
    <dgm:cxn modelId="{79B05599-9816-4F92-8919-174A9DEBFCDA}" type="presOf" srcId="{E29A3462-4F33-4AB9-A748-0616F6E67A65}" destId="{CBABBCA2-2253-4F33-8264-09D1D5EFF6C6}" srcOrd="0" destOrd="0" presId="urn:microsoft.com/office/officeart/2005/8/layout/hierarchy4"/>
    <dgm:cxn modelId="{87E09299-5F01-4B3A-A934-D3CAA83BE52F}" srcId="{EFCF7C40-E11D-4581-AFD2-99CA521189AF}" destId="{4ED448E1-5FF4-4AE0-AEBD-2EE061124AED}" srcOrd="0" destOrd="0" parTransId="{1548E5C8-DF44-44F2-A859-295A72D07B43}" sibTransId="{4E5709DB-E3E6-458C-B9AC-F19FB73D0FFA}"/>
    <dgm:cxn modelId="{8D125E9A-C2D6-4985-8F6D-A771E86A934F}" type="presOf" srcId="{383ED7F8-9072-4AED-AFAF-FFEA72A6BD67}" destId="{40D4527E-30B5-4382-A9E5-4F122AF48E86}" srcOrd="0" destOrd="0" presId="urn:microsoft.com/office/officeart/2005/8/layout/hierarchy4"/>
    <dgm:cxn modelId="{03C0C89A-5DD2-40F9-A689-64ED785297C0}" srcId="{EFCF7C40-E11D-4581-AFD2-99CA521189AF}" destId="{3E35BAB9-5048-494F-8FDF-604CDEF843D4}" srcOrd="1" destOrd="0" parTransId="{DD6E3001-EFD2-46DB-845A-D6EC831C4E5C}" sibTransId="{4393DD70-9FEE-4B87-9F81-975145750C86}"/>
    <dgm:cxn modelId="{2642CC9B-7CF8-4094-8118-23B7E4D030F1}" type="presOf" srcId="{C0D1D7B0-884C-4B95-9236-794FCE76F92D}" destId="{92A8FC88-4385-4749-AA28-E17B84C1B86B}" srcOrd="0" destOrd="0" presId="urn:microsoft.com/office/officeart/2005/8/layout/hierarchy4"/>
    <dgm:cxn modelId="{B711709D-B1AE-469F-8063-E5B7F8FEC609}" type="presOf" srcId="{5DF420DC-EBAA-4721-98CB-69091B293A07}" destId="{12C72820-5147-48AC-8801-9A4902030E58}" srcOrd="0" destOrd="0" presId="urn:microsoft.com/office/officeart/2005/8/layout/hierarchy4"/>
    <dgm:cxn modelId="{9A43909F-AD90-465A-AAFD-8F021D80F82C}" type="presOf" srcId="{1B7589A1-13C4-4ABA-BFAD-27E2D3EBE7A0}" destId="{219C0D6B-0F74-49BB-AC46-A57F867DE762}" srcOrd="0" destOrd="0" presId="urn:microsoft.com/office/officeart/2005/8/layout/hierarchy4"/>
    <dgm:cxn modelId="{66D7B6A3-B4BC-4CE8-B28B-57B68DA36234}" type="presOf" srcId="{A52FD434-E379-4728-8613-D86A25402881}" destId="{ECA39028-D9BC-4E79-AE96-F19FF0211288}" srcOrd="0" destOrd="0" presId="urn:microsoft.com/office/officeart/2005/8/layout/hierarchy4"/>
    <dgm:cxn modelId="{DED0E9A3-62B1-4E9B-9C71-81DFF6E2E6CA}" type="presOf" srcId="{54A2EB49-F28B-4C4F-A6F0-58B06F64D422}" destId="{7BB8F70E-64E1-434B-9C89-108C6841E0D7}" srcOrd="0" destOrd="0" presId="urn:microsoft.com/office/officeart/2005/8/layout/hierarchy4"/>
    <dgm:cxn modelId="{FA7B49A4-8B31-4057-A1E7-6C993B9357FC}" srcId="{1B7589A1-13C4-4ABA-BFAD-27E2D3EBE7A0}" destId="{60028438-7772-4A63-BCFC-1697B307A383}" srcOrd="0" destOrd="0" parTransId="{F2D2C074-51DE-4F28-B2C5-9CD17D90ECF4}" sibTransId="{9774A0E1-536A-41D2-8C52-66D6F6367734}"/>
    <dgm:cxn modelId="{7D7296A5-3567-438D-AFD9-3481C296448D}" srcId="{12994FBE-F501-4AAD-B267-FD86D6046B8E}" destId="{1F88322A-1C7F-4819-8DEE-E0250F055981}" srcOrd="2" destOrd="0" parTransId="{73814A12-F6C0-47B8-8FCC-15945C1793DA}" sibTransId="{9A084FA2-9573-4007-A1FE-0B4F846B805C}"/>
    <dgm:cxn modelId="{59DCA9A6-4AB6-4BA3-9774-986D8630C096}" srcId="{E29A3462-4F33-4AB9-A748-0616F6E67A65}" destId="{157A0C5D-EDD7-4351-8ED5-B0499F1CB8D2}" srcOrd="2" destOrd="0" parTransId="{832A8BB8-B96D-4470-95AA-3AFA8AB29599}" sibTransId="{A1BF4C5E-31B9-4A36-A89D-319C4B23E955}"/>
    <dgm:cxn modelId="{6D9404A9-633A-489C-AF9D-DB7D9804377D}" srcId="{016C3E81-F292-41B7-8AE7-566087DF21DF}" destId="{BF94530D-B25B-48F3-A59F-BE220F0AA271}" srcOrd="3" destOrd="0" parTransId="{69A3040E-C809-4D10-A0C2-AA88F769DDCE}" sibTransId="{88C38A87-B2B5-4843-B392-810E79EDD8B2}"/>
    <dgm:cxn modelId="{686E29A9-F4D6-45FD-8466-9730CD0CDC2A}" type="presOf" srcId="{B841F871-FFED-4CD9-9877-26B25FF0BCE4}" destId="{7932D13A-6947-4712-8AF3-C06B48E3BC9C}" srcOrd="0" destOrd="0" presId="urn:microsoft.com/office/officeart/2005/8/layout/hierarchy4"/>
    <dgm:cxn modelId="{B94662B0-07B7-4D92-B49A-B01BC658C80E}" srcId="{AE154C40-EF18-4659-A0BF-D2A2A306B2FD}" destId="{BD91800C-A685-4B72-A123-709315DE081B}" srcOrd="1" destOrd="0" parTransId="{91AA37CB-0A67-4E52-A514-D9A3CAD21285}" sibTransId="{FEF08C14-295B-4869-BC03-A6B2A448855A}"/>
    <dgm:cxn modelId="{186181B1-C53F-4E71-AB3B-EEA4578EBCF3}" srcId="{F2DA8E48-2D58-4BBD-86AD-449BF813AE40}" destId="{B841F871-FFED-4CD9-9877-26B25FF0BCE4}" srcOrd="1" destOrd="0" parTransId="{1A77E062-76BA-4E76-B4EA-CAB2C8BD9F01}" sibTransId="{8B4EA658-33EF-4FCB-83FA-A83173D80ACA}"/>
    <dgm:cxn modelId="{EC9B99B7-EE53-4D60-AF07-5AFFEC32FF15}" type="presOf" srcId="{0A3C87E9-CFBE-4357-95F2-F876542DAFA2}" destId="{65790018-D7CB-4DCE-97E8-18548F652072}" srcOrd="0" destOrd="0" presId="urn:microsoft.com/office/officeart/2005/8/layout/hierarchy4"/>
    <dgm:cxn modelId="{73A942B8-F842-4715-8715-95F8A3AD522E}" srcId="{E29A3462-4F33-4AB9-A748-0616F6E67A65}" destId="{550A6E63-CC99-470D-9F36-72F8310C48EE}" srcOrd="7" destOrd="0" parTransId="{8C8BB335-9CDE-47FA-B45F-B9C5C7B41160}" sibTransId="{4CDEDECA-5926-4174-B380-69F09BF4ABB0}"/>
    <dgm:cxn modelId="{EDCE5DBC-8D97-4960-A9F1-BA6D121E9436}" type="presOf" srcId="{F3A190E9-7D7B-48FE-B0B6-62865AE1BC06}" destId="{1D5655C1-BF1F-4EBA-B60C-EC91104A3857}" srcOrd="0" destOrd="0" presId="urn:microsoft.com/office/officeart/2005/8/layout/hierarchy4"/>
    <dgm:cxn modelId="{7DD696BF-9DAF-471A-9448-C356E50024AB}" srcId="{4FAE5EE6-F5B9-4F6F-A2D3-A1A5D622697E}" destId="{52351FF7-040D-4167-83B3-940BDC73591D}" srcOrd="4" destOrd="0" parTransId="{D83863D3-823D-4B37-B13B-FF3B33524270}" sibTransId="{138E8662-E2A7-45FE-8F9F-3FD095D1B5E5}"/>
    <dgm:cxn modelId="{1622DEC5-467E-442E-9F27-7759703E9147}" type="presOf" srcId="{EA485993-626F-4CF1-A4AC-E6CFAED1AA68}" destId="{F92C6C86-EE0D-4421-AA09-2FF1349D3D6D}" srcOrd="0" destOrd="0" presId="urn:microsoft.com/office/officeart/2005/8/layout/hierarchy4"/>
    <dgm:cxn modelId="{CF8C29C7-E5E7-46DB-A8D0-0FFAB0DD1CE8}" srcId="{AE154C40-EF18-4659-A0BF-D2A2A306B2FD}" destId="{3B21E965-7131-49A0-ADAC-D3399B727ADB}" srcOrd="2" destOrd="0" parTransId="{6202CEA9-0F71-4813-ACEC-4DCC7A3E19F1}" sibTransId="{2CC66904-3A36-4113-BC83-AAF21F62B4CB}"/>
    <dgm:cxn modelId="{70333CCD-90A0-4D0F-95CA-007BE1583CC0}" srcId="{1B7589A1-13C4-4ABA-BFAD-27E2D3EBE7A0}" destId="{0855C757-8959-458C-BD25-6BA683A277F9}" srcOrd="3" destOrd="0" parTransId="{5D98FFCD-25A0-4C2D-BB05-553830264498}" sibTransId="{2BF3E829-4D48-4A2D-B31D-6E8F3F9D8C43}"/>
    <dgm:cxn modelId="{05531DCE-94C7-4534-A867-C4E5597C9A9F}" type="presOf" srcId="{60028438-7772-4A63-BCFC-1697B307A383}" destId="{CEFDA918-F28C-42EB-AD95-B0734AE28954}" srcOrd="0" destOrd="0" presId="urn:microsoft.com/office/officeart/2005/8/layout/hierarchy4"/>
    <dgm:cxn modelId="{4F3292CE-F556-47F0-A958-0540E1F93A7C}" srcId="{F2DA8E48-2D58-4BBD-86AD-449BF813AE40}" destId="{F46B11CF-9D14-46B0-900E-BB663821389F}" srcOrd="3" destOrd="0" parTransId="{1A30929E-A15D-46D1-B6EC-1F7663AA0DAA}" sibTransId="{4D1F1749-88A1-4A72-BC95-3AF4483038F8}"/>
    <dgm:cxn modelId="{37DD90CF-A723-44B8-8852-13BD9A580600}" srcId="{12994FBE-F501-4AAD-B267-FD86D6046B8E}" destId="{DC3812F8-563D-43EA-A78E-CF3346E71C62}" srcOrd="4" destOrd="0" parTransId="{883242AF-8E47-4819-9BAE-C367DE942C15}" sibTransId="{04306524-8F69-4090-9044-5B29E9D0B1B6}"/>
    <dgm:cxn modelId="{E6AC94D1-E675-4430-AA89-25AEC9CF1610}" srcId="{41C9D7EE-0A89-4777-9CA2-AA4624A07232}" destId="{EFCF7C40-E11D-4581-AFD2-99CA521189AF}" srcOrd="0" destOrd="0" parTransId="{E1FCF47B-E0F5-41EB-9B51-027DB7B79EEB}" sibTransId="{09494EAC-E6A5-4785-BDCE-3F457720A813}"/>
    <dgm:cxn modelId="{8951EBD1-0357-4144-A01C-15293109E33D}" srcId="{88BBF2C5-B533-4F4E-B701-7E0329E2F912}" destId="{909B2BCD-192B-482D-8F7A-6E165DA5EFBF}" srcOrd="1" destOrd="0" parTransId="{D9FE688C-EEC2-4054-88BB-2D9969BBCE91}" sibTransId="{63AD75D6-0760-4F49-A101-D7D8290BD7F3}"/>
    <dgm:cxn modelId="{AAAD54D3-6C30-473F-9616-2F6567EE8B02}" srcId="{1B7589A1-13C4-4ABA-BFAD-27E2D3EBE7A0}" destId="{662DA4AB-A07B-4173-9E11-E271D69336C8}" srcOrd="4" destOrd="0" parTransId="{6663A8E4-D43C-4298-8B2B-9146AF091811}" sibTransId="{B6D898BD-2624-4007-8DE0-1DBE591E09F5}"/>
    <dgm:cxn modelId="{A540DBD3-74F5-4BED-AC43-A3150D962280}" type="presOf" srcId="{C3E10554-2DA1-4AF2-94A8-CAE385C3A02C}" destId="{F832C234-6D3E-4E21-8EDD-BBE97E7D4BF6}" srcOrd="0" destOrd="0" presId="urn:microsoft.com/office/officeart/2005/8/layout/hierarchy4"/>
    <dgm:cxn modelId="{3B2108DA-E599-462D-9423-92661DA6BD3C}" type="presOf" srcId="{A2E9AAB2-65F0-4EDD-A2EB-55D732C8A846}" destId="{A52AB2D5-A49F-4740-B409-20BE826628D9}" srcOrd="0" destOrd="0" presId="urn:microsoft.com/office/officeart/2005/8/layout/hierarchy4"/>
    <dgm:cxn modelId="{92E14EDB-9F57-416A-A45A-B86D95FD7EBD}" type="presOf" srcId="{9B4AAA3B-A718-437E-A5FB-8555CD0EEC1E}" destId="{B6F87DD0-B407-4F68-9501-095CAFB90699}" srcOrd="0" destOrd="0" presId="urn:microsoft.com/office/officeart/2005/8/layout/hierarchy4"/>
    <dgm:cxn modelId="{5E8FEBDB-1942-4AEE-99C7-962A2860974C}" srcId="{E29A3462-4F33-4AB9-A748-0616F6E67A65}" destId="{CDFDA4D3-BF23-439C-938E-26B04A724F24}" srcOrd="8" destOrd="0" parTransId="{8EFB3221-6836-4829-B3BE-03D45FDC2AED}" sibTransId="{C4D132B5-C914-414F-A059-6F3C720A4D8C}"/>
    <dgm:cxn modelId="{49C81FDE-609F-4E7B-AF4A-07F76C8F45E2}" type="presOf" srcId="{69898723-E7E2-49A4-B3AA-72450C39A375}" destId="{C36DFDC0-7DC0-40C7-9BD5-F740EEF3CD0E}" srcOrd="0" destOrd="0" presId="urn:microsoft.com/office/officeart/2005/8/layout/hierarchy4"/>
    <dgm:cxn modelId="{9C8B91E2-0121-40C2-BB84-ACDCD7F2C03D}" srcId="{95DC7EEC-A034-4626-954E-668A4930671E}" destId="{1B7589A1-13C4-4ABA-BFAD-27E2D3EBE7A0}" srcOrd="0" destOrd="0" parTransId="{614B8C29-114E-442E-A030-27EF92C793AC}" sibTransId="{1CBF685B-7313-4FE3-B451-97A915B0A83A}"/>
    <dgm:cxn modelId="{FA252EE6-5EEE-4389-ACB1-D4F4CFBB607B}" type="presOf" srcId="{0855C757-8959-458C-BD25-6BA683A277F9}" destId="{956C6D66-1281-47CE-92DD-19DFE1F826A8}" srcOrd="0" destOrd="0" presId="urn:microsoft.com/office/officeart/2005/8/layout/hierarchy4"/>
    <dgm:cxn modelId="{8436FEE8-7148-4CB5-AF8C-0F557B1012D5}" srcId="{27CFAA59-14FB-4869-8118-1BC455EF38EA}" destId="{A4920E4F-055C-4745-8EDD-1736A9C586FF}" srcOrd="3" destOrd="0" parTransId="{725A2381-F0FE-4653-9957-23CB65ED7DA5}" sibTransId="{0929C793-69CE-46FB-A4C9-3E70B053BA98}"/>
    <dgm:cxn modelId="{8A119AEA-646B-480C-BFD3-E91C94E14AD0}" type="presOf" srcId="{CDFDA4D3-BF23-439C-938E-26B04A724F24}" destId="{9C3473BC-48C4-4785-A87E-DEC7F2608F18}" srcOrd="0" destOrd="0" presId="urn:microsoft.com/office/officeart/2005/8/layout/hierarchy4"/>
    <dgm:cxn modelId="{D3C8ACEA-F4C4-46C2-9170-BF8A7544F34B}" srcId="{AE154C40-EF18-4659-A0BF-D2A2A306B2FD}" destId="{C23E818F-A3E2-4426-8CE4-271734965D71}" srcOrd="0" destOrd="0" parTransId="{3472ACE5-C693-4F80-B674-425A527B32A7}" sibTransId="{73A3D2C8-7CFE-4C42-9861-3E89BE70694C}"/>
    <dgm:cxn modelId="{0B7B17EB-3EA2-4122-BE91-8CCD19E928D9}" srcId="{EFCF7C40-E11D-4581-AFD2-99CA521189AF}" destId="{F3A190E9-7D7B-48FE-B0B6-62865AE1BC06}" srcOrd="2" destOrd="0" parTransId="{2785ABE3-685F-4AC1-85FF-5845D7A8A7E9}" sibTransId="{3FCEA20D-4075-45F6-AC7F-0004D5F79E9A}"/>
    <dgm:cxn modelId="{4E337FEB-11D0-4D32-8B62-43663DD1EC5F}" srcId="{016C3E81-F292-41B7-8AE7-566087DF21DF}" destId="{132FE15F-0F20-4440-B00D-5E32CF22E741}" srcOrd="2" destOrd="0" parTransId="{21BD6DCD-831F-4EAA-8FD4-3C898392BA8C}" sibTransId="{F3EF2A30-9491-4FD4-AFBD-36A4A2A94D7D}"/>
    <dgm:cxn modelId="{C9652DEE-E728-4873-8128-E5AEC063E576}" srcId="{E29A3462-4F33-4AB9-A748-0616F6E67A65}" destId="{7C24B597-A54B-4703-94AF-6C1A0F26A2D8}" srcOrd="4" destOrd="0" parTransId="{CB0EDE17-DD43-415E-B597-F9A045C2C0D1}" sibTransId="{3B111499-5C9F-4FCA-B887-6FE42E065962}"/>
    <dgm:cxn modelId="{F7CA8AEE-ABB1-47AD-89A2-9E338AF90ED8}" srcId="{88BBF2C5-B533-4F4E-B701-7E0329E2F912}" destId="{8DA6A2B0-95FD-49A6-939B-84B4C7BD47E2}" srcOrd="0" destOrd="0" parTransId="{4E20AE40-C7E0-434A-A9A8-EE9F843426C5}" sibTransId="{EA4AC459-B0F8-4426-85FF-138D068606A1}"/>
    <dgm:cxn modelId="{F91819F2-FD8D-4C73-8292-F1B92FC1F953}" type="presOf" srcId="{63D12A25-EB09-4D00-B50E-F5E3C4D0F044}" destId="{DF31CC8B-CB71-4DB9-8C83-CF45E3748CC6}" srcOrd="0" destOrd="0" presId="urn:microsoft.com/office/officeart/2005/8/layout/hierarchy4"/>
    <dgm:cxn modelId="{A90296F3-FAD9-4359-ADDE-AEF4D5C4F866}" type="presOf" srcId="{4FAE5EE6-F5B9-4F6F-A2D3-A1A5D622697E}" destId="{9F0D0398-6863-465A-8084-73C32D797539}" srcOrd="0" destOrd="0" presId="urn:microsoft.com/office/officeart/2005/8/layout/hierarchy4"/>
    <dgm:cxn modelId="{88ED78F5-D389-4A50-AE84-F2503F5AB75E}" srcId="{88BBF2C5-B533-4F4E-B701-7E0329E2F912}" destId="{A1085B30-34D9-40C4-89B8-C6DBFBD2A535}" srcOrd="2" destOrd="0" parTransId="{AE3001F3-D657-4264-A2A8-A5C186A17812}" sibTransId="{30630210-8A7D-4570-81CC-A3D73FBB3AE2}"/>
    <dgm:cxn modelId="{BD9165D9-DC62-4A15-A8D8-8673A86D38BA}" type="presParOf" srcId="{D124216D-6630-484D-A018-791DCE27CF63}" destId="{26C0E19F-E761-493A-8F9C-F7E76B09ACF0}" srcOrd="0" destOrd="0" presId="urn:microsoft.com/office/officeart/2005/8/layout/hierarchy4"/>
    <dgm:cxn modelId="{5B363E74-6373-4192-9644-122166789290}" type="presParOf" srcId="{26C0E19F-E761-493A-8F9C-F7E76B09ACF0}" destId="{CBABBCA2-2253-4F33-8264-09D1D5EFF6C6}" srcOrd="0" destOrd="0" presId="urn:microsoft.com/office/officeart/2005/8/layout/hierarchy4"/>
    <dgm:cxn modelId="{BAC86976-79B4-4E60-8360-477BB24F131A}" type="presParOf" srcId="{26C0E19F-E761-493A-8F9C-F7E76B09ACF0}" destId="{82F494FA-B6F8-4A20-A14C-2B108AB338A9}" srcOrd="1" destOrd="0" presId="urn:microsoft.com/office/officeart/2005/8/layout/hierarchy4"/>
    <dgm:cxn modelId="{55FDBF5D-8B2D-4D78-8E38-44D8DBD15179}" type="presParOf" srcId="{26C0E19F-E761-493A-8F9C-F7E76B09ACF0}" destId="{FF332C31-2B13-4276-9983-64F41EE1F9D8}" srcOrd="2" destOrd="0" presId="urn:microsoft.com/office/officeart/2005/8/layout/hierarchy4"/>
    <dgm:cxn modelId="{CD8A6DAE-5498-4244-A42F-4C0747B592BA}" type="presParOf" srcId="{FF332C31-2B13-4276-9983-64F41EE1F9D8}" destId="{B6038E43-6EB6-4EB3-9EF6-243210E0D3F6}" srcOrd="0" destOrd="0" presId="urn:microsoft.com/office/officeart/2005/8/layout/hierarchy4"/>
    <dgm:cxn modelId="{414B5F32-A304-4BBD-8A49-07957E090BB6}" type="presParOf" srcId="{B6038E43-6EB6-4EB3-9EF6-243210E0D3F6}" destId="{ACAC085C-D0A4-4F89-A919-8AC88553F08A}" srcOrd="0" destOrd="0" presId="urn:microsoft.com/office/officeart/2005/8/layout/hierarchy4"/>
    <dgm:cxn modelId="{C2110C5D-EFE9-425D-910B-3219E46191A9}" type="presParOf" srcId="{B6038E43-6EB6-4EB3-9EF6-243210E0D3F6}" destId="{4F3DF935-1262-45AF-AB55-317C2A8F6234}" srcOrd="1" destOrd="0" presId="urn:microsoft.com/office/officeart/2005/8/layout/hierarchy4"/>
    <dgm:cxn modelId="{D2AA2C3A-DA45-4146-B65A-7CCBD95A1EA8}" type="presParOf" srcId="{B6038E43-6EB6-4EB3-9EF6-243210E0D3F6}" destId="{D7603E10-9A19-4AE3-B8A6-C2E0D1D4EE9B}" srcOrd="2" destOrd="0" presId="urn:microsoft.com/office/officeart/2005/8/layout/hierarchy4"/>
    <dgm:cxn modelId="{5CC66CEC-975E-425B-95C4-F97FE249E1AA}" type="presParOf" srcId="{D7603E10-9A19-4AE3-B8A6-C2E0D1D4EE9B}" destId="{4C27ABD8-F193-4DA9-B07F-C21A2A2F683E}" srcOrd="0" destOrd="0" presId="urn:microsoft.com/office/officeart/2005/8/layout/hierarchy4"/>
    <dgm:cxn modelId="{2FE1508F-FCDC-49B4-9400-D16403844A81}" type="presParOf" srcId="{4C27ABD8-F193-4DA9-B07F-C21A2A2F683E}" destId="{219C0D6B-0F74-49BB-AC46-A57F867DE762}" srcOrd="0" destOrd="0" presId="urn:microsoft.com/office/officeart/2005/8/layout/hierarchy4"/>
    <dgm:cxn modelId="{CA5203CA-0389-417E-8C03-D4DB25B6FC47}" type="presParOf" srcId="{4C27ABD8-F193-4DA9-B07F-C21A2A2F683E}" destId="{90F5A745-63F5-4AA6-A39E-C8C12F6D567B}" srcOrd="1" destOrd="0" presId="urn:microsoft.com/office/officeart/2005/8/layout/hierarchy4"/>
    <dgm:cxn modelId="{6A1E9917-E19D-4356-9B99-6601A3304057}" type="presParOf" srcId="{4C27ABD8-F193-4DA9-B07F-C21A2A2F683E}" destId="{1E40D8A2-5045-4B78-B4D2-A295E65DA962}" srcOrd="2" destOrd="0" presId="urn:microsoft.com/office/officeart/2005/8/layout/hierarchy4"/>
    <dgm:cxn modelId="{532AE785-B79F-408A-9290-A0A8ADF01766}" type="presParOf" srcId="{1E40D8A2-5045-4B78-B4D2-A295E65DA962}" destId="{BE0F92EB-CD22-4AFF-9D97-8EAB67017189}" srcOrd="0" destOrd="0" presId="urn:microsoft.com/office/officeart/2005/8/layout/hierarchy4"/>
    <dgm:cxn modelId="{AE4802AD-5D87-498A-943E-60B1700325B7}" type="presParOf" srcId="{BE0F92EB-CD22-4AFF-9D97-8EAB67017189}" destId="{CEFDA918-F28C-42EB-AD95-B0734AE28954}" srcOrd="0" destOrd="0" presId="urn:microsoft.com/office/officeart/2005/8/layout/hierarchy4"/>
    <dgm:cxn modelId="{B5EAE4DA-8CF8-4331-B3B3-7FA11998B4AD}" type="presParOf" srcId="{BE0F92EB-CD22-4AFF-9D97-8EAB67017189}" destId="{A06DE82F-7DE5-4961-96A3-DF44EE140591}" srcOrd="1" destOrd="0" presId="urn:microsoft.com/office/officeart/2005/8/layout/hierarchy4"/>
    <dgm:cxn modelId="{B8A3D458-101B-4C99-A198-3DF92A6BBFD0}" type="presParOf" srcId="{1E40D8A2-5045-4B78-B4D2-A295E65DA962}" destId="{DDFFAF27-7029-47DB-A915-0CAB1FC7F9A8}" srcOrd="1" destOrd="0" presId="urn:microsoft.com/office/officeart/2005/8/layout/hierarchy4"/>
    <dgm:cxn modelId="{8B3A88DA-E29E-4985-A460-3B9ED44CC369}" type="presParOf" srcId="{1E40D8A2-5045-4B78-B4D2-A295E65DA962}" destId="{ED2621A3-99B0-4361-8800-1333E89A7756}" srcOrd="2" destOrd="0" presId="urn:microsoft.com/office/officeart/2005/8/layout/hierarchy4"/>
    <dgm:cxn modelId="{EE627AD4-B025-4EC1-A63C-683493B7724C}" type="presParOf" srcId="{ED2621A3-99B0-4361-8800-1333E89A7756}" destId="{40D4527E-30B5-4382-A9E5-4F122AF48E86}" srcOrd="0" destOrd="0" presId="urn:microsoft.com/office/officeart/2005/8/layout/hierarchy4"/>
    <dgm:cxn modelId="{ACED8FDB-55DB-46D1-990F-3ADA90811671}" type="presParOf" srcId="{ED2621A3-99B0-4361-8800-1333E89A7756}" destId="{8430D189-7910-40FD-9BE1-6F3945F2CA4F}" srcOrd="1" destOrd="0" presId="urn:microsoft.com/office/officeart/2005/8/layout/hierarchy4"/>
    <dgm:cxn modelId="{C519C9AD-5A96-4E4C-BDAE-796CB3250BAC}" type="presParOf" srcId="{1E40D8A2-5045-4B78-B4D2-A295E65DA962}" destId="{2ABE3AC3-4009-427D-8C2E-0B73053D2686}" srcOrd="3" destOrd="0" presId="urn:microsoft.com/office/officeart/2005/8/layout/hierarchy4"/>
    <dgm:cxn modelId="{A64C3D3E-E701-4FAD-AFB2-B6ABF2963640}" type="presParOf" srcId="{1E40D8A2-5045-4B78-B4D2-A295E65DA962}" destId="{DBB48383-4505-43BA-B08A-53496E6220F1}" srcOrd="4" destOrd="0" presId="urn:microsoft.com/office/officeart/2005/8/layout/hierarchy4"/>
    <dgm:cxn modelId="{577E511F-09DD-43C0-B061-FE29D5D8B5C3}" type="presParOf" srcId="{DBB48383-4505-43BA-B08A-53496E6220F1}" destId="{AE7649D9-2ABB-4302-9384-D4EC80229344}" srcOrd="0" destOrd="0" presId="urn:microsoft.com/office/officeart/2005/8/layout/hierarchy4"/>
    <dgm:cxn modelId="{46DC7514-9A0D-4BF1-BA22-9BD7FAD033BE}" type="presParOf" srcId="{DBB48383-4505-43BA-B08A-53496E6220F1}" destId="{977C3B0F-7E8E-4FB4-9FC5-63F095E51D0D}" srcOrd="1" destOrd="0" presId="urn:microsoft.com/office/officeart/2005/8/layout/hierarchy4"/>
    <dgm:cxn modelId="{1566BF56-C2F2-42DA-AF21-B26DCD300B01}" type="presParOf" srcId="{1E40D8A2-5045-4B78-B4D2-A295E65DA962}" destId="{81E57B68-EB57-44C7-A6E7-B2CE7C893037}" srcOrd="5" destOrd="0" presId="urn:microsoft.com/office/officeart/2005/8/layout/hierarchy4"/>
    <dgm:cxn modelId="{53F9C813-6692-4224-8642-F94B6E986F73}" type="presParOf" srcId="{1E40D8A2-5045-4B78-B4D2-A295E65DA962}" destId="{7ADF8BA2-3058-4841-9029-F3E4DC3CD302}" srcOrd="6" destOrd="0" presId="urn:microsoft.com/office/officeart/2005/8/layout/hierarchy4"/>
    <dgm:cxn modelId="{B893F03E-7B1C-4007-8570-74E957C9A5CD}" type="presParOf" srcId="{7ADF8BA2-3058-4841-9029-F3E4DC3CD302}" destId="{956C6D66-1281-47CE-92DD-19DFE1F826A8}" srcOrd="0" destOrd="0" presId="urn:microsoft.com/office/officeart/2005/8/layout/hierarchy4"/>
    <dgm:cxn modelId="{6290B7F4-4814-400D-BE3C-53AA2E8038F3}" type="presParOf" srcId="{7ADF8BA2-3058-4841-9029-F3E4DC3CD302}" destId="{4B43DA52-F3F0-4F33-9262-51D3EEE42170}" srcOrd="1" destOrd="0" presId="urn:microsoft.com/office/officeart/2005/8/layout/hierarchy4"/>
    <dgm:cxn modelId="{63D74367-FEB2-4EAB-854D-86CFB2EE66B5}" type="presParOf" srcId="{1E40D8A2-5045-4B78-B4D2-A295E65DA962}" destId="{79FE530E-1759-4E4D-8BD9-BB059FB9AC3F}" srcOrd="7" destOrd="0" presId="urn:microsoft.com/office/officeart/2005/8/layout/hierarchy4"/>
    <dgm:cxn modelId="{D802A6CE-F550-421C-AD2A-7F1705F1336E}" type="presParOf" srcId="{1E40D8A2-5045-4B78-B4D2-A295E65DA962}" destId="{8B7B7E84-40F6-4464-A305-95F4BDCE73EA}" srcOrd="8" destOrd="0" presId="urn:microsoft.com/office/officeart/2005/8/layout/hierarchy4"/>
    <dgm:cxn modelId="{F2B8E29E-8904-463F-AB99-1EBA5F05F27F}" type="presParOf" srcId="{8B7B7E84-40F6-4464-A305-95F4BDCE73EA}" destId="{6E3E1EAF-06DF-4186-A1F8-280D69209EC8}" srcOrd="0" destOrd="0" presId="urn:microsoft.com/office/officeart/2005/8/layout/hierarchy4"/>
    <dgm:cxn modelId="{2B58D6FF-813E-416B-98BA-784EB4AB87FC}" type="presParOf" srcId="{8B7B7E84-40F6-4464-A305-95F4BDCE73EA}" destId="{87D063A6-79D4-44F9-867C-7FD7B0F809C0}" srcOrd="1" destOrd="0" presId="urn:microsoft.com/office/officeart/2005/8/layout/hierarchy4"/>
    <dgm:cxn modelId="{9B76DE35-E0CD-4B08-9A99-268B577F5CDF}" type="presParOf" srcId="{FF332C31-2B13-4276-9983-64F41EE1F9D8}" destId="{A6D4A063-3B3F-40AF-8AC9-7A177A83F96E}" srcOrd="1" destOrd="0" presId="urn:microsoft.com/office/officeart/2005/8/layout/hierarchy4"/>
    <dgm:cxn modelId="{5CCD9209-5588-4DCE-8B2B-34E04F515C52}" type="presParOf" srcId="{FF332C31-2B13-4276-9983-64F41EE1F9D8}" destId="{BFF80FFF-2A95-4830-914E-80A9933A63D3}" srcOrd="2" destOrd="0" presId="urn:microsoft.com/office/officeart/2005/8/layout/hierarchy4"/>
    <dgm:cxn modelId="{15299811-7C9F-4C91-95F7-F74AA17A2CCB}" type="presParOf" srcId="{BFF80FFF-2A95-4830-914E-80A9933A63D3}" destId="{585F529F-70DB-4B35-BA8A-5FFC92CA6443}" srcOrd="0" destOrd="0" presId="urn:microsoft.com/office/officeart/2005/8/layout/hierarchy4"/>
    <dgm:cxn modelId="{B00A9E2F-F9A4-42CB-8EDC-BE8245D9CA3E}" type="presParOf" srcId="{BFF80FFF-2A95-4830-914E-80A9933A63D3}" destId="{1CCA52F5-B18A-403F-92EE-BDEDFDDB4F6F}" srcOrd="1" destOrd="0" presId="urn:microsoft.com/office/officeart/2005/8/layout/hierarchy4"/>
    <dgm:cxn modelId="{B1F35566-5ECE-45C4-B5B4-6E39D0BE73CD}" type="presParOf" srcId="{BFF80FFF-2A95-4830-914E-80A9933A63D3}" destId="{853233CF-9141-4666-B1BD-EDC05C9C783F}" srcOrd="2" destOrd="0" presId="urn:microsoft.com/office/officeart/2005/8/layout/hierarchy4"/>
    <dgm:cxn modelId="{01DED33B-FF35-4D39-8619-786C74EE2483}" type="presParOf" srcId="{853233CF-9141-4666-B1BD-EDC05C9C783F}" destId="{294B2970-D054-4C59-B843-91889CCAA16D}" srcOrd="0" destOrd="0" presId="urn:microsoft.com/office/officeart/2005/8/layout/hierarchy4"/>
    <dgm:cxn modelId="{60AFCAC7-D49E-4577-AD78-5BA5599CAF88}" type="presParOf" srcId="{294B2970-D054-4C59-B843-91889CCAA16D}" destId="{3248AA5B-B92F-4FDA-BBE6-C00443184EFF}" srcOrd="0" destOrd="0" presId="urn:microsoft.com/office/officeart/2005/8/layout/hierarchy4"/>
    <dgm:cxn modelId="{CEB2DD4F-8FDC-4CD5-BC1E-06C4125062D6}" type="presParOf" srcId="{294B2970-D054-4C59-B843-91889CCAA16D}" destId="{80EB9029-F0CD-448D-A1ED-A284F7DB8893}" srcOrd="1" destOrd="0" presId="urn:microsoft.com/office/officeart/2005/8/layout/hierarchy4"/>
    <dgm:cxn modelId="{5EA7C33C-96E4-4C01-B381-605C04A409CE}" type="presParOf" srcId="{294B2970-D054-4C59-B843-91889CCAA16D}" destId="{82712175-CE8E-46A7-B4EB-6F2CA884016B}" srcOrd="2" destOrd="0" presId="urn:microsoft.com/office/officeart/2005/8/layout/hierarchy4"/>
    <dgm:cxn modelId="{80AB7D69-A1E7-408D-A4F4-1A6BEF00D914}" type="presParOf" srcId="{82712175-CE8E-46A7-B4EB-6F2CA884016B}" destId="{ADCAB5F2-86DC-4230-B161-7E5A34296135}" srcOrd="0" destOrd="0" presId="urn:microsoft.com/office/officeart/2005/8/layout/hierarchy4"/>
    <dgm:cxn modelId="{FF2C898A-5F66-4B1E-9555-067D3347C765}" type="presParOf" srcId="{ADCAB5F2-86DC-4230-B161-7E5A34296135}" destId="{13A3A146-8AEB-412F-AB10-7AD5DB1D3192}" srcOrd="0" destOrd="0" presId="urn:microsoft.com/office/officeart/2005/8/layout/hierarchy4"/>
    <dgm:cxn modelId="{D1F17FAE-462F-44CA-877E-A44B17235710}" type="presParOf" srcId="{ADCAB5F2-86DC-4230-B161-7E5A34296135}" destId="{0453B39A-42FA-446B-8A8A-FFE867F96A3C}" srcOrd="1" destOrd="0" presId="urn:microsoft.com/office/officeart/2005/8/layout/hierarchy4"/>
    <dgm:cxn modelId="{4BC20763-7E69-45DF-A127-8F3EF826B4AF}" type="presParOf" srcId="{82712175-CE8E-46A7-B4EB-6F2CA884016B}" destId="{32323DB5-A6E8-4C59-9D7F-AEC0F70E2407}" srcOrd="1" destOrd="0" presId="urn:microsoft.com/office/officeart/2005/8/layout/hierarchy4"/>
    <dgm:cxn modelId="{A713AB2A-72E7-4EC9-9753-BDB991C58E46}" type="presParOf" srcId="{82712175-CE8E-46A7-B4EB-6F2CA884016B}" destId="{B02DB9CB-07F8-469A-A780-55A4258A5509}" srcOrd="2" destOrd="0" presId="urn:microsoft.com/office/officeart/2005/8/layout/hierarchy4"/>
    <dgm:cxn modelId="{6B04149E-6296-4C3C-AF1B-3E89D78D176A}" type="presParOf" srcId="{B02DB9CB-07F8-469A-A780-55A4258A5509}" destId="{20AFCBCE-985D-4FB4-B89C-2BC87A879509}" srcOrd="0" destOrd="0" presId="urn:microsoft.com/office/officeart/2005/8/layout/hierarchy4"/>
    <dgm:cxn modelId="{3CC6376F-3A45-4176-959D-14A2E4F12EA3}" type="presParOf" srcId="{B02DB9CB-07F8-469A-A780-55A4258A5509}" destId="{3C0B234B-68FD-4B67-9C89-671FADFE7C44}" srcOrd="1" destOrd="0" presId="urn:microsoft.com/office/officeart/2005/8/layout/hierarchy4"/>
    <dgm:cxn modelId="{556A3899-E1F2-4636-9D79-772F6829CC20}" type="presParOf" srcId="{82712175-CE8E-46A7-B4EB-6F2CA884016B}" destId="{580C5366-EB1A-4FE1-9C96-CEAF78E52301}" srcOrd="3" destOrd="0" presId="urn:microsoft.com/office/officeart/2005/8/layout/hierarchy4"/>
    <dgm:cxn modelId="{0AF4FAE2-A38E-48D0-906D-4494937AA5BD}" type="presParOf" srcId="{82712175-CE8E-46A7-B4EB-6F2CA884016B}" destId="{12A68B83-972C-44AF-B981-E7992E0CC348}" srcOrd="4" destOrd="0" presId="urn:microsoft.com/office/officeart/2005/8/layout/hierarchy4"/>
    <dgm:cxn modelId="{283AD98B-8713-4ADA-A5BF-BF764475BF1D}" type="presParOf" srcId="{12A68B83-972C-44AF-B981-E7992E0CC348}" destId="{1D5655C1-BF1F-4EBA-B60C-EC91104A3857}" srcOrd="0" destOrd="0" presId="urn:microsoft.com/office/officeart/2005/8/layout/hierarchy4"/>
    <dgm:cxn modelId="{CA9BFE9F-246D-4D81-A1DA-86A040817A6D}" type="presParOf" srcId="{12A68B83-972C-44AF-B981-E7992E0CC348}" destId="{4F02CC16-FE7D-41B4-9A81-70E2F0E1BD01}" srcOrd="1" destOrd="0" presId="urn:microsoft.com/office/officeart/2005/8/layout/hierarchy4"/>
    <dgm:cxn modelId="{1BDE9E65-8767-4875-9595-C03F9BD0DA77}" type="presParOf" srcId="{82712175-CE8E-46A7-B4EB-6F2CA884016B}" destId="{5C398DA1-D009-4C05-A40F-BD85DA29779B}" srcOrd="5" destOrd="0" presId="urn:microsoft.com/office/officeart/2005/8/layout/hierarchy4"/>
    <dgm:cxn modelId="{3399A1D1-887E-4703-A2AF-975BA9E8DF4B}" type="presParOf" srcId="{82712175-CE8E-46A7-B4EB-6F2CA884016B}" destId="{1E7BAB0E-23CA-4386-8FF3-095A8833C2B8}" srcOrd="6" destOrd="0" presId="urn:microsoft.com/office/officeart/2005/8/layout/hierarchy4"/>
    <dgm:cxn modelId="{1F53833E-8085-4870-B2B8-C8F026397240}" type="presParOf" srcId="{1E7BAB0E-23CA-4386-8FF3-095A8833C2B8}" destId="{83701003-83A5-4100-82A6-E1725A3481FB}" srcOrd="0" destOrd="0" presId="urn:microsoft.com/office/officeart/2005/8/layout/hierarchy4"/>
    <dgm:cxn modelId="{58941CEF-1E3E-4ABC-975B-A3338119BE17}" type="presParOf" srcId="{1E7BAB0E-23CA-4386-8FF3-095A8833C2B8}" destId="{4A89990C-D4E3-47E8-B013-0906CDA5481A}" srcOrd="1" destOrd="0" presId="urn:microsoft.com/office/officeart/2005/8/layout/hierarchy4"/>
    <dgm:cxn modelId="{5EFB11E5-A501-44B6-838E-8075FE5D3C6C}" type="presParOf" srcId="{82712175-CE8E-46A7-B4EB-6F2CA884016B}" destId="{13063E2F-C962-4509-A35B-C071D3695031}" srcOrd="7" destOrd="0" presId="urn:microsoft.com/office/officeart/2005/8/layout/hierarchy4"/>
    <dgm:cxn modelId="{346D90EB-117A-4098-9293-5178C8D1BA0D}" type="presParOf" srcId="{82712175-CE8E-46A7-B4EB-6F2CA884016B}" destId="{4A6D47FE-8839-41A2-A5BD-C3CC23FAE75A}" srcOrd="8" destOrd="0" presId="urn:microsoft.com/office/officeart/2005/8/layout/hierarchy4"/>
    <dgm:cxn modelId="{B6497612-E996-4F76-A8E1-13F41516A18B}" type="presParOf" srcId="{4A6D47FE-8839-41A2-A5BD-C3CC23FAE75A}" destId="{ECA39028-D9BC-4E79-AE96-F19FF0211288}" srcOrd="0" destOrd="0" presId="urn:microsoft.com/office/officeart/2005/8/layout/hierarchy4"/>
    <dgm:cxn modelId="{1D5D1AA8-25C3-4928-8857-A47AFD52E3B7}" type="presParOf" srcId="{4A6D47FE-8839-41A2-A5BD-C3CC23FAE75A}" destId="{37910A8B-469D-412D-B49F-18B55C160661}" srcOrd="1" destOrd="0" presId="urn:microsoft.com/office/officeart/2005/8/layout/hierarchy4"/>
    <dgm:cxn modelId="{82650F20-88A1-4D13-ABA7-CF611AC3F2A8}" type="presParOf" srcId="{FF332C31-2B13-4276-9983-64F41EE1F9D8}" destId="{5CB000A1-26D7-4CEB-B8E7-EF29BC648F3E}" srcOrd="3" destOrd="0" presId="urn:microsoft.com/office/officeart/2005/8/layout/hierarchy4"/>
    <dgm:cxn modelId="{CE255DFE-2550-4CDF-9B9E-29F24BCB219B}" type="presParOf" srcId="{FF332C31-2B13-4276-9983-64F41EE1F9D8}" destId="{A46D8050-F440-4944-B508-DE9DBD8FA951}" srcOrd="4" destOrd="0" presId="urn:microsoft.com/office/officeart/2005/8/layout/hierarchy4"/>
    <dgm:cxn modelId="{C5B6612A-2C39-4703-AC2C-BDF38F4A1068}" type="presParOf" srcId="{A46D8050-F440-4944-B508-DE9DBD8FA951}" destId="{1A22F6ED-1E4B-4994-9F6E-8BC291B38B34}" srcOrd="0" destOrd="0" presId="urn:microsoft.com/office/officeart/2005/8/layout/hierarchy4"/>
    <dgm:cxn modelId="{C1AA3542-E796-4956-8441-6A17C4BAD9D6}" type="presParOf" srcId="{A46D8050-F440-4944-B508-DE9DBD8FA951}" destId="{A624A613-70CE-4574-AC68-6AD5497BFA79}" srcOrd="1" destOrd="0" presId="urn:microsoft.com/office/officeart/2005/8/layout/hierarchy4"/>
    <dgm:cxn modelId="{11AB4BAF-52C3-4611-B4C5-16C3FD8360BD}" type="presParOf" srcId="{A46D8050-F440-4944-B508-DE9DBD8FA951}" destId="{BFD97595-3A5D-461E-8BDC-0868EDA133BE}" srcOrd="2" destOrd="0" presId="urn:microsoft.com/office/officeart/2005/8/layout/hierarchy4"/>
    <dgm:cxn modelId="{F8EDA2ED-93BA-4971-B56B-1BC70AB5E242}" type="presParOf" srcId="{BFD97595-3A5D-461E-8BDC-0868EDA133BE}" destId="{A55A18E1-2257-4357-9F9B-7814D51E15A1}" srcOrd="0" destOrd="0" presId="urn:microsoft.com/office/officeart/2005/8/layout/hierarchy4"/>
    <dgm:cxn modelId="{555C7543-6B41-4640-B8A0-05F4680F03B7}" type="presParOf" srcId="{A55A18E1-2257-4357-9F9B-7814D51E15A1}" destId="{93F307B7-8144-4644-A59B-870D7D58A6CA}" srcOrd="0" destOrd="0" presId="urn:microsoft.com/office/officeart/2005/8/layout/hierarchy4"/>
    <dgm:cxn modelId="{A576C399-82FD-4490-BB6A-3DBFDFE8EF16}" type="presParOf" srcId="{A55A18E1-2257-4357-9F9B-7814D51E15A1}" destId="{F550B543-1576-4508-9F82-8A2568E7B80B}" srcOrd="1" destOrd="0" presId="urn:microsoft.com/office/officeart/2005/8/layout/hierarchy4"/>
    <dgm:cxn modelId="{BF7DDCD1-B6E7-4C69-88A9-95779A3FBC3E}" type="presParOf" srcId="{A55A18E1-2257-4357-9F9B-7814D51E15A1}" destId="{46B6238D-FA21-4CBC-9312-FD011D386F2E}" srcOrd="2" destOrd="0" presId="urn:microsoft.com/office/officeart/2005/8/layout/hierarchy4"/>
    <dgm:cxn modelId="{9CF1BC69-835E-4632-BCED-2783B55A731C}" type="presParOf" srcId="{46B6238D-FA21-4CBC-9312-FD011D386F2E}" destId="{F621D18A-3CBF-42D6-AB87-58B5760CC4FA}" srcOrd="0" destOrd="0" presId="urn:microsoft.com/office/officeart/2005/8/layout/hierarchy4"/>
    <dgm:cxn modelId="{55BC01C2-9262-4C5D-A950-FFD9765C01F5}" type="presParOf" srcId="{F621D18A-3CBF-42D6-AB87-58B5760CC4FA}" destId="{9650B868-5EA9-4C33-85B6-773B4083E473}" srcOrd="0" destOrd="0" presId="urn:microsoft.com/office/officeart/2005/8/layout/hierarchy4"/>
    <dgm:cxn modelId="{E929F2A4-6D27-4360-9621-29FBA861EFCF}" type="presParOf" srcId="{F621D18A-3CBF-42D6-AB87-58B5760CC4FA}" destId="{83DC2382-0E03-4C71-9CAE-75A8020145A7}" srcOrd="1" destOrd="0" presId="urn:microsoft.com/office/officeart/2005/8/layout/hierarchy4"/>
    <dgm:cxn modelId="{5B7978C7-AA24-4282-AAE5-1E3E7B831DEF}" type="presParOf" srcId="{46B6238D-FA21-4CBC-9312-FD011D386F2E}" destId="{8E5F14CB-9A65-4D8D-8E9C-FE20679392B0}" srcOrd="1" destOrd="0" presId="urn:microsoft.com/office/officeart/2005/8/layout/hierarchy4"/>
    <dgm:cxn modelId="{FB4F67BF-4B9C-4F3A-A380-9B116A718813}" type="presParOf" srcId="{46B6238D-FA21-4CBC-9312-FD011D386F2E}" destId="{BF82734B-01B6-49C3-A950-6EFA51DEDF22}" srcOrd="2" destOrd="0" presId="urn:microsoft.com/office/officeart/2005/8/layout/hierarchy4"/>
    <dgm:cxn modelId="{17F6530D-980C-4057-9036-BD8370753142}" type="presParOf" srcId="{BF82734B-01B6-49C3-A950-6EFA51DEDF22}" destId="{7932D13A-6947-4712-8AF3-C06B48E3BC9C}" srcOrd="0" destOrd="0" presId="urn:microsoft.com/office/officeart/2005/8/layout/hierarchy4"/>
    <dgm:cxn modelId="{74F8375B-B31F-4EE1-9270-238CD76ABC42}" type="presParOf" srcId="{BF82734B-01B6-49C3-A950-6EFA51DEDF22}" destId="{3395C0DF-65E1-4048-84C6-277F4FFDC359}" srcOrd="1" destOrd="0" presId="urn:microsoft.com/office/officeart/2005/8/layout/hierarchy4"/>
    <dgm:cxn modelId="{1DE80F17-993D-43B2-9144-A09E73F99439}" type="presParOf" srcId="{46B6238D-FA21-4CBC-9312-FD011D386F2E}" destId="{7E158AC2-8303-4B48-8A18-2C4C2F861A18}" srcOrd="3" destOrd="0" presId="urn:microsoft.com/office/officeart/2005/8/layout/hierarchy4"/>
    <dgm:cxn modelId="{477EECE1-5E0C-4166-BBF1-FB711424C8B0}" type="presParOf" srcId="{46B6238D-FA21-4CBC-9312-FD011D386F2E}" destId="{953A567D-C86B-4545-941E-A89FB2EA0A86}" srcOrd="4" destOrd="0" presId="urn:microsoft.com/office/officeart/2005/8/layout/hierarchy4"/>
    <dgm:cxn modelId="{76413820-6884-4754-9BB6-3D92F6EB3553}" type="presParOf" srcId="{953A567D-C86B-4545-941E-A89FB2EA0A86}" destId="{92A8FC88-4385-4749-AA28-E17B84C1B86B}" srcOrd="0" destOrd="0" presId="urn:microsoft.com/office/officeart/2005/8/layout/hierarchy4"/>
    <dgm:cxn modelId="{C217026D-A6D7-4AC1-99C8-591B48C0BFFB}" type="presParOf" srcId="{953A567D-C86B-4545-941E-A89FB2EA0A86}" destId="{F1AC6F1A-DAC3-422F-B82F-E8D6E8C2EAF6}" srcOrd="1" destOrd="0" presId="urn:microsoft.com/office/officeart/2005/8/layout/hierarchy4"/>
    <dgm:cxn modelId="{A4098993-17DB-4EEF-A3E9-507F453F6923}" type="presParOf" srcId="{46B6238D-FA21-4CBC-9312-FD011D386F2E}" destId="{EDADAC1D-0AE6-48D3-96B5-547FC7D3BD9B}" srcOrd="5" destOrd="0" presId="urn:microsoft.com/office/officeart/2005/8/layout/hierarchy4"/>
    <dgm:cxn modelId="{ADD8F2C7-05DC-4FC0-BC2D-AC6F64DFCD86}" type="presParOf" srcId="{46B6238D-FA21-4CBC-9312-FD011D386F2E}" destId="{56F12FC8-A47B-49E3-9F3E-CFF9B5571F43}" srcOrd="6" destOrd="0" presId="urn:microsoft.com/office/officeart/2005/8/layout/hierarchy4"/>
    <dgm:cxn modelId="{6ECAEA5F-42FA-40E6-983C-4593448755C3}" type="presParOf" srcId="{56F12FC8-A47B-49E3-9F3E-CFF9B5571F43}" destId="{4FF3F459-EF5A-41FC-B29A-B8EF53928CC3}" srcOrd="0" destOrd="0" presId="urn:microsoft.com/office/officeart/2005/8/layout/hierarchy4"/>
    <dgm:cxn modelId="{7A692347-E672-438D-B41C-323BE3EB4D14}" type="presParOf" srcId="{56F12FC8-A47B-49E3-9F3E-CFF9B5571F43}" destId="{95222B31-5C2B-43FF-99ED-6BB92B0BD4D4}" srcOrd="1" destOrd="0" presId="urn:microsoft.com/office/officeart/2005/8/layout/hierarchy4"/>
    <dgm:cxn modelId="{AA8005E8-310A-4E2B-A307-A4B635816673}" type="presParOf" srcId="{46B6238D-FA21-4CBC-9312-FD011D386F2E}" destId="{04B06308-B626-4FB7-930B-58946A85FB39}" srcOrd="7" destOrd="0" presId="urn:microsoft.com/office/officeart/2005/8/layout/hierarchy4"/>
    <dgm:cxn modelId="{2779201F-BA53-4EA5-8CC2-645F492735E0}" type="presParOf" srcId="{46B6238D-FA21-4CBC-9312-FD011D386F2E}" destId="{9D0A32B0-C8BB-4AF1-998D-D94CD5D2B85C}" srcOrd="8" destOrd="0" presId="urn:microsoft.com/office/officeart/2005/8/layout/hierarchy4"/>
    <dgm:cxn modelId="{780EFAAD-9051-4EE1-AC9B-BC2C2A515591}" type="presParOf" srcId="{9D0A32B0-C8BB-4AF1-998D-D94CD5D2B85C}" destId="{F358A509-3F7F-451A-ACB3-BE5C338770C6}" srcOrd="0" destOrd="0" presId="urn:microsoft.com/office/officeart/2005/8/layout/hierarchy4"/>
    <dgm:cxn modelId="{236A4763-E7F5-4CCF-92D4-363A678D2F36}" type="presParOf" srcId="{9D0A32B0-C8BB-4AF1-998D-D94CD5D2B85C}" destId="{44FA3F1E-C867-4572-BB12-5EA38AEB9ADF}" srcOrd="1" destOrd="0" presId="urn:microsoft.com/office/officeart/2005/8/layout/hierarchy4"/>
    <dgm:cxn modelId="{3CD4DAEC-B6BB-4C44-B470-0AC299C3AEF3}" type="presParOf" srcId="{FF332C31-2B13-4276-9983-64F41EE1F9D8}" destId="{D4DAAA74-6775-49BE-9A79-B178FFFB4C3E}" srcOrd="5" destOrd="0" presId="urn:microsoft.com/office/officeart/2005/8/layout/hierarchy4"/>
    <dgm:cxn modelId="{BFF58B61-A800-43B2-B9C2-982BD4136701}" type="presParOf" srcId="{FF332C31-2B13-4276-9983-64F41EE1F9D8}" destId="{1602D182-D20F-44B0-AE3F-2C7238D383EC}" srcOrd="6" destOrd="0" presId="urn:microsoft.com/office/officeart/2005/8/layout/hierarchy4"/>
    <dgm:cxn modelId="{8FC94CA6-2863-4F59-ABD1-D2EC6C0F1BB6}" type="presParOf" srcId="{1602D182-D20F-44B0-AE3F-2C7238D383EC}" destId="{E461BD08-2FB3-4D86-97BE-765BAA842BF1}" srcOrd="0" destOrd="0" presId="urn:microsoft.com/office/officeart/2005/8/layout/hierarchy4"/>
    <dgm:cxn modelId="{0546E2A6-429F-42BB-97AD-375A25B76482}" type="presParOf" srcId="{1602D182-D20F-44B0-AE3F-2C7238D383EC}" destId="{1459CD29-1FB8-4734-9D50-503D819F5875}" srcOrd="1" destOrd="0" presId="urn:microsoft.com/office/officeart/2005/8/layout/hierarchy4"/>
    <dgm:cxn modelId="{2C2B4ECD-85A4-4F53-A9AB-0E745C9620AF}" type="presParOf" srcId="{1602D182-D20F-44B0-AE3F-2C7238D383EC}" destId="{5904A699-2FCD-49AE-9070-E990B57E38F7}" srcOrd="2" destOrd="0" presId="urn:microsoft.com/office/officeart/2005/8/layout/hierarchy4"/>
    <dgm:cxn modelId="{2BF333E0-EFD8-47D1-94F6-966D096634BB}" type="presParOf" srcId="{5904A699-2FCD-49AE-9070-E990B57E38F7}" destId="{CA311B3B-D02B-4BBF-B410-0BF3B3ECC461}" srcOrd="0" destOrd="0" presId="urn:microsoft.com/office/officeart/2005/8/layout/hierarchy4"/>
    <dgm:cxn modelId="{95ECD655-7520-4BB5-8308-C2C776DA3450}" type="presParOf" srcId="{CA311B3B-D02B-4BBF-B410-0BF3B3ECC461}" destId="{CA142A2A-A5E8-46CF-9D1F-F0713572BDD1}" srcOrd="0" destOrd="0" presId="urn:microsoft.com/office/officeart/2005/8/layout/hierarchy4"/>
    <dgm:cxn modelId="{63761B8A-2328-43BD-830A-3561B2ABD242}" type="presParOf" srcId="{CA311B3B-D02B-4BBF-B410-0BF3B3ECC461}" destId="{06651252-7669-415D-A8CD-119B700EE04B}" srcOrd="1" destOrd="0" presId="urn:microsoft.com/office/officeart/2005/8/layout/hierarchy4"/>
    <dgm:cxn modelId="{628C33A6-AB55-468B-872D-21D56E65C1DC}" type="presParOf" srcId="{CA311B3B-D02B-4BBF-B410-0BF3B3ECC461}" destId="{6426DD40-AF46-412B-97F7-C9C8F4CEDB4B}" srcOrd="2" destOrd="0" presId="urn:microsoft.com/office/officeart/2005/8/layout/hierarchy4"/>
    <dgm:cxn modelId="{A94282AF-F5E5-484C-BFDD-D94E24966CA4}" type="presParOf" srcId="{6426DD40-AF46-412B-97F7-C9C8F4CEDB4B}" destId="{2CEB86BE-43F4-461B-B473-E45AF95EA75A}" srcOrd="0" destOrd="0" presId="urn:microsoft.com/office/officeart/2005/8/layout/hierarchy4"/>
    <dgm:cxn modelId="{9C357B9A-1927-4B55-B1DD-90F3C92EF737}" type="presParOf" srcId="{2CEB86BE-43F4-461B-B473-E45AF95EA75A}" destId="{8E1FB5CC-F84F-4E71-A9A8-A393715EA84B}" srcOrd="0" destOrd="0" presId="urn:microsoft.com/office/officeart/2005/8/layout/hierarchy4"/>
    <dgm:cxn modelId="{7D85909A-081F-4E9B-A0F0-8ED40422CB20}" type="presParOf" srcId="{2CEB86BE-43F4-461B-B473-E45AF95EA75A}" destId="{1ECF3C41-A7CE-46BD-8D1D-C8CB45B333BC}" srcOrd="1" destOrd="0" presId="urn:microsoft.com/office/officeart/2005/8/layout/hierarchy4"/>
    <dgm:cxn modelId="{FD65C8E8-97BF-4EAD-BA9E-183A5BAB0217}" type="presParOf" srcId="{6426DD40-AF46-412B-97F7-C9C8F4CEDB4B}" destId="{2E0CDE78-985F-4433-A44E-4F000CF44029}" srcOrd="1" destOrd="0" presId="urn:microsoft.com/office/officeart/2005/8/layout/hierarchy4"/>
    <dgm:cxn modelId="{15CE688B-02D4-41F8-A977-807D7219D536}" type="presParOf" srcId="{6426DD40-AF46-412B-97F7-C9C8F4CEDB4B}" destId="{9B5572DC-9B59-4CE4-AA25-48805A138F38}" srcOrd="2" destOrd="0" presId="urn:microsoft.com/office/officeart/2005/8/layout/hierarchy4"/>
    <dgm:cxn modelId="{C46B9EC4-5E2D-4577-9B6E-FDB116FD1B79}" type="presParOf" srcId="{9B5572DC-9B59-4CE4-AA25-48805A138F38}" destId="{4ACE6F9E-1D22-43B9-A6CB-DFE696CA7FDE}" srcOrd="0" destOrd="0" presId="urn:microsoft.com/office/officeart/2005/8/layout/hierarchy4"/>
    <dgm:cxn modelId="{A3E9BD8F-89D0-40BA-BE22-6D4A8C61805F}" type="presParOf" srcId="{9B5572DC-9B59-4CE4-AA25-48805A138F38}" destId="{02F11AA6-7C87-452D-8D4F-D32E2F499DED}" srcOrd="1" destOrd="0" presId="urn:microsoft.com/office/officeart/2005/8/layout/hierarchy4"/>
    <dgm:cxn modelId="{5CCFCEBD-D23C-4924-9238-4CF3304E1CBC}" type="presParOf" srcId="{6426DD40-AF46-412B-97F7-C9C8F4CEDB4B}" destId="{9C4145C1-2F99-4171-B5B6-48CA71746118}" srcOrd="3" destOrd="0" presId="urn:microsoft.com/office/officeart/2005/8/layout/hierarchy4"/>
    <dgm:cxn modelId="{FCAB933D-5982-45E7-A66A-55BEACFDC040}" type="presParOf" srcId="{6426DD40-AF46-412B-97F7-C9C8F4CEDB4B}" destId="{2872EA90-66B0-48B5-AE4F-05E7291DF82B}" srcOrd="4" destOrd="0" presId="urn:microsoft.com/office/officeart/2005/8/layout/hierarchy4"/>
    <dgm:cxn modelId="{943DD3D3-CF09-4928-BE55-531D00993017}" type="presParOf" srcId="{2872EA90-66B0-48B5-AE4F-05E7291DF82B}" destId="{424D2898-FF30-41BA-9A36-333D9EFC088F}" srcOrd="0" destOrd="0" presId="urn:microsoft.com/office/officeart/2005/8/layout/hierarchy4"/>
    <dgm:cxn modelId="{6D1DEC73-2DF0-4E63-B79D-5F38DACBC38E}" type="presParOf" srcId="{2872EA90-66B0-48B5-AE4F-05E7291DF82B}" destId="{AEB23DE8-3856-42C5-B126-ADF8C82165B7}" srcOrd="1" destOrd="0" presId="urn:microsoft.com/office/officeart/2005/8/layout/hierarchy4"/>
    <dgm:cxn modelId="{6834E337-66F7-4A85-B837-3335B0EA8FAE}" type="presParOf" srcId="{6426DD40-AF46-412B-97F7-C9C8F4CEDB4B}" destId="{71873B2C-E084-4F30-AFC0-14F4545A7696}" srcOrd="5" destOrd="0" presId="urn:microsoft.com/office/officeart/2005/8/layout/hierarchy4"/>
    <dgm:cxn modelId="{A141077D-6F95-483F-8E80-B6B9DBD4DD3D}" type="presParOf" srcId="{6426DD40-AF46-412B-97F7-C9C8F4CEDB4B}" destId="{ACC67643-426E-44FE-BCCA-BB8CE090B302}" srcOrd="6" destOrd="0" presId="urn:microsoft.com/office/officeart/2005/8/layout/hierarchy4"/>
    <dgm:cxn modelId="{FD923F21-D847-4D28-89D1-DEAD88B87A6D}" type="presParOf" srcId="{ACC67643-426E-44FE-BCCA-BB8CE090B302}" destId="{65A00C59-FD86-4B84-B9D5-AE1FB1994B39}" srcOrd="0" destOrd="0" presId="urn:microsoft.com/office/officeart/2005/8/layout/hierarchy4"/>
    <dgm:cxn modelId="{B081C1A6-1E34-42AC-998D-400FFACA197D}" type="presParOf" srcId="{ACC67643-426E-44FE-BCCA-BB8CE090B302}" destId="{208FD661-FAA2-439F-A705-B5251026989C}" srcOrd="1" destOrd="0" presId="urn:microsoft.com/office/officeart/2005/8/layout/hierarchy4"/>
    <dgm:cxn modelId="{A1BBF24D-9F81-428D-9F23-CF7A33DB4BE4}" type="presParOf" srcId="{6426DD40-AF46-412B-97F7-C9C8F4CEDB4B}" destId="{53E540A0-BF25-4459-9A29-DBB03D5744A7}" srcOrd="7" destOrd="0" presId="urn:microsoft.com/office/officeart/2005/8/layout/hierarchy4"/>
    <dgm:cxn modelId="{E9387C01-12AA-4A26-B814-3021AE9DD304}" type="presParOf" srcId="{6426DD40-AF46-412B-97F7-C9C8F4CEDB4B}" destId="{24F3CDA3-9A9A-4C91-A4D4-2821D8C0D99C}" srcOrd="8" destOrd="0" presId="urn:microsoft.com/office/officeart/2005/8/layout/hierarchy4"/>
    <dgm:cxn modelId="{E979F553-DE3C-4EF8-8C14-70D74D135557}" type="presParOf" srcId="{24F3CDA3-9A9A-4C91-A4D4-2821D8C0D99C}" destId="{FA635E87-A9A9-4E0B-8807-D762DD9863C4}" srcOrd="0" destOrd="0" presId="urn:microsoft.com/office/officeart/2005/8/layout/hierarchy4"/>
    <dgm:cxn modelId="{F3A00BDC-FC86-436E-8D80-8431F3121955}" type="presParOf" srcId="{24F3CDA3-9A9A-4C91-A4D4-2821D8C0D99C}" destId="{7FCBFD4E-539D-4E3C-B52F-6E6508C435E5}" srcOrd="1" destOrd="0" presId="urn:microsoft.com/office/officeart/2005/8/layout/hierarchy4"/>
    <dgm:cxn modelId="{43635FF8-9EBF-43E2-BD9E-76EBFBB8F0F3}" type="presParOf" srcId="{FF332C31-2B13-4276-9983-64F41EE1F9D8}" destId="{D5FC90A4-3B4A-45DD-A2EF-6F60144B3FC7}" srcOrd="7" destOrd="0" presId="urn:microsoft.com/office/officeart/2005/8/layout/hierarchy4"/>
    <dgm:cxn modelId="{6B6AD473-9CBF-48AE-B09F-E9021D4A1BE4}" type="presParOf" srcId="{FF332C31-2B13-4276-9983-64F41EE1F9D8}" destId="{840E38D4-2B2F-4175-ACE9-6D20FB4B187F}" srcOrd="8" destOrd="0" presId="urn:microsoft.com/office/officeart/2005/8/layout/hierarchy4"/>
    <dgm:cxn modelId="{BF05E32C-E749-4D13-A172-78142077D429}" type="presParOf" srcId="{840E38D4-2B2F-4175-ACE9-6D20FB4B187F}" destId="{F31770FE-14A1-4B05-90F6-A095AC909AB1}" srcOrd="0" destOrd="0" presId="urn:microsoft.com/office/officeart/2005/8/layout/hierarchy4"/>
    <dgm:cxn modelId="{0A484635-3111-4D5E-BD52-C864F568EFF1}" type="presParOf" srcId="{840E38D4-2B2F-4175-ACE9-6D20FB4B187F}" destId="{F2835174-2BFA-45AD-86EF-1FF86FE7871F}" srcOrd="1" destOrd="0" presId="urn:microsoft.com/office/officeart/2005/8/layout/hierarchy4"/>
    <dgm:cxn modelId="{15C0FE21-328A-4AC9-8201-C456F0200AC3}" type="presParOf" srcId="{840E38D4-2B2F-4175-ACE9-6D20FB4B187F}" destId="{B0E9B81C-568E-4AF2-A1D6-F3E7C3F7FF9E}" srcOrd="2" destOrd="0" presId="urn:microsoft.com/office/officeart/2005/8/layout/hierarchy4"/>
    <dgm:cxn modelId="{ED7D8748-416E-4948-A0FD-8414E5534E0E}" type="presParOf" srcId="{B0E9B81C-568E-4AF2-A1D6-F3E7C3F7FF9E}" destId="{1DF70728-1F0B-47A8-82D3-A043EA6F782B}" srcOrd="0" destOrd="0" presId="urn:microsoft.com/office/officeart/2005/8/layout/hierarchy4"/>
    <dgm:cxn modelId="{90B553CA-AB73-44FC-84D4-EA537092A4D0}" type="presParOf" srcId="{1DF70728-1F0B-47A8-82D3-A043EA6F782B}" destId="{781C4169-DF5D-4697-A623-B9A06EED3790}" srcOrd="0" destOrd="0" presId="urn:microsoft.com/office/officeart/2005/8/layout/hierarchy4"/>
    <dgm:cxn modelId="{FEBBE285-BB4F-47A2-A7FF-FA68334386E3}" type="presParOf" srcId="{1DF70728-1F0B-47A8-82D3-A043EA6F782B}" destId="{E00AD1F4-DFB3-4E1E-9F1C-EA876EDE1B46}" srcOrd="1" destOrd="0" presId="urn:microsoft.com/office/officeart/2005/8/layout/hierarchy4"/>
    <dgm:cxn modelId="{3BEE4D5C-BE50-41CC-8EEA-F07C06337E9C}" type="presParOf" srcId="{1DF70728-1F0B-47A8-82D3-A043EA6F782B}" destId="{8D230873-4C79-4EF3-9C49-B897D76242E3}" srcOrd="2" destOrd="0" presId="urn:microsoft.com/office/officeart/2005/8/layout/hierarchy4"/>
    <dgm:cxn modelId="{F6E0E32F-202F-4378-9BAB-9D66742F8A9D}" type="presParOf" srcId="{8D230873-4C79-4EF3-9C49-B897D76242E3}" destId="{4E5A263C-65C6-41F7-A15F-5EDBF1FFD2C2}" srcOrd="0" destOrd="0" presId="urn:microsoft.com/office/officeart/2005/8/layout/hierarchy4"/>
    <dgm:cxn modelId="{32BBE694-B995-4B63-BBF9-D64A9DF16C6F}" type="presParOf" srcId="{4E5A263C-65C6-41F7-A15F-5EDBF1FFD2C2}" destId="{F92C6C86-EE0D-4421-AA09-2FF1349D3D6D}" srcOrd="0" destOrd="0" presId="urn:microsoft.com/office/officeart/2005/8/layout/hierarchy4"/>
    <dgm:cxn modelId="{998D95C6-DA5D-4BBB-A806-D9DF2CBC07DC}" type="presParOf" srcId="{4E5A263C-65C6-41F7-A15F-5EDBF1FFD2C2}" destId="{C29B7975-53E8-4D12-9BF7-FBD0AFC1CF1A}" srcOrd="1" destOrd="0" presId="urn:microsoft.com/office/officeart/2005/8/layout/hierarchy4"/>
    <dgm:cxn modelId="{E2428132-A3F2-4EB8-8DA3-BDFAE30FBD5B}" type="presParOf" srcId="{8D230873-4C79-4EF3-9C49-B897D76242E3}" destId="{F3BF0EF5-0CEE-46C3-8CD2-68D35AFFC97D}" srcOrd="1" destOrd="0" presId="urn:microsoft.com/office/officeart/2005/8/layout/hierarchy4"/>
    <dgm:cxn modelId="{7BCBBEBB-66AD-490B-BC11-839DA28FC1B6}" type="presParOf" srcId="{8D230873-4C79-4EF3-9C49-B897D76242E3}" destId="{941E6EFD-5981-4EB3-9133-C2B4CB92CFE5}" srcOrd="2" destOrd="0" presId="urn:microsoft.com/office/officeart/2005/8/layout/hierarchy4"/>
    <dgm:cxn modelId="{F6408B72-2293-4189-B55D-22C119CF77B2}" type="presParOf" srcId="{941E6EFD-5981-4EB3-9133-C2B4CB92CFE5}" destId="{FCE1D37B-FE7A-47DA-99E5-EB50DCC9CB2A}" srcOrd="0" destOrd="0" presId="urn:microsoft.com/office/officeart/2005/8/layout/hierarchy4"/>
    <dgm:cxn modelId="{07AF1EC3-6AD4-4A22-9552-8BDD9514199C}" type="presParOf" srcId="{941E6EFD-5981-4EB3-9133-C2B4CB92CFE5}" destId="{2866117E-E976-4957-872F-9FB289BB7490}" srcOrd="1" destOrd="0" presId="urn:microsoft.com/office/officeart/2005/8/layout/hierarchy4"/>
    <dgm:cxn modelId="{185509F7-5D03-4364-9C11-26F6C7398BC3}" type="presParOf" srcId="{8D230873-4C79-4EF3-9C49-B897D76242E3}" destId="{AADA6E97-6979-4AF1-8D22-BC6333B69489}" srcOrd="3" destOrd="0" presId="urn:microsoft.com/office/officeart/2005/8/layout/hierarchy4"/>
    <dgm:cxn modelId="{BB71DE7A-F65B-4BF4-A503-3E329ADB5673}" type="presParOf" srcId="{8D230873-4C79-4EF3-9C49-B897D76242E3}" destId="{98A87E4B-EA77-4D71-95AB-6A85B9F57191}" srcOrd="4" destOrd="0" presId="urn:microsoft.com/office/officeart/2005/8/layout/hierarchy4"/>
    <dgm:cxn modelId="{D6D0BFEB-05FF-4466-B27C-282F6219858F}" type="presParOf" srcId="{98A87E4B-EA77-4D71-95AB-6A85B9F57191}" destId="{7A8996B5-07B1-42FA-8DA8-01584C900588}" srcOrd="0" destOrd="0" presId="urn:microsoft.com/office/officeart/2005/8/layout/hierarchy4"/>
    <dgm:cxn modelId="{71647037-A6C8-4403-A5F5-B9D566845BCA}" type="presParOf" srcId="{98A87E4B-EA77-4D71-95AB-6A85B9F57191}" destId="{ED2D56EE-6215-414F-95A6-3CFEE6082150}" srcOrd="1" destOrd="0" presId="urn:microsoft.com/office/officeart/2005/8/layout/hierarchy4"/>
    <dgm:cxn modelId="{9473B808-1A01-417B-A25E-5D095F86A4FD}" type="presParOf" srcId="{8D230873-4C79-4EF3-9C49-B897D76242E3}" destId="{106AE113-B19B-4CAF-8491-3E690B583619}" srcOrd="5" destOrd="0" presId="urn:microsoft.com/office/officeart/2005/8/layout/hierarchy4"/>
    <dgm:cxn modelId="{9D8F7A52-1D88-452C-BF07-A8E870315C1E}" type="presParOf" srcId="{8D230873-4C79-4EF3-9C49-B897D76242E3}" destId="{C74FE6B1-0172-451B-88AC-CE4519856318}" srcOrd="6" destOrd="0" presId="urn:microsoft.com/office/officeart/2005/8/layout/hierarchy4"/>
    <dgm:cxn modelId="{7CF0EF97-2C54-4E1C-8777-AA0FA0968F12}" type="presParOf" srcId="{C74FE6B1-0172-451B-88AC-CE4519856318}" destId="{DDB5A897-7489-42D2-B0F5-A393B0D63B86}" srcOrd="0" destOrd="0" presId="urn:microsoft.com/office/officeart/2005/8/layout/hierarchy4"/>
    <dgm:cxn modelId="{5863417A-6C21-473E-ABC1-0813E8A353F4}" type="presParOf" srcId="{C74FE6B1-0172-451B-88AC-CE4519856318}" destId="{8807A1A9-6B13-43B8-8E56-0C9A9932AF85}" srcOrd="1" destOrd="0" presId="urn:microsoft.com/office/officeart/2005/8/layout/hierarchy4"/>
    <dgm:cxn modelId="{E81D7C3F-B147-4235-884D-A29A667F4D6B}" type="presParOf" srcId="{8D230873-4C79-4EF3-9C49-B897D76242E3}" destId="{EB9EF923-BFE0-4965-A2C5-8FF77BCBF530}" srcOrd="7" destOrd="0" presId="urn:microsoft.com/office/officeart/2005/8/layout/hierarchy4"/>
    <dgm:cxn modelId="{402F1AA1-5768-49B8-9E95-48187D5F94BB}" type="presParOf" srcId="{8D230873-4C79-4EF3-9C49-B897D76242E3}" destId="{D1C8BB9D-E7FB-4EAF-B8D3-52A572F7A809}" srcOrd="8" destOrd="0" presId="urn:microsoft.com/office/officeart/2005/8/layout/hierarchy4"/>
    <dgm:cxn modelId="{39A50B7C-49FF-45AB-8180-3B15087C711F}" type="presParOf" srcId="{D1C8BB9D-E7FB-4EAF-B8D3-52A572F7A809}" destId="{B6F87DD0-B407-4F68-9501-095CAFB90699}" srcOrd="0" destOrd="0" presId="urn:microsoft.com/office/officeart/2005/8/layout/hierarchy4"/>
    <dgm:cxn modelId="{5332D731-C1C7-4543-8F03-7F430142F8C9}" type="presParOf" srcId="{D1C8BB9D-E7FB-4EAF-B8D3-52A572F7A809}" destId="{3472AAA2-1D11-46F2-A8BD-CD6E7BEB485D}" srcOrd="1" destOrd="0" presId="urn:microsoft.com/office/officeart/2005/8/layout/hierarchy4"/>
    <dgm:cxn modelId="{9888AED1-2DC9-481B-8C85-8C6FB6124E75}" type="presParOf" srcId="{FF332C31-2B13-4276-9983-64F41EE1F9D8}" destId="{194971AD-963B-4EE0-9CFC-27A75D12947B}" srcOrd="9" destOrd="0" presId="urn:microsoft.com/office/officeart/2005/8/layout/hierarchy4"/>
    <dgm:cxn modelId="{0157F1E3-98C2-4784-96CA-F21069680CDC}" type="presParOf" srcId="{FF332C31-2B13-4276-9983-64F41EE1F9D8}" destId="{C19AACB7-5790-4619-84D6-CE9976D9D629}" srcOrd="10" destOrd="0" presId="urn:microsoft.com/office/officeart/2005/8/layout/hierarchy4"/>
    <dgm:cxn modelId="{5C6EF617-436D-47FF-B68E-33D4E834B369}" type="presParOf" srcId="{C19AACB7-5790-4619-84D6-CE9976D9D629}" destId="{B5DFDB8F-B340-4DE7-B135-CDE8C4BD080A}" srcOrd="0" destOrd="0" presId="urn:microsoft.com/office/officeart/2005/8/layout/hierarchy4"/>
    <dgm:cxn modelId="{DA746F12-5323-4147-A86A-1C615592694A}" type="presParOf" srcId="{C19AACB7-5790-4619-84D6-CE9976D9D629}" destId="{DAAE53AF-CEC1-4EE2-858F-F9D2A437D025}" srcOrd="1" destOrd="0" presId="urn:microsoft.com/office/officeart/2005/8/layout/hierarchy4"/>
    <dgm:cxn modelId="{72170BFE-240A-4C25-8174-D703D31028F1}" type="presParOf" srcId="{C19AACB7-5790-4619-84D6-CE9976D9D629}" destId="{048435E1-1F5F-4FB4-B288-F4043B3B8097}" srcOrd="2" destOrd="0" presId="urn:microsoft.com/office/officeart/2005/8/layout/hierarchy4"/>
    <dgm:cxn modelId="{4AECB043-2894-481B-93BE-17026AB9B843}" type="presParOf" srcId="{048435E1-1F5F-4FB4-B288-F4043B3B8097}" destId="{E77B19A7-1BF1-48CA-B4B4-9682CFCF119B}" srcOrd="0" destOrd="0" presId="urn:microsoft.com/office/officeart/2005/8/layout/hierarchy4"/>
    <dgm:cxn modelId="{1035C90B-ED8D-48E7-8FCC-6BCDD3081874}" type="presParOf" srcId="{E77B19A7-1BF1-48CA-B4B4-9682CFCF119B}" destId="{02024957-B84F-4987-948D-73034DE4F968}" srcOrd="0" destOrd="0" presId="urn:microsoft.com/office/officeart/2005/8/layout/hierarchy4"/>
    <dgm:cxn modelId="{FABA3CB8-544F-4ACF-816C-B23F0F1F3B56}" type="presParOf" srcId="{E77B19A7-1BF1-48CA-B4B4-9682CFCF119B}" destId="{84F87FAF-549D-43A3-B36E-F1D78C1D89B1}" srcOrd="1" destOrd="0" presId="urn:microsoft.com/office/officeart/2005/8/layout/hierarchy4"/>
    <dgm:cxn modelId="{DE066831-3003-4C3F-92F7-2B408B4C6073}" type="presParOf" srcId="{E77B19A7-1BF1-48CA-B4B4-9682CFCF119B}" destId="{769D7385-387C-4B1C-8421-8B1BC6F61A63}" srcOrd="2" destOrd="0" presId="urn:microsoft.com/office/officeart/2005/8/layout/hierarchy4"/>
    <dgm:cxn modelId="{21B24F19-2D40-45EC-B53F-0296559333F0}" type="presParOf" srcId="{769D7385-387C-4B1C-8421-8B1BC6F61A63}" destId="{1DBC7157-856B-4EF6-8A32-22C243DB025A}" srcOrd="0" destOrd="0" presId="urn:microsoft.com/office/officeart/2005/8/layout/hierarchy4"/>
    <dgm:cxn modelId="{8FC3DFCA-9538-402B-B3D9-E5D01384BA59}" type="presParOf" srcId="{1DBC7157-856B-4EF6-8A32-22C243DB025A}" destId="{C0845D07-48DD-4E16-BC24-AD25B5713F72}" srcOrd="0" destOrd="0" presId="urn:microsoft.com/office/officeart/2005/8/layout/hierarchy4"/>
    <dgm:cxn modelId="{7002A3D2-458E-4C4D-87C4-290E96E457F0}" type="presParOf" srcId="{1DBC7157-856B-4EF6-8A32-22C243DB025A}" destId="{BEC85500-829B-4472-8620-C1F8E866D204}" srcOrd="1" destOrd="0" presId="urn:microsoft.com/office/officeart/2005/8/layout/hierarchy4"/>
    <dgm:cxn modelId="{626FCB4A-0142-430B-9DDB-042E8253BAB6}" type="presParOf" srcId="{769D7385-387C-4B1C-8421-8B1BC6F61A63}" destId="{1CC2E80C-EFCB-44DE-BB4D-FD5D14461323}" srcOrd="1" destOrd="0" presId="urn:microsoft.com/office/officeart/2005/8/layout/hierarchy4"/>
    <dgm:cxn modelId="{5DC891A6-2B9D-4340-89BF-E28641445CCF}" type="presParOf" srcId="{769D7385-387C-4B1C-8421-8B1BC6F61A63}" destId="{B918514E-A1F0-4F4B-AC5F-2AB3E046B1CB}" srcOrd="2" destOrd="0" presId="urn:microsoft.com/office/officeart/2005/8/layout/hierarchy4"/>
    <dgm:cxn modelId="{47D24DBA-0B55-4666-BAD6-F64AD9A5A2D3}" type="presParOf" srcId="{B918514E-A1F0-4F4B-AC5F-2AB3E046B1CB}" destId="{B7B9B41E-E143-413D-AC59-904856A78240}" srcOrd="0" destOrd="0" presId="urn:microsoft.com/office/officeart/2005/8/layout/hierarchy4"/>
    <dgm:cxn modelId="{B23703D0-C9FC-4EFD-A193-C82C35BDC654}" type="presParOf" srcId="{B918514E-A1F0-4F4B-AC5F-2AB3E046B1CB}" destId="{9BA4F1E1-A899-4051-9D79-305105736A9A}" srcOrd="1" destOrd="0" presId="urn:microsoft.com/office/officeart/2005/8/layout/hierarchy4"/>
    <dgm:cxn modelId="{561B7514-6A2C-4E08-A0AE-F4E277A58FF3}" type="presParOf" srcId="{769D7385-387C-4B1C-8421-8B1BC6F61A63}" destId="{7C3063D1-8516-442D-B989-844B457699D4}" srcOrd="3" destOrd="0" presId="urn:microsoft.com/office/officeart/2005/8/layout/hierarchy4"/>
    <dgm:cxn modelId="{E416C884-8F5D-47C5-8E8C-0B905C9D03EC}" type="presParOf" srcId="{769D7385-387C-4B1C-8421-8B1BC6F61A63}" destId="{1B04F138-71E4-40E3-886B-6D79FFFC2D85}" srcOrd="4" destOrd="0" presId="urn:microsoft.com/office/officeart/2005/8/layout/hierarchy4"/>
    <dgm:cxn modelId="{A8624627-3C46-4A61-AA41-17481AC5D02A}" type="presParOf" srcId="{1B04F138-71E4-40E3-886B-6D79FFFC2D85}" destId="{6E903580-6C75-494C-A5A0-3498772D39EC}" srcOrd="0" destOrd="0" presId="urn:microsoft.com/office/officeart/2005/8/layout/hierarchy4"/>
    <dgm:cxn modelId="{63DA09ED-AD47-4DB1-A697-6F8563A83376}" type="presParOf" srcId="{1B04F138-71E4-40E3-886B-6D79FFFC2D85}" destId="{8993E571-A990-4856-B1EE-1570A7FC1694}" srcOrd="1" destOrd="0" presId="urn:microsoft.com/office/officeart/2005/8/layout/hierarchy4"/>
    <dgm:cxn modelId="{C45BEF91-BCC3-4D8D-B527-ABAD4579F37C}" type="presParOf" srcId="{769D7385-387C-4B1C-8421-8B1BC6F61A63}" destId="{B160CFF7-606D-4BF0-BA54-410FD7E62008}" srcOrd="5" destOrd="0" presId="urn:microsoft.com/office/officeart/2005/8/layout/hierarchy4"/>
    <dgm:cxn modelId="{28EF6EA9-2800-4E1D-9609-B28149904590}" type="presParOf" srcId="{769D7385-387C-4B1C-8421-8B1BC6F61A63}" destId="{89447249-27BA-47EF-A303-A128C5C21EE7}" srcOrd="6" destOrd="0" presId="urn:microsoft.com/office/officeart/2005/8/layout/hierarchy4"/>
    <dgm:cxn modelId="{38D72749-35AF-459E-AEAE-1C5856D46F5D}" type="presParOf" srcId="{89447249-27BA-47EF-A303-A128C5C21EE7}" destId="{C36DFDC0-7DC0-40C7-9BD5-F740EEF3CD0E}" srcOrd="0" destOrd="0" presId="urn:microsoft.com/office/officeart/2005/8/layout/hierarchy4"/>
    <dgm:cxn modelId="{DEBBA9B0-154C-4032-B6F3-F787595BF5B4}" type="presParOf" srcId="{89447249-27BA-47EF-A303-A128C5C21EE7}" destId="{586758E6-A582-41C6-8FC0-689A236D3AD0}" srcOrd="1" destOrd="0" presId="urn:microsoft.com/office/officeart/2005/8/layout/hierarchy4"/>
    <dgm:cxn modelId="{1BB21ABC-7A62-4820-BCFF-34B0C7CC4270}" type="presParOf" srcId="{769D7385-387C-4B1C-8421-8B1BC6F61A63}" destId="{CCCBBE7F-64DB-4C61-A4D4-0BE8B53C6974}" srcOrd="7" destOrd="0" presId="urn:microsoft.com/office/officeart/2005/8/layout/hierarchy4"/>
    <dgm:cxn modelId="{EF3BA2B5-C12F-4315-8E77-16343655DAE4}" type="presParOf" srcId="{769D7385-387C-4B1C-8421-8B1BC6F61A63}" destId="{FF7F6D9B-A4CD-4826-954D-3420F00FE5C3}" srcOrd="8" destOrd="0" presId="urn:microsoft.com/office/officeart/2005/8/layout/hierarchy4"/>
    <dgm:cxn modelId="{141C3FBA-E6AC-40DC-AE36-C326BBD2CE59}" type="presParOf" srcId="{FF7F6D9B-A4CD-4826-954D-3420F00FE5C3}" destId="{155B6DD5-A514-47A6-B884-44D923BA7CB0}" srcOrd="0" destOrd="0" presId="urn:microsoft.com/office/officeart/2005/8/layout/hierarchy4"/>
    <dgm:cxn modelId="{A571165D-7A17-47C8-BE6C-7224D95CD55F}" type="presParOf" srcId="{FF7F6D9B-A4CD-4826-954D-3420F00FE5C3}" destId="{5D3D7DC1-6DA4-47BB-A77E-987EDCEBD1DF}" srcOrd="1" destOrd="0" presId="urn:microsoft.com/office/officeart/2005/8/layout/hierarchy4"/>
    <dgm:cxn modelId="{A3D3ECB7-1D54-46F9-8984-F02F01E7D3CA}" type="presParOf" srcId="{FF332C31-2B13-4276-9983-64F41EE1F9D8}" destId="{A6398D8D-8D25-460F-AC77-43C967F8A824}" srcOrd="11" destOrd="0" presId="urn:microsoft.com/office/officeart/2005/8/layout/hierarchy4"/>
    <dgm:cxn modelId="{A772EEE6-82F8-4460-9C81-DAC84FBFF9A6}" type="presParOf" srcId="{FF332C31-2B13-4276-9983-64F41EE1F9D8}" destId="{D0B7A61F-CBD0-429C-81D4-CECD37AF0F0D}" srcOrd="12" destOrd="0" presId="urn:microsoft.com/office/officeart/2005/8/layout/hierarchy4"/>
    <dgm:cxn modelId="{B0ECFC70-FFD5-49F0-A781-81BAC582AA92}" type="presParOf" srcId="{D0B7A61F-CBD0-429C-81D4-CECD37AF0F0D}" destId="{F832C234-6D3E-4E21-8EDD-BBE97E7D4BF6}" srcOrd="0" destOrd="0" presId="urn:microsoft.com/office/officeart/2005/8/layout/hierarchy4"/>
    <dgm:cxn modelId="{1B05DFA9-2F3B-4327-9C21-DCF220BEBB03}" type="presParOf" srcId="{D0B7A61F-CBD0-429C-81D4-CECD37AF0F0D}" destId="{4F888135-EA9E-4C58-8B10-00D8EF11DD2E}" srcOrd="1" destOrd="0" presId="urn:microsoft.com/office/officeart/2005/8/layout/hierarchy4"/>
    <dgm:cxn modelId="{D8D7B28C-F394-41B6-A4C3-3B1F9EBAF1A1}" type="presParOf" srcId="{D0B7A61F-CBD0-429C-81D4-CECD37AF0F0D}" destId="{BB9487A0-637F-4EB0-B5B2-5FBED0B20C5F}" srcOrd="2" destOrd="0" presId="urn:microsoft.com/office/officeart/2005/8/layout/hierarchy4"/>
    <dgm:cxn modelId="{26647D99-A97A-48D6-BA09-9C7D246B700F}" type="presParOf" srcId="{BB9487A0-637F-4EB0-B5B2-5FBED0B20C5F}" destId="{0A107C04-8129-4EC8-BBAA-75C852549522}" srcOrd="0" destOrd="0" presId="urn:microsoft.com/office/officeart/2005/8/layout/hierarchy4"/>
    <dgm:cxn modelId="{E5AD3E14-8B1C-4998-95FF-A8667300E379}" type="presParOf" srcId="{0A107C04-8129-4EC8-BBAA-75C852549522}" destId="{F192C2F2-06F2-4F16-9A89-8936A3691C19}" srcOrd="0" destOrd="0" presId="urn:microsoft.com/office/officeart/2005/8/layout/hierarchy4"/>
    <dgm:cxn modelId="{CAB86386-CDB1-444A-B829-ABC9E7717343}" type="presParOf" srcId="{0A107C04-8129-4EC8-BBAA-75C852549522}" destId="{882F1C5F-900A-4865-BA33-59ADB2CDEB1E}" srcOrd="1" destOrd="0" presId="urn:microsoft.com/office/officeart/2005/8/layout/hierarchy4"/>
    <dgm:cxn modelId="{DB3ED65E-5536-4388-9A28-8B093987592D}" type="presParOf" srcId="{0A107C04-8129-4EC8-BBAA-75C852549522}" destId="{EE72B701-A8CE-4B52-8112-38DA371F0CC3}" srcOrd="2" destOrd="0" presId="urn:microsoft.com/office/officeart/2005/8/layout/hierarchy4"/>
    <dgm:cxn modelId="{9737FBAF-14A6-4E52-B6AE-9A667BFF22A6}" type="presParOf" srcId="{EE72B701-A8CE-4B52-8112-38DA371F0CC3}" destId="{5B45EB7E-CA81-4EA0-A895-63C51911C526}" srcOrd="0" destOrd="0" presId="urn:microsoft.com/office/officeart/2005/8/layout/hierarchy4"/>
    <dgm:cxn modelId="{351F4078-F8CF-41A6-970B-ECD240BF1F06}" type="presParOf" srcId="{5B45EB7E-CA81-4EA0-A895-63C51911C526}" destId="{D53A857C-4F66-49C4-B1A6-7E3C61115762}" srcOrd="0" destOrd="0" presId="urn:microsoft.com/office/officeart/2005/8/layout/hierarchy4"/>
    <dgm:cxn modelId="{74926EF8-1297-43CB-9195-9F4A28CCD5BA}" type="presParOf" srcId="{5B45EB7E-CA81-4EA0-A895-63C51911C526}" destId="{EC139D71-F12B-4393-BB62-7EEE16B5D802}" srcOrd="1" destOrd="0" presId="urn:microsoft.com/office/officeart/2005/8/layout/hierarchy4"/>
    <dgm:cxn modelId="{EC4C707A-A7C6-4358-96B8-08EBBAD1AF36}" type="presParOf" srcId="{EE72B701-A8CE-4B52-8112-38DA371F0CC3}" destId="{298CE0EA-3437-4F4C-9F65-374524D05DF5}" srcOrd="1" destOrd="0" presId="urn:microsoft.com/office/officeart/2005/8/layout/hierarchy4"/>
    <dgm:cxn modelId="{E5C199FF-A77B-49DE-BE82-32521BAAC170}" type="presParOf" srcId="{EE72B701-A8CE-4B52-8112-38DA371F0CC3}" destId="{09653890-5B27-412C-A057-3792DED17FB7}" srcOrd="2" destOrd="0" presId="urn:microsoft.com/office/officeart/2005/8/layout/hierarchy4"/>
    <dgm:cxn modelId="{042D3E44-83A2-4453-A984-AD6498490762}" type="presParOf" srcId="{09653890-5B27-412C-A057-3792DED17FB7}" destId="{8CCE61C2-4B46-4F39-A65B-17FBA386B1FD}" srcOrd="0" destOrd="0" presId="urn:microsoft.com/office/officeart/2005/8/layout/hierarchy4"/>
    <dgm:cxn modelId="{8D9BC8C5-1AB5-4AD3-A9FA-D9FF3BEF90C9}" type="presParOf" srcId="{09653890-5B27-412C-A057-3792DED17FB7}" destId="{4D2F34B5-5126-4078-B9F0-86EE17B0C0DF}" srcOrd="1" destOrd="0" presId="urn:microsoft.com/office/officeart/2005/8/layout/hierarchy4"/>
    <dgm:cxn modelId="{AC8EFA22-CB05-492D-8F79-C40B1D383E1C}" type="presParOf" srcId="{EE72B701-A8CE-4B52-8112-38DA371F0CC3}" destId="{36B25F2E-6CDB-4980-874D-77FEA42C064B}" srcOrd="3" destOrd="0" presId="urn:microsoft.com/office/officeart/2005/8/layout/hierarchy4"/>
    <dgm:cxn modelId="{400B2DFD-03E5-49EC-85D4-264E19BCEDB5}" type="presParOf" srcId="{EE72B701-A8CE-4B52-8112-38DA371F0CC3}" destId="{343CBCA2-5168-4A55-AC83-B58412530A09}" srcOrd="4" destOrd="0" presId="urn:microsoft.com/office/officeart/2005/8/layout/hierarchy4"/>
    <dgm:cxn modelId="{66406122-ECF1-4BD4-AB6E-4AD6B825FB2C}" type="presParOf" srcId="{343CBCA2-5168-4A55-AC83-B58412530A09}" destId="{B2E80F71-304D-4A8F-90A6-0EA4FD8DF367}" srcOrd="0" destOrd="0" presId="urn:microsoft.com/office/officeart/2005/8/layout/hierarchy4"/>
    <dgm:cxn modelId="{40B4B5FB-6E3E-473A-8652-D66C2F35F7D7}" type="presParOf" srcId="{343CBCA2-5168-4A55-AC83-B58412530A09}" destId="{DA8C0F12-E747-4663-A172-C14E826E36F9}" srcOrd="1" destOrd="0" presId="urn:microsoft.com/office/officeart/2005/8/layout/hierarchy4"/>
    <dgm:cxn modelId="{0AE4083E-8C31-49F9-A96F-EECECF5B57C1}" type="presParOf" srcId="{EE72B701-A8CE-4B52-8112-38DA371F0CC3}" destId="{B876B26E-C81A-432D-9589-97F46E6018DD}" srcOrd="5" destOrd="0" presId="urn:microsoft.com/office/officeart/2005/8/layout/hierarchy4"/>
    <dgm:cxn modelId="{A4B6A569-3744-4763-93A3-E19BA90B4A68}" type="presParOf" srcId="{EE72B701-A8CE-4B52-8112-38DA371F0CC3}" destId="{394B7A59-E700-4087-8405-6FC6C6A40E0B}" srcOrd="6" destOrd="0" presId="urn:microsoft.com/office/officeart/2005/8/layout/hierarchy4"/>
    <dgm:cxn modelId="{376CB6EC-662C-4C4E-88AC-CFDCBDC12ABC}" type="presParOf" srcId="{394B7A59-E700-4087-8405-6FC6C6A40E0B}" destId="{12C72820-5147-48AC-8801-9A4902030E58}" srcOrd="0" destOrd="0" presId="urn:microsoft.com/office/officeart/2005/8/layout/hierarchy4"/>
    <dgm:cxn modelId="{D1B08884-1BE3-4B9B-AB2F-A8229AB98C25}" type="presParOf" srcId="{394B7A59-E700-4087-8405-6FC6C6A40E0B}" destId="{E3BFF483-CEDA-40DB-A5B8-D2878DB1889B}" srcOrd="1" destOrd="0" presId="urn:microsoft.com/office/officeart/2005/8/layout/hierarchy4"/>
    <dgm:cxn modelId="{374CA132-1E63-4713-9147-2170A7169E2A}" type="presParOf" srcId="{EE72B701-A8CE-4B52-8112-38DA371F0CC3}" destId="{48ED0D62-44FB-44A4-A481-720FE7472592}" srcOrd="7" destOrd="0" presId="urn:microsoft.com/office/officeart/2005/8/layout/hierarchy4"/>
    <dgm:cxn modelId="{B9F23B66-E70C-4815-943C-59AC865CA1B9}" type="presParOf" srcId="{EE72B701-A8CE-4B52-8112-38DA371F0CC3}" destId="{18B1E0A5-6C72-4C29-82A0-415E8AF99249}" srcOrd="8" destOrd="0" presId="urn:microsoft.com/office/officeart/2005/8/layout/hierarchy4"/>
    <dgm:cxn modelId="{AC8B93EA-4139-4417-AA4F-7B268A3C8A1C}" type="presParOf" srcId="{18B1E0A5-6C72-4C29-82A0-415E8AF99249}" destId="{65790018-D7CB-4DCE-97E8-18548F652072}" srcOrd="0" destOrd="0" presId="urn:microsoft.com/office/officeart/2005/8/layout/hierarchy4"/>
    <dgm:cxn modelId="{4DB9AAC1-AC14-41A2-8CBA-F19270645C89}" type="presParOf" srcId="{18B1E0A5-6C72-4C29-82A0-415E8AF99249}" destId="{CF215351-942E-458B-BC8B-323DAB591819}" srcOrd="1" destOrd="0" presId="urn:microsoft.com/office/officeart/2005/8/layout/hierarchy4"/>
    <dgm:cxn modelId="{C52602B5-0821-44F2-9D16-5BF52DE634E0}" type="presParOf" srcId="{FF332C31-2B13-4276-9983-64F41EE1F9D8}" destId="{9F1BB954-0DFB-4E3B-8E62-719511851331}" srcOrd="13" destOrd="0" presId="urn:microsoft.com/office/officeart/2005/8/layout/hierarchy4"/>
    <dgm:cxn modelId="{8CDCB01F-75AB-4E21-92BB-C3408A17C574}" type="presParOf" srcId="{FF332C31-2B13-4276-9983-64F41EE1F9D8}" destId="{6696E845-0616-44C6-B258-343CBC0A5CE0}" srcOrd="14" destOrd="0" presId="urn:microsoft.com/office/officeart/2005/8/layout/hierarchy4"/>
    <dgm:cxn modelId="{DFC76CA5-9A02-44C3-9F64-577EB1429726}" type="presParOf" srcId="{6696E845-0616-44C6-B258-343CBC0A5CE0}" destId="{84C19DD8-4D05-4519-9809-0DBABCC00D85}" srcOrd="0" destOrd="0" presId="urn:microsoft.com/office/officeart/2005/8/layout/hierarchy4"/>
    <dgm:cxn modelId="{917C6568-90CB-4B8A-BEA1-762965A1292F}" type="presParOf" srcId="{6696E845-0616-44C6-B258-343CBC0A5CE0}" destId="{9BFC261D-97B0-4B79-A5A8-83FA8CD9C97A}" srcOrd="1" destOrd="0" presId="urn:microsoft.com/office/officeart/2005/8/layout/hierarchy4"/>
    <dgm:cxn modelId="{044B9E22-D5D7-4C0B-8D3D-7E8B1052EECD}" type="presParOf" srcId="{6696E845-0616-44C6-B258-343CBC0A5CE0}" destId="{9B748981-BF74-4AD7-880E-0CEBF9951DEF}" srcOrd="2" destOrd="0" presId="urn:microsoft.com/office/officeart/2005/8/layout/hierarchy4"/>
    <dgm:cxn modelId="{1B11C521-DD46-410F-A2D8-49769FE2BA54}" type="presParOf" srcId="{9B748981-BF74-4AD7-880E-0CEBF9951DEF}" destId="{36DBC73B-4D71-4623-AD39-C144285D373A}" srcOrd="0" destOrd="0" presId="urn:microsoft.com/office/officeart/2005/8/layout/hierarchy4"/>
    <dgm:cxn modelId="{86F08B02-286A-4503-BD54-9BB8D143BADB}" type="presParOf" srcId="{36DBC73B-4D71-4623-AD39-C144285D373A}" destId="{9F0D0398-6863-465A-8084-73C32D797539}" srcOrd="0" destOrd="0" presId="urn:microsoft.com/office/officeart/2005/8/layout/hierarchy4"/>
    <dgm:cxn modelId="{16FF223C-D3C2-4714-861F-6E260176DC82}" type="presParOf" srcId="{36DBC73B-4D71-4623-AD39-C144285D373A}" destId="{0EA0D42A-6B60-4C7A-89CB-498004D2A287}" srcOrd="1" destOrd="0" presId="urn:microsoft.com/office/officeart/2005/8/layout/hierarchy4"/>
    <dgm:cxn modelId="{5A631DD5-2F06-436C-8089-73D228836500}" type="presParOf" srcId="{36DBC73B-4D71-4623-AD39-C144285D373A}" destId="{EFA9B06D-0D05-4ABB-962B-17254342B4DB}" srcOrd="2" destOrd="0" presId="urn:microsoft.com/office/officeart/2005/8/layout/hierarchy4"/>
    <dgm:cxn modelId="{E0BFB91C-8201-46CF-99B4-51CADC4C0A53}" type="presParOf" srcId="{EFA9B06D-0D05-4ABB-962B-17254342B4DB}" destId="{C671EBB4-5986-477C-83C3-CB39A8644F00}" srcOrd="0" destOrd="0" presId="urn:microsoft.com/office/officeart/2005/8/layout/hierarchy4"/>
    <dgm:cxn modelId="{B5151005-4B1A-4328-8627-3C16B83F51A3}" type="presParOf" srcId="{C671EBB4-5986-477C-83C3-CB39A8644F00}" destId="{DF31CC8B-CB71-4DB9-8C83-CF45E3748CC6}" srcOrd="0" destOrd="0" presId="urn:microsoft.com/office/officeart/2005/8/layout/hierarchy4"/>
    <dgm:cxn modelId="{A7BC604B-A308-45ED-9F72-AE8086F3D497}" type="presParOf" srcId="{C671EBB4-5986-477C-83C3-CB39A8644F00}" destId="{9B93FC51-72B4-42AA-981F-AFD3B1738E73}" srcOrd="1" destOrd="0" presId="urn:microsoft.com/office/officeart/2005/8/layout/hierarchy4"/>
    <dgm:cxn modelId="{AB33070E-17AD-4E26-B785-0092B7A181E0}" type="presParOf" srcId="{EFA9B06D-0D05-4ABB-962B-17254342B4DB}" destId="{9B04F06E-E32A-4C1C-9014-054549F26D69}" srcOrd="1" destOrd="0" presId="urn:microsoft.com/office/officeart/2005/8/layout/hierarchy4"/>
    <dgm:cxn modelId="{80AB3358-C9BE-40A2-ABEC-D217D19FF2C1}" type="presParOf" srcId="{EFA9B06D-0D05-4ABB-962B-17254342B4DB}" destId="{29988B3A-391A-4C88-9284-91C7F92FF940}" srcOrd="2" destOrd="0" presId="urn:microsoft.com/office/officeart/2005/8/layout/hierarchy4"/>
    <dgm:cxn modelId="{CCCFDDA7-AA16-4CAE-91B8-C0B394EE1A49}" type="presParOf" srcId="{29988B3A-391A-4C88-9284-91C7F92FF940}" destId="{EF530F14-D3F8-4856-BE44-639FF3389386}" srcOrd="0" destOrd="0" presId="urn:microsoft.com/office/officeart/2005/8/layout/hierarchy4"/>
    <dgm:cxn modelId="{A2B0EADE-8495-47C9-9E5E-7D1DBAC88F62}" type="presParOf" srcId="{29988B3A-391A-4C88-9284-91C7F92FF940}" destId="{9455AC0B-2A0F-4669-B62B-B68A5B5C6745}" srcOrd="1" destOrd="0" presId="urn:microsoft.com/office/officeart/2005/8/layout/hierarchy4"/>
    <dgm:cxn modelId="{B08ED339-1FB3-47A3-90A7-5047B894E7E5}" type="presParOf" srcId="{EFA9B06D-0D05-4ABB-962B-17254342B4DB}" destId="{102D408D-73DE-49A2-AF91-F7FFB797F89B}" srcOrd="3" destOrd="0" presId="urn:microsoft.com/office/officeart/2005/8/layout/hierarchy4"/>
    <dgm:cxn modelId="{7F9EC78A-B622-4A5B-9A10-DADAC36AB738}" type="presParOf" srcId="{EFA9B06D-0D05-4ABB-962B-17254342B4DB}" destId="{814782CD-89C6-4746-9B21-2B2DB9E11DF3}" srcOrd="4" destOrd="0" presId="urn:microsoft.com/office/officeart/2005/8/layout/hierarchy4"/>
    <dgm:cxn modelId="{C3D81D01-3852-436E-B405-2389D61D0FCE}" type="presParOf" srcId="{814782CD-89C6-4746-9B21-2B2DB9E11DF3}" destId="{7F1AA4DD-C676-4FBB-BE7A-D3787ECB9470}" srcOrd="0" destOrd="0" presId="urn:microsoft.com/office/officeart/2005/8/layout/hierarchy4"/>
    <dgm:cxn modelId="{D6C1CE7C-DA6B-4CCF-AE53-905CD130F454}" type="presParOf" srcId="{814782CD-89C6-4746-9B21-2B2DB9E11DF3}" destId="{819B7FF1-48B4-48AF-8D19-300F705D73BE}" srcOrd="1" destOrd="0" presId="urn:microsoft.com/office/officeart/2005/8/layout/hierarchy4"/>
    <dgm:cxn modelId="{94EB28D6-9A5C-412C-9AFC-1A645586E857}" type="presParOf" srcId="{EFA9B06D-0D05-4ABB-962B-17254342B4DB}" destId="{38E2567D-A32F-4FB8-BCBC-95F7FB0C3C83}" srcOrd="5" destOrd="0" presId="urn:microsoft.com/office/officeart/2005/8/layout/hierarchy4"/>
    <dgm:cxn modelId="{1A1A617F-3B83-4FFA-8534-3E96B90FFEAC}" type="presParOf" srcId="{EFA9B06D-0D05-4ABB-962B-17254342B4DB}" destId="{8C5BC9F4-0577-47C5-A0E8-042F095C52F4}" srcOrd="6" destOrd="0" presId="urn:microsoft.com/office/officeart/2005/8/layout/hierarchy4"/>
    <dgm:cxn modelId="{4DC47E3B-6CE4-4555-8870-9E1F37708A69}" type="presParOf" srcId="{8C5BC9F4-0577-47C5-A0E8-042F095C52F4}" destId="{B8001B13-63BD-4E47-88C2-F56C82466ADA}" srcOrd="0" destOrd="0" presId="urn:microsoft.com/office/officeart/2005/8/layout/hierarchy4"/>
    <dgm:cxn modelId="{BF7BD016-BBA0-4E54-A82A-7F6AAF696A7B}" type="presParOf" srcId="{8C5BC9F4-0577-47C5-A0E8-042F095C52F4}" destId="{FDF5EF41-1849-4758-9DCA-DCD65061E53B}" srcOrd="1" destOrd="0" presId="urn:microsoft.com/office/officeart/2005/8/layout/hierarchy4"/>
    <dgm:cxn modelId="{BE3A0B9F-B926-42BC-9E87-D0FCCAB3C093}" type="presParOf" srcId="{EFA9B06D-0D05-4ABB-962B-17254342B4DB}" destId="{D3919179-7D5E-4528-AA8C-F08F64A3F917}" srcOrd="7" destOrd="0" presId="urn:microsoft.com/office/officeart/2005/8/layout/hierarchy4"/>
    <dgm:cxn modelId="{151C4889-4E2E-4EC5-9EA9-46DF2BE90CD1}" type="presParOf" srcId="{EFA9B06D-0D05-4ABB-962B-17254342B4DB}" destId="{4A6E3592-5648-4C80-BE76-B35184D561A0}" srcOrd="8" destOrd="0" presId="urn:microsoft.com/office/officeart/2005/8/layout/hierarchy4"/>
    <dgm:cxn modelId="{DBEC3321-31D9-4E49-A608-1CB42C860846}" type="presParOf" srcId="{4A6E3592-5648-4C80-BE76-B35184D561A0}" destId="{78A64AF9-52CB-45B7-A6B5-95922D0E0421}" srcOrd="0" destOrd="0" presId="urn:microsoft.com/office/officeart/2005/8/layout/hierarchy4"/>
    <dgm:cxn modelId="{5F1EEEB9-3EDD-4318-92C5-6D06F476C427}" type="presParOf" srcId="{4A6E3592-5648-4C80-BE76-B35184D561A0}" destId="{D1C31575-0EBF-4AAB-81D7-A7856459556C}" srcOrd="1" destOrd="0" presId="urn:microsoft.com/office/officeart/2005/8/layout/hierarchy4"/>
    <dgm:cxn modelId="{799A0D26-2B46-405F-BA11-5473AC560A1A}" type="presParOf" srcId="{FF332C31-2B13-4276-9983-64F41EE1F9D8}" destId="{00E43BB1-6F54-451F-8D44-0F2B1BC08A12}" srcOrd="15" destOrd="0" presId="urn:microsoft.com/office/officeart/2005/8/layout/hierarchy4"/>
    <dgm:cxn modelId="{3D75F3EE-B726-4F16-9908-F6D96E87534D}" type="presParOf" srcId="{FF332C31-2B13-4276-9983-64F41EE1F9D8}" destId="{0CB23F5B-F35E-417A-AE32-D347F3AB9AA3}" srcOrd="16" destOrd="0" presId="urn:microsoft.com/office/officeart/2005/8/layout/hierarchy4"/>
    <dgm:cxn modelId="{8676359C-A18B-41CE-AB9D-139021E9ED56}" type="presParOf" srcId="{0CB23F5B-F35E-417A-AE32-D347F3AB9AA3}" destId="{9C3473BC-48C4-4785-A87E-DEC7F2608F18}" srcOrd="0" destOrd="0" presId="urn:microsoft.com/office/officeart/2005/8/layout/hierarchy4"/>
    <dgm:cxn modelId="{04A38D6D-0668-45C9-AE7D-AF53B0C3DC3C}" type="presParOf" srcId="{0CB23F5B-F35E-417A-AE32-D347F3AB9AA3}" destId="{950F8DB3-C8C5-47E9-9512-BC7E9ED5D8DA}" srcOrd="1" destOrd="0" presId="urn:microsoft.com/office/officeart/2005/8/layout/hierarchy4"/>
    <dgm:cxn modelId="{EAE59336-B879-4962-859F-F95ED55E011D}" type="presParOf" srcId="{0CB23F5B-F35E-417A-AE32-D347F3AB9AA3}" destId="{F3812964-0059-42C5-8DE4-1EADD42D2EA6}" srcOrd="2" destOrd="0" presId="urn:microsoft.com/office/officeart/2005/8/layout/hierarchy4"/>
    <dgm:cxn modelId="{616ECE34-7565-4BB8-99DF-FC4FF2D31009}" type="presParOf" srcId="{F3812964-0059-42C5-8DE4-1EADD42D2EA6}" destId="{8223540C-1CEB-48A8-9B48-7BBEC192CC60}" srcOrd="0" destOrd="0" presId="urn:microsoft.com/office/officeart/2005/8/layout/hierarchy4"/>
    <dgm:cxn modelId="{1201A2AC-48C5-4CF8-BEBC-4D7B873B4686}" type="presParOf" srcId="{8223540C-1CEB-48A8-9B48-7BBEC192CC60}" destId="{2710DF2F-B352-45F0-833C-9C8FE6D8DA87}" srcOrd="0" destOrd="0" presId="urn:microsoft.com/office/officeart/2005/8/layout/hierarchy4"/>
    <dgm:cxn modelId="{264189A7-5329-41A1-8209-A87A593262E3}" type="presParOf" srcId="{8223540C-1CEB-48A8-9B48-7BBEC192CC60}" destId="{F365DCB4-2F61-4775-B30C-04147E85AA4B}" srcOrd="1" destOrd="0" presId="urn:microsoft.com/office/officeart/2005/8/layout/hierarchy4"/>
    <dgm:cxn modelId="{4C56E983-08D1-41D1-B7CD-B779E1DA0381}" type="presParOf" srcId="{8223540C-1CEB-48A8-9B48-7BBEC192CC60}" destId="{058854D5-2037-45A3-9E5A-A4DDE8BB8B02}" srcOrd="2" destOrd="0" presId="urn:microsoft.com/office/officeart/2005/8/layout/hierarchy4"/>
    <dgm:cxn modelId="{E256D080-3F24-4196-A955-33FE571E1E89}" type="presParOf" srcId="{058854D5-2037-45A3-9E5A-A4DDE8BB8B02}" destId="{B7EAA546-64F2-4697-B29C-C129D3393810}" srcOrd="0" destOrd="0" presId="urn:microsoft.com/office/officeart/2005/8/layout/hierarchy4"/>
    <dgm:cxn modelId="{BD20925A-650D-4FFE-9C02-F5958AF1B857}" type="presParOf" srcId="{B7EAA546-64F2-4697-B29C-C129D3393810}" destId="{0C251DB2-0AA1-48D1-ADC5-05E99BAE6ADC}" srcOrd="0" destOrd="0" presId="urn:microsoft.com/office/officeart/2005/8/layout/hierarchy4"/>
    <dgm:cxn modelId="{918DA014-2413-499A-9061-4B1F0FE90442}" type="presParOf" srcId="{B7EAA546-64F2-4697-B29C-C129D3393810}" destId="{595792D3-D691-4738-A9C7-3457268C045D}" srcOrd="1" destOrd="0" presId="urn:microsoft.com/office/officeart/2005/8/layout/hierarchy4"/>
    <dgm:cxn modelId="{77026F87-9F4F-41E3-A161-E835FBD1EAE0}" type="presParOf" srcId="{058854D5-2037-45A3-9E5A-A4DDE8BB8B02}" destId="{8FB7EE2B-5B42-4D22-9FD7-E298D448C8B0}" srcOrd="1" destOrd="0" presId="urn:microsoft.com/office/officeart/2005/8/layout/hierarchy4"/>
    <dgm:cxn modelId="{BA3AE09C-426D-41CC-90C2-9F57669AF331}" type="presParOf" srcId="{058854D5-2037-45A3-9E5A-A4DDE8BB8B02}" destId="{1B96A602-7995-45D5-94BF-D3A8A5331E81}" srcOrd="2" destOrd="0" presId="urn:microsoft.com/office/officeart/2005/8/layout/hierarchy4"/>
    <dgm:cxn modelId="{4794D366-CC7B-4189-9F5D-AE7311370E03}" type="presParOf" srcId="{1B96A602-7995-45D5-94BF-D3A8A5331E81}" destId="{7BB8F70E-64E1-434B-9C89-108C6841E0D7}" srcOrd="0" destOrd="0" presId="urn:microsoft.com/office/officeart/2005/8/layout/hierarchy4"/>
    <dgm:cxn modelId="{5FF7D9DF-E835-4D1A-9D91-B729EDAAAADD}" type="presParOf" srcId="{1B96A602-7995-45D5-94BF-D3A8A5331E81}" destId="{739DAFA3-887B-411E-9CA6-3F83301CD29C}" srcOrd="1" destOrd="0" presId="urn:microsoft.com/office/officeart/2005/8/layout/hierarchy4"/>
    <dgm:cxn modelId="{96E6AA6C-8FF8-42FB-AD6F-B20F1529046D}" type="presParOf" srcId="{058854D5-2037-45A3-9E5A-A4DDE8BB8B02}" destId="{0E1DEA78-3D76-4FDB-B672-753833E4017E}" srcOrd="3" destOrd="0" presId="urn:microsoft.com/office/officeart/2005/8/layout/hierarchy4"/>
    <dgm:cxn modelId="{0A79AA07-FB3C-427E-9B47-759D103F0503}" type="presParOf" srcId="{058854D5-2037-45A3-9E5A-A4DDE8BB8B02}" destId="{E979D474-0FF9-4B0D-B865-8A1B75B29E45}" srcOrd="4" destOrd="0" presId="urn:microsoft.com/office/officeart/2005/8/layout/hierarchy4"/>
    <dgm:cxn modelId="{159AEC78-A387-4F7D-992E-46428FD1A319}" type="presParOf" srcId="{E979D474-0FF9-4B0D-B865-8A1B75B29E45}" destId="{A52AB2D5-A49F-4740-B409-20BE826628D9}" srcOrd="0" destOrd="0" presId="urn:microsoft.com/office/officeart/2005/8/layout/hierarchy4"/>
    <dgm:cxn modelId="{D78C9A7B-4156-47B4-80E3-7D73A057497F}" type="presParOf" srcId="{E979D474-0FF9-4B0D-B865-8A1B75B29E45}" destId="{70517892-F0C1-4F1E-A17D-1545202AE194}" srcOrd="1" destOrd="0" presId="urn:microsoft.com/office/officeart/2005/8/layout/hierarchy4"/>
    <dgm:cxn modelId="{F6497361-FC69-4008-A896-064CE080D77A}" type="presParOf" srcId="{058854D5-2037-45A3-9E5A-A4DDE8BB8B02}" destId="{BD6B275B-563E-4F7E-9C2C-6D9555BD2E01}" srcOrd="5" destOrd="0" presId="urn:microsoft.com/office/officeart/2005/8/layout/hierarchy4"/>
    <dgm:cxn modelId="{72C8A3A8-C76E-4CFA-841E-2C0FF88F3929}" type="presParOf" srcId="{058854D5-2037-45A3-9E5A-A4DDE8BB8B02}" destId="{ECB63B61-2E56-435C-BC1E-892931F75EFD}" srcOrd="6" destOrd="0" presId="urn:microsoft.com/office/officeart/2005/8/layout/hierarchy4"/>
    <dgm:cxn modelId="{D899DD08-B721-4ECF-B8C6-D7BDED29DD37}" type="presParOf" srcId="{ECB63B61-2E56-435C-BC1E-892931F75EFD}" destId="{9FFB9B27-EDE8-4F4C-BD5A-E781A3D7F198}" srcOrd="0" destOrd="0" presId="urn:microsoft.com/office/officeart/2005/8/layout/hierarchy4"/>
    <dgm:cxn modelId="{FDCFC943-FF8D-4259-9970-21892A1B3CA6}" type="presParOf" srcId="{ECB63B61-2E56-435C-BC1E-892931F75EFD}" destId="{59D76FC0-E0C2-4651-A2EF-42F6935D71EA}" srcOrd="1" destOrd="0" presId="urn:microsoft.com/office/officeart/2005/8/layout/hierarchy4"/>
    <dgm:cxn modelId="{6693F2B1-A7CE-404A-AD7C-977513D67ABE}" type="presParOf" srcId="{058854D5-2037-45A3-9E5A-A4DDE8BB8B02}" destId="{84049955-2742-4EBA-8002-789EFB8E7D7E}" srcOrd="7" destOrd="0" presId="urn:microsoft.com/office/officeart/2005/8/layout/hierarchy4"/>
    <dgm:cxn modelId="{89CAA9A0-DBD8-41A3-BDD1-5BB7CCBE5751}" type="presParOf" srcId="{058854D5-2037-45A3-9E5A-A4DDE8BB8B02}" destId="{CBF7D254-C756-4385-B85D-6F1F1631E740}" srcOrd="8" destOrd="0" presId="urn:microsoft.com/office/officeart/2005/8/layout/hierarchy4"/>
    <dgm:cxn modelId="{EBA0F1C3-8EC6-4594-AC0F-BF0AFBB07781}" type="presParOf" srcId="{CBF7D254-C756-4385-B85D-6F1F1631E740}" destId="{5D68FDB8-05BE-4462-BA06-CFF3CA8A75D7}" srcOrd="0" destOrd="0" presId="urn:microsoft.com/office/officeart/2005/8/layout/hierarchy4"/>
    <dgm:cxn modelId="{5D0B4036-B177-4058-8A29-FD1A440FE1A0}" type="presParOf" srcId="{CBF7D254-C756-4385-B85D-6F1F1631E740}" destId="{6F7AF8E4-52F7-469F-9809-017839078C6E}" srcOrd="1" destOrd="0" presId="urn:microsoft.com/office/officeart/2005/8/layout/hierarchy4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BABBCA2-2253-4F33-8264-09D1D5EFF6C6}">
      <dsp:nvSpPr>
        <dsp:cNvPr id="0" name=""/>
        <dsp:cNvSpPr/>
      </dsp:nvSpPr>
      <dsp:spPr>
        <a:xfrm>
          <a:off x="75" y="0"/>
          <a:ext cx="19472928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Journey</a:t>
          </a:r>
        </a:p>
      </dsp:txBody>
      <dsp:txXfrm>
        <a:off x="8346" y="8271"/>
        <a:ext cx="19456386" cy="265840"/>
      </dsp:txXfrm>
    </dsp:sp>
    <dsp:sp modelId="{ACAC085C-D0A4-4F89-A919-8AC88553F08A}">
      <dsp:nvSpPr>
        <dsp:cNvPr id="0" name=""/>
        <dsp:cNvSpPr/>
      </dsp:nvSpPr>
      <dsp:spPr>
        <a:xfrm>
          <a:off x="0" y="934111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Work</a:t>
          </a:r>
        </a:p>
      </dsp:txBody>
      <dsp:txXfrm>
        <a:off x="8271" y="942382"/>
        <a:ext cx="2115799" cy="265840"/>
      </dsp:txXfrm>
    </dsp:sp>
    <dsp:sp modelId="{219C0D6B-0F74-49BB-AC46-A57F867DE762}">
      <dsp:nvSpPr>
        <dsp:cNvPr id="0" name=""/>
        <dsp:cNvSpPr/>
      </dsp:nvSpPr>
      <dsp:spPr>
        <a:xfrm>
          <a:off x="0" y="464667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8271" y="472938"/>
        <a:ext cx="2115799" cy="265840"/>
      </dsp:txXfrm>
    </dsp:sp>
    <dsp:sp modelId="{CEFDA918-F28C-42EB-AD95-B0734AE28954}">
      <dsp:nvSpPr>
        <dsp:cNvPr id="0" name=""/>
        <dsp:cNvSpPr/>
      </dsp:nvSpPr>
      <dsp:spPr>
        <a:xfrm>
          <a:off x="1078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19056" y="1406288"/>
        <a:ext cx="402880" cy="265840"/>
      </dsp:txXfrm>
    </dsp:sp>
    <dsp:sp modelId="{40D4527E-30B5-4382-A9E5-4F122AF48E86}">
      <dsp:nvSpPr>
        <dsp:cNvPr id="0" name=""/>
        <dsp:cNvSpPr/>
      </dsp:nvSpPr>
      <dsp:spPr>
        <a:xfrm>
          <a:off x="43901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447286" y="1406288"/>
        <a:ext cx="402880" cy="265840"/>
      </dsp:txXfrm>
    </dsp:sp>
    <dsp:sp modelId="{AE7649D9-2ABB-4302-9384-D4EC80229344}">
      <dsp:nvSpPr>
        <dsp:cNvPr id="0" name=""/>
        <dsp:cNvSpPr/>
      </dsp:nvSpPr>
      <dsp:spPr>
        <a:xfrm>
          <a:off x="86724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875516" y="1406288"/>
        <a:ext cx="402880" cy="265840"/>
      </dsp:txXfrm>
    </dsp:sp>
    <dsp:sp modelId="{956C6D66-1281-47CE-92DD-19DFE1F826A8}">
      <dsp:nvSpPr>
        <dsp:cNvPr id="0" name=""/>
        <dsp:cNvSpPr/>
      </dsp:nvSpPr>
      <dsp:spPr>
        <a:xfrm>
          <a:off x="129547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1303746" y="1406288"/>
        <a:ext cx="402880" cy="265840"/>
      </dsp:txXfrm>
    </dsp:sp>
    <dsp:sp modelId="{6E3E1EAF-06DF-4186-A1F8-280D69209EC8}">
      <dsp:nvSpPr>
        <dsp:cNvPr id="0" name=""/>
        <dsp:cNvSpPr/>
      </dsp:nvSpPr>
      <dsp:spPr>
        <a:xfrm>
          <a:off x="172370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731976" y="1406288"/>
        <a:ext cx="402880" cy="265840"/>
      </dsp:txXfrm>
    </dsp:sp>
    <dsp:sp modelId="{585F529F-70DB-4B35-BA8A-5FFC92CA6443}">
      <dsp:nvSpPr>
        <dsp:cNvPr id="0" name=""/>
        <dsp:cNvSpPr/>
      </dsp:nvSpPr>
      <dsp:spPr>
        <a:xfrm>
          <a:off x="2178359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Education</a:t>
          </a:r>
        </a:p>
      </dsp:txBody>
      <dsp:txXfrm>
        <a:off x="2186630" y="474783"/>
        <a:ext cx="2115799" cy="265840"/>
      </dsp:txXfrm>
    </dsp:sp>
    <dsp:sp modelId="{3248AA5B-B92F-4FDA-BBE6-C00443184EFF}">
      <dsp:nvSpPr>
        <dsp:cNvPr id="0" name=""/>
        <dsp:cNvSpPr/>
      </dsp:nvSpPr>
      <dsp:spPr>
        <a:xfrm>
          <a:off x="2178359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2186630" y="940536"/>
        <a:ext cx="2115799" cy="265840"/>
      </dsp:txXfrm>
    </dsp:sp>
    <dsp:sp modelId="{13A3A146-8AEB-412F-AB10-7AD5DB1D3192}">
      <dsp:nvSpPr>
        <dsp:cNvPr id="0" name=""/>
        <dsp:cNvSpPr/>
      </dsp:nvSpPr>
      <dsp:spPr>
        <a:xfrm>
          <a:off x="217835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2186630" y="1406288"/>
        <a:ext cx="402880" cy="265840"/>
      </dsp:txXfrm>
    </dsp:sp>
    <dsp:sp modelId="{20AFCBCE-985D-4FB4-B89C-2BC87A879509}">
      <dsp:nvSpPr>
        <dsp:cNvPr id="0" name=""/>
        <dsp:cNvSpPr/>
      </dsp:nvSpPr>
      <dsp:spPr>
        <a:xfrm>
          <a:off x="260658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2614860" y="1406288"/>
        <a:ext cx="402880" cy="265840"/>
      </dsp:txXfrm>
    </dsp:sp>
    <dsp:sp modelId="{1D5655C1-BF1F-4EBA-B60C-EC91104A3857}">
      <dsp:nvSpPr>
        <dsp:cNvPr id="0" name=""/>
        <dsp:cNvSpPr/>
      </dsp:nvSpPr>
      <dsp:spPr>
        <a:xfrm>
          <a:off x="303481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3043090" y="1406288"/>
        <a:ext cx="402880" cy="265840"/>
      </dsp:txXfrm>
    </dsp:sp>
    <dsp:sp modelId="{83701003-83A5-4100-82A6-E1725A3481FB}">
      <dsp:nvSpPr>
        <dsp:cNvPr id="0" name=""/>
        <dsp:cNvSpPr/>
      </dsp:nvSpPr>
      <dsp:spPr>
        <a:xfrm>
          <a:off x="346304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3471320" y="1406288"/>
        <a:ext cx="402880" cy="265840"/>
      </dsp:txXfrm>
    </dsp:sp>
    <dsp:sp modelId="{ECA39028-D9BC-4E79-AE96-F19FF0211288}">
      <dsp:nvSpPr>
        <dsp:cNvPr id="0" name=""/>
        <dsp:cNvSpPr/>
      </dsp:nvSpPr>
      <dsp:spPr>
        <a:xfrm>
          <a:off x="389127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3899550" y="1406288"/>
        <a:ext cx="402880" cy="265840"/>
      </dsp:txXfrm>
    </dsp:sp>
    <dsp:sp modelId="{1A22F6ED-1E4B-4994-9F6E-8BC291B38B34}">
      <dsp:nvSpPr>
        <dsp:cNvPr id="0" name=""/>
        <dsp:cNvSpPr/>
      </dsp:nvSpPr>
      <dsp:spPr>
        <a:xfrm>
          <a:off x="4345932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Shopping</a:t>
          </a:r>
        </a:p>
      </dsp:txBody>
      <dsp:txXfrm>
        <a:off x="4354203" y="474783"/>
        <a:ext cx="2115799" cy="265840"/>
      </dsp:txXfrm>
    </dsp:sp>
    <dsp:sp modelId="{93F307B7-8144-4644-A59B-870D7D58A6CA}">
      <dsp:nvSpPr>
        <dsp:cNvPr id="0" name=""/>
        <dsp:cNvSpPr/>
      </dsp:nvSpPr>
      <dsp:spPr>
        <a:xfrm>
          <a:off x="4345932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4354203" y="940536"/>
        <a:ext cx="2115799" cy="265840"/>
      </dsp:txXfrm>
    </dsp:sp>
    <dsp:sp modelId="{9650B868-5EA9-4C33-85B6-773B4083E473}">
      <dsp:nvSpPr>
        <dsp:cNvPr id="0" name=""/>
        <dsp:cNvSpPr/>
      </dsp:nvSpPr>
      <dsp:spPr>
        <a:xfrm>
          <a:off x="434593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4354203" y="1406288"/>
        <a:ext cx="402880" cy="265840"/>
      </dsp:txXfrm>
    </dsp:sp>
    <dsp:sp modelId="{7932D13A-6947-4712-8AF3-C06B48E3BC9C}">
      <dsp:nvSpPr>
        <dsp:cNvPr id="0" name=""/>
        <dsp:cNvSpPr/>
      </dsp:nvSpPr>
      <dsp:spPr>
        <a:xfrm>
          <a:off x="477416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4782433" y="1406288"/>
        <a:ext cx="402880" cy="265840"/>
      </dsp:txXfrm>
    </dsp:sp>
    <dsp:sp modelId="{92A8FC88-4385-4749-AA28-E17B84C1B86B}">
      <dsp:nvSpPr>
        <dsp:cNvPr id="0" name=""/>
        <dsp:cNvSpPr/>
      </dsp:nvSpPr>
      <dsp:spPr>
        <a:xfrm>
          <a:off x="520239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5210663" y="1406288"/>
        <a:ext cx="402880" cy="265840"/>
      </dsp:txXfrm>
    </dsp:sp>
    <dsp:sp modelId="{4FF3F459-EF5A-41FC-B29A-B8EF53928CC3}">
      <dsp:nvSpPr>
        <dsp:cNvPr id="0" name=""/>
        <dsp:cNvSpPr/>
      </dsp:nvSpPr>
      <dsp:spPr>
        <a:xfrm>
          <a:off x="563062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5638893" y="1406288"/>
        <a:ext cx="402880" cy="265840"/>
      </dsp:txXfrm>
    </dsp:sp>
    <dsp:sp modelId="{F358A509-3F7F-451A-ACB3-BE5C338770C6}">
      <dsp:nvSpPr>
        <dsp:cNvPr id="0" name=""/>
        <dsp:cNvSpPr/>
      </dsp:nvSpPr>
      <dsp:spPr>
        <a:xfrm>
          <a:off x="605885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6067123" y="1406288"/>
        <a:ext cx="402880" cy="265840"/>
      </dsp:txXfrm>
    </dsp:sp>
    <dsp:sp modelId="{E461BD08-2FB3-4D86-97BE-765BAA842BF1}">
      <dsp:nvSpPr>
        <dsp:cNvPr id="0" name=""/>
        <dsp:cNvSpPr/>
      </dsp:nvSpPr>
      <dsp:spPr>
        <a:xfrm>
          <a:off x="6513505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To eat or drink</a:t>
          </a:r>
        </a:p>
      </dsp:txBody>
      <dsp:txXfrm>
        <a:off x="6521776" y="474783"/>
        <a:ext cx="2115799" cy="265840"/>
      </dsp:txXfrm>
    </dsp:sp>
    <dsp:sp modelId="{CA142A2A-A5E8-46CF-9D1F-F0713572BDD1}">
      <dsp:nvSpPr>
        <dsp:cNvPr id="0" name=""/>
        <dsp:cNvSpPr/>
      </dsp:nvSpPr>
      <dsp:spPr>
        <a:xfrm>
          <a:off x="6513505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6521776" y="940536"/>
        <a:ext cx="2115799" cy="265840"/>
      </dsp:txXfrm>
    </dsp:sp>
    <dsp:sp modelId="{8E1FB5CC-F84F-4E71-A9A8-A393715EA84B}">
      <dsp:nvSpPr>
        <dsp:cNvPr id="0" name=""/>
        <dsp:cNvSpPr/>
      </dsp:nvSpPr>
      <dsp:spPr>
        <a:xfrm>
          <a:off x="651350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6521776" y="1406288"/>
        <a:ext cx="402880" cy="265840"/>
      </dsp:txXfrm>
    </dsp:sp>
    <dsp:sp modelId="{4ACE6F9E-1D22-43B9-A6CB-DFE696CA7FDE}">
      <dsp:nvSpPr>
        <dsp:cNvPr id="0" name=""/>
        <dsp:cNvSpPr/>
      </dsp:nvSpPr>
      <dsp:spPr>
        <a:xfrm>
          <a:off x="694173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6950006" y="1406288"/>
        <a:ext cx="402880" cy="265840"/>
      </dsp:txXfrm>
    </dsp:sp>
    <dsp:sp modelId="{424D2898-FF30-41BA-9A36-333D9EFC088F}">
      <dsp:nvSpPr>
        <dsp:cNvPr id="0" name=""/>
        <dsp:cNvSpPr/>
      </dsp:nvSpPr>
      <dsp:spPr>
        <a:xfrm>
          <a:off x="736996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7378236" y="1406288"/>
        <a:ext cx="402880" cy="265840"/>
      </dsp:txXfrm>
    </dsp:sp>
    <dsp:sp modelId="{65A00C59-FD86-4B84-B9D5-AE1FB1994B39}">
      <dsp:nvSpPr>
        <dsp:cNvPr id="0" name=""/>
        <dsp:cNvSpPr/>
      </dsp:nvSpPr>
      <dsp:spPr>
        <a:xfrm>
          <a:off x="779819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7806466" y="1406288"/>
        <a:ext cx="402880" cy="265840"/>
      </dsp:txXfrm>
    </dsp:sp>
    <dsp:sp modelId="{FA635E87-A9A9-4E0B-8807-D762DD9863C4}">
      <dsp:nvSpPr>
        <dsp:cNvPr id="0" name=""/>
        <dsp:cNvSpPr/>
      </dsp:nvSpPr>
      <dsp:spPr>
        <a:xfrm>
          <a:off x="822642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8234696" y="1406288"/>
        <a:ext cx="402880" cy="265840"/>
      </dsp:txXfrm>
    </dsp:sp>
    <dsp:sp modelId="{F31770FE-14A1-4B05-90F6-A095AC909AB1}">
      <dsp:nvSpPr>
        <dsp:cNvPr id="0" name=""/>
        <dsp:cNvSpPr/>
      </dsp:nvSpPr>
      <dsp:spPr>
        <a:xfrm>
          <a:off x="8681079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Visit Family or Friends</a:t>
          </a:r>
        </a:p>
      </dsp:txBody>
      <dsp:txXfrm>
        <a:off x="8689350" y="474783"/>
        <a:ext cx="2115799" cy="265840"/>
      </dsp:txXfrm>
    </dsp:sp>
    <dsp:sp modelId="{781C4169-DF5D-4697-A623-B9A06EED3790}">
      <dsp:nvSpPr>
        <dsp:cNvPr id="0" name=""/>
        <dsp:cNvSpPr/>
      </dsp:nvSpPr>
      <dsp:spPr>
        <a:xfrm>
          <a:off x="8681079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8689350" y="940536"/>
        <a:ext cx="2115799" cy="265840"/>
      </dsp:txXfrm>
    </dsp:sp>
    <dsp:sp modelId="{F92C6C86-EE0D-4421-AA09-2FF1349D3D6D}">
      <dsp:nvSpPr>
        <dsp:cNvPr id="0" name=""/>
        <dsp:cNvSpPr/>
      </dsp:nvSpPr>
      <dsp:spPr>
        <a:xfrm>
          <a:off x="868107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8689350" y="1406288"/>
        <a:ext cx="402880" cy="265840"/>
      </dsp:txXfrm>
    </dsp:sp>
    <dsp:sp modelId="{FCE1D37B-FE7A-47DA-99E5-EB50DCC9CB2A}">
      <dsp:nvSpPr>
        <dsp:cNvPr id="0" name=""/>
        <dsp:cNvSpPr/>
      </dsp:nvSpPr>
      <dsp:spPr>
        <a:xfrm>
          <a:off x="9109309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9117580" y="1406288"/>
        <a:ext cx="402880" cy="265840"/>
      </dsp:txXfrm>
    </dsp:sp>
    <dsp:sp modelId="{7A8996B5-07B1-42FA-8DA8-01584C900588}">
      <dsp:nvSpPr>
        <dsp:cNvPr id="0" name=""/>
        <dsp:cNvSpPr/>
      </dsp:nvSpPr>
      <dsp:spPr>
        <a:xfrm>
          <a:off x="953753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9545809" y="1406288"/>
        <a:ext cx="402880" cy="265840"/>
      </dsp:txXfrm>
    </dsp:sp>
    <dsp:sp modelId="{DDB5A897-7489-42D2-B0F5-A393B0D63B86}">
      <dsp:nvSpPr>
        <dsp:cNvPr id="0" name=""/>
        <dsp:cNvSpPr/>
      </dsp:nvSpPr>
      <dsp:spPr>
        <a:xfrm>
          <a:off x="996576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9974039" y="1406288"/>
        <a:ext cx="402880" cy="265840"/>
      </dsp:txXfrm>
    </dsp:sp>
    <dsp:sp modelId="{B6F87DD0-B407-4F68-9501-095CAFB90699}">
      <dsp:nvSpPr>
        <dsp:cNvPr id="0" name=""/>
        <dsp:cNvSpPr/>
      </dsp:nvSpPr>
      <dsp:spPr>
        <a:xfrm>
          <a:off x="1039399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0402269" y="1406288"/>
        <a:ext cx="402880" cy="265840"/>
      </dsp:txXfrm>
    </dsp:sp>
    <dsp:sp modelId="{B5DFDB8F-B340-4DE7-B135-CDE8C4BD080A}">
      <dsp:nvSpPr>
        <dsp:cNvPr id="0" name=""/>
        <dsp:cNvSpPr/>
      </dsp:nvSpPr>
      <dsp:spPr>
        <a:xfrm>
          <a:off x="10848652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Entertainment</a:t>
          </a:r>
        </a:p>
      </dsp:txBody>
      <dsp:txXfrm>
        <a:off x="10856923" y="474783"/>
        <a:ext cx="2115799" cy="265840"/>
      </dsp:txXfrm>
    </dsp:sp>
    <dsp:sp modelId="{02024957-B84F-4987-948D-73034DE4F968}">
      <dsp:nvSpPr>
        <dsp:cNvPr id="0" name=""/>
        <dsp:cNvSpPr/>
      </dsp:nvSpPr>
      <dsp:spPr>
        <a:xfrm>
          <a:off x="10848652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10856923" y="940536"/>
        <a:ext cx="2115799" cy="265840"/>
      </dsp:txXfrm>
    </dsp:sp>
    <dsp:sp modelId="{C0845D07-48DD-4E16-BC24-AD25B5713F72}">
      <dsp:nvSpPr>
        <dsp:cNvPr id="0" name=""/>
        <dsp:cNvSpPr/>
      </dsp:nvSpPr>
      <dsp:spPr>
        <a:xfrm>
          <a:off x="1084865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10856923" y="1406288"/>
        <a:ext cx="402880" cy="265840"/>
      </dsp:txXfrm>
    </dsp:sp>
    <dsp:sp modelId="{B7B9B41E-E143-413D-AC59-904856A78240}">
      <dsp:nvSpPr>
        <dsp:cNvPr id="0" name=""/>
        <dsp:cNvSpPr/>
      </dsp:nvSpPr>
      <dsp:spPr>
        <a:xfrm>
          <a:off x="1127688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11285153" y="1406288"/>
        <a:ext cx="402880" cy="265840"/>
      </dsp:txXfrm>
    </dsp:sp>
    <dsp:sp modelId="{6E903580-6C75-494C-A5A0-3498772D39EC}">
      <dsp:nvSpPr>
        <dsp:cNvPr id="0" name=""/>
        <dsp:cNvSpPr/>
      </dsp:nvSpPr>
      <dsp:spPr>
        <a:xfrm>
          <a:off x="1170511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11713383" y="1406288"/>
        <a:ext cx="402880" cy="265840"/>
      </dsp:txXfrm>
    </dsp:sp>
    <dsp:sp modelId="{C36DFDC0-7DC0-40C7-9BD5-F740EEF3CD0E}">
      <dsp:nvSpPr>
        <dsp:cNvPr id="0" name=""/>
        <dsp:cNvSpPr/>
      </dsp:nvSpPr>
      <dsp:spPr>
        <a:xfrm>
          <a:off x="1213334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12141613" y="1406288"/>
        <a:ext cx="402880" cy="265840"/>
      </dsp:txXfrm>
    </dsp:sp>
    <dsp:sp modelId="{155B6DD5-A514-47A6-B884-44D923BA7CB0}">
      <dsp:nvSpPr>
        <dsp:cNvPr id="0" name=""/>
        <dsp:cNvSpPr/>
      </dsp:nvSpPr>
      <dsp:spPr>
        <a:xfrm>
          <a:off x="1256157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2569843" y="1406288"/>
        <a:ext cx="402880" cy="265840"/>
      </dsp:txXfrm>
    </dsp:sp>
    <dsp:sp modelId="{F832C234-6D3E-4E21-8EDD-BBE97E7D4BF6}">
      <dsp:nvSpPr>
        <dsp:cNvPr id="0" name=""/>
        <dsp:cNvSpPr/>
      </dsp:nvSpPr>
      <dsp:spPr>
        <a:xfrm>
          <a:off x="13016225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Personal Business</a:t>
          </a:r>
        </a:p>
      </dsp:txBody>
      <dsp:txXfrm>
        <a:off x="13024496" y="474783"/>
        <a:ext cx="2115799" cy="265840"/>
      </dsp:txXfrm>
    </dsp:sp>
    <dsp:sp modelId="{F192C2F2-06F2-4F16-9A89-8936A3691C19}">
      <dsp:nvSpPr>
        <dsp:cNvPr id="0" name=""/>
        <dsp:cNvSpPr/>
      </dsp:nvSpPr>
      <dsp:spPr>
        <a:xfrm>
          <a:off x="13016225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13024496" y="940536"/>
        <a:ext cx="2115799" cy="265840"/>
      </dsp:txXfrm>
    </dsp:sp>
    <dsp:sp modelId="{D53A857C-4F66-49C4-B1A6-7E3C61115762}">
      <dsp:nvSpPr>
        <dsp:cNvPr id="0" name=""/>
        <dsp:cNvSpPr/>
      </dsp:nvSpPr>
      <dsp:spPr>
        <a:xfrm>
          <a:off x="1301622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13024496" y="1406288"/>
        <a:ext cx="402880" cy="265840"/>
      </dsp:txXfrm>
    </dsp:sp>
    <dsp:sp modelId="{8CCE61C2-4B46-4F39-A65B-17FBA386B1FD}">
      <dsp:nvSpPr>
        <dsp:cNvPr id="0" name=""/>
        <dsp:cNvSpPr/>
      </dsp:nvSpPr>
      <dsp:spPr>
        <a:xfrm>
          <a:off x="1344445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13452726" y="1406288"/>
        <a:ext cx="402880" cy="265840"/>
      </dsp:txXfrm>
    </dsp:sp>
    <dsp:sp modelId="{B2E80F71-304D-4A8F-90A6-0EA4FD8DF367}">
      <dsp:nvSpPr>
        <dsp:cNvPr id="0" name=""/>
        <dsp:cNvSpPr/>
      </dsp:nvSpPr>
      <dsp:spPr>
        <a:xfrm>
          <a:off x="1387268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13880956" y="1406288"/>
        <a:ext cx="402880" cy="265840"/>
      </dsp:txXfrm>
    </dsp:sp>
    <dsp:sp modelId="{12C72820-5147-48AC-8801-9A4902030E58}">
      <dsp:nvSpPr>
        <dsp:cNvPr id="0" name=""/>
        <dsp:cNvSpPr/>
      </dsp:nvSpPr>
      <dsp:spPr>
        <a:xfrm>
          <a:off x="1430091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14309186" y="1406288"/>
        <a:ext cx="402880" cy="265840"/>
      </dsp:txXfrm>
    </dsp:sp>
    <dsp:sp modelId="{65790018-D7CB-4DCE-97E8-18548F652072}">
      <dsp:nvSpPr>
        <dsp:cNvPr id="0" name=""/>
        <dsp:cNvSpPr/>
      </dsp:nvSpPr>
      <dsp:spPr>
        <a:xfrm>
          <a:off x="14729145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4737416" y="1406288"/>
        <a:ext cx="402880" cy="265840"/>
      </dsp:txXfrm>
    </dsp:sp>
    <dsp:sp modelId="{84C19DD8-4D05-4519-9809-0DBABCC00D85}">
      <dsp:nvSpPr>
        <dsp:cNvPr id="0" name=""/>
        <dsp:cNvSpPr/>
      </dsp:nvSpPr>
      <dsp:spPr>
        <a:xfrm>
          <a:off x="15183798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Companion/escort journey</a:t>
          </a:r>
        </a:p>
      </dsp:txBody>
      <dsp:txXfrm>
        <a:off x="15192069" y="474783"/>
        <a:ext cx="2115799" cy="265840"/>
      </dsp:txXfrm>
    </dsp:sp>
    <dsp:sp modelId="{9F0D0398-6863-465A-8084-73C32D797539}">
      <dsp:nvSpPr>
        <dsp:cNvPr id="0" name=""/>
        <dsp:cNvSpPr/>
      </dsp:nvSpPr>
      <dsp:spPr>
        <a:xfrm>
          <a:off x="15183798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15192069" y="940536"/>
        <a:ext cx="2115799" cy="265840"/>
      </dsp:txXfrm>
    </dsp:sp>
    <dsp:sp modelId="{DF31CC8B-CB71-4DB9-8C83-CF45E3748CC6}">
      <dsp:nvSpPr>
        <dsp:cNvPr id="0" name=""/>
        <dsp:cNvSpPr/>
      </dsp:nvSpPr>
      <dsp:spPr>
        <a:xfrm>
          <a:off x="1518379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15192069" y="1406288"/>
        <a:ext cx="402880" cy="265840"/>
      </dsp:txXfrm>
    </dsp:sp>
    <dsp:sp modelId="{EF530F14-D3F8-4856-BE44-639FF3389386}">
      <dsp:nvSpPr>
        <dsp:cNvPr id="0" name=""/>
        <dsp:cNvSpPr/>
      </dsp:nvSpPr>
      <dsp:spPr>
        <a:xfrm>
          <a:off x="1561202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15620299" y="1406288"/>
        <a:ext cx="402880" cy="265840"/>
      </dsp:txXfrm>
    </dsp:sp>
    <dsp:sp modelId="{7F1AA4DD-C676-4FBB-BE7A-D3787ECB9470}">
      <dsp:nvSpPr>
        <dsp:cNvPr id="0" name=""/>
        <dsp:cNvSpPr/>
      </dsp:nvSpPr>
      <dsp:spPr>
        <a:xfrm>
          <a:off x="1604025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16048529" y="1406288"/>
        <a:ext cx="402880" cy="265840"/>
      </dsp:txXfrm>
    </dsp:sp>
    <dsp:sp modelId="{B8001B13-63BD-4E47-88C2-F56C82466ADA}">
      <dsp:nvSpPr>
        <dsp:cNvPr id="0" name=""/>
        <dsp:cNvSpPr/>
      </dsp:nvSpPr>
      <dsp:spPr>
        <a:xfrm>
          <a:off x="1646848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16476759" y="1406288"/>
        <a:ext cx="402880" cy="265840"/>
      </dsp:txXfrm>
    </dsp:sp>
    <dsp:sp modelId="{78A64AF9-52CB-45B7-A6B5-95922D0E0421}">
      <dsp:nvSpPr>
        <dsp:cNvPr id="0" name=""/>
        <dsp:cNvSpPr/>
      </dsp:nvSpPr>
      <dsp:spPr>
        <a:xfrm>
          <a:off x="16896718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6904989" y="1406288"/>
        <a:ext cx="402880" cy="265840"/>
      </dsp:txXfrm>
    </dsp:sp>
    <dsp:sp modelId="{9C3473BC-48C4-4785-A87E-DEC7F2608F18}">
      <dsp:nvSpPr>
        <dsp:cNvPr id="0" name=""/>
        <dsp:cNvSpPr/>
      </dsp:nvSpPr>
      <dsp:spPr>
        <a:xfrm>
          <a:off x="17351372" y="466512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Other</a:t>
          </a:r>
        </a:p>
      </dsp:txBody>
      <dsp:txXfrm>
        <a:off x="17359643" y="474783"/>
        <a:ext cx="2115799" cy="265840"/>
      </dsp:txXfrm>
    </dsp:sp>
    <dsp:sp modelId="{2710DF2F-B352-45F0-833C-9C8FE6D8DA87}">
      <dsp:nvSpPr>
        <dsp:cNvPr id="0" name=""/>
        <dsp:cNvSpPr/>
      </dsp:nvSpPr>
      <dsp:spPr>
        <a:xfrm>
          <a:off x="17351372" y="932265"/>
          <a:ext cx="2132341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Modes</a:t>
          </a:r>
        </a:p>
      </dsp:txBody>
      <dsp:txXfrm>
        <a:off x="17359643" y="940536"/>
        <a:ext cx="2115799" cy="265840"/>
      </dsp:txXfrm>
    </dsp:sp>
    <dsp:sp modelId="{0C251DB2-0AA1-48D1-ADC5-05E99BAE6ADC}">
      <dsp:nvSpPr>
        <dsp:cNvPr id="0" name=""/>
        <dsp:cNvSpPr/>
      </dsp:nvSpPr>
      <dsp:spPr>
        <a:xfrm>
          <a:off x="1735137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</a:t>
          </a:r>
        </a:p>
      </dsp:txBody>
      <dsp:txXfrm>
        <a:off x="17359643" y="1406288"/>
        <a:ext cx="402880" cy="265840"/>
      </dsp:txXfrm>
    </dsp:sp>
    <dsp:sp modelId="{7BB8F70E-64E1-434B-9C89-108C6841E0D7}">
      <dsp:nvSpPr>
        <dsp:cNvPr id="0" name=""/>
        <dsp:cNvSpPr/>
      </dsp:nvSpPr>
      <dsp:spPr>
        <a:xfrm>
          <a:off x="1777960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2-4</a:t>
          </a:r>
        </a:p>
      </dsp:txBody>
      <dsp:txXfrm>
        <a:off x="17787873" y="1406288"/>
        <a:ext cx="402880" cy="265840"/>
      </dsp:txXfrm>
    </dsp:sp>
    <dsp:sp modelId="{A52AB2D5-A49F-4740-B409-20BE826628D9}">
      <dsp:nvSpPr>
        <dsp:cNvPr id="0" name=""/>
        <dsp:cNvSpPr/>
      </dsp:nvSpPr>
      <dsp:spPr>
        <a:xfrm>
          <a:off x="1820783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4-6</a:t>
          </a:r>
        </a:p>
      </dsp:txBody>
      <dsp:txXfrm>
        <a:off x="18216103" y="1406288"/>
        <a:ext cx="402880" cy="265840"/>
      </dsp:txXfrm>
    </dsp:sp>
    <dsp:sp modelId="{9FFB9B27-EDE8-4F4C-BD5A-E781A3D7F198}">
      <dsp:nvSpPr>
        <dsp:cNvPr id="0" name=""/>
        <dsp:cNvSpPr/>
      </dsp:nvSpPr>
      <dsp:spPr>
        <a:xfrm>
          <a:off x="18636062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6-8</a:t>
          </a:r>
        </a:p>
      </dsp:txBody>
      <dsp:txXfrm>
        <a:off x="18644333" y="1406288"/>
        <a:ext cx="402880" cy="265840"/>
      </dsp:txXfrm>
    </dsp:sp>
    <dsp:sp modelId="{5D68FDB8-05BE-4462-BA06-CFF3CA8A75D7}">
      <dsp:nvSpPr>
        <dsp:cNvPr id="0" name=""/>
        <dsp:cNvSpPr/>
      </dsp:nvSpPr>
      <dsp:spPr>
        <a:xfrm>
          <a:off x="19064291" y="1398017"/>
          <a:ext cx="419422" cy="2823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200" kern="1200"/>
            <a:t>8+</a:t>
          </a:r>
        </a:p>
      </dsp:txBody>
      <dsp:txXfrm>
        <a:off x="19072562" y="1406288"/>
        <a:ext cx="402880" cy="26584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57152</xdr:rowOff>
    </xdr:from>
    <xdr:to>
      <xdr:col>21</xdr:col>
      <xdr:colOff>47625</xdr:colOff>
      <xdr:row>14</xdr:row>
      <xdr:rowOff>23812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4FDF114-0B6E-4CFD-AC21-96F64619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59531</xdr:colOff>
      <xdr:row>14</xdr:row>
      <xdr:rowOff>130969</xdr:rowOff>
    </xdr:from>
    <xdr:to>
      <xdr:col>21</xdr:col>
      <xdr:colOff>59531</xdr:colOff>
      <xdr:row>17</xdr:row>
      <xdr:rowOff>95250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955E88B-E256-4BD9-B0B6-509D6B6B4F58}"/>
            </a:ext>
          </a:extLst>
        </xdr:cNvPr>
        <xdr:cNvSpPr/>
      </xdr:nvSpPr>
      <xdr:spPr>
        <a:xfrm>
          <a:off x="59531" y="6417469"/>
          <a:ext cx="16440150" cy="535781"/>
        </a:xfrm>
        <a:prstGeom prst="round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2000"/>
            <a:t>Pkm</a:t>
          </a:r>
          <a:r>
            <a:rPr lang="en-IE" sz="2000" baseline="0"/>
            <a:t> by purpose</a:t>
          </a:r>
          <a:endParaRPr lang="en-IE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133351</xdr:rowOff>
    </xdr:from>
    <xdr:to>
      <xdr:col>17</xdr:col>
      <xdr:colOff>1181100</xdr:colOff>
      <xdr:row>31</xdr:row>
      <xdr:rowOff>19051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98BA50-CC83-49AF-A30E-F2DC0CDFC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607D1-681F-40A7-8B8A-F4F947C72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D3C6C-952C-4083-86F7-B84A21B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C4729-3446-4FD5-91F6-6DBEE0483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A08DC-523C-4BFE-BA76-25012F06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A9B31-9338-4692-A1EB-0D1A90E01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0</xdr:row>
      <xdr:rowOff>133352</xdr:rowOff>
    </xdr:from>
    <xdr:to>
      <xdr:col>4</xdr:col>
      <xdr:colOff>142875</xdr:colOff>
      <xdr:row>17</xdr:row>
      <xdr:rowOff>180976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9984E0-3895-437E-86CC-367B78D7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195263</xdr:colOff>
      <xdr:row>0</xdr:row>
      <xdr:rowOff>126207</xdr:rowOff>
    </xdr:from>
    <xdr:to>
      <xdr:col>8</xdr:col>
      <xdr:colOff>1071563</xdr:colOff>
      <xdr:row>17</xdr:row>
      <xdr:rowOff>178594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0D1630-B837-4D89-AF0C-ED02449F2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1247776</xdr:colOff>
      <xdr:row>0</xdr:row>
      <xdr:rowOff>121444</xdr:rowOff>
    </xdr:from>
    <xdr:to>
      <xdr:col>14</xdr:col>
      <xdr:colOff>404813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B7C792-204F-47F0-A8CC-51D1B2C9A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264318</xdr:colOff>
      <xdr:row>97</xdr:row>
      <xdr:rowOff>157161</xdr:rowOff>
    </xdr:from>
    <xdr:to>
      <xdr:col>20</xdr:col>
      <xdr:colOff>804863</xdr:colOff>
      <xdr:row>113</xdr:row>
      <xdr:rowOff>73817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1E6E0-B1A9-4CA2-8306-EF71F25D1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470296</xdr:colOff>
      <xdr:row>72</xdr:row>
      <xdr:rowOff>119062</xdr:rowOff>
    </xdr:from>
    <xdr:to>
      <xdr:col>19</xdr:col>
      <xdr:colOff>1119187</xdr:colOff>
      <xdr:row>96</xdr:row>
      <xdr:rowOff>59531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18C8C3-40E4-4C68-AC02-A726F93EC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236</xdr:row>
      <xdr:rowOff>104774</xdr:rowOff>
    </xdr:from>
    <xdr:to>
      <xdr:col>15</xdr:col>
      <xdr:colOff>342900</xdr:colOff>
      <xdr:row>254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23D615-4450-48E3-B538-A11E28555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609601</xdr:colOff>
      <xdr:row>0</xdr:row>
      <xdr:rowOff>9525</xdr:rowOff>
    </xdr:from>
    <xdr:to>
      <xdr:col>16</xdr:col>
      <xdr:colOff>639534</xdr:colOff>
      <xdr:row>26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A57DA-20D5-48A4-9353-65534A73B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365124</xdr:colOff>
      <xdr:row>27</xdr:row>
      <xdr:rowOff>14288</xdr:rowOff>
    </xdr:from>
    <xdr:to>
      <xdr:col>14</xdr:col>
      <xdr:colOff>546099</xdr:colOff>
      <xdr:row>41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9F04C-C691-4912-8E96-62F8F6266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19049</xdr:colOff>
      <xdr:row>28</xdr:row>
      <xdr:rowOff>185737</xdr:rowOff>
    </xdr:from>
    <xdr:to>
      <xdr:col>9</xdr:col>
      <xdr:colOff>819149</xdr:colOff>
      <xdr:row>40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ADFCE-6C16-42BB-B0B7-43A599B23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336775</xdr:colOff>
      <xdr:row>56</xdr:row>
      <xdr:rowOff>168048</xdr:rowOff>
    </xdr:from>
    <xdr:to>
      <xdr:col>13</xdr:col>
      <xdr:colOff>544285</xdr:colOff>
      <xdr:row>68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187C1C-078F-4AAA-9B34-1358421FD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285749</xdr:colOff>
      <xdr:row>56</xdr:row>
      <xdr:rowOff>190499</xdr:rowOff>
    </xdr:from>
    <xdr:to>
      <xdr:col>11</xdr:col>
      <xdr:colOff>314324</xdr:colOff>
      <xdr:row>69</xdr:row>
      <xdr:rowOff>9524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692F3B-17B9-42EF-A751-D5AB43D77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285750</xdr:colOff>
      <xdr:row>81</xdr:row>
      <xdr:rowOff>126999</xdr:rowOff>
    </xdr:from>
    <xdr:to>
      <xdr:col>13</xdr:col>
      <xdr:colOff>854074</xdr:colOff>
      <xdr:row>95</xdr:row>
      <xdr:rowOff>31750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F96E28-5C73-47EF-AEB7-D12F69C9F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98</xdr:row>
      <xdr:rowOff>0</xdr:rowOff>
    </xdr:from>
    <xdr:to>
      <xdr:col>16</xdr:col>
      <xdr:colOff>0</xdr:colOff>
      <xdr:row>111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4FCAFE-EFCE-4862-943F-73DBEA79A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219075</xdr:colOff>
      <xdr:row>111</xdr:row>
      <xdr:rowOff>54429</xdr:rowOff>
    </xdr:from>
    <xdr:to>
      <xdr:col>15</xdr:col>
      <xdr:colOff>1400175</xdr:colOff>
      <xdr:row>124</xdr:row>
      <xdr:rowOff>136071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FAF251-5444-47E2-B720-2CDD67306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219074</xdr:colOff>
      <xdr:row>125</xdr:row>
      <xdr:rowOff>4762</xdr:rowOff>
    </xdr:from>
    <xdr:to>
      <xdr:col>13</xdr:col>
      <xdr:colOff>1317625</xdr:colOff>
      <xdr:row>144</xdr:row>
      <xdr:rowOff>31750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7093E6-E676-4162-8BD7-A2CAEC3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515937</xdr:colOff>
      <xdr:row>257</xdr:row>
      <xdr:rowOff>1587</xdr:rowOff>
    </xdr:from>
    <xdr:to>
      <xdr:col>6</xdr:col>
      <xdr:colOff>1039812</xdr:colOff>
      <xdr:row>271</xdr:row>
      <xdr:rowOff>77787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3F4236C-A55E-490F-BC68-37E7A9D5D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71436</xdr:colOff>
      <xdr:row>277</xdr:row>
      <xdr:rowOff>176212</xdr:rowOff>
    </xdr:from>
    <xdr:to>
      <xdr:col>7</xdr:col>
      <xdr:colOff>1301749</xdr:colOff>
      <xdr:row>292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DB4292A-CAEE-4E34-A791-B5A91C5E7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37562</xdr:colOff>
      <xdr:row>107</xdr:row>
      <xdr:rowOff>19051</xdr:rowOff>
    </xdr:from>
    <xdr:to>
      <xdr:col>6</xdr:col>
      <xdr:colOff>485775</xdr:colOff>
      <xdr:row>107</xdr:row>
      <xdr:rowOff>171271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C5AED8-3105-4ECD-88DF-08312BAA9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262" y="19069051"/>
          <a:ext cx="448213" cy="1522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66677</xdr:rowOff>
    </xdr:from>
    <xdr:to>
      <xdr:col>4</xdr:col>
      <xdr:colOff>361950</xdr:colOff>
      <xdr:row>26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6F79A-A036-4545-9904-5C42A90CA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13</xdr:row>
      <xdr:rowOff>66676</xdr:rowOff>
    </xdr:from>
    <xdr:to>
      <xdr:col>13</xdr:col>
      <xdr:colOff>333375</xdr:colOff>
      <xdr:row>26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B480ED-DDEB-4B87-AA15-CC763D7B2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323851</xdr:colOff>
      <xdr:row>13</xdr:row>
      <xdr:rowOff>47625</xdr:rowOff>
    </xdr:from>
    <xdr:to>
      <xdr:col>15</xdr:col>
      <xdr:colOff>295275</xdr:colOff>
      <xdr:row>23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EB1D87-C556-4B93-BB9A-7638F69E3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276226</xdr:colOff>
      <xdr:row>13</xdr:row>
      <xdr:rowOff>47624</xdr:rowOff>
    </xdr:from>
    <xdr:to>
      <xdr:col>21</xdr:col>
      <xdr:colOff>85726</xdr:colOff>
      <xdr:row>30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F60204D-04AC-4C95-8D27-7F2600DE4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419100</xdr:colOff>
      <xdr:row>14</xdr:row>
      <xdr:rowOff>19050</xdr:rowOff>
    </xdr:from>
    <xdr:to>
      <xdr:col>26</xdr:col>
      <xdr:colOff>228600</xdr:colOff>
      <xdr:row>31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EA3EA83-2D24-41CD-B103-D4C7CD427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971550</xdr:colOff>
      <xdr:row>26</xdr:row>
      <xdr:rowOff>85726</xdr:rowOff>
    </xdr:from>
    <xdr:to>
      <xdr:col>4</xdr:col>
      <xdr:colOff>0</xdr:colOff>
      <xdr:row>34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1D41C9-5022-4719-A585-855AFD86A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114300</xdr:colOff>
      <xdr:row>23</xdr:row>
      <xdr:rowOff>0</xdr:rowOff>
    </xdr:from>
    <xdr:to>
      <xdr:col>13</xdr:col>
      <xdr:colOff>257175</xdr:colOff>
      <xdr:row>30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E874406-B717-469E-92B1-57019F960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200025</xdr:colOff>
      <xdr:row>0</xdr:row>
      <xdr:rowOff>0</xdr:rowOff>
    </xdr:from>
    <xdr:to>
      <xdr:col>19</xdr:col>
      <xdr:colOff>142875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C0009-083F-4DF6-AC51-01E8A263B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AMG2/Shared%20Documents/LEAP/LEAP%20Documentation/Irish%20Passenger%20Transport%20Emissions%20and%20Mobility%20(IPTEM)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p purpose statistics"/>
      <sheetName val="Denmark NTS 2019"/>
      <sheetName val="Pkm by purpose and mode"/>
      <sheetName val="Pkm share by mode (2009-2019)"/>
      <sheetName val="10% Cycling senstivity"/>
      <sheetName val="Pkm share by purpose (2009-2019"/>
      <sheetName val="Number of trips by mode"/>
      <sheetName val="projections mode&amp;purpose"/>
      <sheetName val="NTS 2009"/>
      <sheetName val="NTS 2016"/>
      <sheetName val="NTS 2019"/>
      <sheetName val="Total Vehicle Activity"/>
      <sheetName val="NTS Sources 2009 - 2016"/>
      <sheetName val="NTA estimates for vehicle occup"/>
      <sheetName val="Occupancy for Public Transport"/>
      <sheetName val="Mode and Distance"/>
      <sheetName val="Vehicle km"/>
      <sheetName val="Energy Intenisty MWH"/>
      <sheetName val="Sheet3"/>
      <sheetName val="Sheet4"/>
      <sheetName val="Sheet2"/>
      <sheetName val="MJ PER PKM"/>
      <sheetName val="Sheet1"/>
      <sheetName val="Energy Consumption total (mwh)"/>
      <sheetName val="RTÉ Brainstorm Cycling 6km rate"/>
      <sheetName val="CSO Sources RTÉ Brainstorm Cyc"/>
    </sheetNames>
    <sheetDataSet>
      <sheetData sheetId="0"/>
      <sheetData sheetId="1"/>
      <sheetData sheetId="2"/>
      <sheetData sheetId="3"/>
      <sheetData sheetId="4">
        <row r="52">
          <cell r="B52" t="str">
            <v>Original (2019</v>
          </cell>
          <cell r="C52" t="str">
            <v>TR_PAS23</v>
          </cell>
          <cell r="D52" t="str">
            <v>TR_PAS24</v>
          </cell>
          <cell r="E52" t="str">
            <v>TR_PAS25</v>
          </cell>
          <cell r="F52" t="str">
            <v>TR_PAS26</v>
          </cell>
          <cell r="G52" t="str">
            <v>TR_PAS27</v>
          </cell>
          <cell r="H52" t="str">
            <v>TR_PAS28</v>
          </cell>
        </row>
        <row r="53">
          <cell r="B53" t="str">
            <v>km per year based on NTS</v>
          </cell>
        </row>
        <row r="54">
          <cell r="A54" t="str">
            <v>Private car - Driver</v>
          </cell>
          <cell r="B54">
            <v>43130427324.122261</v>
          </cell>
          <cell r="C54">
            <v>38674272306.998528</v>
          </cell>
          <cell r="D54">
            <v>41771813537.593483</v>
          </cell>
          <cell r="E54">
            <v>41658067083.527603</v>
          </cell>
          <cell r="F54">
            <v>40003837504.387604</v>
          </cell>
          <cell r="G54">
            <v>37224680398.781548</v>
          </cell>
          <cell r="H54">
            <v>42088113087.526421</v>
          </cell>
        </row>
        <row r="55">
          <cell r="A55" t="str">
            <v>Private car - Passenger</v>
          </cell>
          <cell r="B55">
            <v>10792465210.306</v>
          </cell>
          <cell r="C55">
            <v>9677407906.7318096</v>
          </cell>
          <cell r="D55">
            <v>10452501223.5093</v>
          </cell>
          <cell r="E55">
            <v>10424038610.814177</v>
          </cell>
          <cell r="F55">
            <v>10010103106.568836</v>
          </cell>
          <cell r="G55">
            <v>9314678594.5224895</v>
          </cell>
          <cell r="H55">
            <v>4519712499.6710758</v>
          </cell>
        </row>
        <row r="56">
          <cell r="A56" t="str">
            <v>Walk</v>
          </cell>
          <cell r="B56">
            <v>303409408.69538796</v>
          </cell>
          <cell r="C56">
            <v>272061716.52809244</v>
          </cell>
          <cell r="D56">
            <v>293851974.85597056</v>
          </cell>
          <cell r="E56">
            <v>293051803.22516406</v>
          </cell>
          <cell r="F56">
            <v>281414802.39784843</v>
          </cell>
          <cell r="G56">
            <v>261864279.33563155</v>
          </cell>
          <cell r="H56">
            <v>9491953547.5034809</v>
          </cell>
        </row>
        <row r="57">
          <cell r="A57" t="str">
            <v>Bus</v>
          </cell>
          <cell r="B57">
            <v>3642740747.0555634</v>
          </cell>
          <cell r="C57">
            <v>3266379591.7605867</v>
          </cell>
          <cell r="D57">
            <v>3527993963.7114558</v>
          </cell>
          <cell r="E57">
            <v>3518387083.6324563</v>
          </cell>
          <cell r="F57">
            <v>3378672968.4062519</v>
          </cell>
          <cell r="G57">
            <v>3143948912.5794706</v>
          </cell>
          <cell r="H57">
            <v>4185739468.6468239</v>
          </cell>
        </row>
        <row r="58">
          <cell r="A58" t="str">
            <v>Cycle</v>
          </cell>
          <cell r="B58">
            <v>233080616.05569208</v>
          </cell>
          <cell r="C58">
            <v>6995756274.1367836</v>
          </cell>
          <cell r="D58">
            <v>2294917412.0345578</v>
          </cell>
          <cell r="E58">
            <v>2467539408.609725</v>
          </cell>
          <cell r="F58">
            <v>4978003713.5406122</v>
          </cell>
          <cell r="G58">
            <v>9195661769.8342438</v>
          </cell>
          <cell r="H58">
            <v>1623358778.477541</v>
          </cell>
        </row>
        <row r="59">
          <cell r="A59" t="str">
            <v>Rail/Dart/Luas</v>
          </cell>
          <cell r="B59">
            <v>3948009846.44596</v>
          </cell>
          <cell r="C59">
            <v>3540108859.2221551</v>
          </cell>
          <cell r="D59">
            <v>3823647048.7759047</v>
          </cell>
          <cell r="E59">
            <v>3813235092.5651388</v>
          </cell>
          <cell r="F59">
            <v>3661812649.7118025</v>
          </cell>
          <cell r="G59">
            <v>3407418239.5823107</v>
          </cell>
          <cell r="H59">
            <v>1223531539.7710447</v>
          </cell>
        </row>
        <row r="60">
          <cell r="A60" t="str">
            <v>Taxi/hackney</v>
          </cell>
          <cell r="B60">
            <v>302040792.60850525</v>
          </cell>
          <cell r="C60">
            <v>270834503.29345244</v>
          </cell>
          <cell r="D60">
            <v>292526470.34482372</v>
          </cell>
          <cell r="E60">
            <v>291729908.12010288</v>
          </cell>
          <cell r="F60">
            <v>280145399.35822386</v>
          </cell>
          <cell r="G60">
            <v>260683064.59736842</v>
          </cell>
          <cell r="H60">
            <v>875413766.04851806</v>
          </cell>
        </row>
        <row r="61">
          <cell r="A61" t="str">
            <v>Lorry/Motorcycle/Other1</v>
          </cell>
          <cell r="B61">
            <v>3335786464.3653483</v>
          </cell>
          <cell r="C61">
            <v>2991139250.9833145</v>
          </cell>
          <cell r="D61">
            <v>3230708778.8292222</v>
          </cell>
          <cell r="E61">
            <v>3221911419.1603494</v>
          </cell>
          <cell r="F61">
            <v>3093970265.2835412</v>
          </cell>
          <cell r="G61">
            <v>2879025150.4216604</v>
          </cell>
          <cell r="H61">
            <v>1680137722.0098274</v>
          </cell>
        </row>
        <row r="62">
          <cell r="B62">
            <v>65687960409.654724</v>
          </cell>
          <cell r="C62">
            <v>65687960409.654724</v>
          </cell>
          <cell r="D62">
            <v>65687960409.654724</v>
          </cell>
          <cell r="E62">
            <v>65687960409.654716</v>
          </cell>
          <cell r="F62">
            <v>65687960409.654709</v>
          </cell>
          <cell r="G62">
            <v>65687960409.654724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Vera O'Riordan" id="{5A3C7738-E138-48AA-8249-277F42E80BA9}" userId="S::vera.oriordan@ucc.ie::df25c6e0-1979-4096-81c5-29dd2dc9ce40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ccireland-my.sharepoint.com/personal/vera_oriordan_ucc_ie/Documents/Irish%20Passenger%20Transport%20Emissions%20and%20Mobility%20Model%20V%202%20(5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1.643744212961" createdVersion="6" refreshedVersion="6" minRefreshableVersion="3" recordCount="153" xr:uid="{C04D708A-F7F1-4C2B-92BB-078DB556CDC8}">
  <cacheSource type="worksheet">
    <worksheetSource ref="A1:D154" sheet="MJ PER PKM" r:id="rId2"/>
  </cacheSource>
  <cacheFields count="4">
    <cacheField name="Mode" numFmtId="0">
      <sharedItems count="5">
        <s v="Irish Rail"/>
        <s v="Luas"/>
        <s v="Bus Eireann"/>
        <s v="Dublin Bus"/>
        <s v="Private Vehicle Transport"/>
      </sharedItems>
    </cacheField>
    <cacheField name="Fuel" numFmtId="0">
      <sharedItems count="6">
        <s v="Diesel"/>
        <s v="Natural Gas"/>
        <s v="Electricity"/>
        <s v="Biodiesel"/>
        <s v="Petrol"/>
        <s v="Bioethanol"/>
      </sharedItems>
    </cacheField>
    <cacheField name="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Energy consumption" numFmtId="0">
      <sharedItems containsString="0" containsBlank="1" containsNumber="1" minValue="92.125984000000003" maxValue="14245010.3106294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3.757045833336" createdVersion="6" refreshedVersion="6" minRefreshableVersion="3" recordCount="240" xr:uid="{E13CCC6A-A79B-434E-9C21-BDD5FBA19410}">
  <cacheSource type="worksheet">
    <worksheetSource ref="A2:N242" sheet="PKM by mode" r:id="rId2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Trip distance" numFmtId="165">
      <sharedItems/>
    </cacheField>
    <cacheField name="Mode Type" numFmtId="49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ercentage distribution of journey distance for all regions, 2009 - 2019" numFmtId="43">
      <sharedItems containsSemiMixedTypes="0" containsString="0" containsNumber="1" minValue="5.9000000000000004E-2" maxValue="0.433"/>
    </cacheField>
    <cacheField name="Percentage distribution of journeys by mode of travel and distance &lt; 2km, 2009 - 2019" numFmtId="9">
      <sharedItems containsSemiMixedTypes="0" containsString="0" containsNumber="1" minValue="0" maxValue="0.51900000000000002"/>
    </cacheField>
    <cacheField name="Percentage distribution of journeys by mode of travel and distance 2 - 4 km, 2009 - 2019" numFmtId="9">
      <sharedItems containsSemiMixedTypes="0" containsString="0" containsNumber="1" minValue="0" maxValue="0.69499999999999995"/>
    </cacheField>
    <cacheField name="Percentage distribution of journeys by mode of travel and distance 4 - 6 km, 2009 - 2019" numFmtId="9">
      <sharedItems containsSemiMixedTypes="0" containsString="0" containsNumber="1" minValue="0" maxValue="0.73099999999999998"/>
    </cacheField>
    <cacheField name="Percentage distribution of journeys by mode of travel and distance 6 - 8 km, 2009 - 2019" numFmtId="9">
      <sharedItems containsSemiMixedTypes="0" containsString="0" containsNumber="1" minValue="0" maxValue="0.75599999999999989"/>
    </cacheField>
    <cacheField name="Percentage distribution of journeys by mode of travel and distance &gt;8 km, 2009 - 2019" numFmtId="9">
      <sharedItems containsSemiMixedTypes="0" containsString="0" containsNumber="1" minValue="0" maxValue="0.80200000000000005"/>
    </cacheField>
    <cacheField name="Average Journey Length" numFmtId="2">
      <sharedItems containsSemiMixedTypes="0" containsString="0" containsNumber="1" minValue="1" maxValue="41.2"/>
    </cacheField>
    <cacheField name="Mode distance factor" numFmtId="166">
      <sharedItems containsSemiMixedTypes="0" containsString="0" containsNumber="1" minValue="0" maxValue="2.375"/>
    </cacheField>
    <cacheField name="Number of journeys" numFmtId="165">
      <sharedItems containsSemiMixedTypes="0" containsString="0" containsNumber="1" minValue="2940102000.5779233" maxValue="5369880000"/>
    </cacheField>
    <cacheField name="Total Passenger Kilometres" numFmtId="165">
      <sharedItems containsSemiMixedTypes="0" containsString="0" containsNumber="1" minValue="0" maxValue="44055203166.149345"/>
    </cacheField>
    <cacheField name="Total Vehicle Kilometres" numFmtId="165">
      <sharedItems containsSemiMixedTypes="0" containsString="0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4.636735069442" createdVersion="6" refreshedVersion="6" minRefreshableVersion="3" recordCount="241" xr:uid="{73766037-50AE-4100-81AF-76DFED196E22}">
  <cacheSource type="worksheet">
    <worksheetSource ref="A2:N243" sheet="PKM by mode" r:id="rId2"/>
  </cacheSource>
  <cacheFields count="14">
    <cacheField name="Year" numFmtId="0">
      <sharedItems containsBlank="1" count="7">
        <s v="2009"/>
        <s v="2012"/>
        <s v="2013"/>
        <s v="2014"/>
        <s v="2016"/>
        <s v="2019"/>
        <m/>
      </sharedItems>
    </cacheField>
    <cacheField name="Trip distance" numFmtId="165">
      <sharedItems containsBlank="1"/>
    </cacheField>
    <cacheField name="Mode Type" numFmtId="0">
      <sharedItems containsBlank="1"/>
    </cacheField>
    <cacheField name="Percentage distribution of journey distance for all regions, 2009 - 2019" numFmtId="0">
      <sharedItems containsString="0" containsBlank="1" containsNumber="1" minValue="5.9000000000000004E-2" maxValue="0.433"/>
    </cacheField>
    <cacheField name="Percentage distribution of journeys by mode of travel and distance &lt; 2km, 2009 - 2019" numFmtId="0">
      <sharedItems containsString="0" containsBlank="1" containsNumber="1" minValue="0" maxValue="0.51900000000000002"/>
    </cacheField>
    <cacheField name="Percentage distribution of journeys by mode of travel and distance 2 - 4 km, 2009 - 2019" numFmtId="0">
      <sharedItems containsString="0" containsBlank="1" containsNumber="1" minValue="0" maxValue="0.69499999999999995"/>
    </cacheField>
    <cacheField name="Percentage distribution of journeys by mode of travel and distance 4 - 6 km, 2009 - 2019" numFmtId="0">
      <sharedItems containsString="0" containsBlank="1" containsNumber="1" minValue="0" maxValue="0.73099999999999998"/>
    </cacheField>
    <cacheField name="Percentage distribution of journeys by mode of travel and distance 6 - 8 km, 2009 - 2019" numFmtId="0">
      <sharedItems containsString="0" containsBlank="1" containsNumber="1" minValue="0" maxValue="0.75599999999999989"/>
    </cacheField>
    <cacheField name="Percentage distribution of journeys by mode of travel and distance &gt;8 km, 2009 - 2019" numFmtId="0">
      <sharedItems containsString="0" containsBlank="1" containsNumber="1" minValue="0" maxValue="0.80200000000000005"/>
    </cacheField>
    <cacheField name="Average Journey Length" numFmtId="0">
      <sharedItems containsString="0" containsBlank="1" containsNumber="1" minValue="1" maxValue="41.2"/>
    </cacheField>
    <cacheField name="Mode distance factor" numFmtId="0">
      <sharedItems containsString="0" containsBlank="1" containsNumber="1" minValue="0" maxValue="2.375"/>
    </cacheField>
    <cacheField name="Number of journeys" numFmtId="0">
      <sharedItems containsString="0" containsBlank="1" containsNumber="1" minValue="2940102000.5779233" maxValue="5369880000"/>
    </cacheField>
    <cacheField name="Total Passenger Kilometres" numFmtId="0">
      <sharedItems containsString="0" containsBlank="1" containsNumber="1" minValue="0" maxValue="44055203166.149345" count="231">
        <n v="352663834.28571427"/>
        <n v="1447477123.6209335"/>
        <n v="1580753297.6190474"/>
        <n v="1207120699.9999998"/>
        <n v="36598250459.099998"/>
        <n v="56678116.224489793"/>
        <n v="261709033.51182058"/>
        <n v="257627801.02040815"/>
        <n v="218593285.7142857"/>
        <n v="6994646323.2642851"/>
        <n v="64235198.387755096"/>
        <n v="58157563.002626784"/>
        <n v="25444721.08843537"/>
        <n v="9715257.1428571399"/>
        <n v="0"/>
        <n v="8816595.8571428563"/>
        <n v="90467320.226308346"/>
        <n v="133584785.71428569"/>
        <n v="102010199.99999999"/>
        <n v="2472854760.75"/>
        <n v="3148784.2346938769"/>
        <n v="16154878.611840773"/>
        <n v="15902950.680272108"/>
        <n v="12144071.428571425"/>
        <n v="176632482.91071424"/>
        <n v="2755466733.4071422"/>
        <n v="27709301.265306119"/>
        <n v="142162931.78419882"/>
        <n v="104959474.48979591"/>
        <n v="160301742.85714284"/>
        <n v="5440280473.6499987"/>
        <n v="366387234.7222091"/>
        <n v="1201283634.1017709"/>
        <n v="1344499360.2639551"/>
        <n v="971929536.83275545"/>
        <n v="33564809536.393959"/>
        <n v="38703746.04500477"/>
        <n v="133261076.27883507"/>
        <n v="180854317.80699044"/>
        <n v="132122092.7208963"/>
        <n v="6060873206.8595304"/>
        <n v="36166281.061952159"/>
        <n v="36334040.38949462"/>
        <n v="19114999.862736691"/>
        <n v="10041650.959786629"/>
        <n v="21204221.131870076"/>
        <n v="6575687.4658094849"/>
        <n v="64400454.822098263"/>
        <n v="130334253.80662744"/>
        <n v="105958013.27567451"/>
        <n v="1830631091.0514505"/>
        <n v="3406324.5881445524"/>
        <n v="19182342.680681296"/>
        <n v="15190985.663272452"/>
        <n v="8981698.9140313752"/>
        <n v="121924271.50825295"/>
        <n v="1446453.7743860199"/>
        <n v="17707707.641586699"/>
        <n v="53123122.924760103"/>
        <n v="40863940.711353928"/>
        <n v="1984656197.3287842"/>
        <n v="2517718.1738459733"/>
        <n v="14794699.080752306"/>
        <n v="15851463.300806038"/>
        <n v="17070806.631637271"/>
        <n v="150196566.35074639"/>
        <n v="18808835.769319918"/>
        <n v="46052127.040577017"/>
        <n v="75657065.852376521"/>
        <n v="61402836.054102682"/>
        <n v="2842543643.9556937"/>
        <n v="309831954.16939497"/>
        <n v="1212008638.7097094"/>
        <n v="1356238294.6703367"/>
        <n v="1082802310.591409"/>
        <n v="36936977410.666176"/>
        <n v="33811147.448768094"/>
        <n v="123097181.67634355"/>
        <n v="157244321.26456586"/>
        <n v="145675853.44766584"/>
        <n v="6073389777.4862595"/>
        <n v="38308581.918563098"/>
        <n v="43484528.985268764"/>
        <n v="23577010.168154716"/>
        <n v="11569579.89630734"/>
        <n v="40227133.486338265"/>
        <n v="5505555.0465993024"/>
        <n v="82426769.631313711"/>
        <n v="119933130.41593264"/>
        <n v="103327004.66603431"/>
        <n v="2408788654.7759252"/>
        <n v="3219902.3595343996"/>
        <n v="12646010.980409795"/>
        <n v="13734180.680478478"/>
        <n v="12473453.32570635"/>
        <n v="103441200.39344127"/>
        <n v="2433394.4957344984"/>
        <n v="22886594.202773038"/>
        <n v="43852997.96222952"/>
        <n v="39960720.036587849"/>
        <n v="2032528849.8360391"/>
        <n v="1772901.7040351345"/>
        <n v="8734271.6651399154"/>
        <n v="9830781.9607635401"/>
        <n v="10998712.467213228"/>
        <n v="143970793.53005275"/>
        <n v="16912091.74535476"/>
        <n v="42200077.269807026"/>
        <n v="46888974.744230025"/>
        <n v="58190419.938993171"/>
        <n v="3279267528.2622523"/>
        <n v="271394935.46934694"/>
        <n v="1157224147.4274704"/>
        <n v="1349212808.0652089"/>
        <n v="993142934.97921777"/>
        <n v="37608968119.260094"/>
        <n v="20578904.710506648"/>
        <n v="98516033.188595653"/>
        <n v="158471497.83115008"/>
        <n v="100307233.79202464"/>
        <n v="6421493917.9952888"/>
        <n v="35938676.046602771"/>
        <n v="55658392.487863615"/>
        <n v="32120614.356313821"/>
        <n v="11263455.37698324"/>
        <n v="63734620.302312285"/>
        <n v="6094303.7365825474"/>
        <n v="79744612.723367363"/>
        <n v="128531459.12526488"/>
        <n v="91492355.670907333"/>
        <n v="2753828231.8061891"/>
        <n v="3741619.0382739357"/>
        <n v="20151006.788576383"/>
        <n v="20213201.253973223"/>
        <n v="13374297.838936621"/>
        <n v="142248282.99356651"/>
        <n v="18432177.926700059"/>
        <n v="31949108.406280104"/>
        <n v="49545694.266969763"/>
        <n v="2609732568.5140047"/>
        <n v="1736167.9249566558"/>
        <n v="7915659.2323251795"/>
        <n v="12862946.252528416"/>
        <n v="6501394.7828164138"/>
        <n v="150869391.05378267"/>
        <n v="12713001.050498944"/>
        <n v="40573407.607975349"/>
        <n v="74384580.61462149"/>
        <n v="62919992.10590639"/>
        <n v="3144241268.247406"/>
        <n v="394953433.0630452"/>
        <n v="818210861.4226681"/>
        <n v="1317296639.2354586"/>
        <n v="961412080.44601798"/>
        <n v="44055203166.149345"/>
        <n v="28917360.361480944"/>
        <n v="85228557.750820041"/>
        <n v="129080391.1787845"/>
        <n v="61088848.23167073"/>
        <n v="6069107551.8197107"/>
        <n v="41523845.796429403"/>
        <n v="26275577.815008227"/>
        <n v="14162425.364443438"/>
        <n v="4213024.0159772923"/>
        <n v="53920662.351666033"/>
        <n v="5809484.6903125132"/>
        <n v="54950890.482485421"/>
        <n v="125011503.89153962"/>
        <n v="98272686.120833278"/>
        <n v="1761183634.0612919"/>
        <n v="5009837.5438847542"/>
        <n v="16782955.772013929"/>
        <n v="26301647.105394959"/>
        <n v="12170958.268378843"/>
        <n v="153336883.56255028"/>
        <n v="1464414.0512893896"/>
        <n v="20777451.127705928"/>
        <n v="51254491.795128629"/>
        <n v="54550859.110580042"/>
        <n v="1946535910.895144"/>
        <n v="2071375.1383369656"/>
        <n v="6530923.9655800788"/>
        <n v="15466267.699582675"/>
        <n v="4696741.5881820917"/>
        <n v="173894136.08412296"/>
        <n v="14104619.546629382"/>
        <n v="29647357.164679796"/>
        <n v="63078992.972425841"/>
        <n v="76146508.140626594"/>
        <n v="4029221494.2282443"/>
        <n v="789393839.5200001"/>
        <n v="1597270806"/>
        <n v="2370845065.1302605"/>
        <n v="1857656287.1999998"/>
        <n v="36515261326.272003"/>
        <n v="125008437.33529414"/>
        <n v="236758404.0441176"/>
        <n v="430871665.2054109"/>
        <n v="277634641.32352948"/>
        <n v="9722192062.3976479"/>
        <n v="110068404.58058825"/>
        <n v="60446685.970588244"/>
        <n v="36719909.488093838"/>
        <n v="25596559.614705887"/>
        <n v="70577849.041411757"/>
        <n v="31291633.230000008"/>
        <n v="234590709.83823529"/>
        <n v="270045879.81109279"/>
        <n v="245982357.47647065"/>
        <n v="2860830166.6997647"/>
        <n v="12873497.611764709"/>
        <n v="23293828.720588237"/>
        <n v="22551217.140162684"/>
        <n v="25364391.27352941"/>
        <n v="148997681.30964705"/>
        <n v="7294981.9800000004"/>
        <n v="68868711"/>
        <n v="167724677.47995991"/>
        <n v="206223529.05000004"/>
        <n v="3497897946.9359999"/>
        <n v="9485735.0823529419"/>
        <n v="31715853.750000004"/>
        <n v="36349001.311446413"/>
        <n v="28440621.794117648"/>
        <n v="196049580.67058823"/>
        <n v="37129877.322352946"/>
        <n v="38947423.764705881"/>
        <n v="118566980.46828951"/>
        <n v="71565891.167647079"/>
        <n v="3069576291.6423531"/>
        <m/>
      </sharedItems>
    </cacheField>
    <cacheField name="Total Vehicle Kilometres" numFmtId="0">
      <sharedItems containsString="0" containsBlank="1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4.670179050925" createdVersion="6" refreshedVersion="6" minRefreshableVersion="3" recordCount="270" xr:uid="{28E00749-2E3E-48F4-B2CF-27BEBF53C5EE}">
  <cacheSource type="worksheet">
    <worksheetSource ref="A2:N272" sheet="PKM by purpose" r:id="rId2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Trip distance" numFmtId="165">
      <sharedItems/>
    </cacheField>
    <cacheField name="Trip purpose" numFmtId="165">
      <sharedItems count="9">
        <s v="Work"/>
        <s v="Education"/>
        <s v="Shopping"/>
        <s v="To eat or drink"/>
        <s v="Visit family / friends"/>
        <s v="Entertainment / leisure / sports"/>
        <s v="Personal business"/>
        <s v="Companion / escort journey"/>
        <s v="Other"/>
      </sharedItems>
    </cacheField>
    <cacheField name="Percentage distribution of journey distance for all regions, 2009 - 2019" numFmtId="43">
      <sharedItems containsSemiMixedTypes="0" containsString="0" containsNumber="1" minValue="5.9000000000000004E-2" maxValue="0.433"/>
    </cacheField>
    <cacheField name="Percentage distribution of journeys by mode of travel and distance &lt; 2km, 2009 - 2019" numFmtId="9">
      <sharedItems containsSemiMixedTypes="0" containsString="0" containsNumber="1" minValue="0" maxValue="0.314"/>
    </cacheField>
    <cacheField name="Percentage distribution of journeys by mode of travel and distance 2 - 4 km, 2009 - 2019" numFmtId="9">
      <sharedItems containsSemiMixedTypes="0" containsString="0" containsNumber="1" minValue="0" maxValue="0.29299999999999998"/>
    </cacheField>
    <cacheField name="Percentage distribution of journeys by mode of travel and distance 4 - 6 km, 2009 - 2019" numFmtId="9">
      <sharedItems containsSemiMixedTypes="0" containsString="0" containsNumber="1" minValue="0" maxValue="0.27300000000000002"/>
    </cacheField>
    <cacheField name="Percentage distribution of journeys by mode of travel and distance 6 - 8 km, 2009 - 2019" numFmtId="9">
      <sharedItems containsSemiMixedTypes="0" containsString="0" containsNumber="1" minValue="0" maxValue="0.33299999999999996"/>
    </cacheField>
    <cacheField name="Percentage distribution of journeys by mode of travel and distance &gt;8 km, 2009 - 2019" numFmtId="9">
      <sharedItems containsSemiMixedTypes="0" containsString="0" containsNumber="1" minValue="0" maxValue="0.38100000000000001"/>
    </cacheField>
    <cacheField name="Average Journey Length" numFmtId="2">
      <sharedItems containsSemiMixedTypes="0" containsString="0" containsNumber="1" minValue="1" maxValue="43.24"/>
    </cacheField>
    <cacheField name="Mode distance factor" numFmtId="166">
      <sharedItems containsSemiMixedTypes="0" containsString="0" containsNumber="1" minValue="0.44444444444444442" maxValue="1.2222222222222223"/>
    </cacheField>
    <cacheField name="Number of journeys" numFmtId="165">
      <sharedItems containsSemiMixedTypes="0" containsString="0" containsNumber="1" minValue="2940102000.5779233" maxValue="5369880000"/>
    </cacheField>
    <cacheField name="Total Passenger Kilometres" numFmtId="165">
      <sharedItems containsSemiMixedTypes="0" containsString="0" containsNumber="1" minValue="14488822.658848008" maxValue="21965256798.796013"/>
    </cacheField>
    <cacheField name="Total Vehicle Kilometres" numFmtId="165">
      <sharedItems containsSemiMixedTypes="0" containsString="0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7.480372569444" createdVersion="6" refreshedVersion="6" minRefreshableVersion="3" recordCount="2160" xr:uid="{4FCA3840-081C-4621-935A-4C47860E0E38}">
  <cacheSource type="worksheet">
    <worksheetSource ref="A2:M2162" sheet="PKM by purpose and mode" r:id="rId2"/>
  </cacheSource>
  <cacheFields count="13">
    <cacheField name="Year" numFmtId="167">
      <sharedItems count="6">
        <s v="2009"/>
        <s v="2012"/>
        <s v="2013"/>
        <s v="2014"/>
        <s v="2016"/>
        <s v="2019"/>
      </sharedItems>
    </cacheField>
    <cacheField name="Mode Type" numFmtId="0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urpose" numFmtId="0">
      <sharedItems/>
    </cacheField>
    <cacheField name="Trip Distance" numFmtId="165">
      <sharedItems count="5">
        <s v="&lt;2 kilometres"/>
        <s v="2-4 kilometres"/>
        <s v="4-6 kilometres"/>
        <s v="6-8 kilometres"/>
        <s v="8+ kilometres"/>
      </sharedItems>
    </cacheField>
    <cacheField name="Passenger Kilometres for that mode type across all purpose" numFmtId="165">
      <sharedItems containsSemiMixedTypes="0" containsString="0" containsNumber="1" minValue="0" maxValue="47547076180.316536"/>
    </cacheField>
    <cacheField name="Percentage of trip purpose by mode type" numFmtId="0">
      <sharedItems containsSemiMixedTypes="0" containsString="0" containsNumber="1" minValue="0" maxValue="0.57799999999999996"/>
    </cacheField>
    <cacheField name="Passenger Kilometres by purpose and mode type" numFmtId="165">
      <sharedItems containsSemiMixedTypes="0" containsString="0" containsNumber="1" minValue="0" maxValue="13669784401.841005"/>
    </cacheField>
    <cacheField name="Average distance based on mode type" numFmtId="0">
      <sharedItems containsSemiMixedTypes="0" containsString="0" containsNumber="1" minValue="1" maxValue="41.2"/>
    </cacheField>
    <cacheField name="Average distance based on trip purpose type" numFmtId="0">
      <sharedItems containsSemiMixedTypes="0" containsString="0" containsNumber="1" minValue="1" maxValue="43.24"/>
    </cacheField>
    <cacheField name="Average distance based on trip purpose and mode type" numFmtId="0">
      <sharedItems containsSemiMixedTypes="0" containsString="0" containsNumber="1" minValue="1" maxValue="42.22"/>
    </cacheField>
    <cacheField name="Distance weighting" numFmtId="0">
      <sharedItems containsSemiMixedTypes="0" containsString="0" containsNumber="1" minValue="1.7176228100309172E-2" maxValue="0.72518035039505324"/>
    </cacheField>
    <cacheField name="Calibration factor" numFmtId="0">
      <sharedItems containsSemiMixedTypes="0" containsString="0" containsNumber="1" containsInteger="1" minValue="1" maxValue="1"/>
    </cacheField>
    <cacheField name="Passenger Kilometres" numFmtId="165">
      <sharedItems containsSemiMixedTypes="0" containsString="0" containsNumber="1" minValue="0" maxValue="9913059042.3518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'Riordan, Vera" refreshedDate="44216.564382175929" createdVersion="6" refreshedVersion="6" minRefreshableVersion="3" recordCount="135" xr:uid="{171253B0-D142-43CE-8D40-B68C3A380555}">
  <cacheSource type="worksheet">
    <worksheetSource ref="A3:L138" sheet="Emissions calculator" r:id="rId1"/>
  </cacheSource>
  <cacheFields count="12">
    <cacheField name="Year" numFmtId="0">
      <sharedItems count="9">
        <s v="2010"/>
        <s v="2011"/>
        <s v="2012"/>
        <s v="2013"/>
        <s v="2014"/>
        <s v="2015"/>
        <s v="2016"/>
        <s v="2017"/>
        <s v="2018"/>
      </sharedItems>
    </cacheField>
    <cacheField name="Mass transit or vehicle" numFmtId="0">
      <sharedItems/>
    </cacheField>
    <cacheField name="Mode" numFmtId="0">
      <sharedItems count="10">
        <s v="Irish Rail"/>
        <s v="Luas"/>
        <s v="Bus Éireann"/>
        <s v="Dublin Bus"/>
        <s v="Private Vehicle - Diesel"/>
        <s v="Private Vehicle - Petrol"/>
        <s v="Private Vehicle - Hybrid"/>
        <s v="Private Vehicle - Plugin"/>
        <s v="Private Vehicle - Electric"/>
        <s v="Private Vehicle" u="1"/>
      </sharedItems>
    </cacheField>
    <cacheField name="Fuel Type" numFmtId="0">
      <sharedItems count="7">
        <s v="Diesel"/>
        <s v="Natural Gas"/>
        <s v="Electricity"/>
        <s v="Petrol"/>
        <s v="HYBRID "/>
        <s v="PLUGIN "/>
        <s v="Electric"/>
      </sharedItems>
    </cacheField>
    <cacheField name="Vehicle Kilometres" numFmtId="165">
      <sharedItems containsSemiMixedTypes="0" containsString="0" containsNumber="1" containsInteger="1" minValue="0" maxValue="23972319492"/>
    </cacheField>
    <cacheField name="Occupancy" numFmtId="164">
      <sharedItems containsSemiMixedTypes="0" containsString="0" containsNumber="1" minValue="1.49" maxValue="152.75997651535548"/>
    </cacheField>
    <cacheField name="Passenger Kilometres" numFmtId="165">
      <sharedItems containsSemiMixedTypes="0" containsString="0" containsNumber="1" minValue="0" maxValue="35718756043.080002"/>
    </cacheField>
    <cacheField name="Emissions Intensity" numFmtId="0">
      <sharedItems containsSemiMixedTypes="0" containsString="0" containsNumber="1" minValue="0.72492651836340405" maxValue="125.18880280260738"/>
    </cacheField>
    <cacheField name="Total Emissons" numFmtId="165">
      <sharedItems containsSemiMixedTypes="0" containsString="0" containsNumber="1" minValue="0" maxValue="4334089757195.8633"/>
    </cacheField>
    <cacheField name="Total Emissions" numFmtId="165">
      <sharedItems containsSemiMixedTypes="0" containsString="0" containsNumber="1" minValue="0" maxValue="4.334089757195863"/>
    </cacheField>
    <cacheField name="Energy Intensity" numFmtId="2">
      <sharedItems containsSemiMixedTypes="0" containsString="0" containsNumber="1" minValue="0.34846253116444459" maxValue="49.66518644637933"/>
    </cacheField>
    <cacheField name="Energy Consumption" numFmtId="165">
      <sharedItems containsSemiMixedTypes="0" containsString="0" containsNumber="1" minValue="0" maxValue="16423227575.5811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79.662482291664" createdVersion="6" refreshedVersion="6" minRefreshableVersion="3" recordCount="2160" xr:uid="{C15348A0-F811-4AE4-9113-32BBD80AEA72}">
  <cacheSource type="worksheet">
    <worksheetSource ref="A2:N2162" sheet="PKM by purpose and mode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Mode Type" numFmtId="0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urpose" numFmtId="0">
      <sharedItems count="9">
        <s v="Work"/>
        <s v="Education"/>
        <s v="Shopping"/>
        <s v="To eat or drink"/>
        <s v="Visit family/friends"/>
        <s v="Entertainment/leisure/sports"/>
        <s v="Personal Business"/>
        <s v="Companion/Escort Journey"/>
        <s v="Other"/>
      </sharedItems>
    </cacheField>
    <cacheField name="Trip Distance" numFmtId="165">
      <sharedItems count="5">
        <s v="&lt;2 kilometres"/>
        <s v="2-4 kilometres"/>
        <s v="4-6 kilometres"/>
        <s v="6-8 kilometres"/>
        <s v="8+ kilometres"/>
      </sharedItems>
    </cacheField>
    <cacheField name="Passenger Kilometres for that mode type across all purpose" numFmtId="165">
      <sharedItems containsSemiMixedTypes="0" containsString="0" containsNumber="1" minValue="0" maxValue="47547076180.316536"/>
    </cacheField>
    <cacheField name="Percentage of journeys by trip purpose" numFmtId="0">
      <sharedItems containsSemiMixedTypes="0" containsString="0" containsNumber="1" minValue="0" maxValue="0.57799999999999996"/>
    </cacheField>
    <cacheField name="Passenger Kilometres by purpose and mode type" numFmtId="165">
      <sharedItems containsSemiMixedTypes="0" containsString="0" containsNumber="1" minValue="0" maxValue="13669784401.841005" count="423">
        <n v="10028855628.461355"/>
        <n v="1462112422.2192121"/>
        <n v="9586103275.2541313"/>
        <n v="556014583.09744692"/>
        <n v="4633454859.1453905"/>
        <n v="3243418401.4017735"/>
        <n v="2769776349.1335783"/>
        <n v="7475307172.7545633"/>
        <n v="1431222723.1582429"/>
        <n v="1896683485.2955427"/>
        <n v="276518536.87060273"/>
        <n v="1812948998.7783887"/>
        <n v="105154936.55642642"/>
        <n v="876291137.97022009"/>
        <n v="613403796.57915401"/>
        <n v="523827369.14219826"/>
        <n v="1413749702.5919549"/>
        <n v="270676595.95080131"/>
        <n v="27808058.543225527"/>
        <n v="13431371.052747741"/>
        <n v="37458163.845053084"/>
        <n v="5790063.1810965342"/>
        <n v="11737679.101814743"/>
        <n v="30762172.411131922"/>
        <n v="7011096.9131645085"/>
        <n v="13470759.23765316"/>
        <n v="10083375.33578716"/>
        <n v="809329228.22938514"/>
        <n v="349211874.27937478"/>
        <n v="522940394.64951605"/>
        <n v="47731472.263311535"/>
        <n v="291302367.48932779"/>
        <n v="197243289.79397854"/>
        <n v="270595331.72803813"/>
        <n v="63174007.407324083"/>
        <n v="256205696.70748106"/>
        <n v="39533029.128365308"/>
        <n v="19094565.060584377"/>
        <n v="53251998.16016347"/>
        <n v="8231381.4190788977"/>
        <n v="16686746.006023888"/>
        <n v="43732713.525854535"/>
        <n v="9967250.9700411111"/>
        <n v="19150560.852550901"/>
        <n v="14334922.743429914"/>
        <n v="794263285.90460861"/>
        <n v="342711174.96751326"/>
        <n v="513205679.09708023"/>
        <n v="46842934.467921421"/>
        <n v="285879673.59099108"/>
        <n v="193571538.02185175"/>
        <n v="265558106.43211329"/>
        <n v="61998001.501660697"/>
        <n v="251436339.42340174"/>
        <n v="0"/>
        <n v="3062559507.9092078"/>
        <n v="101350890.18980113"/>
        <n v="561102029.74643517"/>
        <n v="198295219.93656743"/>
        <n v="390715025.94908839"/>
        <n v="402465853.79718131"/>
        <n v="518505278.79709858"/>
        <n v="283488721.83524078"/>
        <n v="356931395.88582134"/>
        <n v="9118809415.1136169"/>
        <n v="1329436280.2321701"/>
        <n v="8716233640.1137352"/>
        <n v="505560275.58124787"/>
        <n v="4213002296.5103984"/>
        <n v="2949101607.5572786"/>
        <n v="2518439150.5806603"/>
        <n v="6796977038.3701086"/>
        <n v="1301349598.2554343"/>
        <n v="1593905816.0696909"/>
        <n v="232376412.60974962"/>
        <n v="1523538310.8427951"/>
        <n v="88368494.936101973"/>
        <n v="736404124.46751642"/>
        <n v="515482887.12726152"/>
        <n v="440206021.07058203"/>
        <n v="1188065320.8075931"/>
        <n v="227467051.77996621"/>
        <n v="21685000.636130787"/>
        <n v="10473916.737847872"/>
        <n v="29210248.732238498"/>
        <n v="4515148.8576646261"/>
        <n v="9153158.9087350927"/>
        <n v="23988648.012490287"/>
        <n v="5467323.1065598857"/>
        <n v="10504632.036199335"/>
        <n v="7863116.3779737707"/>
        <n v="616249530.99654341"/>
        <n v="265901250.36494395"/>
        <n v="398183781.95353419"/>
        <n v="36344291.507168226"/>
        <n v="221807073.16874731"/>
        <n v="150187439.90462163"/>
        <n v="206040064.35313746"/>
        <n v="48102738.759487353"/>
        <n v="195083329.41347653"/>
        <n v="29773012.522048533"/>
        <n v="14380449.390961118"/>
        <n v="40105006.952504471"/>
        <n v="6199196.6582735628"/>
        <n v="12567078.939901508"/>
        <n v="32935867.959943205"/>
        <n v="7506510.2392700259"/>
        <n v="14422620.796799716"/>
        <n v="10795879.894680489"/>
        <n v="604690107.00128603"/>
        <n v="260913554.4086208"/>
        <n v="390714769.91843724"/>
        <n v="35662556.18047481"/>
        <n v="217646482.57201543"/>
        <n v="147370268.9222562"/>
        <n v="202175226.58195642"/>
        <n v="47200442.003569596"/>
        <n v="191424014.79225451"/>
        <n v="57774308.832267374"/>
        <n v="24928637.158762377"/>
        <n v="37330320.971413009"/>
        <n v="3407331.310142396"/>
        <n v="20794742.554545507"/>
        <n v="14080295.561029607"/>
        <n v="19316562.059704315"/>
        <n v="4509703.2046002289"/>
        <n v="18289351.885323156"/>
        <n v="1586927125.1453164"/>
        <n v="52517012.774593212"/>
        <n v="290746360.57818264"/>
        <n v="102750677.16768236"/>
        <n v="202456889.82669267"/>
        <n v="208545818.84403682"/>
        <n v="268673992.89031023"/>
        <n v="146895412.54342735"/>
        <n v="184951218.90182826"/>
        <n v="9958628571.2445087"/>
        <n v="1451873980.6126492"/>
        <n v="9518976591.1998348"/>
        <n v="552121091.21889484"/>
        <n v="4601009093.4907904"/>
        <n v="3220706365.443553"/>
        <n v="2750380991.4422722"/>
        <n v="7422961337.4984741"/>
        <n v="1421200586.6560442"/>
        <n v="1590838651.5022969"/>
        <n v="231929248.98698789"/>
        <n v="1520606554.9780686"/>
        <n v="88198446.797868639"/>
        <n v="734987056.64890528"/>
        <n v="514490939.65423369"/>
        <n v="439358929.41901231"/>
        <n v="1185779118.0602338"/>
        <n v="227029335.27599522"/>
        <n v="27739946.281242579"/>
        <n v="13398472.637257393"/>
        <n v="37366414.8915888"/>
        <n v="5775881.1662077336"/>
        <n v="11708929.1668701"/>
        <n v="30686824.427266933"/>
        <n v="6993924.1332311314"/>
        <n v="13437764.345871054"/>
        <n v="10058677.40509646"/>
        <n v="784034556.26494575"/>
        <n v="338297651.12039071"/>
        <n v="506596482.58229375"/>
        <n v="46239678.947108693"/>
        <n v="282198040.63308984"/>
        <n v="191078673.29614034"/>
        <n v="262138179.91338819"/>
        <n v="61199575.077055618"/>
        <n v="248198276.70139226"/>
        <n v="25683352.976034153"/>
        <n v="12405132.244798366"/>
        <n v="34596131.275082834"/>
        <n v="5347666.9794292087"/>
        <n v="10840848.706597988"/>
        <n v="28411754.496151097"/>
        <n v="6475406.2744108764"/>
        <n v="12441510.93173326"/>
        <n v="9312943.8553324994"/>
        <n v="617334231.92074203"/>
        <n v="266369280.46883711"/>
        <n v="398884651.15433908"/>
        <n v="36408263.461067192"/>
        <n v="222197490.24033657"/>
        <n v="150451794.59646884"/>
        <n v="206402728.88590294"/>
        <n v="48187407.522000693"/>
        <n v="195426708.2836695"/>
        <n v="50532375.727566712"/>
        <n v="21803865.502571069"/>
        <n v="32651014.672191855"/>
        <n v="2980226.842562478"/>
        <n v="18188149.112697478"/>
        <n v="12315349.158236124"/>
        <n v="16895256.58540934"/>
        <n v="3944417.8798621031"/>
        <n v="15996805.84610742"/>
        <n v="1794903051.6844821"/>
        <n v="59399669.336320996"/>
        <n v="328850343.28224081"/>
        <n v="116216744.35367151"/>
        <n v="228990029.61538237"/>
        <n v="235876947.79930365"/>
        <n v="303885264.86552626"/>
        <n v="166146901.18710071"/>
        <n v="209190139.83660871"/>
        <n v="10445925051.715826"/>
        <n v="1304446537.6770999"/>
        <n v="10000756788.857767"/>
        <n v="538343015.54927945"/>
        <n v="4762265137.5513172"/>
        <n v="3468171350.1732421"/>
        <n v="2267252315.4863882"/>
        <n v="6646465691.9737959"/>
        <n v="1946317056.2166257"/>
        <n v="1716427794.7974043"/>
        <n v="214340834.6327779"/>
        <n v="1643279732.1846306"/>
        <n v="88458122.229400426"/>
        <n v="782514158.18315732"/>
        <n v="569874441.28556025"/>
        <n v="372544784.00459015"/>
        <n v="1092117585.986059"/>
        <n v="319810134.2139861"/>
        <n v="31049337.276574332"/>
        <n v="20318686.313790243"/>
        <n v="49182150.246093743"/>
        <n v="6955051.5499526504"/>
        <n v="18381207.667732004"/>
        <n v="33980394.71548295"/>
        <n v="7203446.2481652442"/>
        <n v="18132812.96951941"/>
        <n v="13562350.522407666"/>
        <n v="772571968.17323363"/>
        <n v="360278610.9005872"/>
        <n v="768747354.46940577"/>
        <n v="71137814.891198739"/>
        <n v="341155542.38144773"/>
        <n v="230241744.9704389"/>
        <n v="247070045.26728159"/>
        <n v="92555651.632634923"/>
        <n v="175932230.37608293"/>
        <n v="31207563.736457296"/>
        <n v="20422229.709137656"/>
        <n v="49432780.95854836"/>
        <n v="6990494.2769664349"/>
        <n v="18474877.731982719"/>
        <n v="34153557.753178865"/>
        <n v="7240154.7868580921"/>
        <n v="18225217.22209106"/>
        <n v="13631463.840084543"/>
        <n v="684189036.15127349"/>
        <n v="319062411.9081682"/>
        <n v="680801961.71488118"/>
        <n v="62999584.516899452"/>
        <n v="302127039.72620595"/>
        <n v="203901881.07082507"/>
        <n v="218805008.5909518"/>
        <n v="81967201.360697135"/>
        <n v="155805424.07405242"/>
        <n v="45421103.709718354"/>
        <n v="21181524.6012647"/>
        <n v="45196246.76066035"/>
        <n v="4182339.2524790172"/>
        <n v="20057239.855974644"/>
        <n v="13536388.333292302"/>
        <n v="14525758.909147551"/>
        <n v="5441538.1672038827"/>
        <n v="10343419.656668538"/>
        <n v="1696595906.9974353"/>
        <n v="12505620.93609903"/>
        <n v="382672000.64463037"/>
        <n v="127557333.54821011"/>
        <n v="244276462.28513438"/>
        <n v="337651765.27467382"/>
        <n v="197588810.79036468"/>
        <n v="165074196.35650721"/>
        <n v="175078693.10538641"/>
        <n v="13669784401.841005"/>
        <n v="1236223980.68823"/>
        <n v="10626771526.300747"/>
        <n v="808300295.06538117"/>
        <n v="4481311929.9948339"/>
        <n v="3566030713.5237408"/>
        <n v="2817164263.6837544"/>
        <n v="8701114940.9979267"/>
        <n v="1640374128.2209206"/>
        <n v="1832359028.9359596"/>
        <n v="165708990.44290417"/>
        <n v="1424459975.5380414"/>
        <n v="108348186.05882195"/>
        <n v="600695090.35552752"/>
        <n v="478006703.20068514"/>
        <n v="377625295.52854115"/>
        <n v="1166336355.8096714"/>
        <n v="219883083.47231513"/>
        <n v="25952697.922387894"/>
        <n v="14149649.069695963"/>
        <n v="34533549.462178767"/>
        <n v="5533773.6460692137"/>
        <n v="9561520.287195541"/>
        <n v="25917674.038552012"/>
        <n v="5919036.3682639049"/>
        <n v="10577212.918436091"/>
        <n v="7950421.6307450086"/>
        <n v="658052173.10754943"/>
        <n v="324168669.58056438"/>
        <n v="391661200.1556977"/>
        <n v="69537758.774379745"/>
        <n v="144699895.09668726"/>
        <n v="191740143.67935589"/>
        <n v="93569190.115525663"/>
        <n v="59311617.778147414"/>
        <n v="110442322.75930898"/>
        <n v="39569822.78722427"/>
        <n v="21573830.507474501"/>
        <n v="52652962.575172916"/>
        <n v="8437290.1489627995"/>
        <n v="14578355.763714205"/>
        <n v="39516422.216661215"/>
        <n v="9024696.4251564108"/>
        <n v="16126972.310042819"/>
        <n v="12121929.517813642"/>
        <n v="667497121.10576606"/>
        <n v="328821425.62630588"/>
        <n v="397282668.81664091"/>
        <n v="70535826.317314833"/>
        <n v="146776756.23382425"/>
        <n v="194492168.15436074"/>
        <n v="94912178.05932802"/>
        <n v="60162910.682415582"/>
        <n v="112027488.85691178"/>
        <n v="65205676.26009018"/>
        <n v="32121521.949415058"/>
        <n v="38809283.617116623"/>
        <n v="6890421.1121773627"/>
        <n v="14338155.69666319"/>
        <n v="18999322.919606697"/>
        <n v="9271669.5847680662"/>
        <n v="5877123.8897983385"/>
        <n v="10943610.001693456"/>
        <n v="2434651005.846406"/>
        <n v="55811636.379697032"/>
        <n v="429644295.14936584"/>
        <n v="145320864.53581488"/>
        <n v="100039725.58624938"/>
        <n v="305384425.47381395"/>
        <n v="315914922.90394545"/>
        <n v="177965406.5692226"/>
        <n v="247466689.60809061"/>
        <n v="9197563626.8690739"/>
        <n v="894956366.97553682"/>
        <n v="9154433199.5449505"/>
        <n v="1347825853.8788207"/>
        <n v="4819825253.4706631"/>
        <n v="4162086236.7777982"/>
        <n v="2544695212.1232133"/>
        <n v="9758259182.0826626"/>
        <n v="1250782392.3995454"/>
        <n v="2301493206.0977545"/>
        <n v="223943653.11384946"/>
        <n v="2290700740.8874488"/>
        <n v="337264537.82206249"/>
        <n v="1206057987.2516954"/>
        <n v="1041472892.794529"/>
        <n v="636755447.40805399"/>
        <n v="2441795253.8317327"/>
        <n v="312981491.09887397"/>
        <n v="63640123.473857634"/>
        <n v="11150295.769555507"/>
        <n v="75473090.412977755"/>
        <n v="17673598.056506347"/>
        <n v="24424457.399978727"/>
        <n v="30492645.573886491"/>
        <n v="13653423.391292458"/>
        <n v="46269934.826046661"/>
        <n v="20404282.734764837"/>
        <n v="1290440909.6444335"/>
        <n v="381577093.25407028"/>
        <n v="1000843020.2535161"/>
        <n v="107460852.03813912"/>
        <n v="258634593.04094499"/>
        <n v="188511833.6601254"/>
        <n v="156637852.12338921"/>
        <n v="137513463.20134753"/>
        <n v="118389074.27930582"/>
        <n v="48888659.217681415"/>
        <n v="8565712.6400466841"/>
        <n v="57978803.243853405"/>
        <n v="13576945.885244062"/>
        <n v="18762989.592483208"/>
        <n v="23424601.913597055"/>
        <n v="10488627.722506143"/>
        <n v="35544793.948493041"/>
        <n v="15674671.42974529"/>
        <n v="1398582488.1034815"/>
        <n v="413554031.4152143"/>
        <n v="1084715705.3110275"/>
        <n v="116466290.47015582"/>
        <n v="280308699.09766316"/>
        <n v="204309509.55357844"/>
        <n v="169764423.39717627"/>
        <n v="149037371.70333499"/>
        <n v="128310320.00949371"/>
        <n v="106997950.781563"/>
        <n v="31638773.025740925"/>
        <n v="82985707.76918681"/>
        <n v="8910203.3819509037"/>
        <n v="21444896.275203872"/>
        <n v="15630611.017490147"/>
        <n v="12987754.082165726"/>
        <n v="11402039.920971073"/>
        <n v="9816325.7597764209"/>
        <n v="1609516969.0562804"/>
        <n v="351925471.9905442"/>
        <n v="120922259.33324386"/>
        <n v="350257578.75836158"/>
        <n v="151778284.12862337"/>
        <n v="58376263.126393601"/>
        <n v="336080486.28480887"/>
        <n v="356929151.6870923"/>
      </sharedItems>
    </cacheField>
    <cacheField name="Average distance based on mode type" numFmtId="0">
      <sharedItems containsSemiMixedTypes="0" containsString="0" containsNumber="1" minValue="1" maxValue="41.2" count="10">
        <n v="1"/>
        <n v="3"/>
        <n v="5"/>
        <n v="7"/>
        <n v="30.1"/>
        <n v="31.75"/>
        <n v="35.22"/>
        <n v="38.99"/>
        <n v="41.2"/>
        <n v="25.7"/>
      </sharedItems>
    </cacheField>
    <cacheField name="Average distance based on trip purpose type" numFmtId="0">
      <sharedItems containsSemiMixedTypes="0" containsString="0" containsNumber="1" minValue="1" maxValue="43.24"/>
    </cacheField>
    <cacheField name="Average distance based on trip purpose and mode type" numFmtId="0">
      <sharedItems containsSemiMixedTypes="0" containsString="0" containsNumber="1" minValue="1" maxValue="42.22"/>
    </cacheField>
    <cacheField name="Distance weighting" numFmtId="0">
      <sharedItems containsSemiMixedTypes="0" containsString="0" containsNumber="1" minValue="1.7176228100309172E-2" maxValue="0.72518035039505324"/>
    </cacheField>
    <cacheField name="Calibration factor" numFmtId="0">
      <sharedItems containsSemiMixedTypes="0" containsString="0" containsNumber="1" containsInteger="1" minValue="1" maxValue="1"/>
    </cacheField>
    <cacheField name="Passenger Kilometres by distance category, mode type and trip purpose" numFmtId="165">
      <sharedItems containsSemiMixedTypes="0" containsString="0" containsNumber="1" minValue="0" maxValue="9913059042.3518944" count="2111">
        <n v="211423118.55088764"/>
        <n v="634269355.65266299"/>
        <n v="1057115592.7544382"/>
        <n v="1479961829.8562136"/>
        <n v="6646085731.6471539"/>
        <n v="30823493.6696366"/>
        <n v="92470481.008909792"/>
        <n v="154117468.34818298"/>
        <n v="215764455.68745619"/>
        <n v="968936523.50502658"/>
        <n v="202089243.70726535"/>
        <n v="606267731.12179601"/>
        <n v="1010446218.5363266"/>
        <n v="1414624705.9508574"/>
        <n v="6352675375.9378862"/>
        <n v="11721610.268735046"/>
        <n v="35164830.806205139"/>
        <n v="58608051.343675226"/>
        <n v="82051271.881145328"/>
        <n v="368468818.79768622"/>
        <n v="97680085.572792038"/>
        <n v="293040256.71837616"/>
        <n v="488400427.86396021"/>
        <n v="683760599.00954425"/>
        <n v="3070573489.9807181"/>
        <n v="68376059.900954425"/>
        <n v="205128179.70286331"/>
        <n v="341880299.50477213"/>
        <n v="478632419.30668104"/>
        <n v="2149401442.9865026"/>
        <n v="58390984.486846805"/>
        <n v="175172953.46054041"/>
        <n v="291954922.43423402"/>
        <n v="408736891.40792763"/>
        <n v="1835520597.3440297"/>
        <n v="157590538.05743784"/>
        <n v="472771614.17231351"/>
        <n v="787952690.28718913"/>
        <n v="1103133766.4020648"/>
        <n v="4953858563.8355589"/>
        <n v="30172293.099151321"/>
        <n v="90516879.29745397"/>
        <n v="150861465.4957566"/>
        <n v="211206051.69405925"/>
        <n v="948466033.57182193"/>
        <n v="39984894.809645675"/>
        <n v="119954684.42893703"/>
        <n v="199924474.04822838"/>
        <n v="279894263.66751975"/>
        <n v="1256925168.341212"/>
        <n v="5829419.982515078"/>
        <n v="17488259.947545234"/>
        <n v="29147099.91257539"/>
        <n v="40805939.87760555"/>
        <n v="183247817.15036151"/>
        <n v="38219647.913531967"/>
        <n v="114658943.74059589"/>
        <n v="191098239.56765983"/>
        <n v="267537535.39472374"/>
        <n v="1201434632.1618774"/>
        <n v="2216821.68349165"/>
        <n v="6650465.0504749501"/>
        <n v="11084108.417458249"/>
        <n v="15517751.784441551"/>
        <n v="69685789.62056002"/>
        <n v="18473514.02909708"/>
        <n v="55420542.087291248"/>
        <n v="92367570.145485401"/>
        <n v="129314598.20367958"/>
        <n v="580714913.50466681"/>
        <n v="12931459.820367957"/>
        <n v="38794379.461103871"/>
        <n v="64657299.101839781"/>
        <n v="90520218.74257569"/>
        <n v="406500439.45326674"/>
        <n v="11043056.164060256"/>
        <n v="33129168.492180772"/>
        <n v="55215280.820301279"/>
        <n v="77301393.148421794"/>
        <n v="347138470.51723421"/>
        <n v="29803935.96694329"/>
        <n v="89411807.900829867"/>
        <n v="149019679.83471644"/>
        <n v="208627551.76860303"/>
        <n v="936886727.12086236"/>
        <n v="5706263.2223210987"/>
        <n v="17118789.666963298"/>
        <n v="28531316.111605491"/>
        <n v="39943842.556247689"/>
        <n v="179376384.39366376"/>
        <n v="586235.02779014502"/>
        <n v="1758705.0833704351"/>
        <n v="2931175.1389507246"/>
        <n v="4103645.1945310147"/>
        <n v="18428298.09858321"/>
        <n v="283153.17914509837"/>
        <n v="849459.53743529518"/>
        <n v="1415765.8957254917"/>
        <n v="1982072.2540156886"/>
        <n v="8900920.1864261683"/>
        <n v="789673.52893545025"/>
        <n v="2369020.5868063509"/>
        <n v="3948367.6446772511"/>
        <n v="5527714.7025481518"/>
        <n v="24823387.382085882"/>
        <n v="122063.10068718318"/>
        <n v="366189.30206154956"/>
        <n v="610315.50343591592"/>
        <n v="854441.70481028233"/>
        <n v="3837053.5701016039"/>
        <n v="247447.6462910244"/>
        <n v="742342.93887307332"/>
        <n v="1237238.2314551221"/>
        <n v="1732133.5240371709"/>
        <n v="7778516.7611583536"/>
        <n v="648512.11997748329"/>
        <n v="1945536.3599324501"/>
        <n v="3242560.5998874167"/>
        <n v="4539584.8398423837"/>
        <n v="20385978.491492189"/>
        <n v="147804.29879128298"/>
        <n v="443412.89637384895"/>
        <n v="739021.49395641487"/>
        <n v="1034630.091538981"/>
        <n v="4646228.1325039808"/>
        <n v="283983.5403742629"/>
        <n v="851950.62112278875"/>
        <n v="1419917.7018713143"/>
        <n v="1987884.7826198402"/>
        <n v="8927022.591664955"/>
        <n v="212572.4746661149"/>
        <n v="637717.42399834469"/>
        <n v="1062862.3733305745"/>
        <n v="1488007.3226628043"/>
        <n v="6682215.7411293229"/>
        <n v="17061857.873498157"/>
        <n v="51185573.620494477"/>
        <n v="85309289.367490783"/>
        <n v="119433005.11448711"/>
        <n v="536339502.25341463"/>
        <n v="7361903.1154079214"/>
        <n v="22085709.346223768"/>
        <n v="36809515.577039607"/>
        <n v="51533321.807855457"/>
        <n v="231421424.43284804"/>
        <n v="11024357.42910332"/>
        <n v="33073072.287309963"/>
        <n v="55121787.145516604"/>
        <n v="77170502.003723249"/>
        <n v="346550675.78386295"/>
        <n v="1006250.0740658066"/>
        <n v="3018750.22219742"/>
        <n v="5031250.3703290327"/>
        <n v="7043750.5184606463"/>
        <n v="31631471.078258634"/>
        <n v="6141085.0108427908"/>
        <n v="18423255.032528374"/>
        <n v="30705425.054213952"/>
        <n v="42987595.075899534"/>
        <n v="193045007.31584316"/>
        <n v="4158180.4531248771"/>
        <n v="12474541.359374631"/>
        <n v="20790902.265624385"/>
        <n v="29107263.171874139"/>
        <n v="130712402.54398052"/>
        <n v="5704550.0522407107"/>
        <n v="17113650.156722132"/>
        <n v="28522750.261203554"/>
        <n v="39931850.365684979"/>
        <n v="179322530.89218676"/>
        <n v="1331801.5686165085"/>
        <n v="3995404.705849526"/>
        <n v="6659007.8430825425"/>
        <n v="9322610.9803155605"/>
        <n v="41865182.309459947"/>
        <n v="5401195.250500286"/>
        <n v="16203585.751500858"/>
        <n v="27005976.252501428"/>
        <n v="37808366.753502004"/>
        <n v="169786572.69947651"/>
        <n v="833414.75974207453"/>
        <n v="2500244.2792262239"/>
        <n v="4167073.7987103728"/>
        <n v="5833903.3181945225"/>
        <n v="26198392.972492117"/>
        <n v="402541.68990374991"/>
        <n v="1207625.0697112498"/>
        <n v="2012708.4495187495"/>
        <n v="2817791.8293262497"/>
        <n v="12653898.02212438"/>
        <n v="1122630.9299075254"/>
        <n v="3367892.7897225763"/>
        <n v="5613154.6495376267"/>
        <n v="7858416.5093526784"/>
        <n v="35289903.281643063"/>
        <n v="173529.70209927054"/>
        <n v="520589.10629781161"/>
        <n v="867648.51049635257"/>
        <n v="1214707.9146948936"/>
        <n v="5454906.18549057"/>
        <n v="351781.30085430352"/>
        <n v="1055343.9025629107"/>
        <n v="1758906.5042715175"/>
        <n v="2462469.1059801248"/>
        <n v="11058245.192355033"/>
        <n v="921950.32203762059"/>
        <n v="2765850.9661128619"/>
        <n v="4609751.6101881033"/>
        <n v="6453652.2542633442"/>
        <n v="28981508.373252608"/>
        <n v="210124.40118142957"/>
        <n v="630373.20354428864"/>
        <n v="1050622.0059071477"/>
        <n v="1470870.8082700069"/>
        <n v="6605260.551138239"/>
        <n v="403722.16406769055"/>
        <n v="1211166.4922030717"/>
        <n v="2018610.8203384527"/>
        <n v="2826055.1484738337"/>
        <n v="12691006.227467854"/>
        <n v="302201.38596879761"/>
        <n v="906604.15790639282"/>
        <n v="1511006.9298439878"/>
        <n v="2115409.701781583"/>
        <n v="9499700.5679291543"/>
        <n v="16744245.512904154"/>
        <n v="50232736.538712464"/>
        <n v="83721227.564520776"/>
        <n v="117209718.59032908"/>
        <n v="526355357.69814217"/>
        <n v="7224858.7533996683"/>
        <n v="21674576.260199007"/>
        <n v="36124293.766998336"/>
        <n v="50574011.273797676"/>
        <n v="227113434.9131186"/>
        <n v="10819135.218658801"/>
        <n v="32457405.655976404"/>
        <n v="54095676.093294002"/>
        <n v="75733946.530611604"/>
        <n v="340099515.59853947"/>
        <n v="987518.38237422623"/>
        <n v="2962555.1471226788"/>
        <n v="4937591.9118711306"/>
        <n v="6912628.6766195837"/>
        <n v="31042640.349933803"/>
        <n v="6026766.5983132934"/>
        <n v="18080299.794939883"/>
        <n v="30133832.991566464"/>
        <n v="42187366.188193053"/>
        <n v="189451408.0179784"/>
        <n v="4080774.4918699642"/>
        <n v="12242323.475609893"/>
        <n v="20403872.459349819"/>
        <n v="28565421.44308975"/>
        <n v="128279146.15193233"/>
        <n v="5598357.8883127077"/>
        <n v="16795073.664938122"/>
        <n v="27991789.441563535"/>
        <n v="39188505.218188956"/>
        <n v="175984380.21910998"/>
        <n v="1307009.6237305934"/>
        <n v="3921028.8711917801"/>
        <n v="6535048.1186529668"/>
        <n v="9149067.3661141545"/>
        <n v="41085847.521971203"/>
        <n v="5300650.1406851849"/>
        <n v="15901950.422055556"/>
        <n v="26503250.703425921"/>
        <n v="37104550.984796293"/>
        <n v="166625937.1724388"/>
        <n v="0"/>
        <n v="64563286.769457318"/>
        <n v="193689860.30837196"/>
        <n v="322816433.84728658"/>
        <n v="451943007.3862012"/>
        <n v="2029546919.5978909"/>
        <n v="2136626.7563993069"/>
        <n v="6409880.2691979213"/>
        <n v="10683133.781996535"/>
        <n v="14956387.294795148"/>
        <n v="67164862.087412223"/>
        <n v="11828861.173109205"/>
        <n v="35486583.519327618"/>
        <n v="59144305.865546025"/>
        <n v="82802028.21176444"/>
        <n v="371840250.97668791"/>
        <n v="4180356.697302992"/>
        <n v="12541070.091908976"/>
        <n v="20901783.486514959"/>
        <n v="29262496.881120943"/>
        <n v="131409512.77971956"/>
        <n v="8236850.9739451539"/>
        <n v="24710552.921835463"/>
        <n v="41184254.869725771"/>
        <n v="57657956.817616083"/>
        <n v="258925410.36596596"/>
        <n v="8484575.8152668141"/>
        <n v="25453727.445800442"/>
        <n v="42422879.076334067"/>
        <n v="59392030.706867695"/>
        <n v="266712640.75291231"/>
        <n v="10930858.623318195"/>
        <n v="32792575.869954586"/>
        <n v="54654293.116590969"/>
        <n v="76516010.363227367"/>
        <n v="343611540.82400751"/>
        <n v="5976361.7968850173"/>
        <n v="17929085.390655052"/>
        <n v="29881808.984425083"/>
        <n v="41834532.578195117"/>
        <n v="187866933.08508053"/>
        <n v="7524642.0551453847"/>
        <n v="22573926.165436156"/>
        <n v="37623210.275726922"/>
        <n v="52672494.386017695"/>
        <n v="236537123.00349522"/>
        <n v="185115903.6766873"/>
        <n v="555347711.03006184"/>
        <n v="925579518.38343644"/>
        <n v="1295811325.7368109"/>
        <n v="6156954956.2866201"/>
        <n v="26988150.228018068"/>
        <n v="80964450.684054196"/>
        <n v="134940751.14009035"/>
        <n v="188917051.59612644"/>
        <n v="897625876.58388102"/>
        <n v="176943435.64989311"/>
        <n v="530830306.94967932"/>
        <n v="884717178.24946558"/>
        <n v="1238604049.5492516"/>
        <n v="5885138669.7154455"/>
        <n v="10263099.382485745"/>
        <n v="30789298.147457238"/>
        <n v="51315496.912428729"/>
        <n v="71841695.677400216"/>
        <n v="341350685.46147597"/>
        <n v="85525828.187381208"/>
        <n v="256577484.56214359"/>
        <n v="427629140.93690604"/>
        <n v="598680797.3116684"/>
        <n v="2844589045.5122995"/>
        <n v="59868079.73116684"/>
        <n v="179604239.19350052"/>
        <n v="299340398.6558342"/>
        <n v="419076558.11816782"/>
        <n v="1991212331.8586094"/>
        <n v="51125439.516456768"/>
        <n v="153376318.54937029"/>
        <n v="255627197.58228382"/>
        <n v="357878076.6151973"/>
        <n v="1700432118.3173523"/>
        <n v="137981669.47564167"/>
        <n v="413945008.42692494"/>
        <n v="689908347.37820828"/>
        <n v="965871686.3294915"/>
        <n v="4589270326.7598419"/>
        <n v="26417978.040102199"/>
        <n v="79253934.120306581"/>
        <n v="132089890.20051098"/>
        <n v="184925846.28071535"/>
        <n v="878661949.61379921"/>
        <n v="32356999.920212969"/>
        <n v="97070999.760638908"/>
        <n v="161784999.60106483"/>
        <n v="226498999.44149074"/>
        <n v="1076193817.3462834"/>
        <n v="4717344.957566984"/>
        <n v="14152034.87270095"/>
        <n v="23586724.787834916"/>
        <n v="33021414.702968881"/>
        <n v="156898893.2886779"/>
        <n v="30928508.137287762"/>
        <n v="92785524.411863282"/>
        <n v="154642540.6864388"/>
        <n v="216499556.9610143"/>
        <n v="1028682180.646191"/>
        <n v="1793919.9134409658"/>
        <n v="5381759.7403228972"/>
        <n v="8969599.5672048274"/>
        <n v="12557439.394086758"/>
        <n v="59665776.321046524"/>
        <n v="14949332.612008046"/>
        <n v="44847997.836024135"/>
        <n v="74746663.060040236"/>
        <n v="104645328.28405631"/>
        <n v="497214802.67538768"/>
        <n v="10464532.828405634"/>
        <n v="31393598.485216897"/>
        <n v="52322664.142028168"/>
        <n v="73251729.79883942"/>
        <n v="348050361.87277138"/>
        <n v="8936378.8280670326"/>
        <n v="26809136.484201096"/>
        <n v="44681894.140335158"/>
        <n v="62554651.796469219"/>
        <n v="297223959.82150954"/>
        <n v="24118256.614039648"/>
        <n v="72354769.842118934"/>
        <n v="120591283.07019824"/>
        <n v="168827796.2982775"/>
        <n v="802173214.98295879"/>
        <n v="4617682.7401535977"/>
        <n v="13853048.220460791"/>
        <n v="23088413.700767986"/>
        <n v="32323779.181075174"/>
        <n v="153584127.93750867"/>
        <n v="440215.19764780323"/>
        <n v="1320645.5929434097"/>
        <n v="2201075.9882390159"/>
        <n v="3081506.3835346219"/>
        <n v="14641557.473765938"/>
        <n v="212625.1875324375"/>
        <n v="637875.5625973125"/>
        <n v="1063125.9376621875"/>
        <n v="1488376.3127270623"/>
        <n v="7071913.7373288721"/>
        <n v="592981.09484852816"/>
        <n v="1778943.2845455843"/>
        <n v="2964905.4742426407"/>
        <n v="4150867.6639396963"/>
        <n v="19722551.214662049"/>
        <n v="91659.538320434964"/>
        <n v="274978.61496130488"/>
        <n v="458297.69160217477"/>
        <n v="641616.76824304461"/>
        <n v="3048596.2445376669"/>
        <n v="185813.21373802461"/>
        <n v="557439.64121407387"/>
        <n v="929066.06869012304"/>
        <n v="1300692.496166172"/>
        <n v="6180147.4889266994"/>
        <n v="486980.26821945363"/>
        <n v="1460940.8046583608"/>
        <n v="2434901.3410972683"/>
        <n v="3408861.8775361748"/>
        <n v="16196963.720979031"/>
        <n v="110989.10082338379"/>
        <n v="332967.30247015134"/>
        <n v="554945.50411691889"/>
        <n v="776923.70576368645"/>
        <n v="3691497.4933857452"/>
        <n v="213248.72180672624"/>
        <n v="639746.16542017867"/>
        <n v="1066243.6090336312"/>
        <n v="1492741.0526470835"/>
        <n v="7092652.487291716"/>
        <n v="159624.77421790033"/>
        <n v="478874.32265370101"/>
        <n v="798123.87108950166"/>
        <n v="1117373.4195253022"/>
        <n v="5309119.990487366"/>
        <n v="12510140.702325283"/>
        <n v="37530422.106975846"/>
        <n v="62550703.511626408"/>
        <n v="87570984.916276962"/>
        <n v="416087279.75933892"/>
        <n v="5397914.1365193659"/>
        <n v="16193742.409558095"/>
        <n v="26989570.682596825"/>
        <n v="37785398.955635555"/>
        <n v="179534624.18063411"/>
        <n v="8083308.6064460855"/>
        <n v="24249925.819338255"/>
        <n v="40416543.032230429"/>
        <n v="56583160.245122589"/>
        <n v="268850844.25039685"/>
        <n v="737805.34931319987"/>
        <n v="2213416.0479395995"/>
        <n v="3689026.746565999"/>
        <n v="5164637.4451923985"/>
        <n v="24539405.91815703"/>
        <n v="4502782.6465437943"/>
        <n v="13508347.939631382"/>
        <n v="22513913.232718971"/>
        <n v="31519478.525806554"/>
        <n v="149762550.82404661"/>
        <n v="3048872.1052501346"/>
        <n v="9146616.3157504033"/>
        <n v="15244360.526250672"/>
        <n v="21342104.736750938"/>
        <n v="101405486.22061948"/>
        <n v="4182705.3258858598"/>
        <n v="12548115.977657579"/>
        <n v="20913526.629429299"/>
        <n v="29278937.281201012"/>
        <n v="139116779.13896373"/>
        <n v="976507.07997335261"/>
        <n v="2929521.2399200578"/>
        <n v="4882535.3998667635"/>
        <n v="6835549.5598134678"/>
        <n v="32478625.479913712"/>
        <n v="3960278.7132252646"/>
        <n v="11880836.139675792"/>
        <n v="19801393.566126321"/>
        <n v="27721950.992576845"/>
        <n v="131718870.0018723"/>
        <n v="604405.45111750974"/>
        <n v="1813216.3533525292"/>
        <n v="3022027.2555875489"/>
        <n v="4230838.157822568"/>
        <n v="20102525.304168377"/>
        <n v="291929.54508650256"/>
        <n v="875788.63525950769"/>
        <n v="1459647.7254325128"/>
        <n v="2043506.8156055177"/>
        <n v="9709576.669577077"/>
        <n v="814149.55242599407"/>
        <n v="2442448.6572779822"/>
        <n v="4070747.7621299704"/>
        <n v="5699046.866981958"/>
        <n v="27078614.113688566"/>
        <n v="125846.46078509059"/>
        <n v="377539.38235527178"/>
        <n v="629232.30392545299"/>
        <n v="880925.22549563402"/>
        <n v="4185653.2857121136"/>
        <n v="255117.31506093196"/>
        <n v="765351.94518279587"/>
        <n v="1275586.5753046598"/>
        <n v="1785821.2054265235"/>
        <n v="8485201.8989265971"/>
        <n v="668612.82906908658"/>
        <n v="2005838.4872072595"/>
        <n v="3343064.1453454327"/>
        <n v="4680289.8034836054"/>
        <n v="22238062.694837824"/>
        <n v="152385.51033840896"/>
        <n v="457156.53101522685"/>
        <n v="761927.55169204483"/>
        <n v="1066698.5723688626"/>
        <n v="5068342.073855483"/>
        <n v="292785.64345919032"/>
        <n v="878356.93037757091"/>
        <n v="1463928.2172959514"/>
        <n v="2049499.504214332"/>
        <n v="9738050.5014526714"/>
        <n v="219161.18340804891"/>
        <n v="657483.55022414669"/>
        <n v="1095805.9170402444"/>
        <n v="1534128.2838563421"/>
        <n v="7289300.9601517068"/>
        <n v="12275479.232669225"/>
        <n v="36826437.698007673"/>
        <n v="61377396.163346119"/>
        <n v="85928354.628684565"/>
        <n v="408282439.27857846"/>
        <n v="5296661.6810519854"/>
        <n v="15889985.043155955"/>
        <n v="26483308.405259926"/>
        <n v="37076631.767363891"/>
        <n v="176166967.51178905"/>
        <n v="7931684.3263994567"/>
        <n v="23795052.97919837"/>
        <n v="39658421.63199728"/>
        <n v="55521790.284796186"/>
        <n v="263807820.69604596"/>
        <n v="723965.81771162827"/>
        <n v="2171897.4531348846"/>
        <n v="3619829.0885581411"/>
        <n v="5067760.7239813972"/>
        <n v="24079103.097088758"/>
        <n v="4418320.7992694974"/>
        <n v="13254962.39780849"/>
        <n v="22091603.996347483"/>
        <n v="30928245.594886474"/>
        <n v="146953349.78370351"/>
        <n v="2991682.2761318758"/>
        <n v="8975046.8283956274"/>
        <n v="14958411.380659377"/>
        <n v="20941775.932923127"/>
        <n v="99503352.504146203"/>
        <n v="4104247.3930563624"/>
        <n v="12312742.179169087"/>
        <n v="20521236.965281811"/>
        <n v="28729731.751394533"/>
        <n v="136507268.29305464"/>
        <n v="958190.0528536255"/>
        <n v="2874570.1585608763"/>
        <n v="4790950.2642681273"/>
        <n v="6707330.3699753778"/>
        <n v="31869401.157911591"/>
        <n v="3885992.9921285934"/>
        <n v="11657978.97638578"/>
        <n v="19429964.960642964"/>
        <n v="27201950.944900148"/>
        <n v="129248126.91819702"/>
        <n v="1172844.2718690087"/>
        <n v="3518532.8156070262"/>
        <n v="5864221.359345044"/>
        <n v="8209909.9030830599"/>
        <n v="39008800.482363239"/>
        <n v="506062.46769716556"/>
        <n v="1518187.4030914966"/>
        <n v="2530312.3384858277"/>
        <n v="3542437.2738801586"/>
        <n v="16831637.67560773"/>
        <n v="757822.18780781585"/>
        <n v="2273466.5634234473"/>
        <n v="3789110.939039079"/>
        <n v="5304755.3146547098"/>
        <n v="25205165.966487959"/>
        <n v="69170.347343532194"/>
        <n v="207511.04203059658"/>
        <n v="345851.73671766097"/>
        <n v="484192.4314047253"/>
        <n v="2300605.7526458809"/>
        <n v="422142.56099361565"/>
        <n v="1266427.6829808468"/>
        <n v="2110712.8049680782"/>
        <n v="2954997.9269553088"/>
        <n v="14040461.578647658"/>
        <n v="285836.28828724334"/>
        <n v="857508.86486173002"/>
        <n v="1429181.4414362167"/>
        <n v="2000854.0180107031"/>
        <n v="9506914.948433714"/>
        <n v="392134.83677840669"/>
        <n v="1176404.51033522"/>
        <n v="1960674.1838920335"/>
        <n v="2744943.8574488466"/>
        <n v="13042404.671249809"/>
        <n v="91548.989131145529"/>
        <n v="274646.96739343659"/>
        <n v="457744.94565572764"/>
        <n v="640842.92391801858"/>
        <n v="3044919.3785019005"/>
        <n v="371282.01147631253"/>
        <n v="1113846.0344289376"/>
        <n v="1856410.0573815627"/>
        <n v="2598974.0803341875"/>
        <n v="12348839.701702157"/>
        <n v="32215329.377696231"/>
        <n v="96645988.133088693"/>
        <n v="161076646.88848114"/>
        <n v="225507305.64387357"/>
        <n v="1071481855.1021768"/>
        <n v="1066118.8139381488"/>
        <n v="3198356.4418144464"/>
        <n v="5330594.0696907435"/>
        <n v="7462831.6975670401"/>
        <n v="35459111.751582831"/>
        <n v="5902280.9699184457"/>
        <n v="17706842.909755334"/>
        <n v="29511404.849592227"/>
        <n v="41315966.789429113"/>
        <n v="196309865.05948752"/>
        <n v="2085884.6359659431"/>
        <n v="6257653.9078978291"/>
        <n v="10429423.179829715"/>
        <n v="14601192.4517616"/>
        <n v="69376522.992227286"/>
        <n v="4109965.282718081"/>
        <n v="12329895.848154241"/>
        <n v="20549826.413590405"/>
        <n v="28769756.97902656"/>
        <n v="136697445.30320337"/>
        <n v="4233573.2611456923"/>
        <n v="12700719.783437077"/>
        <n v="21167866.305728462"/>
        <n v="29635012.828019843"/>
        <n v="140808646.66570574"/>
        <n v="5454202.0481183557"/>
        <n v="16362606.144355068"/>
        <n v="27271010.240591779"/>
        <n v="38179414.336828485"/>
        <n v="181406760.12041655"/>
        <n v="2982042.4795661257"/>
        <n v="8946127.4386983756"/>
        <n v="14910212.397830628"/>
        <n v="20874297.356962875"/>
        <n v="99182732.870369345"/>
        <n v="3754592.3447386976"/>
        <n v="11263777.034216093"/>
        <n v="18772961.72369349"/>
        <n v="26282146.413170882"/>
        <n v="124877741.3860091"/>
        <n v="189022085.4369272"/>
        <n v="567066256.31078148"/>
        <n v="945110427.18463588"/>
        <n v="1323154598.0584903"/>
        <n v="6934275204.2536745"/>
        <n v="27557634.632488359"/>
        <n v="82672903.89746508"/>
        <n v="137788173.16244179"/>
        <n v="192903442.42741853"/>
        <n v="1010951826.4928355"/>
        <n v="180677167.9073709"/>
        <n v="542031503.72211266"/>
        <n v="903385839.53685439"/>
        <n v="1264740175.3515961"/>
        <n v="6628141904.681901"/>
        <n v="10479663.874326561"/>
        <n v="31438991.622979682"/>
        <n v="52398319.3716328"/>
        <n v="73357647.120285928"/>
        <n v="384446469.22966993"/>
        <n v="87330532.286054671"/>
        <n v="261991596.85816401"/>
        <n v="436652661.43027335"/>
        <n v="611313726.00238276"/>
        <n v="3203720576.9139156"/>
        <n v="61131372.600238264"/>
        <n v="183394117.80071479"/>
        <n v="305656863.00119132"/>
        <n v="427919608.20166785"/>
        <n v="2242604403.8397408"/>
        <n v="52204251.522108234"/>
        <n v="156612754.56632468"/>
        <n v="261021257.61054116"/>
        <n v="365429760.65475762"/>
        <n v="1915112967.0885406"/>
        <n v="140893258.75483486"/>
        <n v="422679776.26450455"/>
        <n v="704466293.77417421"/>
        <n v="986252811.28384399"/>
        <n v="5168669197.4211168"/>
        <n v="26975431.083914667"/>
        <n v="80926293.251744002"/>
        <n v="134877155.41957334"/>
        <n v="188828017.58740267"/>
        <n v="989593689.31340969"/>
        <n v="30195286.163088109"/>
        <n v="90585858.489264324"/>
        <n v="150976430.81544054"/>
        <n v="211367003.14161676"/>
        <n v="1107714072.8928874"/>
        <n v="4402187.5104296841"/>
        <n v="13206562.53128905"/>
        <n v="22010937.552148417"/>
        <n v="30815312.573007789"/>
        <n v="161494248.82011297"/>
        <n v="28862229.381760817"/>
        <n v="86586688.145282447"/>
        <n v="144311146.90880409"/>
        <n v="202035605.67232573"/>
        <n v="1058810884.8698956"/>
        <n v="1674071.3067831192"/>
        <n v="5022213.9203493576"/>
        <n v="8370356.5339155961"/>
        <n v="11718499.147481836"/>
        <n v="61413305.889338732"/>
        <n v="13950594.22319266"/>
        <n v="41851782.669577979"/>
        <n v="69752971.115963295"/>
        <n v="97654159.562348619"/>
        <n v="511777549.07782274"/>
        <n v="9765415.9562348612"/>
        <n v="29296247.868704583"/>
        <n v="48827079.78117431"/>
        <n v="68357911.693644032"/>
        <n v="358244284.35447592"/>
        <n v="8339355.2134196134"/>
        <n v="25018065.640258837"/>
        <n v="41696776.067098066"/>
        <n v="58375486.493937291"/>
        <n v="305929246.00429851"/>
        <n v="22506958.680084158"/>
        <n v="67520876.040252462"/>
        <n v="112534793.40042078"/>
        <n v="157548710.76058912"/>
        <n v="825667779.17888737"/>
        <n v="4309183.5489417333"/>
        <n v="12927550.6468252"/>
        <n v="21545917.744708668"/>
        <n v="30164284.842592135"/>
        <n v="158082398.49292749"/>
        <n v="526524.55691833689"/>
        <n v="1579573.6707550106"/>
        <n v="2632622.7845916846"/>
        <n v="3685671.8984283586"/>
        <n v="19315553.370549191"/>
        <n v="254312.85256253951"/>
        <n v="762938.55768761842"/>
        <n v="1271564.2628126976"/>
        <n v="1780189.9679377766"/>
        <n v="9329466.9962567613"/>
        <n v="709242.0023078447"/>
        <n v="2127726.006923534"/>
        <n v="3546210.0115392236"/>
        <n v="4964694.0161549132"/>
        <n v="26018542.854663286"/>
        <n v="109630.46723370472"/>
        <n v="328891.40170111414"/>
        <n v="548152.33616852365"/>
        <n v="767413.27063593315"/>
        <n v="4021793.690468458"/>
        <n v="222244.07643295245"/>
        <n v="666732.22929885739"/>
        <n v="1111220.3821647624"/>
        <n v="1555708.5350306672"/>
        <n v="8153023.9439428616"/>
        <n v="582458.46877226792"/>
        <n v="1747375.4063168035"/>
        <n v="2912292.3438613391"/>
        <n v="4077209.2814058755"/>
        <n v="21367488.92691065"/>
        <n v="132749.81746666285"/>
        <n v="398249.45239998848"/>
        <n v="663749.08733331412"/>
        <n v="929248.72226663982"/>
        <n v="4869927.0537645267"/>
        <n v="255058.6380539253"/>
        <n v="765175.91416177584"/>
        <n v="1275293.1902696264"/>
        <n v="1785410.4663774772"/>
        <n v="9356826.1370082498"/>
        <n v="190921.08579475107"/>
        <n v="572763.2573842532"/>
        <n v="954605.42897375533"/>
        <n v="1336447.6005632575"/>
        <n v="7003940.0323804431"/>
        <n v="14881551.793963097"/>
        <n v="44644655.381889291"/>
        <n v="74407758.969815478"/>
        <n v="104170862.55774169"/>
        <n v="545929727.56153619"/>
        <n v="6421137.9163023764"/>
        <n v="19263413.74890713"/>
        <n v="32105689.581511881"/>
        <n v="44947965.414116636"/>
        <n v="235559444.45955271"/>
        <n v="9615573.3621010482"/>
        <n v="28846720.086303145"/>
        <n v="48077866.810505241"/>
        <n v="67309013.534707338"/>
        <n v="352747308.78867698"/>
        <n v="877663.07197700848"/>
        <n v="2632989.2159310253"/>
        <n v="4388315.3598850425"/>
        <n v="6143641.5038390597"/>
        <n v="32197069.79547656"/>
        <n v="5356326.1010361556"/>
        <n v="16068978.303108465"/>
        <n v="26781630.505180776"/>
        <n v="37494282.707253091"/>
        <n v="196496823.01651138"/>
        <n v="3626813.5768461679"/>
        <n v="10880440.730538502"/>
        <n v="18134067.884230837"/>
        <n v="25387695.037923176"/>
        <n v="133049656.06660166"/>
        <n v="4975575.2095167162"/>
        <n v="14926725.628550148"/>
        <n v="24877876.04758358"/>
        <n v="34829026.466617018"/>
        <n v="182528976.56112075"/>
        <n v="1161612.8893813347"/>
        <n v="3484838.668144004"/>
        <n v="5808064.4469066737"/>
        <n v="8131290.225669343"/>
        <n v="42613768.846954264"/>
        <n v="4710985.6069354136"/>
        <n v="14132956.820806241"/>
        <n v="23554928.034677066"/>
        <n v="32976899.248547897"/>
        <n v="172822506.99042565"/>
        <n v="487488.90530576359"/>
        <n v="1462466.7159172907"/>
        <n v="2437444.5265288176"/>
        <n v="3412422.337140345"/>
        <n v="17883530.491141938"/>
        <n v="235458.5222510841"/>
        <n v="706375.56675325229"/>
        <n v="1177292.6112554206"/>
        <n v="1648209.6557575888"/>
        <n v="8637795.8887810204"/>
        <n v="656659.98434246622"/>
        <n v="1969979.9530273986"/>
        <n v="3283299.921712331"/>
        <n v="4596619.8903972637"/>
        <n v="24089571.525603376"/>
        <n v="101502.64742202162"/>
        <n v="304507.94226606481"/>
        <n v="507513.23711010808"/>
        <n v="710518.53195415135"/>
        <n v="3723624.620676863"/>
        <n v="205767.27164464246"/>
        <n v="617301.81493392738"/>
        <n v="1028836.3582232122"/>
        <n v="1440370.9015124973"/>
        <n v="7548572.3602837091"/>
        <n v="539275.97031699913"/>
        <n v="1617827.9109509971"/>
        <n v="2696379.8515849956"/>
        <n v="3774931.7922189939"/>
        <n v="19783338.971079115"/>
        <n v="122907.96762666559"/>
        <n v="368723.90287999675"/>
        <n v="614539.8381333279"/>
        <n v="860355.7733866591"/>
        <n v="4508878.7923842277"/>
        <n v="236149.01645123394"/>
        <n v="708447.04935370176"/>
        <n v="1180745.0822561698"/>
        <n v="1653043.1151586375"/>
        <n v="8663126.6685135178"/>
        <n v="176766.51523835058"/>
        <n v="530299.5457150517"/>
        <n v="883832.5761917528"/>
        <n v="1237365.6066684539"/>
        <n v="6484679.6115188906"/>
        <n v="11717457.187448839"/>
        <n v="35152371.562346511"/>
        <n v="58587285.937244192"/>
        <n v="82022200.312141865"/>
        <n v="429854916.92156065"/>
        <n v="5055884.6060327822"/>
        <n v="15167653.818098346"/>
        <n v="25279423.03016391"/>
        <n v="35391192.242229477"/>
        <n v="185475126.77231261"/>
        <n v="7571123.6813958259"/>
        <n v="22713371.044187475"/>
        <n v="37855618.406979129"/>
        <n v="52997865.769770779"/>
        <n v="277746672.25200588"/>
        <n v="691055.58434216934"/>
        <n v="2073166.753026508"/>
        <n v="3455277.9217108465"/>
        <n v="4837389.0903951861"/>
        <n v="25351374.111592483"/>
        <n v="4217471.5809117695"/>
        <n v="12652414.742735308"/>
        <n v="21087357.904558845"/>
        <n v="29522301.066382386"/>
        <n v="154717944.94574827"/>
        <n v="2855685.5764727881"/>
        <n v="8567056.7294183634"/>
        <n v="14278427.88236394"/>
        <n v="19989799.035309516"/>
        <n v="104760825.37290424"/>
        <n v="3917675.4082927387"/>
        <n v="11753026.224878216"/>
        <n v="19588377.041463692"/>
        <n v="27423727.858049173"/>
        <n v="143719922.35321912"/>
        <n v="914632.39104110643"/>
        <n v="2743897.1731233192"/>
        <n v="4573161.9552055318"/>
        <n v="6402426.7372877458"/>
        <n v="33553289.265342992"/>
        <n v="3709342.474777821"/>
        <n v="11128027.424333462"/>
        <n v="18546712.373889104"/>
        <n v="25965397.32344475"/>
        <n v="136077228.68722439"/>
        <n v="959141.61008952663"/>
        <n v="2877424.83026858"/>
        <n v="4795708.0504476335"/>
        <n v="6713991.2706266865"/>
        <n v="35186109.966134287"/>
        <n v="413853.38336473511"/>
        <n v="1241560.1500942053"/>
        <n v="2069266.9168236754"/>
        <n v="2896973.6835531457"/>
        <n v="15182211.368735308"/>
        <n v="619740.2424255833"/>
        <n v="1859220.7272767497"/>
        <n v="3098701.2121279165"/>
        <n v="4338181.6969790831"/>
        <n v="22735170.793382525"/>
        <n v="56566.894610657269"/>
        <n v="169700.68383197178"/>
        <n v="282834.47305328632"/>
        <n v="395968.26227460086"/>
        <n v="2075156.528791962"/>
        <n v="345224.4303444525"/>
        <n v="1035673.2910333574"/>
        <n v="1726122.1517222624"/>
        <n v="2416571.0124111674"/>
        <n v="12664558.22718624"/>
        <n v="233754.37331756903"/>
        <n v="701263.11995270697"/>
        <n v="1168771.8665878451"/>
        <n v="1636280.6132229832"/>
        <n v="8575279.1851550192"/>
        <n v="320684.38047659374"/>
        <n v="962053.1414297811"/>
        <n v="1603421.9023829685"/>
        <n v="2244790.6633361559"/>
        <n v="11764306.497783842"/>
        <n v="74867.948749399322"/>
        <n v="224603.84624819795"/>
        <n v="374339.74374699657"/>
        <n v="524075.64124579524"/>
        <n v="2746530.6998717142"/>
        <n v="303631.12548367504"/>
        <n v="910893.37645102513"/>
        <n v="1518155.6274183751"/>
        <n v="2125417.8783857254"/>
        <n v="11138707.838368619"/>
        <n v="34068578.374954581"/>
        <n v="102205735.12486374"/>
        <n v="170342891.87477291"/>
        <n v="238480048.62468207"/>
        <n v="1249805797.6852088"/>
        <n v="1127449.3562934611"/>
        <n v="3382348.0688803829"/>
        <n v="5637246.7814673055"/>
        <n v="7892145.4940542281"/>
        <n v="41360479.635625623"/>
        <n v="6241821.0739724934"/>
        <n v="18725463.22191748"/>
        <n v="31209105.369862467"/>
        <n v="43692747.517807454"/>
        <n v="228981206.09868094"/>
        <n v="2205879.1753567713"/>
        <n v="6617637.5260703145"/>
        <n v="11029395.876783857"/>
        <n v="15441154.227497401"/>
        <n v="80922677.547963172"/>
        <n v="4346398.9677400086"/>
        <n v="13039196.903220026"/>
        <n v="21731994.838700045"/>
        <n v="30424792.774180066"/>
        <n v="159447646.13154224"/>
        <n v="4477117.7336870767"/>
        <n v="13431353.20106123"/>
        <n v="22385588.668435384"/>
        <n v="31339824.135809541"/>
        <n v="164243064.06031042"/>
        <n v="5767965.5474143736"/>
        <n v="17303896.642243121"/>
        <n v="28839827.737071864"/>
        <n v="40375758.831900612"/>
        <n v="211597816.10689631"/>
        <n v="3153590.2284730133"/>
        <n v="9460770.6854190398"/>
        <n v="15767951.142365066"/>
        <n v="22075131.599311095"/>
        <n v="115689457.5315325"/>
        <n v="3970582.5156421885"/>
        <n v="11911747.546926565"/>
        <n v="19852912.578210942"/>
        <n v="27794077.609495323"/>
        <n v="145660819.58633369"/>
        <n v="184166520.65789539"/>
        <n v="552499561.9736861"/>
        <n v="920832603.28947687"/>
        <n v="1289165644.6052678"/>
        <n v="7499260721.1894999"/>
        <n v="22997999.606436882"/>
        <n v="68993998.81931065"/>
        <n v="114989998.03218441"/>
        <n v="160985997.24505818"/>
        <n v="936478543.97410977"/>
        <n v="176317996.98268279"/>
        <n v="528953990.94804835"/>
        <n v="881589984.91341388"/>
        <n v="1234225978.8787794"/>
        <n v="7179668837.1348429"/>
        <n v="9491237.9328152239"/>
        <n v="28473713.798445668"/>
        <n v="47456189.66407612"/>
        <n v="66438665.52970656"/>
        <n v="386483208.62423587"/>
        <n v="83960950.944134653"/>
        <n v="251882852.83240396"/>
        <n v="419804754.72067326"/>
        <n v="587726656.60894251"/>
        <n v="3418889922.4451628"/>
        <n v="61145475.144098066"/>
        <n v="183436425.43229419"/>
        <n v="305727375.72049034"/>
        <n v="428018326.00868642"/>
        <n v="2489843747.8676729"/>
        <n v="39972713.601664111"/>
        <n v="119918140.80499233"/>
        <n v="199863568.00832054"/>
        <n v="279808995.21164876"/>
        <n v="1627688897.8597624"/>
        <n v="117180283.70898794"/>
        <n v="351540851.12696379"/>
        <n v="585901418.54493976"/>
        <n v="820261985.96291554"/>
        <n v="4771581152.6299887"/>
        <n v="34314475.603255041"/>
        <n v="102943426.80976512"/>
        <n v="171572378.0162752"/>
        <n v="240201329.22278526"/>
        <n v="1397285446.5645452"/>
        <n v="30261420.923790626"/>
        <n v="90784262.771371886"/>
        <n v="151307104.61895314"/>
        <n v="211829946.46653438"/>
        <n v="1232245060.0167542"/>
        <n v="3778928.6782929813"/>
        <n v="11336786.034878945"/>
        <n v="18894643.391464908"/>
        <n v="26452500.748050869"/>
        <n v="153877975.78009018"/>
        <n v="28971786.533579525"/>
        <n v="86915359.60073857"/>
        <n v="144858932.66789761"/>
        <n v="202802505.73505667"/>
        <n v="1179731147.6473582"/>
        <n v="1559557.8672320244"/>
        <n v="4678673.6016960731"/>
        <n v="7797789.3361601224"/>
        <n v="10916905.070624171"/>
        <n v="63505196.353688031"/>
        <n v="13796088.825514058"/>
        <n v="41388266.476542175"/>
        <n v="68980444.127570286"/>
        <n v="96572621.778598398"/>
        <n v="561776736.97493243"/>
        <n v="10047151.644667847"/>
        <n v="30141454.934003539"/>
        <n v="50235758.22333923"/>
        <n v="70330061.512674928"/>
        <n v="409120014.97087473"/>
        <n v="6568137.9408425624"/>
        <n v="19704413.822527688"/>
        <n v="32840689.704212815"/>
        <n v="45976965.585897937"/>
        <n v="267454576.95110914"/>
        <n v="19254541.360826146"/>
        <n v="57763624.082478434"/>
        <n v="96272706.804130733"/>
        <n v="134781789.52578303"/>
        <n v="784044924.21284068"/>
        <n v="5638401.5199927026"/>
        <n v="16915204.559978109"/>
        <n v="28192007.599963516"/>
        <n v="39468810.639948919"/>
        <n v="229595709.89410284"/>
        <n v="547414.26792267861"/>
        <n v="1642242.803768036"/>
        <n v="2737071.3396133934"/>
        <n v="3831899.8754587504"/>
        <n v="22290708.989811473"/>
        <n v="358227.89692860091"/>
        <n v="1074683.6907858027"/>
        <n v="1791139.4846430046"/>
        <n v="2507595.2785002063"/>
        <n v="14587039.96293263"/>
        <n v="867104.20038952294"/>
        <n v="2601312.6011685692"/>
        <n v="4335521.0019476153"/>
        <n v="6069729.4027266605"/>
        <n v="35308483.039861374"/>
        <n v="122620.79601468002"/>
        <n v="367862.38804404007"/>
        <n v="613103.98007340007"/>
        <n v="858345.57210276008"/>
        <n v="4993118.8137177704"/>
        <n v="324069.24661022576"/>
        <n v="972207.73983067728"/>
        <n v="1620346.2330511287"/>
        <n v="2268484.7262715804"/>
        <n v="13196099.721968392"/>
        <n v="599090.17481457954"/>
        <n v="1797270.5244437386"/>
        <n v="2995450.8740728977"/>
        <n v="4193631.2237020568"/>
        <n v="24394951.918449678"/>
        <n v="127000.11015806143"/>
        <n v="381000.3304741843"/>
        <n v="635000.55079030711"/>
        <n v="889000.77110642998"/>
        <n v="5171444.4856362613"/>
        <n v="319689.93246684433"/>
        <n v="959069.79740053299"/>
        <n v="1598449.6623342216"/>
        <n v="2237829.5272679105"/>
        <n v="13017774.050049901"/>
        <n v="239110.55222862598"/>
        <n v="717331.65668587794"/>
        <n v="1195552.76114313"/>
        <n v="1673773.865600382"/>
        <n v="9736581.6867496502"/>
        <n v="13620803.388103556"/>
        <n v="40862410.164310664"/>
        <n v="68104016.940517768"/>
        <n v="95345623.716724887"/>
        <n v="554639113.96357679"/>
        <n v="6351879.5997987874"/>
        <n v="19055638.799396362"/>
        <n v="31759397.998993937"/>
        <n v="44463157.198591508"/>
        <n v="258648537.3038066"/>
        <n v="13553373.668360468"/>
        <n v="40660121.005081408"/>
        <n v="67766868.341802344"/>
        <n v="94873615.678523287"/>
        <n v="551893375.77563822"/>
        <n v="1254192.7872214164"/>
        <n v="3762578.3616642496"/>
        <n v="6270963.9361070823"/>
        <n v="8779349.510549916"/>
        <n v="51070730.295656078"/>
        <n v="6014731.0010833526"/>
        <n v="18044193.003250055"/>
        <n v="30073655.005416762"/>
        <n v="42103117.007583469"/>
        <n v="244919846.36411411"/>
        <n v="4059269.1285338313"/>
        <n v="12177807.385601493"/>
        <n v="20296345.642669156"/>
        <n v="28414883.899736818"/>
        <n v="165293438.9138976"/>
        <n v="4355959.8954034131"/>
        <n v="13067879.686210239"/>
        <n v="21779799.477017067"/>
        <n v="30491719.267823894"/>
        <n v="177374686.94082698"/>
        <n v="1631799.2177827032"/>
        <n v="4895397.6533481097"/>
        <n v="8158996.0889135161"/>
        <n v="11422594.524478922"/>
        <n v="66446864.148111671"/>
        <n v="3101767.1081819981"/>
        <n v="9305301.3245459944"/>
        <n v="15508835.540909991"/>
        <n v="21712369.757273987"/>
        <n v="126303956.64517096"/>
        <n v="550203.87405601726"/>
        <n v="1650611.6221680515"/>
        <n v="2751019.3702800861"/>
        <n v="3851427.1183921206"/>
        <n v="22404301.75156102"/>
        <n v="360053.41518225771"/>
        <n v="1080160.2455467731"/>
        <n v="1800267.0759112884"/>
        <n v="2520373.9062758037"/>
        <n v="14661375.066221533"/>
        <n v="871522.9365047313"/>
        <n v="2614568.8095141938"/>
        <n v="4357614.6825236566"/>
        <n v="6100660.5555331195"/>
        <n v="35488413.974472657"/>
        <n v="123245.66778854787"/>
        <n v="369737.00336564361"/>
        <n v="616228.3389427393"/>
        <n v="862719.67451983504"/>
        <n v="5018563.592349669"/>
        <n v="325720.69344116218"/>
        <n v="977162.08032348659"/>
        <n v="1628603.4672058111"/>
        <n v="2280044.8540881355"/>
        <n v="13263346.636924123"/>
        <n v="602143.11976690521"/>
        <n v="1806429.3593007156"/>
        <n v="3010715.5988345263"/>
        <n v="4215001.8383683367"/>
        <n v="24519267.836908381"/>
        <n v="127647.29878099599"/>
        <n v="382941.89634298795"/>
        <n v="638236.4939049799"/>
        <n v="893531.09146697191"/>
        <n v="5197798.006362156"/>
        <n v="321319.06244871404"/>
        <n v="963957.18734614213"/>
        <n v="1606595.3122435701"/>
        <n v="2249233.4371409984"/>
        <n v="13084112.222911635"/>
        <n v="240329.05218766825"/>
        <n v="720987.15656300483"/>
        <n v="1201645.2609383413"/>
        <n v="1682303.3653136778"/>
        <n v="9786199.005081851"/>
        <n v="12062571.159225555"/>
        <n v="36187713.477676667"/>
        <n v="60312855.796127774"/>
        <n v="84437998.114578888"/>
        <n v="491187897.60366458"/>
        <n v="5625218.8277180567"/>
        <n v="16875656.48315417"/>
        <n v="28126094.138590287"/>
        <n v="39376531.794026397"/>
        <n v="229058910.66467929"/>
        <n v="12002855.460417511"/>
        <n v="36008566.381252535"/>
        <n v="60014277.302087553"/>
        <n v="84019988.222922578"/>
        <n v="488756274.34820104"/>
        <n v="1110711.9978296801"/>
        <n v="3332135.9934890401"/>
        <n v="5553559.9891484007"/>
        <n v="7774983.9848077605"/>
        <n v="45228192.551624574"/>
        <n v="5326640.3336778199"/>
        <n v="15979921.001033461"/>
        <n v="26633201.668389101"/>
        <n v="37286482.335744739"/>
        <n v="216900794.38736081"/>
        <n v="3594885.0682444479"/>
        <n v="10784655.204733344"/>
        <n v="17974425.341222238"/>
        <n v="25164195.477711134"/>
        <n v="146383719.9789139"/>
        <n v="3857634.1429998553"/>
        <n v="11572902.428999567"/>
        <n v="19288170.714999277"/>
        <n v="27003439.000998989"/>
        <n v="157082862.30295411"/>
        <n v="1445119.9111547449"/>
        <n v="4335359.7334642354"/>
        <n v="7225599.5557737248"/>
        <n v="10115839.378083214"/>
        <n v="58845282.782221213"/>
        <n v="2746922.1451701769"/>
        <n v="8240766.4355105301"/>
        <n v="13734610.725850884"/>
        <n v="19228455.016191237"/>
        <n v="111854669.7513296"/>
        <n v="800795.19939559861"/>
        <n v="2402385.5981867961"/>
        <n v="4003975.9969779933"/>
        <n v="5605566.39576919"/>
        <n v="32608380.519388776"/>
        <n v="373440.13753992773"/>
        <n v="1120320.4126197831"/>
        <n v="1867200.6876996385"/>
        <n v="2614080.962779494"/>
        <n v="15206482.400625857"/>
        <n v="796830.86672532349"/>
        <n v="2390492.6001759707"/>
        <n v="3984154.3336266177"/>
        <n v="5577816.0670772651"/>
        <n v="32446952.893055174"/>
        <n v="73736.587667119486"/>
        <n v="221209.76300135846"/>
        <n v="368682.93833559746"/>
        <n v="516156.11366983643"/>
        <n v="3002553.8498051055"/>
        <n v="353618.47418855154"/>
        <n v="1060855.4225656546"/>
        <n v="1768092.3709427579"/>
        <n v="2475329.319319861"/>
        <n v="14399344.26895782"/>
        <n v="238652.82675056951"/>
        <n v="715958.48025170853"/>
        <n v="1193264.1337528476"/>
        <n v="1670569.7872539866"/>
        <n v="9717943.1052831896"/>
        <n v="256095.89049978054"/>
        <n v="768287.67149934161"/>
        <n v="1280479.4524989026"/>
        <n v="1792671.2334984636"/>
        <n v="10428224.661151063"/>
        <n v="95936.850620660844"/>
        <n v="287810.5518619825"/>
        <n v="479684.25310330419"/>
        <n v="671557.95434462593"/>
        <n v="3906548.5572733092"/>
        <n v="182359.30283266111"/>
        <n v="547077.90849798336"/>
        <n v="911796.51416330552"/>
        <n v="1276515.1198286279"/>
        <n v="7425670.81134596"/>
        <n v="29911775.511238281"/>
        <n v="89735326.533714846"/>
        <n v="149558877.55619141"/>
        <n v="209382428.57866797"/>
        <n v="1218007498.8176229"/>
        <n v="220479.91777325512"/>
        <n v="661439.75331976532"/>
        <n v="1102399.5888662755"/>
        <n v="1543359.4244127858"/>
        <n v="8977942.2517269477"/>
        <n v="6746685.4838616075"/>
        <n v="20240056.451584823"/>
        <n v="33733427.419308037"/>
        <n v="47226798.38703125"/>
        <n v="274725032.90284467"/>
        <n v="2248895.1612872025"/>
        <n v="6746685.4838616066"/>
        <n v="11244475.806436012"/>
        <n v="15742266.129010417"/>
        <n v="91575010.967614874"/>
        <n v="4306707.7271709163"/>
        <n v="12920123.181512749"/>
        <n v="21533538.635854583"/>
        <n v="30146954.090196416"/>
        <n v="175369138.65039971"/>
        <n v="5952957.779877888"/>
        <n v="17858873.339633666"/>
        <n v="29764788.899389442"/>
        <n v="41670704.459145218"/>
        <n v="242404440.79662761"/>
        <n v="3483582.7008174309"/>
        <n v="10450748.102452293"/>
        <n v="17417913.504087154"/>
        <n v="24385078.905722018"/>
        <n v="141851487.5772858"/>
        <n v="2910334.9146069679"/>
        <n v="8731004.7438209038"/>
        <n v="14551674.57303484"/>
        <n v="20372344.402248774"/>
        <n v="118508837.72279572"/>
        <n v="3086718.8488255716"/>
        <n v="9260156.5464767143"/>
        <n v="15433594.244127857"/>
        <n v="21607031.941778999"/>
        <n v="125691191.52417727"/>
        <n v="234795334.96806949"/>
        <n v="704386004.90420842"/>
        <n v="1173976674.8403475"/>
        <n v="1643567344.7764864"/>
        <n v="9913059042.3518944"/>
        <n v="21233665.07537324"/>
        <n v="63700995.226119719"/>
        <n v="106168325.37686621"/>
        <n v="148635655.52761269"/>
        <n v="896485339.4822582"/>
        <n v="182527851.70561227"/>
        <n v="547583555.11683691"/>
        <n v="912639258.52806151"/>
        <n v="1277694961.939286"/>
        <n v="7706325899.0109501"/>
        <n v="13883550.241590196"/>
        <n v="41650650.724770583"/>
        <n v="69417751.207950979"/>
        <n v="97184851.691131368"/>
        <n v="586163491.19993806"/>
        <n v="76972035.898228005"/>
        <n v="230916107.694684"/>
        <n v="384860179.49114001"/>
        <n v="538804251.28759599"/>
        <n v="3249759355.6231861"/>
        <n v="61250956.948192045"/>
        <n v="183752870.84457612"/>
        <n v="306254784.74096024"/>
        <n v="428756698.63734436"/>
        <n v="2586015402.3526683"/>
        <n v="48388255.989071704"/>
        <n v="145164767.96721512"/>
        <n v="241941279.94535854"/>
        <n v="338717791.92350191"/>
        <n v="2042952167.8586073"/>
        <n v="149452334.95358858"/>
        <n v="448357004.86076576"/>
        <n v="747261674.76794291"/>
        <n v="1046166344.6751201"/>
        <n v="6309877581.740509"/>
        <n v="28175440.196168337"/>
        <n v="84526320.588505015"/>
        <n v="140877200.9808417"/>
        <n v="197228081.37317836"/>
        <n v="1189567085.0822272"/>
        <n v="31473016.642665058"/>
        <n v="94419049.927995175"/>
        <n v="157365083.21332529"/>
        <n v="220311116.49865541"/>
        <n v="1328790762.6533186"/>
        <n v="2846255.4181192745"/>
        <n v="8538766.2543578241"/>
        <n v="14231277.090596374"/>
        <n v="19923787.926834926"/>
        <n v="120168903.75299577"/>
        <n v="24466849.459602222"/>
        <n v="73400548.378806666"/>
        <n v="122334247.29801112"/>
        <n v="171267946.21721557"/>
        <n v="1032990384.1844058"/>
        <n v="1861013.1580010641"/>
        <n v="5583039.474003192"/>
        <n v="9305065.7900053207"/>
        <n v="13027092.106007449"/>
        <n v="78571975.530804917"/>
        <n v="10317675.890682369"/>
        <n v="30953027.672047108"/>
        <n v="51588379.453411847"/>
        <n v="72223731.234776586"/>
        <n v="435612276.10460961"/>
        <n v="8210352.1676517548"/>
        <n v="24631056.502955265"/>
        <n v="41051760.838258773"/>
        <n v="57472465.173562288"/>
        <n v="346641068.51825708"/>
        <n v="6486178.2124448838"/>
        <n v="19458534.637334652"/>
        <n v="32430891.062224422"/>
        <n v="45403247.487114191"/>
        <n v="273846444.12942302"/>
        <n v="20033259.289070275"/>
        <n v="60099777.867210828"/>
        <n v="100166296.44535138"/>
        <n v="140232815.02349195"/>
        <n v="845804207.18454695"/>
        <n v="3776761.9971198067"/>
        <n v="11330285.99135942"/>
        <n v="18883809.985599034"/>
        <n v="26437333.979838647"/>
        <n v="159454891.51839823"/>
        <n v="445769.45933335443"/>
        <n v="1337308.3780000634"/>
        <n v="2228847.2966667721"/>
        <n v="3120386.2153334813"/>
        <n v="18820386.573054224"/>
        <n v="243037.59996042534"/>
        <n v="729112.79988127598"/>
        <n v="1215187.9998021268"/>
        <n v="1701263.1997229774"/>
        <n v="10261047.470329158"/>
        <n v="593156.12267569161"/>
        <n v="1779468.368027075"/>
        <n v="2965780.6133784587"/>
        <n v="4152092.8587298417"/>
        <n v="25043051.499367699"/>
        <n v="95049.358400364377"/>
        <n v="285148.0752010931"/>
        <n v="475246.79200182192"/>
        <n v="665345.50880255061"/>
        <n v="4012983.9116633837"/>
        <n v="164230.85343860427"/>
        <n v="492692.56031581282"/>
        <n v="821154.26719302149"/>
        <n v="1149615.97407023"/>
        <n v="6933826.6321778726"/>
        <n v="445167.88111563056"/>
        <n v="1335503.6433468917"/>
        <n v="2225839.4055781532"/>
        <n v="3116175.1678094142"/>
        <n v="18794987.940701924"/>
        <n v="101666.71879532644"/>
        <n v="305000.15638597932"/>
        <n v="508333.59397663223"/>
        <n v="711667.03156728507"/>
        <n v="4292368.8675386822"/>
        <n v="181676.62175259518"/>
        <n v="545029.86525778554"/>
        <n v="908383.10876297601"/>
        <n v="1271736.3522681664"/>
        <n v="7670386.9703945685"/>
        <n v="136558.25542330829"/>
        <n v="409674.76626992488"/>
        <n v="682791.27711654152"/>
        <n v="955907.7879631581"/>
        <n v="5765489.5439720759"/>
        <n v="11302854.227199407"/>
        <n v="33908562.681598216"/>
        <n v="56514271.135997035"/>
        <n v="79119979.590395853"/>
        <n v="477206505.47235894"/>
        <n v="5567995.0116895288"/>
        <n v="16703985.035068586"/>
        <n v="27839975.058447648"/>
        <n v="38975965.081826709"/>
        <n v="235080749.39353192"/>
        <n v="6727262.1119151097"/>
        <n v="20181786.335745331"/>
        <n v="33636310.55957555"/>
        <n v="47090834.783405773"/>
        <n v="284025006.36505592"/>
        <n v="1194396.406293022"/>
        <n v="3583189.2188790664"/>
        <n v="5971982.0314651113"/>
        <n v="8360774.8440511553"/>
        <n v="50427416.273691393"/>
        <n v="2485398.404271509"/>
        <n v="7456195.2128145276"/>
        <n v="12426992.021357546"/>
        <n v="17397788.829900566"/>
        <n v="104933520.62834311"/>
        <n v="3293372.4438226707"/>
        <n v="9880117.3314680122"/>
        <n v="16466862.219113356"/>
        <n v="23053607.106758695"/>
        <n v="139046184.57819316"/>
        <n v="1607165.7525854632"/>
        <n v="4821497.2577563897"/>
        <n v="8035828.7629273161"/>
        <n v="11250160.268098243"/>
        <n v="67854538.074158251"/>
        <n v="1018749.8759558127"/>
        <n v="3056249.6278674379"/>
        <n v="5093749.3797790641"/>
        <n v="7131249.1316906894"/>
        <n v="43011619.762854412"/>
        <n v="1896982.5276418582"/>
        <n v="5690947.5829255749"/>
        <n v="9484912.6382092908"/>
        <n v="13278877.693493009"/>
        <n v="80090602.317039251"/>
        <n v="679660.30208217574"/>
        <n v="2038980.9062465271"/>
        <n v="3398301.5104108788"/>
        <n v="4757622.1145752305"/>
        <n v="28695257.95390946"/>
        <n v="370557.03379379079"/>
        <n v="1111671.1013813724"/>
        <n v="1852785.1689689541"/>
        <n v="2593899.2365565361"/>
        <n v="15644917.966773847"/>
        <n v="904379.29534821224"/>
        <n v="2713137.8860446368"/>
        <n v="4521896.4767410615"/>
        <n v="6330655.0674374858"/>
        <n v="38182893.849601522"/>
        <n v="144920.82014707659"/>
        <n v="434762.46044122981"/>
        <n v="724604.10073538311"/>
        <n v="1014445.7410295362"/>
        <n v="6118557.0266095735"/>
        <n v="250401.16392501211"/>
        <n v="751203.49177503632"/>
        <n v="1252005.8196250608"/>
        <n v="1752808.147475085"/>
        <n v="10571937.140914012"/>
        <n v="678743.08170149801"/>
        <n v="2036229.245104494"/>
        <n v="3393715.4085074905"/>
        <n v="4751201.5719104866"/>
        <n v="28656532.909437247"/>
        <n v="155010.24433453128"/>
        <n v="465030.73300359381"/>
        <n v="775051.22167265648"/>
        <n v="1085071.710341719"/>
        <n v="6544532.5158039108"/>
        <n v="277000.55496466538"/>
        <n v="831001.6648939962"/>
        <n v="1385002.7748233271"/>
        <n v="1939003.884752658"/>
        <n v="11694963.430608172"/>
        <n v="208209.02641383788"/>
        <n v="624627.07924151362"/>
        <n v="1041045.1320691896"/>
        <n v="1457463.1848968654"/>
        <n v="8790585.095192235"/>
        <n v="11465082.808412334"/>
        <n v="34395248.425237"/>
        <n v="57325414.042061672"/>
        <n v="80255579.658886343"/>
        <n v="484055796.17116874"/>
        <n v="5647911.8108262774"/>
        <n v="16943735.432478834"/>
        <n v="28239559.054131389"/>
        <n v="39535382.675783947"/>
        <n v="238454836.65308544"/>
        <n v="6823817.7398942104"/>
        <n v="20471453.21968263"/>
        <n v="34119088.699471056"/>
        <n v="47766724.179259472"/>
        <n v="288101584.97833353"/>
        <n v="1211539.4420699903"/>
        <n v="3634618.3262099707"/>
        <n v="6057697.2103499519"/>
        <n v="8480776.0944899321"/>
        <n v="51151195.244194992"/>
        <n v="2521071.0448956415"/>
        <n v="7563213.1346869245"/>
        <n v="12605355.224478209"/>
        <n v="17647497.314269494"/>
        <n v="106439619.51549399"/>
        <n v="3340641.8439429877"/>
        <n v="10021925.531828962"/>
        <n v="16703209.21971494"/>
        <n v="23384492.907600917"/>
        <n v="141041898.65127295"/>
        <n v="1630233.2198441776"/>
        <n v="4890699.659532533"/>
        <n v="8151166.0992208887"/>
        <n v="11411632.538909243"/>
        <n v="68828446.541821182"/>
        <n v="1033371.8770596974"/>
        <n v="3100115.6311790925"/>
        <n v="5166859.3852984877"/>
        <n v="7233603.1394178821"/>
        <n v="43628960.64946042"/>
        <n v="1924209.7021111608"/>
        <n v="5772629.1063334821"/>
        <n v="9621048.5105558038"/>
        <n v="13469467.914778126"/>
        <n v="81240133.623133212"/>
        <n v="1119987.5688782237"/>
        <n v="3359962.706634671"/>
        <n v="5599937.8443911187"/>
        <n v="7839912.982147566"/>
        <n v="47285875.158038601"/>
        <n v="551726.5879322408"/>
        <n v="1655179.7637967223"/>
        <n v="2758632.9396612043"/>
        <n v="3862086.1155256857"/>
        <n v="23293896.542499207"/>
        <n v="666597.10781718697"/>
        <n v="1999791.3234515607"/>
        <n v="3332985.5390859349"/>
        <n v="4666179.7547203088"/>
        <n v="28143729.892041631"/>
        <n v="118351.4447299444"/>
        <n v="355054.3341898332"/>
        <n v="591757.22364972206"/>
        <n v="828460.11310961086"/>
        <n v="4996797.9964982523"/>
        <n v="246275.43278363431"/>
        <n v="738826.29835090297"/>
        <n v="1231377.1639181718"/>
        <n v="1723928.0294854403"/>
        <n v="10397748.772125041"/>
        <n v="326336.70421859663"/>
        <n v="979010.11265578994"/>
        <n v="1631683.5210929834"/>
        <n v="2284356.9295301768"/>
        <n v="13777935.65210915"/>
        <n v="159252.31165867514"/>
        <n v="477756.93497602543"/>
        <n v="796261.55829337577"/>
        <n v="1114766.1816107261"/>
        <n v="6723632.5982292639"/>
        <n v="100946.82050495257"/>
        <n v="302840.46151485771"/>
        <n v="504734.10252476291"/>
        <n v="706627.743534668"/>
        <n v="4261974.7617190974"/>
        <n v="187969.94162991163"/>
        <n v="563909.82488973497"/>
        <n v="939849.70814955828"/>
        <n v="1315789.5914093815"/>
        <n v="7936090.935614869"/>
        <n v="41818121.021065027"/>
        <n v="125454363.06319509"/>
        <n v="209090605.10532516"/>
        <n v="292726847.14745522"/>
        <n v="1765561069.5093656"/>
        <n v="958633.39710918989"/>
        <n v="2875900.1913275695"/>
        <n v="4793166.98554595"/>
        <n v="6710433.7797643291"/>
        <n v="40473502.025949992"/>
        <n v="7379668.4154820656"/>
        <n v="22139005.246446196"/>
        <n v="36898342.077410333"/>
        <n v="51657678.908374459"/>
        <n v="311569600.50165278"/>
        <n v="2496064.3170012864"/>
        <n v="7488192.9510038588"/>
        <n v="12480321.585006433"/>
        <n v="17472450.219009005"/>
        <n v="105383835.46379431"/>
        <n v="1718305.1457617551"/>
        <n v="5154915.437285265"/>
        <n v="8591525.7288087755"/>
        <n v="12028136.020332286"/>
        <n v="72546843.254061297"/>
        <n v="5245352.5502200956"/>
        <n v="15736057.650660286"/>
        <n v="26226762.751100481"/>
        <n v="36717467.85154067"/>
        <n v="221458784.67029244"/>
        <n v="5426226.776089754"/>
        <n v="16278680.32826926"/>
        <n v="27131133.88044877"/>
        <n v="37983587.432628274"/>
        <n v="229095294.48650938"/>
        <n v="3056774.4171972279"/>
        <n v="9170323.2515916843"/>
        <n v="15283872.085986141"/>
        <n v="21397420.920380596"/>
        <n v="129057015.89406696"/>
        <n v="4250544.3079369739"/>
        <n v="12751632.923810922"/>
        <n v="21252721.539684869"/>
        <n v="29753810.155558817"/>
        <n v="179457980.68109903"/>
        <n v="214145835.31709135"/>
        <n v="642437505.95127404"/>
        <n v="1070729176.5854567"/>
        <n v="1499020847.2196393"/>
        <n v="5771230261.7956123"/>
        <n v="20837168.032026466"/>
        <n v="62511504.096079402"/>
        <n v="104185840.16013235"/>
        <n v="145860176.22418526"/>
        <n v="561561678.46311331"/>
        <n v="213141634.44807798"/>
        <n v="639424903.34423399"/>
        <n v="1065708172.2403901"/>
        <n v="1491991441.1365459"/>
        <n v="5744167048.3757019"/>
        <n v="31381277.156666368"/>
        <n v="94143831.469999105"/>
        <n v="156906385.78333187"/>
        <n v="219668940.09666458"/>
        <n v="845725419.37215865"/>
        <n v="112219447.11223894"/>
        <n v="336658341.33671683"/>
        <n v="561097235.56119478"/>
        <n v="785536129.78567266"/>
        <n v="3024314099.6748395"/>
        <n v="96905383.859785751"/>
        <n v="290716151.57935727"/>
        <n v="484526919.2989288"/>
        <n v="678337687.01850021"/>
        <n v="2611600095.0212259"/>
        <n v="59247851.271786101"/>
        <n v="177743553.81535831"/>
        <n v="296239256.35893053"/>
        <n v="414734958.90250272"/>
        <n v="1596729591.7746356"/>
        <n v="227200446.61426452"/>
        <n v="681601339.84279358"/>
        <n v="1136002233.0713227"/>
        <n v="1590403126.2998517"/>
        <n v="6123052036.2544298"/>
        <n v="29121825.201386388"/>
        <n v="87365475.604159161"/>
        <n v="145609126.00693196"/>
        <n v="203852776.40970472"/>
        <n v="784833189.17736316"/>
        <n v="53585406.428352833"/>
        <n v="160756219.2850585"/>
        <n v="267927032.14176419"/>
        <n v="375097844.99846983"/>
        <n v="1444126703.2441089"/>
        <n v="5214054.787284038"/>
        <n v="15642164.361852115"/>
        <n v="26070273.936420195"/>
        <n v="36498383.510988265"/>
        <n v="140518776.51730484"/>
        <n v="53334126.679568067"/>
        <n v="160002380.03870422"/>
        <n v="266670633.39784038"/>
        <n v="373338886.75697649"/>
        <n v="1437354714.0143595"/>
        <n v="7852492.1495241551"/>
        <n v="23557476.448572468"/>
        <n v="39262460.747620776"/>
        <n v="54967445.046669088"/>
        <n v="211624663.429676"/>
        <n v="28080511.926698375"/>
        <n v="84241535.78009513"/>
        <n v="140402559.6334919"/>
        <n v="196563583.48688865"/>
        <n v="756769796.42452133"/>
        <n v="24248495.757730592"/>
        <n v="72745487.27319178"/>
        <n v="121242478.78865296"/>
        <n v="169739470.30411413"/>
        <n v="653496960.67083943"/>
        <n v="14825505.178301604"/>
        <n v="44476515.534904815"/>
        <n v="74127525.891508028"/>
        <n v="103778536.24811123"/>
        <n v="399547364.55522829"/>
        <n v="56852043.16255489"/>
        <n v="170556129.48766467"/>
        <n v="284260215.81277448"/>
        <n v="397964302.13788426"/>
        <n v="1532162563.2308543"/>
        <n v="7287112.7147584157"/>
        <n v="21861338.144275248"/>
        <n v="36435563.573792078"/>
        <n v="51009789.003308907"/>
        <n v="196387687.66273931"/>
        <n v="1481725.8084716562"/>
        <n v="4445177.4254149683"/>
        <n v="7408629.0423582811"/>
        <n v="10372080.659301592"/>
        <n v="39932510.538311131"/>
        <n v="259611.07728883601"/>
        <n v="778833.23186650802"/>
        <n v="1298055.38644418"/>
        <n v="1817277.5410218521"/>
        <n v="6996518.5329341302"/>
        <n v="1757231.4415128697"/>
        <n v="5271694.324538609"/>
        <n v="8786157.2075643484"/>
        <n v="12300620.090590088"/>
        <n v="47357387.34877184"/>
        <n v="411492.38781155634"/>
        <n v="1234477.1634346691"/>
        <n v="2057461.9390577818"/>
        <n v="2880446.7146808943"/>
        <n v="11089719.851521444"/>
        <n v="568671.88358506921"/>
        <n v="1706015.6507552078"/>
        <n v="2843359.4179253466"/>
        <n v="3980703.1850954848"/>
        <n v="15325707.262617618"/>
        <n v="709956.82360620459"/>
        <n v="2129870.4708186141"/>
        <n v="3549784.1180310235"/>
        <n v="4969697.7652434325"/>
        <n v="19133336.396187216"/>
        <n v="317891.11504755431"/>
        <n v="953673.34514266299"/>
        <n v="1589455.5752377717"/>
        <n v="2225237.80533288"/>
        <n v="8567165.5505315885"/>
        <n v="1077297.667661156"/>
        <n v="3231893.0029834686"/>
        <n v="5386488.3383057816"/>
        <n v="7541083.6736280927"/>
        <n v="29033172.14346816"/>
        <n v="475070.61082106718"/>
        <n v="1425211.8324632016"/>
        <n v="2375353.0541053358"/>
        <n v="3325494.2757474701"/>
        <n v="12803152.961627761"/>
        <n v="30045189.980079938"/>
        <n v="90135569.940239817"/>
        <n v="150225949.90039971"/>
        <n v="210316329.86055958"/>
        <n v="809717869.96315444"/>
        <n v="8884216.3737851046"/>
        <n v="26652649.121355314"/>
        <n v="44421081.868925527"/>
        <n v="62189514.616495736"/>
        <n v="239429631.27350858"/>
        <n v="23302515.023364749"/>
        <n v="69907545.070094258"/>
        <n v="116512575.11682376"/>
        <n v="163117605.16355324"/>
        <n v="628002779.87968004"/>
        <n v="2501998.883309409"/>
        <n v="7505996.6499282271"/>
        <n v="12509994.416547045"/>
        <n v="17513992.183165863"/>
        <n v="67428869.905188575"/>
        <n v="6021760.0242362041"/>
        <n v="18065280.072708614"/>
        <n v="30108800.121181022"/>
        <n v="42152320.169653431"/>
        <n v="162286432.6531657"/>
        <n v="4389099.7359749796"/>
        <n v="13167299.20792494"/>
        <n v="21945498.679874901"/>
        <n v="30723698.151824858"/>
        <n v="118286237.88452572"/>
        <n v="3646981.4231289686"/>
        <n v="10940944.269386906"/>
        <n v="18234907.115644846"/>
        <n v="25528869.961902779"/>
        <n v="98286149.35332571"/>
        <n v="3201710.4354213625"/>
        <n v="9605131.3062640876"/>
        <n v="16008552.177106814"/>
        <n v="22411973.047949538"/>
        <n v="86286096.23460573"/>
        <n v="2756439.4477137555"/>
        <n v="8269318.3431412671"/>
        <n v="13782197.238568779"/>
        <n v="19295076.133996289"/>
        <n v="74286043.11588572"/>
        <n v="1138269.1319599862"/>
        <n v="3414807.3958799592"/>
        <n v="5691345.6597999316"/>
        <n v="7967883.9237199044"/>
        <n v="30676353.106321633"/>
        <n v="199434.52014078424"/>
        <n v="598303.56042235275"/>
        <n v="997172.60070392129"/>
        <n v="1396041.6409854898"/>
        <n v="5374760.3177941358"/>
        <n v="1349913.9288440838"/>
        <n v="4049741.7865322516"/>
        <n v="6749569.6442204192"/>
        <n v="9449397.5019085873"/>
        <n v="36380180.382348061"/>
        <n v="316110.49791022262"/>
        <n v="948331.49373066786"/>
        <n v="1580552.4895511132"/>
        <n v="2212773.4853715585"/>
        <n v="8519177.9186805002"/>
        <n v="436856.56792743201"/>
        <n v="1310569.7037822963"/>
        <n v="2184282.8396371603"/>
        <n v="3057995.9754920243"/>
        <n v="11773284.505644294"/>
        <n v="545392.36120132834"/>
        <n v="1636177.0836039851"/>
        <n v="2726961.8060066421"/>
        <n v="3817746.5284092985"/>
        <n v="14698324.134375799"/>
        <n v="244205.53486626642"/>
        <n v="732616.60459879925"/>
        <n v="1221027.6743313321"/>
        <n v="1709438.7440638649"/>
        <n v="6581339.1646458805"/>
        <n v="827585.42371345835"/>
        <n v="2482756.2711403752"/>
        <n v="4137927.1185672921"/>
        <n v="5793097.9659942091"/>
        <n v="22303427.169077706"/>
        <n v="364951.60488347587"/>
        <n v="1094854.8146504278"/>
        <n v="1824758.0244173796"/>
        <n v="2554661.2341843313"/>
        <n v="9835445.7516096756"/>
        <n v="32563038.139778379"/>
        <n v="97689114.419335142"/>
        <n v="162815190.69889191"/>
        <n v="227941266.97844866"/>
        <n v="877573877.8670274"/>
        <n v="9628731.8140911348"/>
        <n v="28886195.442273408"/>
        <n v="48143659.070455678"/>
        <n v="67401122.698637947"/>
        <n v="259494322.38975611"/>
        <n v="25255313.27848725"/>
        <n v="75765939.835461751"/>
        <n v="126276566.39243627"/>
        <n v="176787192.94941077"/>
        <n v="680630692.8552314"/>
        <n v="2711671.4894099142"/>
        <n v="8135014.4682297427"/>
        <n v="13558357.447049571"/>
        <n v="18981700.425869398"/>
        <n v="73079546.639597192"/>
        <n v="6526395.7880713185"/>
        <n v="19579187.364213958"/>
        <n v="32631978.940356597"/>
        <n v="45684770.516499229"/>
        <n v="175886366.48852205"/>
        <n v="4756915.2398970528"/>
        <n v="14270745.719691159"/>
        <n v="23784576.199485265"/>
        <n v="33298406.679279368"/>
        <n v="128198865.71522558"/>
        <n v="3952605.8998178407"/>
        <n v="11857817.699453522"/>
        <n v="19763029.499089204"/>
        <n v="27668241.298724882"/>
        <n v="106522729.00009081"/>
        <n v="3470020.2957703136"/>
        <n v="10410060.887310941"/>
        <n v="17350101.478851572"/>
        <n v="24290142.070392195"/>
        <n v="93517046.971009955"/>
        <n v="2987434.691722787"/>
        <n v="8962304.0751683619"/>
        <n v="14937173.458613936"/>
        <n v="20912042.842059508"/>
        <n v="80511364.941929117"/>
        <n v="2491221.2056242838"/>
        <n v="7473663.6168728517"/>
        <n v="12456106.028121419"/>
        <n v="17438548.439369988"/>
        <n v="67138411.491574451"/>
        <n v="736641.97964472463"/>
        <n v="2209925.9389341739"/>
        <n v="3683209.8982236232"/>
        <n v="5156493.857513072"/>
        <n v="19852501.351425331"/>
        <n v="1932146.8630776904"/>
        <n v="5796440.5892330715"/>
        <n v="9660734.3153884523"/>
        <n v="13525028.041543832"/>
        <n v="52071357.959943756"/>
        <n v="207455.25918395582"/>
        <n v="622365.77755186753"/>
        <n v="1037276.2959197792"/>
        <n v="1452186.8142876909"/>
        <n v="5590919.2350076102"/>
        <n v="499299.09837494459"/>
        <n v="1497897.2951248339"/>
        <n v="2496495.4918747232"/>
        <n v="3495093.6886246121"/>
        <n v="13456110.701204758"/>
        <n v="363925.75128032936"/>
        <n v="1091777.253840988"/>
        <n v="1819628.7564016469"/>
        <n v="2547480.2589623053"/>
        <n v="9807798.9970048759"/>
        <n v="302392.41169186786"/>
        <n v="907177.23507560359"/>
        <n v="1511962.0584593394"/>
        <n v="2116746.8818430752"/>
        <n v="8149475.4950958388"/>
        <n v="265472.40793879097"/>
        <n v="796417.22381637292"/>
        <n v="1327362.0396939549"/>
        <n v="1858306.8555715368"/>
        <n v="7154481.3939504167"/>
        <n v="228552.40418571408"/>
        <n v="685657.21255714225"/>
        <n v="1142762.0209285705"/>
        <n v="1599866.8292999987"/>
        <n v="6159487.2928049946"/>
        <n v="37474201.840658449"/>
        <n v="112422605.52197534"/>
        <n v="187371009.20329225"/>
        <n v="262319412.88460913"/>
        <n v="1009929739.6057452"/>
        <n v="8193841.0242268723"/>
        <n v="24581523.072680619"/>
        <n v="40969205.121134363"/>
        <n v="57356887.169588104"/>
        <n v="220824015.60291421"/>
        <n v="2815419.3092722665"/>
        <n v="8446257.9278168008"/>
        <n v="14077096.546361335"/>
        <n v="19707935.164905865"/>
        <n v="75875550.384887591"/>
        <n v="8155007.6544438079"/>
        <n v="24465022.963331424"/>
        <n v="40775038.272219039"/>
        <n v="57085053.581106655"/>
        <n v="219777456.28726062"/>
        <n v="3533836.650258984"/>
        <n v="10601509.950776951"/>
        <n v="17669183.251294922"/>
        <n v="24736856.551812887"/>
        <n v="95236897.724479616"/>
        <n v="1359167.9424073014"/>
        <n v="4077503.8272219044"/>
        <n v="6795839.7120365072"/>
        <n v="9514175.5968511105"/>
        <n v="36629576.047876775"/>
        <n v="7824924.0112877497"/>
        <n v="23474772.03386325"/>
        <n v="39124620.056438752"/>
        <n v="54774468.079014249"/>
        <n v="210881702.10420486"/>
        <n v="8310341.1335760718"/>
        <n v="24931023.400728215"/>
        <n v="41551705.667880364"/>
        <n v="58172387.935032502"/>
        <n v="223963693.54987514"/>
      </sharedItems>
    </cacheField>
    <cacheField name="% Pkm for that year by distance, mode type and trip purpose category" numFmtId="0">
      <sharedItems containsSemiMixedTypes="0" containsString="0" containsNumber="1" minValue="0" maxValue="0.15730347729416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320.560768750001" createdVersion="6" refreshedVersion="6" minRefreshableVersion="3" recordCount="90" xr:uid="{A246A02C-35AC-4805-82D7-0BA3FF784C2B}">
  <cacheSource type="worksheet">
    <worksheetSource ref="A19:D109" sheet="Manuscript Figures 2"/>
  </cacheSource>
  <cacheFields count="4">
    <cacheField name="Transport Mode" numFmtId="0">
      <sharedItems count="4">
        <s v="Dublin Bus (Urban Bus)"/>
        <s v="Bus Éireann (Intercity Bus)"/>
        <s v="Irish Rail (Heavy Rail)"/>
        <s v="Luas (Light Rail)"/>
      </sharedItems>
    </cacheField>
    <cacheField name="Year" numFmtId="0">
      <sharedItems containsMixedTypes="1" containsNumber="1" containsInteger="1" minValue="2010" maxValue="2010" count="9">
        <n v="2010"/>
        <s v="2011"/>
        <s v="2012"/>
        <s v="2013"/>
        <s v="2014"/>
        <s v="2015"/>
        <s v="2016"/>
        <s v="2017"/>
        <s v="2018"/>
      </sharedItems>
    </cacheField>
    <cacheField name="Fuel Type" numFmtId="0">
      <sharedItems count="3">
        <s v="Diesel"/>
        <s v="Electricity"/>
        <s v="Natural Gas"/>
      </sharedItems>
    </cacheField>
    <cacheField name="Energy Intensity (kWh/km)" numFmtId="0">
      <sharedItems containsSemiMixedTypes="0" containsString="0" containsNumber="1" minValue="2.2708689310150291E-3" maxValue="0.33006571097547677" count="90">
        <n v="0.19205066638313437"/>
        <n v="0.24455226516966905"/>
        <n v="0.23438941388434686"/>
        <n v="0.18118810691693052"/>
        <n v="0.15852974656979837"/>
        <n v="0.15801837259176768"/>
        <n v="0.23997643464610205"/>
        <n v="0.23484348441371855"/>
        <n v="0.13633977091949151"/>
        <n v="3.9227390699476585E-3"/>
        <n v="5.1380593886718859E-3"/>
        <n v="4.7624097902314207E-3"/>
        <n v="3.5341394850977345E-3"/>
        <n v="2.9677142807025929E-3"/>
        <n v="2.9387173800923729E-3"/>
        <n v="3.9771242235488403E-3"/>
        <n v="3.7788655406060458E-3"/>
        <n v="2.2708689310150291E-3"/>
        <n v="7.1514550736738085E-3"/>
        <n v="7.0334288517306985E-3"/>
        <n v="7.3255179974178438E-3"/>
        <n v="6.0067354158318586E-3"/>
        <n v="4.8497208751252484E-3"/>
        <n v="5.9123190178078985E-3"/>
        <n v="9.903159992274084E-3"/>
        <n v="8.3633648017353637E-3"/>
        <n v="5.661122883667935E-3"/>
        <n v="0.25850326391698458"/>
        <n v="0.32623685364191429"/>
        <n v="0.31612134874739406"/>
        <n v="0.24219898883241253"/>
        <n v="0.22148072105280942"/>
        <n v="0.22339859388841232"/>
        <n v="0.33006571097547677"/>
        <n v="0.31821073267470468"/>
        <n v="0.1723579536383795"/>
        <n v="5.8927902342816941E-3"/>
        <n v="7.3264836618121189E-3"/>
        <n v="6.2754047775470624E-3"/>
        <n v="4.7045336150414894E-3"/>
        <n v="4.4921944845969872E-3"/>
        <n v="4.6109398661078743E-3"/>
        <n v="6.3699488205263182E-3"/>
        <n v="5.7630586832147761E-3"/>
        <n v="3.0498984858395922E-3"/>
        <n v="3.1614763120950897E-3"/>
        <n v="3.8558069563548562E-3"/>
        <n v="4.3815153522790608E-3"/>
        <n v="4.6808757592187228E-3"/>
        <n v="3.7905064419315711E-3"/>
        <n v="4.083017273624358E-3"/>
        <n v="5.838931448116356E-3"/>
        <n v="5.4453727206855828E-3"/>
        <n v="4.3129516839175812E-3"/>
        <n v="0.19126102357840383"/>
        <n v="0.20054282501786244"/>
        <n v="0.19700517782762375"/>
        <n v="0.19380349568786306"/>
        <n v="0.18040999622225093"/>
        <n v="0.17845637377259116"/>
        <n v="0.18275954151330215"/>
        <n v="0.19102219683525407"/>
        <n v="0.19711457734743229"/>
        <n v="2.6965341736268522E-2"/>
        <n v="2.7835326983047318E-2"/>
        <n v="2.6518263945615583E-2"/>
        <n v="2.5353450655396723E-2"/>
        <n v="2.4611245568039054E-2"/>
        <n v="2.4966904779768498E-2"/>
        <n v="2.6134614436402206E-2"/>
        <n v="2.7634544475500088E-2"/>
        <n v="2.7963280108547074E-2"/>
        <n v="7.6340236878933709E-3"/>
        <n v="4.6249466371832467E-3"/>
        <n v="4.3692408784782606E-3"/>
        <n v="4.5979986781821171E-3"/>
        <n v="3.6525523457867142E-3"/>
        <n v="3.4846253116444458E-3"/>
        <n v="3.706312380339694E-3"/>
        <n v="3.7506641387743951E-3"/>
        <n v="3.9821126736855009E-3"/>
        <n v="6.3948667945802923E-2"/>
        <n v="4.8536221853257955E-2"/>
        <n v="4.9566030973423839E-2"/>
        <n v="4.8089568829012129E-2"/>
        <n v="4.344915821120221E-2"/>
        <n v="4.5685192965419404E-2"/>
        <n v="5.1455445468428444E-2"/>
        <n v="4.5401529252382451E-2"/>
        <n v="4.2393418009712684E-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321.465320717594" createdVersion="6" refreshedVersion="6" minRefreshableVersion="3" recordCount="135" xr:uid="{972BFA48-511B-4303-8076-F32FA023CCD8}">
  <cacheSource type="worksheet">
    <worksheetSource ref="A3:L138" sheet="Emissions calculator"/>
  </cacheSource>
  <cacheFields count="12">
    <cacheField name="Year" numFmtId="0">
      <sharedItems count="9">
        <s v="2010"/>
        <s v="2011"/>
        <s v="2012"/>
        <s v="2013"/>
        <s v="2014"/>
        <s v="2015"/>
        <s v="2016"/>
        <s v="2017"/>
        <s v="2018"/>
      </sharedItems>
    </cacheField>
    <cacheField name="Mass transit or vehicle" numFmtId="0">
      <sharedItems/>
    </cacheField>
    <cacheField name="Mode" numFmtId="0">
      <sharedItems count="9">
        <s v="Irish Rail (Heavy Rail)"/>
        <s v="Luas (Light Rail)"/>
        <s v="Bus Éireann (Intercity Bus)"/>
        <s v="Dublin Bus (Urban Bus)"/>
        <s v="Private Vehicle - Diesel"/>
        <s v="Private Vehicle - Petrol"/>
        <s v="Private Vehicle - Hybrid"/>
        <s v="Private Vehicle - Plugin"/>
        <s v="Private Vehicle - Electric"/>
      </sharedItems>
    </cacheField>
    <cacheField name="Fuel Type" numFmtId="0">
      <sharedItems count="7">
        <s v="Diesel"/>
        <s v="Natural Gas"/>
        <s v="Electricity"/>
        <s v="Petrol"/>
        <s v="HYBRID "/>
        <s v="PLUGIN "/>
        <s v="Electric"/>
      </sharedItems>
    </cacheField>
    <cacheField name="Vehicle Kilometres" numFmtId="165">
      <sharedItems containsSemiMixedTypes="0" containsString="0" containsNumber="1" containsInteger="1" minValue="0" maxValue="23972319492"/>
    </cacheField>
    <cacheField name="Occupancy" numFmtId="164">
      <sharedItems containsSemiMixedTypes="0" containsString="0" containsNumber="1" minValue="1.49" maxValue="152.75997651535548"/>
    </cacheField>
    <cacheField name="Passenger Kilometres" numFmtId="165">
      <sharedItems containsSemiMixedTypes="0" containsString="0" containsNumber="1" minValue="0" maxValue="35718756043.080002"/>
    </cacheField>
    <cacheField name="Emissions Intensity" numFmtId="0">
      <sharedItems containsSemiMixedTypes="0" containsString="0" containsNumber="1" minValue="0.72492651836340405" maxValue="125.18880280260738"/>
    </cacheField>
    <cacheField name="Total Emissons" numFmtId="165">
      <sharedItems containsSemiMixedTypes="0" containsString="0" containsNumber="1" minValue="0" maxValue="4334089757195.8633"/>
    </cacheField>
    <cacheField name="Total Emissions" numFmtId="165">
      <sharedItems containsSemiMixedTypes="0" containsString="0" containsNumber="1" minValue="0" maxValue="4.334089757195863"/>
    </cacheField>
    <cacheField name="Energy Intensity" numFmtId="2">
      <sharedItems containsSemiMixedTypes="0" containsString="0" containsNumber="1" minValue="0.34846253116444459" maxValue="49.66518644637933"/>
    </cacheField>
    <cacheField name="Energy Consumption" numFmtId="165">
      <sharedItems containsSemiMixedTypes="0" containsString="0" containsNumber="1" minValue="0" maxValue="16423227575.5811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322.425047685188" createdVersion="6" refreshedVersion="6" minRefreshableVersion="3" recordCount="135" xr:uid="{2A6C6BBC-3E32-4CBE-89C0-81DA39FAF541}">
  <cacheSource type="worksheet">
    <worksheetSource ref="A3:M138" sheet="Emissions calculator"/>
  </cacheSource>
  <cacheFields count="13">
    <cacheField name="Year" numFmtId="0">
      <sharedItems count="9">
        <s v="2010"/>
        <s v="2011"/>
        <s v="2012"/>
        <s v="2013"/>
        <s v="2014"/>
        <s v="2015"/>
        <s v="2016"/>
        <s v="2017"/>
        <s v="2018"/>
      </sharedItems>
    </cacheField>
    <cacheField name="Mass transit or vehicle" numFmtId="0">
      <sharedItems/>
    </cacheField>
    <cacheField name="Mode" numFmtId="0">
      <sharedItems count="9">
        <s v="Irish Rail (Heavy Rail)"/>
        <s v="Luas (Light Rail)"/>
        <s v="Bus Éireann (Intercity Bus)"/>
        <s v="Dublin Bus (Urban Bus)"/>
        <s v="Private Vehicle - Diesel"/>
        <s v="Private Vehicle - Petrol"/>
        <s v="Private Vehicle - Hybrid"/>
        <s v="Private Vehicle - Plugin"/>
        <s v="Private Vehicle - Electric"/>
      </sharedItems>
    </cacheField>
    <cacheField name="Fuel Type" numFmtId="0">
      <sharedItems/>
    </cacheField>
    <cacheField name="Vehicle Kilometres" numFmtId="165">
      <sharedItems containsSemiMixedTypes="0" containsString="0" containsNumber="1" containsInteger="1" minValue="0" maxValue="23972319492"/>
    </cacheField>
    <cacheField name="Occupancy" numFmtId="164">
      <sharedItems containsSemiMixedTypes="0" containsString="0" containsNumber="1" minValue="1.49" maxValue="152.75997651535548"/>
    </cacheField>
    <cacheField name="Passenger Kilometres" numFmtId="165">
      <sharedItems containsSemiMixedTypes="0" containsString="0" containsNumber="1" minValue="0" maxValue="35718756043.080002"/>
    </cacheField>
    <cacheField name="Emissions Intensity" numFmtId="0">
      <sharedItems containsSemiMixedTypes="0" containsString="0" containsNumber="1" minValue="0.72492651836340405" maxValue="125.18880280260738"/>
    </cacheField>
    <cacheField name="Total Emissons" numFmtId="165">
      <sharedItems containsSemiMixedTypes="0" containsString="0" containsNumber="1" minValue="0" maxValue="4334089757195.8633"/>
    </cacheField>
    <cacheField name="Total Emissions" numFmtId="165">
      <sharedItems containsSemiMixedTypes="0" containsString="0" containsNumber="1" minValue="0" maxValue="4.334089757195863"/>
    </cacheField>
    <cacheField name="Energy Intensity" numFmtId="2">
      <sharedItems containsSemiMixedTypes="0" containsString="0" containsNumber="1" minValue="0.34846253116444459" maxValue="49.66518644637933"/>
    </cacheField>
    <cacheField name="Energy Consumption" numFmtId="165">
      <sharedItems containsSemiMixedTypes="0" containsString="0" containsNumber="1" minValue="0" maxValue="16423227575.581142"/>
    </cacheField>
    <cacheField name="Energy Consumption (MWH)" numFmtId="165">
      <sharedItems containsSemiMixedTypes="0" containsString="0" containsNumber="1" minValue="0" maxValue="16423227.575581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">
  <r>
    <x v="0"/>
    <x v="0"/>
    <x v="0"/>
    <n v="465900"/>
  </r>
  <r>
    <x v="0"/>
    <x v="1"/>
    <x v="0"/>
    <n v="16300"/>
  </r>
  <r>
    <x v="0"/>
    <x v="2"/>
    <x v="0"/>
    <n v="65700"/>
  </r>
  <r>
    <x v="1"/>
    <x v="0"/>
    <x v="0"/>
    <m/>
  </r>
  <r>
    <x v="1"/>
    <x v="1"/>
    <x v="0"/>
    <m/>
  </r>
  <r>
    <x v="1"/>
    <x v="2"/>
    <x v="0"/>
    <n v="21000"/>
  </r>
  <r>
    <x v="2"/>
    <x v="0"/>
    <x v="0"/>
    <n v="289702"/>
  </r>
  <r>
    <x v="2"/>
    <x v="1"/>
    <x v="0"/>
    <n v="3638"/>
  </r>
  <r>
    <x v="2"/>
    <x v="2"/>
    <x v="0"/>
    <n v="6781"/>
  </r>
  <r>
    <x v="3"/>
    <x v="0"/>
    <x v="0"/>
    <n v="318229"/>
  </r>
  <r>
    <x v="3"/>
    <x v="1"/>
    <x v="0"/>
    <n v="11850"/>
  </r>
  <r>
    <x v="3"/>
    <x v="2"/>
    <x v="0"/>
    <n v="6500"/>
  </r>
  <r>
    <x v="4"/>
    <x v="0"/>
    <x v="0"/>
    <n v="7064320.4592104023"/>
  </r>
  <r>
    <x v="4"/>
    <x v="3"/>
    <x v="0"/>
    <n v="196132.77275907909"/>
  </r>
  <r>
    <x v="4"/>
    <x v="4"/>
    <x v="0"/>
    <n v="14128126.951054018"/>
  </r>
  <r>
    <x v="4"/>
    <x v="5"/>
    <x v="0"/>
    <n v="256468.24121397687"/>
  </r>
  <r>
    <x v="4"/>
    <x v="2"/>
    <x v="0"/>
    <n v="92.125984000000003"/>
  </r>
  <r>
    <x v="0"/>
    <x v="0"/>
    <x v="1"/>
    <n v="468300"/>
  </r>
  <r>
    <x v="0"/>
    <x v="1"/>
    <x v="1"/>
    <n v="10800"/>
  </r>
  <r>
    <x v="0"/>
    <x v="2"/>
    <x v="1"/>
    <n v="65000"/>
  </r>
  <r>
    <x v="1"/>
    <x v="0"/>
    <x v="1"/>
    <m/>
  </r>
  <r>
    <x v="1"/>
    <x v="1"/>
    <x v="1"/>
    <m/>
  </r>
  <r>
    <x v="1"/>
    <x v="2"/>
    <x v="1"/>
    <n v="21000"/>
  </r>
  <r>
    <x v="2"/>
    <x v="0"/>
    <x v="1"/>
    <n v="297467"/>
  </r>
  <r>
    <x v="2"/>
    <x v="1"/>
    <x v="1"/>
    <n v="3424"/>
  </r>
  <r>
    <x v="2"/>
    <x v="2"/>
    <x v="1"/>
    <n v="6506"/>
  </r>
  <r>
    <x v="3"/>
    <x v="0"/>
    <x v="1"/>
    <n v="320876"/>
  </r>
  <r>
    <x v="3"/>
    <x v="1"/>
    <x v="1"/>
    <n v="8791"/>
  </r>
  <r>
    <x v="3"/>
    <x v="2"/>
    <x v="1"/>
    <n v="6422"/>
  </r>
  <r>
    <x v="4"/>
    <x v="0"/>
    <x v="1"/>
    <n v="7793300.0034700204"/>
  </r>
  <r>
    <x v="4"/>
    <x v="3"/>
    <x v="1"/>
    <n v="309084.16886348382"/>
  </r>
  <r>
    <x v="4"/>
    <x v="4"/>
    <x v="1"/>
    <n v="12679982.40247909"/>
  </r>
  <r>
    <x v="4"/>
    <x v="5"/>
    <x v="1"/>
    <n v="451425.96280165797"/>
  </r>
  <r>
    <x v="4"/>
    <x v="2"/>
    <x v="1"/>
    <n v="208.33454399999999"/>
  </r>
  <r>
    <x v="0"/>
    <x v="0"/>
    <x v="2"/>
    <n v="455400"/>
  </r>
  <r>
    <x v="0"/>
    <x v="1"/>
    <x v="2"/>
    <n v="10100"/>
  </r>
  <r>
    <x v="0"/>
    <x v="2"/>
    <x v="2"/>
    <n v="61300"/>
  </r>
  <r>
    <x v="1"/>
    <x v="0"/>
    <x v="2"/>
    <m/>
  </r>
  <r>
    <x v="1"/>
    <x v="1"/>
    <x v="2"/>
    <m/>
  </r>
  <r>
    <x v="1"/>
    <x v="2"/>
    <x v="2"/>
    <n v="21000"/>
  </r>
  <r>
    <x v="2"/>
    <x v="0"/>
    <x v="2"/>
    <n v="291770"/>
  </r>
  <r>
    <x v="2"/>
    <x v="1"/>
    <x v="2"/>
    <n v="4044"/>
  </r>
  <r>
    <x v="2"/>
    <x v="2"/>
    <x v="2"/>
    <n v="5792"/>
  </r>
  <r>
    <x v="3"/>
    <x v="0"/>
    <x v="2"/>
    <n v="284767"/>
  </r>
  <r>
    <x v="3"/>
    <x v="1"/>
    <x v="2"/>
    <n v="5786"/>
  </r>
  <r>
    <x v="3"/>
    <x v="2"/>
    <x v="2"/>
    <n v="8900"/>
  </r>
  <r>
    <x v="4"/>
    <x v="0"/>
    <x v="2"/>
    <n v="8496982.1663272474"/>
  </r>
  <r>
    <x v="4"/>
    <x v="3"/>
    <x v="2"/>
    <n v="262669.41765772644"/>
  </r>
  <r>
    <x v="4"/>
    <x v="4"/>
    <x v="2"/>
    <n v="10551050.106198635"/>
  </r>
  <r>
    <x v="4"/>
    <x v="5"/>
    <x v="2"/>
    <n v="397555.82633953326"/>
  </r>
  <r>
    <x v="4"/>
    <x v="2"/>
    <x v="2"/>
    <n v="616.31257600000004"/>
  </r>
  <r>
    <x v="0"/>
    <x v="0"/>
    <x v="3"/>
    <n v="451000"/>
  </r>
  <r>
    <x v="0"/>
    <x v="1"/>
    <x v="3"/>
    <n v="10700"/>
  </r>
  <r>
    <x v="0"/>
    <x v="2"/>
    <x v="3"/>
    <n v="59000"/>
  </r>
  <r>
    <x v="1"/>
    <x v="0"/>
    <x v="3"/>
    <m/>
  </r>
  <r>
    <x v="1"/>
    <x v="1"/>
    <x v="3"/>
    <m/>
  </r>
  <r>
    <x v="1"/>
    <x v="2"/>
    <x v="3"/>
    <n v="21000"/>
  </r>
  <r>
    <x v="2"/>
    <x v="0"/>
    <x v="3"/>
    <n v="286652"/>
  </r>
  <r>
    <x v="2"/>
    <x v="1"/>
    <x v="3"/>
    <n v="5540"/>
  </r>
  <r>
    <x v="2"/>
    <x v="2"/>
    <x v="3"/>
    <n v="5568"/>
  </r>
  <r>
    <x v="3"/>
    <x v="0"/>
    <x v="3"/>
    <n v="278385"/>
  </r>
  <r>
    <x v="3"/>
    <x v="1"/>
    <x v="3"/>
    <n v="5430"/>
  </r>
  <r>
    <x v="3"/>
    <x v="2"/>
    <x v="3"/>
    <n v="9229"/>
  </r>
  <r>
    <x v="4"/>
    <x v="0"/>
    <x v="3"/>
    <n v="9089012.3151996359"/>
  </r>
  <r>
    <x v="4"/>
    <x v="3"/>
    <x v="3"/>
    <n v="362937.89340390073"/>
  </r>
  <r>
    <x v="4"/>
    <x v="4"/>
    <x v="3"/>
    <n v="11147146.095664332"/>
  </r>
  <r>
    <x v="4"/>
    <x v="5"/>
    <x v="3"/>
    <n v="457079.79349020508"/>
  </r>
  <r>
    <x v="4"/>
    <x v="2"/>
    <x v="3"/>
    <n v="624.03645600000004"/>
  </r>
  <r>
    <x v="0"/>
    <x v="0"/>
    <x v="4"/>
    <n v="414900"/>
  </r>
  <r>
    <x v="0"/>
    <x v="1"/>
    <x v="4"/>
    <n v="8400"/>
  </r>
  <r>
    <x v="0"/>
    <x v="2"/>
    <x v="4"/>
    <n v="57000"/>
  </r>
  <r>
    <x v="1"/>
    <x v="0"/>
    <x v="4"/>
    <m/>
  </r>
  <r>
    <x v="1"/>
    <x v="1"/>
    <x v="4"/>
    <m/>
  </r>
  <r>
    <x v="1"/>
    <x v="2"/>
    <x v="4"/>
    <n v="21000"/>
  </r>
  <r>
    <x v="2"/>
    <x v="0"/>
    <x v="4"/>
    <n v="286601"/>
  </r>
  <r>
    <x v="2"/>
    <x v="1"/>
    <x v="4"/>
    <n v="4905"/>
  </r>
  <r>
    <x v="2"/>
    <x v="2"/>
    <x v="4"/>
    <n v="5813"/>
  </r>
  <r>
    <x v="3"/>
    <x v="0"/>
    <x v="4"/>
    <n v="279911"/>
  </r>
  <r>
    <x v="3"/>
    <x v="1"/>
    <x v="4"/>
    <n v="5240"/>
  </r>
  <r>
    <x v="3"/>
    <x v="2"/>
    <x v="4"/>
    <n v="8563"/>
  </r>
  <r>
    <x v="4"/>
    <x v="0"/>
    <x v="4"/>
    <n v="10100173.227754546"/>
  </r>
  <r>
    <x v="4"/>
    <x v="3"/>
    <x v="4"/>
    <n v="464931.59496420086"/>
  </r>
  <r>
    <x v="4"/>
    <x v="4"/>
    <x v="4"/>
    <n v="10157205.139468446"/>
  </r>
  <r>
    <x v="4"/>
    <x v="5"/>
    <x v="4"/>
    <n v="409751.07828551956"/>
  </r>
  <r>
    <x v="4"/>
    <x v="2"/>
    <x v="4"/>
    <n v="1189.5012320000001"/>
  </r>
  <r>
    <x v="0"/>
    <x v="0"/>
    <x v="5"/>
    <n v="409700"/>
  </r>
  <r>
    <x v="0"/>
    <x v="1"/>
    <x v="5"/>
    <n v="8000"/>
  </r>
  <r>
    <x v="0"/>
    <x v="2"/>
    <x v="5"/>
    <n v="59000"/>
  </r>
  <r>
    <x v="1"/>
    <x v="0"/>
    <x v="5"/>
    <m/>
  </r>
  <r>
    <x v="1"/>
    <x v="1"/>
    <x v="5"/>
    <m/>
  </r>
  <r>
    <x v="1"/>
    <x v="2"/>
    <x v="5"/>
    <n v="21000"/>
  </r>
  <r>
    <x v="2"/>
    <x v="0"/>
    <x v="5"/>
    <n v="286483"/>
  </r>
  <r>
    <x v="2"/>
    <x v="1"/>
    <x v="5"/>
    <n v="5236"/>
  </r>
  <r>
    <x v="2"/>
    <x v="2"/>
    <x v="5"/>
    <n v="5913"/>
  </r>
  <r>
    <x v="3"/>
    <x v="0"/>
    <x v="5"/>
    <n v="280847"/>
  </r>
  <r>
    <x v="3"/>
    <x v="1"/>
    <x v="5"/>
    <n v="10508"/>
  </r>
  <r>
    <x v="3"/>
    <x v="2"/>
    <x v="5"/>
    <n v="5223"/>
  </r>
  <r>
    <x v="4"/>
    <x v="0"/>
    <x v="5"/>
    <n v="11614082.6859261"/>
  </r>
  <r>
    <x v="4"/>
    <x v="3"/>
    <x v="5"/>
    <n v="537809.58960080065"/>
  </r>
  <r>
    <x v="4"/>
    <x v="4"/>
    <x v="5"/>
    <n v="9694636.9867464174"/>
  </r>
  <r>
    <x v="4"/>
    <x v="5"/>
    <x v="5"/>
    <n v="466301.54377016105"/>
  </r>
  <r>
    <x v="4"/>
    <x v="2"/>
    <x v="5"/>
    <n v="2474.7793360000001"/>
  </r>
  <r>
    <x v="0"/>
    <x v="0"/>
    <x v="6"/>
    <n v="429000"/>
  </r>
  <r>
    <x v="0"/>
    <x v="1"/>
    <x v="6"/>
    <n v="8700"/>
  </r>
  <r>
    <x v="0"/>
    <x v="2"/>
    <x v="6"/>
    <n v="61347"/>
  </r>
  <r>
    <x v="1"/>
    <x v="0"/>
    <x v="6"/>
    <m/>
  </r>
  <r>
    <x v="1"/>
    <x v="1"/>
    <x v="6"/>
    <m/>
  </r>
  <r>
    <x v="1"/>
    <x v="2"/>
    <x v="6"/>
    <n v="21000"/>
  </r>
  <r>
    <x v="2"/>
    <x v="0"/>
    <x v="6"/>
    <n v="292139"/>
  </r>
  <r>
    <x v="2"/>
    <x v="1"/>
    <x v="6"/>
    <n v="5168"/>
  </r>
  <r>
    <x v="2"/>
    <x v="2"/>
    <x v="6"/>
    <n v="5638"/>
  </r>
  <r>
    <x v="3"/>
    <x v="0"/>
    <x v="6"/>
    <n v="278405"/>
  </r>
  <r>
    <x v="3"/>
    <x v="1"/>
    <x v="6"/>
    <n v="11489"/>
  </r>
  <r>
    <x v="3"/>
    <x v="2"/>
    <x v="6"/>
    <n v="4614"/>
  </r>
  <r>
    <x v="4"/>
    <x v="0"/>
    <x v="6"/>
    <n v="13244221.384820729"/>
  </r>
  <r>
    <x v="4"/>
    <x v="3"/>
    <x v="6"/>
    <n v="492445.41080297757"/>
  </r>
  <r>
    <x v="4"/>
    <x v="4"/>
    <x v="6"/>
    <n v="8918794.1177659128"/>
  </r>
  <r>
    <x v="4"/>
    <x v="5"/>
    <x v="6"/>
    <n v="494579.87446361012"/>
  </r>
  <r>
    <x v="4"/>
    <x v="2"/>
    <x v="6"/>
    <n v="3777.6860959999999"/>
  </r>
  <r>
    <x v="0"/>
    <x v="0"/>
    <x v="7"/>
    <n v="438600"/>
  </r>
  <r>
    <x v="0"/>
    <x v="1"/>
    <x v="7"/>
    <n v="8600"/>
  </r>
  <r>
    <x v="0"/>
    <x v="2"/>
    <x v="7"/>
    <n v="62056"/>
  </r>
  <r>
    <x v="1"/>
    <x v="0"/>
    <x v="7"/>
    <m/>
  </r>
  <r>
    <x v="1"/>
    <x v="1"/>
    <x v="7"/>
    <m/>
  </r>
  <r>
    <x v="1"/>
    <x v="2"/>
    <x v="7"/>
    <n v="21000"/>
  </r>
  <r>
    <x v="2"/>
    <x v="0"/>
    <x v="7"/>
    <n v="270446"/>
  </r>
  <r>
    <x v="2"/>
    <x v="1"/>
    <x v="7"/>
    <n v="4628"/>
  </r>
  <r>
    <x v="2"/>
    <x v="2"/>
    <x v="7"/>
    <n v="4898"/>
  </r>
  <r>
    <x v="3"/>
    <x v="0"/>
    <x v="7"/>
    <n v="280716"/>
  </r>
  <r>
    <x v="3"/>
    <x v="1"/>
    <x v="7"/>
    <n v="9997"/>
  </r>
  <r>
    <x v="3"/>
    <x v="2"/>
    <x v="7"/>
    <n v="4517"/>
  </r>
  <r>
    <x v="4"/>
    <x v="0"/>
    <x v="7"/>
    <n v="13914126.56423277"/>
  </r>
  <r>
    <x v="4"/>
    <x v="3"/>
    <x v="7"/>
    <n v="790025.63016642001"/>
  </r>
  <r>
    <x v="4"/>
    <x v="4"/>
    <x v="7"/>
    <n v="8084449.9939422859"/>
  </r>
  <r>
    <x v="4"/>
    <x v="5"/>
    <x v="7"/>
    <n v="462124.79392296373"/>
  </r>
  <r>
    <x v="4"/>
    <x v="2"/>
    <x v="7"/>
    <n v="6041.589751999999"/>
  </r>
  <r>
    <x v="0"/>
    <x v="0"/>
    <x v="8"/>
    <n v="445500"/>
  </r>
  <r>
    <x v="0"/>
    <x v="1"/>
    <x v="8"/>
    <n v="9032"/>
  </r>
  <r>
    <x v="0"/>
    <x v="2"/>
    <x v="8"/>
    <n v="63253"/>
  </r>
  <r>
    <x v="1"/>
    <x v="0"/>
    <x v="8"/>
    <m/>
  </r>
  <r>
    <x v="1"/>
    <x v="1"/>
    <x v="8"/>
    <m/>
  </r>
  <r>
    <x v="1"/>
    <x v="2"/>
    <x v="8"/>
    <n v="21000"/>
  </r>
  <r>
    <x v="2"/>
    <x v="0"/>
    <x v="8"/>
    <n v="289571"/>
  </r>
  <r>
    <x v="2"/>
    <x v="1"/>
    <x v="8"/>
    <n v="7246"/>
  </r>
  <r>
    <x v="2"/>
    <x v="2"/>
    <x v="8"/>
    <n v="5124"/>
  </r>
  <r>
    <x v="3"/>
    <x v="0"/>
    <x v="8"/>
    <n v="267592"/>
  </r>
  <r>
    <x v="3"/>
    <x v="1"/>
    <x v="8"/>
    <n v="11111"/>
  </r>
  <r>
    <x v="3"/>
    <x v="2"/>
    <x v="8"/>
    <n v="4457"/>
  </r>
  <r>
    <x v="4"/>
    <x v="0"/>
    <x v="8"/>
    <n v="14245010.310629427"/>
  </r>
  <r>
    <x v="4"/>
    <x v="3"/>
    <x v="8"/>
    <n v="746001.18286545214"/>
  </r>
  <r>
    <x v="4"/>
    <x v="4"/>
    <x v="8"/>
    <n v="6999794.5294536222"/>
  </r>
  <r>
    <x v="4"/>
    <x v="5"/>
    <x v="8"/>
    <n v="406077.58757553174"/>
  </r>
  <r>
    <x v="4"/>
    <x v="2"/>
    <x v="8"/>
    <n v="9382.069432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s v="&lt;2 kilometres"/>
    <x v="0"/>
    <n v="0.22"/>
    <n v="0.4"/>
    <n v="0"/>
    <n v="0"/>
    <n v="0"/>
    <n v="0"/>
    <n v="1"/>
    <n v="1"/>
    <n v="4007543571.4285707"/>
    <n v="352663834.28571427"/>
    <n v="32873713915"/>
  </r>
  <r>
    <x v="0"/>
    <s v="2-4 kilometres"/>
    <x v="0"/>
    <n v="0.19"/>
    <n v="0"/>
    <n v="0.63366336633663367"/>
    <n v="0"/>
    <n v="0"/>
    <n v="0"/>
    <n v="3"/>
    <n v="1"/>
    <n v="4007543571.4285707"/>
    <n v="1447477123.6209335"/>
    <n v="32873713915"/>
  </r>
  <r>
    <x v="0"/>
    <s v="4-6 kilometres"/>
    <x v="0"/>
    <n v="0.11"/>
    <n v="0"/>
    <n v="0"/>
    <n v="0.71717171717171724"/>
    <n v="0"/>
    <n v="0"/>
    <n v="5"/>
    <n v="1"/>
    <n v="4007543571.4285707"/>
    <n v="1580753297.6190474"/>
    <n v="32873713915"/>
  </r>
  <r>
    <x v="0"/>
    <s v="6-8 kilometres"/>
    <x v="0"/>
    <n v="0.06"/>
    <n v="0"/>
    <n v="0"/>
    <n v="0"/>
    <n v="0.71717171717171724"/>
    <n v="0"/>
    <n v="7"/>
    <n v="1"/>
    <n v="4007543571.4285707"/>
    <n v="1207120699.9999998"/>
    <n v="32873713915"/>
  </r>
  <r>
    <x v="0"/>
    <s v="8+ kilometres"/>
    <x v="0"/>
    <n v="0.41"/>
    <n v="0"/>
    <n v="0"/>
    <n v="0"/>
    <n v="0"/>
    <n v="0.74"/>
    <n v="30.1"/>
    <n v="1"/>
    <n v="4007543571.4285707"/>
    <n v="36598250459.099998"/>
    <n v="32873713915"/>
  </r>
  <r>
    <x v="0"/>
    <s v="&lt;2 kilometres"/>
    <x v="1"/>
    <n v="0.22"/>
    <n v="0.05"/>
    <n v="0"/>
    <n v="0"/>
    <n v="0"/>
    <n v="0"/>
    <n v="1"/>
    <n v="1.2857142857142858"/>
    <n v="4007543571.4285707"/>
    <n v="56678116.224489793"/>
    <n v="32873713915"/>
  </r>
  <r>
    <x v="0"/>
    <s v="2-4 kilometres"/>
    <x v="1"/>
    <n v="0.19"/>
    <n v="0"/>
    <n v="8.9108910891089119E-2"/>
    <n v="0"/>
    <n v="0"/>
    <n v="0"/>
    <n v="3"/>
    <n v="1.2857142857142858"/>
    <n v="4007543571.4285707"/>
    <n v="261709033.51182058"/>
    <n v="32873713915"/>
  </r>
  <r>
    <x v="0"/>
    <s v="4-6 kilometres"/>
    <x v="1"/>
    <n v="0.11"/>
    <n v="0"/>
    <n v="0"/>
    <n v="9.0909090909090912E-2"/>
    <n v="0"/>
    <n v="0"/>
    <n v="5"/>
    <n v="1.2857142857142858"/>
    <n v="4007543571.4285707"/>
    <n v="257627801.02040815"/>
    <n v="32873713915"/>
  </r>
  <r>
    <x v="0"/>
    <s v="6-8 kilometres"/>
    <x v="1"/>
    <n v="0.06"/>
    <n v="0"/>
    <n v="0"/>
    <n v="0"/>
    <n v="0.10101010101010101"/>
    <n v="0"/>
    <n v="7"/>
    <n v="1.2857142857142858"/>
    <n v="4007543571.4285707"/>
    <n v="218593285.7142857"/>
    <n v="32873713915"/>
  </r>
  <r>
    <x v="0"/>
    <s v="8+ kilometres"/>
    <x v="1"/>
    <n v="0.41"/>
    <n v="0"/>
    <n v="0"/>
    <n v="0"/>
    <n v="0"/>
    <n v="0.11"/>
    <n v="30.1"/>
    <n v="1.2857142857142858"/>
    <n v="4007543571.4285707"/>
    <n v="6994646323.2642851"/>
    <n v="32873713915"/>
  </r>
  <r>
    <x v="0"/>
    <s v="&lt;2 kilometres"/>
    <x v="2"/>
    <n v="0.22"/>
    <n v="0.51"/>
    <n v="0"/>
    <n v="0"/>
    <n v="0"/>
    <n v="0"/>
    <n v="1"/>
    <n v="0.14285714285714285"/>
    <n v="4007543571.4285707"/>
    <n v="64235198.387755096"/>
    <n v="32873713915"/>
  </r>
  <r>
    <x v="0"/>
    <s v="2-4 kilometres"/>
    <x v="2"/>
    <n v="0.19"/>
    <n v="0"/>
    <n v="0.17821782178217824"/>
    <n v="0"/>
    <n v="0"/>
    <n v="0"/>
    <n v="3"/>
    <n v="0.14285714285714285"/>
    <n v="4007543571.4285707"/>
    <n v="58157563.002626784"/>
    <n v="32873713915"/>
  </r>
  <r>
    <x v="0"/>
    <s v="4-6 kilometres"/>
    <x v="2"/>
    <n v="0.11"/>
    <n v="0"/>
    <n v="0"/>
    <n v="8.0808080808080815E-2"/>
    <n v="0"/>
    <n v="0"/>
    <n v="5"/>
    <n v="0.14285714285714285"/>
    <n v="4007543571.4285707"/>
    <n v="25444721.08843537"/>
    <n v="32873713915"/>
  </r>
  <r>
    <x v="0"/>
    <s v="6-8 kilometres"/>
    <x v="2"/>
    <n v="0.06"/>
    <n v="0"/>
    <n v="0"/>
    <n v="0"/>
    <n v="4.0404040404040407E-2"/>
    <n v="0"/>
    <n v="7"/>
    <n v="0.14285714285714285"/>
    <n v="4007543571.4285707"/>
    <n v="9715257.1428571399"/>
    <n v="32873713915"/>
  </r>
  <r>
    <x v="0"/>
    <s v="8+ kilometres"/>
    <x v="2"/>
    <n v="0.41"/>
    <n v="0"/>
    <n v="0"/>
    <n v="0"/>
    <n v="0"/>
    <n v="0"/>
    <n v="30.1"/>
    <n v="0.14285714285714285"/>
    <n v="4007543571.4285707"/>
    <n v="0"/>
    <n v="32873713915"/>
  </r>
  <r>
    <x v="0"/>
    <s v="&lt;2 kilometres"/>
    <x v="3"/>
    <n v="0.22"/>
    <n v="0.01"/>
    <n v="0"/>
    <n v="0"/>
    <n v="0"/>
    <n v="0"/>
    <n v="1"/>
    <n v="1"/>
    <n v="4007543571.4285707"/>
    <n v="8816595.8571428563"/>
    <n v="32873713915"/>
  </r>
  <r>
    <x v="0"/>
    <s v="2-4 kilometres"/>
    <x v="3"/>
    <n v="0.19"/>
    <n v="0"/>
    <n v="3.9603960396039604E-2"/>
    <n v="0"/>
    <n v="0"/>
    <n v="0"/>
    <n v="3"/>
    <n v="1"/>
    <n v="4007543571.4285707"/>
    <n v="90467320.226308346"/>
    <n v="32873713915"/>
  </r>
  <r>
    <x v="0"/>
    <s v="4-6 kilometres"/>
    <x v="3"/>
    <n v="0.11"/>
    <n v="0"/>
    <n v="0"/>
    <n v="6.0606060606060608E-2"/>
    <n v="0"/>
    <n v="0"/>
    <n v="5"/>
    <n v="1"/>
    <n v="4007543571.4285707"/>
    <n v="133584785.71428569"/>
    <n v="32873713915"/>
  </r>
  <r>
    <x v="0"/>
    <s v="6-8 kilometres"/>
    <x v="3"/>
    <n v="0.06"/>
    <n v="0"/>
    <n v="0"/>
    <n v="0"/>
    <n v="6.0606060606060608E-2"/>
    <n v="0"/>
    <n v="7"/>
    <n v="1"/>
    <n v="4007543571.4285707"/>
    <n v="102010199.99999999"/>
    <n v="32873713915"/>
  </r>
  <r>
    <x v="0"/>
    <s v="8+ kilometres"/>
    <x v="3"/>
    <n v="0.41"/>
    <n v="0"/>
    <n v="0"/>
    <n v="0"/>
    <n v="0"/>
    <n v="0.05"/>
    <n v="30.1"/>
    <n v="1"/>
    <n v="4007543571.4285707"/>
    <n v="2472854760.75"/>
    <n v="32873713915"/>
  </r>
  <r>
    <x v="0"/>
    <s v="&lt;2 kilometres"/>
    <x v="4"/>
    <n v="0.22"/>
    <n v="0.01"/>
    <n v="0"/>
    <n v="0"/>
    <n v="0"/>
    <n v="0"/>
    <n v="1"/>
    <n v="0.35714285714285715"/>
    <n v="4007543571.4285707"/>
    <n v="3148784.2346938769"/>
    <n v="32873713915"/>
  </r>
  <r>
    <x v="0"/>
    <s v="2-4 kilometres"/>
    <x v="4"/>
    <n v="0.19"/>
    <n v="0"/>
    <n v="1.9801980198019802E-2"/>
    <n v="0"/>
    <n v="0"/>
    <n v="0"/>
    <n v="3"/>
    <n v="0.35714285714285715"/>
    <n v="4007543571.4285707"/>
    <n v="16154878.611840773"/>
    <n v="32873713915"/>
  </r>
  <r>
    <x v="0"/>
    <s v="4-6 kilometres"/>
    <x v="4"/>
    <n v="0.11"/>
    <n v="0"/>
    <n v="0"/>
    <n v="2.0202020202020204E-2"/>
    <n v="0"/>
    <n v="0"/>
    <n v="5"/>
    <n v="0.35714285714285715"/>
    <n v="4007543571.4285707"/>
    <n v="15902950.680272108"/>
    <n v="32873713915"/>
  </r>
  <r>
    <x v="0"/>
    <s v="6-8 kilometres"/>
    <x v="4"/>
    <n v="0.06"/>
    <n v="0"/>
    <n v="0"/>
    <n v="0"/>
    <n v="2.0202020202020204E-2"/>
    <n v="0"/>
    <n v="7"/>
    <n v="0.35714285714285715"/>
    <n v="4007543571.4285707"/>
    <n v="12144071.428571425"/>
    <n v="32873713915"/>
  </r>
  <r>
    <x v="0"/>
    <s v="8+ kilometres"/>
    <x v="4"/>
    <n v="0.41"/>
    <n v="0"/>
    <n v="0"/>
    <n v="0"/>
    <n v="0"/>
    <n v="0.01"/>
    <n v="30.1"/>
    <n v="0.35714285714285715"/>
    <n v="4007543571.4285707"/>
    <n v="176632482.91071424"/>
    <n v="32873713915"/>
  </r>
  <r>
    <x v="0"/>
    <s v="&lt;2 kilometres"/>
    <x v="5"/>
    <n v="0.22"/>
    <n v="0"/>
    <n v="0"/>
    <n v="0"/>
    <n v="0"/>
    <n v="0"/>
    <n v="1"/>
    <n v="1.8571428571428572"/>
    <n v="4007543571.4285707"/>
    <n v="0"/>
    <n v="32873713915"/>
  </r>
  <r>
    <x v="0"/>
    <s v="2-4 kilometres"/>
    <x v="5"/>
    <n v="0.19"/>
    <n v="0"/>
    <n v="0"/>
    <n v="0"/>
    <n v="0"/>
    <n v="0"/>
    <n v="3"/>
    <n v="1.8571428571428572"/>
    <n v="4007543571.4285707"/>
    <n v="0"/>
    <n v="32873713915"/>
  </r>
  <r>
    <x v="0"/>
    <s v="4-6 kilometres"/>
    <x v="5"/>
    <n v="0.11"/>
    <n v="0"/>
    <n v="0"/>
    <n v="0"/>
    <n v="0"/>
    <n v="0"/>
    <n v="5"/>
    <n v="1.8571428571428572"/>
    <n v="4007543571.4285707"/>
    <n v="0"/>
    <n v="32873713915"/>
  </r>
  <r>
    <x v="0"/>
    <s v="6-8 kilometres"/>
    <x v="5"/>
    <n v="0.06"/>
    <n v="0"/>
    <n v="0"/>
    <n v="0"/>
    <n v="0"/>
    <n v="0"/>
    <n v="7"/>
    <n v="1.8571428571428572"/>
    <n v="4007543571.4285707"/>
    <n v="0"/>
    <n v="32873713915"/>
  </r>
  <r>
    <x v="0"/>
    <s v="8+ kilometres"/>
    <x v="5"/>
    <n v="0.41"/>
    <n v="0"/>
    <n v="0"/>
    <n v="0"/>
    <n v="0"/>
    <n v="0.03"/>
    <n v="30.1"/>
    <n v="1.8571428571428572"/>
    <n v="4007543571.4285707"/>
    <n v="2755466733.4071422"/>
    <n v="32873713915"/>
  </r>
  <r>
    <x v="0"/>
    <s v="&lt;2 kilometres"/>
    <x v="6"/>
    <n v="0.22"/>
    <n v="0"/>
    <n v="0"/>
    <n v="0"/>
    <n v="0"/>
    <n v="0"/>
    <n v="1"/>
    <n v="0"/>
    <n v="4007543571.4285707"/>
    <n v="0"/>
    <n v="32873713915"/>
  </r>
  <r>
    <x v="0"/>
    <s v="2-4 kilometres"/>
    <x v="6"/>
    <n v="0.19"/>
    <n v="0"/>
    <n v="0"/>
    <n v="0"/>
    <n v="0"/>
    <n v="0"/>
    <n v="3"/>
    <n v="0"/>
    <n v="4007543571.4285707"/>
    <n v="0"/>
    <n v="32873713915"/>
  </r>
  <r>
    <x v="0"/>
    <s v="4-6 kilometres"/>
    <x v="6"/>
    <n v="0.11"/>
    <n v="0"/>
    <n v="0"/>
    <n v="0"/>
    <n v="0"/>
    <n v="0"/>
    <n v="5"/>
    <n v="0"/>
    <n v="4007543571.4285707"/>
    <n v="0"/>
    <n v="32873713915"/>
  </r>
  <r>
    <x v="0"/>
    <s v="6-8 kilometres"/>
    <x v="6"/>
    <n v="0.06"/>
    <n v="0"/>
    <n v="0"/>
    <n v="0"/>
    <n v="0"/>
    <n v="0"/>
    <n v="7"/>
    <n v="0"/>
    <n v="4007543571.4285707"/>
    <n v="0"/>
    <n v="32873713915"/>
  </r>
  <r>
    <x v="0"/>
    <s v="8+ kilometres"/>
    <x v="6"/>
    <n v="0.41"/>
    <n v="0"/>
    <n v="0"/>
    <n v="0"/>
    <n v="0"/>
    <n v="0"/>
    <n v="30.1"/>
    <n v="0"/>
    <n v="4007543571.4285707"/>
    <n v="0"/>
    <n v="32873713915"/>
  </r>
  <r>
    <x v="0"/>
    <s v="&lt;2 kilometres"/>
    <x v="7"/>
    <n v="0.22"/>
    <n v="0.02"/>
    <n v="0"/>
    <n v="0"/>
    <n v="0"/>
    <n v="0"/>
    <n v="1"/>
    <n v="1.5714285714285714"/>
    <n v="4007543571.4285707"/>
    <n v="27709301.265306119"/>
    <n v="32873713915"/>
  </r>
  <r>
    <x v="0"/>
    <s v="2-4 kilometres"/>
    <x v="7"/>
    <n v="0.19"/>
    <n v="0"/>
    <n v="3.9603960396039604E-2"/>
    <n v="0"/>
    <n v="0"/>
    <n v="0"/>
    <n v="3"/>
    <n v="1.5714285714285714"/>
    <n v="4007543571.4285707"/>
    <n v="142162931.78419882"/>
    <n v="32873713915"/>
  </r>
  <r>
    <x v="0"/>
    <s v="4-6 kilometres"/>
    <x v="7"/>
    <n v="0.11"/>
    <n v="0"/>
    <n v="0"/>
    <n v="3.0303030303030304E-2"/>
    <n v="0"/>
    <n v="0"/>
    <n v="5"/>
    <n v="1.5714285714285714"/>
    <n v="4007543571.4285707"/>
    <n v="104959474.48979591"/>
    <n v="32873713915"/>
  </r>
  <r>
    <x v="0"/>
    <s v="6-8 kilometres"/>
    <x v="7"/>
    <n v="0.06"/>
    <n v="0"/>
    <n v="0"/>
    <n v="0"/>
    <n v="6.0606060606060608E-2"/>
    <n v="0"/>
    <n v="7"/>
    <n v="1.5714285714285714"/>
    <n v="4007543571.4285707"/>
    <n v="160301742.85714284"/>
    <n v="32873713915"/>
  </r>
  <r>
    <x v="0"/>
    <s v="8+ kilometres"/>
    <x v="7"/>
    <n v="0.41"/>
    <n v="0"/>
    <n v="0"/>
    <n v="0"/>
    <n v="0"/>
    <n v="7.0000000000000007E-2"/>
    <n v="30.1"/>
    <n v="1.5714285714285714"/>
    <n v="4007543571.4285707"/>
    <n v="5440280473.6499987"/>
    <n v="32873713915"/>
  </r>
  <r>
    <x v="1"/>
    <s v="&lt;2 kilometres"/>
    <x v="0"/>
    <n v="0.223"/>
    <n v="0.51900000000000002"/>
    <n v="0"/>
    <n v="0"/>
    <n v="0"/>
    <n v="0"/>
    <n v="1"/>
    <n v="1"/>
    <n v="3165688023.0367908"/>
    <n v="366387234.7222091"/>
    <n v="29535056173"/>
  </r>
  <r>
    <x v="1"/>
    <s v="2-4 kilometres"/>
    <x v="0"/>
    <n v="0.182"/>
    <n v="0"/>
    <n v="0.69499999999999995"/>
    <n v="0"/>
    <n v="0"/>
    <n v="0"/>
    <n v="3"/>
    <n v="1"/>
    <n v="3165688023.0367908"/>
    <n v="1201283634.1017709"/>
    <n v="29535056173"/>
  </r>
  <r>
    <x v="1"/>
    <s v="4-6 kilometres"/>
    <x v="0"/>
    <n v="0.11699999999999999"/>
    <n v="0"/>
    <n v="0"/>
    <n v="0.72599999999999998"/>
    <n v="0"/>
    <n v="0"/>
    <n v="5"/>
    <n v="1"/>
    <n v="3165688023.0367908"/>
    <n v="1344499360.2639551"/>
    <n v="29535056173"/>
  </r>
  <r>
    <x v="1"/>
    <s v="6-8 kilometres"/>
    <x v="0"/>
    <n v="0.06"/>
    <n v="0"/>
    <n v="0"/>
    <n v="0"/>
    <n v="0.73099999999999998"/>
    <n v="0"/>
    <n v="7"/>
    <n v="1"/>
    <n v="3165688023.0367908"/>
    <n v="971929536.83275545"/>
    <n v="29535056173"/>
  </r>
  <r>
    <x v="1"/>
    <s v="8+ kilometres"/>
    <x v="0"/>
    <n v="0.41899999999999998"/>
    <n v="0"/>
    <n v="0"/>
    <n v="0"/>
    <n v="0"/>
    <n v="0.79700000000000004"/>
    <n v="31.75"/>
    <n v="1"/>
    <n v="3165688023.0367908"/>
    <n v="33564809536.393959"/>
    <n v="29535056173"/>
  </r>
  <r>
    <x v="1"/>
    <s v="&lt;2 kilometres"/>
    <x v="1"/>
    <n v="0.223"/>
    <n v="3.2000000000000001E-2"/>
    <n v="0"/>
    <n v="0"/>
    <n v="0"/>
    <n v="0"/>
    <n v="1"/>
    <n v="1.7132867132867131"/>
    <n v="3165688023.0367908"/>
    <n v="38703746.04500477"/>
    <n v="29535056173"/>
  </r>
  <r>
    <x v="1"/>
    <s v="2-4 kilometres"/>
    <x v="1"/>
    <n v="0.182"/>
    <n v="0"/>
    <n v="4.4999999999999998E-2"/>
    <n v="0"/>
    <n v="0"/>
    <n v="0"/>
    <n v="3"/>
    <n v="1.7132867132867131"/>
    <n v="3165688023.0367908"/>
    <n v="133261076.27883507"/>
    <n v="29535056173"/>
  </r>
  <r>
    <x v="1"/>
    <s v="4-6 kilometres"/>
    <x v="1"/>
    <n v="0.11699999999999999"/>
    <n v="0"/>
    <n v="0"/>
    <n v="5.7000000000000002E-2"/>
    <n v="0"/>
    <n v="0"/>
    <n v="5"/>
    <n v="1.7132867132867131"/>
    <n v="3165688023.0367908"/>
    <n v="180854317.80699044"/>
    <n v="29535056173"/>
  </r>
  <r>
    <x v="1"/>
    <s v="6-8 kilometres"/>
    <x v="1"/>
    <n v="0.06"/>
    <n v="0"/>
    <n v="0"/>
    <n v="0"/>
    <n v="5.7999999999999996E-2"/>
    <n v="0"/>
    <n v="7"/>
    <n v="1.7132867132867131"/>
    <n v="3165688023.0367908"/>
    <n v="132122092.7208963"/>
    <n v="29535056173"/>
  </r>
  <r>
    <x v="1"/>
    <s v="8+ kilometres"/>
    <x v="1"/>
    <n v="0.41899999999999998"/>
    <n v="0"/>
    <n v="0"/>
    <n v="0"/>
    <n v="0"/>
    <n v="8.4000000000000005E-2"/>
    <n v="31.75"/>
    <n v="1.7132867132867131"/>
    <n v="3165688023.0367908"/>
    <n v="6060873206.8595304"/>
    <n v="29535056173"/>
  </r>
  <r>
    <x v="1"/>
    <s v="&lt;2 kilometres"/>
    <x v="2"/>
    <n v="0.223"/>
    <n v="0.40700000000000003"/>
    <n v="0"/>
    <n v="0"/>
    <n v="0"/>
    <n v="0"/>
    <n v="1"/>
    <n v="0.12587412587412586"/>
    <n v="3165688023.0367908"/>
    <n v="36166281.061952159"/>
    <n v="29535056173"/>
  </r>
  <r>
    <x v="1"/>
    <s v="2-4 kilometres"/>
    <x v="2"/>
    <n v="0.182"/>
    <n v="0"/>
    <n v="0.16699999999999998"/>
    <n v="0"/>
    <n v="0"/>
    <n v="0"/>
    <n v="3"/>
    <n v="0.12587412587412586"/>
    <n v="3165688023.0367908"/>
    <n v="36334040.38949462"/>
    <n v="29535056173"/>
  </r>
  <r>
    <x v="1"/>
    <s v="4-6 kilometres"/>
    <x v="2"/>
    <n v="0.11699999999999999"/>
    <n v="0"/>
    <n v="0"/>
    <n v="8.199999999999999E-2"/>
    <n v="0"/>
    <n v="0"/>
    <n v="5"/>
    <n v="0.12587412587412586"/>
    <n v="3165688023.0367908"/>
    <n v="19114999.862736691"/>
    <n v="29535056173"/>
  </r>
  <r>
    <x v="1"/>
    <s v="6-8 kilometres"/>
    <x v="2"/>
    <n v="0.06"/>
    <n v="0"/>
    <n v="0"/>
    <n v="0"/>
    <n v="0.06"/>
    <n v="0"/>
    <n v="7"/>
    <n v="0.12587412587412586"/>
    <n v="3165688023.0367908"/>
    <n v="10041650.959786629"/>
    <n v="29535056173"/>
  </r>
  <r>
    <x v="1"/>
    <s v="8+ kilometres"/>
    <x v="2"/>
    <n v="0.41899999999999998"/>
    <n v="0"/>
    <n v="0"/>
    <n v="0"/>
    <n v="0"/>
    <n v="4.0000000000000001E-3"/>
    <n v="31.75"/>
    <n v="0.12587412587412586"/>
    <n v="3165688023.0367908"/>
    <n v="21204221.131870076"/>
    <n v="29535056173"/>
  </r>
  <r>
    <x v="1"/>
    <s v="&lt;2 kilometres"/>
    <x v="3"/>
    <n v="0.223"/>
    <n v="9.0000000000000011E-3"/>
    <n v="0"/>
    <n v="0"/>
    <n v="0"/>
    <n v="0"/>
    <n v="1"/>
    <n v="1.034965034965035"/>
    <n v="3165688023.0367908"/>
    <n v="6575687.4658094849"/>
    <n v="29535056173"/>
  </r>
  <r>
    <x v="1"/>
    <s v="2-4 kilometres"/>
    <x v="3"/>
    <n v="0.182"/>
    <n v="0"/>
    <n v="3.6000000000000004E-2"/>
    <n v="0"/>
    <n v="0"/>
    <n v="0"/>
    <n v="3"/>
    <n v="1.034965034965035"/>
    <n v="3165688023.0367908"/>
    <n v="64400454.822098263"/>
    <n v="29535056173"/>
  </r>
  <r>
    <x v="1"/>
    <s v="4-6 kilometres"/>
    <x v="3"/>
    <n v="0.11699999999999999"/>
    <n v="0"/>
    <n v="0"/>
    <n v="6.8000000000000005E-2"/>
    <n v="0"/>
    <n v="0"/>
    <n v="5"/>
    <n v="1.034965034965035"/>
    <n v="3165688023.0367908"/>
    <n v="130334253.80662744"/>
    <n v="29535056173"/>
  </r>
  <r>
    <x v="1"/>
    <s v="6-8 kilometres"/>
    <x v="3"/>
    <n v="0.06"/>
    <n v="0"/>
    <n v="0"/>
    <n v="0"/>
    <n v="7.6999999999999999E-2"/>
    <n v="0"/>
    <n v="7"/>
    <n v="1.034965034965035"/>
    <n v="3165688023.0367908"/>
    <n v="105958013.27567451"/>
    <n v="29535056173"/>
  </r>
  <r>
    <x v="1"/>
    <s v="8+ kilometres"/>
    <x v="3"/>
    <n v="0.41899999999999998"/>
    <n v="0"/>
    <n v="0"/>
    <n v="0"/>
    <n v="0"/>
    <n v="4.2000000000000003E-2"/>
    <n v="31.75"/>
    <n v="1.034965034965035"/>
    <n v="3165688023.0367908"/>
    <n v="1830631091.0514505"/>
    <n v="29535056173"/>
  </r>
  <r>
    <x v="1"/>
    <s v="&lt;2 kilometres"/>
    <x v="4"/>
    <n v="0.223"/>
    <n v="0.01"/>
    <n v="0"/>
    <n v="0"/>
    <n v="0"/>
    <n v="0"/>
    <n v="1"/>
    <n v="0.4825174825174825"/>
    <n v="3165688023.0367908"/>
    <n v="3406324.5881445524"/>
    <n v="29535056173"/>
  </r>
  <r>
    <x v="1"/>
    <s v="2-4 kilometres"/>
    <x v="4"/>
    <n v="0.182"/>
    <n v="0"/>
    <n v="2.3E-2"/>
    <n v="0"/>
    <n v="0"/>
    <n v="0"/>
    <n v="3"/>
    <n v="0.4825174825174825"/>
    <n v="3165688023.0367908"/>
    <n v="19182342.680681296"/>
    <n v="29535056173"/>
  </r>
  <r>
    <x v="1"/>
    <s v="4-6 kilometres"/>
    <x v="4"/>
    <n v="0.11699999999999999"/>
    <n v="0"/>
    <n v="0"/>
    <n v="1.7000000000000001E-2"/>
    <n v="0"/>
    <n v="0"/>
    <n v="5"/>
    <n v="0.4825174825174825"/>
    <n v="3165688023.0367908"/>
    <n v="15190985.663272452"/>
    <n v="29535056173"/>
  </r>
  <r>
    <x v="1"/>
    <s v="6-8 kilometres"/>
    <x v="4"/>
    <n v="0.06"/>
    <n v="0"/>
    <n v="0"/>
    <n v="0"/>
    <n v="1.3999999999999999E-2"/>
    <n v="0"/>
    <n v="7"/>
    <n v="0.4825174825174825"/>
    <n v="3165688023.0367908"/>
    <n v="8981698.9140313752"/>
    <n v="29535056173"/>
  </r>
  <r>
    <x v="1"/>
    <s v="8+ kilometres"/>
    <x v="4"/>
    <n v="0.41899999999999998"/>
    <n v="0"/>
    <n v="0"/>
    <n v="0"/>
    <n v="0"/>
    <n v="6.0000000000000001E-3"/>
    <n v="31.75"/>
    <n v="0.4825174825174825"/>
    <n v="3165688023.0367908"/>
    <n v="121924271.50825295"/>
    <n v="29535056173"/>
  </r>
  <r>
    <x v="1"/>
    <s v="&lt;2 kilometres"/>
    <x v="5"/>
    <n v="0.223"/>
    <n v="1E-3"/>
    <n v="0"/>
    <n v="0"/>
    <n v="0"/>
    <n v="0"/>
    <n v="1"/>
    <n v="2.0489510489510487"/>
    <n v="3165688023.0367908"/>
    <n v="1446453.7743860199"/>
    <n v="29535056173"/>
  </r>
  <r>
    <x v="1"/>
    <s v="2-4 kilometres"/>
    <x v="5"/>
    <n v="0.182"/>
    <n v="0"/>
    <n v="5.0000000000000001E-3"/>
    <n v="0"/>
    <n v="0"/>
    <n v="0"/>
    <n v="3"/>
    <n v="2.0489510489510487"/>
    <n v="3165688023.0367908"/>
    <n v="17707707.641586699"/>
    <n v="29535056173"/>
  </r>
  <r>
    <x v="1"/>
    <s v="4-6 kilometres"/>
    <x v="5"/>
    <n v="0.11699999999999999"/>
    <n v="0"/>
    <n v="0"/>
    <n v="1.3999999999999999E-2"/>
    <n v="0"/>
    <n v="0"/>
    <n v="5"/>
    <n v="2.0489510489510487"/>
    <n v="3165688023.0367908"/>
    <n v="53123122.924760103"/>
    <n v="29535056173"/>
  </r>
  <r>
    <x v="1"/>
    <s v="6-8 kilometres"/>
    <x v="5"/>
    <n v="0.06"/>
    <n v="0"/>
    <n v="0"/>
    <n v="0"/>
    <n v="1.4999999999999999E-2"/>
    <n v="0"/>
    <n v="7"/>
    <n v="2.0489510489510487"/>
    <n v="3165688023.0367908"/>
    <n v="40863940.711353928"/>
    <n v="29535056173"/>
  </r>
  <r>
    <x v="1"/>
    <s v="8+ kilometres"/>
    <x v="5"/>
    <n v="0.41899999999999998"/>
    <n v="0"/>
    <n v="0"/>
    <n v="0"/>
    <n v="0"/>
    <n v="2.3E-2"/>
    <n v="31.75"/>
    <n v="2.0489510489510487"/>
    <n v="3165688023.0367908"/>
    <n v="1984656197.3287842"/>
    <n v="29535056173"/>
  </r>
  <r>
    <x v="1"/>
    <s v="&lt;2 kilometres"/>
    <x v="6"/>
    <n v="0.223"/>
    <n v="5.0000000000000001E-3"/>
    <n v="0"/>
    <n v="0"/>
    <n v="0"/>
    <n v="0"/>
    <n v="1"/>
    <n v="0.71328671328671323"/>
    <n v="3165688023.0367908"/>
    <n v="2517718.1738459733"/>
    <n v="29535056173"/>
  </r>
  <r>
    <x v="1"/>
    <s v="2-4 kilometres"/>
    <x v="6"/>
    <n v="0.182"/>
    <n v="0"/>
    <n v="1.2E-2"/>
    <n v="0"/>
    <n v="0"/>
    <n v="0"/>
    <n v="3"/>
    <n v="0.71328671328671323"/>
    <n v="3165688023.0367908"/>
    <n v="14794699.080752306"/>
    <n v="29535056173"/>
  </r>
  <r>
    <x v="1"/>
    <s v="4-6 kilometres"/>
    <x v="6"/>
    <n v="0.11699999999999999"/>
    <n v="0"/>
    <n v="0"/>
    <n v="1.2E-2"/>
    <n v="0"/>
    <n v="0"/>
    <n v="5"/>
    <n v="0.71328671328671323"/>
    <n v="3165688023.0367908"/>
    <n v="15851463.300806038"/>
    <n v="29535056173"/>
  </r>
  <r>
    <x v="1"/>
    <s v="6-8 kilometres"/>
    <x v="6"/>
    <n v="0.06"/>
    <n v="0"/>
    <n v="0"/>
    <n v="0"/>
    <n v="1.8000000000000002E-2"/>
    <n v="0"/>
    <n v="7"/>
    <n v="0.71328671328671323"/>
    <n v="3165688023.0367908"/>
    <n v="17070806.631637271"/>
    <n v="29535056173"/>
  </r>
  <r>
    <x v="1"/>
    <s v="8+ kilometres"/>
    <x v="6"/>
    <n v="0.41899999999999998"/>
    <n v="0"/>
    <n v="0"/>
    <n v="0"/>
    <n v="0"/>
    <n v="5.0000000000000001E-3"/>
    <n v="31.75"/>
    <n v="0.71328671328671323"/>
    <n v="3165688023.0367908"/>
    <n v="150196566.35074639"/>
    <n v="29535056173"/>
  </r>
  <r>
    <x v="1"/>
    <s v="&lt;2 kilometres"/>
    <x v="7"/>
    <n v="0.223"/>
    <n v="1.4999999999999999E-2"/>
    <n v="0"/>
    <n v="0"/>
    <n v="0"/>
    <n v="0"/>
    <n v="1"/>
    <n v="1.776223776223776"/>
    <n v="3165688023.0367908"/>
    <n v="18808835.769319918"/>
    <n v="29535056173"/>
  </r>
  <r>
    <x v="1"/>
    <s v="2-4 kilometres"/>
    <x v="7"/>
    <n v="0.182"/>
    <n v="0"/>
    <n v="1.4999999999999999E-2"/>
    <n v="0"/>
    <n v="0"/>
    <n v="0"/>
    <n v="3"/>
    <n v="1.776223776223776"/>
    <n v="3165688023.0367908"/>
    <n v="46052127.040577017"/>
    <n v="29535056173"/>
  </r>
  <r>
    <x v="1"/>
    <s v="4-6 kilometres"/>
    <x v="7"/>
    <n v="0.11699999999999999"/>
    <n v="0"/>
    <n v="0"/>
    <n v="2.3E-2"/>
    <n v="0"/>
    <n v="0"/>
    <n v="5"/>
    <n v="1.776223776223776"/>
    <n v="3165688023.0367908"/>
    <n v="75657065.852376521"/>
    <n v="29535056173"/>
  </r>
  <r>
    <x v="1"/>
    <s v="6-8 kilometres"/>
    <x v="7"/>
    <n v="0.06"/>
    <n v="0"/>
    <n v="0"/>
    <n v="0"/>
    <n v="2.6000000000000002E-2"/>
    <n v="0"/>
    <n v="7"/>
    <n v="1.776223776223776"/>
    <n v="3165688023.0367908"/>
    <n v="61402836.054102682"/>
    <n v="29535056173"/>
  </r>
  <r>
    <x v="1"/>
    <s v="8+ kilometres"/>
    <x v="7"/>
    <n v="0.41899999999999998"/>
    <n v="0"/>
    <n v="0"/>
    <n v="0"/>
    <n v="0"/>
    <n v="3.7999999999999999E-2"/>
    <n v="31.75"/>
    <n v="1.776223776223776"/>
    <n v="3165688023.0367908"/>
    <n v="2842543643.9556937"/>
    <n v="29535056173"/>
  </r>
  <r>
    <x v="2"/>
    <s v="&lt;2 kilometres"/>
    <x v="0"/>
    <n v="0.21100000000000002"/>
    <n v="0.46299999999999997"/>
    <n v="0"/>
    <n v="0"/>
    <n v="0"/>
    <n v="0"/>
    <n v="1"/>
    <n v="1"/>
    <n v="3171485717.1895118"/>
    <n v="309831954.16939497"/>
    <n v="31821299194"/>
  </r>
  <r>
    <x v="2"/>
    <s v="2-4 kilometres"/>
    <x v="0"/>
    <n v="0.18899999999999997"/>
    <n v="0"/>
    <n v="0.67400000000000004"/>
    <n v="0"/>
    <n v="0"/>
    <n v="0"/>
    <n v="3"/>
    <n v="1"/>
    <n v="3171485717.1895118"/>
    <n v="1212008638.7097094"/>
    <n v="31821299194"/>
  </r>
  <r>
    <x v="2"/>
    <s v="4-6 kilometres"/>
    <x v="0"/>
    <n v="0.11699999999999999"/>
    <n v="0"/>
    <n v="0"/>
    <n v="0.73099999999999998"/>
    <n v="0"/>
    <n v="0"/>
    <n v="5"/>
    <n v="1"/>
    <n v="3171485717.1895118"/>
    <n v="1356238294.6703367"/>
    <n v="31821299194"/>
  </r>
  <r>
    <x v="2"/>
    <s v="6-8 kilometres"/>
    <x v="0"/>
    <n v="6.6000000000000003E-2"/>
    <n v="0"/>
    <n v="0"/>
    <n v="0"/>
    <n v="0.7390000000000001"/>
    <n v="0"/>
    <n v="7"/>
    <n v="1"/>
    <n v="3171485717.1895118"/>
    <n v="1082802310.591409"/>
    <n v="31821299194"/>
  </r>
  <r>
    <x v="2"/>
    <s v="8+ kilometres"/>
    <x v="0"/>
    <n v="0.41700000000000004"/>
    <n v="0"/>
    <n v="0"/>
    <n v="0"/>
    <n v="0"/>
    <n v="0.79299999999999993"/>
    <n v="35.22"/>
    <n v="1"/>
    <n v="3171485717.1895118"/>
    <n v="36936977410.666176"/>
    <n v="31821299194"/>
  </r>
  <r>
    <x v="2"/>
    <s v="&lt;2 kilometres"/>
    <x v="1"/>
    <n v="0.21100000000000002"/>
    <n v="3.1E-2"/>
    <n v="0"/>
    <n v="0"/>
    <n v="0"/>
    <n v="0"/>
    <n v="1"/>
    <n v="1.6298701298701299"/>
    <n v="3171485717.1895118"/>
    <n v="33811147.448768094"/>
    <n v="31821299194"/>
  </r>
  <r>
    <x v="2"/>
    <s v="2-4 kilometres"/>
    <x v="1"/>
    <n v="0.18899999999999997"/>
    <n v="0"/>
    <n v="4.2000000000000003E-2"/>
    <n v="0"/>
    <n v="0"/>
    <n v="0"/>
    <n v="3"/>
    <n v="1.6298701298701299"/>
    <n v="3171485717.1895118"/>
    <n v="123097181.67634355"/>
    <n v="31821299194"/>
  </r>
  <r>
    <x v="2"/>
    <s v="4-6 kilometres"/>
    <x v="1"/>
    <n v="0.11699999999999999"/>
    <n v="0"/>
    <n v="0"/>
    <n v="5.2000000000000005E-2"/>
    <n v="0"/>
    <n v="0"/>
    <n v="5"/>
    <n v="1.6298701298701299"/>
    <n v="3171485717.1895118"/>
    <n v="157244321.26456586"/>
    <n v="31821299194"/>
  </r>
  <r>
    <x v="2"/>
    <s v="6-8 kilometres"/>
    <x v="1"/>
    <n v="6.6000000000000003E-2"/>
    <n v="0"/>
    <n v="0"/>
    <n v="0"/>
    <n v="6.0999999999999999E-2"/>
    <n v="0"/>
    <n v="7"/>
    <n v="1.6298701298701299"/>
    <n v="3171485717.1895118"/>
    <n v="145675853.44766584"/>
    <n v="31821299194"/>
  </r>
  <r>
    <x v="2"/>
    <s v="8+ kilometres"/>
    <x v="1"/>
    <n v="0.41700000000000004"/>
    <n v="0"/>
    <n v="0"/>
    <n v="0"/>
    <n v="0"/>
    <n v="0.08"/>
    <n v="35.22"/>
    <n v="1.6298701298701299"/>
    <n v="3171485717.1895118"/>
    <n v="6073389777.4862595"/>
    <n v="31821299194"/>
  </r>
  <r>
    <x v="2"/>
    <s v="&lt;2 kilometres"/>
    <x v="2"/>
    <n v="0.21100000000000002"/>
    <n v="0.46399999999999997"/>
    <n v="0"/>
    <n v="0"/>
    <n v="0"/>
    <n v="0"/>
    <n v="1"/>
    <n v="0.12337662337662336"/>
    <n v="3171485717.1895118"/>
    <n v="38308581.918563098"/>
    <n v="31821299194"/>
  </r>
  <r>
    <x v="2"/>
    <s v="2-4 kilometres"/>
    <x v="2"/>
    <n v="0.18899999999999997"/>
    <n v="0"/>
    <n v="0.19600000000000001"/>
    <n v="0"/>
    <n v="0"/>
    <n v="0"/>
    <n v="3"/>
    <n v="0.12337662337662336"/>
    <n v="3171485717.1895118"/>
    <n v="43484528.985268764"/>
    <n v="31821299194"/>
  </r>
  <r>
    <x v="2"/>
    <s v="4-6 kilometres"/>
    <x v="2"/>
    <n v="0.11699999999999999"/>
    <n v="0"/>
    <n v="0"/>
    <n v="0.10300000000000001"/>
    <n v="0"/>
    <n v="0"/>
    <n v="5"/>
    <n v="0.12337662337662336"/>
    <n v="3171485717.1895118"/>
    <n v="23577010.168154716"/>
    <n v="31821299194"/>
  </r>
  <r>
    <x v="2"/>
    <s v="6-8 kilometres"/>
    <x v="2"/>
    <n v="6.6000000000000003E-2"/>
    <n v="0"/>
    <n v="0"/>
    <n v="0"/>
    <n v="6.4000000000000001E-2"/>
    <n v="0"/>
    <n v="7"/>
    <n v="0.12337662337662336"/>
    <n v="3171485717.1895118"/>
    <n v="11569579.89630734"/>
    <n v="31821299194"/>
  </r>
  <r>
    <x v="2"/>
    <s v="8+ kilometres"/>
    <x v="2"/>
    <n v="0.41700000000000004"/>
    <n v="0"/>
    <n v="0"/>
    <n v="0"/>
    <n v="0"/>
    <n v="6.9999999999999993E-3"/>
    <n v="35.22"/>
    <n v="0.12337662337662336"/>
    <n v="3171485717.1895118"/>
    <n v="40227133.486338265"/>
    <n v="31821299194"/>
  </r>
  <r>
    <x v="2"/>
    <s v="&lt;2 kilometres"/>
    <x v="3"/>
    <n v="0.21100000000000002"/>
    <n v="6.9999999999999993E-3"/>
    <n v="0"/>
    <n v="0"/>
    <n v="0"/>
    <n v="0"/>
    <n v="1"/>
    <n v="1.1753246753246753"/>
    <n v="3171485717.1895118"/>
    <n v="5505555.0465993024"/>
    <n v="31821299194"/>
  </r>
  <r>
    <x v="2"/>
    <s v="2-4 kilometres"/>
    <x v="3"/>
    <n v="0.18899999999999997"/>
    <n v="0"/>
    <n v="3.9E-2"/>
    <n v="0"/>
    <n v="0"/>
    <n v="0"/>
    <n v="3"/>
    <n v="1.1753246753246753"/>
    <n v="3171485717.1895118"/>
    <n v="82426769.631313711"/>
    <n v="31821299194"/>
  </r>
  <r>
    <x v="2"/>
    <s v="4-6 kilometres"/>
    <x v="3"/>
    <n v="0.11699999999999999"/>
    <n v="0"/>
    <n v="0"/>
    <n v="5.5E-2"/>
    <n v="0"/>
    <n v="0"/>
    <n v="5"/>
    <n v="1.1753246753246753"/>
    <n v="3171485717.1895118"/>
    <n v="119933130.41593264"/>
    <n v="31821299194"/>
  </r>
  <r>
    <x v="2"/>
    <s v="6-8 kilometres"/>
    <x v="3"/>
    <n v="6.6000000000000003E-2"/>
    <n v="0"/>
    <n v="0"/>
    <n v="0"/>
    <n v="0.06"/>
    <n v="0"/>
    <n v="7"/>
    <n v="1.1753246753246753"/>
    <n v="3171485717.1895118"/>
    <n v="103327004.66603431"/>
    <n v="31821299194"/>
  </r>
  <r>
    <x v="2"/>
    <s v="8+ kilometres"/>
    <x v="3"/>
    <n v="0.41700000000000004"/>
    <n v="0"/>
    <n v="0"/>
    <n v="0"/>
    <n v="0"/>
    <n v="4.4000000000000004E-2"/>
    <n v="35.22"/>
    <n v="1.1753246753246753"/>
    <n v="3171485717.1895118"/>
    <n v="2408788654.7759252"/>
    <n v="31821299194"/>
  </r>
  <r>
    <x v="2"/>
    <s v="&lt;2 kilometres"/>
    <x v="4"/>
    <n v="0.21100000000000002"/>
    <n v="1.3000000000000001E-2"/>
    <n v="0"/>
    <n v="0"/>
    <n v="0"/>
    <n v="0"/>
    <n v="1"/>
    <n v="0.37012987012987014"/>
    <n v="3171485717.1895118"/>
    <n v="3219902.3595343996"/>
    <n v="31821299194"/>
  </r>
  <r>
    <x v="2"/>
    <s v="2-4 kilometres"/>
    <x v="4"/>
    <n v="0.18899999999999997"/>
    <n v="0"/>
    <n v="1.9E-2"/>
    <n v="0"/>
    <n v="0"/>
    <n v="0"/>
    <n v="3"/>
    <n v="0.37012987012987014"/>
    <n v="3171485717.1895118"/>
    <n v="12646010.980409795"/>
    <n v="31821299194"/>
  </r>
  <r>
    <x v="2"/>
    <s v="4-6 kilometres"/>
    <x v="4"/>
    <n v="0.11699999999999999"/>
    <n v="0"/>
    <n v="0"/>
    <n v="0.02"/>
    <n v="0"/>
    <n v="0"/>
    <n v="5"/>
    <n v="0.37012987012987014"/>
    <n v="3171485717.1895118"/>
    <n v="13734180.680478478"/>
    <n v="31821299194"/>
  </r>
  <r>
    <x v="2"/>
    <s v="6-8 kilometres"/>
    <x v="4"/>
    <n v="6.6000000000000003E-2"/>
    <n v="0"/>
    <n v="0"/>
    <n v="0"/>
    <n v="2.3E-2"/>
    <n v="0"/>
    <n v="7"/>
    <n v="0.37012987012987014"/>
    <n v="3171485717.1895118"/>
    <n v="12473453.32570635"/>
    <n v="31821299194"/>
  </r>
  <r>
    <x v="2"/>
    <s v="8+ kilometres"/>
    <x v="4"/>
    <n v="0.41700000000000004"/>
    <n v="0"/>
    <n v="0"/>
    <n v="0"/>
    <n v="0"/>
    <n v="6.0000000000000001E-3"/>
    <n v="35.22"/>
    <n v="0.37012987012987014"/>
    <n v="3171485717.1895118"/>
    <n v="103441200.39344127"/>
    <n v="31821299194"/>
  </r>
  <r>
    <x v="2"/>
    <s v="&lt;2 kilometres"/>
    <x v="5"/>
    <n v="0.21100000000000002"/>
    <n v="2E-3"/>
    <n v="0"/>
    <n v="0"/>
    <n v="0"/>
    <n v="0"/>
    <n v="1"/>
    <n v="1.8181818181818181"/>
    <n v="3171485717.1895118"/>
    <n v="2433394.4957344984"/>
    <n v="31821299194"/>
  </r>
  <r>
    <x v="2"/>
    <s v="2-4 kilometres"/>
    <x v="5"/>
    <n v="0.18899999999999997"/>
    <n v="0"/>
    <n v="6.9999999999999993E-3"/>
    <n v="0"/>
    <n v="0"/>
    <n v="0"/>
    <n v="3"/>
    <n v="1.8181818181818181"/>
    <n v="3171485717.1895118"/>
    <n v="22886594.202773038"/>
    <n v="31821299194"/>
  </r>
  <r>
    <x v="2"/>
    <s v="4-6 kilometres"/>
    <x v="5"/>
    <n v="0.11699999999999999"/>
    <n v="0"/>
    <n v="0"/>
    <n v="1.3000000000000001E-2"/>
    <n v="0"/>
    <n v="0"/>
    <n v="5"/>
    <n v="1.8181818181818181"/>
    <n v="3171485717.1895118"/>
    <n v="43852997.96222952"/>
    <n v="31821299194"/>
  </r>
  <r>
    <x v="2"/>
    <s v="6-8 kilometres"/>
    <x v="5"/>
    <n v="6.6000000000000003E-2"/>
    <n v="0"/>
    <n v="0"/>
    <n v="0"/>
    <n v="1.4999999999999999E-2"/>
    <n v="0"/>
    <n v="7"/>
    <n v="1.8181818181818181"/>
    <n v="3171485717.1895118"/>
    <n v="39960720.036587849"/>
    <n v="31821299194"/>
  </r>
  <r>
    <x v="2"/>
    <s v="8+ kilometres"/>
    <x v="5"/>
    <n v="0.41700000000000004"/>
    <n v="0"/>
    <n v="0"/>
    <n v="0"/>
    <n v="0"/>
    <n v="2.4E-2"/>
    <n v="35.22"/>
    <n v="1.8181818181818181"/>
    <n v="3171485717.1895118"/>
    <n v="2032528849.8360391"/>
    <n v="31821299194"/>
  </r>
  <r>
    <x v="2"/>
    <s v="&lt;2 kilometres"/>
    <x v="6"/>
    <n v="0.21100000000000002"/>
    <n v="6.0000000000000001E-3"/>
    <n v="0"/>
    <n v="0"/>
    <n v="0"/>
    <n v="0"/>
    <n v="1"/>
    <n v="0.44155844155844154"/>
    <n v="3171485717.1895118"/>
    <n v="1772901.7040351345"/>
    <n v="31821299194"/>
  </r>
  <r>
    <x v="2"/>
    <s v="2-4 kilometres"/>
    <x v="6"/>
    <n v="0.18899999999999997"/>
    <n v="0"/>
    <n v="1.1000000000000001E-2"/>
    <n v="0"/>
    <n v="0"/>
    <n v="0"/>
    <n v="3"/>
    <n v="0.44155844155844154"/>
    <n v="3171485717.1895118"/>
    <n v="8734271.6651399154"/>
    <n v="31821299194"/>
  </r>
  <r>
    <x v="2"/>
    <s v="4-6 kilometres"/>
    <x v="6"/>
    <n v="0.11699999999999999"/>
    <n v="0"/>
    <n v="0"/>
    <n v="1.2E-2"/>
    <n v="0"/>
    <n v="0"/>
    <n v="5"/>
    <n v="0.44155844155844154"/>
    <n v="3171485717.1895118"/>
    <n v="9830781.9607635401"/>
    <n v="31821299194"/>
  </r>
  <r>
    <x v="2"/>
    <s v="6-8 kilometres"/>
    <x v="6"/>
    <n v="6.6000000000000003E-2"/>
    <n v="0"/>
    <n v="0"/>
    <n v="0"/>
    <n v="1.7000000000000001E-2"/>
    <n v="0"/>
    <n v="7"/>
    <n v="0.44155844155844154"/>
    <n v="3171485717.1895118"/>
    <n v="10998712.467213228"/>
    <n v="31821299194"/>
  </r>
  <r>
    <x v="2"/>
    <s v="8+ kilometres"/>
    <x v="6"/>
    <n v="0.41700000000000004"/>
    <n v="0"/>
    <n v="0"/>
    <n v="0"/>
    <n v="0"/>
    <n v="6.9999999999999993E-3"/>
    <n v="35.22"/>
    <n v="0.44155844155844154"/>
    <n v="3171485717.1895118"/>
    <n v="143970793.53005275"/>
    <n v="31821299194"/>
  </r>
  <r>
    <x v="2"/>
    <s v="&lt;2 kilometres"/>
    <x v="7"/>
    <n v="0.21100000000000002"/>
    <n v="1.3999999999999999E-2"/>
    <n v="0"/>
    <n v="0"/>
    <n v="0"/>
    <n v="0"/>
    <n v="1"/>
    <n v="1.8051948051948052"/>
    <n v="3171485717.1895118"/>
    <n v="16912091.74535476"/>
    <n v="31821299194"/>
  </r>
  <r>
    <x v="2"/>
    <s v="2-4 kilometres"/>
    <x v="7"/>
    <n v="0.18899999999999997"/>
    <n v="0"/>
    <n v="1.3000000000000001E-2"/>
    <n v="0"/>
    <n v="0"/>
    <n v="0"/>
    <n v="3"/>
    <n v="1.8051948051948052"/>
    <n v="3171485717.1895118"/>
    <n v="42200077.269807026"/>
    <n v="31821299194"/>
  </r>
  <r>
    <x v="2"/>
    <s v="4-6 kilometres"/>
    <x v="7"/>
    <n v="0.11699999999999999"/>
    <n v="0"/>
    <n v="0"/>
    <n v="1.3999999999999999E-2"/>
    <n v="0"/>
    <n v="0"/>
    <n v="5"/>
    <n v="1.8051948051948052"/>
    <n v="3171485717.1895118"/>
    <n v="46888974.744230025"/>
    <n v="31821299194"/>
  </r>
  <r>
    <x v="2"/>
    <s v="6-8 kilometres"/>
    <x v="7"/>
    <n v="6.6000000000000003E-2"/>
    <n v="0"/>
    <n v="0"/>
    <n v="0"/>
    <n v="2.2000000000000002E-2"/>
    <n v="0"/>
    <n v="7"/>
    <n v="1.8051948051948052"/>
    <n v="3171485717.1895118"/>
    <n v="58190419.938993171"/>
    <n v="31821299194"/>
  </r>
  <r>
    <x v="2"/>
    <s v="8+ kilometres"/>
    <x v="7"/>
    <n v="0.41700000000000004"/>
    <n v="0"/>
    <n v="0"/>
    <n v="0"/>
    <n v="0"/>
    <n v="3.9E-2"/>
    <n v="35.22"/>
    <n v="1.8051948051948052"/>
    <n v="3171485717.1895118"/>
    <n v="3279267528.2622523"/>
    <n v="31821299194"/>
  </r>
  <r>
    <x v="3"/>
    <s v="&lt;2 kilometres"/>
    <x v="0"/>
    <n v="0.188"/>
    <n v="0.49099999999999999"/>
    <n v="0"/>
    <n v="0"/>
    <n v="0"/>
    <n v="0"/>
    <n v="1"/>
    <n v="1"/>
    <n v="2940102000.5779233"/>
    <n v="271394935.46934694"/>
    <n v="32323075433"/>
  </r>
  <r>
    <x v="3"/>
    <s v="2-4 kilometres"/>
    <x v="0"/>
    <n v="0.2"/>
    <n v="0"/>
    <n v="0.65599999999999992"/>
    <n v="0"/>
    <n v="0"/>
    <n v="0"/>
    <n v="3"/>
    <n v="1"/>
    <n v="2940102000.5779233"/>
    <n v="1157224147.4274704"/>
    <n v="32323075433"/>
  </r>
  <r>
    <x v="3"/>
    <s v="4-6 kilometres"/>
    <x v="0"/>
    <n v="0.13"/>
    <n v="0"/>
    <n v="0"/>
    <n v="0.70599999999999996"/>
    <n v="0"/>
    <n v="0"/>
    <n v="5"/>
    <n v="1"/>
    <n v="2940102000.5779233"/>
    <n v="1349212808.0652089"/>
    <n v="32323075433"/>
  </r>
  <r>
    <x v="3"/>
    <s v="6-8 kilometres"/>
    <x v="0"/>
    <n v="6.4000000000000001E-2"/>
    <n v="0"/>
    <n v="0"/>
    <n v="0"/>
    <n v="0.754"/>
    <n v="0"/>
    <n v="7"/>
    <n v="1"/>
    <n v="2940102000.5779233"/>
    <n v="993142934.97921777"/>
    <n v="32323075433"/>
  </r>
  <r>
    <x v="3"/>
    <s v="8+ kilometres"/>
    <x v="0"/>
    <n v="0.41899999999999998"/>
    <n v="0"/>
    <n v="0"/>
    <n v="0"/>
    <n v="0"/>
    <n v="0.78299999999999992"/>
    <n v="38.99"/>
    <n v="1"/>
    <n v="2940102000.5779233"/>
    <n v="37608968119.260094"/>
    <n v="32323075433"/>
  </r>
  <r>
    <x v="3"/>
    <s v="&lt;2 kilometres"/>
    <x v="1"/>
    <n v="0.188"/>
    <n v="2.2000000000000002E-2"/>
    <n v="0"/>
    <n v="0"/>
    <n v="0"/>
    <n v="0"/>
    <n v="1"/>
    <n v="1.6923076923076923"/>
    <n v="2940102000.5779233"/>
    <n v="20578904.710506648"/>
    <n v="32323075433"/>
  </r>
  <r>
    <x v="3"/>
    <s v="2-4 kilometres"/>
    <x v="1"/>
    <n v="0.2"/>
    <n v="0"/>
    <n v="3.3000000000000002E-2"/>
    <n v="0"/>
    <n v="0"/>
    <n v="0"/>
    <n v="3"/>
    <n v="1.6923076923076923"/>
    <n v="2940102000.5779233"/>
    <n v="98516033.188595653"/>
    <n v="32323075433"/>
  </r>
  <r>
    <x v="3"/>
    <s v="4-6 kilometres"/>
    <x v="1"/>
    <n v="0.13"/>
    <n v="0"/>
    <n v="0"/>
    <n v="4.9000000000000002E-2"/>
    <n v="0"/>
    <n v="0"/>
    <n v="5"/>
    <n v="1.6923076923076923"/>
    <n v="2940102000.5779233"/>
    <n v="158471497.83115008"/>
    <n v="32323075433"/>
  </r>
  <r>
    <x v="3"/>
    <s v="6-8 kilometres"/>
    <x v="1"/>
    <n v="6.4000000000000001E-2"/>
    <n v="0"/>
    <n v="0"/>
    <n v="0"/>
    <n v="4.4999999999999998E-2"/>
    <n v="0"/>
    <n v="7"/>
    <n v="1.6923076923076923"/>
    <n v="2940102000.5779233"/>
    <n v="100307233.79202464"/>
    <n v="32323075433"/>
  </r>
  <r>
    <x v="3"/>
    <s v="8+ kilometres"/>
    <x v="1"/>
    <n v="0.41899999999999998"/>
    <n v="0"/>
    <n v="0"/>
    <n v="0"/>
    <n v="0"/>
    <n v="7.9000000000000001E-2"/>
    <n v="38.99"/>
    <n v="1.6923076923076923"/>
    <n v="2940102000.5779233"/>
    <n v="6421493917.9952888"/>
    <n v="32323075433"/>
  </r>
  <r>
    <x v="3"/>
    <s v="&lt;2 kilometres"/>
    <x v="2"/>
    <n v="0.188"/>
    <n v="0.441"/>
    <n v="0"/>
    <n v="0"/>
    <n v="0"/>
    <n v="0"/>
    <n v="1"/>
    <n v="0.14743589743589744"/>
    <n v="2940102000.5779233"/>
    <n v="35938676.046602771"/>
    <n v="32323075433"/>
  </r>
  <r>
    <x v="3"/>
    <s v="2-4 kilometres"/>
    <x v="2"/>
    <n v="0.2"/>
    <n v="0"/>
    <n v="0.214"/>
    <n v="0"/>
    <n v="0"/>
    <n v="0"/>
    <n v="3"/>
    <n v="0.14743589743589744"/>
    <n v="2940102000.5779233"/>
    <n v="55658392.487863615"/>
    <n v="32323075433"/>
  </r>
  <r>
    <x v="3"/>
    <s v="4-6 kilometres"/>
    <x v="2"/>
    <n v="0.13"/>
    <n v="0"/>
    <n v="0"/>
    <n v="0.114"/>
    <n v="0"/>
    <n v="0"/>
    <n v="5"/>
    <n v="0.14743589743589744"/>
    <n v="2940102000.5779233"/>
    <n v="32120614.356313821"/>
    <n v="32323075433"/>
  </r>
  <r>
    <x v="3"/>
    <s v="6-8 kilometres"/>
    <x v="2"/>
    <n v="6.4000000000000001E-2"/>
    <n v="0"/>
    <n v="0"/>
    <n v="0"/>
    <n v="5.7999999999999996E-2"/>
    <n v="0"/>
    <n v="7"/>
    <n v="0.14743589743589744"/>
    <n v="2940102000.5779233"/>
    <n v="11263455.37698324"/>
    <n v="32323075433"/>
  </r>
  <r>
    <x v="3"/>
    <s v="8+ kilometres"/>
    <x v="2"/>
    <n v="0.41899999999999998"/>
    <n v="0"/>
    <n v="0"/>
    <n v="0"/>
    <n v="0"/>
    <n v="9.0000000000000011E-3"/>
    <n v="38.99"/>
    <n v="0.14743589743589744"/>
    <n v="2940102000.5779233"/>
    <n v="63734620.302312285"/>
    <n v="32323075433"/>
  </r>
  <r>
    <x v="3"/>
    <s v="&lt;2 kilometres"/>
    <x v="3"/>
    <n v="0.188"/>
    <n v="0.01"/>
    <n v="0"/>
    <n v="0"/>
    <n v="0"/>
    <n v="0"/>
    <n v="1"/>
    <n v="1.1025641025641026"/>
    <n v="2940102000.5779233"/>
    <n v="6094303.7365825474"/>
    <n v="32323075433"/>
  </r>
  <r>
    <x v="3"/>
    <s v="2-4 kilometres"/>
    <x v="3"/>
    <n v="0.2"/>
    <n v="0"/>
    <n v="4.0999999999999995E-2"/>
    <n v="0"/>
    <n v="0"/>
    <n v="0"/>
    <n v="3"/>
    <n v="1.1025641025641026"/>
    <n v="2940102000.5779233"/>
    <n v="79744612.723367363"/>
    <n v="32323075433"/>
  </r>
  <r>
    <x v="3"/>
    <s v="4-6 kilometres"/>
    <x v="3"/>
    <n v="0.13"/>
    <n v="0"/>
    <n v="0"/>
    <n v="6.0999999999999999E-2"/>
    <n v="0"/>
    <n v="0"/>
    <n v="5"/>
    <n v="1.1025641025641026"/>
    <n v="2940102000.5779233"/>
    <n v="128531459.12526488"/>
    <n v="32323075433"/>
  </r>
  <r>
    <x v="3"/>
    <s v="6-8 kilometres"/>
    <x v="3"/>
    <n v="6.4000000000000001E-2"/>
    <n v="0"/>
    <n v="0"/>
    <n v="0"/>
    <n v="6.3E-2"/>
    <n v="0"/>
    <n v="7"/>
    <n v="1.1025641025641026"/>
    <n v="2940102000.5779233"/>
    <n v="91492355.670907333"/>
    <n v="32323075433"/>
  </r>
  <r>
    <x v="3"/>
    <s v="8+ kilometres"/>
    <x v="3"/>
    <n v="0.41899999999999998"/>
    <n v="0"/>
    <n v="0"/>
    <n v="0"/>
    <n v="0"/>
    <n v="5.2000000000000005E-2"/>
    <n v="38.99"/>
    <n v="1.1025641025641026"/>
    <n v="2940102000.5779233"/>
    <n v="2753828231.8061891"/>
    <n v="32323075433"/>
  </r>
  <r>
    <x v="3"/>
    <s v="&lt;2 kilometres"/>
    <x v="4"/>
    <n v="0.188"/>
    <n v="1.6E-2"/>
    <n v="0"/>
    <n v="0"/>
    <n v="0"/>
    <n v="0"/>
    <n v="1"/>
    <n v="0.42307692307692307"/>
    <n v="2940102000.5779233"/>
    <n v="3741619.0382739357"/>
    <n v="32323075433"/>
  </r>
  <r>
    <x v="3"/>
    <s v="2-4 kilometres"/>
    <x v="4"/>
    <n v="0.2"/>
    <n v="0"/>
    <n v="2.7000000000000003E-2"/>
    <n v="0"/>
    <n v="0"/>
    <n v="0"/>
    <n v="3"/>
    <n v="0.42307692307692307"/>
    <n v="2940102000.5779233"/>
    <n v="20151006.788576383"/>
    <n v="32323075433"/>
  </r>
  <r>
    <x v="3"/>
    <s v="4-6 kilometres"/>
    <x v="4"/>
    <n v="0.13"/>
    <n v="0"/>
    <n v="0"/>
    <n v="2.5000000000000001E-2"/>
    <n v="0"/>
    <n v="0"/>
    <n v="5"/>
    <n v="0.42307692307692307"/>
    <n v="2940102000.5779233"/>
    <n v="20213201.253973223"/>
    <n v="32323075433"/>
  </r>
  <r>
    <x v="3"/>
    <s v="6-8 kilometres"/>
    <x v="4"/>
    <n v="6.4000000000000001E-2"/>
    <n v="0"/>
    <n v="0"/>
    <n v="0"/>
    <n v="2.4E-2"/>
    <n v="0"/>
    <n v="7"/>
    <n v="0.42307692307692307"/>
    <n v="2940102000.5779233"/>
    <n v="13374297.838936621"/>
    <n v="32323075433"/>
  </r>
  <r>
    <x v="3"/>
    <s v="8+ kilometres"/>
    <x v="4"/>
    <n v="0.41899999999999998"/>
    <n v="0"/>
    <n v="0"/>
    <n v="0"/>
    <n v="0"/>
    <n v="6.9999999999999993E-3"/>
    <n v="38.99"/>
    <n v="0.42307692307692307"/>
    <n v="2940102000.5779233"/>
    <n v="142248282.99356651"/>
    <n v="32323075433"/>
  </r>
  <r>
    <x v="3"/>
    <s v="&lt;2 kilometres"/>
    <x v="5"/>
    <n v="0.188"/>
    <n v="0"/>
    <n v="0"/>
    <n v="0"/>
    <n v="0"/>
    <n v="0"/>
    <n v="1"/>
    <n v="2.0897435897435899"/>
    <n v="2940102000.5779233"/>
    <n v="0"/>
    <n v="32323075433"/>
  </r>
  <r>
    <x v="3"/>
    <s v="2-4 kilometres"/>
    <x v="5"/>
    <n v="0.2"/>
    <n v="0"/>
    <n v="5.0000000000000001E-3"/>
    <n v="0"/>
    <n v="0"/>
    <n v="0"/>
    <n v="3"/>
    <n v="2.0897435897435899"/>
    <n v="2940102000.5779233"/>
    <n v="18432177.926700059"/>
    <n v="32323075433"/>
  </r>
  <r>
    <x v="3"/>
    <s v="4-6 kilometres"/>
    <x v="5"/>
    <n v="0.13"/>
    <n v="0"/>
    <n v="0"/>
    <n v="8.0000000000000002E-3"/>
    <n v="0"/>
    <n v="0"/>
    <n v="5"/>
    <n v="2.0897435897435899"/>
    <n v="2940102000.5779233"/>
    <n v="31949108.406280104"/>
    <n v="32323075433"/>
  </r>
  <r>
    <x v="3"/>
    <s v="6-8 kilometres"/>
    <x v="5"/>
    <n v="6.4000000000000001E-2"/>
    <n v="0"/>
    <n v="0"/>
    <n v="0"/>
    <n v="1.8000000000000002E-2"/>
    <n v="0"/>
    <n v="7"/>
    <n v="2.0897435897435899"/>
    <n v="2940102000.5779233"/>
    <n v="49545694.266969763"/>
    <n v="32323075433"/>
  </r>
  <r>
    <x v="3"/>
    <s v="8+ kilometres"/>
    <x v="5"/>
    <n v="0.41899999999999998"/>
    <n v="0"/>
    <n v="0"/>
    <n v="0"/>
    <n v="0"/>
    <n v="2.6000000000000002E-2"/>
    <n v="38.99"/>
    <n v="2.0897435897435899"/>
    <n v="2940102000.5779233"/>
    <n v="2609732568.5140047"/>
    <n v="32323075433"/>
  </r>
  <r>
    <x v="3"/>
    <s v="&lt;2 kilometres"/>
    <x v="6"/>
    <n v="0.188"/>
    <n v="6.9999999999999993E-3"/>
    <n v="0"/>
    <n v="0"/>
    <n v="0"/>
    <n v="0"/>
    <n v="1"/>
    <n v="0.44871794871794873"/>
    <n v="2940102000.5779233"/>
    <n v="1736167.9249566558"/>
    <n v="32323075433"/>
  </r>
  <r>
    <x v="3"/>
    <s v="2-4 kilometres"/>
    <x v="6"/>
    <n v="0.2"/>
    <n v="0"/>
    <n v="0.01"/>
    <n v="0"/>
    <n v="0"/>
    <n v="0"/>
    <n v="3"/>
    <n v="0.44871794871794873"/>
    <n v="2940102000.5779233"/>
    <n v="7915659.2323251795"/>
    <n v="32323075433"/>
  </r>
  <r>
    <x v="3"/>
    <s v="4-6 kilometres"/>
    <x v="6"/>
    <n v="0.13"/>
    <n v="0"/>
    <n v="0"/>
    <n v="1.4999999999999999E-2"/>
    <n v="0"/>
    <n v="0"/>
    <n v="5"/>
    <n v="0.44871794871794873"/>
    <n v="2940102000.5779233"/>
    <n v="12862946.252528416"/>
    <n v="32323075433"/>
  </r>
  <r>
    <x v="3"/>
    <s v="6-8 kilometres"/>
    <x v="6"/>
    <n v="6.4000000000000001E-2"/>
    <n v="0"/>
    <n v="0"/>
    <n v="0"/>
    <n v="1.1000000000000001E-2"/>
    <n v="0"/>
    <n v="7"/>
    <n v="0.44871794871794873"/>
    <n v="2940102000.5779233"/>
    <n v="6501394.7828164138"/>
    <n v="32323075433"/>
  </r>
  <r>
    <x v="3"/>
    <s v="8+ kilometres"/>
    <x v="6"/>
    <n v="0.41899999999999998"/>
    <n v="0"/>
    <n v="0"/>
    <n v="0"/>
    <n v="0"/>
    <n v="6.9999999999999993E-3"/>
    <n v="38.99"/>
    <n v="0.44871794871794873"/>
    <n v="2940102000.5779233"/>
    <n v="150869391.05378267"/>
    <n v="32323075433"/>
  </r>
  <r>
    <x v="3"/>
    <s v="&lt;2 kilometres"/>
    <x v="7"/>
    <n v="0.188"/>
    <n v="1.3000000000000001E-2"/>
    <n v="0"/>
    <n v="0"/>
    <n v="0"/>
    <n v="0"/>
    <n v="1"/>
    <n v="1.7692307692307694"/>
    <n v="2940102000.5779233"/>
    <n v="12713001.050498944"/>
    <n v="32323075433"/>
  </r>
  <r>
    <x v="3"/>
    <s v="2-4 kilometres"/>
    <x v="7"/>
    <n v="0.2"/>
    <n v="0"/>
    <n v="1.3000000000000001E-2"/>
    <n v="0"/>
    <n v="0"/>
    <n v="0"/>
    <n v="3"/>
    <n v="1.7692307692307694"/>
    <n v="2940102000.5779233"/>
    <n v="40573407.607975349"/>
    <n v="32323075433"/>
  </r>
  <r>
    <x v="3"/>
    <s v="4-6 kilometres"/>
    <x v="7"/>
    <n v="0.13"/>
    <n v="0"/>
    <n v="0"/>
    <n v="2.2000000000000002E-2"/>
    <n v="0"/>
    <n v="0"/>
    <n v="5"/>
    <n v="1.7692307692307694"/>
    <n v="2940102000.5779233"/>
    <n v="74384580.61462149"/>
    <n v="32323075433"/>
  </r>
  <r>
    <x v="3"/>
    <s v="6-8 kilometres"/>
    <x v="7"/>
    <n v="6.4000000000000001E-2"/>
    <n v="0"/>
    <n v="0"/>
    <n v="0"/>
    <n v="2.7000000000000003E-2"/>
    <n v="0"/>
    <n v="7"/>
    <n v="1.7692307692307694"/>
    <n v="2940102000.5779233"/>
    <n v="62919992.10590639"/>
    <n v="32323075433"/>
  </r>
  <r>
    <x v="3"/>
    <s v="8+ kilometres"/>
    <x v="7"/>
    <n v="0.41899999999999998"/>
    <n v="0"/>
    <n v="0"/>
    <n v="0"/>
    <n v="0"/>
    <n v="3.7000000000000005E-2"/>
    <n v="38.99"/>
    <n v="1.7692307692307694"/>
    <n v="2940102000.5779233"/>
    <n v="3144241268.247406"/>
    <n v="32323075433"/>
  </r>
  <r>
    <x v="4"/>
    <s v="&lt;2 kilometres"/>
    <x v="0"/>
    <n v="0.255"/>
    <n v="0.503"/>
    <n v="0"/>
    <n v="0"/>
    <n v="0"/>
    <n v="0"/>
    <n v="1"/>
    <n v="1"/>
    <n v="3079198792.0558629"/>
    <n v="394953433.0630452"/>
    <n v="36171159701"/>
  </r>
  <r>
    <x v="4"/>
    <s v="2-4 kilometres"/>
    <x v="0"/>
    <n v="0.13400000000000001"/>
    <n v="0"/>
    <n v="0.66099999999999992"/>
    <n v="0"/>
    <n v="0"/>
    <n v="0"/>
    <n v="3"/>
    <n v="1"/>
    <n v="3079198792.0558629"/>
    <n v="818210861.4226681"/>
    <n v="36171159701"/>
  </r>
  <r>
    <x v="4"/>
    <s v="4-6 kilometres"/>
    <x v="0"/>
    <n v="0.11900000000000001"/>
    <n v="0"/>
    <n v="0"/>
    <n v="0.71900000000000008"/>
    <n v="0"/>
    <n v="0"/>
    <n v="5"/>
    <n v="1"/>
    <n v="3079198792.0558629"/>
    <n v="1317296639.2354586"/>
    <n v="36171159701"/>
  </r>
  <r>
    <x v="4"/>
    <s v="6-8 kilometres"/>
    <x v="0"/>
    <n v="5.9000000000000004E-2"/>
    <n v="0"/>
    <n v="0"/>
    <n v="0"/>
    <n v="0.75599999999999989"/>
    <n v="0"/>
    <n v="7"/>
    <n v="1"/>
    <n v="3079198792.0558629"/>
    <n v="961412080.44601798"/>
    <n v="36171159701"/>
  </r>
  <r>
    <x v="4"/>
    <s v="8+ kilometres"/>
    <x v="0"/>
    <n v="0.433"/>
    <n v="0"/>
    <n v="0"/>
    <n v="0"/>
    <n v="0"/>
    <n v="0.80200000000000005"/>
    <n v="41.2"/>
    <n v="1"/>
    <n v="3079198792.0558629"/>
    <n v="44055203166.149345"/>
    <n v="36171159701"/>
  </r>
  <r>
    <x v="4"/>
    <s v="&lt;2 kilometres"/>
    <x v="1"/>
    <n v="0.255"/>
    <n v="2.3E-2"/>
    <n v="0"/>
    <n v="0"/>
    <n v="0"/>
    <n v="0"/>
    <n v="1"/>
    <n v="1.6012269938650308"/>
    <n v="3079198792.0558629"/>
    <n v="28917360.361480944"/>
    <n v="36171159701"/>
  </r>
  <r>
    <x v="4"/>
    <s v="2-4 kilometres"/>
    <x v="1"/>
    <n v="0.13400000000000001"/>
    <n v="0"/>
    <n v="4.2999999999999997E-2"/>
    <n v="0"/>
    <n v="0"/>
    <n v="0"/>
    <n v="3"/>
    <n v="1.6012269938650308"/>
    <n v="3079198792.0558629"/>
    <n v="85228557.750820041"/>
    <n v="36171159701"/>
  </r>
  <r>
    <x v="4"/>
    <s v="4-6 kilometres"/>
    <x v="1"/>
    <n v="0.11900000000000001"/>
    <n v="0"/>
    <n v="0"/>
    <n v="4.4000000000000004E-2"/>
    <n v="0"/>
    <n v="0"/>
    <n v="5"/>
    <n v="1.6012269938650308"/>
    <n v="3079198792.0558629"/>
    <n v="129080391.1787845"/>
    <n v="36171159701"/>
  </r>
  <r>
    <x v="4"/>
    <s v="6-8 kilometres"/>
    <x v="1"/>
    <n v="5.9000000000000004E-2"/>
    <n v="0"/>
    <n v="0"/>
    <n v="0"/>
    <n v="0.03"/>
    <n v="0"/>
    <n v="7"/>
    <n v="1.6012269938650308"/>
    <n v="3079198792.0558629"/>
    <n v="61088848.23167073"/>
    <n v="36171159701"/>
  </r>
  <r>
    <x v="4"/>
    <s v="8+ kilometres"/>
    <x v="1"/>
    <n v="0.433"/>
    <n v="0"/>
    <n v="0"/>
    <n v="0"/>
    <n v="0"/>
    <n v="6.9000000000000006E-2"/>
    <n v="41.2"/>
    <n v="1.6012269938650308"/>
    <n v="3079198792.0558629"/>
    <n v="6069107551.8197107"/>
    <n v="36171159701"/>
  </r>
  <r>
    <x v="4"/>
    <s v="&lt;2 kilometres"/>
    <x v="2"/>
    <n v="0.255"/>
    <n v="0.43099999999999999"/>
    <n v="0"/>
    <n v="0"/>
    <n v="0"/>
    <n v="0"/>
    <n v="1"/>
    <n v="0.12269938650306748"/>
    <n v="3079198792.0558629"/>
    <n v="41523845.796429403"/>
    <n v="36171159701"/>
  </r>
  <r>
    <x v="4"/>
    <s v="2-4 kilometres"/>
    <x v="2"/>
    <n v="0.13400000000000001"/>
    <n v="0"/>
    <n v="0.17300000000000001"/>
    <n v="0"/>
    <n v="0"/>
    <n v="0"/>
    <n v="3"/>
    <n v="0.12269938650306748"/>
    <n v="3079198792.0558629"/>
    <n v="26275577.815008227"/>
    <n v="36171159701"/>
  </r>
  <r>
    <x v="4"/>
    <s v="4-6 kilometres"/>
    <x v="2"/>
    <n v="0.11900000000000001"/>
    <n v="0"/>
    <n v="0"/>
    <n v="6.3E-2"/>
    <n v="0"/>
    <n v="0"/>
    <n v="5"/>
    <n v="0.12269938650306748"/>
    <n v="3079198792.0558629"/>
    <n v="14162425.364443438"/>
    <n v="36171159701"/>
  </r>
  <r>
    <x v="4"/>
    <s v="6-8 kilometres"/>
    <x v="2"/>
    <n v="5.9000000000000004E-2"/>
    <n v="0"/>
    <n v="0"/>
    <n v="0"/>
    <n v="2.7000000000000003E-2"/>
    <n v="0"/>
    <n v="7"/>
    <n v="0.12269938650306748"/>
    <n v="3079198792.0558629"/>
    <n v="4213024.0159772923"/>
    <n v="36171159701"/>
  </r>
  <r>
    <x v="4"/>
    <s v="8+ kilometres"/>
    <x v="2"/>
    <n v="0.433"/>
    <n v="0"/>
    <n v="0"/>
    <n v="0"/>
    <n v="0"/>
    <n v="8.0000000000000002E-3"/>
    <n v="41.2"/>
    <n v="0.12269938650306748"/>
    <n v="3079198792.0558629"/>
    <n v="53920662.351666033"/>
    <n v="36171159701"/>
  </r>
  <r>
    <x v="4"/>
    <s v="&lt;2 kilometres"/>
    <x v="3"/>
    <n v="0.255"/>
    <n v="9.0000000000000011E-3"/>
    <n v="0"/>
    <n v="0"/>
    <n v="0"/>
    <n v="0"/>
    <n v="1"/>
    <n v="0.82208588957055218"/>
    <n v="3079198792.0558629"/>
    <n v="5809484.6903125132"/>
    <n v="36171159701"/>
  </r>
  <r>
    <x v="4"/>
    <s v="2-4 kilometres"/>
    <x v="3"/>
    <n v="0.13400000000000001"/>
    <n v="0"/>
    <n v="5.4000000000000006E-2"/>
    <n v="0"/>
    <n v="0"/>
    <n v="0"/>
    <n v="3"/>
    <n v="0.82208588957055218"/>
    <n v="3079198792.0558629"/>
    <n v="54950890.482485421"/>
    <n v="36171159701"/>
  </r>
  <r>
    <x v="4"/>
    <s v="4-6 kilometres"/>
    <x v="3"/>
    <n v="0.11900000000000001"/>
    <n v="0"/>
    <n v="0"/>
    <n v="8.3000000000000004E-2"/>
    <n v="0"/>
    <n v="0"/>
    <n v="5"/>
    <n v="0.82208588957055218"/>
    <n v="3079198792.0558629"/>
    <n v="125011503.89153962"/>
    <n v="36171159701"/>
  </r>
  <r>
    <x v="4"/>
    <s v="6-8 kilometres"/>
    <x v="3"/>
    <n v="5.9000000000000004E-2"/>
    <n v="0"/>
    <n v="0"/>
    <n v="0"/>
    <n v="9.4E-2"/>
    <n v="0"/>
    <n v="7"/>
    <n v="0.82208588957055218"/>
    <n v="3079198792.0558629"/>
    <n v="98272686.120833278"/>
    <n v="36171159701"/>
  </r>
  <r>
    <x v="4"/>
    <s v="8+ kilometres"/>
    <x v="3"/>
    <n v="0.433"/>
    <n v="0"/>
    <n v="0"/>
    <n v="0"/>
    <n v="0"/>
    <n v="3.9E-2"/>
    <n v="41.2"/>
    <n v="0.82208588957055218"/>
    <n v="3079198792.0558629"/>
    <n v="1761183634.0612919"/>
    <n v="36171159701"/>
  </r>
  <r>
    <x v="4"/>
    <s v="&lt;2 kilometres"/>
    <x v="4"/>
    <n v="0.255"/>
    <n v="1.6E-2"/>
    <n v="0"/>
    <n v="0"/>
    <n v="0"/>
    <n v="0"/>
    <n v="1"/>
    <n v="0.3987730061349693"/>
    <n v="3079198792.0558629"/>
    <n v="5009837.5438847542"/>
    <n v="36171159701"/>
  </r>
  <r>
    <x v="4"/>
    <s v="2-4 kilometres"/>
    <x v="4"/>
    <n v="0.13400000000000001"/>
    <n v="0"/>
    <n v="3.4000000000000002E-2"/>
    <n v="0"/>
    <n v="0"/>
    <n v="0"/>
    <n v="3"/>
    <n v="0.3987730061349693"/>
    <n v="3079198792.0558629"/>
    <n v="16782955.772013929"/>
    <n v="36171159701"/>
  </r>
  <r>
    <x v="4"/>
    <s v="4-6 kilometres"/>
    <x v="4"/>
    <n v="0.11900000000000001"/>
    <n v="0"/>
    <n v="0"/>
    <n v="3.6000000000000004E-2"/>
    <n v="0"/>
    <n v="0"/>
    <n v="5"/>
    <n v="0.3987730061349693"/>
    <n v="3079198792.0558629"/>
    <n v="26301647.105394959"/>
    <n v="36171159701"/>
  </r>
  <r>
    <x v="4"/>
    <s v="6-8 kilometres"/>
    <x v="4"/>
    <n v="5.9000000000000004E-2"/>
    <n v="0"/>
    <n v="0"/>
    <n v="0"/>
    <n v="2.4E-2"/>
    <n v="0"/>
    <n v="7"/>
    <n v="0.3987730061349693"/>
    <n v="3079198792.0558629"/>
    <n v="12170958.268378843"/>
    <n v="36171159701"/>
  </r>
  <r>
    <x v="4"/>
    <s v="8+ kilometres"/>
    <x v="4"/>
    <n v="0.433"/>
    <n v="0"/>
    <n v="0"/>
    <n v="0"/>
    <n v="0"/>
    <n v="6.9999999999999993E-3"/>
    <n v="41.2"/>
    <n v="0.3987730061349693"/>
    <n v="3079198792.0558629"/>
    <n v="153336883.56255028"/>
    <n v="36171159701"/>
  </r>
  <r>
    <x v="4"/>
    <s v="&lt;2 kilometres"/>
    <x v="5"/>
    <n v="0.255"/>
    <n v="1E-3"/>
    <n v="0"/>
    <n v="0"/>
    <n v="0"/>
    <n v="0"/>
    <n v="1"/>
    <n v="1.8650306748466257"/>
    <n v="3079198792.0558629"/>
    <n v="1464414.0512893896"/>
    <n v="36171159701"/>
  </r>
  <r>
    <x v="4"/>
    <s v="2-4 kilometres"/>
    <x v="5"/>
    <n v="0.13400000000000001"/>
    <n v="0"/>
    <n v="9.0000000000000011E-3"/>
    <n v="0"/>
    <n v="0"/>
    <n v="0"/>
    <n v="3"/>
    <n v="1.8650306748466257"/>
    <n v="3079198792.0558629"/>
    <n v="20777451.127705928"/>
    <n v="36171159701"/>
  </r>
  <r>
    <x v="4"/>
    <s v="4-6 kilometres"/>
    <x v="5"/>
    <n v="0.11900000000000001"/>
    <n v="0"/>
    <n v="0"/>
    <n v="1.4999999999999999E-2"/>
    <n v="0"/>
    <n v="0"/>
    <n v="5"/>
    <n v="1.8650306748466257"/>
    <n v="3079198792.0558629"/>
    <n v="51254491.795128629"/>
    <n v="36171159701"/>
  </r>
  <r>
    <x v="4"/>
    <s v="6-8 kilometres"/>
    <x v="5"/>
    <n v="5.9000000000000004E-2"/>
    <n v="0"/>
    <n v="0"/>
    <n v="0"/>
    <n v="2.3E-2"/>
    <n v="0"/>
    <n v="7"/>
    <n v="1.8650306748466257"/>
    <n v="3079198792.0558629"/>
    <n v="54550859.110580042"/>
    <n v="36171159701"/>
  </r>
  <r>
    <x v="4"/>
    <s v="8+ kilometres"/>
    <x v="5"/>
    <n v="0.433"/>
    <n v="0"/>
    <n v="0"/>
    <n v="0"/>
    <n v="0"/>
    <n v="1.9E-2"/>
    <n v="41.2"/>
    <n v="1.8650306748466257"/>
    <n v="3079198792.0558629"/>
    <n v="1946535910.895144"/>
    <n v="36171159701"/>
  </r>
  <r>
    <x v="4"/>
    <s v="&lt;2 kilometres"/>
    <x v="6"/>
    <n v="0.255"/>
    <n v="5.0000000000000001E-3"/>
    <n v="0"/>
    <n v="0"/>
    <n v="0"/>
    <n v="0"/>
    <n v="1"/>
    <n v="0.52760736196319014"/>
    <n v="3079198792.0558629"/>
    <n v="2071375.1383369656"/>
    <n v="36171159701"/>
  </r>
  <r>
    <x v="4"/>
    <s v="2-4 kilometres"/>
    <x v="6"/>
    <n v="0.13400000000000001"/>
    <n v="0"/>
    <n v="0.01"/>
    <n v="0"/>
    <n v="0"/>
    <n v="0"/>
    <n v="3"/>
    <n v="0.52760736196319014"/>
    <n v="3079198792.0558629"/>
    <n v="6530923.9655800788"/>
    <n v="36171159701"/>
  </r>
  <r>
    <x v="4"/>
    <s v="4-6 kilometres"/>
    <x v="6"/>
    <n v="0.11900000000000001"/>
    <n v="0"/>
    <n v="0"/>
    <n v="1.6E-2"/>
    <n v="0"/>
    <n v="0"/>
    <n v="5"/>
    <n v="0.52760736196319014"/>
    <n v="3079198792.0558629"/>
    <n v="15466267.699582675"/>
    <n v="36171159701"/>
  </r>
  <r>
    <x v="4"/>
    <s v="6-8 kilometres"/>
    <x v="6"/>
    <n v="5.9000000000000004E-2"/>
    <n v="0"/>
    <n v="0"/>
    <n v="0"/>
    <n v="6.9999999999999993E-3"/>
    <n v="0"/>
    <n v="7"/>
    <n v="0.52760736196319014"/>
    <n v="3079198792.0558629"/>
    <n v="4696741.5881820917"/>
    <n v="36171159701"/>
  </r>
  <r>
    <x v="4"/>
    <s v="8+ kilometres"/>
    <x v="6"/>
    <n v="0.433"/>
    <n v="0"/>
    <n v="0"/>
    <n v="0"/>
    <n v="0"/>
    <n v="6.0000000000000001E-3"/>
    <n v="41.2"/>
    <n v="0.52760736196319014"/>
    <n v="3079198792.0558629"/>
    <n v="173894136.08412296"/>
    <n v="36171159701"/>
  </r>
  <r>
    <x v="4"/>
    <s v="&lt;2 kilometres"/>
    <x v="7"/>
    <n v="0.255"/>
    <n v="1.2E-2"/>
    <n v="0"/>
    <n v="0"/>
    <n v="0"/>
    <n v="0"/>
    <n v="1"/>
    <n v="1.4969325153374231"/>
    <n v="3079198792.0558629"/>
    <n v="14104619.546629382"/>
    <n v="36171159701"/>
  </r>
  <r>
    <x v="4"/>
    <s v="2-4 kilometres"/>
    <x v="7"/>
    <n v="0.13400000000000001"/>
    <n v="0"/>
    <n v="1.6E-2"/>
    <n v="0"/>
    <n v="0"/>
    <n v="0"/>
    <n v="3"/>
    <n v="1.4969325153374231"/>
    <n v="3079198792.0558629"/>
    <n v="29647357.164679796"/>
    <n v="36171159701"/>
  </r>
  <r>
    <x v="4"/>
    <s v="4-6 kilometres"/>
    <x v="7"/>
    <n v="0.11900000000000001"/>
    <n v="0"/>
    <n v="0"/>
    <n v="2.3E-2"/>
    <n v="0"/>
    <n v="0"/>
    <n v="5"/>
    <n v="1.4969325153374231"/>
    <n v="3079198792.0558629"/>
    <n v="63078992.972425841"/>
    <n v="36171159701"/>
  </r>
  <r>
    <x v="4"/>
    <s v="6-8 kilometres"/>
    <x v="7"/>
    <n v="5.9000000000000004E-2"/>
    <n v="0"/>
    <n v="0"/>
    <n v="0"/>
    <n v="0.04"/>
    <n v="0"/>
    <n v="7"/>
    <n v="1.4969325153374231"/>
    <n v="3079198792.0558629"/>
    <n v="76146508.140626594"/>
    <n v="36171159701"/>
  </r>
  <r>
    <x v="4"/>
    <s v="8+ kilometres"/>
    <x v="7"/>
    <n v="0.433"/>
    <n v="0"/>
    <n v="0"/>
    <n v="0"/>
    <n v="0"/>
    <n v="4.9000000000000002E-2"/>
    <n v="41.2"/>
    <n v="1.4969325153374231"/>
    <n v="3079198792.0558629"/>
    <n v="4029221494.2282443"/>
    <n v="36171159701"/>
  </r>
  <r>
    <x v="5"/>
    <s v="&lt;2 kilometres"/>
    <x v="0"/>
    <n v="0.28600000000000003"/>
    <n v="0.51400000000000001"/>
    <n v="0"/>
    <n v="0"/>
    <n v="0"/>
    <n v="0"/>
    <n v="1"/>
    <n v="1"/>
    <n v="5369880000"/>
    <n v="789393839.5200001"/>
    <n v="36195324272"/>
  </r>
  <r>
    <x v="5"/>
    <s v="2-4 kilometres"/>
    <x v="0"/>
    <n v="0.15"/>
    <n v="0"/>
    <n v="0.66099999999999992"/>
    <n v="0"/>
    <n v="0"/>
    <n v="0"/>
    <n v="3"/>
    <n v="1"/>
    <n v="5369880000"/>
    <n v="1597270806"/>
    <n v="36195324272"/>
  </r>
  <r>
    <x v="5"/>
    <s v="4-6 kilometres"/>
    <x v="0"/>
    <n v="0.125"/>
    <n v="0"/>
    <n v="0"/>
    <n v="0.70641282565130259"/>
    <n v="0"/>
    <n v="0"/>
    <n v="5"/>
    <n v="1"/>
    <n v="5369880000"/>
    <n v="2370845065.1302605"/>
    <n v="36195324272"/>
  </r>
  <r>
    <x v="5"/>
    <s v="6-8 kilometres"/>
    <x v="0"/>
    <n v="7.0000000000000007E-2"/>
    <n v="0"/>
    <n v="0"/>
    <n v="0"/>
    <n v="0.70599999999999996"/>
    <n v="0"/>
    <n v="7"/>
    <n v="1"/>
    <n v="5369880000"/>
    <n v="1857656287.1999998"/>
    <n v="36195324272"/>
  </r>
  <r>
    <x v="5"/>
    <s v="8+ kilometres"/>
    <x v="0"/>
    <n v="0.36799999999999999"/>
    <n v="0"/>
    <n v="0"/>
    <n v="0"/>
    <n v="0"/>
    <n v="0.71900000000000008"/>
    <n v="25.7"/>
    <n v="1"/>
    <n v="5369880000"/>
    <n v="36515261326.272003"/>
    <n v="36195324272"/>
  </r>
  <r>
    <x v="5"/>
    <s v="&lt;2 kilometres"/>
    <x v="1"/>
    <n v="0.28600000000000003"/>
    <n v="5.4000000000000006E-2"/>
    <n v="0"/>
    <n v="0"/>
    <n v="0"/>
    <n v="0"/>
    <n v="1"/>
    <n v="1.5073529411764706"/>
    <n v="5369880000"/>
    <n v="125008437.33529414"/>
    <n v="36195324272"/>
  </r>
  <r>
    <x v="5"/>
    <s v="2-4 kilometres"/>
    <x v="1"/>
    <n v="0.15"/>
    <n v="0"/>
    <n v="6.5000000000000002E-2"/>
    <n v="0"/>
    <n v="0"/>
    <n v="0"/>
    <n v="3"/>
    <n v="1.5073529411764706"/>
    <n v="5369880000"/>
    <n v="236758404.0441176"/>
    <n v="36195324272"/>
  </r>
  <r>
    <x v="5"/>
    <s v="4-6 kilometres"/>
    <x v="1"/>
    <n v="0.125"/>
    <n v="0"/>
    <n v="0"/>
    <n v="8.5170340681362727E-2"/>
    <n v="0"/>
    <n v="0"/>
    <n v="5"/>
    <n v="1.5073529411764706"/>
    <n v="5369880000"/>
    <n v="430871665.2054109"/>
    <n v="36195324272"/>
  </r>
  <r>
    <x v="5"/>
    <s v="6-8 kilometres"/>
    <x v="1"/>
    <n v="7.0000000000000007E-2"/>
    <n v="0"/>
    <n v="0"/>
    <n v="0"/>
    <n v="7.0000000000000007E-2"/>
    <n v="0"/>
    <n v="7"/>
    <n v="1.5073529411764706"/>
    <n v="5369880000"/>
    <n v="277634641.32352948"/>
    <n v="36195324272"/>
  </r>
  <r>
    <x v="5"/>
    <s v="8+ kilometres"/>
    <x v="1"/>
    <n v="0.36799999999999999"/>
    <n v="0"/>
    <n v="0"/>
    <n v="0"/>
    <n v="0"/>
    <n v="0.127"/>
    <n v="25.7"/>
    <n v="1.5073529411764706"/>
    <n v="5369880000"/>
    <n v="9722192062.3976479"/>
    <n v="36195324272"/>
  </r>
  <r>
    <x v="5"/>
    <s v="&lt;2 kilometres"/>
    <x v="2"/>
    <n v="0.28600000000000003"/>
    <n v="0.36099999999999999"/>
    <n v="0"/>
    <n v="0"/>
    <n v="0"/>
    <n v="0"/>
    <n v="1"/>
    <n v="0.1985294117647059"/>
    <n v="5369880000"/>
    <n v="110068404.58058825"/>
    <n v="36195324272"/>
  </r>
  <r>
    <x v="5"/>
    <s v="2-4 kilometres"/>
    <x v="2"/>
    <n v="0.15"/>
    <n v="0"/>
    <n v="0.126"/>
    <n v="0"/>
    <n v="0"/>
    <n v="0"/>
    <n v="3"/>
    <n v="0.1985294117647059"/>
    <n v="5369880000"/>
    <n v="60446685.970588244"/>
    <n v="36195324272"/>
  </r>
  <r>
    <x v="5"/>
    <s v="4-6 kilometres"/>
    <x v="2"/>
    <n v="0.125"/>
    <n v="0"/>
    <n v="0"/>
    <n v="5.5110220440881763E-2"/>
    <n v="0"/>
    <n v="0"/>
    <n v="5"/>
    <n v="0.1985294117647059"/>
    <n v="5369880000"/>
    <n v="36719909.488093838"/>
    <n v="36195324272"/>
  </r>
  <r>
    <x v="5"/>
    <s v="6-8 kilometres"/>
    <x v="2"/>
    <n v="7.0000000000000007E-2"/>
    <n v="0"/>
    <n v="0"/>
    <n v="0"/>
    <n v="4.9000000000000002E-2"/>
    <n v="0"/>
    <n v="7"/>
    <n v="0.1985294117647059"/>
    <n v="5369880000"/>
    <n v="25596559.614705887"/>
    <n v="36195324272"/>
  </r>
  <r>
    <x v="5"/>
    <s v="8+ kilometres"/>
    <x v="2"/>
    <n v="0.36799999999999999"/>
    <n v="0"/>
    <n v="0"/>
    <n v="0"/>
    <n v="0"/>
    <n v="6.9999999999999993E-3"/>
    <n v="25.7"/>
    <n v="0.1985294117647059"/>
    <n v="5369880000"/>
    <n v="70577849.041411757"/>
    <n v="36195324272"/>
  </r>
  <r>
    <x v="5"/>
    <s v="&lt;2 kilometres"/>
    <x v="3"/>
    <n v="0.28600000000000003"/>
    <n v="1.7000000000000001E-2"/>
    <n v="0"/>
    <n v="0"/>
    <n v="0"/>
    <n v="0"/>
    <n v="1"/>
    <n v="1.1985294117647061"/>
    <n v="5369880000"/>
    <n v="31291633.230000008"/>
    <n v="36195324272"/>
  </r>
  <r>
    <x v="5"/>
    <s v="2-4 kilometres"/>
    <x v="3"/>
    <n v="0.15"/>
    <n v="0"/>
    <n v="8.1000000000000003E-2"/>
    <n v="0"/>
    <n v="0"/>
    <n v="0"/>
    <n v="3"/>
    <n v="1.1985294117647061"/>
    <n v="5369880000"/>
    <n v="234590709.83823529"/>
    <n v="36195324272"/>
  </r>
  <r>
    <x v="5"/>
    <s v="4-6 kilometres"/>
    <x v="3"/>
    <n v="0.125"/>
    <n v="0"/>
    <n v="0"/>
    <n v="6.7134268537074146E-2"/>
    <n v="0"/>
    <n v="0"/>
    <n v="5"/>
    <n v="1.1985294117647061"/>
    <n v="5369880000"/>
    <n v="270045879.81109279"/>
    <n v="36195324272"/>
  </r>
  <r>
    <x v="5"/>
    <s v="6-8 kilometres"/>
    <x v="3"/>
    <n v="7.0000000000000007E-2"/>
    <n v="0"/>
    <n v="0"/>
    <n v="0"/>
    <n v="7.8E-2"/>
    <n v="0"/>
    <n v="7"/>
    <n v="1.1985294117647061"/>
    <n v="5369880000"/>
    <n v="245982357.47647065"/>
    <n v="36195324272"/>
  </r>
  <r>
    <x v="5"/>
    <s v="8+ kilometres"/>
    <x v="3"/>
    <n v="0.36799999999999999"/>
    <n v="0"/>
    <n v="0"/>
    <n v="0"/>
    <n v="0"/>
    <n v="4.7E-2"/>
    <n v="25.7"/>
    <n v="1.1985294117647061"/>
    <n v="5369880000"/>
    <n v="2860830166.6997647"/>
    <n v="36195324272"/>
  </r>
  <r>
    <x v="5"/>
    <s v="&lt;2 kilometres"/>
    <x v="4"/>
    <n v="0.28600000000000003"/>
    <n v="0.02"/>
    <n v="0"/>
    <n v="0"/>
    <n v="0"/>
    <n v="0"/>
    <n v="1"/>
    <n v="0.41911764705882354"/>
    <n v="5369880000"/>
    <n v="12873497.611764709"/>
    <n v="36195324272"/>
  </r>
  <r>
    <x v="5"/>
    <s v="2-4 kilometres"/>
    <x v="4"/>
    <n v="0.15"/>
    <n v="0"/>
    <n v="2.3E-2"/>
    <n v="0"/>
    <n v="0"/>
    <n v="0"/>
    <n v="3"/>
    <n v="0.41911764705882354"/>
    <n v="5369880000"/>
    <n v="23293828.720588237"/>
    <n v="36195324272"/>
  </r>
  <r>
    <x v="5"/>
    <s v="4-6 kilometres"/>
    <x v="4"/>
    <n v="0.125"/>
    <n v="0"/>
    <n v="0"/>
    <n v="1.6032064128256515E-2"/>
    <n v="0"/>
    <n v="0"/>
    <n v="5"/>
    <n v="0.41911764705882354"/>
    <n v="5369880000"/>
    <n v="22551217.140162684"/>
    <n v="36195324272"/>
  </r>
  <r>
    <x v="5"/>
    <s v="6-8 kilometres"/>
    <x v="4"/>
    <n v="7.0000000000000007E-2"/>
    <n v="0"/>
    <n v="0"/>
    <n v="0"/>
    <n v="2.3E-2"/>
    <n v="0"/>
    <n v="7"/>
    <n v="0.41911764705882354"/>
    <n v="5369880000"/>
    <n v="25364391.27352941"/>
    <n v="36195324272"/>
  </r>
  <r>
    <x v="5"/>
    <s v="8+ kilometres"/>
    <x v="4"/>
    <n v="0.36799999999999999"/>
    <n v="0"/>
    <n v="0"/>
    <n v="0"/>
    <n v="0"/>
    <n v="6.9999999999999993E-3"/>
    <n v="25.7"/>
    <n v="0.41911764705882354"/>
    <n v="5369880000"/>
    <n v="148997681.30964705"/>
    <n v="36195324272"/>
  </r>
  <r>
    <x v="5"/>
    <s v="&lt;2 kilometres"/>
    <x v="5"/>
    <n v="0.28600000000000003"/>
    <n v="2E-3"/>
    <n v="0"/>
    <n v="0"/>
    <n v="0"/>
    <n v="0"/>
    <n v="1"/>
    <n v="2.375"/>
    <n v="5369880000"/>
    <n v="7294981.9800000004"/>
    <n v="36195324272"/>
  </r>
  <r>
    <x v="5"/>
    <s v="2-4 kilometres"/>
    <x v="5"/>
    <n v="0.15"/>
    <n v="0"/>
    <n v="1.2E-2"/>
    <n v="0"/>
    <n v="0"/>
    <n v="0"/>
    <n v="3"/>
    <n v="2.375"/>
    <n v="5369880000"/>
    <n v="68868711"/>
    <n v="36195324272"/>
  </r>
  <r>
    <x v="5"/>
    <s v="4-6 kilometres"/>
    <x v="5"/>
    <n v="0.125"/>
    <n v="0"/>
    <n v="0"/>
    <n v="2.1042084168336674E-2"/>
    <n v="0"/>
    <n v="0"/>
    <n v="5"/>
    <n v="2.375"/>
    <n v="5369880000"/>
    <n v="167724677.47995991"/>
    <n v="36195324272"/>
  </r>
  <r>
    <x v="5"/>
    <s v="6-8 kilometres"/>
    <x v="5"/>
    <n v="7.0000000000000007E-2"/>
    <n v="0"/>
    <n v="0"/>
    <n v="0"/>
    <n v="3.3000000000000002E-2"/>
    <n v="0"/>
    <n v="7"/>
    <n v="2.375"/>
    <n v="5369880000"/>
    <n v="206223529.05000004"/>
    <n v="36195324272"/>
  </r>
  <r>
    <x v="5"/>
    <s v="8+ kilometres"/>
    <x v="5"/>
    <n v="0.36799999999999999"/>
    <n v="0"/>
    <n v="0"/>
    <n v="0"/>
    <n v="0"/>
    <n v="2.8999999999999998E-2"/>
    <n v="25.7"/>
    <n v="2.375"/>
    <n v="5369880000"/>
    <n v="3497897946.9359999"/>
    <n v="36195324272"/>
  </r>
  <r>
    <x v="5"/>
    <s v="&lt;2 kilometres"/>
    <x v="6"/>
    <n v="0.28600000000000003"/>
    <n v="8.0000000000000002E-3"/>
    <n v="0"/>
    <n v="0"/>
    <n v="0"/>
    <n v="0"/>
    <n v="1"/>
    <n v="0.7720588235294118"/>
    <n v="5369880000"/>
    <n v="9485735.0823529419"/>
    <n v="36195324272"/>
  </r>
  <r>
    <x v="5"/>
    <s v="2-4 kilometres"/>
    <x v="6"/>
    <n v="0.15"/>
    <n v="0"/>
    <n v="1.7000000000000001E-2"/>
    <n v="0"/>
    <n v="0"/>
    <n v="0"/>
    <n v="3"/>
    <n v="0.7720588235294118"/>
    <n v="5369880000"/>
    <n v="31715853.750000004"/>
    <n v="36195324272"/>
  </r>
  <r>
    <x v="5"/>
    <s v="4-6 kilometres"/>
    <x v="6"/>
    <n v="0.125"/>
    <n v="0"/>
    <n v="0"/>
    <n v="1.4028056112224447E-2"/>
    <n v="0"/>
    <n v="0"/>
    <n v="5"/>
    <n v="0.7720588235294118"/>
    <n v="5369880000"/>
    <n v="36349001.311446413"/>
    <n v="36195324272"/>
  </r>
  <r>
    <x v="5"/>
    <s v="6-8 kilometres"/>
    <x v="6"/>
    <n v="7.0000000000000007E-2"/>
    <n v="0"/>
    <n v="0"/>
    <n v="0"/>
    <n v="1.3999999999999999E-2"/>
    <n v="0"/>
    <n v="7"/>
    <n v="0.7720588235294118"/>
    <n v="5369880000"/>
    <n v="28440621.794117648"/>
    <n v="36195324272"/>
  </r>
  <r>
    <x v="5"/>
    <s v="8+ kilometres"/>
    <x v="6"/>
    <n v="0.36799999999999999"/>
    <n v="0"/>
    <n v="0"/>
    <n v="0"/>
    <n v="0"/>
    <n v="5.0000000000000001E-3"/>
    <n v="25.7"/>
    <n v="0.7720588235294118"/>
    <n v="5369880000"/>
    <n v="196049580.67058823"/>
    <n v="36195324272"/>
  </r>
  <r>
    <x v="5"/>
    <s v="&lt;2 kilometres"/>
    <x v="7"/>
    <n v="0.28600000000000003"/>
    <n v="2.4E-2"/>
    <n v="0"/>
    <n v="0"/>
    <n v="0"/>
    <n v="0"/>
    <n v="1"/>
    <n v="1.0073529411764706"/>
    <n v="5369880000"/>
    <n v="37129877.322352946"/>
    <n v="36195324272"/>
  </r>
  <r>
    <x v="5"/>
    <s v="2-4 kilometres"/>
    <x v="7"/>
    <n v="0.15"/>
    <n v="0"/>
    <n v="1.6E-2"/>
    <n v="0"/>
    <n v="0"/>
    <n v="0"/>
    <n v="3"/>
    <n v="1.0073529411764706"/>
    <n v="5369880000"/>
    <n v="38947423.764705881"/>
    <n v="36195324272"/>
  </r>
  <r>
    <x v="5"/>
    <s v="4-6 kilometres"/>
    <x v="7"/>
    <n v="0.125"/>
    <n v="0"/>
    <n v="0"/>
    <n v="3.5070140280561123E-2"/>
    <n v="0"/>
    <n v="0"/>
    <n v="5"/>
    <n v="1.0073529411764706"/>
    <n v="5369880000"/>
    <n v="118566980.46828951"/>
    <n v="36195324272"/>
  </r>
  <r>
    <x v="5"/>
    <s v="6-8 kilometres"/>
    <x v="7"/>
    <n v="7.0000000000000007E-2"/>
    <n v="0"/>
    <n v="0"/>
    <n v="0"/>
    <n v="2.7000000000000003E-2"/>
    <n v="0"/>
    <n v="7"/>
    <n v="1.0073529411764706"/>
    <n v="5369880000"/>
    <n v="71565891.167647079"/>
    <n v="36195324272"/>
  </r>
  <r>
    <x v="5"/>
    <s v="8+ kilometres"/>
    <x v="7"/>
    <n v="0.36799999999999999"/>
    <n v="0"/>
    <n v="0"/>
    <n v="0"/>
    <n v="0"/>
    <n v="0.06"/>
    <n v="25.7"/>
    <n v="1.0073529411764706"/>
    <n v="5369880000"/>
    <n v="3069576291.6423531"/>
    <n v="3619532427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">
  <r>
    <x v="0"/>
    <s v="&lt;2 kilometres"/>
    <s v="Private car - Driver"/>
    <n v="0.22"/>
    <n v="0.4"/>
    <n v="0"/>
    <n v="0"/>
    <n v="0"/>
    <n v="0"/>
    <n v="1"/>
    <n v="1"/>
    <n v="4007543571.4285707"/>
    <x v="0"/>
    <n v="32873713915"/>
  </r>
  <r>
    <x v="0"/>
    <s v="2-4 kilometres"/>
    <s v="Private car - Driver"/>
    <n v="0.19"/>
    <n v="0"/>
    <n v="0.63366336633663367"/>
    <n v="0"/>
    <n v="0"/>
    <n v="0"/>
    <n v="3"/>
    <n v="1"/>
    <n v="4007543571.4285707"/>
    <x v="1"/>
    <n v="32873713915"/>
  </r>
  <r>
    <x v="0"/>
    <s v="4-6 kilometres"/>
    <s v="Private car - Driver"/>
    <n v="0.11"/>
    <n v="0"/>
    <n v="0"/>
    <n v="0.71717171717171724"/>
    <n v="0"/>
    <n v="0"/>
    <n v="5"/>
    <n v="1"/>
    <n v="4007543571.4285707"/>
    <x v="2"/>
    <n v="32873713915"/>
  </r>
  <r>
    <x v="0"/>
    <s v="6-8 kilometres"/>
    <s v="Private car - Driver"/>
    <n v="0.06"/>
    <n v="0"/>
    <n v="0"/>
    <n v="0"/>
    <n v="0.71717171717171724"/>
    <n v="0"/>
    <n v="7"/>
    <n v="1"/>
    <n v="4007543571.4285707"/>
    <x v="3"/>
    <n v="32873713915"/>
  </r>
  <r>
    <x v="0"/>
    <s v="8+ kilometres"/>
    <s v="Private car - Driver"/>
    <n v="0.41"/>
    <n v="0"/>
    <n v="0"/>
    <n v="0"/>
    <n v="0"/>
    <n v="0.74"/>
    <n v="30.1"/>
    <n v="1"/>
    <n v="4007543571.4285707"/>
    <x v="4"/>
    <n v="32873713915"/>
  </r>
  <r>
    <x v="0"/>
    <s v="&lt;2 kilometres"/>
    <s v="Private car - Passenger"/>
    <n v="0.22"/>
    <n v="0.05"/>
    <n v="0"/>
    <n v="0"/>
    <n v="0"/>
    <n v="0"/>
    <n v="1"/>
    <n v="1.2857142857142858"/>
    <n v="4007543571.4285707"/>
    <x v="5"/>
    <n v="32873713915"/>
  </r>
  <r>
    <x v="0"/>
    <s v="2-4 kilometres"/>
    <s v="Private car - Passenger"/>
    <n v="0.19"/>
    <n v="0"/>
    <n v="8.9108910891089119E-2"/>
    <n v="0"/>
    <n v="0"/>
    <n v="0"/>
    <n v="3"/>
    <n v="1.2857142857142858"/>
    <n v="4007543571.4285707"/>
    <x v="6"/>
    <n v="32873713915"/>
  </r>
  <r>
    <x v="0"/>
    <s v="4-6 kilometres"/>
    <s v="Private car - Passenger"/>
    <n v="0.11"/>
    <n v="0"/>
    <n v="0"/>
    <n v="9.0909090909090912E-2"/>
    <n v="0"/>
    <n v="0"/>
    <n v="5"/>
    <n v="1.2857142857142858"/>
    <n v="4007543571.4285707"/>
    <x v="7"/>
    <n v="32873713915"/>
  </r>
  <r>
    <x v="0"/>
    <s v="6-8 kilometres"/>
    <s v="Private car - Passenger"/>
    <n v="0.06"/>
    <n v="0"/>
    <n v="0"/>
    <n v="0"/>
    <n v="0.10101010101010101"/>
    <n v="0"/>
    <n v="7"/>
    <n v="1.2857142857142858"/>
    <n v="4007543571.4285707"/>
    <x v="8"/>
    <n v="32873713915"/>
  </r>
  <r>
    <x v="0"/>
    <s v="8+ kilometres"/>
    <s v="Private car - Passenger"/>
    <n v="0.41"/>
    <n v="0"/>
    <n v="0"/>
    <n v="0"/>
    <n v="0"/>
    <n v="0.11"/>
    <n v="30.1"/>
    <n v="1.2857142857142858"/>
    <n v="4007543571.4285707"/>
    <x v="9"/>
    <n v="32873713915"/>
  </r>
  <r>
    <x v="0"/>
    <s v="&lt;2 kilometres"/>
    <s v="Walk"/>
    <n v="0.22"/>
    <n v="0.51"/>
    <n v="0"/>
    <n v="0"/>
    <n v="0"/>
    <n v="0"/>
    <n v="1"/>
    <n v="0.14285714285714285"/>
    <n v="4007543571.4285707"/>
    <x v="10"/>
    <n v="32873713915"/>
  </r>
  <r>
    <x v="0"/>
    <s v="2-4 kilometres"/>
    <s v="Walk"/>
    <n v="0.19"/>
    <n v="0"/>
    <n v="0.17821782178217824"/>
    <n v="0"/>
    <n v="0"/>
    <n v="0"/>
    <n v="3"/>
    <n v="0.14285714285714285"/>
    <n v="4007543571.4285707"/>
    <x v="11"/>
    <n v="32873713915"/>
  </r>
  <r>
    <x v="0"/>
    <s v="4-6 kilometres"/>
    <s v="Walk"/>
    <n v="0.11"/>
    <n v="0"/>
    <n v="0"/>
    <n v="8.0808080808080815E-2"/>
    <n v="0"/>
    <n v="0"/>
    <n v="5"/>
    <n v="0.14285714285714285"/>
    <n v="4007543571.4285707"/>
    <x v="12"/>
    <n v="32873713915"/>
  </r>
  <r>
    <x v="0"/>
    <s v="6-8 kilometres"/>
    <s v="Walk"/>
    <n v="0.06"/>
    <n v="0"/>
    <n v="0"/>
    <n v="0"/>
    <n v="4.0404040404040407E-2"/>
    <n v="0"/>
    <n v="7"/>
    <n v="0.14285714285714285"/>
    <n v="4007543571.4285707"/>
    <x v="13"/>
    <n v="32873713915"/>
  </r>
  <r>
    <x v="0"/>
    <s v="8+ kilometres"/>
    <s v="Walk"/>
    <n v="0.41"/>
    <n v="0"/>
    <n v="0"/>
    <n v="0"/>
    <n v="0"/>
    <n v="0"/>
    <n v="30.1"/>
    <n v="0.14285714285714285"/>
    <n v="4007543571.4285707"/>
    <x v="14"/>
    <n v="32873713915"/>
  </r>
  <r>
    <x v="0"/>
    <s v="&lt;2 kilometres"/>
    <s v="Bus"/>
    <n v="0.22"/>
    <n v="0.01"/>
    <n v="0"/>
    <n v="0"/>
    <n v="0"/>
    <n v="0"/>
    <n v="1"/>
    <n v="1"/>
    <n v="4007543571.4285707"/>
    <x v="15"/>
    <n v="32873713915"/>
  </r>
  <r>
    <x v="0"/>
    <s v="2-4 kilometres"/>
    <s v="Bus"/>
    <n v="0.19"/>
    <n v="0"/>
    <n v="3.9603960396039604E-2"/>
    <n v="0"/>
    <n v="0"/>
    <n v="0"/>
    <n v="3"/>
    <n v="1"/>
    <n v="4007543571.4285707"/>
    <x v="16"/>
    <n v="32873713915"/>
  </r>
  <r>
    <x v="0"/>
    <s v="4-6 kilometres"/>
    <s v="Bus"/>
    <n v="0.11"/>
    <n v="0"/>
    <n v="0"/>
    <n v="6.0606060606060608E-2"/>
    <n v="0"/>
    <n v="0"/>
    <n v="5"/>
    <n v="1"/>
    <n v="4007543571.4285707"/>
    <x v="17"/>
    <n v="32873713915"/>
  </r>
  <r>
    <x v="0"/>
    <s v="6-8 kilometres"/>
    <s v="Bus"/>
    <n v="0.06"/>
    <n v="0"/>
    <n v="0"/>
    <n v="0"/>
    <n v="6.0606060606060608E-2"/>
    <n v="0"/>
    <n v="7"/>
    <n v="1"/>
    <n v="4007543571.4285707"/>
    <x v="18"/>
    <n v="32873713915"/>
  </r>
  <r>
    <x v="0"/>
    <s v="8+ kilometres"/>
    <s v="Bus"/>
    <n v="0.41"/>
    <n v="0"/>
    <n v="0"/>
    <n v="0"/>
    <n v="0"/>
    <n v="0.05"/>
    <n v="30.1"/>
    <n v="1"/>
    <n v="4007543571.4285707"/>
    <x v="19"/>
    <n v="32873713915"/>
  </r>
  <r>
    <x v="0"/>
    <s v="&lt;2 kilometres"/>
    <s v="Cycle"/>
    <n v="0.22"/>
    <n v="0.01"/>
    <n v="0"/>
    <n v="0"/>
    <n v="0"/>
    <n v="0"/>
    <n v="1"/>
    <n v="0.35714285714285715"/>
    <n v="4007543571.4285707"/>
    <x v="20"/>
    <n v="32873713915"/>
  </r>
  <r>
    <x v="0"/>
    <s v="2-4 kilometres"/>
    <s v="Cycle"/>
    <n v="0.19"/>
    <n v="0"/>
    <n v="1.9801980198019802E-2"/>
    <n v="0"/>
    <n v="0"/>
    <n v="0"/>
    <n v="3"/>
    <n v="0.35714285714285715"/>
    <n v="4007543571.4285707"/>
    <x v="21"/>
    <n v="32873713915"/>
  </r>
  <r>
    <x v="0"/>
    <s v="4-6 kilometres"/>
    <s v="Cycle"/>
    <n v="0.11"/>
    <n v="0"/>
    <n v="0"/>
    <n v="2.0202020202020204E-2"/>
    <n v="0"/>
    <n v="0"/>
    <n v="5"/>
    <n v="0.35714285714285715"/>
    <n v="4007543571.4285707"/>
    <x v="22"/>
    <n v="32873713915"/>
  </r>
  <r>
    <x v="0"/>
    <s v="6-8 kilometres"/>
    <s v="Cycle"/>
    <n v="0.06"/>
    <n v="0"/>
    <n v="0"/>
    <n v="0"/>
    <n v="2.0202020202020204E-2"/>
    <n v="0"/>
    <n v="7"/>
    <n v="0.35714285714285715"/>
    <n v="4007543571.4285707"/>
    <x v="23"/>
    <n v="32873713915"/>
  </r>
  <r>
    <x v="0"/>
    <s v="8+ kilometres"/>
    <s v="Cycle"/>
    <n v="0.41"/>
    <n v="0"/>
    <n v="0"/>
    <n v="0"/>
    <n v="0"/>
    <n v="0.01"/>
    <n v="30.1"/>
    <n v="0.35714285714285715"/>
    <n v="4007543571.4285707"/>
    <x v="24"/>
    <n v="32873713915"/>
  </r>
  <r>
    <x v="0"/>
    <s v="&lt;2 kilometres"/>
    <s v="Rail/Dart/Luas"/>
    <n v="0.22"/>
    <n v="0"/>
    <n v="0"/>
    <n v="0"/>
    <n v="0"/>
    <n v="0"/>
    <n v="1"/>
    <n v="1.8571428571428572"/>
    <n v="4007543571.4285707"/>
    <x v="14"/>
    <n v="32873713915"/>
  </r>
  <r>
    <x v="0"/>
    <s v="2-4 kilometres"/>
    <s v="Rail/Dart/Luas"/>
    <n v="0.19"/>
    <n v="0"/>
    <n v="0"/>
    <n v="0"/>
    <n v="0"/>
    <n v="0"/>
    <n v="3"/>
    <n v="1.8571428571428572"/>
    <n v="4007543571.4285707"/>
    <x v="14"/>
    <n v="32873713915"/>
  </r>
  <r>
    <x v="0"/>
    <s v="4-6 kilometres"/>
    <s v="Rail/Dart/Luas"/>
    <n v="0.11"/>
    <n v="0"/>
    <n v="0"/>
    <n v="0"/>
    <n v="0"/>
    <n v="0"/>
    <n v="5"/>
    <n v="1.8571428571428572"/>
    <n v="4007543571.4285707"/>
    <x v="14"/>
    <n v="32873713915"/>
  </r>
  <r>
    <x v="0"/>
    <s v="6-8 kilometres"/>
    <s v="Rail/Dart/Luas"/>
    <n v="0.06"/>
    <n v="0"/>
    <n v="0"/>
    <n v="0"/>
    <n v="0"/>
    <n v="0"/>
    <n v="7"/>
    <n v="1.8571428571428572"/>
    <n v="4007543571.4285707"/>
    <x v="14"/>
    <n v="32873713915"/>
  </r>
  <r>
    <x v="0"/>
    <s v="8+ kilometres"/>
    <s v="Rail/Dart/Luas"/>
    <n v="0.41"/>
    <n v="0"/>
    <n v="0"/>
    <n v="0"/>
    <n v="0"/>
    <n v="0.03"/>
    <n v="30.1"/>
    <n v="1.8571428571428572"/>
    <n v="4007543571.4285707"/>
    <x v="25"/>
    <n v="32873713915"/>
  </r>
  <r>
    <x v="0"/>
    <s v="&lt;2 kilometres"/>
    <s v="Taxi/hackney"/>
    <n v="0.22"/>
    <n v="0"/>
    <n v="0"/>
    <n v="0"/>
    <n v="0"/>
    <n v="0"/>
    <n v="1"/>
    <n v="0"/>
    <n v="4007543571.4285707"/>
    <x v="14"/>
    <n v="32873713915"/>
  </r>
  <r>
    <x v="0"/>
    <s v="2-4 kilometres"/>
    <s v="Taxi/hackney"/>
    <n v="0.19"/>
    <n v="0"/>
    <n v="0"/>
    <n v="0"/>
    <n v="0"/>
    <n v="0"/>
    <n v="3"/>
    <n v="0"/>
    <n v="4007543571.4285707"/>
    <x v="14"/>
    <n v="32873713915"/>
  </r>
  <r>
    <x v="0"/>
    <s v="4-6 kilometres"/>
    <s v="Taxi/hackney"/>
    <n v="0.11"/>
    <n v="0"/>
    <n v="0"/>
    <n v="0"/>
    <n v="0"/>
    <n v="0"/>
    <n v="5"/>
    <n v="0"/>
    <n v="4007543571.4285707"/>
    <x v="14"/>
    <n v="32873713915"/>
  </r>
  <r>
    <x v="0"/>
    <s v="6-8 kilometres"/>
    <s v="Taxi/hackney"/>
    <n v="0.06"/>
    <n v="0"/>
    <n v="0"/>
    <n v="0"/>
    <n v="0"/>
    <n v="0"/>
    <n v="7"/>
    <n v="0"/>
    <n v="4007543571.4285707"/>
    <x v="14"/>
    <n v="32873713915"/>
  </r>
  <r>
    <x v="0"/>
    <s v="8+ kilometres"/>
    <s v="Taxi/hackney"/>
    <n v="0.41"/>
    <n v="0"/>
    <n v="0"/>
    <n v="0"/>
    <n v="0"/>
    <n v="0"/>
    <n v="30.1"/>
    <n v="0"/>
    <n v="4007543571.4285707"/>
    <x v="14"/>
    <n v="32873713915"/>
  </r>
  <r>
    <x v="0"/>
    <s v="&lt;2 kilometres"/>
    <s v="Lorry/Motorcycle/Other"/>
    <n v="0.22"/>
    <n v="0.02"/>
    <n v="0"/>
    <n v="0"/>
    <n v="0"/>
    <n v="0"/>
    <n v="1"/>
    <n v="1.5714285714285714"/>
    <n v="4007543571.4285707"/>
    <x v="26"/>
    <n v="32873713915"/>
  </r>
  <r>
    <x v="0"/>
    <s v="2-4 kilometres"/>
    <s v="Lorry/Motorcycle/Other"/>
    <n v="0.19"/>
    <n v="0"/>
    <n v="3.9603960396039604E-2"/>
    <n v="0"/>
    <n v="0"/>
    <n v="0"/>
    <n v="3"/>
    <n v="1.5714285714285714"/>
    <n v="4007543571.4285707"/>
    <x v="27"/>
    <n v="32873713915"/>
  </r>
  <r>
    <x v="0"/>
    <s v="4-6 kilometres"/>
    <s v="Lorry/Motorcycle/Other"/>
    <n v="0.11"/>
    <n v="0"/>
    <n v="0"/>
    <n v="3.0303030303030304E-2"/>
    <n v="0"/>
    <n v="0"/>
    <n v="5"/>
    <n v="1.5714285714285714"/>
    <n v="4007543571.4285707"/>
    <x v="28"/>
    <n v="32873713915"/>
  </r>
  <r>
    <x v="0"/>
    <s v="6-8 kilometres"/>
    <s v="Lorry/Motorcycle/Other"/>
    <n v="0.06"/>
    <n v="0"/>
    <n v="0"/>
    <n v="0"/>
    <n v="6.0606060606060608E-2"/>
    <n v="0"/>
    <n v="7"/>
    <n v="1.5714285714285714"/>
    <n v="4007543571.4285707"/>
    <x v="29"/>
    <n v="32873713915"/>
  </r>
  <r>
    <x v="0"/>
    <s v="8+ kilometres"/>
    <s v="Lorry/Motorcycle/Other"/>
    <n v="0.41"/>
    <n v="0"/>
    <n v="0"/>
    <n v="0"/>
    <n v="0"/>
    <n v="7.0000000000000007E-2"/>
    <n v="30.1"/>
    <n v="1.5714285714285714"/>
    <n v="4007543571.4285707"/>
    <x v="30"/>
    <n v="32873713915"/>
  </r>
  <r>
    <x v="1"/>
    <s v="&lt;2 kilometres"/>
    <s v="Private car - Driver"/>
    <n v="0.223"/>
    <n v="0.51900000000000002"/>
    <n v="0"/>
    <n v="0"/>
    <n v="0"/>
    <n v="0"/>
    <n v="1"/>
    <n v="1"/>
    <n v="3165688023.0367908"/>
    <x v="31"/>
    <n v="29535056173"/>
  </r>
  <r>
    <x v="1"/>
    <s v="2-4 kilometres"/>
    <s v="Private car - Driver"/>
    <n v="0.182"/>
    <n v="0"/>
    <n v="0.69499999999999995"/>
    <n v="0"/>
    <n v="0"/>
    <n v="0"/>
    <n v="3"/>
    <n v="1"/>
    <n v="3165688023.0367908"/>
    <x v="32"/>
    <n v="29535056173"/>
  </r>
  <r>
    <x v="1"/>
    <s v="4-6 kilometres"/>
    <s v="Private car - Driver"/>
    <n v="0.11699999999999999"/>
    <n v="0"/>
    <n v="0"/>
    <n v="0.72599999999999998"/>
    <n v="0"/>
    <n v="0"/>
    <n v="5"/>
    <n v="1"/>
    <n v="3165688023.0367908"/>
    <x v="33"/>
    <n v="29535056173"/>
  </r>
  <r>
    <x v="1"/>
    <s v="6-8 kilometres"/>
    <s v="Private car - Driver"/>
    <n v="0.06"/>
    <n v="0"/>
    <n v="0"/>
    <n v="0"/>
    <n v="0.73099999999999998"/>
    <n v="0"/>
    <n v="7"/>
    <n v="1"/>
    <n v="3165688023.0367908"/>
    <x v="34"/>
    <n v="29535056173"/>
  </r>
  <r>
    <x v="1"/>
    <s v="8+ kilometres"/>
    <s v="Private car - Driver"/>
    <n v="0.41899999999999998"/>
    <n v="0"/>
    <n v="0"/>
    <n v="0"/>
    <n v="0"/>
    <n v="0.79700000000000004"/>
    <n v="31.75"/>
    <n v="1"/>
    <n v="3165688023.0367908"/>
    <x v="35"/>
    <n v="29535056173"/>
  </r>
  <r>
    <x v="1"/>
    <s v="&lt;2 kilometres"/>
    <s v="Private car - Passenger"/>
    <n v="0.223"/>
    <n v="3.2000000000000001E-2"/>
    <n v="0"/>
    <n v="0"/>
    <n v="0"/>
    <n v="0"/>
    <n v="1"/>
    <n v="1.7132867132867131"/>
    <n v="3165688023.0367908"/>
    <x v="36"/>
    <n v="29535056173"/>
  </r>
  <r>
    <x v="1"/>
    <s v="2-4 kilometres"/>
    <s v="Private car - Passenger"/>
    <n v="0.182"/>
    <n v="0"/>
    <n v="4.4999999999999998E-2"/>
    <n v="0"/>
    <n v="0"/>
    <n v="0"/>
    <n v="3"/>
    <n v="1.7132867132867131"/>
    <n v="3165688023.0367908"/>
    <x v="37"/>
    <n v="29535056173"/>
  </r>
  <r>
    <x v="1"/>
    <s v="4-6 kilometres"/>
    <s v="Private car - Passenger"/>
    <n v="0.11699999999999999"/>
    <n v="0"/>
    <n v="0"/>
    <n v="5.7000000000000002E-2"/>
    <n v="0"/>
    <n v="0"/>
    <n v="5"/>
    <n v="1.7132867132867131"/>
    <n v="3165688023.0367908"/>
    <x v="38"/>
    <n v="29535056173"/>
  </r>
  <r>
    <x v="1"/>
    <s v="6-8 kilometres"/>
    <s v="Private car - Passenger"/>
    <n v="0.06"/>
    <n v="0"/>
    <n v="0"/>
    <n v="0"/>
    <n v="5.7999999999999996E-2"/>
    <n v="0"/>
    <n v="7"/>
    <n v="1.7132867132867131"/>
    <n v="3165688023.0367908"/>
    <x v="39"/>
    <n v="29535056173"/>
  </r>
  <r>
    <x v="1"/>
    <s v="8+ kilometres"/>
    <s v="Private car - Passenger"/>
    <n v="0.41899999999999998"/>
    <n v="0"/>
    <n v="0"/>
    <n v="0"/>
    <n v="0"/>
    <n v="8.4000000000000005E-2"/>
    <n v="31.75"/>
    <n v="1.7132867132867131"/>
    <n v="3165688023.0367908"/>
    <x v="40"/>
    <n v="29535056173"/>
  </r>
  <r>
    <x v="1"/>
    <s v="&lt;2 kilometres"/>
    <s v="Walk"/>
    <n v="0.223"/>
    <n v="0.40700000000000003"/>
    <n v="0"/>
    <n v="0"/>
    <n v="0"/>
    <n v="0"/>
    <n v="1"/>
    <n v="0.12587412587412586"/>
    <n v="3165688023.0367908"/>
    <x v="41"/>
    <n v="29535056173"/>
  </r>
  <r>
    <x v="1"/>
    <s v="2-4 kilometres"/>
    <s v="Walk"/>
    <n v="0.182"/>
    <n v="0"/>
    <n v="0.16699999999999998"/>
    <n v="0"/>
    <n v="0"/>
    <n v="0"/>
    <n v="3"/>
    <n v="0.12587412587412586"/>
    <n v="3165688023.0367908"/>
    <x v="42"/>
    <n v="29535056173"/>
  </r>
  <r>
    <x v="1"/>
    <s v="4-6 kilometres"/>
    <s v="Walk"/>
    <n v="0.11699999999999999"/>
    <n v="0"/>
    <n v="0"/>
    <n v="8.199999999999999E-2"/>
    <n v="0"/>
    <n v="0"/>
    <n v="5"/>
    <n v="0.12587412587412586"/>
    <n v="3165688023.0367908"/>
    <x v="43"/>
    <n v="29535056173"/>
  </r>
  <r>
    <x v="1"/>
    <s v="6-8 kilometres"/>
    <s v="Walk"/>
    <n v="0.06"/>
    <n v="0"/>
    <n v="0"/>
    <n v="0"/>
    <n v="0.06"/>
    <n v="0"/>
    <n v="7"/>
    <n v="0.12587412587412586"/>
    <n v="3165688023.0367908"/>
    <x v="44"/>
    <n v="29535056173"/>
  </r>
  <r>
    <x v="1"/>
    <s v="8+ kilometres"/>
    <s v="Walk"/>
    <n v="0.41899999999999998"/>
    <n v="0"/>
    <n v="0"/>
    <n v="0"/>
    <n v="0"/>
    <n v="4.0000000000000001E-3"/>
    <n v="31.75"/>
    <n v="0.12587412587412586"/>
    <n v="3165688023.0367908"/>
    <x v="45"/>
    <n v="29535056173"/>
  </r>
  <r>
    <x v="1"/>
    <s v="&lt;2 kilometres"/>
    <s v="Bus"/>
    <n v="0.223"/>
    <n v="9.0000000000000011E-3"/>
    <n v="0"/>
    <n v="0"/>
    <n v="0"/>
    <n v="0"/>
    <n v="1"/>
    <n v="1.034965034965035"/>
    <n v="3165688023.0367908"/>
    <x v="46"/>
    <n v="29535056173"/>
  </r>
  <r>
    <x v="1"/>
    <s v="2-4 kilometres"/>
    <s v="Bus"/>
    <n v="0.182"/>
    <n v="0"/>
    <n v="3.6000000000000004E-2"/>
    <n v="0"/>
    <n v="0"/>
    <n v="0"/>
    <n v="3"/>
    <n v="1.034965034965035"/>
    <n v="3165688023.0367908"/>
    <x v="47"/>
    <n v="29535056173"/>
  </r>
  <r>
    <x v="1"/>
    <s v="4-6 kilometres"/>
    <s v="Bus"/>
    <n v="0.11699999999999999"/>
    <n v="0"/>
    <n v="0"/>
    <n v="6.8000000000000005E-2"/>
    <n v="0"/>
    <n v="0"/>
    <n v="5"/>
    <n v="1.034965034965035"/>
    <n v="3165688023.0367908"/>
    <x v="48"/>
    <n v="29535056173"/>
  </r>
  <r>
    <x v="1"/>
    <s v="6-8 kilometres"/>
    <s v="Bus"/>
    <n v="0.06"/>
    <n v="0"/>
    <n v="0"/>
    <n v="0"/>
    <n v="7.6999999999999999E-2"/>
    <n v="0"/>
    <n v="7"/>
    <n v="1.034965034965035"/>
    <n v="3165688023.0367908"/>
    <x v="49"/>
    <n v="29535056173"/>
  </r>
  <r>
    <x v="1"/>
    <s v="8+ kilometres"/>
    <s v="Bus"/>
    <n v="0.41899999999999998"/>
    <n v="0"/>
    <n v="0"/>
    <n v="0"/>
    <n v="0"/>
    <n v="4.2000000000000003E-2"/>
    <n v="31.75"/>
    <n v="1.034965034965035"/>
    <n v="3165688023.0367908"/>
    <x v="50"/>
    <n v="29535056173"/>
  </r>
  <r>
    <x v="1"/>
    <s v="&lt;2 kilometres"/>
    <s v="Cycle"/>
    <n v="0.223"/>
    <n v="0.01"/>
    <n v="0"/>
    <n v="0"/>
    <n v="0"/>
    <n v="0"/>
    <n v="1"/>
    <n v="0.4825174825174825"/>
    <n v="3165688023.0367908"/>
    <x v="51"/>
    <n v="29535056173"/>
  </r>
  <r>
    <x v="1"/>
    <s v="2-4 kilometres"/>
    <s v="Cycle"/>
    <n v="0.182"/>
    <n v="0"/>
    <n v="2.3E-2"/>
    <n v="0"/>
    <n v="0"/>
    <n v="0"/>
    <n v="3"/>
    <n v="0.4825174825174825"/>
    <n v="3165688023.0367908"/>
    <x v="52"/>
    <n v="29535056173"/>
  </r>
  <r>
    <x v="1"/>
    <s v="4-6 kilometres"/>
    <s v="Cycle"/>
    <n v="0.11699999999999999"/>
    <n v="0"/>
    <n v="0"/>
    <n v="1.7000000000000001E-2"/>
    <n v="0"/>
    <n v="0"/>
    <n v="5"/>
    <n v="0.4825174825174825"/>
    <n v="3165688023.0367908"/>
    <x v="53"/>
    <n v="29535056173"/>
  </r>
  <r>
    <x v="1"/>
    <s v="6-8 kilometres"/>
    <s v="Cycle"/>
    <n v="0.06"/>
    <n v="0"/>
    <n v="0"/>
    <n v="0"/>
    <n v="1.3999999999999999E-2"/>
    <n v="0"/>
    <n v="7"/>
    <n v="0.4825174825174825"/>
    <n v="3165688023.0367908"/>
    <x v="54"/>
    <n v="29535056173"/>
  </r>
  <r>
    <x v="1"/>
    <s v="8+ kilometres"/>
    <s v="Cycle"/>
    <n v="0.41899999999999998"/>
    <n v="0"/>
    <n v="0"/>
    <n v="0"/>
    <n v="0"/>
    <n v="6.0000000000000001E-3"/>
    <n v="31.75"/>
    <n v="0.4825174825174825"/>
    <n v="3165688023.0367908"/>
    <x v="55"/>
    <n v="29535056173"/>
  </r>
  <r>
    <x v="1"/>
    <s v="&lt;2 kilometres"/>
    <s v="Rail/Dart/Luas"/>
    <n v="0.223"/>
    <n v="1E-3"/>
    <n v="0"/>
    <n v="0"/>
    <n v="0"/>
    <n v="0"/>
    <n v="1"/>
    <n v="2.0489510489510487"/>
    <n v="3165688023.0367908"/>
    <x v="56"/>
    <n v="29535056173"/>
  </r>
  <r>
    <x v="1"/>
    <s v="2-4 kilometres"/>
    <s v="Rail/Dart/Luas"/>
    <n v="0.182"/>
    <n v="0"/>
    <n v="5.0000000000000001E-3"/>
    <n v="0"/>
    <n v="0"/>
    <n v="0"/>
    <n v="3"/>
    <n v="2.0489510489510487"/>
    <n v="3165688023.0367908"/>
    <x v="57"/>
    <n v="29535056173"/>
  </r>
  <r>
    <x v="1"/>
    <s v="4-6 kilometres"/>
    <s v="Rail/Dart/Luas"/>
    <n v="0.11699999999999999"/>
    <n v="0"/>
    <n v="0"/>
    <n v="1.3999999999999999E-2"/>
    <n v="0"/>
    <n v="0"/>
    <n v="5"/>
    <n v="2.0489510489510487"/>
    <n v="3165688023.0367908"/>
    <x v="58"/>
    <n v="29535056173"/>
  </r>
  <r>
    <x v="1"/>
    <s v="6-8 kilometres"/>
    <s v="Rail/Dart/Luas"/>
    <n v="0.06"/>
    <n v="0"/>
    <n v="0"/>
    <n v="0"/>
    <n v="1.4999999999999999E-2"/>
    <n v="0"/>
    <n v="7"/>
    <n v="2.0489510489510487"/>
    <n v="3165688023.0367908"/>
    <x v="59"/>
    <n v="29535056173"/>
  </r>
  <r>
    <x v="1"/>
    <s v="8+ kilometres"/>
    <s v="Rail/Dart/Luas"/>
    <n v="0.41899999999999998"/>
    <n v="0"/>
    <n v="0"/>
    <n v="0"/>
    <n v="0"/>
    <n v="2.3E-2"/>
    <n v="31.75"/>
    <n v="2.0489510489510487"/>
    <n v="3165688023.0367908"/>
    <x v="60"/>
    <n v="29535056173"/>
  </r>
  <r>
    <x v="1"/>
    <s v="&lt;2 kilometres"/>
    <s v="Taxi/hackney"/>
    <n v="0.223"/>
    <n v="5.0000000000000001E-3"/>
    <n v="0"/>
    <n v="0"/>
    <n v="0"/>
    <n v="0"/>
    <n v="1"/>
    <n v="0.71328671328671323"/>
    <n v="3165688023.0367908"/>
    <x v="61"/>
    <n v="29535056173"/>
  </r>
  <r>
    <x v="1"/>
    <s v="2-4 kilometres"/>
    <s v="Taxi/hackney"/>
    <n v="0.182"/>
    <n v="0"/>
    <n v="1.2E-2"/>
    <n v="0"/>
    <n v="0"/>
    <n v="0"/>
    <n v="3"/>
    <n v="0.71328671328671323"/>
    <n v="3165688023.0367908"/>
    <x v="62"/>
    <n v="29535056173"/>
  </r>
  <r>
    <x v="1"/>
    <s v="4-6 kilometres"/>
    <s v="Taxi/hackney"/>
    <n v="0.11699999999999999"/>
    <n v="0"/>
    <n v="0"/>
    <n v="1.2E-2"/>
    <n v="0"/>
    <n v="0"/>
    <n v="5"/>
    <n v="0.71328671328671323"/>
    <n v="3165688023.0367908"/>
    <x v="63"/>
    <n v="29535056173"/>
  </r>
  <r>
    <x v="1"/>
    <s v="6-8 kilometres"/>
    <s v="Taxi/hackney"/>
    <n v="0.06"/>
    <n v="0"/>
    <n v="0"/>
    <n v="0"/>
    <n v="1.8000000000000002E-2"/>
    <n v="0"/>
    <n v="7"/>
    <n v="0.71328671328671323"/>
    <n v="3165688023.0367908"/>
    <x v="64"/>
    <n v="29535056173"/>
  </r>
  <r>
    <x v="1"/>
    <s v="8+ kilometres"/>
    <s v="Taxi/hackney"/>
    <n v="0.41899999999999998"/>
    <n v="0"/>
    <n v="0"/>
    <n v="0"/>
    <n v="0"/>
    <n v="5.0000000000000001E-3"/>
    <n v="31.75"/>
    <n v="0.71328671328671323"/>
    <n v="3165688023.0367908"/>
    <x v="65"/>
    <n v="29535056173"/>
  </r>
  <r>
    <x v="1"/>
    <s v="&lt;2 kilometres"/>
    <s v="Lorry/Motorcycle/Other"/>
    <n v="0.223"/>
    <n v="1.4999999999999999E-2"/>
    <n v="0"/>
    <n v="0"/>
    <n v="0"/>
    <n v="0"/>
    <n v="1"/>
    <n v="1.776223776223776"/>
    <n v="3165688023.0367908"/>
    <x v="66"/>
    <n v="29535056173"/>
  </r>
  <r>
    <x v="1"/>
    <s v="2-4 kilometres"/>
    <s v="Lorry/Motorcycle/Other"/>
    <n v="0.182"/>
    <n v="0"/>
    <n v="1.4999999999999999E-2"/>
    <n v="0"/>
    <n v="0"/>
    <n v="0"/>
    <n v="3"/>
    <n v="1.776223776223776"/>
    <n v="3165688023.0367908"/>
    <x v="67"/>
    <n v="29535056173"/>
  </r>
  <r>
    <x v="1"/>
    <s v="4-6 kilometres"/>
    <s v="Lorry/Motorcycle/Other"/>
    <n v="0.11699999999999999"/>
    <n v="0"/>
    <n v="0"/>
    <n v="2.3E-2"/>
    <n v="0"/>
    <n v="0"/>
    <n v="5"/>
    <n v="1.776223776223776"/>
    <n v="3165688023.0367908"/>
    <x v="68"/>
    <n v="29535056173"/>
  </r>
  <r>
    <x v="1"/>
    <s v="6-8 kilometres"/>
    <s v="Lorry/Motorcycle/Other"/>
    <n v="0.06"/>
    <n v="0"/>
    <n v="0"/>
    <n v="0"/>
    <n v="2.6000000000000002E-2"/>
    <n v="0"/>
    <n v="7"/>
    <n v="1.776223776223776"/>
    <n v="3165688023.0367908"/>
    <x v="69"/>
    <n v="29535056173"/>
  </r>
  <r>
    <x v="1"/>
    <s v="8+ kilometres"/>
    <s v="Lorry/Motorcycle/Other"/>
    <n v="0.41899999999999998"/>
    <n v="0"/>
    <n v="0"/>
    <n v="0"/>
    <n v="0"/>
    <n v="3.7999999999999999E-2"/>
    <n v="31.75"/>
    <n v="1.776223776223776"/>
    <n v="3165688023.0367908"/>
    <x v="70"/>
    <n v="29535056173"/>
  </r>
  <r>
    <x v="2"/>
    <s v="&lt;2 kilometres"/>
    <s v="Private car - Driver"/>
    <n v="0.21100000000000002"/>
    <n v="0.46299999999999997"/>
    <n v="0"/>
    <n v="0"/>
    <n v="0"/>
    <n v="0"/>
    <n v="1"/>
    <n v="1"/>
    <n v="3171485717.1895118"/>
    <x v="71"/>
    <n v="31821299194"/>
  </r>
  <r>
    <x v="2"/>
    <s v="2-4 kilometres"/>
    <s v="Private car - Driver"/>
    <n v="0.18899999999999997"/>
    <n v="0"/>
    <n v="0.67400000000000004"/>
    <n v="0"/>
    <n v="0"/>
    <n v="0"/>
    <n v="3"/>
    <n v="1"/>
    <n v="3171485717.1895118"/>
    <x v="72"/>
    <n v="31821299194"/>
  </r>
  <r>
    <x v="2"/>
    <s v="4-6 kilometres"/>
    <s v="Private car - Driver"/>
    <n v="0.11699999999999999"/>
    <n v="0"/>
    <n v="0"/>
    <n v="0.73099999999999998"/>
    <n v="0"/>
    <n v="0"/>
    <n v="5"/>
    <n v="1"/>
    <n v="3171485717.1895118"/>
    <x v="73"/>
    <n v="31821299194"/>
  </r>
  <r>
    <x v="2"/>
    <s v="6-8 kilometres"/>
    <s v="Private car - Driver"/>
    <n v="6.6000000000000003E-2"/>
    <n v="0"/>
    <n v="0"/>
    <n v="0"/>
    <n v="0.7390000000000001"/>
    <n v="0"/>
    <n v="7"/>
    <n v="1"/>
    <n v="3171485717.1895118"/>
    <x v="74"/>
    <n v="31821299194"/>
  </r>
  <r>
    <x v="2"/>
    <s v="8+ kilometres"/>
    <s v="Private car - Driver"/>
    <n v="0.41700000000000004"/>
    <n v="0"/>
    <n v="0"/>
    <n v="0"/>
    <n v="0"/>
    <n v="0.79299999999999993"/>
    <n v="35.22"/>
    <n v="1"/>
    <n v="3171485717.1895118"/>
    <x v="75"/>
    <n v="31821299194"/>
  </r>
  <r>
    <x v="2"/>
    <s v="&lt;2 kilometres"/>
    <s v="Private car - Passenger"/>
    <n v="0.21100000000000002"/>
    <n v="3.1E-2"/>
    <n v="0"/>
    <n v="0"/>
    <n v="0"/>
    <n v="0"/>
    <n v="1"/>
    <n v="1.6298701298701299"/>
    <n v="3171485717.1895118"/>
    <x v="76"/>
    <n v="31821299194"/>
  </r>
  <r>
    <x v="2"/>
    <s v="2-4 kilometres"/>
    <s v="Private car - Passenger"/>
    <n v="0.18899999999999997"/>
    <n v="0"/>
    <n v="4.2000000000000003E-2"/>
    <n v="0"/>
    <n v="0"/>
    <n v="0"/>
    <n v="3"/>
    <n v="1.6298701298701299"/>
    <n v="3171485717.1895118"/>
    <x v="77"/>
    <n v="31821299194"/>
  </r>
  <r>
    <x v="2"/>
    <s v="4-6 kilometres"/>
    <s v="Private car - Passenger"/>
    <n v="0.11699999999999999"/>
    <n v="0"/>
    <n v="0"/>
    <n v="5.2000000000000005E-2"/>
    <n v="0"/>
    <n v="0"/>
    <n v="5"/>
    <n v="1.6298701298701299"/>
    <n v="3171485717.1895118"/>
    <x v="78"/>
    <n v="31821299194"/>
  </r>
  <r>
    <x v="2"/>
    <s v="6-8 kilometres"/>
    <s v="Private car - Passenger"/>
    <n v="6.6000000000000003E-2"/>
    <n v="0"/>
    <n v="0"/>
    <n v="0"/>
    <n v="6.0999999999999999E-2"/>
    <n v="0"/>
    <n v="7"/>
    <n v="1.6298701298701299"/>
    <n v="3171485717.1895118"/>
    <x v="79"/>
    <n v="31821299194"/>
  </r>
  <r>
    <x v="2"/>
    <s v="8+ kilometres"/>
    <s v="Private car - Passenger"/>
    <n v="0.41700000000000004"/>
    <n v="0"/>
    <n v="0"/>
    <n v="0"/>
    <n v="0"/>
    <n v="0.08"/>
    <n v="35.22"/>
    <n v="1.6298701298701299"/>
    <n v="3171485717.1895118"/>
    <x v="80"/>
    <n v="31821299194"/>
  </r>
  <r>
    <x v="2"/>
    <s v="&lt;2 kilometres"/>
    <s v="Walk"/>
    <n v="0.21100000000000002"/>
    <n v="0.46399999999999997"/>
    <n v="0"/>
    <n v="0"/>
    <n v="0"/>
    <n v="0"/>
    <n v="1"/>
    <n v="0.12337662337662336"/>
    <n v="3171485717.1895118"/>
    <x v="81"/>
    <n v="31821299194"/>
  </r>
  <r>
    <x v="2"/>
    <s v="2-4 kilometres"/>
    <s v="Walk"/>
    <n v="0.18899999999999997"/>
    <n v="0"/>
    <n v="0.19600000000000001"/>
    <n v="0"/>
    <n v="0"/>
    <n v="0"/>
    <n v="3"/>
    <n v="0.12337662337662336"/>
    <n v="3171485717.1895118"/>
    <x v="82"/>
    <n v="31821299194"/>
  </r>
  <r>
    <x v="2"/>
    <s v="4-6 kilometres"/>
    <s v="Walk"/>
    <n v="0.11699999999999999"/>
    <n v="0"/>
    <n v="0"/>
    <n v="0.10300000000000001"/>
    <n v="0"/>
    <n v="0"/>
    <n v="5"/>
    <n v="0.12337662337662336"/>
    <n v="3171485717.1895118"/>
    <x v="83"/>
    <n v="31821299194"/>
  </r>
  <r>
    <x v="2"/>
    <s v="6-8 kilometres"/>
    <s v="Walk"/>
    <n v="6.6000000000000003E-2"/>
    <n v="0"/>
    <n v="0"/>
    <n v="0"/>
    <n v="6.4000000000000001E-2"/>
    <n v="0"/>
    <n v="7"/>
    <n v="0.12337662337662336"/>
    <n v="3171485717.1895118"/>
    <x v="84"/>
    <n v="31821299194"/>
  </r>
  <r>
    <x v="2"/>
    <s v="8+ kilometres"/>
    <s v="Walk"/>
    <n v="0.41700000000000004"/>
    <n v="0"/>
    <n v="0"/>
    <n v="0"/>
    <n v="0"/>
    <n v="6.9999999999999993E-3"/>
    <n v="35.22"/>
    <n v="0.12337662337662336"/>
    <n v="3171485717.1895118"/>
    <x v="85"/>
    <n v="31821299194"/>
  </r>
  <r>
    <x v="2"/>
    <s v="&lt;2 kilometres"/>
    <s v="Bus"/>
    <n v="0.21100000000000002"/>
    <n v="6.9999999999999993E-3"/>
    <n v="0"/>
    <n v="0"/>
    <n v="0"/>
    <n v="0"/>
    <n v="1"/>
    <n v="1.1753246753246753"/>
    <n v="3171485717.1895118"/>
    <x v="86"/>
    <n v="31821299194"/>
  </r>
  <r>
    <x v="2"/>
    <s v="2-4 kilometres"/>
    <s v="Bus"/>
    <n v="0.18899999999999997"/>
    <n v="0"/>
    <n v="3.9E-2"/>
    <n v="0"/>
    <n v="0"/>
    <n v="0"/>
    <n v="3"/>
    <n v="1.1753246753246753"/>
    <n v="3171485717.1895118"/>
    <x v="87"/>
    <n v="31821299194"/>
  </r>
  <r>
    <x v="2"/>
    <s v="4-6 kilometres"/>
    <s v="Bus"/>
    <n v="0.11699999999999999"/>
    <n v="0"/>
    <n v="0"/>
    <n v="5.5E-2"/>
    <n v="0"/>
    <n v="0"/>
    <n v="5"/>
    <n v="1.1753246753246753"/>
    <n v="3171485717.1895118"/>
    <x v="88"/>
    <n v="31821299194"/>
  </r>
  <r>
    <x v="2"/>
    <s v="6-8 kilometres"/>
    <s v="Bus"/>
    <n v="6.6000000000000003E-2"/>
    <n v="0"/>
    <n v="0"/>
    <n v="0"/>
    <n v="0.06"/>
    <n v="0"/>
    <n v="7"/>
    <n v="1.1753246753246753"/>
    <n v="3171485717.1895118"/>
    <x v="89"/>
    <n v="31821299194"/>
  </r>
  <r>
    <x v="2"/>
    <s v="8+ kilometres"/>
    <s v="Bus"/>
    <n v="0.41700000000000004"/>
    <n v="0"/>
    <n v="0"/>
    <n v="0"/>
    <n v="0"/>
    <n v="4.4000000000000004E-2"/>
    <n v="35.22"/>
    <n v="1.1753246753246753"/>
    <n v="3171485717.1895118"/>
    <x v="90"/>
    <n v="31821299194"/>
  </r>
  <r>
    <x v="2"/>
    <s v="&lt;2 kilometres"/>
    <s v="Cycle"/>
    <n v="0.21100000000000002"/>
    <n v="1.3000000000000001E-2"/>
    <n v="0"/>
    <n v="0"/>
    <n v="0"/>
    <n v="0"/>
    <n v="1"/>
    <n v="0.37012987012987014"/>
    <n v="3171485717.1895118"/>
    <x v="91"/>
    <n v="31821299194"/>
  </r>
  <r>
    <x v="2"/>
    <s v="2-4 kilometres"/>
    <s v="Cycle"/>
    <n v="0.18899999999999997"/>
    <n v="0"/>
    <n v="1.9E-2"/>
    <n v="0"/>
    <n v="0"/>
    <n v="0"/>
    <n v="3"/>
    <n v="0.37012987012987014"/>
    <n v="3171485717.1895118"/>
    <x v="92"/>
    <n v="31821299194"/>
  </r>
  <r>
    <x v="2"/>
    <s v="4-6 kilometres"/>
    <s v="Cycle"/>
    <n v="0.11699999999999999"/>
    <n v="0"/>
    <n v="0"/>
    <n v="0.02"/>
    <n v="0"/>
    <n v="0"/>
    <n v="5"/>
    <n v="0.37012987012987014"/>
    <n v="3171485717.1895118"/>
    <x v="93"/>
    <n v="31821299194"/>
  </r>
  <r>
    <x v="2"/>
    <s v="6-8 kilometres"/>
    <s v="Cycle"/>
    <n v="6.6000000000000003E-2"/>
    <n v="0"/>
    <n v="0"/>
    <n v="0"/>
    <n v="2.3E-2"/>
    <n v="0"/>
    <n v="7"/>
    <n v="0.37012987012987014"/>
    <n v="3171485717.1895118"/>
    <x v="94"/>
    <n v="31821299194"/>
  </r>
  <r>
    <x v="2"/>
    <s v="8+ kilometres"/>
    <s v="Cycle"/>
    <n v="0.41700000000000004"/>
    <n v="0"/>
    <n v="0"/>
    <n v="0"/>
    <n v="0"/>
    <n v="6.0000000000000001E-3"/>
    <n v="35.22"/>
    <n v="0.37012987012987014"/>
    <n v="3171485717.1895118"/>
    <x v="95"/>
    <n v="31821299194"/>
  </r>
  <r>
    <x v="2"/>
    <s v="&lt;2 kilometres"/>
    <s v="Rail/Dart/Luas"/>
    <n v="0.21100000000000002"/>
    <n v="2E-3"/>
    <n v="0"/>
    <n v="0"/>
    <n v="0"/>
    <n v="0"/>
    <n v="1"/>
    <n v="1.8181818181818181"/>
    <n v="3171485717.1895118"/>
    <x v="96"/>
    <n v="31821299194"/>
  </r>
  <r>
    <x v="2"/>
    <s v="2-4 kilometres"/>
    <s v="Rail/Dart/Luas"/>
    <n v="0.18899999999999997"/>
    <n v="0"/>
    <n v="6.9999999999999993E-3"/>
    <n v="0"/>
    <n v="0"/>
    <n v="0"/>
    <n v="3"/>
    <n v="1.8181818181818181"/>
    <n v="3171485717.1895118"/>
    <x v="97"/>
    <n v="31821299194"/>
  </r>
  <r>
    <x v="2"/>
    <s v="4-6 kilometres"/>
    <s v="Rail/Dart/Luas"/>
    <n v="0.11699999999999999"/>
    <n v="0"/>
    <n v="0"/>
    <n v="1.3000000000000001E-2"/>
    <n v="0"/>
    <n v="0"/>
    <n v="5"/>
    <n v="1.8181818181818181"/>
    <n v="3171485717.1895118"/>
    <x v="98"/>
    <n v="31821299194"/>
  </r>
  <r>
    <x v="2"/>
    <s v="6-8 kilometres"/>
    <s v="Rail/Dart/Luas"/>
    <n v="6.6000000000000003E-2"/>
    <n v="0"/>
    <n v="0"/>
    <n v="0"/>
    <n v="1.4999999999999999E-2"/>
    <n v="0"/>
    <n v="7"/>
    <n v="1.8181818181818181"/>
    <n v="3171485717.1895118"/>
    <x v="99"/>
    <n v="31821299194"/>
  </r>
  <r>
    <x v="2"/>
    <s v="8+ kilometres"/>
    <s v="Rail/Dart/Luas"/>
    <n v="0.41700000000000004"/>
    <n v="0"/>
    <n v="0"/>
    <n v="0"/>
    <n v="0"/>
    <n v="2.4E-2"/>
    <n v="35.22"/>
    <n v="1.8181818181818181"/>
    <n v="3171485717.1895118"/>
    <x v="100"/>
    <n v="31821299194"/>
  </r>
  <r>
    <x v="2"/>
    <s v="&lt;2 kilometres"/>
    <s v="Taxi/hackney"/>
    <n v="0.21100000000000002"/>
    <n v="6.0000000000000001E-3"/>
    <n v="0"/>
    <n v="0"/>
    <n v="0"/>
    <n v="0"/>
    <n v="1"/>
    <n v="0.44155844155844154"/>
    <n v="3171485717.1895118"/>
    <x v="101"/>
    <n v="31821299194"/>
  </r>
  <r>
    <x v="2"/>
    <s v="2-4 kilometres"/>
    <s v="Taxi/hackney"/>
    <n v="0.18899999999999997"/>
    <n v="0"/>
    <n v="1.1000000000000001E-2"/>
    <n v="0"/>
    <n v="0"/>
    <n v="0"/>
    <n v="3"/>
    <n v="0.44155844155844154"/>
    <n v="3171485717.1895118"/>
    <x v="102"/>
    <n v="31821299194"/>
  </r>
  <r>
    <x v="2"/>
    <s v="4-6 kilometres"/>
    <s v="Taxi/hackney"/>
    <n v="0.11699999999999999"/>
    <n v="0"/>
    <n v="0"/>
    <n v="1.2E-2"/>
    <n v="0"/>
    <n v="0"/>
    <n v="5"/>
    <n v="0.44155844155844154"/>
    <n v="3171485717.1895118"/>
    <x v="103"/>
    <n v="31821299194"/>
  </r>
  <r>
    <x v="2"/>
    <s v="6-8 kilometres"/>
    <s v="Taxi/hackney"/>
    <n v="6.6000000000000003E-2"/>
    <n v="0"/>
    <n v="0"/>
    <n v="0"/>
    <n v="1.7000000000000001E-2"/>
    <n v="0"/>
    <n v="7"/>
    <n v="0.44155844155844154"/>
    <n v="3171485717.1895118"/>
    <x v="104"/>
    <n v="31821299194"/>
  </r>
  <r>
    <x v="2"/>
    <s v="8+ kilometres"/>
    <s v="Taxi/hackney"/>
    <n v="0.41700000000000004"/>
    <n v="0"/>
    <n v="0"/>
    <n v="0"/>
    <n v="0"/>
    <n v="6.9999999999999993E-3"/>
    <n v="35.22"/>
    <n v="0.44155844155844154"/>
    <n v="3171485717.1895118"/>
    <x v="105"/>
    <n v="31821299194"/>
  </r>
  <r>
    <x v="2"/>
    <s v="&lt;2 kilometres"/>
    <s v="Lorry/Motorcycle/Other"/>
    <n v="0.21100000000000002"/>
    <n v="1.3999999999999999E-2"/>
    <n v="0"/>
    <n v="0"/>
    <n v="0"/>
    <n v="0"/>
    <n v="1"/>
    <n v="1.8051948051948052"/>
    <n v="3171485717.1895118"/>
    <x v="106"/>
    <n v="31821299194"/>
  </r>
  <r>
    <x v="2"/>
    <s v="2-4 kilometres"/>
    <s v="Lorry/Motorcycle/Other"/>
    <n v="0.18899999999999997"/>
    <n v="0"/>
    <n v="1.3000000000000001E-2"/>
    <n v="0"/>
    <n v="0"/>
    <n v="0"/>
    <n v="3"/>
    <n v="1.8051948051948052"/>
    <n v="3171485717.1895118"/>
    <x v="107"/>
    <n v="31821299194"/>
  </r>
  <r>
    <x v="2"/>
    <s v="4-6 kilometres"/>
    <s v="Lorry/Motorcycle/Other"/>
    <n v="0.11699999999999999"/>
    <n v="0"/>
    <n v="0"/>
    <n v="1.3999999999999999E-2"/>
    <n v="0"/>
    <n v="0"/>
    <n v="5"/>
    <n v="1.8051948051948052"/>
    <n v="3171485717.1895118"/>
    <x v="108"/>
    <n v="31821299194"/>
  </r>
  <r>
    <x v="2"/>
    <s v="6-8 kilometres"/>
    <s v="Lorry/Motorcycle/Other"/>
    <n v="6.6000000000000003E-2"/>
    <n v="0"/>
    <n v="0"/>
    <n v="0"/>
    <n v="2.2000000000000002E-2"/>
    <n v="0"/>
    <n v="7"/>
    <n v="1.8051948051948052"/>
    <n v="3171485717.1895118"/>
    <x v="109"/>
    <n v="31821299194"/>
  </r>
  <r>
    <x v="2"/>
    <s v="8+ kilometres"/>
    <s v="Lorry/Motorcycle/Other"/>
    <n v="0.41700000000000004"/>
    <n v="0"/>
    <n v="0"/>
    <n v="0"/>
    <n v="0"/>
    <n v="3.9E-2"/>
    <n v="35.22"/>
    <n v="1.8051948051948052"/>
    <n v="3171485717.1895118"/>
    <x v="110"/>
    <n v="31821299194"/>
  </r>
  <r>
    <x v="3"/>
    <s v="&lt;2 kilometres"/>
    <s v="Private car - Driver"/>
    <n v="0.188"/>
    <n v="0.49099999999999999"/>
    <n v="0"/>
    <n v="0"/>
    <n v="0"/>
    <n v="0"/>
    <n v="1"/>
    <n v="1"/>
    <n v="2940102000.5779233"/>
    <x v="111"/>
    <n v="32323075433"/>
  </r>
  <r>
    <x v="3"/>
    <s v="2-4 kilometres"/>
    <s v="Private car - Driver"/>
    <n v="0.2"/>
    <n v="0"/>
    <n v="0.65599999999999992"/>
    <n v="0"/>
    <n v="0"/>
    <n v="0"/>
    <n v="3"/>
    <n v="1"/>
    <n v="2940102000.5779233"/>
    <x v="112"/>
    <n v="32323075433"/>
  </r>
  <r>
    <x v="3"/>
    <s v="4-6 kilometres"/>
    <s v="Private car - Driver"/>
    <n v="0.13"/>
    <n v="0"/>
    <n v="0"/>
    <n v="0.70599999999999996"/>
    <n v="0"/>
    <n v="0"/>
    <n v="5"/>
    <n v="1"/>
    <n v="2940102000.5779233"/>
    <x v="113"/>
    <n v="32323075433"/>
  </r>
  <r>
    <x v="3"/>
    <s v="6-8 kilometres"/>
    <s v="Private car - Driver"/>
    <n v="6.4000000000000001E-2"/>
    <n v="0"/>
    <n v="0"/>
    <n v="0"/>
    <n v="0.754"/>
    <n v="0"/>
    <n v="7"/>
    <n v="1"/>
    <n v="2940102000.5779233"/>
    <x v="114"/>
    <n v="32323075433"/>
  </r>
  <r>
    <x v="3"/>
    <s v="8+ kilometres"/>
    <s v="Private car - Driver"/>
    <n v="0.41899999999999998"/>
    <n v="0"/>
    <n v="0"/>
    <n v="0"/>
    <n v="0"/>
    <n v="0.78299999999999992"/>
    <n v="38.99"/>
    <n v="1"/>
    <n v="2940102000.5779233"/>
    <x v="115"/>
    <n v="32323075433"/>
  </r>
  <r>
    <x v="3"/>
    <s v="&lt;2 kilometres"/>
    <s v="Private car - Passenger"/>
    <n v="0.188"/>
    <n v="2.2000000000000002E-2"/>
    <n v="0"/>
    <n v="0"/>
    <n v="0"/>
    <n v="0"/>
    <n v="1"/>
    <n v="1.6923076923076923"/>
    <n v="2940102000.5779233"/>
    <x v="116"/>
    <n v="32323075433"/>
  </r>
  <r>
    <x v="3"/>
    <s v="2-4 kilometres"/>
    <s v="Private car - Passenger"/>
    <n v="0.2"/>
    <n v="0"/>
    <n v="3.3000000000000002E-2"/>
    <n v="0"/>
    <n v="0"/>
    <n v="0"/>
    <n v="3"/>
    <n v="1.6923076923076923"/>
    <n v="2940102000.5779233"/>
    <x v="117"/>
    <n v="32323075433"/>
  </r>
  <r>
    <x v="3"/>
    <s v="4-6 kilometres"/>
    <s v="Private car - Passenger"/>
    <n v="0.13"/>
    <n v="0"/>
    <n v="0"/>
    <n v="4.9000000000000002E-2"/>
    <n v="0"/>
    <n v="0"/>
    <n v="5"/>
    <n v="1.6923076923076923"/>
    <n v="2940102000.5779233"/>
    <x v="118"/>
    <n v="32323075433"/>
  </r>
  <r>
    <x v="3"/>
    <s v="6-8 kilometres"/>
    <s v="Private car - Passenger"/>
    <n v="6.4000000000000001E-2"/>
    <n v="0"/>
    <n v="0"/>
    <n v="0"/>
    <n v="4.4999999999999998E-2"/>
    <n v="0"/>
    <n v="7"/>
    <n v="1.6923076923076923"/>
    <n v="2940102000.5779233"/>
    <x v="119"/>
    <n v="32323075433"/>
  </r>
  <r>
    <x v="3"/>
    <s v="8+ kilometres"/>
    <s v="Private car - Passenger"/>
    <n v="0.41899999999999998"/>
    <n v="0"/>
    <n v="0"/>
    <n v="0"/>
    <n v="0"/>
    <n v="7.9000000000000001E-2"/>
    <n v="38.99"/>
    <n v="1.6923076923076923"/>
    <n v="2940102000.5779233"/>
    <x v="120"/>
    <n v="32323075433"/>
  </r>
  <r>
    <x v="3"/>
    <s v="&lt;2 kilometres"/>
    <s v="Walk"/>
    <n v="0.188"/>
    <n v="0.441"/>
    <n v="0"/>
    <n v="0"/>
    <n v="0"/>
    <n v="0"/>
    <n v="1"/>
    <n v="0.14743589743589744"/>
    <n v="2940102000.5779233"/>
    <x v="121"/>
    <n v="32323075433"/>
  </r>
  <r>
    <x v="3"/>
    <s v="2-4 kilometres"/>
    <s v="Walk"/>
    <n v="0.2"/>
    <n v="0"/>
    <n v="0.214"/>
    <n v="0"/>
    <n v="0"/>
    <n v="0"/>
    <n v="3"/>
    <n v="0.14743589743589744"/>
    <n v="2940102000.5779233"/>
    <x v="122"/>
    <n v="32323075433"/>
  </r>
  <r>
    <x v="3"/>
    <s v="4-6 kilometres"/>
    <s v="Walk"/>
    <n v="0.13"/>
    <n v="0"/>
    <n v="0"/>
    <n v="0.114"/>
    <n v="0"/>
    <n v="0"/>
    <n v="5"/>
    <n v="0.14743589743589744"/>
    <n v="2940102000.5779233"/>
    <x v="123"/>
    <n v="32323075433"/>
  </r>
  <r>
    <x v="3"/>
    <s v="6-8 kilometres"/>
    <s v="Walk"/>
    <n v="6.4000000000000001E-2"/>
    <n v="0"/>
    <n v="0"/>
    <n v="0"/>
    <n v="5.7999999999999996E-2"/>
    <n v="0"/>
    <n v="7"/>
    <n v="0.14743589743589744"/>
    <n v="2940102000.5779233"/>
    <x v="124"/>
    <n v="32323075433"/>
  </r>
  <r>
    <x v="3"/>
    <s v="8+ kilometres"/>
    <s v="Walk"/>
    <n v="0.41899999999999998"/>
    <n v="0"/>
    <n v="0"/>
    <n v="0"/>
    <n v="0"/>
    <n v="9.0000000000000011E-3"/>
    <n v="38.99"/>
    <n v="0.14743589743589744"/>
    <n v="2940102000.5779233"/>
    <x v="125"/>
    <n v="32323075433"/>
  </r>
  <r>
    <x v="3"/>
    <s v="&lt;2 kilometres"/>
    <s v="Bus"/>
    <n v="0.188"/>
    <n v="0.01"/>
    <n v="0"/>
    <n v="0"/>
    <n v="0"/>
    <n v="0"/>
    <n v="1"/>
    <n v="1.1025641025641026"/>
    <n v="2940102000.5779233"/>
    <x v="126"/>
    <n v="32323075433"/>
  </r>
  <r>
    <x v="3"/>
    <s v="2-4 kilometres"/>
    <s v="Bus"/>
    <n v="0.2"/>
    <n v="0"/>
    <n v="4.0999999999999995E-2"/>
    <n v="0"/>
    <n v="0"/>
    <n v="0"/>
    <n v="3"/>
    <n v="1.1025641025641026"/>
    <n v="2940102000.5779233"/>
    <x v="127"/>
    <n v="32323075433"/>
  </r>
  <r>
    <x v="3"/>
    <s v="4-6 kilometres"/>
    <s v="Bus"/>
    <n v="0.13"/>
    <n v="0"/>
    <n v="0"/>
    <n v="6.0999999999999999E-2"/>
    <n v="0"/>
    <n v="0"/>
    <n v="5"/>
    <n v="1.1025641025641026"/>
    <n v="2940102000.5779233"/>
    <x v="128"/>
    <n v="32323075433"/>
  </r>
  <r>
    <x v="3"/>
    <s v="6-8 kilometres"/>
    <s v="Bus"/>
    <n v="6.4000000000000001E-2"/>
    <n v="0"/>
    <n v="0"/>
    <n v="0"/>
    <n v="6.3E-2"/>
    <n v="0"/>
    <n v="7"/>
    <n v="1.1025641025641026"/>
    <n v="2940102000.5779233"/>
    <x v="129"/>
    <n v="32323075433"/>
  </r>
  <r>
    <x v="3"/>
    <s v="8+ kilometres"/>
    <s v="Bus"/>
    <n v="0.41899999999999998"/>
    <n v="0"/>
    <n v="0"/>
    <n v="0"/>
    <n v="0"/>
    <n v="5.2000000000000005E-2"/>
    <n v="38.99"/>
    <n v="1.1025641025641026"/>
    <n v="2940102000.5779233"/>
    <x v="130"/>
    <n v="32323075433"/>
  </r>
  <r>
    <x v="3"/>
    <s v="&lt;2 kilometres"/>
    <s v="Cycle"/>
    <n v="0.188"/>
    <n v="1.6E-2"/>
    <n v="0"/>
    <n v="0"/>
    <n v="0"/>
    <n v="0"/>
    <n v="1"/>
    <n v="0.42307692307692307"/>
    <n v="2940102000.5779233"/>
    <x v="131"/>
    <n v="32323075433"/>
  </r>
  <r>
    <x v="3"/>
    <s v="2-4 kilometres"/>
    <s v="Cycle"/>
    <n v="0.2"/>
    <n v="0"/>
    <n v="2.7000000000000003E-2"/>
    <n v="0"/>
    <n v="0"/>
    <n v="0"/>
    <n v="3"/>
    <n v="0.42307692307692307"/>
    <n v="2940102000.5779233"/>
    <x v="132"/>
    <n v="32323075433"/>
  </r>
  <r>
    <x v="3"/>
    <s v="4-6 kilometres"/>
    <s v="Cycle"/>
    <n v="0.13"/>
    <n v="0"/>
    <n v="0"/>
    <n v="2.5000000000000001E-2"/>
    <n v="0"/>
    <n v="0"/>
    <n v="5"/>
    <n v="0.42307692307692307"/>
    <n v="2940102000.5779233"/>
    <x v="133"/>
    <n v="32323075433"/>
  </r>
  <r>
    <x v="3"/>
    <s v="6-8 kilometres"/>
    <s v="Cycle"/>
    <n v="6.4000000000000001E-2"/>
    <n v="0"/>
    <n v="0"/>
    <n v="0"/>
    <n v="2.4E-2"/>
    <n v="0"/>
    <n v="7"/>
    <n v="0.42307692307692307"/>
    <n v="2940102000.5779233"/>
    <x v="134"/>
    <n v="32323075433"/>
  </r>
  <r>
    <x v="3"/>
    <s v="8+ kilometres"/>
    <s v="Cycle"/>
    <n v="0.41899999999999998"/>
    <n v="0"/>
    <n v="0"/>
    <n v="0"/>
    <n v="0"/>
    <n v="6.9999999999999993E-3"/>
    <n v="38.99"/>
    <n v="0.42307692307692307"/>
    <n v="2940102000.5779233"/>
    <x v="135"/>
    <n v="32323075433"/>
  </r>
  <r>
    <x v="3"/>
    <s v="&lt;2 kilometres"/>
    <s v="Rail/Dart/Luas"/>
    <n v="0.188"/>
    <n v="0"/>
    <n v="0"/>
    <n v="0"/>
    <n v="0"/>
    <n v="0"/>
    <n v="1"/>
    <n v="2.0897435897435899"/>
    <n v="2940102000.5779233"/>
    <x v="14"/>
    <n v="32323075433"/>
  </r>
  <r>
    <x v="3"/>
    <s v="2-4 kilometres"/>
    <s v="Rail/Dart/Luas"/>
    <n v="0.2"/>
    <n v="0"/>
    <n v="5.0000000000000001E-3"/>
    <n v="0"/>
    <n v="0"/>
    <n v="0"/>
    <n v="3"/>
    <n v="2.0897435897435899"/>
    <n v="2940102000.5779233"/>
    <x v="136"/>
    <n v="32323075433"/>
  </r>
  <r>
    <x v="3"/>
    <s v="4-6 kilometres"/>
    <s v="Rail/Dart/Luas"/>
    <n v="0.13"/>
    <n v="0"/>
    <n v="0"/>
    <n v="8.0000000000000002E-3"/>
    <n v="0"/>
    <n v="0"/>
    <n v="5"/>
    <n v="2.0897435897435899"/>
    <n v="2940102000.5779233"/>
    <x v="137"/>
    <n v="32323075433"/>
  </r>
  <r>
    <x v="3"/>
    <s v="6-8 kilometres"/>
    <s v="Rail/Dart/Luas"/>
    <n v="6.4000000000000001E-2"/>
    <n v="0"/>
    <n v="0"/>
    <n v="0"/>
    <n v="1.8000000000000002E-2"/>
    <n v="0"/>
    <n v="7"/>
    <n v="2.0897435897435899"/>
    <n v="2940102000.5779233"/>
    <x v="138"/>
    <n v="32323075433"/>
  </r>
  <r>
    <x v="3"/>
    <s v="8+ kilometres"/>
    <s v="Rail/Dart/Luas"/>
    <n v="0.41899999999999998"/>
    <n v="0"/>
    <n v="0"/>
    <n v="0"/>
    <n v="0"/>
    <n v="2.6000000000000002E-2"/>
    <n v="38.99"/>
    <n v="2.0897435897435899"/>
    <n v="2940102000.5779233"/>
    <x v="139"/>
    <n v="32323075433"/>
  </r>
  <r>
    <x v="3"/>
    <s v="&lt;2 kilometres"/>
    <s v="Taxi/hackney"/>
    <n v="0.188"/>
    <n v="6.9999999999999993E-3"/>
    <n v="0"/>
    <n v="0"/>
    <n v="0"/>
    <n v="0"/>
    <n v="1"/>
    <n v="0.44871794871794873"/>
    <n v="2940102000.5779233"/>
    <x v="140"/>
    <n v="32323075433"/>
  </r>
  <r>
    <x v="3"/>
    <s v="2-4 kilometres"/>
    <s v="Taxi/hackney"/>
    <n v="0.2"/>
    <n v="0"/>
    <n v="0.01"/>
    <n v="0"/>
    <n v="0"/>
    <n v="0"/>
    <n v="3"/>
    <n v="0.44871794871794873"/>
    <n v="2940102000.5779233"/>
    <x v="141"/>
    <n v="32323075433"/>
  </r>
  <r>
    <x v="3"/>
    <s v="4-6 kilometres"/>
    <s v="Taxi/hackney"/>
    <n v="0.13"/>
    <n v="0"/>
    <n v="0"/>
    <n v="1.4999999999999999E-2"/>
    <n v="0"/>
    <n v="0"/>
    <n v="5"/>
    <n v="0.44871794871794873"/>
    <n v="2940102000.5779233"/>
    <x v="142"/>
    <n v="32323075433"/>
  </r>
  <r>
    <x v="3"/>
    <s v="6-8 kilometres"/>
    <s v="Taxi/hackney"/>
    <n v="6.4000000000000001E-2"/>
    <n v="0"/>
    <n v="0"/>
    <n v="0"/>
    <n v="1.1000000000000001E-2"/>
    <n v="0"/>
    <n v="7"/>
    <n v="0.44871794871794873"/>
    <n v="2940102000.5779233"/>
    <x v="143"/>
    <n v="32323075433"/>
  </r>
  <r>
    <x v="3"/>
    <s v="8+ kilometres"/>
    <s v="Taxi/hackney"/>
    <n v="0.41899999999999998"/>
    <n v="0"/>
    <n v="0"/>
    <n v="0"/>
    <n v="0"/>
    <n v="6.9999999999999993E-3"/>
    <n v="38.99"/>
    <n v="0.44871794871794873"/>
    <n v="2940102000.5779233"/>
    <x v="144"/>
    <n v="32323075433"/>
  </r>
  <r>
    <x v="3"/>
    <s v="&lt;2 kilometres"/>
    <s v="Lorry/Motorcycle/Other"/>
    <n v="0.188"/>
    <n v="1.3000000000000001E-2"/>
    <n v="0"/>
    <n v="0"/>
    <n v="0"/>
    <n v="0"/>
    <n v="1"/>
    <n v="1.7692307692307694"/>
    <n v="2940102000.5779233"/>
    <x v="145"/>
    <n v="32323075433"/>
  </r>
  <r>
    <x v="3"/>
    <s v="2-4 kilometres"/>
    <s v="Lorry/Motorcycle/Other"/>
    <n v="0.2"/>
    <n v="0"/>
    <n v="1.3000000000000001E-2"/>
    <n v="0"/>
    <n v="0"/>
    <n v="0"/>
    <n v="3"/>
    <n v="1.7692307692307694"/>
    <n v="2940102000.5779233"/>
    <x v="146"/>
    <n v="32323075433"/>
  </r>
  <r>
    <x v="3"/>
    <s v="4-6 kilometres"/>
    <s v="Lorry/Motorcycle/Other"/>
    <n v="0.13"/>
    <n v="0"/>
    <n v="0"/>
    <n v="2.2000000000000002E-2"/>
    <n v="0"/>
    <n v="0"/>
    <n v="5"/>
    <n v="1.7692307692307694"/>
    <n v="2940102000.5779233"/>
    <x v="147"/>
    <n v="32323075433"/>
  </r>
  <r>
    <x v="3"/>
    <s v="6-8 kilometres"/>
    <s v="Lorry/Motorcycle/Other"/>
    <n v="6.4000000000000001E-2"/>
    <n v="0"/>
    <n v="0"/>
    <n v="0"/>
    <n v="2.7000000000000003E-2"/>
    <n v="0"/>
    <n v="7"/>
    <n v="1.7692307692307694"/>
    <n v="2940102000.5779233"/>
    <x v="148"/>
    <n v="32323075433"/>
  </r>
  <r>
    <x v="3"/>
    <s v="8+ kilometres"/>
    <s v="Lorry/Motorcycle/Other"/>
    <n v="0.41899999999999998"/>
    <n v="0"/>
    <n v="0"/>
    <n v="0"/>
    <n v="0"/>
    <n v="3.7000000000000005E-2"/>
    <n v="38.99"/>
    <n v="1.7692307692307694"/>
    <n v="2940102000.5779233"/>
    <x v="149"/>
    <n v="32323075433"/>
  </r>
  <r>
    <x v="4"/>
    <s v="&lt;2 kilometres"/>
    <s v="Private car - Driver"/>
    <n v="0.255"/>
    <n v="0.503"/>
    <n v="0"/>
    <n v="0"/>
    <n v="0"/>
    <n v="0"/>
    <n v="1"/>
    <n v="1"/>
    <n v="3079198792.0558629"/>
    <x v="150"/>
    <n v="36171159701"/>
  </r>
  <r>
    <x v="4"/>
    <s v="2-4 kilometres"/>
    <s v="Private car - Driver"/>
    <n v="0.13400000000000001"/>
    <n v="0"/>
    <n v="0.66099999999999992"/>
    <n v="0"/>
    <n v="0"/>
    <n v="0"/>
    <n v="3"/>
    <n v="1"/>
    <n v="3079198792.0558629"/>
    <x v="151"/>
    <n v="36171159701"/>
  </r>
  <r>
    <x v="4"/>
    <s v="4-6 kilometres"/>
    <s v="Private car - Driver"/>
    <n v="0.11900000000000001"/>
    <n v="0"/>
    <n v="0"/>
    <n v="0.71900000000000008"/>
    <n v="0"/>
    <n v="0"/>
    <n v="5"/>
    <n v="1"/>
    <n v="3079198792.0558629"/>
    <x v="152"/>
    <n v="36171159701"/>
  </r>
  <r>
    <x v="4"/>
    <s v="6-8 kilometres"/>
    <s v="Private car - Driver"/>
    <n v="5.9000000000000004E-2"/>
    <n v="0"/>
    <n v="0"/>
    <n v="0"/>
    <n v="0.75599999999999989"/>
    <n v="0"/>
    <n v="7"/>
    <n v="1"/>
    <n v="3079198792.0558629"/>
    <x v="153"/>
    <n v="36171159701"/>
  </r>
  <r>
    <x v="4"/>
    <s v="8+ kilometres"/>
    <s v="Private car - Driver"/>
    <n v="0.433"/>
    <n v="0"/>
    <n v="0"/>
    <n v="0"/>
    <n v="0"/>
    <n v="0.80200000000000005"/>
    <n v="41.2"/>
    <n v="1"/>
    <n v="3079198792.0558629"/>
    <x v="154"/>
    <n v="36171159701"/>
  </r>
  <r>
    <x v="4"/>
    <s v="&lt;2 kilometres"/>
    <s v="Private car - Passenger"/>
    <n v="0.255"/>
    <n v="2.3E-2"/>
    <n v="0"/>
    <n v="0"/>
    <n v="0"/>
    <n v="0"/>
    <n v="1"/>
    <n v="1.6012269938650308"/>
    <n v="3079198792.0558629"/>
    <x v="155"/>
    <n v="36171159701"/>
  </r>
  <r>
    <x v="4"/>
    <s v="2-4 kilometres"/>
    <s v="Private car - Passenger"/>
    <n v="0.13400000000000001"/>
    <n v="0"/>
    <n v="4.2999999999999997E-2"/>
    <n v="0"/>
    <n v="0"/>
    <n v="0"/>
    <n v="3"/>
    <n v="1.6012269938650308"/>
    <n v="3079198792.0558629"/>
    <x v="156"/>
    <n v="36171159701"/>
  </r>
  <r>
    <x v="4"/>
    <s v="4-6 kilometres"/>
    <s v="Private car - Passenger"/>
    <n v="0.11900000000000001"/>
    <n v="0"/>
    <n v="0"/>
    <n v="4.4000000000000004E-2"/>
    <n v="0"/>
    <n v="0"/>
    <n v="5"/>
    <n v="1.6012269938650308"/>
    <n v="3079198792.0558629"/>
    <x v="157"/>
    <n v="36171159701"/>
  </r>
  <r>
    <x v="4"/>
    <s v="6-8 kilometres"/>
    <s v="Private car - Passenger"/>
    <n v="5.9000000000000004E-2"/>
    <n v="0"/>
    <n v="0"/>
    <n v="0"/>
    <n v="0.03"/>
    <n v="0"/>
    <n v="7"/>
    <n v="1.6012269938650308"/>
    <n v="3079198792.0558629"/>
    <x v="158"/>
    <n v="36171159701"/>
  </r>
  <r>
    <x v="4"/>
    <s v="8+ kilometres"/>
    <s v="Private car - Passenger"/>
    <n v="0.433"/>
    <n v="0"/>
    <n v="0"/>
    <n v="0"/>
    <n v="0"/>
    <n v="6.9000000000000006E-2"/>
    <n v="41.2"/>
    <n v="1.6012269938650308"/>
    <n v="3079198792.0558629"/>
    <x v="159"/>
    <n v="36171159701"/>
  </r>
  <r>
    <x v="4"/>
    <s v="&lt;2 kilometres"/>
    <s v="Walk"/>
    <n v="0.255"/>
    <n v="0.43099999999999999"/>
    <n v="0"/>
    <n v="0"/>
    <n v="0"/>
    <n v="0"/>
    <n v="1"/>
    <n v="0.12269938650306748"/>
    <n v="3079198792.0558629"/>
    <x v="160"/>
    <n v="36171159701"/>
  </r>
  <r>
    <x v="4"/>
    <s v="2-4 kilometres"/>
    <s v="Walk"/>
    <n v="0.13400000000000001"/>
    <n v="0"/>
    <n v="0.17300000000000001"/>
    <n v="0"/>
    <n v="0"/>
    <n v="0"/>
    <n v="3"/>
    <n v="0.12269938650306748"/>
    <n v="3079198792.0558629"/>
    <x v="161"/>
    <n v="36171159701"/>
  </r>
  <r>
    <x v="4"/>
    <s v="4-6 kilometres"/>
    <s v="Walk"/>
    <n v="0.11900000000000001"/>
    <n v="0"/>
    <n v="0"/>
    <n v="6.3E-2"/>
    <n v="0"/>
    <n v="0"/>
    <n v="5"/>
    <n v="0.12269938650306748"/>
    <n v="3079198792.0558629"/>
    <x v="162"/>
    <n v="36171159701"/>
  </r>
  <r>
    <x v="4"/>
    <s v="6-8 kilometres"/>
    <s v="Walk"/>
    <n v="5.9000000000000004E-2"/>
    <n v="0"/>
    <n v="0"/>
    <n v="0"/>
    <n v="2.7000000000000003E-2"/>
    <n v="0"/>
    <n v="7"/>
    <n v="0.12269938650306748"/>
    <n v="3079198792.0558629"/>
    <x v="163"/>
    <n v="36171159701"/>
  </r>
  <r>
    <x v="4"/>
    <s v="8+ kilometres"/>
    <s v="Walk"/>
    <n v="0.433"/>
    <n v="0"/>
    <n v="0"/>
    <n v="0"/>
    <n v="0"/>
    <n v="8.0000000000000002E-3"/>
    <n v="41.2"/>
    <n v="0.12269938650306748"/>
    <n v="3079198792.0558629"/>
    <x v="164"/>
    <n v="36171159701"/>
  </r>
  <r>
    <x v="4"/>
    <s v="&lt;2 kilometres"/>
    <s v="Bus"/>
    <n v="0.255"/>
    <n v="9.0000000000000011E-3"/>
    <n v="0"/>
    <n v="0"/>
    <n v="0"/>
    <n v="0"/>
    <n v="1"/>
    <n v="0.82208588957055218"/>
    <n v="3079198792.0558629"/>
    <x v="165"/>
    <n v="36171159701"/>
  </r>
  <r>
    <x v="4"/>
    <s v="2-4 kilometres"/>
    <s v="Bus"/>
    <n v="0.13400000000000001"/>
    <n v="0"/>
    <n v="5.4000000000000006E-2"/>
    <n v="0"/>
    <n v="0"/>
    <n v="0"/>
    <n v="3"/>
    <n v="0.82208588957055218"/>
    <n v="3079198792.0558629"/>
    <x v="166"/>
    <n v="36171159701"/>
  </r>
  <r>
    <x v="4"/>
    <s v="4-6 kilometres"/>
    <s v="Bus"/>
    <n v="0.11900000000000001"/>
    <n v="0"/>
    <n v="0"/>
    <n v="8.3000000000000004E-2"/>
    <n v="0"/>
    <n v="0"/>
    <n v="5"/>
    <n v="0.82208588957055218"/>
    <n v="3079198792.0558629"/>
    <x v="167"/>
    <n v="36171159701"/>
  </r>
  <r>
    <x v="4"/>
    <s v="6-8 kilometres"/>
    <s v="Bus"/>
    <n v="5.9000000000000004E-2"/>
    <n v="0"/>
    <n v="0"/>
    <n v="0"/>
    <n v="9.4E-2"/>
    <n v="0"/>
    <n v="7"/>
    <n v="0.82208588957055218"/>
    <n v="3079198792.0558629"/>
    <x v="168"/>
    <n v="36171159701"/>
  </r>
  <r>
    <x v="4"/>
    <s v="8+ kilometres"/>
    <s v="Bus"/>
    <n v="0.433"/>
    <n v="0"/>
    <n v="0"/>
    <n v="0"/>
    <n v="0"/>
    <n v="3.9E-2"/>
    <n v="41.2"/>
    <n v="0.82208588957055218"/>
    <n v="3079198792.0558629"/>
    <x v="169"/>
    <n v="36171159701"/>
  </r>
  <r>
    <x v="4"/>
    <s v="&lt;2 kilometres"/>
    <s v="Cycle"/>
    <n v="0.255"/>
    <n v="1.6E-2"/>
    <n v="0"/>
    <n v="0"/>
    <n v="0"/>
    <n v="0"/>
    <n v="1"/>
    <n v="0.3987730061349693"/>
    <n v="3079198792.0558629"/>
    <x v="170"/>
    <n v="36171159701"/>
  </r>
  <r>
    <x v="4"/>
    <s v="2-4 kilometres"/>
    <s v="Cycle"/>
    <n v="0.13400000000000001"/>
    <n v="0"/>
    <n v="3.4000000000000002E-2"/>
    <n v="0"/>
    <n v="0"/>
    <n v="0"/>
    <n v="3"/>
    <n v="0.3987730061349693"/>
    <n v="3079198792.0558629"/>
    <x v="171"/>
    <n v="36171159701"/>
  </r>
  <r>
    <x v="4"/>
    <s v="4-6 kilometres"/>
    <s v="Cycle"/>
    <n v="0.11900000000000001"/>
    <n v="0"/>
    <n v="0"/>
    <n v="3.6000000000000004E-2"/>
    <n v="0"/>
    <n v="0"/>
    <n v="5"/>
    <n v="0.3987730061349693"/>
    <n v="3079198792.0558629"/>
    <x v="172"/>
    <n v="36171159701"/>
  </r>
  <r>
    <x v="4"/>
    <s v="6-8 kilometres"/>
    <s v="Cycle"/>
    <n v="5.9000000000000004E-2"/>
    <n v="0"/>
    <n v="0"/>
    <n v="0"/>
    <n v="2.4E-2"/>
    <n v="0"/>
    <n v="7"/>
    <n v="0.3987730061349693"/>
    <n v="3079198792.0558629"/>
    <x v="173"/>
    <n v="36171159701"/>
  </r>
  <r>
    <x v="4"/>
    <s v="8+ kilometres"/>
    <s v="Cycle"/>
    <n v="0.433"/>
    <n v="0"/>
    <n v="0"/>
    <n v="0"/>
    <n v="0"/>
    <n v="6.9999999999999993E-3"/>
    <n v="41.2"/>
    <n v="0.3987730061349693"/>
    <n v="3079198792.0558629"/>
    <x v="174"/>
    <n v="36171159701"/>
  </r>
  <r>
    <x v="4"/>
    <s v="&lt;2 kilometres"/>
    <s v="Rail/Dart/Luas"/>
    <n v="0.255"/>
    <n v="1E-3"/>
    <n v="0"/>
    <n v="0"/>
    <n v="0"/>
    <n v="0"/>
    <n v="1"/>
    <n v="1.8650306748466257"/>
    <n v="3079198792.0558629"/>
    <x v="175"/>
    <n v="36171159701"/>
  </r>
  <r>
    <x v="4"/>
    <s v="2-4 kilometres"/>
    <s v="Rail/Dart/Luas"/>
    <n v="0.13400000000000001"/>
    <n v="0"/>
    <n v="9.0000000000000011E-3"/>
    <n v="0"/>
    <n v="0"/>
    <n v="0"/>
    <n v="3"/>
    <n v="1.8650306748466257"/>
    <n v="3079198792.0558629"/>
    <x v="176"/>
    <n v="36171159701"/>
  </r>
  <r>
    <x v="4"/>
    <s v="4-6 kilometres"/>
    <s v="Rail/Dart/Luas"/>
    <n v="0.11900000000000001"/>
    <n v="0"/>
    <n v="0"/>
    <n v="1.4999999999999999E-2"/>
    <n v="0"/>
    <n v="0"/>
    <n v="5"/>
    <n v="1.8650306748466257"/>
    <n v="3079198792.0558629"/>
    <x v="177"/>
    <n v="36171159701"/>
  </r>
  <r>
    <x v="4"/>
    <s v="6-8 kilometres"/>
    <s v="Rail/Dart/Luas"/>
    <n v="5.9000000000000004E-2"/>
    <n v="0"/>
    <n v="0"/>
    <n v="0"/>
    <n v="2.3E-2"/>
    <n v="0"/>
    <n v="7"/>
    <n v="1.8650306748466257"/>
    <n v="3079198792.0558629"/>
    <x v="178"/>
    <n v="36171159701"/>
  </r>
  <r>
    <x v="4"/>
    <s v="8+ kilometres"/>
    <s v="Rail/Dart/Luas"/>
    <n v="0.433"/>
    <n v="0"/>
    <n v="0"/>
    <n v="0"/>
    <n v="0"/>
    <n v="1.9E-2"/>
    <n v="41.2"/>
    <n v="1.8650306748466257"/>
    <n v="3079198792.0558629"/>
    <x v="179"/>
    <n v="36171159701"/>
  </r>
  <r>
    <x v="4"/>
    <s v="&lt;2 kilometres"/>
    <s v="Taxi/hackney"/>
    <n v="0.255"/>
    <n v="5.0000000000000001E-3"/>
    <n v="0"/>
    <n v="0"/>
    <n v="0"/>
    <n v="0"/>
    <n v="1"/>
    <n v="0.52760736196319014"/>
    <n v="3079198792.0558629"/>
    <x v="180"/>
    <n v="36171159701"/>
  </r>
  <r>
    <x v="4"/>
    <s v="2-4 kilometres"/>
    <s v="Taxi/hackney"/>
    <n v="0.13400000000000001"/>
    <n v="0"/>
    <n v="0.01"/>
    <n v="0"/>
    <n v="0"/>
    <n v="0"/>
    <n v="3"/>
    <n v="0.52760736196319014"/>
    <n v="3079198792.0558629"/>
    <x v="181"/>
    <n v="36171159701"/>
  </r>
  <r>
    <x v="4"/>
    <s v="4-6 kilometres"/>
    <s v="Taxi/hackney"/>
    <n v="0.11900000000000001"/>
    <n v="0"/>
    <n v="0"/>
    <n v="1.6E-2"/>
    <n v="0"/>
    <n v="0"/>
    <n v="5"/>
    <n v="0.52760736196319014"/>
    <n v="3079198792.0558629"/>
    <x v="182"/>
    <n v="36171159701"/>
  </r>
  <r>
    <x v="4"/>
    <s v="6-8 kilometres"/>
    <s v="Taxi/hackney"/>
    <n v="5.9000000000000004E-2"/>
    <n v="0"/>
    <n v="0"/>
    <n v="0"/>
    <n v="6.9999999999999993E-3"/>
    <n v="0"/>
    <n v="7"/>
    <n v="0.52760736196319014"/>
    <n v="3079198792.0558629"/>
    <x v="183"/>
    <n v="36171159701"/>
  </r>
  <r>
    <x v="4"/>
    <s v="8+ kilometres"/>
    <s v="Taxi/hackney"/>
    <n v="0.433"/>
    <n v="0"/>
    <n v="0"/>
    <n v="0"/>
    <n v="0"/>
    <n v="6.0000000000000001E-3"/>
    <n v="41.2"/>
    <n v="0.52760736196319014"/>
    <n v="3079198792.0558629"/>
    <x v="184"/>
    <n v="36171159701"/>
  </r>
  <r>
    <x v="4"/>
    <s v="&lt;2 kilometres"/>
    <s v="Lorry/Motorcycle/Other"/>
    <n v="0.255"/>
    <n v="1.2E-2"/>
    <n v="0"/>
    <n v="0"/>
    <n v="0"/>
    <n v="0"/>
    <n v="1"/>
    <n v="1.4969325153374231"/>
    <n v="3079198792.0558629"/>
    <x v="185"/>
    <n v="36171159701"/>
  </r>
  <r>
    <x v="4"/>
    <s v="2-4 kilometres"/>
    <s v="Lorry/Motorcycle/Other"/>
    <n v="0.13400000000000001"/>
    <n v="0"/>
    <n v="1.6E-2"/>
    <n v="0"/>
    <n v="0"/>
    <n v="0"/>
    <n v="3"/>
    <n v="1.4969325153374231"/>
    <n v="3079198792.0558629"/>
    <x v="186"/>
    <n v="36171159701"/>
  </r>
  <r>
    <x v="4"/>
    <s v="4-6 kilometres"/>
    <s v="Lorry/Motorcycle/Other"/>
    <n v="0.11900000000000001"/>
    <n v="0"/>
    <n v="0"/>
    <n v="2.3E-2"/>
    <n v="0"/>
    <n v="0"/>
    <n v="5"/>
    <n v="1.4969325153374231"/>
    <n v="3079198792.0558629"/>
    <x v="187"/>
    <n v="36171159701"/>
  </r>
  <r>
    <x v="4"/>
    <s v="6-8 kilometres"/>
    <s v="Lorry/Motorcycle/Other"/>
    <n v="5.9000000000000004E-2"/>
    <n v="0"/>
    <n v="0"/>
    <n v="0"/>
    <n v="0.04"/>
    <n v="0"/>
    <n v="7"/>
    <n v="1.4969325153374231"/>
    <n v="3079198792.0558629"/>
    <x v="188"/>
    <n v="36171159701"/>
  </r>
  <r>
    <x v="4"/>
    <s v="8+ kilometres"/>
    <s v="Lorry/Motorcycle/Other"/>
    <n v="0.433"/>
    <n v="0"/>
    <n v="0"/>
    <n v="0"/>
    <n v="0"/>
    <n v="4.9000000000000002E-2"/>
    <n v="41.2"/>
    <n v="1.4969325153374231"/>
    <n v="3079198792.0558629"/>
    <x v="189"/>
    <n v="36171159701"/>
  </r>
  <r>
    <x v="5"/>
    <s v="&lt;2 kilometres"/>
    <s v="Private car - Driver"/>
    <n v="0.28600000000000003"/>
    <n v="0.51400000000000001"/>
    <n v="0"/>
    <n v="0"/>
    <n v="0"/>
    <n v="0"/>
    <n v="1"/>
    <n v="1"/>
    <n v="5369880000"/>
    <x v="190"/>
    <n v="36195324272"/>
  </r>
  <r>
    <x v="5"/>
    <s v="2-4 kilometres"/>
    <s v="Private car - Driver"/>
    <n v="0.15"/>
    <n v="0"/>
    <n v="0.66099999999999992"/>
    <n v="0"/>
    <n v="0"/>
    <n v="0"/>
    <n v="3"/>
    <n v="1"/>
    <n v="5369880000"/>
    <x v="191"/>
    <n v="36195324272"/>
  </r>
  <r>
    <x v="5"/>
    <s v="4-6 kilometres"/>
    <s v="Private car - Driver"/>
    <n v="0.125"/>
    <n v="0"/>
    <n v="0"/>
    <n v="0.70641282565130259"/>
    <n v="0"/>
    <n v="0"/>
    <n v="5"/>
    <n v="1"/>
    <n v="5369880000"/>
    <x v="192"/>
    <n v="36195324272"/>
  </r>
  <r>
    <x v="5"/>
    <s v="6-8 kilometres"/>
    <s v="Private car - Driver"/>
    <n v="7.0000000000000007E-2"/>
    <n v="0"/>
    <n v="0"/>
    <n v="0"/>
    <n v="0.70599999999999996"/>
    <n v="0"/>
    <n v="7"/>
    <n v="1"/>
    <n v="5369880000"/>
    <x v="193"/>
    <n v="36195324272"/>
  </r>
  <r>
    <x v="5"/>
    <s v="8+ kilometres"/>
    <s v="Private car - Driver"/>
    <n v="0.36799999999999999"/>
    <n v="0"/>
    <n v="0"/>
    <n v="0"/>
    <n v="0"/>
    <n v="0.71900000000000008"/>
    <n v="25.7"/>
    <n v="1"/>
    <n v="5369880000"/>
    <x v="194"/>
    <n v="36195324272"/>
  </r>
  <r>
    <x v="5"/>
    <s v="&lt;2 kilometres"/>
    <s v="Private car - Passenger"/>
    <n v="0.28600000000000003"/>
    <n v="5.4000000000000006E-2"/>
    <n v="0"/>
    <n v="0"/>
    <n v="0"/>
    <n v="0"/>
    <n v="1"/>
    <n v="1.5073529411764706"/>
    <n v="5369880000"/>
    <x v="195"/>
    <n v="36195324272"/>
  </r>
  <r>
    <x v="5"/>
    <s v="2-4 kilometres"/>
    <s v="Private car - Passenger"/>
    <n v="0.15"/>
    <n v="0"/>
    <n v="6.5000000000000002E-2"/>
    <n v="0"/>
    <n v="0"/>
    <n v="0"/>
    <n v="3"/>
    <n v="1.5073529411764706"/>
    <n v="5369880000"/>
    <x v="196"/>
    <n v="36195324272"/>
  </r>
  <r>
    <x v="5"/>
    <s v="4-6 kilometres"/>
    <s v="Private car - Passenger"/>
    <n v="0.125"/>
    <n v="0"/>
    <n v="0"/>
    <n v="8.5170340681362727E-2"/>
    <n v="0"/>
    <n v="0"/>
    <n v="5"/>
    <n v="1.5073529411764706"/>
    <n v="5369880000"/>
    <x v="197"/>
    <n v="36195324272"/>
  </r>
  <r>
    <x v="5"/>
    <s v="6-8 kilometres"/>
    <s v="Private car - Passenger"/>
    <n v="7.0000000000000007E-2"/>
    <n v="0"/>
    <n v="0"/>
    <n v="0"/>
    <n v="7.0000000000000007E-2"/>
    <n v="0"/>
    <n v="7"/>
    <n v="1.5073529411764706"/>
    <n v="5369880000"/>
    <x v="198"/>
    <n v="36195324272"/>
  </r>
  <r>
    <x v="5"/>
    <s v="8+ kilometres"/>
    <s v="Private car - Passenger"/>
    <n v="0.36799999999999999"/>
    <n v="0"/>
    <n v="0"/>
    <n v="0"/>
    <n v="0"/>
    <n v="0.127"/>
    <n v="25.7"/>
    <n v="1.5073529411764706"/>
    <n v="5369880000"/>
    <x v="199"/>
    <n v="36195324272"/>
  </r>
  <r>
    <x v="5"/>
    <s v="&lt;2 kilometres"/>
    <s v="Walk"/>
    <n v="0.28600000000000003"/>
    <n v="0.36099999999999999"/>
    <n v="0"/>
    <n v="0"/>
    <n v="0"/>
    <n v="0"/>
    <n v="1"/>
    <n v="0.1985294117647059"/>
    <n v="5369880000"/>
    <x v="200"/>
    <n v="36195324272"/>
  </r>
  <r>
    <x v="5"/>
    <s v="2-4 kilometres"/>
    <s v="Walk"/>
    <n v="0.15"/>
    <n v="0"/>
    <n v="0.126"/>
    <n v="0"/>
    <n v="0"/>
    <n v="0"/>
    <n v="3"/>
    <n v="0.1985294117647059"/>
    <n v="5369880000"/>
    <x v="201"/>
    <n v="36195324272"/>
  </r>
  <r>
    <x v="5"/>
    <s v="4-6 kilometres"/>
    <s v="Walk"/>
    <n v="0.125"/>
    <n v="0"/>
    <n v="0"/>
    <n v="5.5110220440881763E-2"/>
    <n v="0"/>
    <n v="0"/>
    <n v="5"/>
    <n v="0.1985294117647059"/>
    <n v="5369880000"/>
    <x v="202"/>
    <n v="36195324272"/>
  </r>
  <r>
    <x v="5"/>
    <s v="6-8 kilometres"/>
    <s v="Walk"/>
    <n v="7.0000000000000007E-2"/>
    <n v="0"/>
    <n v="0"/>
    <n v="0"/>
    <n v="4.9000000000000002E-2"/>
    <n v="0"/>
    <n v="7"/>
    <n v="0.1985294117647059"/>
    <n v="5369880000"/>
    <x v="203"/>
    <n v="36195324272"/>
  </r>
  <r>
    <x v="5"/>
    <s v="8+ kilometres"/>
    <s v="Walk"/>
    <n v="0.36799999999999999"/>
    <n v="0"/>
    <n v="0"/>
    <n v="0"/>
    <n v="0"/>
    <n v="6.9999999999999993E-3"/>
    <n v="25.7"/>
    <n v="0.1985294117647059"/>
    <n v="5369880000"/>
    <x v="204"/>
    <n v="36195324272"/>
  </r>
  <r>
    <x v="5"/>
    <s v="&lt;2 kilometres"/>
    <s v="Bus"/>
    <n v="0.28600000000000003"/>
    <n v="1.7000000000000001E-2"/>
    <n v="0"/>
    <n v="0"/>
    <n v="0"/>
    <n v="0"/>
    <n v="1"/>
    <n v="1.1985294117647061"/>
    <n v="5369880000"/>
    <x v="205"/>
    <n v="36195324272"/>
  </r>
  <r>
    <x v="5"/>
    <s v="2-4 kilometres"/>
    <s v="Bus"/>
    <n v="0.15"/>
    <n v="0"/>
    <n v="8.1000000000000003E-2"/>
    <n v="0"/>
    <n v="0"/>
    <n v="0"/>
    <n v="3"/>
    <n v="1.1985294117647061"/>
    <n v="5369880000"/>
    <x v="206"/>
    <n v="36195324272"/>
  </r>
  <r>
    <x v="5"/>
    <s v="4-6 kilometres"/>
    <s v="Bus"/>
    <n v="0.125"/>
    <n v="0"/>
    <n v="0"/>
    <n v="6.7134268537074146E-2"/>
    <n v="0"/>
    <n v="0"/>
    <n v="5"/>
    <n v="1.1985294117647061"/>
    <n v="5369880000"/>
    <x v="207"/>
    <n v="36195324272"/>
  </r>
  <r>
    <x v="5"/>
    <s v="6-8 kilometres"/>
    <s v="Bus"/>
    <n v="7.0000000000000007E-2"/>
    <n v="0"/>
    <n v="0"/>
    <n v="0"/>
    <n v="7.8E-2"/>
    <n v="0"/>
    <n v="7"/>
    <n v="1.1985294117647061"/>
    <n v="5369880000"/>
    <x v="208"/>
    <n v="36195324272"/>
  </r>
  <r>
    <x v="5"/>
    <s v="8+ kilometres"/>
    <s v="Bus"/>
    <n v="0.36799999999999999"/>
    <n v="0"/>
    <n v="0"/>
    <n v="0"/>
    <n v="0"/>
    <n v="4.7E-2"/>
    <n v="25.7"/>
    <n v="1.1985294117647061"/>
    <n v="5369880000"/>
    <x v="209"/>
    <n v="36195324272"/>
  </r>
  <r>
    <x v="5"/>
    <s v="&lt;2 kilometres"/>
    <s v="Cycle"/>
    <n v="0.28600000000000003"/>
    <n v="0.02"/>
    <n v="0"/>
    <n v="0"/>
    <n v="0"/>
    <n v="0"/>
    <n v="1"/>
    <n v="0.41911764705882354"/>
    <n v="5369880000"/>
    <x v="210"/>
    <n v="36195324272"/>
  </r>
  <r>
    <x v="5"/>
    <s v="2-4 kilometres"/>
    <s v="Cycle"/>
    <n v="0.15"/>
    <n v="0"/>
    <n v="2.3E-2"/>
    <n v="0"/>
    <n v="0"/>
    <n v="0"/>
    <n v="3"/>
    <n v="0.41911764705882354"/>
    <n v="5369880000"/>
    <x v="211"/>
    <n v="36195324272"/>
  </r>
  <r>
    <x v="5"/>
    <s v="4-6 kilometres"/>
    <s v="Cycle"/>
    <n v="0.125"/>
    <n v="0"/>
    <n v="0"/>
    <n v="1.6032064128256515E-2"/>
    <n v="0"/>
    <n v="0"/>
    <n v="5"/>
    <n v="0.41911764705882354"/>
    <n v="5369880000"/>
    <x v="212"/>
    <n v="36195324272"/>
  </r>
  <r>
    <x v="5"/>
    <s v="6-8 kilometres"/>
    <s v="Cycle"/>
    <n v="7.0000000000000007E-2"/>
    <n v="0"/>
    <n v="0"/>
    <n v="0"/>
    <n v="2.3E-2"/>
    <n v="0"/>
    <n v="7"/>
    <n v="0.41911764705882354"/>
    <n v="5369880000"/>
    <x v="213"/>
    <n v="36195324272"/>
  </r>
  <r>
    <x v="5"/>
    <s v="8+ kilometres"/>
    <s v="Cycle"/>
    <n v="0.36799999999999999"/>
    <n v="0"/>
    <n v="0"/>
    <n v="0"/>
    <n v="0"/>
    <n v="6.9999999999999993E-3"/>
    <n v="25.7"/>
    <n v="0.41911764705882354"/>
    <n v="5369880000"/>
    <x v="214"/>
    <n v="36195324272"/>
  </r>
  <r>
    <x v="5"/>
    <s v="&lt;2 kilometres"/>
    <s v="Rail/Dart/Luas"/>
    <n v="0.28600000000000003"/>
    <n v="2E-3"/>
    <n v="0"/>
    <n v="0"/>
    <n v="0"/>
    <n v="0"/>
    <n v="1"/>
    <n v="2.375"/>
    <n v="5369880000"/>
    <x v="215"/>
    <n v="36195324272"/>
  </r>
  <r>
    <x v="5"/>
    <s v="2-4 kilometres"/>
    <s v="Rail/Dart/Luas"/>
    <n v="0.15"/>
    <n v="0"/>
    <n v="1.2E-2"/>
    <n v="0"/>
    <n v="0"/>
    <n v="0"/>
    <n v="3"/>
    <n v="2.375"/>
    <n v="5369880000"/>
    <x v="216"/>
    <n v="36195324272"/>
  </r>
  <r>
    <x v="5"/>
    <s v="4-6 kilometres"/>
    <s v="Rail/Dart/Luas"/>
    <n v="0.125"/>
    <n v="0"/>
    <n v="0"/>
    <n v="2.1042084168336674E-2"/>
    <n v="0"/>
    <n v="0"/>
    <n v="5"/>
    <n v="2.375"/>
    <n v="5369880000"/>
    <x v="217"/>
    <n v="36195324272"/>
  </r>
  <r>
    <x v="5"/>
    <s v="6-8 kilometres"/>
    <s v="Rail/Dart/Luas"/>
    <n v="7.0000000000000007E-2"/>
    <n v="0"/>
    <n v="0"/>
    <n v="0"/>
    <n v="3.3000000000000002E-2"/>
    <n v="0"/>
    <n v="7"/>
    <n v="2.375"/>
    <n v="5369880000"/>
    <x v="218"/>
    <n v="36195324272"/>
  </r>
  <r>
    <x v="5"/>
    <s v="8+ kilometres"/>
    <s v="Rail/Dart/Luas"/>
    <n v="0.36799999999999999"/>
    <n v="0"/>
    <n v="0"/>
    <n v="0"/>
    <n v="0"/>
    <n v="2.8999999999999998E-2"/>
    <n v="25.7"/>
    <n v="2.375"/>
    <n v="5369880000"/>
    <x v="219"/>
    <n v="36195324272"/>
  </r>
  <r>
    <x v="5"/>
    <s v="&lt;2 kilometres"/>
    <s v="Taxi/hackney"/>
    <n v="0.28600000000000003"/>
    <n v="8.0000000000000002E-3"/>
    <n v="0"/>
    <n v="0"/>
    <n v="0"/>
    <n v="0"/>
    <n v="1"/>
    <n v="0.7720588235294118"/>
    <n v="5369880000"/>
    <x v="220"/>
    <n v="36195324272"/>
  </r>
  <r>
    <x v="5"/>
    <s v="2-4 kilometres"/>
    <s v="Taxi/hackney"/>
    <n v="0.15"/>
    <n v="0"/>
    <n v="1.7000000000000001E-2"/>
    <n v="0"/>
    <n v="0"/>
    <n v="0"/>
    <n v="3"/>
    <n v="0.7720588235294118"/>
    <n v="5369880000"/>
    <x v="221"/>
    <n v="36195324272"/>
  </r>
  <r>
    <x v="5"/>
    <s v="4-6 kilometres"/>
    <s v="Taxi/hackney"/>
    <n v="0.125"/>
    <n v="0"/>
    <n v="0"/>
    <n v="1.4028056112224447E-2"/>
    <n v="0"/>
    <n v="0"/>
    <n v="5"/>
    <n v="0.7720588235294118"/>
    <n v="5369880000"/>
    <x v="222"/>
    <n v="36195324272"/>
  </r>
  <r>
    <x v="5"/>
    <s v="6-8 kilometres"/>
    <s v="Taxi/hackney"/>
    <n v="7.0000000000000007E-2"/>
    <n v="0"/>
    <n v="0"/>
    <n v="0"/>
    <n v="1.3999999999999999E-2"/>
    <n v="0"/>
    <n v="7"/>
    <n v="0.7720588235294118"/>
    <n v="5369880000"/>
    <x v="223"/>
    <n v="36195324272"/>
  </r>
  <r>
    <x v="5"/>
    <s v="8+ kilometres"/>
    <s v="Taxi/hackney"/>
    <n v="0.36799999999999999"/>
    <n v="0"/>
    <n v="0"/>
    <n v="0"/>
    <n v="0"/>
    <n v="5.0000000000000001E-3"/>
    <n v="25.7"/>
    <n v="0.7720588235294118"/>
    <n v="5369880000"/>
    <x v="224"/>
    <n v="36195324272"/>
  </r>
  <r>
    <x v="5"/>
    <s v="&lt;2 kilometres"/>
    <s v="Lorry/Motorcycle/Other"/>
    <n v="0.28600000000000003"/>
    <n v="2.4E-2"/>
    <n v="0"/>
    <n v="0"/>
    <n v="0"/>
    <n v="0"/>
    <n v="1"/>
    <n v="1.0073529411764706"/>
    <n v="5369880000"/>
    <x v="225"/>
    <n v="36195324272"/>
  </r>
  <r>
    <x v="5"/>
    <s v="2-4 kilometres"/>
    <s v="Lorry/Motorcycle/Other"/>
    <n v="0.15"/>
    <n v="0"/>
    <n v="1.6E-2"/>
    <n v="0"/>
    <n v="0"/>
    <n v="0"/>
    <n v="3"/>
    <n v="1.0073529411764706"/>
    <n v="5369880000"/>
    <x v="226"/>
    <n v="36195324272"/>
  </r>
  <r>
    <x v="5"/>
    <s v="4-6 kilometres"/>
    <s v="Lorry/Motorcycle/Other"/>
    <n v="0.125"/>
    <n v="0"/>
    <n v="0"/>
    <n v="3.5070140280561123E-2"/>
    <n v="0"/>
    <n v="0"/>
    <n v="5"/>
    <n v="1.0073529411764706"/>
    <n v="5369880000"/>
    <x v="227"/>
    <n v="36195324272"/>
  </r>
  <r>
    <x v="5"/>
    <s v="6-8 kilometres"/>
    <s v="Lorry/Motorcycle/Other"/>
    <n v="7.0000000000000007E-2"/>
    <n v="0"/>
    <n v="0"/>
    <n v="0"/>
    <n v="2.7000000000000003E-2"/>
    <n v="0"/>
    <n v="7"/>
    <n v="1.0073529411764706"/>
    <n v="5369880000"/>
    <x v="228"/>
    <n v="36195324272"/>
  </r>
  <r>
    <x v="5"/>
    <s v="8+ kilometres"/>
    <s v="Lorry/Motorcycle/Other"/>
    <n v="0.36799999999999999"/>
    <n v="0"/>
    <n v="0"/>
    <n v="0"/>
    <n v="0"/>
    <n v="0.06"/>
    <n v="25.7"/>
    <n v="1.0073529411764706"/>
    <n v="5369880000"/>
    <x v="229"/>
    <n v="36195324272"/>
  </r>
  <r>
    <x v="6"/>
    <m/>
    <m/>
    <m/>
    <m/>
    <m/>
    <m/>
    <m/>
    <m/>
    <m/>
    <m/>
    <m/>
    <x v="23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x v="0"/>
    <s v="&lt;2 kilometres"/>
    <x v="0"/>
    <n v="0.22"/>
    <n v="0.13"/>
    <n v="0"/>
    <n v="0"/>
    <n v="0"/>
    <n v="0"/>
    <n v="1"/>
    <n v="1"/>
    <n v="4007543571.4285707"/>
    <n v="114615746.14285712"/>
    <n v="32873713915"/>
  </r>
  <r>
    <x v="0"/>
    <s v="2-4 kilometres"/>
    <x v="0"/>
    <n v="0.19"/>
    <n v="0"/>
    <n v="0.17"/>
    <n v="0"/>
    <n v="0"/>
    <n v="0"/>
    <n v="3"/>
    <n v="1"/>
    <n v="4007543571.4285707"/>
    <n v="388330972.07142854"/>
    <n v="32873713915"/>
  </r>
  <r>
    <x v="0"/>
    <s v="4-6 kilometres"/>
    <x v="0"/>
    <n v="0.11"/>
    <n v="0"/>
    <n v="0"/>
    <n v="0.23"/>
    <n v="0"/>
    <n v="0"/>
    <n v="5"/>
    <n v="1"/>
    <n v="4007543571.4285707"/>
    <n v="506954261.78571421"/>
    <n v="32873713915"/>
  </r>
  <r>
    <x v="0"/>
    <s v="6-8 kilometres"/>
    <x v="0"/>
    <n v="0.06"/>
    <n v="0"/>
    <n v="0"/>
    <n v="0"/>
    <n v="0.24"/>
    <n v="0"/>
    <n v="7"/>
    <n v="1"/>
    <n v="4007543571.4285707"/>
    <n v="403960391.99999994"/>
    <n v="32873713915"/>
  </r>
  <r>
    <x v="0"/>
    <s v="8+ kilometres"/>
    <x v="0"/>
    <n v="0.41"/>
    <n v="0"/>
    <n v="0"/>
    <n v="0"/>
    <n v="0"/>
    <n v="0.37"/>
    <n v="32.770000000000003"/>
    <n v="1"/>
    <n v="4007543571.4285707"/>
    <n v="19922336670.177856"/>
    <n v="32873713915"/>
  </r>
  <r>
    <x v="0"/>
    <s v="&lt;2 kilometres"/>
    <x v="1"/>
    <n v="0.22"/>
    <n v="0.02"/>
    <n v="0"/>
    <n v="0"/>
    <n v="0"/>
    <n v="0"/>
    <n v="1"/>
    <n v="0.88888888888888884"/>
    <n v="4007543571.4285707"/>
    <n v="17633191.714285713"/>
    <n v="32873713915"/>
  </r>
  <r>
    <x v="0"/>
    <s v="2-4 kilometres"/>
    <x v="1"/>
    <n v="0.19"/>
    <n v="0"/>
    <n v="0.02"/>
    <n v="0"/>
    <n v="0"/>
    <n v="0"/>
    <n v="3"/>
    <n v="0.88888888888888884"/>
    <n v="4007543571.4285707"/>
    <n v="45685996.714285709"/>
    <n v="32873713915"/>
  </r>
  <r>
    <x v="0"/>
    <s v="4-6 kilometres"/>
    <x v="1"/>
    <n v="0.11"/>
    <n v="0"/>
    <n v="0"/>
    <n v="0.02"/>
    <n v="0"/>
    <n v="0"/>
    <n v="5"/>
    <n v="0.88888888888888884"/>
    <n v="4007543571.4285707"/>
    <n v="44082979.285714284"/>
    <n v="32873713915"/>
  </r>
  <r>
    <x v="0"/>
    <s v="6-8 kilometres"/>
    <x v="1"/>
    <n v="0.06"/>
    <n v="0"/>
    <n v="0"/>
    <n v="0"/>
    <n v="0.02"/>
    <n v="0"/>
    <n v="7"/>
    <n v="0.88888888888888884"/>
    <n v="4007543571.4285707"/>
    <n v="33663365.999999993"/>
    <n v="32873713915"/>
  </r>
  <r>
    <x v="0"/>
    <s v="8+ kilometres"/>
    <x v="1"/>
    <n v="0.41"/>
    <n v="0"/>
    <n v="0"/>
    <n v="0"/>
    <n v="0"/>
    <n v="0.04"/>
    <n v="32.770000000000003"/>
    <n v="0.88888888888888884"/>
    <n v="4007543571.4285707"/>
    <n v="2153766126.5057139"/>
    <n v="32873713915"/>
  </r>
  <r>
    <x v="0"/>
    <s v="&lt;2 kilometres"/>
    <x v="2"/>
    <n v="0.22"/>
    <n v="0.28000000000000003"/>
    <n v="0"/>
    <n v="0"/>
    <n v="0"/>
    <n v="0"/>
    <n v="1"/>
    <n v="0.44444444444444442"/>
    <n v="4007543571.4285707"/>
    <n v="246864684"/>
    <n v="32873713915"/>
  </r>
  <r>
    <x v="0"/>
    <s v="2-4 kilometres"/>
    <x v="2"/>
    <n v="0.19"/>
    <n v="0"/>
    <n v="0.22500000000000001"/>
    <n v="0"/>
    <n v="0"/>
    <n v="0"/>
    <n v="3"/>
    <n v="0.44444444444444442"/>
    <n v="4007543571.4285707"/>
    <n v="513967463.03571421"/>
    <n v="32873713915"/>
  </r>
  <r>
    <x v="0"/>
    <s v="4-6 kilometres"/>
    <x v="2"/>
    <n v="0.11"/>
    <n v="0"/>
    <n v="0"/>
    <n v="0.20499999999999999"/>
    <n v="0"/>
    <n v="0"/>
    <n v="5"/>
    <n v="0.44444444444444442"/>
    <n v="4007543571.4285707"/>
    <n v="451850537.67857128"/>
    <n v="32873713915"/>
  </r>
  <r>
    <x v="0"/>
    <s v="6-8 kilometres"/>
    <x v="2"/>
    <n v="0.06"/>
    <n v="0"/>
    <n v="0"/>
    <n v="0"/>
    <n v="0.19"/>
    <n v="0"/>
    <n v="7"/>
    <n v="0.44444444444444442"/>
    <n v="4007543571.4285707"/>
    <n v="319801977"/>
    <n v="32873713915"/>
  </r>
  <r>
    <x v="0"/>
    <s v="8+ kilometres"/>
    <x v="2"/>
    <n v="0.41"/>
    <n v="0"/>
    <n v="0"/>
    <n v="0"/>
    <n v="0"/>
    <n v="0.16"/>
    <n v="32.770000000000003"/>
    <n v="0.44444444444444442"/>
    <n v="4007543571.4285707"/>
    <n v="8615064506.0228558"/>
    <n v="32873713915"/>
  </r>
  <r>
    <x v="0"/>
    <s v="&lt;2 kilometres"/>
    <x v="3"/>
    <n v="0.22"/>
    <n v="0.04"/>
    <n v="0"/>
    <n v="0"/>
    <n v="0"/>
    <n v="0"/>
    <n v="1"/>
    <n v="0.44444444444444442"/>
    <n v="4007543571.4285707"/>
    <n v="35266383.428571425"/>
    <n v="32873713915"/>
  </r>
  <r>
    <x v="0"/>
    <s v="2-4 kilometres"/>
    <x v="3"/>
    <n v="0.19"/>
    <n v="0"/>
    <n v="2.5000000000000001E-2"/>
    <n v="0"/>
    <n v="0"/>
    <n v="0"/>
    <n v="3"/>
    <n v="0.44444444444444442"/>
    <n v="4007543571.4285707"/>
    <n v="57107495.892857142"/>
    <n v="32873713915"/>
  </r>
  <r>
    <x v="0"/>
    <s v="4-6 kilometres"/>
    <x v="3"/>
    <n v="0.11"/>
    <n v="0"/>
    <n v="0"/>
    <n v="2.5000000000000001E-2"/>
    <n v="0"/>
    <n v="0"/>
    <n v="5"/>
    <n v="0.44444444444444442"/>
    <n v="4007543571.4285707"/>
    <n v="55103724.107142858"/>
    <n v="32873713915"/>
  </r>
  <r>
    <x v="0"/>
    <s v="6-8 kilometres"/>
    <x v="3"/>
    <n v="0.06"/>
    <n v="0"/>
    <n v="0"/>
    <n v="0"/>
    <n v="0.03"/>
    <n v="0"/>
    <n v="7"/>
    <n v="0.44444444444444442"/>
    <n v="4007543571.4285707"/>
    <n v="50495048.999999993"/>
    <n v="32873713915"/>
  </r>
  <r>
    <x v="0"/>
    <s v="8+ kilometres"/>
    <x v="3"/>
    <n v="0.41"/>
    <n v="0"/>
    <n v="0"/>
    <n v="0"/>
    <n v="0"/>
    <n v="0.01"/>
    <n v="32.770000000000003"/>
    <n v="0.44444444444444442"/>
    <n v="4007543571.4285707"/>
    <n v="538441531.62642848"/>
    <n v="32873713915"/>
  </r>
  <r>
    <x v="0"/>
    <s v="&lt;2 kilometres"/>
    <x v="4"/>
    <n v="0.22"/>
    <n v="9.5000000000000001E-2"/>
    <n v="0"/>
    <n v="0"/>
    <n v="0"/>
    <n v="0"/>
    <n v="1"/>
    <n v="0.94444444444444442"/>
    <n v="4007543571.4285707"/>
    <n v="83757660.642857134"/>
    <n v="32873713915"/>
  </r>
  <r>
    <x v="0"/>
    <s v="2-4 kilometres"/>
    <x v="4"/>
    <n v="0.19"/>
    <n v="0"/>
    <n v="7.0000000000000007E-2"/>
    <n v="0"/>
    <n v="0"/>
    <n v="0"/>
    <n v="3"/>
    <n v="0.94444444444444442"/>
    <n v="4007543571.4285707"/>
    <n v="159900988.5"/>
    <n v="32873713915"/>
  </r>
  <r>
    <x v="0"/>
    <s v="4-6 kilometres"/>
    <x v="4"/>
    <n v="0.11"/>
    <n v="0"/>
    <n v="0"/>
    <n v="7.0000000000000007E-2"/>
    <n v="0"/>
    <n v="0"/>
    <n v="5"/>
    <n v="0.94444444444444442"/>
    <n v="4007543571.4285707"/>
    <n v="154290427.5"/>
    <n v="32873713915"/>
  </r>
  <r>
    <x v="0"/>
    <s v="6-8 kilometres"/>
    <x v="4"/>
    <n v="0.06"/>
    <n v="0"/>
    <n v="0"/>
    <n v="0"/>
    <n v="0.1"/>
    <n v="0"/>
    <n v="7"/>
    <n v="0.94444444444444442"/>
    <n v="4007543571.4285707"/>
    <n v="168316829.99999997"/>
    <n v="32873713915"/>
  </r>
  <r>
    <x v="0"/>
    <s v="8+ kilometres"/>
    <x v="4"/>
    <n v="0.41"/>
    <n v="0"/>
    <n v="0"/>
    <n v="0"/>
    <n v="0"/>
    <n v="0.12"/>
    <n v="32.770000000000003"/>
    <n v="0.94444444444444442"/>
    <n v="4007543571.4285707"/>
    <n v="6461298379.5171423"/>
    <n v="32873713915"/>
  </r>
  <r>
    <x v="0"/>
    <s v="&lt;2 kilometres"/>
    <x v="5"/>
    <n v="0.22"/>
    <n v="7.4999999999999997E-2"/>
    <n v="0"/>
    <n v="0"/>
    <n v="0"/>
    <n v="0"/>
    <n v="1"/>
    <n v="0.94444444444444442"/>
    <n v="4007543571.4285707"/>
    <n v="66124468.928571418"/>
    <n v="32873713915"/>
  </r>
  <r>
    <x v="0"/>
    <s v="2-4 kilometres"/>
    <x v="5"/>
    <n v="0.19"/>
    <n v="0"/>
    <n v="0.1"/>
    <n v="0"/>
    <n v="0"/>
    <n v="0"/>
    <n v="3"/>
    <n v="0.94444444444444442"/>
    <n v="4007543571.4285707"/>
    <n v="228429983.57142857"/>
    <n v="32873713915"/>
  </r>
  <r>
    <x v="0"/>
    <s v="4-6 kilometres"/>
    <x v="5"/>
    <n v="0.11"/>
    <n v="0"/>
    <n v="0"/>
    <n v="0.09"/>
    <n v="0"/>
    <n v="0"/>
    <n v="5"/>
    <n v="0.94444444444444442"/>
    <n v="4007543571.4285707"/>
    <n v="198373406.78571424"/>
    <n v="32873713915"/>
  </r>
  <r>
    <x v="0"/>
    <s v="6-8 kilometres"/>
    <x v="5"/>
    <n v="0.06"/>
    <n v="0"/>
    <n v="0"/>
    <n v="0"/>
    <n v="0.09"/>
    <n v="0"/>
    <n v="7"/>
    <n v="0.94444444444444442"/>
    <n v="4007543571.4285707"/>
    <n v="151485146.99999994"/>
    <n v="32873713915"/>
  </r>
  <r>
    <x v="0"/>
    <s v="8+ kilometres"/>
    <x v="5"/>
    <n v="0.41"/>
    <n v="0"/>
    <n v="0"/>
    <n v="0"/>
    <n v="0"/>
    <n v="0.06"/>
    <n v="32.770000000000003"/>
    <n v="0.94444444444444442"/>
    <n v="4007543571.4285707"/>
    <n v="3230649189.7585711"/>
    <n v="32873713915"/>
  </r>
  <r>
    <x v="0"/>
    <s v="&lt;2 kilometres"/>
    <x v="6"/>
    <n v="0.22"/>
    <n v="0.1"/>
    <n v="0"/>
    <n v="0"/>
    <n v="0"/>
    <n v="0"/>
    <n v="1"/>
    <n v="0.66666666666666663"/>
    <n v="4007543571.4285707"/>
    <n v="88165958.571428567"/>
    <n v="32873713915"/>
  </r>
  <r>
    <x v="0"/>
    <s v="2-4 kilometres"/>
    <x v="6"/>
    <n v="0.19"/>
    <n v="0"/>
    <n v="0.1"/>
    <n v="0"/>
    <n v="0"/>
    <n v="0"/>
    <n v="3"/>
    <n v="0.66666666666666663"/>
    <n v="4007543571.4285707"/>
    <n v="228429983.57142857"/>
    <n v="32873713915"/>
  </r>
  <r>
    <x v="0"/>
    <s v="4-6 kilometres"/>
    <x v="6"/>
    <n v="0.11"/>
    <n v="0"/>
    <n v="0"/>
    <n v="0.08"/>
    <n v="0"/>
    <n v="0"/>
    <n v="5"/>
    <n v="0.66666666666666663"/>
    <n v="4007543571.4285707"/>
    <n v="176331917.14285713"/>
    <n v="32873713915"/>
  </r>
  <r>
    <x v="0"/>
    <s v="6-8 kilometres"/>
    <x v="6"/>
    <n v="0.06"/>
    <n v="0"/>
    <n v="0"/>
    <n v="0"/>
    <n v="0.1"/>
    <n v="0"/>
    <n v="7"/>
    <n v="0.66666666666666663"/>
    <n v="4007543571.4285707"/>
    <n v="168316829.99999997"/>
    <n v="32873713915"/>
  </r>
  <r>
    <x v="0"/>
    <s v="8+ kilometres"/>
    <x v="6"/>
    <n v="0.41"/>
    <n v="0"/>
    <n v="0"/>
    <n v="0"/>
    <n v="0"/>
    <n v="0.08"/>
    <n v="32.770000000000003"/>
    <n v="0.66666666666666663"/>
    <n v="4007543571.4285707"/>
    <n v="4307532253.0114279"/>
    <n v="32873713915"/>
  </r>
  <r>
    <x v="0"/>
    <s v="&lt;2 kilometres"/>
    <x v="7"/>
    <n v="0.22"/>
    <n v="0.17"/>
    <n v="0"/>
    <n v="0"/>
    <n v="0"/>
    <n v="0"/>
    <n v="1"/>
    <n v="1.2222222222222223"/>
    <n v="4007543571.4285707"/>
    <n v="149882129.57142857"/>
    <n v="32873713915"/>
  </r>
  <r>
    <x v="0"/>
    <s v="2-4 kilometres"/>
    <x v="7"/>
    <n v="0.19"/>
    <n v="0"/>
    <n v="0.17"/>
    <n v="0"/>
    <n v="0"/>
    <n v="0"/>
    <n v="3"/>
    <n v="1.2222222222222223"/>
    <n v="4007543571.4285707"/>
    <n v="388330972.07142854"/>
    <n v="32873713915"/>
  </r>
  <r>
    <x v="0"/>
    <s v="4-6 kilometres"/>
    <x v="7"/>
    <n v="0.11"/>
    <n v="0"/>
    <n v="0"/>
    <n v="0.16"/>
    <n v="0"/>
    <n v="0"/>
    <n v="5"/>
    <n v="1.2222222222222223"/>
    <n v="4007543571.4285707"/>
    <n v="352663834.28571427"/>
    <n v="32873713915"/>
  </r>
  <r>
    <x v="0"/>
    <s v="6-8 kilometres"/>
    <x v="7"/>
    <n v="0.06"/>
    <n v="0"/>
    <n v="0"/>
    <n v="0"/>
    <n v="0.15"/>
    <n v="0"/>
    <n v="7"/>
    <n v="1.2222222222222223"/>
    <n v="4007543571.4285707"/>
    <n v="252475244.99999997"/>
    <n v="32873713915"/>
  </r>
  <r>
    <x v="0"/>
    <s v="8+ kilometres"/>
    <x v="7"/>
    <n v="0.41"/>
    <n v="0"/>
    <n v="0"/>
    <n v="0"/>
    <n v="0"/>
    <n v="7.0000000000000007E-2"/>
    <n v="32.770000000000003"/>
    <n v="1.2222222222222223"/>
    <n v="4007543571.4285707"/>
    <n v="3769090721.3849998"/>
    <n v="32873713915"/>
  </r>
  <r>
    <x v="0"/>
    <s v="&lt;2 kilometres"/>
    <x v="8"/>
    <n v="0.22"/>
    <n v="0.09"/>
    <n v="0"/>
    <n v="0"/>
    <n v="0"/>
    <n v="0"/>
    <n v="1"/>
    <n v="0.77777777777777779"/>
    <n v="4007543571.4285707"/>
    <n v="79349362.714285687"/>
    <n v="32873713915"/>
  </r>
  <r>
    <x v="0"/>
    <s v="2-4 kilometres"/>
    <x v="8"/>
    <n v="0.19"/>
    <n v="0"/>
    <n v="0.08"/>
    <n v="0"/>
    <n v="0"/>
    <n v="0"/>
    <n v="3"/>
    <n v="0.77777777777777779"/>
    <n v="4007543571.4285707"/>
    <n v="182743986.85714284"/>
    <n v="32873713915"/>
  </r>
  <r>
    <x v="0"/>
    <s v="4-6 kilometres"/>
    <x v="8"/>
    <n v="0.11"/>
    <n v="0"/>
    <n v="0"/>
    <n v="0.12"/>
    <n v="0"/>
    <n v="0"/>
    <n v="5"/>
    <n v="0.77777777777777779"/>
    <n v="4007543571.4285707"/>
    <n v="264497875.71428567"/>
    <n v="32873713915"/>
  </r>
  <r>
    <x v="0"/>
    <s v="6-8 kilometres"/>
    <x v="8"/>
    <n v="0.06"/>
    <n v="0"/>
    <n v="0"/>
    <n v="0"/>
    <n v="0.08"/>
    <n v="0"/>
    <n v="7"/>
    <n v="0.77777777777777779"/>
    <n v="4007543571.4285707"/>
    <n v="134653463.99999997"/>
    <n v="32873713915"/>
  </r>
  <r>
    <x v="0"/>
    <s v="8+ kilometres"/>
    <x v="8"/>
    <n v="0.41"/>
    <n v="0"/>
    <n v="0"/>
    <n v="0"/>
    <n v="0"/>
    <n v="0.09"/>
    <n v="32.770000000000003"/>
    <n v="0.77777777777777779"/>
    <n v="4007543571.4285707"/>
    <n v="4845973784.6378555"/>
    <n v="32873713915"/>
  </r>
  <r>
    <x v="1"/>
    <s v="&lt;2 kilometres"/>
    <x v="0"/>
    <n v="0.223"/>
    <n v="0.13600000000000001"/>
    <n v="0"/>
    <n v="0"/>
    <n v="0"/>
    <n v="0"/>
    <n v="1"/>
    <n v="1"/>
    <n v="3165688023.0367908"/>
    <n v="96008986.362659812"/>
    <n v="29535056173"/>
  </r>
  <r>
    <x v="1"/>
    <s v="2-4 kilometres"/>
    <x v="0"/>
    <n v="0.182"/>
    <n v="0"/>
    <n v="0.16800000000000001"/>
    <n v="0"/>
    <n v="0"/>
    <n v="0"/>
    <n v="3"/>
    <n v="1"/>
    <n v="3165688023.0367908"/>
    <n v="290382230.97711879"/>
    <n v="29535056173"/>
  </r>
  <r>
    <x v="1"/>
    <s v="4-6 kilometres"/>
    <x v="0"/>
    <n v="0.11699999999999999"/>
    <n v="0"/>
    <n v="0"/>
    <n v="0.18899999999999997"/>
    <n v="0"/>
    <n v="0"/>
    <n v="5"/>
    <n v="1"/>
    <n v="3165688023.0367908"/>
    <n v="350014296.26706272"/>
    <n v="29535056173"/>
  </r>
  <r>
    <x v="1"/>
    <s v="6-8 kilometres"/>
    <x v="0"/>
    <n v="0.06"/>
    <n v="0"/>
    <n v="0"/>
    <n v="0"/>
    <n v="0.245"/>
    <n v="0"/>
    <n v="7"/>
    <n v="1"/>
    <n v="3165688023.0367908"/>
    <n v="325749297.57048577"/>
    <n v="29535056173"/>
  </r>
  <r>
    <x v="1"/>
    <s v="8+ kilometres"/>
    <x v="0"/>
    <n v="0.41899999999999998"/>
    <n v="0"/>
    <n v="0"/>
    <n v="0"/>
    <n v="0"/>
    <n v="0.32"/>
    <n v="34.770000000000003"/>
    <n v="1"/>
    <n v="3165688023.0367908"/>
    <n v="14758316000.977436"/>
    <n v="29535056173"/>
  </r>
  <r>
    <x v="1"/>
    <s v="&lt;2 kilometres"/>
    <x v="1"/>
    <n v="0.223"/>
    <n v="7.0999999999999994E-2"/>
    <n v="0"/>
    <n v="0"/>
    <n v="0"/>
    <n v="0"/>
    <n v="1"/>
    <n v="0.88888888888888884"/>
    <n v="3165688023.0367908"/>
    <n v="50122338.468741506"/>
    <n v="29535056173"/>
  </r>
  <r>
    <x v="1"/>
    <s v="2-4 kilometres"/>
    <x v="1"/>
    <n v="0.182"/>
    <n v="0"/>
    <n v="4.4000000000000004E-2"/>
    <n v="0"/>
    <n v="0"/>
    <n v="0"/>
    <n v="3"/>
    <n v="0.88888888888888884"/>
    <n v="3165688023.0367908"/>
    <n v="76052489.065435871"/>
    <n v="29535056173"/>
  </r>
  <r>
    <x v="1"/>
    <s v="4-6 kilometres"/>
    <x v="1"/>
    <n v="0.11699999999999999"/>
    <n v="0"/>
    <n v="0"/>
    <n v="3.9E-2"/>
    <n v="0"/>
    <n v="0"/>
    <n v="5"/>
    <n v="0.88888888888888884"/>
    <n v="3165688023.0367908"/>
    <n v="72225172.245584369"/>
    <n v="29535056173"/>
  </r>
  <r>
    <x v="1"/>
    <s v="6-8 kilometres"/>
    <x v="1"/>
    <n v="0.06"/>
    <n v="0"/>
    <n v="0"/>
    <n v="0"/>
    <n v="3.9E-2"/>
    <n v="0"/>
    <n v="7"/>
    <n v="0.88888888888888884"/>
    <n v="3165688023.0367908"/>
    <n v="51853969.817342632"/>
    <n v="29535056173"/>
  </r>
  <r>
    <x v="1"/>
    <s v="8+ kilometres"/>
    <x v="1"/>
    <n v="0.41899999999999998"/>
    <n v="0"/>
    <n v="0"/>
    <n v="0"/>
    <n v="0"/>
    <n v="4.0999999999999995E-2"/>
    <n v="34.770000000000003"/>
    <n v="0.88888888888888884"/>
    <n v="3165688023.0367908"/>
    <n v="1890909237.6252337"/>
    <n v="29535056173"/>
  </r>
  <r>
    <x v="1"/>
    <s v="&lt;2 kilometres"/>
    <x v="2"/>
    <n v="0.223"/>
    <n v="0.27600000000000002"/>
    <n v="0"/>
    <n v="0"/>
    <n v="0"/>
    <n v="0"/>
    <n v="1"/>
    <n v="0.44444444444444442"/>
    <n v="3165688023.0367908"/>
    <n v="194841766.44186842"/>
    <n v="29535056173"/>
  </r>
  <r>
    <x v="1"/>
    <s v="2-4 kilometres"/>
    <x v="2"/>
    <n v="0.182"/>
    <n v="0"/>
    <n v="0.247"/>
    <n v="0"/>
    <n v="0"/>
    <n v="0"/>
    <n v="3"/>
    <n v="0.44444444444444442"/>
    <n v="3165688023.0367908"/>
    <n v="426931018.16278774"/>
    <n v="29535056173"/>
  </r>
  <r>
    <x v="1"/>
    <s v="4-6 kilometres"/>
    <x v="2"/>
    <n v="0.11699999999999999"/>
    <n v="0"/>
    <n v="0"/>
    <n v="0.20499999999999999"/>
    <n v="0"/>
    <n v="0"/>
    <n v="5"/>
    <n v="0.44444444444444442"/>
    <n v="3165688023.0367908"/>
    <n v="379645136.16268706"/>
    <n v="29535056173"/>
  </r>
  <r>
    <x v="1"/>
    <s v="6-8 kilometres"/>
    <x v="2"/>
    <n v="0.06"/>
    <n v="0"/>
    <n v="0"/>
    <n v="0"/>
    <n v="0.16800000000000001"/>
    <n v="0"/>
    <n v="7"/>
    <n v="0.44444444444444442"/>
    <n v="3165688023.0367908"/>
    <n v="223370946.90547594"/>
    <n v="29535056173"/>
  </r>
  <r>
    <x v="1"/>
    <s v="8+ kilometres"/>
    <x v="2"/>
    <n v="0.41899999999999998"/>
    <n v="0"/>
    <n v="0"/>
    <n v="0"/>
    <n v="0"/>
    <n v="0.17399999999999999"/>
    <n v="34.770000000000003"/>
    <n v="0.44444444444444442"/>
    <n v="3165688023.0367908"/>
    <n v="8024834325.5314798"/>
    <n v="29535056173"/>
  </r>
  <r>
    <x v="1"/>
    <s v="&lt;2 kilometres"/>
    <x v="3"/>
    <n v="0.223"/>
    <n v="4.0999999999999995E-2"/>
    <n v="0"/>
    <n v="0"/>
    <n v="0"/>
    <n v="0"/>
    <n v="1"/>
    <n v="0.44444444444444442"/>
    <n v="3165688023.0367908"/>
    <n v="28943885.594625372"/>
    <n v="29535056173"/>
  </r>
  <r>
    <x v="1"/>
    <s v="2-4 kilometres"/>
    <x v="3"/>
    <n v="0.182"/>
    <n v="0"/>
    <n v="2.2000000000000002E-2"/>
    <n v="0"/>
    <n v="0"/>
    <n v="0"/>
    <n v="3"/>
    <n v="0.44444444444444442"/>
    <n v="3165688023.0367908"/>
    <n v="38026244.532717936"/>
    <n v="29535056173"/>
  </r>
  <r>
    <x v="1"/>
    <s v="4-6 kilometres"/>
    <x v="3"/>
    <n v="0.11699999999999999"/>
    <n v="0"/>
    <n v="0"/>
    <n v="2.3E-2"/>
    <n v="0"/>
    <n v="0"/>
    <n v="5"/>
    <n v="0.44444444444444442"/>
    <n v="3165688023.0367908"/>
    <n v="42594332.349960014"/>
    <n v="29535056173"/>
  </r>
  <r>
    <x v="1"/>
    <s v="6-8 kilometres"/>
    <x v="3"/>
    <n v="0.06"/>
    <n v="0"/>
    <n v="0"/>
    <n v="0"/>
    <n v="2.5000000000000001E-2"/>
    <n v="0"/>
    <n v="7"/>
    <n v="0.44444444444444442"/>
    <n v="3165688023.0367908"/>
    <n v="33239724.241886307"/>
    <n v="29535056173"/>
  </r>
  <r>
    <x v="1"/>
    <s v="8+ kilometres"/>
    <x v="3"/>
    <n v="0.41899999999999998"/>
    <n v="0"/>
    <n v="0"/>
    <n v="0"/>
    <n v="0"/>
    <n v="1.3000000000000001E-2"/>
    <n v="34.770000000000003"/>
    <n v="0.44444444444444442"/>
    <n v="3165688023.0367908"/>
    <n v="599556587.53970838"/>
    <n v="29535056173"/>
  </r>
  <r>
    <x v="1"/>
    <s v="&lt;2 kilometres"/>
    <x v="4"/>
    <n v="0.223"/>
    <n v="8.5999999999999993E-2"/>
    <n v="0"/>
    <n v="0"/>
    <n v="0"/>
    <n v="0"/>
    <n v="1"/>
    <n v="0.94444444444444442"/>
    <n v="3165688023.0367908"/>
    <n v="60711564.905799568"/>
    <n v="29535056173"/>
  </r>
  <r>
    <x v="1"/>
    <s v="2-4 kilometres"/>
    <x v="4"/>
    <n v="0.182"/>
    <n v="0"/>
    <n v="7.8E-2"/>
    <n v="0"/>
    <n v="0"/>
    <n v="0"/>
    <n v="3"/>
    <n v="0.94444444444444442"/>
    <n v="3165688023.0367908"/>
    <n v="134820321.52509084"/>
    <n v="29535056173"/>
  </r>
  <r>
    <x v="1"/>
    <s v="4-6 kilometres"/>
    <x v="4"/>
    <n v="0.11699999999999999"/>
    <n v="0"/>
    <n v="0"/>
    <n v="9.4E-2"/>
    <n v="0"/>
    <n v="0"/>
    <n v="5"/>
    <n v="0.94444444444444442"/>
    <n v="3165688023.0367908"/>
    <n v="174081184.38679311"/>
    <n v="29535056173"/>
  </r>
  <r>
    <x v="1"/>
    <s v="6-8 kilometres"/>
    <x v="4"/>
    <n v="0.06"/>
    <n v="0"/>
    <n v="0"/>
    <n v="0"/>
    <n v="0.11199999999999999"/>
    <n v="0"/>
    <n v="7"/>
    <n v="0.94444444444444442"/>
    <n v="3165688023.0367908"/>
    <n v="148913964.60365063"/>
    <n v="29535056173"/>
  </r>
  <r>
    <x v="1"/>
    <s v="8+ kilometres"/>
    <x v="4"/>
    <n v="0.41899999999999998"/>
    <n v="0"/>
    <n v="0"/>
    <n v="0"/>
    <n v="0"/>
    <n v="0.13100000000000001"/>
    <n v="34.770000000000003"/>
    <n v="0.94444444444444442"/>
    <n v="3165688023.0367908"/>
    <n v="6041685612.9001379"/>
    <n v="29535056173"/>
  </r>
  <r>
    <x v="1"/>
    <s v="&lt;2 kilometres"/>
    <x v="5"/>
    <n v="0.223"/>
    <n v="6.2E-2"/>
    <n v="0"/>
    <n v="0"/>
    <n v="0"/>
    <n v="0"/>
    <n v="1"/>
    <n v="0.94444444444444442"/>
    <n v="3165688023.0367908"/>
    <n v="43768802.606506668"/>
    <n v="29535056173"/>
  </r>
  <r>
    <x v="1"/>
    <s v="2-4 kilometres"/>
    <x v="5"/>
    <n v="0.182"/>
    <n v="0"/>
    <n v="0.106"/>
    <n v="0"/>
    <n v="0"/>
    <n v="0"/>
    <n v="3"/>
    <n v="0.94444444444444442"/>
    <n v="3165688023.0367908"/>
    <n v="183217360.02127731"/>
    <n v="29535056173"/>
  </r>
  <r>
    <x v="1"/>
    <s v="4-6 kilometres"/>
    <x v="5"/>
    <n v="0.11699999999999999"/>
    <n v="0"/>
    <n v="0"/>
    <n v="0.125"/>
    <n v="0"/>
    <n v="0"/>
    <n v="5"/>
    <n v="0.94444444444444442"/>
    <n v="3165688023.0367908"/>
    <n v="231490936.68456531"/>
    <n v="29535056173"/>
  </r>
  <r>
    <x v="1"/>
    <s v="6-8 kilometres"/>
    <x v="5"/>
    <n v="0.06"/>
    <n v="0"/>
    <n v="0"/>
    <n v="0"/>
    <n v="0.10400000000000001"/>
    <n v="0"/>
    <n v="7"/>
    <n v="0.94444444444444442"/>
    <n v="3165688023.0367908"/>
    <n v="138277252.84624702"/>
    <n v="29535056173"/>
  </r>
  <r>
    <x v="1"/>
    <s v="8+ kilometres"/>
    <x v="5"/>
    <n v="0.41899999999999998"/>
    <n v="0"/>
    <n v="0"/>
    <n v="0"/>
    <n v="0"/>
    <n v="8.900000000000001E-2"/>
    <n v="34.770000000000003"/>
    <n v="0.94444444444444442"/>
    <n v="3165688023.0367908"/>
    <n v="4104656637.7718496"/>
    <n v="29535056173"/>
  </r>
  <r>
    <x v="1"/>
    <s v="&lt;2 kilometres"/>
    <x v="6"/>
    <n v="0.223"/>
    <n v="0.06"/>
    <n v="0"/>
    <n v="0"/>
    <n v="0"/>
    <n v="0"/>
    <n v="1"/>
    <n v="0.66666666666666663"/>
    <n v="3165688023.0367908"/>
    <n v="42356905.74823226"/>
    <n v="29535056173"/>
  </r>
  <r>
    <x v="1"/>
    <s v="2-4 kilometres"/>
    <x v="6"/>
    <n v="0.182"/>
    <n v="0"/>
    <n v="5.2999999999999999E-2"/>
    <n v="0"/>
    <n v="0"/>
    <n v="0"/>
    <n v="3"/>
    <n v="0.66666666666666663"/>
    <n v="3165688023.0367908"/>
    <n v="91608680.010638654"/>
    <n v="29535056173"/>
  </r>
  <r>
    <x v="1"/>
    <s v="4-6 kilometres"/>
    <x v="6"/>
    <n v="0.11699999999999999"/>
    <n v="0"/>
    <n v="0"/>
    <n v="4.4000000000000004E-2"/>
    <n v="0"/>
    <n v="0"/>
    <n v="5"/>
    <n v="0.66666666666666663"/>
    <n v="3165688023.0367908"/>
    <n v="81484809.712966993"/>
    <n v="29535056173"/>
  </r>
  <r>
    <x v="1"/>
    <s v="6-8 kilometres"/>
    <x v="6"/>
    <n v="0.06"/>
    <n v="0"/>
    <n v="0"/>
    <n v="0"/>
    <n v="5.2000000000000005E-2"/>
    <n v="0"/>
    <n v="7"/>
    <n v="0.66666666666666663"/>
    <n v="3165688023.0367908"/>
    <n v="69138626.423123509"/>
    <n v="29535056173"/>
  </r>
  <r>
    <x v="1"/>
    <s v="8+ kilometres"/>
    <x v="6"/>
    <n v="0.41899999999999998"/>
    <n v="0"/>
    <n v="0"/>
    <n v="0"/>
    <n v="0"/>
    <n v="6.4000000000000001E-2"/>
    <n v="34.770000000000003"/>
    <n v="0.66666666666666663"/>
    <n v="3165688023.0367908"/>
    <n v="2951663200.195487"/>
    <n v="29535056173"/>
  </r>
  <r>
    <x v="1"/>
    <s v="&lt;2 kilometres"/>
    <x v="7"/>
    <n v="0.223"/>
    <n v="0.22600000000000001"/>
    <n v="0"/>
    <n v="0"/>
    <n v="0"/>
    <n v="0"/>
    <n v="1"/>
    <n v="1.2222222222222223"/>
    <n v="3165688023.0367908"/>
    <n v="159544344.98500821"/>
    <n v="29535056173"/>
  </r>
  <r>
    <x v="1"/>
    <s v="2-4 kilometres"/>
    <x v="7"/>
    <n v="0.182"/>
    <n v="0"/>
    <n v="0.23300000000000001"/>
    <n v="0"/>
    <n v="0"/>
    <n v="0"/>
    <n v="3"/>
    <n v="1.2222222222222223"/>
    <n v="3165688023.0367908"/>
    <n v="402732498.91469443"/>
    <n v="29535056173"/>
  </r>
  <r>
    <x v="1"/>
    <s v="4-6 kilometres"/>
    <x v="7"/>
    <n v="0.11699999999999999"/>
    <n v="0"/>
    <n v="0"/>
    <n v="0.23199999999999998"/>
    <n v="0"/>
    <n v="0"/>
    <n v="5"/>
    <n v="1.2222222222222223"/>
    <n v="3165688023.0367908"/>
    <n v="429647178.48655319"/>
    <n v="29535056173"/>
  </r>
  <r>
    <x v="1"/>
    <s v="6-8 kilometres"/>
    <x v="7"/>
    <n v="0.06"/>
    <n v="0"/>
    <n v="0"/>
    <n v="0"/>
    <n v="0.21"/>
    <n v="0"/>
    <n v="7"/>
    <n v="1.2222222222222223"/>
    <n v="3165688023.0367908"/>
    <n v="279213683.63184494"/>
    <n v="29535056173"/>
  </r>
  <r>
    <x v="1"/>
    <s v="8+ kilometres"/>
    <x v="7"/>
    <n v="0.41899999999999998"/>
    <n v="0"/>
    <n v="0"/>
    <n v="0"/>
    <n v="0"/>
    <n v="0.13600000000000001"/>
    <n v="34.770000000000003"/>
    <n v="1.2222222222222223"/>
    <n v="3165688023.0367908"/>
    <n v="6272284300.41541"/>
    <n v="29535056173"/>
  </r>
  <r>
    <x v="1"/>
    <s v="&lt;2 kilometres"/>
    <x v="8"/>
    <n v="0.223"/>
    <n v="4.2999999999999997E-2"/>
    <n v="0"/>
    <n v="0"/>
    <n v="0"/>
    <n v="0"/>
    <n v="1"/>
    <n v="0.77777777777777779"/>
    <n v="3165688023.0367908"/>
    <n v="30355782.452899784"/>
    <n v="29535056173"/>
  </r>
  <r>
    <x v="1"/>
    <s v="2-4 kilometres"/>
    <x v="8"/>
    <n v="0.182"/>
    <n v="0"/>
    <n v="4.8000000000000001E-2"/>
    <n v="0"/>
    <n v="0"/>
    <n v="0"/>
    <n v="3"/>
    <n v="0.77777777777777779"/>
    <n v="3165688023.0367908"/>
    <n v="82966351.707748219"/>
    <n v="29535056173"/>
  </r>
  <r>
    <x v="1"/>
    <s v="4-6 kilometres"/>
    <x v="8"/>
    <n v="0.11699999999999999"/>
    <n v="0"/>
    <n v="0"/>
    <n v="0.05"/>
    <n v="0"/>
    <n v="0"/>
    <n v="5"/>
    <n v="0.77777777777777779"/>
    <n v="3165688023.0367908"/>
    <n v="92596374.673826143"/>
    <n v="29535056173"/>
  </r>
  <r>
    <x v="1"/>
    <s v="6-8 kilometres"/>
    <x v="8"/>
    <n v="0.06"/>
    <n v="0"/>
    <n v="0"/>
    <n v="0"/>
    <n v="4.5999999999999999E-2"/>
    <n v="0"/>
    <n v="7"/>
    <n v="0.77777777777777779"/>
    <n v="3165688023.0367908"/>
    <n v="61161092.6050708"/>
    <n v="29535056173"/>
  </r>
  <r>
    <x v="1"/>
    <s v="8+ kilometres"/>
    <x v="8"/>
    <n v="0.41899999999999998"/>
    <n v="0"/>
    <n v="0"/>
    <n v="0"/>
    <n v="0"/>
    <n v="3.3000000000000002E-2"/>
    <n v="34.770000000000003"/>
    <n v="0.77777777777777779"/>
    <n v="3165688023.0367908"/>
    <n v="1521951337.6007981"/>
    <n v="29535056173"/>
  </r>
  <r>
    <x v="2"/>
    <s v="&lt;2 kilometres"/>
    <x v="0"/>
    <n v="0.21100000000000002"/>
    <n v="0.16399999999999998"/>
    <n v="0"/>
    <n v="0"/>
    <n v="0"/>
    <n v="0"/>
    <n v="1"/>
    <n v="1"/>
    <n v="3171485717.1895118"/>
    <n v="109746091.75762585"/>
    <n v="31821299194"/>
  </r>
  <r>
    <x v="2"/>
    <s v="2-4 kilometres"/>
    <x v="0"/>
    <n v="0.18899999999999997"/>
    <n v="0"/>
    <n v="0.191"/>
    <n v="0"/>
    <n v="0"/>
    <n v="0"/>
    <n v="3"/>
    <n v="1"/>
    <n v="3171485717.1895118"/>
    <n v="343462388.71447247"/>
    <n v="31821299194"/>
  </r>
  <r>
    <x v="2"/>
    <s v="4-6 kilometres"/>
    <x v="0"/>
    <n v="0.11699999999999999"/>
    <n v="0"/>
    <n v="0"/>
    <n v="0.22500000000000001"/>
    <n v="0"/>
    <n v="0"/>
    <n v="5"/>
    <n v="1"/>
    <n v="3171485717.1895118"/>
    <n v="417446807.52506948"/>
    <n v="31821299194"/>
  </r>
  <r>
    <x v="2"/>
    <s v="6-8 kilometres"/>
    <x v="0"/>
    <n v="6.6000000000000003E-2"/>
    <n v="0"/>
    <n v="0"/>
    <n v="0"/>
    <n v="0.23399999999999999"/>
    <n v="0"/>
    <n v="7"/>
    <n v="1"/>
    <n v="3171485717.1895118"/>
    <n v="342862977.91392374"/>
    <n v="31821299194"/>
  </r>
  <r>
    <x v="2"/>
    <s v="8+ kilometres"/>
    <x v="0"/>
    <n v="0.41700000000000004"/>
    <n v="0"/>
    <n v="0"/>
    <n v="0"/>
    <n v="0"/>
    <n v="0.218"/>
    <n v="38.15"/>
    <n v="1"/>
    <n v="3171485717.1895118"/>
    <n v="10998915125.150557"/>
    <n v="31821299194"/>
  </r>
  <r>
    <x v="2"/>
    <s v="&lt;2 kilometres"/>
    <x v="1"/>
    <n v="0.21100000000000002"/>
    <n v="6.6000000000000003E-2"/>
    <n v="0"/>
    <n v="0"/>
    <n v="0"/>
    <n v="0"/>
    <n v="1"/>
    <n v="0.88888888888888884"/>
    <n v="3171485717.1895118"/>
    <n v="44166110.097581148"/>
    <n v="31821299194"/>
  </r>
  <r>
    <x v="2"/>
    <s v="2-4 kilometres"/>
    <x v="1"/>
    <n v="0.18899999999999997"/>
    <n v="0"/>
    <n v="4.8000000000000001E-2"/>
    <n v="0"/>
    <n v="0"/>
    <n v="0"/>
    <n v="3"/>
    <n v="0.88888888888888884"/>
    <n v="3171485717.1895118"/>
    <n v="86315155.279029742"/>
    <n v="31821299194"/>
  </r>
  <r>
    <x v="2"/>
    <s v="4-6 kilometres"/>
    <x v="1"/>
    <n v="0.11699999999999999"/>
    <n v="0"/>
    <n v="0"/>
    <n v="4.0999999999999995E-2"/>
    <n v="0"/>
    <n v="0"/>
    <n v="5"/>
    <n v="0.88888888888888884"/>
    <n v="3171485717.1895118"/>
    <n v="76068084.926790431"/>
    <n v="31821299194"/>
  </r>
  <r>
    <x v="2"/>
    <s v="6-8 kilometres"/>
    <x v="1"/>
    <n v="6.6000000000000003E-2"/>
    <n v="0"/>
    <n v="0"/>
    <n v="0"/>
    <n v="3.3000000000000002E-2"/>
    <n v="0"/>
    <n v="7"/>
    <n v="0.88888888888888884"/>
    <n v="3171485717.1895118"/>
    <n v="48352471.244271308"/>
    <n v="31821299194"/>
  </r>
  <r>
    <x v="2"/>
    <s v="8+ kilometres"/>
    <x v="1"/>
    <n v="0.41700000000000004"/>
    <n v="0"/>
    <n v="0"/>
    <n v="0"/>
    <n v="0"/>
    <n v="0.05"/>
    <n v="38.15"/>
    <n v="0.88888888888888884"/>
    <n v="3171485717.1895118"/>
    <n v="2522686955.309761"/>
    <n v="31821299194"/>
  </r>
  <r>
    <x v="2"/>
    <s v="&lt;2 kilometres"/>
    <x v="2"/>
    <n v="0.21100000000000002"/>
    <n v="0.30299999999999999"/>
    <n v="0"/>
    <n v="0"/>
    <n v="0"/>
    <n v="0"/>
    <n v="1"/>
    <n v="0.44444444444444442"/>
    <n v="3171485717.1895118"/>
    <n v="202762596.35707706"/>
    <n v="31821299194"/>
  </r>
  <r>
    <x v="2"/>
    <s v="2-4 kilometres"/>
    <x v="2"/>
    <n v="0.18899999999999997"/>
    <n v="0"/>
    <n v="0.254"/>
    <n v="0"/>
    <n v="0"/>
    <n v="0"/>
    <n v="3"/>
    <n v="0.44444444444444442"/>
    <n v="3171485717.1895118"/>
    <n v="456751030.01819903"/>
    <n v="31821299194"/>
  </r>
  <r>
    <x v="2"/>
    <s v="4-6 kilometres"/>
    <x v="2"/>
    <n v="0.11699999999999999"/>
    <n v="0"/>
    <n v="0"/>
    <n v="0.221"/>
    <n v="0"/>
    <n v="0"/>
    <n v="5"/>
    <n v="0.44444444444444442"/>
    <n v="3171485717.1895118"/>
    <n v="410025530.94684595"/>
    <n v="31821299194"/>
  </r>
  <r>
    <x v="2"/>
    <s v="6-8 kilometres"/>
    <x v="2"/>
    <n v="6.6000000000000003E-2"/>
    <n v="0"/>
    <n v="0"/>
    <n v="0"/>
    <n v="0.21199999999999999"/>
    <n v="0"/>
    <n v="7"/>
    <n v="0.44444444444444442"/>
    <n v="3171485717.1895118"/>
    <n v="310627997.08440953"/>
    <n v="31821299194"/>
  </r>
  <r>
    <x v="2"/>
    <s v="8+ kilometres"/>
    <x v="2"/>
    <n v="0.41700000000000004"/>
    <n v="0"/>
    <n v="0"/>
    <n v="0"/>
    <n v="0"/>
    <n v="0.23899999999999999"/>
    <n v="38.15"/>
    <n v="0.44444444444444442"/>
    <n v="3171485717.1895118"/>
    <n v="12058443646.380655"/>
    <n v="31821299194"/>
  </r>
  <r>
    <x v="2"/>
    <s v="&lt;2 kilometres"/>
    <x v="3"/>
    <n v="0.21100000000000002"/>
    <n v="3.4000000000000002E-2"/>
    <n v="0"/>
    <n v="0"/>
    <n v="0"/>
    <n v="0"/>
    <n v="1"/>
    <n v="0.44444444444444442"/>
    <n v="3171485717.1895118"/>
    <n v="22752238.535117563"/>
    <n v="31821299194"/>
  </r>
  <r>
    <x v="2"/>
    <s v="2-4 kilometres"/>
    <x v="3"/>
    <n v="0.18899999999999997"/>
    <n v="0"/>
    <n v="1.9E-2"/>
    <n v="0"/>
    <n v="0"/>
    <n v="0"/>
    <n v="3"/>
    <n v="0.44444444444444442"/>
    <n v="3171485717.1895118"/>
    <n v="34166415.631282605"/>
    <n v="31821299194"/>
  </r>
  <r>
    <x v="2"/>
    <s v="4-6 kilometres"/>
    <x v="3"/>
    <n v="0.11699999999999999"/>
    <n v="0"/>
    <n v="0"/>
    <n v="1.8000000000000002E-2"/>
    <n v="0"/>
    <n v="0"/>
    <n v="5"/>
    <n v="0.44444444444444442"/>
    <n v="3171485717.1895118"/>
    <n v="33395744.602005564"/>
    <n v="31821299194"/>
  </r>
  <r>
    <x v="2"/>
    <s v="6-8 kilometres"/>
    <x v="3"/>
    <n v="6.6000000000000003E-2"/>
    <n v="0"/>
    <n v="0"/>
    <n v="0"/>
    <n v="1.9E-2"/>
    <n v="0"/>
    <n v="7"/>
    <n v="0.44444444444444442"/>
    <n v="3171485717.1895118"/>
    <n v="27839301.625489537"/>
    <n v="31821299194"/>
  </r>
  <r>
    <x v="2"/>
    <s v="8+ kilometres"/>
    <x v="3"/>
    <n v="0.41700000000000004"/>
    <n v="0"/>
    <n v="0"/>
    <n v="0"/>
    <n v="0"/>
    <n v="2.2000000000000002E-2"/>
    <n v="38.15"/>
    <n v="0.44444444444444442"/>
    <n v="3171485717.1895118"/>
    <n v="1109982260.3362947"/>
    <n v="31821299194"/>
  </r>
  <r>
    <x v="2"/>
    <s v="&lt;2 kilometres"/>
    <x v="4"/>
    <n v="0.21100000000000002"/>
    <n v="7.4999999999999997E-2"/>
    <n v="0"/>
    <n v="0"/>
    <n v="0"/>
    <n v="0"/>
    <n v="1"/>
    <n v="0.94444444444444442"/>
    <n v="3171485717.1895118"/>
    <n v="50188761.474524029"/>
    <n v="31821299194"/>
  </r>
  <r>
    <x v="2"/>
    <s v="2-4 kilometres"/>
    <x v="4"/>
    <n v="0.18899999999999997"/>
    <n v="0"/>
    <n v="0.08"/>
    <n v="0"/>
    <n v="0"/>
    <n v="0"/>
    <n v="3"/>
    <n v="0.94444444444444442"/>
    <n v="3171485717.1895118"/>
    <n v="143858592.13171625"/>
    <n v="31821299194"/>
  </r>
  <r>
    <x v="2"/>
    <s v="4-6 kilometres"/>
    <x v="4"/>
    <n v="0.11699999999999999"/>
    <n v="0"/>
    <n v="0"/>
    <n v="8.3000000000000004E-2"/>
    <n v="0"/>
    <n v="0"/>
    <n v="5"/>
    <n v="0.94444444444444442"/>
    <n v="3171485717.1895118"/>
    <n v="153991488.99813673"/>
    <n v="31821299194"/>
  </r>
  <r>
    <x v="2"/>
    <s v="6-8 kilometres"/>
    <x v="4"/>
    <n v="6.6000000000000003E-2"/>
    <n v="0"/>
    <n v="0"/>
    <n v="0"/>
    <n v="0.121"/>
    <n v="0"/>
    <n v="7"/>
    <n v="0.94444444444444442"/>
    <n v="3171485717.1895118"/>
    <n v="177292394.5623281"/>
    <n v="31821299194"/>
  </r>
  <r>
    <x v="2"/>
    <s v="8+ kilometres"/>
    <x v="4"/>
    <n v="0.41700000000000004"/>
    <n v="0"/>
    <n v="0"/>
    <n v="0"/>
    <n v="0"/>
    <n v="9.8000000000000004E-2"/>
    <n v="38.15"/>
    <n v="0.94444444444444442"/>
    <n v="3171485717.1895118"/>
    <n v="4944466432.4071302"/>
    <n v="31821299194"/>
  </r>
  <r>
    <x v="2"/>
    <s v="&lt;2 kilometres"/>
    <x v="5"/>
    <n v="0.21100000000000002"/>
    <n v="8.3000000000000004E-2"/>
    <n v="0"/>
    <n v="0"/>
    <n v="0"/>
    <n v="0"/>
    <n v="1"/>
    <n v="0.94444444444444442"/>
    <n v="3171485717.1895118"/>
    <n v="55542229.365139931"/>
    <n v="31821299194"/>
  </r>
  <r>
    <x v="2"/>
    <s v="2-4 kilometres"/>
    <x v="5"/>
    <n v="0.18899999999999997"/>
    <n v="0"/>
    <n v="0.107"/>
    <n v="0"/>
    <n v="0"/>
    <n v="0"/>
    <n v="3"/>
    <n v="0.94444444444444442"/>
    <n v="3171485717.1895118"/>
    <n v="192410866.97617048"/>
    <n v="31821299194"/>
  </r>
  <r>
    <x v="2"/>
    <s v="4-6 kilometres"/>
    <x v="5"/>
    <n v="0.11699999999999999"/>
    <n v="0"/>
    <n v="0"/>
    <n v="0.127"/>
    <n v="0"/>
    <n v="0"/>
    <n v="5"/>
    <n v="0.94444444444444442"/>
    <n v="3171485717.1895118"/>
    <n v="235625531.35859478"/>
    <n v="31821299194"/>
  </r>
  <r>
    <x v="2"/>
    <s v="6-8 kilometres"/>
    <x v="5"/>
    <n v="6.6000000000000003E-2"/>
    <n v="0"/>
    <n v="0"/>
    <n v="0"/>
    <n v="0.11599999999999999"/>
    <n v="0"/>
    <n v="7"/>
    <n v="0.94444444444444442"/>
    <n v="3171485717.1895118"/>
    <n v="169966262.55562031"/>
    <n v="31821299194"/>
  </r>
  <r>
    <x v="2"/>
    <s v="8+ kilometres"/>
    <x v="5"/>
    <n v="0.41700000000000004"/>
    <n v="0"/>
    <n v="0"/>
    <n v="0"/>
    <n v="0"/>
    <n v="0.13100000000000001"/>
    <n v="38.15"/>
    <n v="0.94444444444444442"/>
    <n v="3171485717.1895118"/>
    <n v="6609439822.9115734"/>
    <n v="31821299194"/>
  </r>
  <r>
    <x v="2"/>
    <s v="&lt;2 kilometres"/>
    <x v="6"/>
    <n v="0.21100000000000002"/>
    <n v="5.2999999999999999E-2"/>
    <n v="0"/>
    <n v="0"/>
    <n v="0"/>
    <n v="0"/>
    <n v="1"/>
    <n v="0.66666666666666663"/>
    <n v="3171485717.1895118"/>
    <n v="35466724.775330313"/>
    <n v="31821299194"/>
  </r>
  <r>
    <x v="2"/>
    <s v="2-4 kilometres"/>
    <x v="6"/>
    <n v="0.18899999999999997"/>
    <n v="0"/>
    <n v="5.4000000000000006E-2"/>
    <n v="0"/>
    <n v="0"/>
    <n v="0"/>
    <n v="3"/>
    <n v="0.66666666666666663"/>
    <n v="3171485717.1895118"/>
    <n v="97104549.688908473"/>
    <n v="31821299194"/>
  </r>
  <r>
    <x v="2"/>
    <s v="4-6 kilometres"/>
    <x v="6"/>
    <n v="0.11699999999999999"/>
    <n v="0"/>
    <n v="0"/>
    <n v="0.06"/>
    <n v="0"/>
    <n v="0"/>
    <n v="5"/>
    <n v="0.66666666666666663"/>
    <n v="3171485717.1895118"/>
    <n v="111319148.67335185"/>
    <n v="31821299194"/>
  </r>
  <r>
    <x v="2"/>
    <s v="6-8 kilometres"/>
    <x v="6"/>
    <n v="6.6000000000000003E-2"/>
    <n v="0"/>
    <n v="0"/>
    <n v="0"/>
    <n v="7.0000000000000007E-2"/>
    <n v="0"/>
    <n v="7"/>
    <n v="0.66666666666666663"/>
    <n v="3171485717.1895118"/>
    <n v="102565848.09390883"/>
    <n v="31821299194"/>
  </r>
  <r>
    <x v="2"/>
    <s v="8+ kilometres"/>
    <x v="6"/>
    <n v="0.41700000000000004"/>
    <n v="0"/>
    <n v="0"/>
    <n v="0"/>
    <n v="0"/>
    <n v="5.5E-2"/>
    <n v="38.15"/>
    <n v="0.66666666666666663"/>
    <n v="3171485717.1895118"/>
    <n v="2774955650.8407364"/>
    <n v="31821299194"/>
  </r>
  <r>
    <x v="2"/>
    <s v="&lt;2 kilometres"/>
    <x v="7"/>
    <n v="0.21100000000000002"/>
    <n v="0.17399999999999999"/>
    <n v="0"/>
    <n v="0"/>
    <n v="0"/>
    <n v="0"/>
    <n v="1"/>
    <n v="1.2222222222222223"/>
    <n v="3171485717.1895118"/>
    <n v="116437926.62089574"/>
    <n v="31821299194"/>
  </r>
  <r>
    <x v="2"/>
    <s v="2-4 kilometres"/>
    <x v="7"/>
    <n v="0.18899999999999997"/>
    <n v="0"/>
    <n v="0.2"/>
    <n v="0"/>
    <n v="0"/>
    <n v="0"/>
    <n v="3"/>
    <n v="1.2222222222222223"/>
    <n v="3171485717.1895118"/>
    <n v="359646480.32929063"/>
    <n v="31821299194"/>
  </r>
  <r>
    <x v="2"/>
    <s v="4-6 kilometres"/>
    <x v="7"/>
    <n v="0.11699999999999999"/>
    <n v="0"/>
    <n v="0"/>
    <n v="0.18"/>
    <n v="0"/>
    <n v="0"/>
    <n v="5"/>
    <n v="1.2222222222222223"/>
    <n v="3171485717.1895118"/>
    <n v="333957446.02005553"/>
    <n v="31821299194"/>
  </r>
  <r>
    <x v="2"/>
    <s v="6-8 kilometres"/>
    <x v="7"/>
    <n v="6.6000000000000003E-2"/>
    <n v="0"/>
    <n v="0"/>
    <n v="0"/>
    <n v="0.154"/>
    <n v="0"/>
    <n v="7"/>
    <n v="1.2222222222222223"/>
    <n v="3171485717.1895118"/>
    <n v="225644865.80659938"/>
    <n v="31821299194"/>
  </r>
  <r>
    <x v="2"/>
    <s v="8+ kilometres"/>
    <x v="7"/>
    <n v="0.41700000000000004"/>
    <n v="0"/>
    <n v="0"/>
    <n v="0"/>
    <n v="0"/>
    <n v="0.13900000000000001"/>
    <n v="38.15"/>
    <n v="1.2222222222222223"/>
    <n v="3171485717.1895118"/>
    <n v="7013069735.7611341"/>
    <n v="31821299194"/>
  </r>
  <r>
    <x v="2"/>
    <s v="&lt;2 kilometres"/>
    <x v="8"/>
    <n v="0.21100000000000002"/>
    <n v="0.05"/>
    <n v="0"/>
    <n v="0"/>
    <n v="0"/>
    <n v="0"/>
    <n v="1"/>
    <n v="0.77777777777777779"/>
    <n v="3171485717.1895118"/>
    <n v="33459174.316349357"/>
    <n v="31821299194"/>
  </r>
  <r>
    <x v="2"/>
    <s v="2-4 kilometres"/>
    <x v="8"/>
    <n v="0.18899999999999997"/>
    <n v="0"/>
    <n v="4.7E-2"/>
    <n v="0"/>
    <n v="0"/>
    <n v="0"/>
    <n v="3"/>
    <n v="0.77777777777777779"/>
    <n v="3171485717.1895118"/>
    <n v="84516922.877383292"/>
    <n v="31821299194"/>
  </r>
  <r>
    <x v="2"/>
    <s v="4-6 kilometres"/>
    <x v="8"/>
    <n v="0.11699999999999999"/>
    <n v="0"/>
    <n v="0"/>
    <n v="4.4000000000000004E-2"/>
    <n v="0"/>
    <n v="0"/>
    <n v="5"/>
    <n v="0.77777777777777779"/>
    <n v="3171485717.1895118"/>
    <n v="81634042.360458031"/>
    <n v="31821299194"/>
  </r>
  <r>
    <x v="2"/>
    <s v="6-8 kilometres"/>
    <x v="8"/>
    <n v="6.6000000000000003E-2"/>
    <n v="0"/>
    <n v="0"/>
    <n v="0"/>
    <n v="4.0999999999999995E-2"/>
    <n v="0"/>
    <n v="7"/>
    <n v="0.77777777777777779"/>
    <n v="3171485717.1895118"/>
    <n v="60074282.455003724"/>
    <n v="31821299194"/>
  </r>
  <r>
    <x v="2"/>
    <s v="8+ kilometres"/>
    <x v="8"/>
    <n v="0.41700000000000004"/>
    <n v="0"/>
    <n v="0"/>
    <n v="0"/>
    <n v="0"/>
    <n v="4.8000000000000001E-2"/>
    <n v="38.15"/>
    <n v="0.77777777777777779"/>
    <n v="3171485717.1895118"/>
    <n v="2421779477.0973701"/>
    <n v="31821299194"/>
  </r>
  <r>
    <x v="3"/>
    <s v="&lt;2 kilometres"/>
    <x v="0"/>
    <n v="0.188"/>
    <n v="0.152"/>
    <n v="0"/>
    <n v="0"/>
    <n v="0"/>
    <n v="0"/>
    <n v="1"/>
    <n v="1"/>
    <n v="2940102000.5779233"/>
    <n v="84016354.768514737"/>
    <n v="32323075433"/>
  </r>
  <r>
    <x v="3"/>
    <s v="2-4 kilometres"/>
    <x v="0"/>
    <n v="0.2"/>
    <n v="0"/>
    <n v="0.20300000000000001"/>
    <n v="0"/>
    <n v="0"/>
    <n v="0"/>
    <n v="3"/>
    <n v="1"/>
    <n v="2940102000.5779233"/>
    <n v="358104423.67039114"/>
    <n v="32323075433"/>
  </r>
  <r>
    <x v="3"/>
    <s v="4-6 kilometres"/>
    <x v="0"/>
    <n v="0.13"/>
    <n v="0"/>
    <n v="0"/>
    <n v="0.218"/>
    <n v="0"/>
    <n v="0"/>
    <n v="5"/>
    <n v="1"/>
    <n v="2940102000.5779233"/>
    <n v="416612453.48189169"/>
    <n v="32323075433"/>
  </r>
  <r>
    <x v="3"/>
    <s v="6-8 kilometres"/>
    <x v="0"/>
    <n v="6.4000000000000001E-2"/>
    <n v="0"/>
    <n v="0"/>
    <n v="0"/>
    <n v="0.22600000000000001"/>
    <n v="0"/>
    <n v="7"/>
    <n v="1"/>
    <n v="2940102000.5779233"/>
    <n v="297679447.35451359"/>
    <n v="32323075433"/>
  </r>
  <r>
    <x v="3"/>
    <s v="8+ kilometres"/>
    <x v="0"/>
    <n v="0.41899999999999998"/>
    <n v="0"/>
    <n v="0"/>
    <n v="0"/>
    <n v="0"/>
    <n v="0.33399999999999996"/>
    <n v="42.45"/>
    <n v="1"/>
    <n v="2940102000.5779233"/>
    <n v="17466286593.618671"/>
    <n v="32323075433"/>
  </r>
  <r>
    <x v="3"/>
    <s v="&lt;2 kilometres"/>
    <x v="1"/>
    <n v="0.188"/>
    <n v="5.0999999999999997E-2"/>
    <n v="0"/>
    <n v="0"/>
    <n v="0"/>
    <n v="0"/>
    <n v="1"/>
    <n v="0.88888888888888884"/>
    <n v="2940102000.5779233"/>
    <n v="28189697.981541127"/>
    <n v="32323075433"/>
  </r>
  <r>
    <x v="3"/>
    <s v="2-4 kilometres"/>
    <x v="1"/>
    <n v="0.2"/>
    <n v="0"/>
    <n v="6.3E-2"/>
    <n v="0"/>
    <n v="0"/>
    <n v="0"/>
    <n v="3"/>
    <n v="0.88888888888888884"/>
    <n v="2940102000.5779233"/>
    <n v="111135855.6218455"/>
    <n v="32323075433"/>
  </r>
  <r>
    <x v="3"/>
    <s v="4-6 kilometres"/>
    <x v="1"/>
    <n v="0.13"/>
    <n v="0"/>
    <n v="0"/>
    <n v="0.05"/>
    <n v="0"/>
    <n v="0"/>
    <n v="5"/>
    <n v="0.88888888888888884"/>
    <n v="2940102000.5779233"/>
    <n v="95553315.018782511"/>
    <n v="32323075433"/>
  </r>
  <r>
    <x v="3"/>
    <s v="6-8 kilometres"/>
    <x v="1"/>
    <n v="6.4000000000000001E-2"/>
    <n v="0"/>
    <n v="0"/>
    <n v="0"/>
    <n v="4.9000000000000002E-2"/>
    <n v="0"/>
    <n v="7"/>
    <n v="0.88888888888888884"/>
    <n v="2940102000.5779233"/>
    <n v="64541119.116686583"/>
    <n v="32323075433"/>
  </r>
  <r>
    <x v="3"/>
    <s v="8+ kilometres"/>
    <x v="1"/>
    <n v="0.41899999999999998"/>
    <n v="0"/>
    <n v="0"/>
    <n v="0"/>
    <n v="0"/>
    <n v="3.2000000000000001E-2"/>
    <n v="42.45"/>
    <n v="0.88888888888888884"/>
    <n v="2940102000.5779233"/>
    <n v="1673416679.6281366"/>
    <n v="32323075433"/>
  </r>
  <r>
    <x v="3"/>
    <s v="&lt;2 kilometres"/>
    <x v="2"/>
    <n v="0.188"/>
    <n v="0.314"/>
    <n v="0"/>
    <n v="0"/>
    <n v="0"/>
    <n v="0"/>
    <n v="1"/>
    <n v="0.44444444444444442"/>
    <n v="2940102000.5779233"/>
    <n v="173560101.29811597"/>
    <n v="32323075433"/>
  </r>
  <r>
    <x v="3"/>
    <s v="2-4 kilometres"/>
    <x v="2"/>
    <n v="0.2"/>
    <n v="0"/>
    <n v="0.29299999999999998"/>
    <n v="0"/>
    <n v="0"/>
    <n v="0"/>
    <n v="3"/>
    <n v="0.44444444444444442"/>
    <n v="2940102000.5779233"/>
    <n v="516869931.70159894"/>
    <n v="32323075433"/>
  </r>
  <r>
    <x v="3"/>
    <s v="4-6 kilometres"/>
    <x v="2"/>
    <n v="0.13"/>
    <n v="0"/>
    <n v="0"/>
    <n v="0.23899999999999999"/>
    <n v="0"/>
    <n v="0"/>
    <n v="5"/>
    <n v="0.44444444444444442"/>
    <n v="2940102000.5779233"/>
    <n v="456744845.78978038"/>
    <n v="32323075433"/>
  </r>
  <r>
    <x v="3"/>
    <s v="6-8 kilometres"/>
    <x v="2"/>
    <n v="6.4000000000000001E-2"/>
    <n v="0"/>
    <n v="0"/>
    <n v="0"/>
    <n v="0.20899999999999999"/>
    <n v="0"/>
    <n v="7"/>
    <n v="0.44444444444444442"/>
    <n v="2940102000.5779233"/>
    <n v="275287630.51811212"/>
    <n v="32323075433"/>
  </r>
  <r>
    <x v="3"/>
    <s v="8+ kilometres"/>
    <x v="2"/>
    <n v="0.41899999999999998"/>
    <n v="0"/>
    <n v="0"/>
    <n v="0"/>
    <n v="0"/>
    <n v="0.183"/>
    <n v="42.45"/>
    <n v="0.44444444444444442"/>
    <n v="2940102000.5779233"/>
    <n v="9569851636.6234055"/>
    <n v="32323075433"/>
  </r>
  <r>
    <x v="3"/>
    <s v="&lt;2 kilometres"/>
    <x v="3"/>
    <n v="0.188"/>
    <n v="2.7000000000000003E-2"/>
    <n v="0"/>
    <n v="0"/>
    <n v="0"/>
    <n v="0"/>
    <n v="1"/>
    <n v="0.44444444444444442"/>
    <n v="2940102000.5779233"/>
    <n v="14923957.75493354"/>
    <n v="32323075433"/>
  </r>
  <r>
    <x v="3"/>
    <s v="2-4 kilometres"/>
    <x v="3"/>
    <n v="0.2"/>
    <n v="0"/>
    <n v="0.02"/>
    <n v="0"/>
    <n v="0"/>
    <n v="0"/>
    <n v="3"/>
    <n v="0.44444444444444442"/>
    <n v="2940102000.5779233"/>
    <n v="35281224.006935082"/>
    <n v="32323075433"/>
  </r>
  <r>
    <x v="3"/>
    <s v="4-6 kilometres"/>
    <x v="3"/>
    <n v="0.13"/>
    <n v="0"/>
    <n v="0"/>
    <n v="2.2000000000000002E-2"/>
    <n v="0"/>
    <n v="0"/>
    <n v="5"/>
    <n v="0.44444444444444442"/>
    <n v="2940102000.5779233"/>
    <n v="42043458.608264312"/>
    <n v="32323075433"/>
  </r>
  <r>
    <x v="3"/>
    <s v="6-8 kilometres"/>
    <x v="3"/>
    <n v="6.4000000000000001E-2"/>
    <n v="0"/>
    <n v="0"/>
    <n v="0"/>
    <n v="1.1000000000000001E-2"/>
    <n v="0"/>
    <n v="7"/>
    <n v="0.44444444444444442"/>
    <n v="2940102000.5779233"/>
    <n v="14488822.658848008"/>
    <n v="32323075433"/>
  </r>
  <r>
    <x v="3"/>
    <s v="8+ kilometres"/>
    <x v="3"/>
    <n v="0.41899999999999998"/>
    <n v="0"/>
    <n v="0"/>
    <n v="0"/>
    <n v="0"/>
    <n v="1.2E-2"/>
    <n v="42.45"/>
    <n v="0.44444444444444442"/>
    <n v="2940102000.5779233"/>
    <n v="627531254.86055112"/>
    <n v="32323075433"/>
  </r>
  <r>
    <x v="3"/>
    <s v="&lt;2 kilometres"/>
    <x v="4"/>
    <n v="0.188"/>
    <n v="9.3000000000000013E-2"/>
    <n v="0"/>
    <n v="0"/>
    <n v="0"/>
    <n v="0"/>
    <n v="1"/>
    <n v="0.94444444444444442"/>
    <n v="2940102000.5779233"/>
    <n v="51404743.378104419"/>
    <n v="32323075433"/>
  </r>
  <r>
    <x v="3"/>
    <s v="2-4 kilometres"/>
    <x v="4"/>
    <n v="0.2"/>
    <n v="0"/>
    <n v="7.0999999999999994E-2"/>
    <n v="0"/>
    <n v="0"/>
    <n v="0"/>
    <n v="3"/>
    <n v="0.94444444444444442"/>
    <n v="2940102000.5779233"/>
    <n v="125248345.22461952"/>
    <n v="32323075433"/>
  </r>
  <r>
    <x v="3"/>
    <s v="4-6 kilometres"/>
    <x v="4"/>
    <n v="0.13"/>
    <n v="0"/>
    <n v="0"/>
    <n v="9.8000000000000004E-2"/>
    <n v="0"/>
    <n v="0"/>
    <n v="5"/>
    <n v="0.94444444444444442"/>
    <n v="2940102000.5779233"/>
    <n v="187284497.43681374"/>
    <n v="32323075433"/>
  </r>
  <r>
    <x v="3"/>
    <s v="6-8 kilometres"/>
    <x v="4"/>
    <n v="6.4000000000000001E-2"/>
    <n v="0"/>
    <n v="0"/>
    <n v="0"/>
    <n v="0.11599999999999999"/>
    <n v="0"/>
    <n v="7"/>
    <n v="0.94444444444444442"/>
    <n v="2940102000.5779233"/>
    <n v="152791220.76603353"/>
    <n v="32323075433"/>
  </r>
  <r>
    <x v="3"/>
    <s v="8+ kilometres"/>
    <x v="4"/>
    <n v="0.41899999999999998"/>
    <n v="0"/>
    <n v="0"/>
    <n v="0"/>
    <n v="0"/>
    <n v="0.13500000000000001"/>
    <n v="42.45"/>
    <n v="0.94444444444444442"/>
    <n v="2940102000.5779233"/>
    <n v="7059726617.1812019"/>
    <n v="32323075433"/>
  </r>
  <r>
    <x v="3"/>
    <s v="&lt;2 kilometres"/>
    <x v="5"/>
    <n v="0.188"/>
    <n v="8.1000000000000003E-2"/>
    <n v="0"/>
    <n v="0"/>
    <n v="0"/>
    <n v="0"/>
    <n v="1"/>
    <n v="0.94444444444444442"/>
    <n v="2940102000.5779233"/>
    <n v="44771873.264800616"/>
    <n v="32323075433"/>
  </r>
  <r>
    <x v="3"/>
    <s v="2-4 kilometres"/>
    <x v="5"/>
    <n v="0.2"/>
    <n v="0"/>
    <n v="9.3000000000000013E-2"/>
    <n v="0"/>
    <n v="0"/>
    <n v="0"/>
    <n v="3"/>
    <n v="0.94444444444444442"/>
    <n v="2940102000.5779233"/>
    <n v="164057691.63224813"/>
    <n v="32323075433"/>
  </r>
  <r>
    <x v="3"/>
    <s v="4-6 kilometres"/>
    <x v="5"/>
    <n v="0.13"/>
    <n v="0"/>
    <n v="0"/>
    <n v="0.13100000000000001"/>
    <n v="0"/>
    <n v="0"/>
    <n v="5"/>
    <n v="0.94444444444444442"/>
    <n v="2940102000.5779233"/>
    <n v="250349685.34921017"/>
    <n v="32323075433"/>
  </r>
  <r>
    <x v="3"/>
    <s v="6-8 kilometres"/>
    <x v="5"/>
    <n v="6.4000000000000001E-2"/>
    <n v="0"/>
    <n v="0"/>
    <n v="0"/>
    <n v="0.10300000000000001"/>
    <n v="0"/>
    <n v="7"/>
    <n v="0.94444444444444442"/>
    <n v="2940102000.5779233"/>
    <n v="135668066.71466771"/>
    <n v="32323075433"/>
  </r>
  <r>
    <x v="3"/>
    <s v="8+ kilometres"/>
    <x v="5"/>
    <n v="0.41899999999999998"/>
    <n v="0"/>
    <n v="0"/>
    <n v="0"/>
    <n v="0"/>
    <n v="9.9000000000000005E-2"/>
    <n v="42.45"/>
    <n v="0.94444444444444442"/>
    <n v="2940102000.5779233"/>
    <n v="5177132852.5995474"/>
    <n v="32323075433"/>
  </r>
  <r>
    <x v="3"/>
    <s v="&lt;2 kilometres"/>
    <x v="6"/>
    <n v="0.188"/>
    <n v="4.4000000000000004E-2"/>
    <n v="0"/>
    <n v="0"/>
    <n v="0"/>
    <n v="0"/>
    <n v="1"/>
    <n v="0.66666666666666663"/>
    <n v="2940102000.5779233"/>
    <n v="24320523.748780586"/>
    <n v="32323075433"/>
  </r>
  <r>
    <x v="3"/>
    <s v="2-4 kilometres"/>
    <x v="6"/>
    <n v="0.2"/>
    <n v="0"/>
    <n v="3.9E-2"/>
    <n v="0"/>
    <n v="0"/>
    <n v="0"/>
    <n v="3"/>
    <n v="0.66666666666666663"/>
    <n v="2940102000.5779233"/>
    <n v="68798386.813523412"/>
    <n v="32323075433"/>
  </r>
  <r>
    <x v="3"/>
    <s v="4-6 kilometres"/>
    <x v="6"/>
    <n v="0.13"/>
    <n v="0"/>
    <n v="0"/>
    <n v="5.5E-2"/>
    <n v="0"/>
    <n v="0"/>
    <n v="5"/>
    <n v="0.66666666666666663"/>
    <n v="2940102000.5779233"/>
    <n v="105108646.52066077"/>
    <n v="32323075433"/>
  </r>
  <r>
    <x v="3"/>
    <s v="6-8 kilometres"/>
    <x v="6"/>
    <n v="6.4000000000000001E-2"/>
    <n v="0"/>
    <n v="0"/>
    <n v="0"/>
    <n v="4.9000000000000002E-2"/>
    <n v="0"/>
    <n v="7"/>
    <n v="0.66666666666666663"/>
    <n v="2940102000.5779233"/>
    <n v="64541119.116686583"/>
    <n v="32323075433"/>
  </r>
  <r>
    <x v="3"/>
    <s v="8+ kilometres"/>
    <x v="6"/>
    <n v="0.41899999999999998"/>
    <n v="0"/>
    <n v="0"/>
    <n v="0"/>
    <n v="0"/>
    <n v="0.06"/>
    <n v="42.45"/>
    <n v="0.66666666666666663"/>
    <n v="2940102000.5779233"/>
    <n v="3137656274.3027558"/>
    <n v="32323075433"/>
  </r>
  <r>
    <x v="3"/>
    <s v="&lt;2 kilometres"/>
    <x v="7"/>
    <n v="0.188"/>
    <n v="0.188"/>
    <n v="0"/>
    <n v="0"/>
    <n v="0"/>
    <n v="0"/>
    <n v="1"/>
    <n v="1.2222222222222223"/>
    <n v="2940102000.5779233"/>
    <n v="103914965.10842612"/>
    <n v="32323075433"/>
  </r>
  <r>
    <x v="3"/>
    <s v="2-4 kilometres"/>
    <x v="7"/>
    <n v="0.2"/>
    <n v="0"/>
    <n v="0.16899999999999998"/>
    <n v="0"/>
    <n v="0"/>
    <n v="0"/>
    <n v="3"/>
    <n v="1.2222222222222223"/>
    <n v="2940102000.5779233"/>
    <n v="298126342.85860139"/>
    <n v="32323075433"/>
  </r>
  <r>
    <x v="3"/>
    <s v="4-6 kilometres"/>
    <x v="7"/>
    <n v="0.13"/>
    <n v="0"/>
    <n v="0"/>
    <n v="0.13900000000000001"/>
    <n v="0"/>
    <n v="0"/>
    <n v="5"/>
    <n v="1.2222222222222223"/>
    <n v="2940102000.5779233"/>
    <n v="265638215.75221542"/>
    <n v="32323075433"/>
  </r>
  <r>
    <x v="3"/>
    <s v="6-8 kilometres"/>
    <x v="7"/>
    <n v="6.4000000000000001E-2"/>
    <n v="0"/>
    <n v="0"/>
    <n v="0"/>
    <n v="0.17100000000000001"/>
    <n v="0"/>
    <n v="7"/>
    <n v="1.2222222222222223"/>
    <n v="2940102000.5779233"/>
    <n v="225235334.06027359"/>
    <n v="32323075433"/>
  </r>
  <r>
    <x v="3"/>
    <s v="8+ kilometres"/>
    <x v="7"/>
    <n v="0.41899999999999998"/>
    <n v="0"/>
    <n v="0"/>
    <n v="0"/>
    <n v="0"/>
    <n v="9.3000000000000013E-2"/>
    <n v="42.45"/>
    <n v="1.2222222222222223"/>
    <n v="2940102000.5779233"/>
    <n v="4863367225.1692724"/>
    <n v="32323075433"/>
  </r>
  <r>
    <x v="3"/>
    <s v="&lt;2 kilometres"/>
    <x v="8"/>
    <n v="0.188"/>
    <n v="4.9000000000000002E-2"/>
    <n v="0"/>
    <n v="0"/>
    <n v="0"/>
    <n v="0"/>
    <n v="1"/>
    <n v="0.77777777777777779"/>
    <n v="2940102000.5779233"/>
    <n v="27084219.629323829"/>
    <n v="32323075433"/>
  </r>
  <r>
    <x v="3"/>
    <s v="2-4 kilometres"/>
    <x v="8"/>
    <n v="0.2"/>
    <n v="0"/>
    <n v="4.9000000000000002E-2"/>
    <n v="0"/>
    <n v="0"/>
    <n v="0"/>
    <n v="3"/>
    <n v="0.77777777777777779"/>
    <n v="2940102000.5779233"/>
    <n v="86438998.816990957"/>
    <n v="32323075433"/>
  </r>
  <r>
    <x v="3"/>
    <s v="4-6 kilometres"/>
    <x v="8"/>
    <n v="0.13"/>
    <n v="0"/>
    <n v="0"/>
    <n v="4.8000000000000001E-2"/>
    <n v="0"/>
    <n v="0"/>
    <n v="5"/>
    <n v="0.77777777777777779"/>
    <n v="2940102000.5779233"/>
    <n v="91731182.418031216"/>
    <n v="32323075433"/>
  </r>
  <r>
    <x v="3"/>
    <s v="6-8 kilometres"/>
    <x v="8"/>
    <n v="6.4000000000000001E-2"/>
    <n v="0"/>
    <n v="0"/>
    <n v="0"/>
    <n v="6.7000000000000004E-2"/>
    <n v="0"/>
    <n v="7"/>
    <n v="0.77777777777777779"/>
    <n v="2940102000.5779233"/>
    <n v="88250101.649346948"/>
    <n v="32323075433"/>
  </r>
  <r>
    <x v="3"/>
    <s v="8+ kilometres"/>
    <x v="8"/>
    <n v="0.41899999999999998"/>
    <n v="0"/>
    <n v="0"/>
    <n v="0"/>
    <n v="0"/>
    <n v="5.2000000000000005E-2"/>
    <n v="42.45"/>
    <n v="0.77777777777777779"/>
    <n v="2940102000.5779233"/>
    <n v="2719302104.3957219"/>
    <n v="32323075433"/>
  </r>
  <r>
    <x v="4"/>
    <s v="&lt;2 kilometres"/>
    <x v="0"/>
    <n v="0.255"/>
    <n v="0.17399999999999999"/>
    <n v="0"/>
    <n v="0"/>
    <n v="0"/>
    <n v="0"/>
    <n v="1"/>
    <n v="1"/>
    <n v="3079198792.0558629"/>
    <n v="136624050.40351865"/>
    <n v="36171159701"/>
  </r>
  <r>
    <x v="4"/>
    <s v="2-4 kilometres"/>
    <x v="0"/>
    <n v="0.13400000000000001"/>
    <n v="0"/>
    <n v="0.24399999999999999"/>
    <n v="0"/>
    <n v="0"/>
    <n v="0"/>
    <n v="3"/>
    <n v="1"/>
    <n v="3079198792.0558629"/>
    <n v="302032451.11517549"/>
    <n v="36171159701"/>
  </r>
  <r>
    <x v="4"/>
    <s v="4-6 kilometres"/>
    <x v="0"/>
    <n v="0.11900000000000001"/>
    <n v="0"/>
    <n v="0"/>
    <n v="0.27300000000000002"/>
    <n v="0"/>
    <n v="0"/>
    <n v="5"/>
    <n v="1"/>
    <n v="3079198792.0558629"/>
    <n v="500169655.78759408"/>
    <n v="36171159701"/>
  </r>
  <r>
    <x v="4"/>
    <s v="6-8 kilometres"/>
    <x v="0"/>
    <n v="5.9000000000000004E-2"/>
    <n v="0"/>
    <n v="0"/>
    <n v="0"/>
    <n v="0.33299999999999996"/>
    <n v="0"/>
    <n v="7"/>
    <n v="1"/>
    <n v="3079198792.0558629"/>
    <n v="423479130.67265069"/>
    <n v="36171159701"/>
  </r>
  <r>
    <x v="4"/>
    <s v="8+ kilometres"/>
    <x v="0"/>
    <n v="0.433"/>
    <n v="0"/>
    <n v="0"/>
    <n v="0"/>
    <n v="0"/>
    <n v="0.38100000000000001"/>
    <n v="43.24"/>
    <n v="1"/>
    <n v="3079198792.0558629"/>
    <n v="21965256798.796013"/>
    <n v="36171159701"/>
  </r>
  <r>
    <x v="4"/>
    <s v="&lt;2 kilometres"/>
    <x v="1"/>
    <n v="0.255"/>
    <n v="6.4000000000000001E-2"/>
    <n v="0"/>
    <n v="0"/>
    <n v="0"/>
    <n v="0"/>
    <n v="1"/>
    <n v="0.88888888888888884"/>
    <n v="3079198792.0558629"/>
    <n v="50252524.286351688"/>
    <n v="36171159701"/>
  </r>
  <r>
    <x v="4"/>
    <s v="2-4 kilometres"/>
    <x v="1"/>
    <n v="0.13400000000000001"/>
    <n v="0"/>
    <n v="0.04"/>
    <n v="0"/>
    <n v="0"/>
    <n v="0"/>
    <n v="3"/>
    <n v="0.88888888888888884"/>
    <n v="3079198792.0558629"/>
    <n v="49513516.576258279"/>
    <n v="36171159701"/>
  </r>
  <r>
    <x v="4"/>
    <s v="4-6 kilometres"/>
    <x v="1"/>
    <n v="0.11900000000000001"/>
    <n v="0"/>
    <n v="0"/>
    <n v="4.0999999999999995E-2"/>
    <n v="0"/>
    <n v="0"/>
    <n v="5"/>
    <n v="0.88888888888888884"/>
    <n v="3079198792.0558629"/>
    <n v="75117054.53220278"/>
    <n v="36171159701"/>
  </r>
  <r>
    <x v="4"/>
    <s v="6-8 kilometres"/>
    <x v="1"/>
    <n v="5.9000000000000004E-2"/>
    <n v="0"/>
    <n v="0"/>
    <n v="0"/>
    <n v="3.2000000000000001E-2"/>
    <n v="0"/>
    <n v="7"/>
    <n v="0.88888888888888884"/>
    <n v="3079198792.0558629"/>
    <n v="40694691.235810287"/>
    <n v="36171159701"/>
  </r>
  <r>
    <x v="4"/>
    <s v="8+ kilometres"/>
    <x v="1"/>
    <n v="0.433"/>
    <n v="0"/>
    <n v="0"/>
    <n v="0"/>
    <n v="0"/>
    <n v="2.5000000000000001E-2"/>
    <n v="43.24"/>
    <n v="0.88888888888888884"/>
    <n v="3079198792.0558629"/>
    <n v="1441289816.1939642"/>
    <n v="36171159701"/>
  </r>
  <r>
    <x v="4"/>
    <s v="&lt;2 kilometres"/>
    <x v="2"/>
    <n v="0.255"/>
    <n v="0.29199999999999998"/>
    <n v="0"/>
    <n v="0"/>
    <n v="0"/>
    <n v="0"/>
    <n v="1"/>
    <n v="0.44444444444444442"/>
    <n v="3079198792.0558629"/>
    <n v="229277142.05647954"/>
    <n v="36171159701"/>
  </r>
  <r>
    <x v="4"/>
    <s v="2-4 kilometres"/>
    <x v="2"/>
    <n v="0.13400000000000001"/>
    <n v="0"/>
    <n v="0.22800000000000001"/>
    <n v="0"/>
    <n v="0"/>
    <n v="0"/>
    <n v="3"/>
    <n v="0.44444444444444442"/>
    <n v="3079198792.0558629"/>
    <n v="282227044.48467219"/>
    <n v="36171159701"/>
  </r>
  <r>
    <x v="4"/>
    <s v="4-6 kilometres"/>
    <x v="2"/>
    <n v="0.11900000000000001"/>
    <n v="0"/>
    <n v="0"/>
    <n v="0.217"/>
    <n v="0"/>
    <n v="0"/>
    <n v="5"/>
    <n v="0.44444444444444442"/>
    <n v="3079198792.0558629"/>
    <n v="397570752.03629279"/>
    <n v="36171159701"/>
  </r>
  <r>
    <x v="4"/>
    <s v="6-8 kilometres"/>
    <x v="2"/>
    <n v="5.9000000000000004E-2"/>
    <n v="0"/>
    <n v="0"/>
    <n v="0"/>
    <n v="0.19899999999999998"/>
    <n v="0"/>
    <n v="7"/>
    <n v="0.44444444444444442"/>
    <n v="3079198792.0558629"/>
    <n v="253070111.12269518"/>
    <n v="36171159701"/>
  </r>
  <r>
    <x v="4"/>
    <s v="8+ kilometres"/>
    <x v="2"/>
    <n v="0.433"/>
    <n v="0"/>
    <n v="0"/>
    <n v="0"/>
    <n v="0"/>
    <n v="0.17600000000000002"/>
    <n v="43.24"/>
    <n v="0.44444444444444442"/>
    <n v="3079198792.0558629"/>
    <n v="10146680306.005508"/>
    <n v="36171159701"/>
  </r>
  <r>
    <x v="4"/>
    <s v="&lt;2 kilometres"/>
    <x v="3"/>
    <n v="0.255"/>
    <n v="3.9E-2"/>
    <n v="0"/>
    <n v="0"/>
    <n v="0"/>
    <n v="0"/>
    <n v="1"/>
    <n v="0.44444444444444442"/>
    <n v="3079198792.0558629"/>
    <n v="30622631.986995559"/>
    <n v="36171159701"/>
  </r>
  <r>
    <x v="4"/>
    <s v="2-4 kilometres"/>
    <x v="3"/>
    <n v="0.13400000000000001"/>
    <n v="0"/>
    <n v="2.3E-2"/>
    <n v="0"/>
    <n v="0"/>
    <n v="0"/>
    <n v="3"/>
    <n v="0.44444444444444442"/>
    <n v="3079198792.0558629"/>
    <n v="28470272.031348512"/>
    <n v="36171159701"/>
  </r>
  <r>
    <x v="4"/>
    <s v="4-6 kilometres"/>
    <x v="3"/>
    <n v="0.11900000000000001"/>
    <n v="0"/>
    <n v="0"/>
    <n v="2.7999999999999997E-2"/>
    <n v="0"/>
    <n v="0"/>
    <n v="5"/>
    <n v="0.44444444444444442"/>
    <n v="3079198792.0558629"/>
    <n v="51299451.875650682"/>
    <n v="36171159701"/>
  </r>
  <r>
    <x v="4"/>
    <s v="6-8 kilometres"/>
    <x v="3"/>
    <n v="5.9000000000000004E-2"/>
    <n v="0"/>
    <n v="0"/>
    <n v="0"/>
    <n v="2.1000000000000001E-2"/>
    <n v="0"/>
    <n v="7"/>
    <n v="0.44444444444444442"/>
    <n v="3079198792.0558629"/>
    <n v="26705891.1235005"/>
    <n v="36171159701"/>
  </r>
  <r>
    <x v="4"/>
    <s v="8+ kilometres"/>
    <x v="3"/>
    <n v="0.433"/>
    <n v="0"/>
    <n v="0"/>
    <n v="0"/>
    <n v="0"/>
    <n v="1.4999999999999999E-2"/>
    <n v="43.24"/>
    <n v="0.44444444444444442"/>
    <n v="3079198792.0558629"/>
    <n v="864773889.71637845"/>
    <n v="36171159701"/>
  </r>
  <r>
    <x v="4"/>
    <s v="&lt;2 kilometres"/>
    <x v="4"/>
    <n v="0.255"/>
    <n v="6.6000000000000003E-2"/>
    <n v="0"/>
    <n v="0"/>
    <n v="0"/>
    <n v="0"/>
    <n v="1"/>
    <n v="0.94444444444444442"/>
    <n v="3079198792.0558629"/>
    <n v="51822915.670300178"/>
    <n v="36171159701"/>
  </r>
  <r>
    <x v="4"/>
    <s v="2-4 kilometres"/>
    <x v="4"/>
    <n v="0.13400000000000001"/>
    <n v="0"/>
    <n v="7.2000000000000008E-2"/>
    <n v="0"/>
    <n v="0"/>
    <n v="0"/>
    <n v="3"/>
    <n v="0.94444444444444442"/>
    <n v="3079198792.0558629"/>
    <n v="89124329.83726491"/>
    <n v="36171159701"/>
  </r>
  <r>
    <x v="4"/>
    <s v="4-6 kilometres"/>
    <x v="4"/>
    <n v="0.11900000000000001"/>
    <n v="0"/>
    <n v="0"/>
    <n v="7.6999999999999999E-2"/>
    <n v="0"/>
    <n v="0"/>
    <n v="5"/>
    <n v="0.94444444444444442"/>
    <n v="3079198792.0558629"/>
    <n v="141073492.65803939"/>
    <n v="36171159701"/>
  </r>
  <r>
    <x v="4"/>
    <s v="6-8 kilometres"/>
    <x v="4"/>
    <n v="5.9000000000000004E-2"/>
    <n v="0"/>
    <n v="0"/>
    <n v="0"/>
    <n v="6.5000000000000002E-2"/>
    <n v="0"/>
    <n v="7"/>
    <n v="0.94444444444444442"/>
    <n v="3079198792.0558629"/>
    <n v="82661091.572739646"/>
    <n v="36171159701"/>
  </r>
  <r>
    <x v="4"/>
    <s v="8+ kilometres"/>
    <x v="4"/>
    <n v="0.433"/>
    <n v="0"/>
    <n v="0"/>
    <n v="0"/>
    <n v="0"/>
    <n v="0.107"/>
    <n v="43.24"/>
    <n v="0.94444444444444442"/>
    <n v="3079198792.0558629"/>
    <n v="6168720413.3101654"/>
    <n v="36171159701"/>
  </r>
  <r>
    <x v="4"/>
    <s v="&lt;2 kilometres"/>
    <x v="5"/>
    <n v="0.255"/>
    <n v="8.5999999999999993E-2"/>
    <n v="0"/>
    <n v="0"/>
    <n v="0"/>
    <n v="0"/>
    <n v="1"/>
    <n v="0.94444444444444442"/>
    <n v="3079198792.0558629"/>
    <n v="67526829.509785071"/>
    <n v="36171159701"/>
  </r>
  <r>
    <x v="4"/>
    <s v="2-4 kilometres"/>
    <x v="5"/>
    <n v="0.13400000000000001"/>
    <n v="0"/>
    <n v="0.109"/>
    <n v="0"/>
    <n v="0"/>
    <n v="0"/>
    <n v="3"/>
    <n v="0.94444444444444442"/>
    <n v="3079198792.0558629"/>
    <n v="134924332.67030382"/>
    <n v="36171159701"/>
  </r>
  <r>
    <x v="4"/>
    <s v="4-6 kilometres"/>
    <x v="5"/>
    <n v="0.11900000000000001"/>
    <n v="0"/>
    <n v="0"/>
    <n v="9.3000000000000013E-2"/>
    <n v="0"/>
    <n v="0"/>
    <n v="5"/>
    <n v="0.94444444444444442"/>
    <n v="3079198792.0558629"/>
    <n v="170387465.1584112"/>
    <n v="36171159701"/>
  </r>
  <r>
    <x v="4"/>
    <s v="6-8 kilometres"/>
    <x v="5"/>
    <n v="5.9000000000000004E-2"/>
    <n v="0"/>
    <n v="0"/>
    <n v="0"/>
    <n v="9.1999999999999998E-2"/>
    <n v="0"/>
    <n v="7"/>
    <n v="0.94444444444444442"/>
    <n v="3079198792.0558629"/>
    <n v="116997237.30295457"/>
    <n v="36171159701"/>
  </r>
  <r>
    <x v="4"/>
    <s v="8+ kilometres"/>
    <x v="5"/>
    <n v="0.433"/>
    <n v="0"/>
    <n v="0"/>
    <n v="0"/>
    <n v="0"/>
    <n v="0.09"/>
    <n v="43.24"/>
    <n v="0.94444444444444442"/>
    <n v="3079198792.0558629"/>
    <n v="5188643338.2982702"/>
    <n v="36171159701"/>
  </r>
  <r>
    <x v="4"/>
    <s v="&lt;2 kilometres"/>
    <x v="6"/>
    <n v="0.255"/>
    <n v="5.2999999999999999E-2"/>
    <n v="0"/>
    <n v="0"/>
    <n v="0"/>
    <n v="0"/>
    <n v="1"/>
    <n v="0.66666666666666663"/>
    <n v="3079198792.0558629"/>
    <n v="41615371.674634986"/>
    <n v="36171159701"/>
  </r>
  <r>
    <x v="4"/>
    <s v="2-4 kilometres"/>
    <x v="6"/>
    <n v="0.13400000000000001"/>
    <n v="0"/>
    <n v="5.2000000000000005E-2"/>
    <n v="0"/>
    <n v="0"/>
    <n v="0"/>
    <n v="3"/>
    <n v="0.66666666666666663"/>
    <n v="3079198792.0558629"/>
    <n v="64367571.549135767"/>
    <n v="36171159701"/>
  </r>
  <r>
    <x v="4"/>
    <s v="4-6 kilometres"/>
    <x v="6"/>
    <n v="0.11900000000000001"/>
    <n v="0"/>
    <n v="0"/>
    <n v="4.4999999999999998E-2"/>
    <n v="0"/>
    <n v="0"/>
    <n v="5"/>
    <n v="0.66666666666666663"/>
    <n v="3079198792.0558629"/>
    <n v="82445547.657295734"/>
    <n v="36171159701"/>
  </r>
  <r>
    <x v="4"/>
    <s v="6-8 kilometres"/>
    <x v="6"/>
    <n v="5.9000000000000004E-2"/>
    <n v="0"/>
    <n v="0"/>
    <n v="0"/>
    <n v="0.04"/>
    <n v="0"/>
    <n v="7"/>
    <n v="0.66666666666666663"/>
    <n v="3079198792.0558629"/>
    <n v="50868364.044762857"/>
    <n v="36171159701"/>
  </r>
  <r>
    <x v="4"/>
    <s v="8+ kilometres"/>
    <x v="6"/>
    <n v="0.433"/>
    <n v="0"/>
    <n v="0"/>
    <n v="0"/>
    <n v="0"/>
    <n v="6.7000000000000004E-2"/>
    <n v="43.24"/>
    <n v="0.66666666666666663"/>
    <n v="3079198792.0558629"/>
    <n v="3862656707.3998237"/>
    <n v="36171159701"/>
  </r>
  <r>
    <x v="4"/>
    <s v="&lt;2 kilometres"/>
    <x v="7"/>
    <n v="0.255"/>
    <n v="0.185"/>
    <n v="0"/>
    <n v="0"/>
    <n v="0"/>
    <n v="0"/>
    <n v="1"/>
    <n v="1.2222222222222223"/>
    <n v="3079198792.0558629"/>
    <n v="145261203.01523533"/>
    <n v="36171159701"/>
  </r>
  <r>
    <x v="4"/>
    <s v="2-4 kilometres"/>
    <x v="7"/>
    <n v="0.13400000000000001"/>
    <n v="0"/>
    <n v="0.18899999999999997"/>
    <n v="0"/>
    <n v="0"/>
    <n v="0"/>
    <n v="3"/>
    <n v="1.2222222222222223"/>
    <n v="3079198792.0558629"/>
    <n v="233951365.82282034"/>
    <n v="36171159701"/>
  </r>
  <r>
    <x v="4"/>
    <s v="4-6 kilometres"/>
    <x v="7"/>
    <n v="0.11900000000000001"/>
    <n v="0"/>
    <n v="0"/>
    <n v="0.17699999999999999"/>
    <n v="0"/>
    <n v="0"/>
    <n v="5"/>
    <n v="1.2222222222222223"/>
    <n v="3079198792.0558629"/>
    <n v="324285820.7853632"/>
    <n v="36171159701"/>
  </r>
  <r>
    <x v="4"/>
    <s v="6-8 kilometres"/>
    <x v="7"/>
    <n v="5.9000000000000004E-2"/>
    <n v="0"/>
    <n v="0"/>
    <n v="0"/>
    <n v="0.19"/>
    <n v="0"/>
    <n v="7"/>
    <n v="1.2222222222222223"/>
    <n v="3079198792.0558629"/>
    <n v="241624729.2126236"/>
    <n v="36171159701"/>
  </r>
  <r>
    <x v="4"/>
    <s v="8+ kilometres"/>
    <x v="7"/>
    <n v="0.433"/>
    <n v="0"/>
    <n v="0"/>
    <n v="0"/>
    <n v="0"/>
    <n v="0.107"/>
    <n v="43.24"/>
    <n v="1.2222222222222223"/>
    <n v="3079198792.0558629"/>
    <n v="6168720413.3101654"/>
    <n v="36171159701"/>
  </r>
  <r>
    <x v="4"/>
    <s v="&lt;2 kilometres"/>
    <x v="8"/>
    <n v="0.255"/>
    <n v="4.2000000000000003E-2"/>
    <n v="0"/>
    <n v="0"/>
    <n v="0"/>
    <n v="0"/>
    <n v="1"/>
    <n v="0.77777777777777779"/>
    <n v="3079198792.0558629"/>
    <n v="32978219.062918294"/>
    <n v="36171159701"/>
  </r>
  <r>
    <x v="4"/>
    <s v="2-4 kilometres"/>
    <x v="8"/>
    <n v="0.13400000000000001"/>
    <n v="0"/>
    <n v="4.2000000000000003E-2"/>
    <n v="0"/>
    <n v="0"/>
    <n v="0"/>
    <n v="3"/>
    <n v="0.77777777777777779"/>
    <n v="3079198792.0558629"/>
    <n v="51989192.405071199"/>
    <n v="36171159701"/>
  </r>
  <r>
    <x v="4"/>
    <s v="4-6 kilometres"/>
    <x v="8"/>
    <n v="0.11900000000000001"/>
    <n v="0"/>
    <n v="0"/>
    <n v="4.9000000000000002E-2"/>
    <n v="0"/>
    <n v="0"/>
    <n v="5"/>
    <n v="0.77777777777777779"/>
    <n v="3079198792.0558629"/>
    <n v="89774040.782388687"/>
    <n v="36171159701"/>
  </r>
  <r>
    <x v="4"/>
    <s v="6-8 kilometres"/>
    <x v="8"/>
    <n v="5.9000000000000004E-2"/>
    <n v="0"/>
    <n v="0"/>
    <n v="0"/>
    <n v="2.7999999999999997E-2"/>
    <n v="0"/>
    <n v="7"/>
    <n v="0.77777777777777779"/>
    <n v="3079198792.0558629"/>
    <n v="35607854.831333995"/>
    <n v="36171159701"/>
  </r>
  <r>
    <x v="4"/>
    <s v="8+ kilometres"/>
    <x v="8"/>
    <n v="0.433"/>
    <n v="0"/>
    <n v="0"/>
    <n v="0"/>
    <n v="0"/>
    <n v="3.3000000000000002E-2"/>
    <n v="43.24"/>
    <n v="0.77777777777777779"/>
    <n v="3079198792.0558629"/>
    <n v="1902502557.3760326"/>
    <n v="36171159701"/>
  </r>
  <r>
    <x v="5"/>
    <s v="&lt;2 kilometres"/>
    <x v="0"/>
    <n v="0.28600000000000003"/>
    <n v="0.14199999999999999"/>
    <n v="0"/>
    <n v="0"/>
    <n v="0"/>
    <n v="0"/>
    <n v="1"/>
    <n v="1"/>
    <n v="5369880000"/>
    <n v="218081566.56"/>
    <n v="36195324272"/>
  </r>
  <r>
    <x v="5"/>
    <s v="2-4 kilometres"/>
    <x v="0"/>
    <n v="0.15"/>
    <n v="0"/>
    <n v="0.17399999999999999"/>
    <n v="0"/>
    <n v="0"/>
    <n v="0"/>
    <n v="3"/>
    <n v="1"/>
    <n v="5369880000"/>
    <n v="420461604"/>
    <n v="36195324272"/>
  </r>
  <r>
    <x v="5"/>
    <s v="4-6 kilometres"/>
    <x v="0"/>
    <n v="0.125"/>
    <n v="0"/>
    <n v="0"/>
    <n v="0.221"/>
    <n v="0"/>
    <n v="0"/>
    <n v="5"/>
    <n v="1"/>
    <n v="5369880000"/>
    <n v="741714675"/>
    <n v="36195324272"/>
  </r>
  <r>
    <x v="5"/>
    <s v="6-8 kilometres"/>
    <x v="0"/>
    <n v="7.0000000000000007E-2"/>
    <n v="0"/>
    <n v="0"/>
    <n v="0"/>
    <n v="0.223"/>
    <n v="0"/>
    <n v="7"/>
    <n v="1"/>
    <n v="5369880000"/>
    <n v="586766787.60000014"/>
    <n v="36195324272"/>
  </r>
  <r>
    <x v="5"/>
    <s v="8+ kilometres"/>
    <x v="0"/>
    <n v="0.36799999999999999"/>
    <n v="0"/>
    <n v="0"/>
    <n v="0"/>
    <n v="0"/>
    <n v="0.314"/>
    <n v="28.2"/>
    <n v="1"/>
    <n v="5369880000"/>
    <n v="17498110540.031998"/>
    <n v="36195324272"/>
  </r>
  <r>
    <x v="5"/>
    <s v="&lt;2 kilometres"/>
    <x v="1"/>
    <n v="0.28600000000000003"/>
    <n v="2.4E-2"/>
    <n v="0"/>
    <n v="0"/>
    <n v="0"/>
    <n v="0"/>
    <n v="1"/>
    <n v="0.88888888888888884"/>
    <n v="5369880000"/>
    <n v="36858856.320000008"/>
    <n v="36195324272"/>
  </r>
  <r>
    <x v="5"/>
    <s v="2-4 kilometres"/>
    <x v="1"/>
    <n v="0.15"/>
    <n v="0"/>
    <n v="2.8999999999999998E-2"/>
    <n v="0"/>
    <n v="0"/>
    <n v="0"/>
    <n v="3"/>
    <n v="0.88888888888888884"/>
    <n v="5369880000"/>
    <n v="70076934"/>
    <n v="36195324272"/>
  </r>
  <r>
    <x v="5"/>
    <s v="4-6 kilometres"/>
    <x v="1"/>
    <n v="0.125"/>
    <n v="0"/>
    <n v="0"/>
    <n v="3.7999999999999999E-2"/>
    <n v="0"/>
    <n v="0"/>
    <n v="5"/>
    <n v="0.88888888888888884"/>
    <n v="5369880000"/>
    <n v="127534650"/>
    <n v="36195324272"/>
  </r>
  <r>
    <x v="5"/>
    <s v="6-8 kilometres"/>
    <x v="1"/>
    <n v="7.0000000000000007E-2"/>
    <n v="0"/>
    <n v="0"/>
    <n v="0"/>
    <n v="3.5000000000000003E-2"/>
    <n v="0"/>
    <n v="7"/>
    <n v="0.88888888888888884"/>
    <n v="5369880000"/>
    <n v="92093442.000000015"/>
    <n v="36195324272"/>
  </r>
  <r>
    <x v="5"/>
    <s v="8+ kilometres"/>
    <x v="1"/>
    <n v="0.36799999999999999"/>
    <n v="0"/>
    <n v="0"/>
    <n v="0"/>
    <n v="0"/>
    <n v="2.5000000000000001E-2"/>
    <n v="28.2"/>
    <n v="0.88888888888888884"/>
    <n v="5369880000"/>
    <n v="1393161667.2"/>
    <n v="36195324272"/>
  </r>
  <r>
    <x v="5"/>
    <s v="&lt;2 kilometres"/>
    <x v="2"/>
    <n v="0.28600000000000003"/>
    <n v="0.26500000000000001"/>
    <n v="0"/>
    <n v="0"/>
    <n v="0"/>
    <n v="0"/>
    <n v="1"/>
    <n v="0.44444444444444442"/>
    <n v="5369880000"/>
    <n v="406983205.20000005"/>
    <n v="36195324272"/>
  </r>
  <r>
    <x v="5"/>
    <s v="2-4 kilometres"/>
    <x v="2"/>
    <n v="0.15"/>
    <n v="0"/>
    <n v="0.25600000000000001"/>
    <n v="0"/>
    <n v="0"/>
    <n v="0"/>
    <n v="3"/>
    <n v="0.44444444444444442"/>
    <n v="5369880000"/>
    <n v="618610176"/>
    <n v="36195324272"/>
  </r>
  <r>
    <x v="5"/>
    <s v="4-6 kilometres"/>
    <x v="2"/>
    <n v="0.125"/>
    <n v="0"/>
    <n v="0"/>
    <n v="0.16899999999999998"/>
    <n v="0"/>
    <n v="0"/>
    <n v="5"/>
    <n v="0.44444444444444442"/>
    <n v="5369880000"/>
    <n v="567193575"/>
    <n v="36195324272"/>
  </r>
  <r>
    <x v="5"/>
    <s v="6-8 kilometres"/>
    <x v="2"/>
    <n v="7.0000000000000007E-2"/>
    <n v="0"/>
    <n v="0"/>
    <n v="0"/>
    <n v="0.21899999999999997"/>
    <n v="0"/>
    <n v="7"/>
    <n v="0.44444444444444442"/>
    <n v="5369880000"/>
    <n v="576241822.80000007"/>
    <n v="36195324272"/>
  </r>
  <r>
    <x v="5"/>
    <s v="8+ kilometres"/>
    <x v="2"/>
    <n v="0.36799999999999999"/>
    <n v="0"/>
    <n v="0"/>
    <n v="0"/>
    <n v="0"/>
    <n v="0.182"/>
    <n v="28.2"/>
    <n v="0.44444444444444442"/>
    <n v="5369880000"/>
    <n v="10142216937.216"/>
    <n v="36195324272"/>
  </r>
  <r>
    <x v="5"/>
    <s v="&lt;2 kilometres"/>
    <x v="3"/>
    <n v="0.28600000000000003"/>
    <n v="4.4999999999999998E-2"/>
    <n v="0"/>
    <n v="0"/>
    <n v="0"/>
    <n v="0"/>
    <n v="1"/>
    <n v="0.44444444444444442"/>
    <n v="5369880000"/>
    <n v="69110355.600000009"/>
    <n v="36195324272"/>
  </r>
  <r>
    <x v="5"/>
    <s v="2-4 kilometres"/>
    <x v="3"/>
    <n v="0.15"/>
    <n v="0"/>
    <n v="3.5000000000000003E-2"/>
    <n v="0"/>
    <n v="0"/>
    <n v="0"/>
    <n v="3"/>
    <n v="0.44444444444444442"/>
    <n v="5369880000"/>
    <n v="84575610"/>
    <n v="36195324272"/>
  </r>
  <r>
    <x v="5"/>
    <s v="4-6 kilometres"/>
    <x v="3"/>
    <n v="0.125"/>
    <n v="0"/>
    <n v="0"/>
    <n v="5.4000000000000006E-2"/>
    <n v="0"/>
    <n v="0"/>
    <n v="5"/>
    <n v="0.44444444444444442"/>
    <n v="5369880000"/>
    <n v="181233450"/>
    <n v="36195324272"/>
  </r>
  <r>
    <x v="5"/>
    <s v="6-8 kilometres"/>
    <x v="3"/>
    <n v="7.0000000000000007E-2"/>
    <n v="0"/>
    <n v="0"/>
    <n v="0"/>
    <n v="2.7999999999999997E-2"/>
    <n v="0"/>
    <n v="7"/>
    <n v="0.44444444444444442"/>
    <n v="5369880000"/>
    <n v="73674753.599999994"/>
    <n v="36195324272"/>
  </r>
  <r>
    <x v="5"/>
    <s v="8+ kilometres"/>
    <x v="3"/>
    <n v="0.36799999999999999"/>
    <n v="0"/>
    <n v="0"/>
    <n v="0"/>
    <n v="0"/>
    <n v="2.4E-2"/>
    <n v="28.2"/>
    <n v="0.44444444444444442"/>
    <n v="5369880000"/>
    <n v="1337435200.5119998"/>
    <n v="36195324272"/>
  </r>
  <r>
    <x v="5"/>
    <s v="&lt;2 kilometres"/>
    <x v="4"/>
    <n v="0.28600000000000003"/>
    <n v="7.9000000000000001E-2"/>
    <n v="0"/>
    <n v="0"/>
    <n v="0"/>
    <n v="0"/>
    <n v="1"/>
    <n v="0.94444444444444442"/>
    <n v="5369880000"/>
    <n v="121327068.72000001"/>
    <n v="36195324272"/>
  </r>
  <r>
    <x v="5"/>
    <s v="2-4 kilometres"/>
    <x v="4"/>
    <n v="0.15"/>
    <n v="0"/>
    <n v="9.1999999999999998E-2"/>
    <n v="0"/>
    <n v="0"/>
    <n v="0"/>
    <n v="3"/>
    <n v="0.94444444444444442"/>
    <n v="5369880000"/>
    <n v="222313032"/>
    <n v="36195324272"/>
  </r>
  <r>
    <x v="5"/>
    <s v="4-6 kilometres"/>
    <x v="4"/>
    <n v="0.125"/>
    <n v="0"/>
    <n v="0"/>
    <n v="0.10199999999999999"/>
    <n v="0"/>
    <n v="0"/>
    <n v="5"/>
    <n v="0.94444444444444442"/>
    <n v="5369880000"/>
    <n v="342329850"/>
    <n v="36195324272"/>
  </r>
  <r>
    <x v="5"/>
    <s v="6-8 kilometres"/>
    <x v="4"/>
    <n v="7.0000000000000007E-2"/>
    <n v="0"/>
    <n v="0"/>
    <n v="0"/>
    <n v="8.900000000000001E-2"/>
    <n v="0"/>
    <n v="7"/>
    <n v="0.94444444444444442"/>
    <n v="5369880000"/>
    <n v="234180466.80000004"/>
    <n v="36195324272"/>
  </r>
  <r>
    <x v="5"/>
    <s v="8+ kilometres"/>
    <x v="4"/>
    <n v="0.36799999999999999"/>
    <n v="0"/>
    <n v="0"/>
    <n v="0"/>
    <n v="0"/>
    <n v="0.124"/>
    <n v="28.2"/>
    <n v="0.94444444444444442"/>
    <n v="5369880000"/>
    <n v="6910081869.3119993"/>
    <n v="36195324272"/>
  </r>
  <r>
    <x v="5"/>
    <s v="&lt;2 kilometres"/>
    <x v="5"/>
    <n v="0.28600000000000003"/>
    <n v="6.9000000000000006E-2"/>
    <n v="0"/>
    <n v="0"/>
    <n v="0"/>
    <n v="0"/>
    <n v="1"/>
    <n v="0.94444444444444442"/>
    <n v="5369880000"/>
    <n v="105969211.92000003"/>
    <n v="36195324272"/>
  </r>
  <r>
    <x v="5"/>
    <s v="2-4 kilometres"/>
    <x v="5"/>
    <n v="0.15"/>
    <n v="0"/>
    <n v="0.111"/>
    <n v="0"/>
    <n v="0"/>
    <n v="0"/>
    <n v="3"/>
    <n v="0.94444444444444442"/>
    <n v="5369880000"/>
    <n v="268225505.99999997"/>
    <n v="36195324272"/>
  </r>
  <r>
    <x v="5"/>
    <s v="4-6 kilometres"/>
    <x v="5"/>
    <n v="0.125"/>
    <n v="0"/>
    <n v="0"/>
    <n v="0.124"/>
    <n v="0"/>
    <n v="0"/>
    <n v="5"/>
    <n v="0.94444444444444442"/>
    <n v="5369880000"/>
    <n v="416165700"/>
    <n v="36195324272"/>
  </r>
  <r>
    <x v="5"/>
    <s v="6-8 kilometres"/>
    <x v="5"/>
    <n v="7.0000000000000007E-2"/>
    <n v="0"/>
    <n v="0"/>
    <n v="0"/>
    <n v="0.13100000000000001"/>
    <n v="0"/>
    <n v="7"/>
    <n v="0.94444444444444442"/>
    <n v="5369880000"/>
    <n v="344692597.20000005"/>
    <n v="36195324272"/>
  </r>
  <r>
    <x v="5"/>
    <s v="8+ kilometres"/>
    <x v="5"/>
    <n v="0.36799999999999999"/>
    <n v="0"/>
    <n v="0"/>
    <n v="0"/>
    <n v="0"/>
    <n v="8.5999999999999993E-2"/>
    <n v="28.2"/>
    <n v="0.94444444444444442"/>
    <n v="5369880000"/>
    <n v="4792476135.1679993"/>
    <n v="36195324272"/>
  </r>
  <r>
    <x v="5"/>
    <s v="&lt;2 kilometres"/>
    <x v="6"/>
    <n v="0.28600000000000003"/>
    <n v="3.6000000000000004E-2"/>
    <n v="0"/>
    <n v="0"/>
    <n v="0"/>
    <n v="0"/>
    <n v="1"/>
    <n v="0.66666666666666663"/>
    <n v="5369880000"/>
    <n v="55288284.480000019"/>
    <n v="36195324272"/>
  </r>
  <r>
    <x v="5"/>
    <s v="2-4 kilometres"/>
    <x v="6"/>
    <n v="0.15"/>
    <n v="0"/>
    <n v="4.9000000000000002E-2"/>
    <n v="0"/>
    <n v="0"/>
    <n v="0"/>
    <n v="3"/>
    <n v="0.66666666666666663"/>
    <n v="5369880000"/>
    <n v="118405854"/>
    <n v="36195324272"/>
  </r>
  <r>
    <x v="5"/>
    <s v="4-6 kilometres"/>
    <x v="6"/>
    <n v="0.125"/>
    <n v="0"/>
    <n v="0"/>
    <n v="6.4000000000000001E-2"/>
    <n v="0"/>
    <n v="0"/>
    <n v="5"/>
    <n v="0.66666666666666663"/>
    <n v="5369880000"/>
    <n v="214795200"/>
    <n v="36195324272"/>
  </r>
  <r>
    <x v="5"/>
    <s v="6-8 kilometres"/>
    <x v="6"/>
    <n v="7.0000000000000007E-2"/>
    <n v="0"/>
    <n v="0"/>
    <n v="0"/>
    <n v="5.7000000000000002E-2"/>
    <n v="0"/>
    <n v="7"/>
    <n v="0.66666666666666663"/>
    <n v="5369880000"/>
    <n v="149980748.40000001"/>
    <n v="36195324272"/>
  </r>
  <r>
    <x v="5"/>
    <s v="8+ kilometres"/>
    <x v="6"/>
    <n v="0.36799999999999999"/>
    <n v="0"/>
    <n v="0"/>
    <n v="0"/>
    <n v="0"/>
    <n v="6.2E-2"/>
    <n v="28.2"/>
    <n v="0.66666666666666663"/>
    <n v="5369880000"/>
    <n v="3455040934.6559997"/>
    <n v="36195324272"/>
  </r>
  <r>
    <x v="5"/>
    <s v="&lt;2 kilometres"/>
    <x v="7"/>
    <n v="0.28600000000000003"/>
    <n v="0.29499999999999998"/>
    <n v="0"/>
    <n v="0"/>
    <n v="0"/>
    <n v="0"/>
    <n v="1"/>
    <n v="1.2222222222222223"/>
    <n v="5369880000"/>
    <n v="453056775.60000002"/>
    <n v="36195324272"/>
  </r>
  <r>
    <x v="5"/>
    <s v="2-4 kilometres"/>
    <x v="7"/>
    <n v="0.15"/>
    <n v="0"/>
    <n v="0.221"/>
    <n v="0"/>
    <n v="0"/>
    <n v="0"/>
    <n v="3"/>
    <n v="1.2222222222222223"/>
    <n v="5369880000"/>
    <n v="534034566"/>
    <n v="36195324272"/>
  </r>
  <r>
    <x v="5"/>
    <s v="4-6 kilometres"/>
    <x v="7"/>
    <n v="0.125"/>
    <n v="0"/>
    <n v="0"/>
    <n v="0.19500000000000001"/>
    <n v="0"/>
    <n v="0"/>
    <n v="5"/>
    <n v="1.2222222222222223"/>
    <n v="5369880000"/>
    <n v="654454125"/>
    <n v="36195324272"/>
  </r>
  <r>
    <x v="5"/>
    <s v="6-8 kilometres"/>
    <x v="7"/>
    <n v="7.0000000000000007E-2"/>
    <n v="0"/>
    <n v="0"/>
    <n v="0"/>
    <n v="0.188"/>
    <n v="0"/>
    <n v="7"/>
    <n v="1.2222222222222223"/>
    <n v="5369880000"/>
    <n v="494673345.60000002"/>
    <n v="36195324272"/>
  </r>
  <r>
    <x v="5"/>
    <s v="8+ kilometres"/>
    <x v="7"/>
    <n v="0.36799999999999999"/>
    <n v="0"/>
    <n v="0"/>
    <n v="0"/>
    <n v="0"/>
    <n v="0.14599999999999999"/>
    <n v="28.2"/>
    <n v="1.2222222222222223"/>
    <n v="5369880000"/>
    <n v="8136064136.447999"/>
    <n v="36195324272"/>
  </r>
  <r>
    <x v="5"/>
    <s v="&lt;2 kilometres"/>
    <x v="8"/>
    <n v="0.28600000000000003"/>
    <n v="4.4000000000000004E-2"/>
    <n v="0"/>
    <n v="0"/>
    <n v="0"/>
    <n v="0"/>
    <n v="1"/>
    <n v="0.77777777777777779"/>
    <n v="5369880000"/>
    <n v="67574569.920000017"/>
    <n v="36195324272"/>
  </r>
  <r>
    <x v="5"/>
    <s v="2-4 kilometres"/>
    <x v="8"/>
    <n v="0.15"/>
    <n v="0"/>
    <n v="3.4000000000000002E-2"/>
    <n v="0"/>
    <n v="0"/>
    <n v="0"/>
    <n v="3"/>
    <n v="0.77777777777777779"/>
    <n v="5369880000"/>
    <n v="82159164"/>
    <n v="36195324272"/>
  </r>
  <r>
    <x v="5"/>
    <s v="4-6 kilometres"/>
    <x v="8"/>
    <n v="0.125"/>
    <n v="0"/>
    <n v="0"/>
    <n v="3.2000000000000001E-2"/>
    <n v="0"/>
    <n v="0"/>
    <n v="5"/>
    <n v="0.77777777777777779"/>
    <n v="5369880000"/>
    <n v="107397600"/>
    <n v="36195324272"/>
  </r>
  <r>
    <x v="5"/>
    <s v="6-8 kilometres"/>
    <x v="8"/>
    <n v="7.0000000000000007E-2"/>
    <n v="0"/>
    <n v="0"/>
    <n v="0"/>
    <n v="3.1E-2"/>
    <n v="0"/>
    <n v="7"/>
    <n v="0.77777777777777779"/>
    <n v="5369880000"/>
    <n v="81568477.200000003"/>
    <n v="36195324272"/>
  </r>
  <r>
    <x v="5"/>
    <s v="8+ kilometres"/>
    <x v="8"/>
    <n v="0.36799999999999999"/>
    <n v="0"/>
    <n v="0"/>
    <n v="0"/>
    <n v="0"/>
    <n v="3.7000000000000005E-2"/>
    <n v="28.2"/>
    <n v="0.77777777777777779"/>
    <n v="5369880000"/>
    <n v="2061879267.4560001"/>
    <n v="3619532427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0">
  <r>
    <x v="0"/>
    <x v="0"/>
    <s v="Work"/>
    <x v="0"/>
    <n v="41186265414.625694"/>
    <n v="0.24349999999999997"/>
    <n v="10028855628.461355"/>
    <n v="1"/>
    <n v="1"/>
    <n v="1"/>
    <n v="2.1081479919890376E-2"/>
    <n v="1"/>
    <n v="211423118.55088764"/>
  </r>
  <r>
    <x v="0"/>
    <x v="0"/>
    <s v="Work"/>
    <x v="1"/>
    <n v="41186265414.625694"/>
    <n v="0.24349999999999997"/>
    <n v="10028855628.461355"/>
    <n v="3"/>
    <n v="3"/>
    <n v="3"/>
    <n v="6.3244439759671131E-2"/>
    <n v="1"/>
    <n v="634269355.65266299"/>
  </r>
  <r>
    <x v="0"/>
    <x v="0"/>
    <s v="Work"/>
    <x v="2"/>
    <n v="41186265414.625694"/>
    <n v="0.24349999999999997"/>
    <n v="10028855628.461355"/>
    <n v="5"/>
    <n v="5"/>
    <n v="5"/>
    <n v="0.10540739959945188"/>
    <n v="1"/>
    <n v="1057115592.7544382"/>
  </r>
  <r>
    <x v="0"/>
    <x v="0"/>
    <s v="Work"/>
    <x v="3"/>
    <n v="41186265414.625694"/>
    <n v="0.24349999999999997"/>
    <n v="10028855628.461355"/>
    <n v="7"/>
    <n v="7"/>
    <n v="7"/>
    <n v="0.14757035943923263"/>
    <n v="1"/>
    <n v="1479961829.8562136"/>
  </r>
  <r>
    <x v="0"/>
    <x v="0"/>
    <s v="Work"/>
    <x v="4"/>
    <n v="41186265414.625694"/>
    <n v="0.24349999999999997"/>
    <n v="10028855628.461355"/>
    <n v="30.1"/>
    <n v="32.770000000000003"/>
    <n v="31.435000000000002"/>
    <n v="0.66269632128175404"/>
    <n v="1"/>
    <n v="6646085731.6471539"/>
  </r>
  <r>
    <x v="0"/>
    <x v="0"/>
    <s v="Education"/>
    <x v="0"/>
    <n v="41186265414.625694"/>
    <n v="3.5499999999999997E-2"/>
    <n v="1462112422.2192121"/>
    <n v="1"/>
    <n v="1"/>
    <n v="1"/>
    <n v="2.1081479919890376E-2"/>
    <n v="1"/>
    <n v="30823493.6696366"/>
  </r>
  <r>
    <x v="0"/>
    <x v="0"/>
    <s v="Education"/>
    <x v="1"/>
    <n v="41186265414.625694"/>
    <n v="3.5499999999999997E-2"/>
    <n v="1462112422.2192121"/>
    <n v="3"/>
    <n v="3"/>
    <n v="3"/>
    <n v="6.3244439759671131E-2"/>
    <n v="1"/>
    <n v="92470481.008909792"/>
  </r>
  <r>
    <x v="0"/>
    <x v="0"/>
    <s v="Education"/>
    <x v="2"/>
    <n v="41186265414.625694"/>
    <n v="3.5499999999999997E-2"/>
    <n v="1462112422.2192121"/>
    <n v="5"/>
    <n v="5"/>
    <n v="5"/>
    <n v="0.10540739959945188"/>
    <n v="1"/>
    <n v="154117468.34818298"/>
  </r>
  <r>
    <x v="0"/>
    <x v="0"/>
    <s v="Education"/>
    <x v="3"/>
    <n v="41186265414.625694"/>
    <n v="3.5499999999999997E-2"/>
    <n v="1462112422.2192121"/>
    <n v="7"/>
    <n v="7"/>
    <n v="7"/>
    <n v="0.14757035943923263"/>
    <n v="1"/>
    <n v="215764455.68745619"/>
  </r>
  <r>
    <x v="0"/>
    <x v="0"/>
    <s v="Education"/>
    <x v="4"/>
    <n v="41186265414.625694"/>
    <n v="3.5499999999999997E-2"/>
    <n v="1462112422.2192121"/>
    <n v="30.1"/>
    <n v="32.770000000000003"/>
    <n v="31.435000000000002"/>
    <n v="0.66269632128175404"/>
    <n v="1"/>
    <n v="968936523.50502658"/>
  </r>
  <r>
    <x v="0"/>
    <x v="0"/>
    <s v="Shopping"/>
    <x v="0"/>
    <n v="41186265414.625694"/>
    <n v="0.23275000000000001"/>
    <n v="9586103275.2541313"/>
    <n v="1"/>
    <n v="1"/>
    <n v="1"/>
    <n v="2.1081479919890376E-2"/>
    <n v="1"/>
    <n v="202089243.70726535"/>
  </r>
  <r>
    <x v="0"/>
    <x v="0"/>
    <s v="Shopping"/>
    <x v="1"/>
    <n v="41186265414.625694"/>
    <n v="0.23275000000000001"/>
    <n v="9586103275.2541313"/>
    <n v="3"/>
    <n v="3"/>
    <n v="3"/>
    <n v="6.3244439759671131E-2"/>
    <n v="1"/>
    <n v="606267731.12179601"/>
  </r>
  <r>
    <x v="0"/>
    <x v="0"/>
    <s v="Shopping"/>
    <x v="2"/>
    <n v="41186265414.625694"/>
    <n v="0.23275000000000001"/>
    <n v="9586103275.2541313"/>
    <n v="5"/>
    <n v="5"/>
    <n v="5"/>
    <n v="0.10540739959945188"/>
    <n v="1"/>
    <n v="1010446218.5363266"/>
  </r>
  <r>
    <x v="0"/>
    <x v="0"/>
    <s v="Shopping"/>
    <x v="3"/>
    <n v="41186265414.625694"/>
    <n v="0.23275000000000001"/>
    <n v="9586103275.2541313"/>
    <n v="7"/>
    <n v="7"/>
    <n v="7"/>
    <n v="0.14757035943923263"/>
    <n v="1"/>
    <n v="1414624705.9508574"/>
  </r>
  <r>
    <x v="0"/>
    <x v="0"/>
    <s v="Shopping"/>
    <x v="4"/>
    <n v="41186265414.625694"/>
    <n v="0.23275000000000001"/>
    <n v="9586103275.2541313"/>
    <n v="30.1"/>
    <n v="32.770000000000003"/>
    <n v="31.435000000000002"/>
    <n v="0.66269632128175404"/>
    <n v="1"/>
    <n v="6352675375.9378862"/>
  </r>
  <r>
    <x v="0"/>
    <x v="0"/>
    <s v="To eat or drink"/>
    <x v="0"/>
    <n v="41186265414.625694"/>
    <n v="1.3500000000000002E-2"/>
    <n v="556014583.09744692"/>
    <n v="1"/>
    <n v="1"/>
    <n v="1"/>
    <n v="2.1081479919890376E-2"/>
    <n v="1"/>
    <n v="11721610.268735046"/>
  </r>
  <r>
    <x v="0"/>
    <x v="0"/>
    <s v="To eat or drink"/>
    <x v="1"/>
    <n v="41186265414.625694"/>
    <n v="1.3500000000000002E-2"/>
    <n v="556014583.09744692"/>
    <n v="3"/>
    <n v="3"/>
    <n v="3"/>
    <n v="6.3244439759671131E-2"/>
    <n v="1"/>
    <n v="35164830.806205139"/>
  </r>
  <r>
    <x v="0"/>
    <x v="0"/>
    <s v="To eat or drink"/>
    <x v="2"/>
    <n v="41186265414.625694"/>
    <n v="1.3500000000000002E-2"/>
    <n v="556014583.09744692"/>
    <n v="5"/>
    <n v="5"/>
    <n v="5"/>
    <n v="0.10540739959945188"/>
    <n v="1"/>
    <n v="58608051.343675226"/>
  </r>
  <r>
    <x v="0"/>
    <x v="0"/>
    <s v="To eat or drink"/>
    <x v="3"/>
    <n v="41186265414.625694"/>
    <n v="1.3500000000000002E-2"/>
    <n v="556014583.09744692"/>
    <n v="7"/>
    <n v="7"/>
    <n v="7"/>
    <n v="0.14757035943923263"/>
    <n v="1"/>
    <n v="82051271.881145328"/>
  </r>
  <r>
    <x v="0"/>
    <x v="0"/>
    <s v="To eat or drink"/>
    <x v="4"/>
    <n v="41186265414.625694"/>
    <n v="1.3500000000000002E-2"/>
    <n v="556014583.09744692"/>
    <n v="30.1"/>
    <n v="32.770000000000003"/>
    <n v="31.435000000000002"/>
    <n v="0.66269632128175404"/>
    <n v="1"/>
    <n v="368468818.79768622"/>
  </r>
  <r>
    <x v="0"/>
    <x v="0"/>
    <s v="Visit family/friends"/>
    <x v="0"/>
    <n v="41186265414.625694"/>
    <n v="0.1125"/>
    <n v="4633454859.1453905"/>
    <n v="1"/>
    <n v="1"/>
    <n v="1"/>
    <n v="2.1081479919890376E-2"/>
    <n v="1"/>
    <n v="97680085.572792038"/>
  </r>
  <r>
    <x v="0"/>
    <x v="0"/>
    <s v="Visit family/friends"/>
    <x v="1"/>
    <n v="41186265414.625694"/>
    <n v="0.1125"/>
    <n v="4633454859.1453905"/>
    <n v="3"/>
    <n v="3"/>
    <n v="3"/>
    <n v="6.3244439759671131E-2"/>
    <n v="1"/>
    <n v="293040256.71837616"/>
  </r>
  <r>
    <x v="0"/>
    <x v="0"/>
    <s v="Visit family/friends"/>
    <x v="2"/>
    <n v="41186265414.625694"/>
    <n v="0.1125"/>
    <n v="4633454859.1453905"/>
    <n v="5"/>
    <n v="5"/>
    <n v="5"/>
    <n v="0.10540739959945188"/>
    <n v="1"/>
    <n v="488400427.86396021"/>
  </r>
  <r>
    <x v="0"/>
    <x v="0"/>
    <s v="Visit family/friends"/>
    <x v="3"/>
    <n v="41186265414.625694"/>
    <n v="0.1125"/>
    <n v="4633454859.1453905"/>
    <n v="7"/>
    <n v="7"/>
    <n v="7"/>
    <n v="0.14757035943923263"/>
    <n v="1"/>
    <n v="683760599.00954425"/>
  </r>
  <r>
    <x v="0"/>
    <x v="0"/>
    <s v="Visit family/friends"/>
    <x v="4"/>
    <n v="41186265414.625694"/>
    <n v="0.1125"/>
    <n v="4633454859.1453905"/>
    <n v="30.1"/>
    <n v="32.770000000000003"/>
    <n v="31.435000000000002"/>
    <n v="0.66269632128175404"/>
    <n v="1"/>
    <n v="3070573489.9807181"/>
  </r>
  <r>
    <x v="0"/>
    <x v="0"/>
    <s v="Entertainment/leisure/sports"/>
    <x v="0"/>
    <n v="41186265414.625694"/>
    <n v="7.8750000000000001E-2"/>
    <n v="3243418401.4017735"/>
    <n v="1"/>
    <n v="1"/>
    <n v="1"/>
    <n v="2.1081479919890376E-2"/>
    <n v="1"/>
    <n v="68376059.900954425"/>
  </r>
  <r>
    <x v="0"/>
    <x v="0"/>
    <s v="Entertainment/leisure/sports"/>
    <x v="1"/>
    <n v="41186265414.625694"/>
    <n v="7.8750000000000001E-2"/>
    <n v="3243418401.4017735"/>
    <n v="3"/>
    <n v="3"/>
    <n v="3"/>
    <n v="6.3244439759671131E-2"/>
    <n v="1"/>
    <n v="205128179.70286331"/>
  </r>
  <r>
    <x v="0"/>
    <x v="0"/>
    <s v="Entertainment/leisure/sports"/>
    <x v="2"/>
    <n v="41186265414.625694"/>
    <n v="7.8750000000000001E-2"/>
    <n v="3243418401.4017735"/>
    <n v="5"/>
    <n v="5"/>
    <n v="5"/>
    <n v="0.10540739959945188"/>
    <n v="1"/>
    <n v="341880299.50477213"/>
  </r>
  <r>
    <x v="0"/>
    <x v="0"/>
    <s v="Entertainment/leisure/sports"/>
    <x v="3"/>
    <n v="41186265414.625694"/>
    <n v="7.8750000000000001E-2"/>
    <n v="3243418401.4017735"/>
    <n v="7"/>
    <n v="7"/>
    <n v="7"/>
    <n v="0.14757035943923263"/>
    <n v="1"/>
    <n v="478632419.30668104"/>
  </r>
  <r>
    <x v="0"/>
    <x v="0"/>
    <s v="Entertainment/leisure/sports"/>
    <x v="4"/>
    <n v="41186265414.625694"/>
    <n v="7.8750000000000001E-2"/>
    <n v="3243418401.4017735"/>
    <n v="30.1"/>
    <n v="32.770000000000003"/>
    <n v="31.435000000000002"/>
    <n v="0.66269632128175404"/>
    <n v="1"/>
    <n v="2149401442.9865026"/>
  </r>
  <r>
    <x v="0"/>
    <x v="0"/>
    <s v="Personal Business"/>
    <x v="0"/>
    <n v="41186265414.625694"/>
    <n v="6.7250000000000004E-2"/>
    <n v="2769776349.1335783"/>
    <n v="1"/>
    <n v="1"/>
    <n v="1"/>
    <n v="2.1081479919890376E-2"/>
    <n v="1"/>
    <n v="58390984.486846805"/>
  </r>
  <r>
    <x v="0"/>
    <x v="0"/>
    <s v="Personal Business"/>
    <x v="1"/>
    <n v="41186265414.625694"/>
    <n v="6.7250000000000004E-2"/>
    <n v="2769776349.1335783"/>
    <n v="3"/>
    <n v="3"/>
    <n v="3"/>
    <n v="6.3244439759671131E-2"/>
    <n v="1"/>
    <n v="175172953.46054041"/>
  </r>
  <r>
    <x v="0"/>
    <x v="0"/>
    <s v="Personal Business"/>
    <x v="2"/>
    <n v="41186265414.625694"/>
    <n v="6.7250000000000004E-2"/>
    <n v="2769776349.1335783"/>
    <n v="5"/>
    <n v="5"/>
    <n v="5"/>
    <n v="0.10540739959945188"/>
    <n v="1"/>
    <n v="291954922.43423402"/>
  </r>
  <r>
    <x v="0"/>
    <x v="0"/>
    <s v="Personal Business"/>
    <x v="3"/>
    <n v="41186265414.625694"/>
    <n v="6.7250000000000004E-2"/>
    <n v="2769776349.1335783"/>
    <n v="7"/>
    <n v="7"/>
    <n v="7"/>
    <n v="0.14757035943923263"/>
    <n v="1"/>
    <n v="408736891.40792763"/>
  </r>
  <r>
    <x v="0"/>
    <x v="0"/>
    <s v="Personal Business"/>
    <x v="4"/>
    <n v="41186265414.625694"/>
    <n v="6.7250000000000004E-2"/>
    <n v="2769776349.1335783"/>
    <n v="30.1"/>
    <n v="32.770000000000003"/>
    <n v="31.435000000000002"/>
    <n v="0.66269632128175404"/>
    <n v="1"/>
    <n v="1835520597.3440297"/>
  </r>
  <r>
    <x v="0"/>
    <x v="0"/>
    <s v="Companion/Escort Journey"/>
    <x v="0"/>
    <n v="41186265414.625694"/>
    <n v="0.18149999999999999"/>
    <n v="7475307172.7545633"/>
    <n v="1"/>
    <n v="1"/>
    <n v="1"/>
    <n v="2.1081479919890376E-2"/>
    <n v="1"/>
    <n v="157590538.05743784"/>
  </r>
  <r>
    <x v="0"/>
    <x v="0"/>
    <s v="Companion/Escort Journey"/>
    <x v="1"/>
    <n v="41186265414.625694"/>
    <n v="0.18149999999999999"/>
    <n v="7475307172.7545633"/>
    <n v="3"/>
    <n v="3"/>
    <n v="3"/>
    <n v="6.3244439759671131E-2"/>
    <n v="1"/>
    <n v="472771614.17231351"/>
  </r>
  <r>
    <x v="0"/>
    <x v="0"/>
    <s v="Companion/Escort Journey"/>
    <x v="2"/>
    <n v="41186265414.625694"/>
    <n v="0.18149999999999999"/>
    <n v="7475307172.7545633"/>
    <n v="5"/>
    <n v="5"/>
    <n v="5"/>
    <n v="0.10540739959945188"/>
    <n v="1"/>
    <n v="787952690.28718913"/>
  </r>
  <r>
    <x v="0"/>
    <x v="0"/>
    <s v="Companion/Escort Journey"/>
    <x v="3"/>
    <n v="41186265414.625694"/>
    <n v="0.18149999999999999"/>
    <n v="7475307172.7545633"/>
    <n v="7"/>
    <n v="7"/>
    <n v="7"/>
    <n v="0.14757035943923263"/>
    <n v="1"/>
    <n v="1103133766.4020648"/>
  </r>
  <r>
    <x v="0"/>
    <x v="0"/>
    <s v="Companion/Escort Journey"/>
    <x v="4"/>
    <n v="41186265414.625694"/>
    <n v="0.18149999999999999"/>
    <n v="7475307172.7545633"/>
    <n v="30.1"/>
    <n v="32.770000000000003"/>
    <n v="31.435000000000002"/>
    <n v="0.66269632128175404"/>
    <n v="1"/>
    <n v="4953858563.8355589"/>
  </r>
  <r>
    <x v="0"/>
    <x v="0"/>
    <s v="Other"/>
    <x v="0"/>
    <n v="41186265414.625694"/>
    <n v="3.4750000000000003E-2"/>
    <n v="1431222723.1582429"/>
    <n v="1"/>
    <n v="1"/>
    <n v="1"/>
    <n v="2.1081479919890376E-2"/>
    <n v="1"/>
    <n v="30172293.099151321"/>
  </r>
  <r>
    <x v="0"/>
    <x v="0"/>
    <s v="Other"/>
    <x v="1"/>
    <n v="41186265414.625694"/>
    <n v="3.4750000000000003E-2"/>
    <n v="1431222723.1582429"/>
    <n v="3"/>
    <n v="3"/>
    <n v="3"/>
    <n v="6.3244439759671131E-2"/>
    <n v="1"/>
    <n v="90516879.29745397"/>
  </r>
  <r>
    <x v="0"/>
    <x v="0"/>
    <s v="Other"/>
    <x v="2"/>
    <n v="41186265414.625694"/>
    <n v="3.4750000000000003E-2"/>
    <n v="1431222723.1582429"/>
    <n v="5"/>
    <n v="5"/>
    <n v="5"/>
    <n v="0.10540739959945188"/>
    <n v="1"/>
    <n v="150861465.4957566"/>
  </r>
  <r>
    <x v="0"/>
    <x v="0"/>
    <s v="Other"/>
    <x v="3"/>
    <n v="41186265414.625694"/>
    <n v="3.4750000000000003E-2"/>
    <n v="1431222723.1582429"/>
    <n v="7"/>
    <n v="7"/>
    <n v="7"/>
    <n v="0.14757035943923263"/>
    <n v="1"/>
    <n v="211206051.69405925"/>
  </r>
  <r>
    <x v="0"/>
    <x v="0"/>
    <s v="Other"/>
    <x v="4"/>
    <n v="41186265414.625694"/>
    <n v="3.4750000000000003E-2"/>
    <n v="1431222723.1582429"/>
    <n v="30.1"/>
    <n v="32.770000000000003"/>
    <n v="31.435000000000002"/>
    <n v="0.66269632128175404"/>
    <n v="1"/>
    <n v="948466033.57182193"/>
  </r>
  <r>
    <x v="0"/>
    <x v="1"/>
    <s v="Work"/>
    <x v="0"/>
    <n v="7789254559.7352896"/>
    <n v="0.24349999999999997"/>
    <n v="1896683485.2955427"/>
    <n v="1"/>
    <n v="1"/>
    <n v="1"/>
    <n v="2.1081479919890376E-2"/>
    <n v="1"/>
    <n v="39984894.809645675"/>
  </r>
  <r>
    <x v="0"/>
    <x v="1"/>
    <s v="Work"/>
    <x v="1"/>
    <n v="7789254559.7352896"/>
    <n v="0.24349999999999997"/>
    <n v="1896683485.2955427"/>
    <n v="3"/>
    <n v="3"/>
    <n v="3"/>
    <n v="6.3244439759671131E-2"/>
    <n v="1"/>
    <n v="119954684.42893703"/>
  </r>
  <r>
    <x v="0"/>
    <x v="1"/>
    <s v="Work"/>
    <x v="2"/>
    <n v="7789254559.7352896"/>
    <n v="0.24349999999999997"/>
    <n v="1896683485.2955427"/>
    <n v="5"/>
    <n v="5"/>
    <n v="5"/>
    <n v="0.10540739959945188"/>
    <n v="1"/>
    <n v="199924474.04822838"/>
  </r>
  <r>
    <x v="0"/>
    <x v="1"/>
    <s v="Work"/>
    <x v="3"/>
    <n v="7789254559.7352896"/>
    <n v="0.24349999999999997"/>
    <n v="1896683485.2955427"/>
    <n v="7"/>
    <n v="7"/>
    <n v="7"/>
    <n v="0.14757035943923263"/>
    <n v="1"/>
    <n v="279894263.66751975"/>
  </r>
  <r>
    <x v="0"/>
    <x v="1"/>
    <s v="Work"/>
    <x v="4"/>
    <n v="7789254559.7352896"/>
    <n v="0.24349999999999997"/>
    <n v="1896683485.2955427"/>
    <n v="30.1"/>
    <n v="32.770000000000003"/>
    <n v="31.435000000000002"/>
    <n v="0.66269632128175404"/>
    <n v="1"/>
    <n v="1256925168.341212"/>
  </r>
  <r>
    <x v="0"/>
    <x v="1"/>
    <s v="Education"/>
    <x v="0"/>
    <n v="7789254559.7352896"/>
    <n v="3.5499999999999997E-2"/>
    <n v="276518536.87060273"/>
    <n v="1"/>
    <n v="1"/>
    <n v="1"/>
    <n v="2.1081479919890376E-2"/>
    <n v="1"/>
    <n v="5829419.982515078"/>
  </r>
  <r>
    <x v="0"/>
    <x v="1"/>
    <s v="Education"/>
    <x v="1"/>
    <n v="7789254559.7352896"/>
    <n v="3.5499999999999997E-2"/>
    <n v="276518536.87060273"/>
    <n v="3"/>
    <n v="3"/>
    <n v="3"/>
    <n v="6.3244439759671131E-2"/>
    <n v="1"/>
    <n v="17488259.947545234"/>
  </r>
  <r>
    <x v="0"/>
    <x v="1"/>
    <s v="Education"/>
    <x v="2"/>
    <n v="7789254559.7352896"/>
    <n v="3.5499999999999997E-2"/>
    <n v="276518536.87060273"/>
    <n v="5"/>
    <n v="5"/>
    <n v="5"/>
    <n v="0.10540739959945188"/>
    <n v="1"/>
    <n v="29147099.91257539"/>
  </r>
  <r>
    <x v="0"/>
    <x v="1"/>
    <s v="Education"/>
    <x v="3"/>
    <n v="7789254559.7352896"/>
    <n v="3.5499999999999997E-2"/>
    <n v="276518536.87060273"/>
    <n v="7"/>
    <n v="7"/>
    <n v="7"/>
    <n v="0.14757035943923263"/>
    <n v="1"/>
    <n v="40805939.87760555"/>
  </r>
  <r>
    <x v="0"/>
    <x v="1"/>
    <s v="Education"/>
    <x v="4"/>
    <n v="7789254559.7352896"/>
    <n v="3.5499999999999997E-2"/>
    <n v="276518536.87060273"/>
    <n v="30.1"/>
    <n v="32.770000000000003"/>
    <n v="31.435000000000002"/>
    <n v="0.66269632128175404"/>
    <n v="1"/>
    <n v="183247817.15036151"/>
  </r>
  <r>
    <x v="0"/>
    <x v="1"/>
    <s v="Shopping"/>
    <x v="0"/>
    <n v="7789254559.7352896"/>
    <n v="0.23275000000000001"/>
    <n v="1812948998.7783887"/>
    <n v="1"/>
    <n v="1"/>
    <n v="1"/>
    <n v="2.1081479919890376E-2"/>
    <n v="1"/>
    <n v="38219647.913531967"/>
  </r>
  <r>
    <x v="0"/>
    <x v="1"/>
    <s v="Shopping"/>
    <x v="1"/>
    <n v="7789254559.7352896"/>
    <n v="0.23275000000000001"/>
    <n v="1812948998.7783887"/>
    <n v="3"/>
    <n v="3"/>
    <n v="3"/>
    <n v="6.3244439759671131E-2"/>
    <n v="1"/>
    <n v="114658943.74059589"/>
  </r>
  <r>
    <x v="0"/>
    <x v="1"/>
    <s v="Shopping"/>
    <x v="2"/>
    <n v="7789254559.7352896"/>
    <n v="0.23275000000000001"/>
    <n v="1812948998.7783887"/>
    <n v="5"/>
    <n v="5"/>
    <n v="5"/>
    <n v="0.10540739959945188"/>
    <n v="1"/>
    <n v="191098239.56765983"/>
  </r>
  <r>
    <x v="0"/>
    <x v="1"/>
    <s v="Shopping"/>
    <x v="3"/>
    <n v="7789254559.7352896"/>
    <n v="0.23275000000000001"/>
    <n v="1812948998.7783887"/>
    <n v="7"/>
    <n v="7"/>
    <n v="7"/>
    <n v="0.14757035943923263"/>
    <n v="1"/>
    <n v="267537535.39472374"/>
  </r>
  <r>
    <x v="0"/>
    <x v="1"/>
    <s v="Shopping"/>
    <x v="4"/>
    <n v="7789254559.7352896"/>
    <n v="0.23275000000000001"/>
    <n v="1812948998.7783887"/>
    <n v="30.1"/>
    <n v="32.770000000000003"/>
    <n v="31.435000000000002"/>
    <n v="0.66269632128175404"/>
    <n v="1"/>
    <n v="1201434632.1618774"/>
  </r>
  <r>
    <x v="0"/>
    <x v="1"/>
    <s v="To eat or drink"/>
    <x v="0"/>
    <n v="7789254559.7352896"/>
    <n v="1.3500000000000002E-2"/>
    <n v="105154936.55642642"/>
    <n v="1"/>
    <n v="1"/>
    <n v="1"/>
    <n v="2.1081479919890376E-2"/>
    <n v="1"/>
    <n v="2216821.68349165"/>
  </r>
  <r>
    <x v="0"/>
    <x v="1"/>
    <s v="To eat or drink"/>
    <x v="1"/>
    <n v="7789254559.7352896"/>
    <n v="1.3500000000000002E-2"/>
    <n v="105154936.55642642"/>
    <n v="3"/>
    <n v="3"/>
    <n v="3"/>
    <n v="6.3244439759671131E-2"/>
    <n v="1"/>
    <n v="6650465.0504749501"/>
  </r>
  <r>
    <x v="0"/>
    <x v="1"/>
    <s v="To eat or drink"/>
    <x v="2"/>
    <n v="7789254559.7352896"/>
    <n v="1.3500000000000002E-2"/>
    <n v="105154936.55642642"/>
    <n v="5"/>
    <n v="5"/>
    <n v="5"/>
    <n v="0.10540739959945188"/>
    <n v="1"/>
    <n v="11084108.417458249"/>
  </r>
  <r>
    <x v="0"/>
    <x v="1"/>
    <s v="To eat or drink"/>
    <x v="3"/>
    <n v="7789254559.7352896"/>
    <n v="1.3500000000000002E-2"/>
    <n v="105154936.55642642"/>
    <n v="7"/>
    <n v="7"/>
    <n v="7"/>
    <n v="0.14757035943923263"/>
    <n v="1"/>
    <n v="15517751.784441551"/>
  </r>
  <r>
    <x v="0"/>
    <x v="1"/>
    <s v="To eat or drink"/>
    <x v="4"/>
    <n v="7789254559.7352896"/>
    <n v="1.3500000000000002E-2"/>
    <n v="105154936.55642642"/>
    <n v="30.1"/>
    <n v="32.770000000000003"/>
    <n v="31.435000000000002"/>
    <n v="0.66269632128175404"/>
    <n v="1"/>
    <n v="69685789.62056002"/>
  </r>
  <r>
    <x v="0"/>
    <x v="1"/>
    <s v="Visit family/friends"/>
    <x v="0"/>
    <n v="7789254559.7352896"/>
    <n v="0.1125"/>
    <n v="876291137.97022009"/>
    <n v="1"/>
    <n v="1"/>
    <n v="1"/>
    <n v="2.1081479919890376E-2"/>
    <n v="1"/>
    <n v="18473514.02909708"/>
  </r>
  <r>
    <x v="0"/>
    <x v="1"/>
    <s v="Visit family/friends"/>
    <x v="1"/>
    <n v="7789254559.7352896"/>
    <n v="0.1125"/>
    <n v="876291137.97022009"/>
    <n v="3"/>
    <n v="3"/>
    <n v="3"/>
    <n v="6.3244439759671131E-2"/>
    <n v="1"/>
    <n v="55420542.087291248"/>
  </r>
  <r>
    <x v="0"/>
    <x v="1"/>
    <s v="Visit family/friends"/>
    <x v="2"/>
    <n v="7789254559.7352896"/>
    <n v="0.1125"/>
    <n v="876291137.97022009"/>
    <n v="5"/>
    <n v="5"/>
    <n v="5"/>
    <n v="0.10540739959945188"/>
    <n v="1"/>
    <n v="92367570.145485401"/>
  </r>
  <r>
    <x v="0"/>
    <x v="1"/>
    <s v="Visit family/friends"/>
    <x v="3"/>
    <n v="7789254559.7352896"/>
    <n v="0.1125"/>
    <n v="876291137.97022009"/>
    <n v="7"/>
    <n v="7"/>
    <n v="7"/>
    <n v="0.14757035943923263"/>
    <n v="1"/>
    <n v="129314598.20367958"/>
  </r>
  <r>
    <x v="0"/>
    <x v="1"/>
    <s v="Visit family/friends"/>
    <x v="4"/>
    <n v="7789254559.7352896"/>
    <n v="0.1125"/>
    <n v="876291137.97022009"/>
    <n v="30.1"/>
    <n v="32.770000000000003"/>
    <n v="31.435000000000002"/>
    <n v="0.66269632128175404"/>
    <n v="1"/>
    <n v="580714913.50466681"/>
  </r>
  <r>
    <x v="0"/>
    <x v="1"/>
    <s v="Entertainment/leisure/sports"/>
    <x v="0"/>
    <n v="7789254559.7352896"/>
    <n v="7.8750000000000001E-2"/>
    <n v="613403796.57915401"/>
    <n v="1"/>
    <n v="1"/>
    <n v="1"/>
    <n v="2.1081479919890376E-2"/>
    <n v="1"/>
    <n v="12931459.820367957"/>
  </r>
  <r>
    <x v="0"/>
    <x v="1"/>
    <s v="Entertainment/leisure/sports"/>
    <x v="1"/>
    <n v="7789254559.7352896"/>
    <n v="7.8750000000000001E-2"/>
    <n v="613403796.57915401"/>
    <n v="3"/>
    <n v="3"/>
    <n v="3"/>
    <n v="6.3244439759671131E-2"/>
    <n v="1"/>
    <n v="38794379.461103871"/>
  </r>
  <r>
    <x v="0"/>
    <x v="1"/>
    <s v="Entertainment/leisure/sports"/>
    <x v="2"/>
    <n v="7789254559.7352896"/>
    <n v="7.8750000000000001E-2"/>
    <n v="613403796.57915401"/>
    <n v="5"/>
    <n v="5"/>
    <n v="5"/>
    <n v="0.10540739959945188"/>
    <n v="1"/>
    <n v="64657299.101839781"/>
  </r>
  <r>
    <x v="0"/>
    <x v="1"/>
    <s v="Entertainment/leisure/sports"/>
    <x v="3"/>
    <n v="7789254559.7352896"/>
    <n v="7.8750000000000001E-2"/>
    <n v="613403796.57915401"/>
    <n v="7"/>
    <n v="7"/>
    <n v="7"/>
    <n v="0.14757035943923263"/>
    <n v="1"/>
    <n v="90520218.74257569"/>
  </r>
  <r>
    <x v="0"/>
    <x v="1"/>
    <s v="Entertainment/leisure/sports"/>
    <x v="4"/>
    <n v="7789254559.7352896"/>
    <n v="7.8750000000000001E-2"/>
    <n v="613403796.57915401"/>
    <n v="30.1"/>
    <n v="32.770000000000003"/>
    <n v="31.435000000000002"/>
    <n v="0.66269632128175404"/>
    <n v="1"/>
    <n v="406500439.45326674"/>
  </r>
  <r>
    <x v="0"/>
    <x v="1"/>
    <s v="Personal Business"/>
    <x v="0"/>
    <n v="7789254559.7352896"/>
    <n v="6.7250000000000004E-2"/>
    <n v="523827369.14219826"/>
    <n v="1"/>
    <n v="1"/>
    <n v="1"/>
    <n v="2.1081479919890376E-2"/>
    <n v="1"/>
    <n v="11043056.164060256"/>
  </r>
  <r>
    <x v="0"/>
    <x v="1"/>
    <s v="Personal Business"/>
    <x v="1"/>
    <n v="7789254559.7352896"/>
    <n v="6.7250000000000004E-2"/>
    <n v="523827369.14219826"/>
    <n v="3"/>
    <n v="3"/>
    <n v="3"/>
    <n v="6.3244439759671131E-2"/>
    <n v="1"/>
    <n v="33129168.492180772"/>
  </r>
  <r>
    <x v="0"/>
    <x v="1"/>
    <s v="Personal Business"/>
    <x v="2"/>
    <n v="7789254559.7352896"/>
    <n v="6.7250000000000004E-2"/>
    <n v="523827369.14219826"/>
    <n v="5"/>
    <n v="5"/>
    <n v="5"/>
    <n v="0.10540739959945188"/>
    <n v="1"/>
    <n v="55215280.820301279"/>
  </r>
  <r>
    <x v="0"/>
    <x v="1"/>
    <s v="Personal Business"/>
    <x v="3"/>
    <n v="7789254559.7352896"/>
    <n v="6.7250000000000004E-2"/>
    <n v="523827369.14219826"/>
    <n v="7"/>
    <n v="7"/>
    <n v="7"/>
    <n v="0.14757035943923263"/>
    <n v="1"/>
    <n v="77301393.148421794"/>
  </r>
  <r>
    <x v="0"/>
    <x v="1"/>
    <s v="Personal Business"/>
    <x v="4"/>
    <n v="7789254559.7352896"/>
    <n v="6.7250000000000004E-2"/>
    <n v="523827369.14219826"/>
    <n v="30.1"/>
    <n v="32.770000000000003"/>
    <n v="31.435000000000002"/>
    <n v="0.66269632128175404"/>
    <n v="1"/>
    <n v="347138470.51723421"/>
  </r>
  <r>
    <x v="0"/>
    <x v="1"/>
    <s v="Companion/Escort Journey"/>
    <x v="0"/>
    <n v="7789254559.7352896"/>
    <n v="0.18149999999999999"/>
    <n v="1413749702.5919549"/>
    <n v="1"/>
    <n v="1"/>
    <n v="1"/>
    <n v="2.1081479919890376E-2"/>
    <n v="1"/>
    <n v="29803935.96694329"/>
  </r>
  <r>
    <x v="0"/>
    <x v="1"/>
    <s v="Companion/Escort Journey"/>
    <x v="1"/>
    <n v="7789254559.7352896"/>
    <n v="0.18149999999999999"/>
    <n v="1413749702.5919549"/>
    <n v="3"/>
    <n v="3"/>
    <n v="3"/>
    <n v="6.3244439759671131E-2"/>
    <n v="1"/>
    <n v="89411807.900829867"/>
  </r>
  <r>
    <x v="0"/>
    <x v="1"/>
    <s v="Companion/Escort Journey"/>
    <x v="2"/>
    <n v="7789254559.7352896"/>
    <n v="0.18149999999999999"/>
    <n v="1413749702.5919549"/>
    <n v="5"/>
    <n v="5"/>
    <n v="5"/>
    <n v="0.10540739959945188"/>
    <n v="1"/>
    <n v="149019679.83471644"/>
  </r>
  <r>
    <x v="0"/>
    <x v="1"/>
    <s v="Companion/Escort Journey"/>
    <x v="3"/>
    <n v="7789254559.7352896"/>
    <n v="0.18149999999999999"/>
    <n v="1413749702.5919549"/>
    <n v="7"/>
    <n v="7"/>
    <n v="7"/>
    <n v="0.14757035943923263"/>
    <n v="1"/>
    <n v="208627551.76860303"/>
  </r>
  <r>
    <x v="0"/>
    <x v="1"/>
    <s v="Companion/Escort Journey"/>
    <x v="4"/>
    <n v="7789254559.7352896"/>
    <n v="0.18149999999999999"/>
    <n v="1413749702.5919549"/>
    <n v="30.1"/>
    <n v="32.770000000000003"/>
    <n v="31.435000000000002"/>
    <n v="0.66269632128175404"/>
    <n v="1"/>
    <n v="936886727.12086236"/>
  </r>
  <r>
    <x v="0"/>
    <x v="1"/>
    <s v="Other"/>
    <x v="0"/>
    <n v="7789254559.7352896"/>
    <n v="3.4750000000000003E-2"/>
    <n v="270676595.95080131"/>
    <n v="1"/>
    <n v="1"/>
    <n v="1"/>
    <n v="2.1081479919890376E-2"/>
    <n v="1"/>
    <n v="5706263.2223210987"/>
  </r>
  <r>
    <x v="0"/>
    <x v="1"/>
    <s v="Other"/>
    <x v="1"/>
    <n v="7789254559.7352896"/>
    <n v="3.4750000000000003E-2"/>
    <n v="270676595.95080131"/>
    <n v="3"/>
    <n v="3"/>
    <n v="3"/>
    <n v="6.3244439759671131E-2"/>
    <n v="1"/>
    <n v="17118789.666963298"/>
  </r>
  <r>
    <x v="0"/>
    <x v="1"/>
    <s v="Other"/>
    <x v="2"/>
    <n v="7789254559.7352896"/>
    <n v="3.4750000000000003E-2"/>
    <n v="270676595.95080131"/>
    <n v="5"/>
    <n v="5"/>
    <n v="5"/>
    <n v="0.10540739959945188"/>
    <n v="1"/>
    <n v="28531316.111605491"/>
  </r>
  <r>
    <x v="0"/>
    <x v="1"/>
    <s v="Other"/>
    <x v="3"/>
    <n v="7789254559.7352896"/>
    <n v="3.4750000000000003E-2"/>
    <n v="270676595.95080131"/>
    <n v="7"/>
    <n v="7"/>
    <n v="7"/>
    <n v="0.14757035943923263"/>
    <n v="1"/>
    <n v="39943842.556247689"/>
  </r>
  <r>
    <x v="0"/>
    <x v="1"/>
    <s v="Other"/>
    <x v="4"/>
    <n v="7789254559.7352896"/>
    <n v="3.4750000000000003E-2"/>
    <n v="270676595.95080131"/>
    <n v="30.1"/>
    <n v="32.770000000000003"/>
    <n v="31.435000000000002"/>
    <n v="0.66269632128175404"/>
    <n v="1"/>
    <n v="179376384.39366376"/>
  </r>
  <r>
    <x v="0"/>
    <x v="2"/>
    <s v="Work"/>
    <x v="0"/>
    <n v="157552739.62167439"/>
    <n v="0.17649999999999999"/>
    <n v="27808058.543225527"/>
    <n v="1"/>
    <n v="1"/>
    <n v="1"/>
    <n v="2.1081479919890376E-2"/>
    <n v="1"/>
    <n v="586235.02779014502"/>
  </r>
  <r>
    <x v="0"/>
    <x v="2"/>
    <s v="Work"/>
    <x v="1"/>
    <n v="157552739.62167439"/>
    <n v="0.17649999999999999"/>
    <n v="27808058.543225527"/>
    <n v="3"/>
    <n v="3"/>
    <n v="3"/>
    <n v="6.3244439759671131E-2"/>
    <n v="1"/>
    <n v="1758705.0833704351"/>
  </r>
  <r>
    <x v="0"/>
    <x v="2"/>
    <s v="Work"/>
    <x v="2"/>
    <n v="157552739.62167439"/>
    <n v="0.17649999999999999"/>
    <n v="27808058.543225527"/>
    <n v="5"/>
    <n v="5"/>
    <n v="5"/>
    <n v="0.10540739959945188"/>
    <n v="1"/>
    <n v="2931175.1389507246"/>
  </r>
  <r>
    <x v="0"/>
    <x v="2"/>
    <s v="Work"/>
    <x v="3"/>
    <n v="157552739.62167439"/>
    <n v="0.17649999999999999"/>
    <n v="27808058.543225527"/>
    <n v="7"/>
    <n v="7"/>
    <n v="7"/>
    <n v="0.14757035943923263"/>
    <n v="1"/>
    <n v="4103645.1945310147"/>
  </r>
  <r>
    <x v="0"/>
    <x v="2"/>
    <s v="Work"/>
    <x v="4"/>
    <n v="157552739.62167439"/>
    <n v="0.17649999999999999"/>
    <n v="27808058.543225527"/>
    <n v="30.1"/>
    <n v="32.770000000000003"/>
    <n v="31.435000000000002"/>
    <n v="0.66269632128175404"/>
    <n v="1"/>
    <n v="18428298.09858321"/>
  </r>
  <r>
    <x v="0"/>
    <x v="2"/>
    <s v="Education"/>
    <x v="0"/>
    <n v="157552739.62167439"/>
    <n v="8.5249999999999992E-2"/>
    <n v="13431371.052747741"/>
    <n v="1"/>
    <n v="1"/>
    <n v="1"/>
    <n v="2.1081479919890376E-2"/>
    <n v="1"/>
    <n v="283153.17914509837"/>
  </r>
  <r>
    <x v="0"/>
    <x v="2"/>
    <s v="Education"/>
    <x v="1"/>
    <n v="157552739.62167439"/>
    <n v="8.5249999999999992E-2"/>
    <n v="13431371.052747741"/>
    <n v="3"/>
    <n v="3"/>
    <n v="3"/>
    <n v="6.3244439759671131E-2"/>
    <n v="1"/>
    <n v="849459.53743529518"/>
  </r>
  <r>
    <x v="0"/>
    <x v="2"/>
    <s v="Education"/>
    <x v="2"/>
    <n v="157552739.62167439"/>
    <n v="8.5249999999999992E-2"/>
    <n v="13431371.052747741"/>
    <n v="5"/>
    <n v="5"/>
    <n v="5"/>
    <n v="0.10540739959945188"/>
    <n v="1"/>
    <n v="1415765.8957254917"/>
  </r>
  <r>
    <x v="0"/>
    <x v="2"/>
    <s v="Education"/>
    <x v="3"/>
    <n v="157552739.62167439"/>
    <n v="8.5249999999999992E-2"/>
    <n v="13431371.052747741"/>
    <n v="7"/>
    <n v="7"/>
    <n v="7"/>
    <n v="0.14757035943923263"/>
    <n v="1"/>
    <n v="1982072.2540156886"/>
  </r>
  <r>
    <x v="0"/>
    <x v="2"/>
    <s v="Education"/>
    <x v="4"/>
    <n v="157552739.62167439"/>
    <n v="8.5249999999999992E-2"/>
    <n v="13431371.052747741"/>
    <n v="30.1"/>
    <n v="32.770000000000003"/>
    <n v="31.435000000000002"/>
    <n v="0.66269632128175404"/>
    <n v="1"/>
    <n v="8900920.1864261683"/>
  </r>
  <r>
    <x v="0"/>
    <x v="2"/>
    <s v="Shopping"/>
    <x v="0"/>
    <n v="157552739.62167439"/>
    <n v="0.23774999999999999"/>
    <n v="37458163.845053084"/>
    <n v="1"/>
    <n v="1"/>
    <n v="1"/>
    <n v="2.1081479919890376E-2"/>
    <n v="1"/>
    <n v="789673.52893545025"/>
  </r>
  <r>
    <x v="0"/>
    <x v="2"/>
    <s v="Shopping"/>
    <x v="1"/>
    <n v="157552739.62167439"/>
    <n v="0.23774999999999999"/>
    <n v="37458163.845053084"/>
    <n v="3"/>
    <n v="3"/>
    <n v="3"/>
    <n v="6.3244439759671131E-2"/>
    <n v="1"/>
    <n v="2369020.5868063509"/>
  </r>
  <r>
    <x v="0"/>
    <x v="2"/>
    <s v="Shopping"/>
    <x v="2"/>
    <n v="157552739.62167439"/>
    <n v="0.23774999999999999"/>
    <n v="37458163.845053084"/>
    <n v="5"/>
    <n v="5"/>
    <n v="5"/>
    <n v="0.10540739959945188"/>
    <n v="1"/>
    <n v="3948367.6446772511"/>
  </r>
  <r>
    <x v="0"/>
    <x v="2"/>
    <s v="Shopping"/>
    <x v="3"/>
    <n v="157552739.62167439"/>
    <n v="0.23774999999999999"/>
    <n v="37458163.845053084"/>
    <n v="7"/>
    <n v="7"/>
    <n v="7"/>
    <n v="0.14757035943923263"/>
    <n v="1"/>
    <n v="5527714.7025481518"/>
  </r>
  <r>
    <x v="0"/>
    <x v="2"/>
    <s v="Shopping"/>
    <x v="4"/>
    <n v="157552739.62167439"/>
    <n v="0.23774999999999999"/>
    <n v="37458163.845053084"/>
    <n v="30.1"/>
    <n v="32.770000000000003"/>
    <n v="31.435000000000002"/>
    <n v="0.66269632128175404"/>
    <n v="1"/>
    <n v="24823387.382085882"/>
  </r>
  <r>
    <x v="0"/>
    <x v="2"/>
    <s v="To eat or drink"/>
    <x v="0"/>
    <n v="157552739.62167439"/>
    <n v="3.6750000000000005E-2"/>
    <n v="5790063.1810965342"/>
    <n v="1"/>
    <n v="1"/>
    <n v="1"/>
    <n v="2.1081479919890376E-2"/>
    <n v="1"/>
    <n v="122063.10068718318"/>
  </r>
  <r>
    <x v="0"/>
    <x v="2"/>
    <s v="To eat or drink"/>
    <x v="1"/>
    <n v="157552739.62167439"/>
    <n v="3.6750000000000005E-2"/>
    <n v="5790063.1810965342"/>
    <n v="3"/>
    <n v="3"/>
    <n v="3"/>
    <n v="6.3244439759671131E-2"/>
    <n v="1"/>
    <n v="366189.30206154956"/>
  </r>
  <r>
    <x v="0"/>
    <x v="2"/>
    <s v="To eat or drink"/>
    <x v="2"/>
    <n v="157552739.62167439"/>
    <n v="3.6750000000000005E-2"/>
    <n v="5790063.1810965342"/>
    <n v="5"/>
    <n v="5"/>
    <n v="5"/>
    <n v="0.10540739959945188"/>
    <n v="1"/>
    <n v="610315.50343591592"/>
  </r>
  <r>
    <x v="0"/>
    <x v="2"/>
    <s v="To eat or drink"/>
    <x v="3"/>
    <n v="157552739.62167439"/>
    <n v="3.6750000000000005E-2"/>
    <n v="5790063.1810965342"/>
    <n v="7"/>
    <n v="7"/>
    <n v="7"/>
    <n v="0.14757035943923263"/>
    <n v="1"/>
    <n v="854441.70481028233"/>
  </r>
  <r>
    <x v="0"/>
    <x v="2"/>
    <s v="To eat or drink"/>
    <x v="4"/>
    <n v="157552739.62167439"/>
    <n v="3.6750000000000005E-2"/>
    <n v="5790063.1810965342"/>
    <n v="30.1"/>
    <n v="32.770000000000003"/>
    <n v="31.435000000000002"/>
    <n v="0.66269632128175404"/>
    <n v="1"/>
    <n v="3837053.5701016039"/>
  </r>
  <r>
    <x v="0"/>
    <x v="2"/>
    <s v="Visit family/friends"/>
    <x v="0"/>
    <n v="157552739.62167439"/>
    <n v="7.4500000000000011E-2"/>
    <n v="11737679.101814743"/>
    <n v="1"/>
    <n v="1"/>
    <n v="1"/>
    <n v="2.1081479919890376E-2"/>
    <n v="1"/>
    <n v="247447.6462910244"/>
  </r>
  <r>
    <x v="0"/>
    <x v="2"/>
    <s v="Visit family/friends"/>
    <x v="1"/>
    <n v="157552739.62167439"/>
    <n v="7.4500000000000011E-2"/>
    <n v="11737679.101814743"/>
    <n v="3"/>
    <n v="3"/>
    <n v="3"/>
    <n v="6.3244439759671131E-2"/>
    <n v="1"/>
    <n v="742342.93887307332"/>
  </r>
  <r>
    <x v="0"/>
    <x v="2"/>
    <s v="Visit family/friends"/>
    <x v="2"/>
    <n v="157552739.62167439"/>
    <n v="7.4500000000000011E-2"/>
    <n v="11737679.101814743"/>
    <n v="5"/>
    <n v="5"/>
    <n v="5"/>
    <n v="0.10540739959945188"/>
    <n v="1"/>
    <n v="1237238.2314551221"/>
  </r>
  <r>
    <x v="0"/>
    <x v="2"/>
    <s v="Visit family/friends"/>
    <x v="3"/>
    <n v="157552739.62167439"/>
    <n v="7.4500000000000011E-2"/>
    <n v="11737679.101814743"/>
    <n v="7"/>
    <n v="7"/>
    <n v="7"/>
    <n v="0.14757035943923263"/>
    <n v="1"/>
    <n v="1732133.5240371709"/>
  </r>
  <r>
    <x v="0"/>
    <x v="2"/>
    <s v="Visit family/friends"/>
    <x v="4"/>
    <n v="157552739.62167439"/>
    <n v="7.4500000000000011E-2"/>
    <n v="11737679.101814743"/>
    <n v="30.1"/>
    <n v="32.770000000000003"/>
    <n v="31.435000000000002"/>
    <n v="0.66269632128175404"/>
    <n v="1"/>
    <n v="7778516.7611583536"/>
  </r>
  <r>
    <x v="0"/>
    <x v="2"/>
    <s v="Entertainment/leisure/sports"/>
    <x v="0"/>
    <n v="157552739.62167439"/>
    <n v="0.19524999999999998"/>
    <n v="30762172.411131922"/>
    <n v="1"/>
    <n v="1"/>
    <n v="1"/>
    <n v="2.1081479919890376E-2"/>
    <n v="1"/>
    <n v="648512.11997748329"/>
  </r>
  <r>
    <x v="0"/>
    <x v="2"/>
    <s v="Entertainment/leisure/sports"/>
    <x v="1"/>
    <n v="157552739.62167439"/>
    <n v="0.19524999999999998"/>
    <n v="30762172.411131922"/>
    <n v="3"/>
    <n v="3"/>
    <n v="3"/>
    <n v="6.3244439759671131E-2"/>
    <n v="1"/>
    <n v="1945536.3599324501"/>
  </r>
  <r>
    <x v="0"/>
    <x v="2"/>
    <s v="Entertainment/leisure/sports"/>
    <x v="2"/>
    <n v="157552739.62167439"/>
    <n v="0.19524999999999998"/>
    <n v="30762172.411131922"/>
    <n v="5"/>
    <n v="5"/>
    <n v="5"/>
    <n v="0.10540739959945188"/>
    <n v="1"/>
    <n v="3242560.5998874167"/>
  </r>
  <r>
    <x v="0"/>
    <x v="2"/>
    <s v="Entertainment/leisure/sports"/>
    <x v="3"/>
    <n v="157552739.62167439"/>
    <n v="0.19524999999999998"/>
    <n v="30762172.411131922"/>
    <n v="7"/>
    <n v="7"/>
    <n v="7"/>
    <n v="0.14757035943923263"/>
    <n v="1"/>
    <n v="4539584.8398423837"/>
  </r>
  <r>
    <x v="0"/>
    <x v="2"/>
    <s v="Entertainment/leisure/sports"/>
    <x v="4"/>
    <n v="157552739.62167439"/>
    <n v="0.19524999999999998"/>
    <n v="30762172.411131922"/>
    <n v="30.1"/>
    <n v="32.770000000000003"/>
    <n v="31.435000000000002"/>
    <n v="0.66269632128175404"/>
    <n v="1"/>
    <n v="20385978.491492189"/>
  </r>
  <r>
    <x v="0"/>
    <x v="2"/>
    <s v="Personal Business"/>
    <x v="0"/>
    <n v="157552739.62167439"/>
    <n v="4.4499999999999991E-2"/>
    <n v="7011096.9131645085"/>
    <n v="1"/>
    <n v="1"/>
    <n v="1"/>
    <n v="2.1081479919890376E-2"/>
    <n v="1"/>
    <n v="147804.29879128298"/>
  </r>
  <r>
    <x v="0"/>
    <x v="2"/>
    <s v="Personal Business"/>
    <x v="1"/>
    <n v="157552739.62167439"/>
    <n v="4.4499999999999991E-2"/>
    <n v="7011096.9131645085"/>
    <n v="3"/>
    <n v="3"/>
    <n v="3"/>
    <n v="6.3244439759671131E-2"/>
    <n v="1"/>
    <n v="443412.89637384895"/>
  </r>
  <r>
    <x v="0"/>
    <x v="2"/>
    <s v="Personal Business"/>
    <x v="2"/>
    <n v="157552739.62167439"/>
    <n v="4.4499999999999991E-2"/>
    <n v="7011096.9131645085"/>
    <n v="5"/>
    <n v="5"/>
    <n v="5"/>
    <n v="0.10540739959945188"/>
    <n v="1"/>
    <n v="739021.49395641487"/>
  </r>
  <r>
    <x v="0"/>
    <x v="2"/>
    <s v="Personal Business"/>
    <x v="3"/>
    <n v="157552739.62167439"/>
    <n v="4.4499999999999991E-2"/>
    <n v="7011096.9131645085"/>
    <n v="7"/>
    <n v="7"/>
    <n v="7"/>
    <n v="0.14757035943923263"/>
    <n v="1"/>
    <n v="1034630.091538981"/>
  </r>
  <r>
    <x v="0"/>
    <x v="2"/>
    <s v="Personal Business"/>
    <x v="4"/>
    <n v="157552739.62167439"/>
    <n v="4.4499999999999991E-2"/>
    <n v="7011096.9131645085"/>
    <n v="30.1"/>
    <n v="32.770000000000003"/>
    <n v="31.435000000000002"/>
    <n v="0.66269632128175404"/>
    <n v="1"/>
    <n v="4646228.1325039808"/>
  </r>
  <r>
    <x v="0"/>
    <x v="2"/>
    <s v="Companion/Escort Journey"/>
    <x v="0"/>
    <n v="157552739.62167439"/>
    <n v="8.5500000000000007E-2"/>
    <n v="13470759.23765316"/>
    <n v="1"/>
    <n v="1"/>
    <n v="1"/>
    <n v="2.1081479919890376E-2"/>
    <n v="1"/>
    <n v="283983.5403742629"/>
  </r>
  <r>
    <x v="0"/>
    <x v="2"/>
    <s v="Companion/Escort Journey"/>
    <x v="1"/>
    <n v="157552739.62167439"/>
    <n v="8.5500000000000007E-2"/>
    <n v="13470759.23765316"/>
    <n v="3"/>
    <n v="3"/>
    <n v="3"/>
    <n v="6.3244439759671131E-2"/>
    <n v="1"/>
    <n v="851950.62112278875"/>
  </r>
  <r>
    <x v="0"/>
    <x v="2"/>
    <s v="Companion/Escort Journey"/>
    <x v="2"/>
    <n v="157552739.62167439"/>
    <n v="8.5500000000000007E-2"/>
    <n v="13470759.23765316"/>
    <n v="5"/>
    <n v="5"/>
    <n v="5"/>
    <n v="0.10540739959945188"/>
    <n v="1"/>
    <n v="1419917.7018713143"/>
  </r>
  <r>
    <x v="0"/>
    <x v="2"/>
    <s v="Companion/Escort Journey"/>
    <x v="3"/>
    <n v="157552739.62167439"/>
    <n v="8.5500000000000007E-2"/>
    <n v="13470759.23765316"/>
    <n v="7"/>
    <n v="7"/>
    <n v="7"/>
    <n v="0.14757035943923263"/>
    <n v="1"/>
    <n v="1987884.7826198402"/>
  </r>
  <r>
    <x v="0"/>
    <x v="2"/>
    <s v="Companion/Escort Journey"/>
    <x v="4"/>
    <n v="157552739.62167439"/>
    <n v="8.5500000000000007E-2"/>
    <n v="13470759.23765316"/>
    <n v="30.1"/>
    <n v="32.770000000000003"/>
    <n v="31.435000000000002"/>
    <n v="0.66269632128175404"/>
    <n v="1"/>
    <n v="8927022.591664955"/>
  </r>
  <r>
    <x v="0"/>
    <x v="2"/>
    <s v="Other"/>
    <x v="0"/>
    <n v="157552739.62167439"/>
    <n v="6.4000000000000001E-2"/>
    <n v="10083375.33578716"/>
    <n v="1"/>
    <n v="1"/>
    <n v="1"/>
    <n v="2.1081479919890376E-2"/>
    <n v="1"/>
    <n v="212572.4746661149"/>
  </r>
  <r>
    <x v="0"/>
    <x v="2"/>
    <s v="Other"/>
    <x v="1"/>
    <n v="157552739.62167439"/>
    <n v="6.4000000000000001E-2"/>
    <n v="10083375.33578716"/>
    <n v="3"/>
    <n v="3"/>
    <n v="3"/>
    <n v="6.3244439759671131E-2"/>
    <n v="1"/>
    <n v="637717.42399834469"/>
  </r>
  <r>
    <x v="0"/>
    <x v="2"/>
    <s v="Other"/>
    <x v="2"/>
    <n v="157552739.62167439"/>
    <n v="6.4000000000000001E-2"/>
    <n v="10083375.33578716"/>
    <n v="5"/>
    <n v="5"/>
    <n v="5"/>
    <n v="0.10540739959945188"/>
    <n v="1"/>
    <n v="1062862.3733305745"/>
  </r>
  <r>
    <x v="0"/>
    <x v="2"/>
    <s v="Other"/>
    <x v="3"/>
    <n v="157552739.62167439"/>
    <n v="6.4000000000000001E-2"/>
    <n v="10083375.33578716"/>
    <n v="7"/>
    <n v="7"/>
    <n v="7"/>
    <n v="0.14757035943923263"/>
    <n v="1"/>
    <n v="1488007.3226628043"/>
  </r>
  <r>
    <x v="0"/>
    <x v="2"/>
    <s v="Other"/>
    <x v="4"/>
    <n v="157552739.62167439"/>
    <n v="6.4000000000000001E-2"/>
    <n v="10083375.33578716"/>
    <n v="30.1"/>
    <n v="32.770000000000003"/>
    <n v="31.435000000000002"/>
    <n v="0.66269632128175404"/>
    <n v="1"/>
    <n v="6682215.7411293229"/>
  </r>
  <r>
    <x v="0"/>
    <x v="3"/>
    <s v="Work"/>
    <x v="0"/>
    <n v="2807733662.5477371"/>
    <n v="0.28824999999999995"/>
    <n v="809329228.22938514"/>
    <n v="1"/>
    <n v="1"/>
    <n v="1"/>
    <n v="2.1081479919890376E-2"/>
    <n v="1"/>
    <n v="17061857.873498157"/>
  </r>
  <r>
    <x v="0"/>
    <x v="3"/>
    <s v="Work"/>
    <x v="1"/>
    <n v="2807733662.5477371"/>
    <n v="0.28824999999999995"/>
    <n v="809329228.22938514"/>
    <n v="3"/>
    <n v="3"/>
    <n v="3"/>
    <n v="6.3244439759671131E-2"/>
    <n v="1"/>
    <n v="51185573.620494477"/>
  </r>
  <r>
    <x v="0"/>
    <x v="3"/>
    <s v="Work"/>
    <x v="2"/>
    <n v="2807733662.5477371"/>
    <n v="0.28824999999999995"/>
    <n v="809329228.22938514"/>
    <n v="5"/>
    <n v="5"/>
    <n v="5"/>
    <n v="0.10540739959945188"/>
    <n v="1"/>
    <n v="85309289.367490783"/>
  </r>
  <r>
    <x v="0"/>
    <x v="3"/>
    <s v="Work"/>
    <x v="3"/>
    <n v="2807733662.5477371"/>
    <n v="0.28824999999999995"/>
    <n v="809329228.22938514"/>
    <n v="7"/>
    <n v="7"/>
    <n v="7"/>
    <n v="0.14757035943923263"/>
    <n v="1"/>
    <n v="119433005.11448711"/>
  </r>
  <r>
    <x v="0"/>
    <x v="3"/>
    <s v="Work"/>
    <x v="4"/>
    <n v="2807733662.5477371"/>
    <n v="0.28824999999999995"/>
    <n v="809329228.22938514"/>
    <n v="30.1"/>
    <n v="32.770000000000003"/>
    <n v="31.435000000000002"/>
    <n v="0.66269632128175404"/>
    <n v="1"/>
    <n v="536339502.25341463"/>
  </r>
  <r>
    <x v="0"/>
    <x v="3"/>
    <s v="Education"/>
    <x v="0"/>
    <n v="2807733662.5477371"/>
    <n v="0.12437499999999999"/>
    <n v="349211874.27937478"/>
    <n v="1"/>
    <n v="1"/>
    <n v="1"/>
    <n v="2.1081479919890376E-2"/>
    <n v="1"/>
    <n v="7361903.1154079214"/>
  </r>
  <r>
    <x v="0"/>
    <x v="3"/>
    <s v="Education"/>
    <x v="1"/>
    <n v="2807733662.5477371"/>
    <n v="0.12437499999999999"/>
    <n v="349211874.27937478"/>
    <n v="3"/>
    <n v="3"/>
    <n v="3"/>
    <n v="6.3244439759671131E-2"/>
    <n v="1"/>
    <n v="22085709.346223768"/>
  </r>
  <r>
    <x v="0"/>
    <x v="3"/>
    <s v="Education"/>
    <x v="2"/>
    <n v="2807733662.5477371"/>
    <n v="0.12437499999999999"/>
    <n v="349211874.27937478"/>
    <n v="5"/>
    <n v="5"/>
    <n v="5"/>
    <n v="0.10540739959945188"/>
    <n v="1"/>
    <n v="36809515.577039607"/>
  </r>
  <r>
    <x v="0"/>
    <x v="3"/>
    <s v="Education"/>
    <x v="3"/>
    <n v="2807733662.5477371"/>
    <n v="0.12437499999999999"/>
    <n v="349211874.27937478"/>
    <n v="7"/>
    <n v="7"/>
    <n v="7"/>
    <n v="0.14757035943923263"/>
    <n v="1"/>
    <n v="51533321.807855457"/>
  </r>
  <r>
    <x v="0"/>
    <x v="3"/>
    <s v="Education"/>
    <x v="4"/>
    <n v="2807733662.5477371"/>
    <n v="0.12437499999999999"/>
    <n v="349211874.27937478"/>
    <n v="30.1"/>
    <n v="32.770000000000003"/>
    <n v="31.435000000000002"/>
    <n v="0.66269632128175404"/>
    <n v="1"/>
    <n v="231421424.43284804"/>
  </r>
  <r>
    <x v="0"/>
    <x v="3"/>
    <s v="Shopping"/>
    <x v="0"/>
    <n v="2807733662.5477371"/>
    <n v="0.18625"/>
    <n v="522940394.64951605"/>
    <n v="1"/>
    <n v="1"/>
    <n v="1"/>
    <n v="2.1081479919890376E-2"/>
    <n v="1"/>
    <n v="11024357.42910332"/>
  </r>
  <r>
    <x v="0"/>
    <x v="3"/>
    <s v="Shopping"/>
    <x v="1"/>
    <n v="2807733662.5477371"/>
    <n v="0.18625"/>
    <n v="522940394.64951605"/>
    <n v="3"/>
    <n v="3"/>
    <n v="3"/>
    <n v="6.3244439759671131E-2"/>
    <n v="1"/>
    <n v="33073072.287309963"/>
  </r>
  <r>
    <x v="0"/>
    <x v="3"/>
    <s v="Shopping"/>
    <x v="2"/>
    <n v="2807733662.5477371"/>
    <n v="0.18625"/>
    <n v="522940394.64951605"/>
    <n v="5"/>
    <n v="5"/>
    <n v="5"/>
    <n v="0.10540739959945188"/>
    <n v="1"/>
    <n v="55121787.145516604"/>
  </r>
  <r>
    <x v="0"/>
    <x v="3"/>
    <s v="Shopping"/>
    <x v="3"/>
    <n v="2807733662.5477371"/>
    <n v="0.18625"/>
    <n v="522940394.64951605"/>
    <n v="7"/>
    <n v="7"/>
    <n v="7"/>
    <n v="0.14757035943923263"/>
    <n v="1"/>
    <n v="77170502.003723249"/>
  </r>
  <r>
    <x v="0"/>
    <x v="3"/>
    <s v="Shopping"/>
    <x v="4"/>
    <n v="2807733662.5477371"/>
    <n v="0.18625"/>
    <n v="522940394.64951605"/>
    <n v="30.1"/>
    <n v="32.770000000000003"/>
    <n v="31.435000000000002"/>
    <n v="0.66269632128175404"/>
    <n v="1"/>
    <n v="346550675.78386295"/>
  </r>
  <r>
    <x v="0"/>
    <x v="3"/>
    <s v="To eat or drink"/>
    <x v="0"/>
    <n v="2807733662.5477371"/>
    <n v="1.7000000000000001E-2"/>
    <n v="47731472.263311535"/>
    <n v="1"/>
    <n v="1"/>
    <n v="1"/>
    <n v="2.1081479919890376E-2"/>
    <n v="1"/>
    <n v="1006250.0740658066"/>
  </r>
  <r>
    <x v="0"/>
    <x v="3"/>
    <s v="To eat or drink"/>
    <x v="1"/>
    <n v="2807733662.5477371"/>
    <n v="1.7000000000000001E-2"/>
    <n v="47731472.263311535"/>
    <n v="3"/>
    <n v="3"/>
    <n v="3"/>
    <n v="6.3244439759671131E-2"/>
    <n v="1"/>
    <n v="3018750.22219742"/>
  </r>
  <r>
    <x v="0"/>
    <x v="3"/>
    <s v="To eat or drink"/>
    <x v="2"/>
    <n v="2807733662.5477371"/>
    <n v="1.7000000000000001E-2"/>
    <n v="47731472.263311535"/>
    <n v="5"/>
    <n v="5"/>
    <n v="5"/>
    <n v="0.10540739959945188"/>
    <n v="1"/>
    <n v="5031250.3703290327"/>
  </r>
  <r>
    <x v="0"/>
    <x v="3"/>
    <s v="To eat or drink"/>
    <x v="3"/>
    <n v="2807733662.5477371"/>
    <n v="1.7000000000000001E-2"/>
    <n v="47731472.263311535"/>
    <n v="7"/>
    <n v="7"/>
    <n v="7"/>
    <n v="0.14757035943923263"/>
    <n v="1"/>
    <n v="7043750.5184606463"/>
  </r>
  <r>
    <x v="0"/>
    <x v="3"/>
    <s v="To eat or drink"/>
    <x v="4"/>
    <n v="2807733662.5477371"/>
    <n v="1.7000000000000001E-2"/>
    <n v="47731472.263311535"/>
    <n v="30.1"/>
    <n v="32.770000000000003"/>
    <n v="31.435000000000002"/>
    <n v="0.66269632128175404"/>
    <n v="1"/>
    <n v="31631471.078258634"/>
  </r>
  <r>
    <x v="0"/>
    <x v="3"/>
    <s v="Visit family/friends"/>
    <x v="0"/>
    <n v="2807733662.5477371"/>
    <n v="0.10375000000000002"/>
    <n v="291302367.48932779"/>
    <n v="1"/>
    <n v="1"/>
    <n v="1"/>
    <n v="2.1081479919890376E-2"/>
    <n v="1"/>
    <n v="6141085.0108427908"/>
  </r>
  <r>
    <x v="0"/>
    <x v="3"/>
    <s v="Visit family/friends"/>
    <x v="1"/>
    <n v="2807733662.5477371"/>
    <n v="0.10375000000000002"/>
    <n v="291302367.48932779"/>
    <n v="3"/>
    <n v="3"/>
    <n v="3"/>
    <n v="6.3244439759671131E-2"/>
    <n v="1"/>
    <n v="18423255.032528374"/>
  </r>
  <r>
    <x v="0"/>
    <x v="3"/>
    <s v="Visit family/friends"/>
    <x v="2"/>
    <n v="2807733662.5477371"/>
    <n v="0.10375000000000002"/>
    <n v="291302367.48932779"/>
    <n v="5"/>
    <n v="5"/>
    <n v="5"/>
    <n v="0.10540739959945188"/>
    <n v="1"/>
    <n v="30705425.054213952"/>
  </r>
  <r>
    <x v="0"/>
    <x v="3"/>
    <s v="Visit family/friends"/>
    <x v="3"/>
    <n v="2807733662.5477371"/>
    <n v="0.10375000000000002"/>
    <n v="291302367.48932779"/>
    <n v="7"/>
    <n v="7"/>
    <n v="7"/>
    <n v="0.14757035943923263"/>
    <n v="1"/>
    <n v="42987595.075899534"/>
  </r>
  <r>
    <x v="0"/>
    <x v="3"/>
    <s v="Visit family/friends"/>
    <x v="4"/>
    <n v="2807733662.5477371"/>
    <n v="0.10375000000000002"/>
    <n v="291302367.48932779"/>
    <n v="30.1"/>
    <n v="32.770000000000003"/>
    <n v="31.435000000000002"/>
    <n v="0.66269632128175404"/>
    <n v="1"/>
    <n v="193045007.31584316"/>
  </r>
  <r>
    <x v="0"/>
    <x v="3"/>
    <s v="Entertainment/leisure/sports"/>
    <x v="0"/>
    <n v="2807733662.5477371"/>
    <n v="7.0250000000000007E-2"/>
    <n v="197243289.79397854"/>
    <n v="1"/>
    <n v="1"/>
    <n v="1"/>
    <n v="2.1081479919890376E-2"/>
    <n v="1"/>
    <n v="4158180.4531248771"/>
  </r>
  <r>
    <x v="0"/>
    <x v="3"/>
    <s v="Entertainment/leisure/sports"/>
    <x v="1"/>
    <n v="2807733662.5477371"/>
    <n v="7.0250000000000007E-2"/>
    <n v="197243289.79397854"/>
    <n v="3"/>
    <n v="3"/>
    <n v="3"/>
    <n v="6.3244439759671131E-2"/>
    <n v="1"/>
    <n v="12474541.359374631"/>
  </r>
  <r>
    <x v="0"/>
    <x v="3"/>
    <s v="Entertainment/leisure/sports"/>
    <x v="2"/>
    <n v="2807733662.5477371"/>
    <n v="7.0250000000000007E-2"/>
    <n v="197243289.79397854"/>
    <n v="5"/>
    <n v="5"/>
    <n v="5"/>
    <n v="0.10540739959945188"/>
    <n v="1"/>
    <n v="20790902.265624385"/>
  </r>
  <r>
    <x v="0"/>
    <x v="3"/>
    <s v="Entertainment/leisure/sports"/>
    <x v="3"/>
    <n v="2807733662.5477371"/>
    <n v="7.0250000000000007E-2"/>
    <n v="197243289.79397854"/>
    <n v="7"/>
    <n v="7"/>
    <n v="7"/>
    <n v="0.14757035943923263"/>
    <n v="1"/>
    <n v="29107263.171874139"/>
  </r>
  <r>
    <x v="0"/>
    <x v="3"/>
    <s v="Entertainment/leisure/sports"/>
    <x v="4"/>
    <n v="2807733662.5477371"/>
    <n v="7.0250000000000007E-2"/>
    <n v="197243289.79397854"/>
    <n v="30.1"/>
    <n v="32.770000000000003"/>
    <n v="31.435000000000002"/>
    <n v="0.66269632128175404"/>
    <n v="1"/>
    <n v="130712402.54398052"/>
  </r>
  <r>
    <x v="0"/>
    <x v="3"/>
    <s v="Personal Business"/>
    <x v="0"/>
    <n v="2807733662.5477371"/>
    <n v="9.6374999999999988E-2"/>
    <n v="270595331.72803813"/>
    <n v="1"/>
    <n v="1"/>
    <n v="1"/>
    <n v="2.1081479919890376E-2"/>
    <n v="1"/>
    <n v="5704550.0522407107"/>
  </r>
  <r>
    <x v="0"/>
    <x v="3"/>
    <s v="Personal Business"/>
    <x v="1"/>
    <n v="2807733662.5477371"/>
    <n v="9.6374999999999988E-2"/>
    <n v="270595331.72803813"/>
    <n v="3"/>
    <n v="3"/>
    <n v="3"/>
    <n v="6.3244439759671131E-2"/>
    <n v="1"/>
    <n v="17113650.156722132"/>
  </r>
  <r>
    <x v="0"/>
    <x v="3"/>
    <s v="Personal Business"/>
    <x v="2"/>
    <n v="2807733662.5477371"/>
    <n v="9.6374999999999988E-2"/>
    <n v="270595331.72803813"/>
    <n v="5"/>
    <n v="5"/>
    <n v="5"/>
    <n v="0.10540739959945188"/>
    <n v="1"/>
    <n v="28522750.261203554"/>
  </r>
  <r>
    <x v="0"/>
    <x v="3"/>
    <s v="Personal Business"/>
    <x v="3"/>
    <n v="2807733662.5477371"/>
    <n v="9.6374999999999988E-2"/>
    <n v="270595331.72803813"/>
    <n v="7"/>
    <n v="7"/>
    <n v="7"/>
    <n v="0.14757035943923263"/>
    <n v="1"/>
    <n v="39931850.365684979"/>
  </r>
  <r>
    <x v="0"/>
    <x v="3"/>
    <s v="Personal Business"/>
    <x v="4"/>
    <n v="2807733662.5477371"/>
    <n v="9.6374999999999988E-2"/>
    <n v="270595331.72803813"/>
    <n v="30.1"/>
    <n v="32.770000000000003"/>
    <n v="31.435000000000002"/>
    <n v="0.66269632128175404"/>
    <n v="1"/>
    <n v="179322530.89218676"/>
  </r>
  <r>
    <x v="0"/>
    <x v="3"/>
    <s v="Companion/Escort Journey"/>
    <x v="0"/>
    <n v="2807733662.5477371"/>
    <n v="2.2499999999999999E-2"/>
    <n v="63174007.407324083"/>
    <n v="1"/>
    <n v="1"/>
    <n v="1"/>
    <n v="2.1081479919890376E-2"/>
    <n v="1"/>
    <n v="1331801.5686165085"/>
  </r>
  <r>
    <x v="0"/>
    <x v="3"/>
    <s v="Companion/Escort Journey"/>
    <x v="1"/>
    <n v="2807733662.5477371"/>
    <n v="2.2499999999999999E-2"/>
    <n v="63174007.407324083"/>
    <n v="3"/>
    <n v="3"/>
    <n v="3"/>
    <n v="6.3244439759671131E-2"/>
    <n v="1"/>
    <n v="3995404.705849526"/>
  </r>
  <r>
    <x v="0"/>
    <x v="3"/>
    <s v="Companion/Escort Journey"/>
    <x v="2"/>
    <n v="2807733662.5477371"/>
    <n v="2.2499999999999999E-2"/>
    <n v="63174007.407324083"/>
    <n v="5"/>
    <n v="5"/>
    <n v="5"/>
    <n v="0.10540739959945188"/>
    <n v="1"/>
    <n v="6659007.8430825425"/>
  </r>
  <r>
    <x v="0"/>
    <x v="3"/>
    <s v="Companion/Escort Journey"/>
    <x v="3"/>
    <n v="2807733662.5477371"/>
    <n v="2.2499999999999999E-2"/>
    <n v="63174007.407324083"/>
    <n v="7"/>
    <n v="7"/>
    <n v="7"/>
    <n v="0.14757035943923263"/>
    <n v="1"/>
    <n v="9322610.9803155605"/>
  </r>
  <r>
    <x v="0"/>
    <x v="3"/>
    <s v="Companion/Escort Journey"/>
    <x v="4"/>
    <n v="2807733662.5477371"/>
    <n v="2.2499999999999999E-2"/>
    <n v="63174007.407324083"/>
    <n v="30.1"/>
    <n v="32.770000000000003"/>
    <n v="31.435000000000002"/>
    <n v="0.66269632128175404"/>
    <n v="1"/>
    <n v="41865182.309459947"/>
  </r>
  <r>
    <x v="0"/>
    <x v="3"/>
    <s v="Other"/>
    <x v="0"/>
    <n v="2807733662.5477371"/>
    <n v="9.1250000000000012E-2"/>
    <n v="256205696.70748106"/>
    <n v="1"/>
    <n v="1"/>
    <n v="1"/>
    <n v="2.1081479919890376E-2"/>
    <n v="1"/>
    <n v="5401195.250500286"/>
  </r>
  <r>
    <x v="0"/>
    <x v="3"/>
    <s v="Other"/>
    <x v="1"/>
    <n v="2807733662.5477371"/>
    <n v="9.1250000000000012E-2"/>
    <n v="256205696.70748106"/>
    <n v="3"/>
    <n v="3"/>
    <n v="3"/>
    <n v="6.3244439759671131E-2"/>
    <n v="1"/>
    <n v="16203585.751500858"/>
  </r>
  <r>
    <x v="0"/>
    <x v="3"/>
    <s v="Other"/>
    <x v="2"/>
    <n v="2807733662.5477371"/>
    <n v="9.1250000000000012E-2"/>
    <n v="256205696.70748106"/>
    <n v="5"/>
    <n v="5"/>
    <n v="5"/>
    <n v="0.10540739959945188"/>
    <n v="1"/>
    <n v="27005976.252501428"/>
  </r>
  <r>
    <x v="0"/>
    <x v="3"/>
    <s v="Other"/>
    <x v="3"/>
    <n v="2807733662.5477371"/>
    <n v="9.1250000000000012E-2"/>
    <n v="256205696.70748106"/>
    <n v="7"/>
    <n v="7"/>
    <n v="7"/>
    <n v="0.14757035943923263"/>
    <n v="1"/>
    <n v="37808366.753502004"/>
  </r>
  <r>
    <x v="0"/>
    <x v="3"/>
    <s v="Other"/>
    <x v="4"/>
    <n v="2807733662.5477371"/>
    <n v="9.1250000000000012E-2"/>
    <n v="256205696.70748106"/>
    <n v="30.1"/>
    <n v="32.770000000000003"/>
    <n v="31.435000000000002"/>
    <n v="0.66269632128175404"/>
    <n v="1"/>
    <n v="169786572.69947651"/>
  </r>
  <r>
    <x v="0"/>
    <x v="4"/>
    <s v="Work"/>
    <x v="0"/>
    <n v="223983167.86609241"/>
    <n v="0.17649999999999999"/>
    <n v="39533029.128365308"/>
    <n v="1"/>
    <n v="1"/>
    <n v="1"/>
    <n v="2.1081479919890376E-2"/>
    <n v="1"/>
    <n v="833414.75974207453"/>
  </r>
  <r>
    <x v="0"/>
    <x v="4"/>
    <s v="Work"/>
    <x v="1"/>
    <n v="223983167.86609241"/>
    <n v="0.17649999999999999"/>
    <n v="39533029.128365308"/>
    <n v="3"/>
    <n v="3"/>
    <n v="3"/>
    <n v="6.3244439759671131E-2"/>
    <n v="1"/>
    <n v="2500244.2792262239"/>
  </r>
  <r>
    <x v="0"/>
    <x v="4"/>
    <s v="Work"/>
    <x v="2"/>
    <n v="223983167.86609241"/>
    <n v="0.17649999999999999"/>
    <n v="39533029.128365308"/>
    <n v="5"/>
    <n v="5"/>
    <n v="5"/>
    <n v="0.10540739959945188"/>
    <n v="1"/>
    <n v="4167073.7987103728"/>
  </r>
  <r>
    <x v="0"/>
    <x v="4"/>
    <s v="Work"/>
    <x v="3"/>
    <n v="223983167.86609241"/>
    <n v="0.17649999999999999"/>
    <n v="39533029.128365308"/>
    <n v="7"/>
    <n v="7"/>
    <n v="7"/>
    <n v="0.14757035943923263"/>
    <n v="1"/>
    <n v="5833903.3181945225"/>
  </r>
  <r>
    <x v="0"/>
    <x v="4"/>
    <s v="Work"/>
    <x v="4"/>
    <n v="223983167.86609241"/>
    <n v="0.17649999999999999"/>
    <n v="39533029.128365308"/>
    <n v="30.1"/>
    <n v="32.770000000000003"/>
    <n v="31.435000000000002"/>
    <n v="0.66269632128175404"/>
    <n v="1"/>
    <n v="26198392.972492117"/>
  </r>
  <r>
    <x v="0"/>
    <x v="4"/>
    <s v="Education"/>
    <x v="0"/>
    <n v="223983167.86609241"/>
    <n v="8.5249999999999992E-2"/>
    <n v="19094565.060584377"/>
    <n v="1"/>
    <n v="1"/>
    <n v="1"/>
    <n v="2.1081479919890376E-2"/>
    <n v="1"/>
    <n v="402541.68990374991"/>
  </r>
  <r>
    <x v="0"/>
    <x v="4"/>
    <s v="Education"/>
    <x v="1"/>
    <n v="223983167.86609241"/>
    <n v="8.5249999999999992E-2"/>
    <n v="19094565.060584377"/>
    <n v="3"/>
    <n v="3"/>
    <n v="3"/>
    <n v="6.3244439759671131E-2"/>
    <n v="1"/>
    <n v="1207625.0697112498"/>
  </r>
  <r>
    <x v="0"/>
    <x v="4"/>
    <s v="Education"/>
    <x v="2"/>
    <n v="223983167.86609241"/>
    <n v="8.5249999999999992E-2"/>
    <n v="19094565.060584377"/>
    <n v="5"/>
    <n v="5"/>
    <n v="5"/>
    <n v="0.10540739959945188"/>
    <n v="1"/>
    <n v="2012708.4495187495"/>
  </r>
  <r>
    <x v="0"/>
    <x v="4"/>
    <s v="Education"/>
    <x v="3"/>
    <n v="223983167.86609241"/>
    <n v="8.5249999999999992E-2"/>
    <n v="19094565.060584377"/>
    <n v="7"/>
    <n v="7"/>
    <n v="7"/>
    <n v="0.14757035943923263"/>
    <n v="1"/>
    <n v="2817791.8293262497"/>
  </r>
  <r>
    <x v="0"/>
    <x v="4"/>
    <s v="Education"/>
    <x v="4"/>
    <n v="223983167.86609241"/>
    <n v="8.5249999999999992E-2"/>
    <n v="19094565.060584377"/>
    <n v="30.1"/>
    <n v="32.770000000000003"/>
    <n v="31.435000000000002"/>
    <n v="0.66269632128175404"/>
    <n v="1"/>
    <n v="12653898.02212438"/>
  </r>
  <r>
    <x v="0"/>
    <x v="4"/>
    <s v="Shopping"/>
    <x v="0"/>
    <n v="223983167.86609241"/>
    <n v="0.23774999999999999"/>
    <n v="53251998.16016347"/>
    <n v="1"/>
    <n v="1"/>
    <n v="1"/>
    <n v="2.1081479919890376E-2"/>
    <n v="1"/>
    <n v="1122630.9299075254"/>
  </r>
  <r>
    <x v="0"/>
    <x v="4"/>
    <s v="Shopping"/>
    <x v="1"/>
    <n v="223983167.86609241"/>
    <n v="0.23774999999999999"/>
    <n v="53251998.16016347"/>
    <n v="3"/>
    <n v="3"/>
    <n v="3"/>
    <n v="6.3244439759671131E-2"/>
    <n v="1"/>
    <n v="3367892.7897225763"/>
  </r>
  <r>
    <x v="0"/>
    <x v="4"/>
    <s v="Shopping"/>
    <x v="2"/>
    <n v="223983167.86609241"/>
    <n v="0.23774999999999999"/>
    <n v="53251998.16016347"/>
    <n v="5"/>
    <n v="5"/>
    <n v="5"/>
    <n v="0.10540739959945188"/>
    <n v="1"/>
    <n v="5613154.6495376267"/>
  </r>
  <r>
    <x v="0"/>
    <x v="4"/>
    <s v="Shopping"/>
    <x v="3"/>
    <n v="223983167.86609241"/>
    <n v="0.23774999999999999"/>
    <n v="53251998.16016347"/>
    <n v="7"/>
    <n v="7"/>
    <n v="7"/>
    <n v="0.14757035943923263"/>
    <n v="1"/>
    <n v="7858416.5093526784"/>
  </r>
  <r>
    <x v="0"/>
    <x v="4"/>
    <s v="Shopping"/>
    <x v="4"/>
    <n v="223983167.86609241"/>
    <n v="0.23774999999999999"/>
    <n v="53251998.16016347"/>
    <n v="30.1"/>
    <n v="32.770000000000003"/>
    <n v="31.435000000000002"/>
    <n v="0.66269632128175404"/>
    <n v="1"/>
    <n v="35289903.281643063"/>
  </r>
  <r>
    <x v="0"/>
    <x v="4"/>
    <s v="To eat or drink"/>
    <x v="0"/>
    <n v="223983167.86609241"/>
    <n v="3.6750000000000005E-2"/>
    <n v="8231381.4190788977"/>
    <n v="1"/>
    <n v="1"/>
    <n v="1"/>
    <n v="2.1081479919890376E-2"/>
    <n v="1"/>
    <n v="173529.70209927054"/>
  </r>
  <r>
    <x v="0"/>
    <x v="4"/>
    <s v="To eat or drink"/>
    <x v="1"/>
    <n v="223983167.86609241"/>
    <n v="3.6750000000000005E-2"/>
    <n v="8231381.4190788977"/>
    <n v="3"/>
    <n v="3"/>
    <n v="3"/>
    <n v="6.3244439759671131E-2"/>
    <n v="1"/>
    <n v="520589.10629781161"/>
  </r>
  <r>
    <x v="0"/>
    <x v="4"/>
    <s v="To eat or drink"/>
    <x v="2"/>
    <n v="223983167.86609241"/>
    <n v="3.6750000000000005E-2"/>
    <n v="8231381.4190788977"/>
    <n v="5"/>
    <n v="5"/>
    <n v="5"/>
    <n v="0.10540739959945188"/>
    <n v="1"/>
    <n v="867648.51049635257"/>
  </r>
  <r>
    <x v="0"/>
    <x v="4"/>
    <s v="To eat or drink"/>
    <x v="3"/>
    <n v="223983167.86609241"/>
    <n v="3.6750000000000005E-2"/>
    <n v="8231381.4190788977"/>
    <n v="7"/>
    <n v="7"/>
    <n v="7"/>
    <n v="0.14757035943923263"/>
    <n v="1"/>
    <n v="1214707.9146948936"/>
  </r>
  <r>
    <x v="0"/>
    <x v="4"/>
    <s v="To eat or drink"/>
    <x v="4"/>
    <n v="223983167.86609241"/>
    <n v="3.6750000000000005E-2"/>
    <n v="8231381.4190788977"/>
    <n v="30.1"/>
    <n v="32.770000000000003"/>
    <n v="31.435000000000002"/>
    <n v="0.66269632128175404"/>
    <n v="1"/>
    <n v="5454906.18549057"/>
  </r>
  <r>
    <x v="0"/>
    <x v="4"/>
    <s v="Visit family/friends"/>
    <x v="0"/>
    <n v="223983167.86609241"/>
    <n v="7.4500000000000011E-2"/>
    <n v="16686746.006023888"/>
    <n v="1"/>
    <n v="1"/>
    <n v="1"/>
    <n v="2.1081479919890376E-2"/>
    <n v="1"/>
    <n v="351781.30085430352"/>
  </r>
  <r>
    <x v="0"/>
    <x v="4"/>
    <s v="Visit family/friends"/>
    <x v="1"/>
    <n v="223983167.86609241"/>
    <n v="7.4500000000000011E-2"/>
    <n v="16686746.006023888"/>
    <n v="3"/>
    <n v="3"/>
    <n v="3"/>
    <n v="6.3244439759671131E-2"/>
    <n v="1"/>
    <n v="1055343.9025629107"/>
  </r>
  <r>
    <x v="0"/>
    <x v="4"/>
    <s v="Visit family/friends"/>
    <x v="2"/>
    <n v="223983167.86609241"/>
    <n v="7.4500000000000011E-2"/>
    <n v="16686746.006023888"/>
    <n v="5"/>
    <n v="5"/>
    <n v="5"/>
    <n v="0.10540739959945188"/>
    <n v="1"/>
    <n v="1758906.5042715175"/>
  </r>
  <r>
    <x v="0"/>
    <x v="4"/>
    <s v="Visit family/friends"/>
    <x v="3"/>
    <n v="223983167.86609241"/>
    <n v="7.4500000000000011E-2"/>
    <n v="16686746.006023888"/>
    <n v="7"/>
    <n v="7"/>
    <n v="7"/>
    <n v="0.14757035943923263"/>
    <n v="1"/>
    <n v="2462469.1059801248"/>
  </r>
  <r>
    <x v="0"/>
    <x v="4"/>
    <s v="Visit family/friends"/>
    <x v="4"/>
    <n v="223983167.86609241"/>
    <n v="7.4500000000000011E-2"/>
    <n v="16686746.006023888"/>
    <n v="30.1"/>
    <n v="32.770000000000003"/>
    <n v="31.435000000000002"/>
    <n v="0.66269632128175404"/>
    <n v="1"/>
    <n v="11058245.192355033"/>
  </r>
  <r>
    <x v="0"/>
    <x v="4"/>
    <s v="Entertainment/leisure/sports"/>
    <x v="0"/>
    <n v="223983167.86609241"/>
    <n v="0.19524999999999998"/>
    <n v="43732713.525854535"/>
    <n v="1"/>
    <n v="1"/>
    <n v="1"/>
    <n v="2.1081479919890376E-2"/>
    <n v="1"/>
    <n v="921950.32203762059"/>
  </r>
  <r>
    <x v="0"/>
    <x v="4"/>
    <s v="Entertainment/leisure/sports"/>
    <x v="1"/>
    <n v="223983167.86609241"/>
    <n v="0.19524999999999998"/>
    <n v="43732713.525854535"/>
    <n v="3"/>
    <n v="3"/>
    <n v="3"/>
    <n v="6.3244439759671131E-2"/>
    <n v="1"/>
    <n v="2765850.9661128619"/>
  </r>
  <r>
    <x v="0"/>
    <x v="4"/>
    <s v="Entertainment/leisure/sports"/>
    <x v="2"/>
    <n v="223983167.86609241"/>
    <n v="0.19524999999999998"/>
    <n v="43732713.525854535"/>
    <n v="5"/>
    <n v="5"/>
    <n v="5"/>
    <n v="0.10540739959945188"/>
    <n v="1"/>
    <n v="4609751.6101881033"/>
  </r>
  <r>
    <x v="0"/>
    <x v="4"/>
    <s v="Entertainment/leisure/sports"/>
    <x v="3"/>
    <n v="223983167.86609241"/>
    <n v="0.19524999999999998"/>
    <n v="43732713.525854535"/>
    <n v="7"/>
    <n v="7"/>
    <n v="7"/>
    <n v="0.14757035943923263"/>
    <n v="1"/>
    <n v="6453652.2542633442"/>
  </r>
  <r>
    <x v="0"/>
    <x v="4"/>
    <s v="Entertainment/leisure/sports"/>
    <x v="4"/>
    <n v="223983167.86609241"/>
    <n v="0.19524999999999998"/>
    <n v="43732713.525854535"/>
    <n v="30.1"/>
    <n v="32.770000000000003"/>
    <n v="31.435000000000002"/>
    <n v="0.66269632128175404"/>
    <n v="1"/>
    <n v="28981508.373252608"/>
  </r>
  <r>
    <x v="0"/>
    <x v="4"/>
    <s v="Personal Business"/>
    <x v="0"/>
    <n v="223983167.86609241"/>
    <n v="4.4499999999999991E-2"/>
    <n v="9967250.9700411111"/>
    <n v="1"/>
    <n v="1"/>
    <n v="1"/>
    <n v="2.1081479919890376E-2"/>
    <n v="1"/>
    <n v="210124.40118142957"/>
  </r>
  <r>
    <x v="0"/>
    <x v="4"/>
    <s v="Personal Business"/>
    <x v="1"/>
    <n v="223983167.86609241"/>
    <n v="4.4499999999999991E-2"/>
    <n v="9967250.9700411111"/>
    <n v="3"/>
    <n v="3"/>
    <n v="3"/>
    <n v="6.3244439759671131E-2"/>
    <n v="1"/>
    <n v="630373.20354428864"/>
  </r>
  <r>
    <x v="0"/>
    <x v="4"/>
    <s v="Personal Business"/>
    <x v="2"/>
    <n v="223983167.86609241"/>
    <n v="4.4499999999999991E-2"/>
    <n v="9967250.9700411111"/>
    <n v="5"/>
    <n v="5"/>
    <n v="5"/>
    <n v="0.10540739959945188"/>
    <n v="1"/>
    <n v="1050622.0059071477"/>
  </r>
  <r>
    <x v="0"/>
    <x v="4"/>
    <s v="Personal Business"/>
    <x v="3"/>
    <n v="223983167.86609241"/>
    <n v="4.4499999999999991E-2"/>
    <n v="9967250.9700411111"/>
    <n v="7"/>
    <n v="7"/>
    <n v="7"/>
    <n v="0.14757035943923263"/>
    <n v="1"/>
    <n v="1470870.8082700069"/>
  </r>
  <r>
    <x v="0"/>
    <x v="4"/>
    <s v="Personal Business"/>
    <x v="4"/>
    <n v="223983167.86609241"/>
    <n v="4.4499999999999991E-2"/>
    <n v="9967250.9700411111"/>
    <n v="30.1"/>
    <n v="32.770000000000003"/>
    <n v="31.435000000000002"/>
    <n v="0.66269632128175404"/>
    <n v="1"/>
    <n v="6605260.551138239"/>
  </r>
  <r>
    <x v="0"/>
    <x v="4"/>
    <s v="Companion/Escort Journey"/>
    <x v="0"/>
    <n v="223983167.86609241"/>
    <n v="8.5500000000000007E-2"/>
    <n v="19150560.852550901"/>
    <n v="1"/>
    <n v="1"/>
    <n v="1"/>
    <n v="2.1081479919890376E-2"/>
    <n v="1"/>
    <n v="403722.16406769055"/>
  </r>
  <r>
    <x v="0"/>
    <x v="4"/>
    <s v="Companion/Escort Journey"/>
    <x v="1"/>
    <n v="223983167.86609241"/>
    <n v="8.5500000000000007E-2"/>
    <n v="19150560.852550901"/>
    <n v="3"/>
    <n v="3"/>
    <n v="3"/>
    <n v="6.3244439759671131E-2"/>
    <n v="1"/>
    <n v="1211166.4922030717"/>
  </r>
  <r>
    <x v="0"/>
    <x v="4"/>
    <s v="Companion/Escort Journey"/>
    <x v="2"/>
    <n v="223983167.86609241"/>
    <n v="8.5500000000000007E-2"/>
    <n v="19150560.852550901"/>
    <n v="5"/>
    <n v="5"/>
    <n v="5"/>
    <n v="0.10540739959945188"/>
    <n v="1"/>
    <n v="2018610.8203384527"/>
  </r>
  <r>
    <x v="0"/>
    <x v="4"/>
    <s v="Companion/Escort Journey"/>
    <x v="3"/>
    <n v="223983167.86609241"/>
    <n v="8.5500000000000007E-2"/>
    <n v="19150560.852550901"/>
    <n v="7"/>
    <n v="7"/>
    <n v="7"/>
    <n v="0.14757035943923263"/>
    <n v="1"/>
    <n v="2826055.1484738337"/>
  </r>
  <r>
    <x v="0"/>
    <x v="4"/>
    <s v="Companion/Escort Journey"/>
    <x v="4"/>
    <n v="223983167.86609241"/>
    <n v="8.5500000000000007E-2"/>
    <n v="19150560.852550901"/>
    <n v="30.1"/>
    <n v="32.770000000000003"/>
    <n v="31.435000000000002"/>
    <n v="0.66269632128175404"/>
    <n v="1"/>
    <n v="12691006.227467854"/>
  </r>
  <r>
    <x v="0"/>
    <x v="4"/>
    <s v="Other"/>
    <x v="0"/>
    <n v="223983167.86609241"/>
    <n v="6.4000000000000001E-2"/>
    <n v="14334922.743429914"/>
    <n v="1"/>
    <n v="1"/>
    <n v="1"/>
    <n v="2.1081479919890376E-2"/>
    <n v="1"/>
    <n v="302201.38596879761"/>
  </r>
  <r>
    <x v="0"/>
    <x v="4"/>
    <s v="Other"/>
    <x v="1"/>
    <n v="223983167.86609241"/>
    <n v="6.4000000000000001E-2"/>
    <n v="14334922.743429914"/>
    <n v="3"/>
    <n v="3"/>
    <n v="3"/>
    <n v="6.3244439759671131E-2"/>
    <n v="1"/>
    <n v="906604.15790639282"/>
  </r>
  <r>
    <x v="0"/>
    <x v="4"/>
    <s v="Other"/>
    <x v="2"/>
    <n v="223983167.86609241"/>
    <n v="6.4000000000000001E-2"/>
    <n v="14334922.743429914"/>
    <n v="5"/>
    <n v="5"/>
    <n v="5"/>
    <n v="0.10540739959945188"/>
    <n v="1"/>
    <n v="1511006.9298439878"/>
  </r>
  <r>
    <x v="0"/>
    <x v="4"/>
    <s v="Other"/>
    <x v="3"/>
    <n v="223983167.86609241"/>
    <n v="6.4000000000000001E-2"/>
    <n v="14334922.743429914"/>
    <n v="7"/>
    <n v="7"/>
    <n v="7"/>
    <n v="0.14757035943923263"/>
    <n v="1"/>
    <n v="2115409.701781583"/>
  </r>
  <r>
    <x v="0"/>
    <x v="4"/>
    <s v="Other"/>
    <x v="4"/>
    <n v="223983167.86609241"/>
    <n v="6.4000000000000001E-2"/>
    <n v="14334922.743429914"/>
    <n v="30.1"/>
    <n v="32.770000000000003"/>
    <n v="31.435000000000002"/>
    <n v="0.66269632128175404"/>
    <n v="1"/>
    <n v="9499700.5679291543"/>
  </r>
  <r>
    <x v="0"/>
    <x v="5"/>
    <s v="Work"/>
    <x v="0"/>
    <n v="2755466733.4071422"/>
    <n v="0.28824999999999995"/>
    <n v="794263285.90460861"/>
    <n v="1"/>
    <n v="1"/>
    <n v="1"/>
    <n v="2.1081479919890376E-2"/>
    <n v="1"/>
    <n v="16744245.512904154"/>
  </r>
  <r>
    <x v="0"/>
    <x v="5"/>
    <s v="Work"/>
    <x v="1"/>
    <n v="2755466733.4071422"/>
    <n v="0.28824999999999995"/>
    <n v="794263285.90460861"/>
    <n v="3"/>
    <n v="3"/>
    <n v="3"/>
    <n v="6.3244439759671131E-2"/>
    <n v="1"/>
    <n v="50232736.538712464"/>
  </r>
  <r>
    <x v="0"/>
    <x v="5"/>
    <s v="Work"/>
    <x v="2"/>
    <n v="2755466733.4071422"/>
    <n v="0.28824999999999995"/>
    <n v="794263285.90460861"/>
    <n v="5"/>
    <n v="5"/>
    <n v="5"/>
    <n v="0.10540739959945188"/>
    <n v="1"/>
    <n v="83721227.564520776"/>
  </r>
  <r>
    <x v="0"/>
    <x v="5"/>
    <s v="Work"/>
    <x v="3"/>
    <n v="2755466733.4071422"/>
    <n v="0.28824999999999995"/>
    <n v="794263285.90460861"/>
    <n v="7"/>
    <n v="7"/>
    <n v="7"/>
    <n v="0.14757035943923263"/>
    <n v="1"/>
    <n v="117209718.59032908"/>
  </r>
  <r>
    <x v="0"/>
    <x v="5"/>
    <s v="Work"/>
    <x v="4"/>
    <n v="2755466733.4071422"/>
    <n v="0.28824999999999995"/>
    <n v="794263285.90460861"/>
    <n v="30.1"/>
    <n v="32.770000000000003"/>
    <n v="31.435000000000002"/>
    <n v="0.66269632128175404"/>
    <n v="1"/>
    <n v="526355357.69814217"/>
  </r>
  <r>
    <x v="0"/>
    <x v="5"/>
    <s v="Education"/>
    <x v="0"/>
    <n v="2755466733.4071422"/>
    <n v="0.12437499999999999"/>
    <n v="342711174.96751326"/>
    <n v="1"/>
    <n v="1"/>
    <n v="1"/>
    <n v="2.1081479919890376E-2"/>
    <n v="1"/>
    <n v="7224858.7533996683"/>
  </r>
  <r>
    <x v="0"/>
    <x v="5"/>
    <s v="Education"/>
    <x v="1"/>
    <n v="2755466733.4071422"/>
    <n v="0.12437499999999999"/>
    <n v="342711174.96751326"/>
    <n v="3"/>
    <n v="3"/>
    <n v="3"/>
    <n v="6.3244439759671131E-2"/>
    <n v="1"/>
    <n v="21674576.260199007"/>
  </r>
  <r>
    <x v="0"/>
    <x v="5"/>
    <s v="Education"/>
    <x v="2"/>
    <n v="2755466733.4071422"/>
    <n v="0.12437499999999999"/>
    <n v="342711174.96751326"/>
    <n v="5"/>
    <n v="5"/>
    <n v="5"/>
    <n v="0.10540739959945188"/>
    <n v="1"/>
    <n v="36124293.766998336"/>
  </r>
  <r>
    <x v="0"/>
    <x v="5"/>
    <s v="Education"/>
    <x v="3"/>
    <n v="2755466733.4071422"/>
    <n v="0.12437499999999999"/>
    <n v="342711174.96751326"/>
    <n v="7"/>
    <n v="7"/>
    <n v="7"/>
    <n v="0.14757035943923263"/>
    <n v="1"/>
    <n v="50574011.273797676"/>
  </r>
  <r>
    <x v="0"/>
    <x v="5"/>
    <s v="Education"/>
    <x v="4"/>
    <n v="2755466733.4071422"/>
    <n v="0.12437499999999999"/>
    <n v="342711174.96751326"/>
    <n v="30.1"/>
    <n v="32.770000000000003"/>
    <n v="31.435000000000002"/>
    <n v="0.66269632128175404"/>
    <n v="1"/>
    <n v="227113434.9131186"/>
  </r>
  <r>
    <x v="0"/>
    <x v="5"/>
    <s v="Shopping"/>
    <x v="0"/>
    <n v="2755466733.4071422"/>
    <n v="0.18625"/>
    <n v="513205679.09708023"/>
    <n v="1"/>
    <n v="1"/>
    <n v="1"/>
    <n v="2.1081479919890376E-2"/>
    <n v="1"/>
    <n v="10819135.218658801"/>
  </r>
  <r>
    <x v="0"/>
    <x v="5"/>
    <s v="Shopping"/>
    <x v="1"/>
    <n v="2755466733.4071422"/>
    <n v="0.18625"/>
    <n v="513205679.09708023"/>
    <n v="3"/>
    <n v="3"/>
    <n v="3"/>
    <n v="6.3244439759671131E-2"/>
    <n v="1"/>
    <n v="32457405.655976404"/>
  </r>
  <r>
    <x v="0"/>
    <x v="5"/>
    <s v="Shopping"/>
    <x v="2"/>
    <n v="2755466733.4071422"/>
    <n v="0.18625"/>
    <n v="513205679.09708023"/>
    <n v="5"/>
    <n v="5"/>
    <n v="5"/>
    <n v="0.10540739959945188"/>
    <n v="1"/>
    <n v="54095676.093294002"/>
  </r>
  <r>
    <x v="0"/>
    <x v="5"/>
    <s v="Shopping"/>
    <x v="3"/>
    <n v="2755466733.4071422"/>
    <n v="0.18625"/>
    <n v="513205679.09708023"/>
    <n v="7"/>
    <n v="7"/>
    <n v="7"/>
    <n v="0.14757035943923263"/>
    <n v="1"/>
    <n v="75733946.530611604"/>
  </r>
  <r>
    <x v="0"/>
    <x v="5"/>
    <s v="Shopping"/>
    <x v="4"/>
    <n v="2755466733.4071422"/>
    <n v="0.18625"/>
    <n v="513205679.09708023"/>
    <n v="30.1"/>
    <n v="32.770000000000003"/>
    <n v="31.435000000000002"/>
    <n v="0.66269632128175404"/>
    <n v="1"/>
    <n v="340099515.59853947"/>
  </r>
  <r>
    <x v="0"/>
    <x v="5"/>
    <s v="To eat or drink"/>
    <x v="0"/>
    <n v="2755466733.4071422"/>
    <n v="1.7000000000000001E-2"/>
    <n v="46842934.467921421"/>
    <n v="1"/>
    <n v="1"/>
    <n v="1"/>
    <n v="2.1081479919890376E-2"/>
    <n v="1"/>
    <n v="987518.38237422623"/>
  </r>
  <r>
    <x v="0"/>
    <x v="5"/>
    <s v="To eat or drink"/>
    <x v="1"/>
    <n v="2755466733.4071422"/>
    <n v="1.7000000000000001E-2"/>
    <n v="46842934.467921421"/>
    <n v="3"/>
    <n v="3"/>
    <n v="3"/>
    <n v="6.3244439759671131E-2"/>
    <n v="1"/>
    <n v="2962555.1471226788"/>
  </r>
  <r>
    <x v="0"/>
    <x v="5"/>
    <s v="To eat or drink"/>
    <x v="2"/>
    <n v="2755466733.4071422"/>
    <n v="1.7000000000000001E-2"/>
    <n v="46842934.467921421"/>
    <n v="5"/>
    <n v="5"/>
    <n v="5"/>
    <n v="0.10540739959945188"/>
    <n v="1"/>
    <n v="4937591.9118711306"/>
  </r>
  <r>
    <x v="0"/>
    <x v="5"/>
    <s v="To eat or drink"/>
    <x v="3"/>
    <n v="2755466733.4071422"/>
    <n v="1.7000000000000001E-2"/>
    <n v="46842934.467921421"/>
    <n v="7"/>
    <n v="7"/>
    <n v="7"/>
    <n v="0.14757035943923263"/>
    <n v="1"/>
    <n v="6912628.6766195837"/>
  </r>
  <r>
    <x v="0"/>
    <x v="5"/>
    <s v="To eat or drink"/>
    <x v="4"/>
    <n v="2755466733.4071422"/>
    <n v="1.7000000000000001E-2"/>
    <n v="46842934.467921421"/>
    <n v="30.1"/>
    <n v="32.770000000000003"/>
    <n v="31.435000000000002"/>
    <n v="0.66269632128175404"/>
    <n v="1"/>
    <n v="31042640.349933803"/>
  </r>
  <r>
    <x v="0"/>
    <x v="5"/>
    <s v="Visit family/friends"/>
    <x v="0"/>
    <n v="2755466733.4071422"/>
    <n v="0.10375000000000002"/>
    <n v="285879673.59099108"/>
    <n v="1"/>
    <n v="1"/>
    <n v="1"/>
    <n v="2.1081479919890376E-2"/>
    <n v="1"/>
    <n v="6026766.5983132934"/>
  </r>
  <r>
    <x v="0"/>
    <x v="5"/>
    <s v="Visit family/friends"/>
    <x v="1"/>
    <n v="2755466733.4071422"/>
    <n v="0.10375000000000002"/>
    <n v="285879673.59099108"/>
    <n v="3"/>
    <n v="3"/>
    <n v="3"/>
    <n v="6.3244439759671131E-2"/>
    <n v="1"/>
    <n v="18080299.794939883"/>
  </r>
  <r>
    <x v="0"/>
    <x v="5"/>
    <s v="Visit family/friends"/>
    <x v="2"/>
    <n v="2755466733.4071422"/>
    <n v="0.10375000000000002"/>
    <n v="285879673.59099108"/>
    <n v="5"/>
    <n v="5"/>
    <n v="5"/>
    <n v="0.10540739959945188"/>
    <n v="1"/>
    <n v="30133832.991566464"/>
  </r>
  <r>
    <x v="0"/>
    <x v="5"/>
    <s v="Visit family/friends"/>
    <x v="3"/>
    <n v="2755466733.4071422"/>
    <n v="0.10375000000000002"/>
    <n v="285879673.59099108"/>
    <n v="7"/>
    <n v="7"/>
    <n v="7"/>
    <n v="0.14757035943923263"/>
    <n v="1"/>
    <n v="42187366.188193053"/>
  </r>
  <r>
    <x v="0"/>
    <x v="5"/>
    <s v="Visit family/friends"/>
    <x v="4"/>
    <n v="2755466733.4071422"/>
    <n v="0.10375000000000002"/>
    <n v="285879673.59099108"/>
    <n v="30.1"/>
    <n v="32.770000000000003"/>
    <n v="31.435000000000002"/>
    <n v="0.66269632128175404"/>
    <n v="1"/>
    <n v="189451408.0179784"/>
  </r>
  <r>
    <x v="0"/>
    <x v="5"/>
    <s v="Entertainment/leisure/sports"/>
    <x v="0"/>
    <n v="2755466733.4071422"/>
    <n v="7.0250000000000007E-2"/>
    <n v="193571538.02185175"/>
    <n v="1"/>
    <n v="1"/>
    <n v="1"/>
    <n v="2.1081479919890376E-2"/>
    <n v="1"/>
    <n v="4080774.4918699642"/>
  </r>
  <r>
    <x v="0"/>
    <x v="5"/>
    <s v="Entertainment/leisure/sports"/>
    <x v="1"/>
    <n v="2755466733.4071422"/>
    <n v="7.0250000000000007E-2"/>
    <n v="193571538.02185175"/>
    <n v="3"/>
    <n v="3"/>
    <n v="3"/>
    <n v="6.3244439759671131E-2"/>
    <n v="1"/>
    <n v="12242323.475609893"/>
  </r>
  <r>
    <x v="0"/>
    <x v="5"/>
    <s v="Entertainment/leisure/sports"/>
    <x v="2"/>
    <n v="2755466733.4071422"/>
    <n v="7.0250000000000007E-2"/>
    <n v="193571538.02185175"/>
    <n v="5"/>
    <n v="5"/>
    <n v="5"/>
    <n v="0.10540739959945188"/>
    <n v="1"/>
    <n v="20403872.459349819"/>
  </r>
  <r>
    <x v="0"/>
    <x v="5"/>
    <s v="Entertainment/leisure/sports"/>
    <x v="3"/>
    <n v="2755466733.4071422"/>
    <n v="7.0250000000000007E-2"/>
    <n v="193571538.02185175"/>
    <n v="7"/>
    <n v="7"/>
    <n v="7"/>
    <n v="0.14757035943923263"/>
    <n v="1"/>
    <n v="28565421.44308975"/>
  </r>
  <r>
    <x v="0"/>
    <x v="5"/>
    <s v="Entertainment/leisure/sports"/>
    <x v="4"/>
    <n v="2755466733.4071422"/>
    <n v="7.0250000000000007E-2"/>
    <n v="193571538.02185175"/>
    <n v="30.1"/>
    <n v="32.770000000000003"/>
    <n v="31.435000000000002"/>
    <n v="0.66269632128175404"/>
    <n v="1"/>
    <n v="128279146.15193233"/>
  </r>
  <r>
    <x v="0"/>
    <x v="5"/>
    <s v="Personal Business"/>
    <x v="0"/>
    <n v="2755466733.4071422"/>
    <n v="9.6374999999999988E-2"/>
    <n v="265558106.43211329"/>
    <n v="1"/>
    <n v="1"/>
    <n v="1"/>
    <n v="2.1081479919890376E-2"/>
    <n v="1"/>
    <n v="5598357.8883127077"/>
  </r>
  <r>
    <x v="0"/>
    <x v="5"/>
    <s v="Personal Business"/>
    <x v="1"/>
    <n v="2755466733.4071422"/>
    <n v="9.6374999999999988E-2"/>
    <n v="265558106.43211329"/>
    <n v="3"/>
    <n v="3"/>
    <n v="3"/>
    <n v="6.3244439759671131E-2"/>
    <n v="1"/>
    <n v="16795073.664938122"/>
  </r>
  <r>
    <x v="0"/>
    <x v="5"/>
    <s v="Personal Business"/>
    <x v="2"/>
    <n v="2755466733.4071422"/>
    <n v="9.6374999999999988E-2"/>
    <n v="265558106.43211329"/>
    <n v="5"/>
    <n v="5"/>
    <n v="5"/>
    <n v="0.10540739959945188"/>
    <n v="1"/>
    <n v="27991789.441563535"/>
  </r>
  <r>
    <x v="0"/>
    <x v="5"/>
    <s v="Personal Business"/>
    <x v="3"/>
    <n v="2755466733.4071422"/>
    <n v="9.6374999999999988E-2"/>
    <n v="265558106.43211329"/>
    <n v="7"/>
    <n v="7"/>
    <n v="7"/>
    <n v="0.14757035943923263"/>
    <n v="1"/>
    <n v="39188505.218188956"/>
  </r>
  <r>
    <x v="0"/>
    <x v="5"/>
    <s v="Personal Business"/>
    <x v="4"/>
    <n v="2755466733.4071422"/>
    <n v="9.6374999999999988E-2"/>
    <n v="265558106.43211329"/>
    <n v="30.1"/>
    <n v="32.770000000000003"/>
    <n v="31.435000000000002"/>
    <n v="0.66269632128175404"/>
    <n v="1"/>
    <n v="175984380.21910998"/>
  </r>
  <r>
    <x v="0"/>
    <x v="5"/>
    <s v="Companion/Escort Journey"/>
    <x v="0"/>
    <n v="2755466733.4071422"/>
    <n v="2.2499999999999999E-2"/>
    <n v="61998001.501660697"/>
    <n v="1"/>
    <n v="1"/>
    <n v="1"/>
    <n v="2.1081479919890376E-2"/>
    <n v="1"/>
    <n v="1307009.6237305934"/>
  </r>
  <r>
    <x v="0"/>
    <x v="5"/>
    <s v="Companion/Escort Journey"/>
    <x v="1"/>
    <n v="2755466733.4071422"/>
    <n v="2.2499999999999999E-2"/>
    <n v="61998001.501660697"/>
    <n v="3"/>
    <n v="3"/>
    <n v="3"/>
    <n v="6.3244439759671131E-2"/>
    <n v="1"/>
    <n v="3921028.8711917801"/>
  </r>
  <r>
    <x v="0"/>
    <x v="5"/>
    <s v="Companion/Escort Journey"/>
    <x v="2"/>
    <n v="2755466733.4071422"/>
    <n v="2.2499999999999999E-2"/>
    <n v="61998001.501660697"/>
    <n v="5"/>
    <n v="5"/>
    <n v="5"/>
    <n v="0.10540739959945188"/>
    <n v="1"/>
    <n v="6535048.1186529668"/>
  </r>
  <r>
    <x v="0"/>
    <x v="5"/>
    <s v="Companion/Escort Journey"/>
    <x v="3"/>
    <n v="2755466733.4071422"/>
    <n v="2.2499999999999999E-2"/>
    <n v="61998001.501660697"/>
    <n v="7"/>
    <n v="7"/>
    <n v="7"/>
    <n v="0.14757035943923263"/>
    <n v="1"/>
    <n v="9149067.3661141545"/>
  </r>
  <r>
    <x v="0"/>
    <x v="5"/>
    <s v="Companion/Escort Journey"/>
    <x v="4"/>
    <n v="2755466733.4071422"/>
    <n v="2.2499999999999999E-2"/>
    <n v="61998001.501660697"/>
    <n v="30.1"/>
    <n v="32.770000000000003"/>
    <n v="31.435000000000002"/>
    <n v="0.66269632128175404"/>
    <n v="1"/>
    <n v="41085847.521971203"/>
  </r>
  <r>
    <x v="0"/>
    <x v="5"/>
    <s v="Other"/>
    <x v="0"/>
    <n v="2755466733.4071422"/>
    <n v="9.1250000000000012E-2"/>
    <n v="251436339.42340174"/>
    <n v="1"/>
    <n v="1"/>
    <n v="1"/>
    <n v="2.1081479919890376E-2"/>
    <n v="1"/>
    <n v="5300650.1406851849"/>
  </r>
  <r>
    <x v="0"/>
    <x v="5"/>
    <s v="Other"/>
    <x v="1"/>
    <n v="2755466733.4071422"/>
    <n v="9.1250000000000012E-2"/>
    <n v="251436339.42340174"/>
    <n v="3"/>
    <n v="3"/>
    <n v="3"/>
    <n v="6.3244439759671131E-2"/>
    <n v="1"/>
    <n v="15901950.422055556"/>
  </r>
  <r>
    <x v="0"/>
    <x v="5"/>
    <s v="Other"/>
    <x v="2"/>
    <n v="2755466733.4071422"/>
    <n v="9.1250000000000012E-2"/>
    <n v="251436339.42340174"/>
    <n v="5"/>
    <n v="5"/>
    <n v="5"/>
    <n v="0.10540739959945188"/>
    <n v="1"/>
    <n v="26503250.703425921"/>
  </r>
  <r>
    <x v="0"/>
    <x v="5"/>
    <s v="Other"/>
    <x v="3"/>
    <n v="2755466733.4071422"/>
    <n v="9.1250000000000012E-2"/>
    <n v="251436339.42340174"/>
    <n v="7"/>
    <n v="7"/>
    <n v="7"/>
    <n v="0.14757035943923263"/>
    <n v="1"/>
    <n v="37104550.984796293"/>
  </r>
  <r>
    <x v="0"/>
    <x v="5"/>
    <s v="Other"/>
    <x v="4"/>
    <n v="2755466733.4071422"/>
    <n v="9.1250000000000012E-2"/>
    <n v="251436339.42340174"/>
    <n v="30.1"/>
    <n v="32.770000000000003"/>
    <n v="31.435000000000002"/>
    <n v="0.66269632128175404"/>
    <n v="1"/>
    <n v="166625937.1724388"/>
  </r>
  <r>
    <x v="0"/>
    <x v="6"/>
    <s v="Work"/>
    <x v="0"/>
    <n v="0"/>
    <n v="0.28824999999999995"/>
    <n v="0"/>
    <n v="1"/>
    <n v="1"/>
    <n v="1"/>
    <n v="2.1081479919890376E-2"/>
    <n v="1"/>
    <n v="0"/>
  </r>
  <r>
    <x v="0"/>
    <x v="6"/>
    <s v="Work"/>
    <x v="1"/>
    <n v="0"/>
    <n v="0.28824999999999995"/>
    <n v="0"/>
    <n v="3"/>
    <n v="3"/>
    <n v="3"/>
    <n v="6.3244439759671131E-2"/>
    <n v="1"/>
    <n v="0"/>
  </r>
  <r>
    <x v="0"/>
    <x v="6"/>
    <s v="Work"/>
    <x v="2"/>
    <n v="0"/>
    <n v="0.28824999999999995"/>
    <n v="0"/>
    <n v="5"/>
    <n v="5"/>
    <n v="5"/>
    <n v="0.10540739959945188"/>
    <n v="1"/>
    <n v="0"/>
  </r>
  <r>
    <x v="0"/>
    <x v="6"/>
    <s v="Work"/>
    <x v="3"/>
    <n v="0"/>
    <n v="0.28824999999999995"/>
    <n v="0"/>
    <n v="7"/>
    <n v="7"/>
    <n v="7"/>
    <n v="0.14757035943923263"/>
    <n v="1"/>
    <n v="0"/>
  </r>
  <r>
    <x v="0"/>
    <x v="6"/>
    <s v="Work"/>
    <x v="4"/>
    <n v="0"/>
    <n v="0.28824999999999995"/>
    <n v="0"/>
    <n v="30.1"/>
    <n v="32.770000000000003"/>
    <n v="31.435000000000002"/>
    <n v="0.66269632128175404"/>
    <n v="1"/>
    <n v="0"/>
  </r>
  <r>
    <x v="0"/>
    <x v="6"/>
    <s v="Education"/>
    <x v="0"/>
    <n v="0"/>
    <n v="0.12437499999999999"/>
    <n v="0"/>
    <n v="1"/>
    <n v="1"/>
    <n v="1"/>
    <n v="2.1081479919890376E-2"/>
    <n v="1"/>
    <n v="0"/>
  </r>
  <r>
    <x v="0"/>
    <x v="6"/>
    <s v="Education"/>
    <x v="1"/>
    <n v="0"/>
    <n v="0.12437499999999999"/>
    <n v="0"/>
    <n v="3"/>
    <n v="3"/>
    <n v="3"/>
    <n v="6.3244439759671131E-2"/>
    <n v="1"/>
    <n v="0"/>
  </r>
  <r>
    <x v="0"/>
    <x v="6"/>
    <s v="Education"/>
    <x v="2"/>
    <n v="0"/>
    <n v="0.12437499999999999"/>
    <n v="0"/>
    <n v="5"/>
    <n v="5"/>
    <n v="5"/>
    <n v="0.10540739959945188"/>
    <n v="1"/>
    <n v="0"/>
  </r>
  <r>
    <x v="0"/>
    <x v="6"/>
    <s v="Education"/>
    <x v="3"/>
    <n v="0"/>
    <n v="0.12437499999999999"/>
    <n v="0"/>
    <n v="7"/>
    <n v="7"/>
    <n v="7"/>
    <n v="0.14757035943923263"/>
    <n v="1"/>
    <n v="0"/>
  </r>
  <r>
    <x v="0"/>
    <x v="6"/>
    <s v="Education"/>
    <x v="4"/>
    <n v="0"/>
    <n v="0.12437499999999999"/>
    <n v="0"/>
    <n v="30.1"/>
    <n v="32.770000000000003"/>
    <n v="31.435000000000002"/>
    <n v="0.66269632128175404"/>
    <n v="1"/>
    <n v="0"/>
  </r>
  <r>
    <x v="0"/>
    <x v="6"/>
    <s v="Shopping"/>
    <x v="0"/>
    <n v="0"/>
    <n v="0.18625"/>
    <n v="0"/>
    <n v="1"/>
    <n v="1"/>
    <n v="1"/>
    <n v="2.1081479919890376E-2"/>
    <n v="1"/>
    <n v="0"/>
  </r>
  <r>
    <x v="0"/>
    <x v="6"/>
    <s v="Shopping"/>
    <x v="1"/>
    <n v="0"/>
    <n v="0.18625"/>
    <n v="0"/>
    <n v="3"/>
    <n v="3"/>
    <n v="3"/>
    <n v="6.3244439759671131E-2"/>
    <n v="1"/>
    <n v="0"/>
  </r>
  <r>
    <x v="0"/>
    <x v="6"/>
    <s v="Shopping"/>
    <x v="2"/>
    <n v="0"/>
    <n v="0.18625"/>
    <n v="0"/>
    <n v="5"/>
    <n v="5"/>
    <n v="5"/>
    <n v="0.10540739959945188"/>
    <n v="1"/>
    <n v="0"/>
  </r>
  <r>
    <x v="0"/>
    <x v="6"/>
    <s v="Shopping"/>
    <x v="3"/>
    <n v="0"/>
    <n v="0.18625"/>
    <n v="0"/>
    <n v="7"/>
    <n v="7"/>
    <n v="7"/>
    <n v="0.14757035943923263"/>
    <n v="1"/>
    <n v="0"/>
  </r>
  <r>
    <x v="0"/>
    <x v="6"/>
    <s v="Shopping"/>
    <x v="4"/>
    <n v="0"/>
    <n v="0.18625"/>
    <n v="0"/>
    <n v="30.1"/>
    <n v="32.770000000000003"/>
    <n v="31.435000000000002"/>
    <n v="0.66269632128175404"/>
    <n v="1"/>
    <n v="0"/>
  </r>
  <r>
    <x v="0"/>
    <x v="6"/>
    <s v="To eat or drink"/>
    <x v="0"/>
    <n v="0"/>
    <n v="1.7000000000000001E-2"/>
    <n v="0"/>
    <n v="1"/>
    <n v="1"/>
    <n v="1"/>
    <n v="2.1081479919890376E-2"/>
    <n v="1"/>
    <n v="0"/>
  </r>
  <r>
    <x v="0"/>
    <x v="6"/>
    <s v="To eat or drink"/>
    <x v="1"/>
    <n v="0"/>
    <n v="1.7000000000000001E-2"/>
    <n v="0"/>
    <n v="3"/>
    <n v="3"/>
    <n v="3"/>
    <n v="6.3244439759671131E-2"/>
    <n v="1"/>
    <n v="0"/>
  </r>
  <r>
    <x v="0"/>
    <x v="6"/>
    <s v="To eat or drink"/>
    <x v="2"/>
    <n v="0"/>
    <n v="1.7000000000000001E-2"/>
    <n v="0"/>
    <n v="5"/>
    <n v="5"/>
    <n v="5"/>
    <n v="0.10540739959945188"/>
    <n v="1"/>
    <n v="0"/>
  </r>
  <r>
    <x v="0"/>
    <x v="6"/>
    <s v="To eat or drink"/>
    <x v="3"/>
    <n v="0"/>
    <n v="1.7000000000000001E-2"/>
    <n v="0"/>
    <n v="7"/>
    <n v="7"/>
    <n v="7"/>
    <n v="0.14757035943923263"/>
    <n v="1"/>
    <n v="0"/>
  </r>
  <r>
    <x v="0"/>
    <x v="6"/>
    <s v="To eat or drink"/>
    <x v="4"/>
    <n v="0"/>
    <n v="1.7000000000000001E-2"/>
    <n v="0"/>
    <n v="30.1"/>
    <n v="32.770000000000003"/>
    <n v="31.435000000000002"/>
    <n v="0.66269632128175404"/>
    <n v="1"/>
    <n v="0"/>
  </r>
  <r>
    <x v="0"/>
    <x v="6"/>
    <s v="Visit family/friends"/>
    <x v="0"/>
    <n v="0"/>
    <n v="0.10375000000000002"/>
    <n v="0"/>
    <n v="1"/>
    <n v="1"/>
    <n v="1"/>
    <n v="2.1081479919890376E-2"/>
    <n v="1"/>
    <n v="0"/>
  </r>
  <r>
    <x v="0"/>
    <x v="6"/>
    <s v="Visit family/friends"/>
    <x v="1"/>
    <n v="0"/>
    <n v="0.10375000000000002"/>
    <n v="0"/>
    <n v="3"/>
    <n v="3"/>
    <n v="3"/>
    <n v="6.3244439759671131E-2"/>
    <n v="1"/>
    <n v="0"/>
  </r>
  <r>
    <x v="0"/>
    <x v="6"/>
    <s v="Visit family/friends"/>
    <x v="2"/>
    <n v="0"/>
    <n v="0.10375000000000002"/>
    <n v="0"/>
    <n v="5"/>
    <n v="5"/>
    <n v="5"/>
    <n v="0.10540739959945188"/>
    <n v="1"/>
    <n v="0"/>
  </r>
  <r>
    <x v="0"/>
    <x v="6"/>
    <s v="Visit family/friends"/>
    <x v="3"/>
    <n v="0"/>
    <n v="0.10375000000000002"/>
    <n v="0"/>
    <n v="7"/>
    <n v="7"/>
    <n v="7"/>
    <n v="0.14757035943923263"/>
    <n v="1"/>
    <n v="0"/>
  </r>
  <r>
    <x v="0"/>
    <x v="6"/>
    <s v="Visit family/friends"/>
    <x v="4"/>
    <n v="0"/>
    <n v="0.10375000000000002"/>
    <n v="0"/>
    <n v="30.1"/>
    <n v="32.770000000000003"/>
    <n v="31.435000000000002"/>
    <n v="0.66269632128175404"/>
    <n v="1"/>
    <n v="0"/>
  </r>
  <r>
    <x v="0"/>
    <x v="6"/>
    <s v="Entertainment/leisure/sports"/>
    <x v="0"/>
    <n v="0"/>
    <n v="7.0250000000000007E-2"/>
    <n v="0"/>
    <n v="1"/>
    <n v="1"/>
    <n v="1"/>
    <n v="2.1081479919890376E-2"/>
    <n v="1"/>
    <n v="0"/>
  </r>
  <r>
    <x v="0"/>
    <x v="6"/>
    <s v="Entertainment/leisure/sports"/>
    <x v="1"/>
    <n v="0"/>
    <n v="7.0250000000000007E-2"/>
    <n v="0"/>
    <n v="3"/>
    <n v="3"/>
    <n v="3"/>
    <n v="6.3244439759671131E-2"/>
    <n v="1"/>
    <n v="0"/>
  </r>
  <r>
    <x v="0"/>
    <x v="6"/>
    <s v="Entertainment/leisure/sports"/>
    <x v="2"/>
    <n v="0"/>
    <n v="7.0250000000000007E-2"/>
    <n v="0"/>
    <n v="5"/>
    <n v="5"/>
    <n v="5"/>
    <n v="0.10540739959945188"/>
    <n v="1"/>
    <n v="0"/>
  </r>
  <r>
    <x v="0"/>
    <x v="6"/>
    <s v="Entertainment/leisure/sports"/>
    <x v="3"/>
    <n v="0"/>
    <n v="7.0250000000000007E-2"/>
    <n v="0"/>
    <n v="7"/>
    <n v="7"/>
    <n v="7"/>
    <n v="0.14757035943923263"/>
    <n v="1"/>
    <n v="0"/>
  </r>
  <r>
    <x v="0"/>
    <x v="6"/>
    <s v="Entertainment/leisure/sports"/>
    <x v="4"/>
    <n v="0"/>
    <n v="7.0250000000000007E-2"/>
    <n v="0"/>
    <n v="30.1"/>
    <n v="32.770000000000003"/>
    <n v="31.435000000000002"/>
    <n v="0.66269632128175404"/>
    <n v="1"/>
    <n v="0"/>
  </r>
  <r>
    <x v="0"/>
    <x v="6"/>
    <s v="Personal Business"/>
    <x v="0"/>
    <n v="0"/>
    <n v="9.6374999999999988E-2"/>
    <n v="0"/>
    <n v="1"/>
    <n v="1"/>
    <n v="1"/>
    <n v="2.1081479919890376E-2"/>
    <n v="1"/>
    <n v="0"/>
  </r>
  <r>
    <x v="0"/>
    <x v="6"/>
    <s v="Personal Business"/>
    <x v="1"/>
    <n v="0"/>
    <n v="9.6374999999999988E-2"/>
    <n v="0"/>
    <n v="3"/>
    <n v="3"/>
    <n v="3"/>
    <n v="6.3244439759671131E-2"/>
    <n v="1"/>
    <n v="0"/>
  </r>
  <r>
    <x v="0"/>
    <x v="6"/>
    <s v="Personal Business"/>
    <x v="2"/>
    <n v="0"/>
    <n v="9.6374999999999988E-2"/>
    <n v="0"/>
    <n v="5"/>
    <n v="5"/>
    <n v="5"/>
    <n v="0.10540739959945188"/>
    <n v="1"/>
    <n v="0"/>
  </r>
  <r>
    <x v="0"/>
    <x v="6"/>
    <s v="Personal Business"/>
    <x v="3"/>
    <n v="0"/>
    <n v="9.6374999999999988E-2"/>
    <n v="0"/>
    <n v="7"/>
    <n v="7"/>
    <n v="7"/>
    <n v="0.14757035943923263"/>
    <n v="1"/>
    <n v="0"/>
  </r>
  <r>
    <x v="0"/>
    <x v="6"/>
    <s v="Personal Business"/>
    <x v="4"/>
    <n v="0"/>
    <n v="9.6374999999999988E-2"/>
    <n v="0"/>
    <n v="30.1"/>
    <n v="32.770000000000003"/>
    <n v="31.435000000000002"/>
    <n v="0.66269632128175404"/>
    <n v="1"/>
    <n v="0"/>
  </r>
  <r>
    <x v="0"/>
    <x v="6"/>
    <s v="Companion/Escort Journey"/>
    <x v="0"/>
    <n v="0"/>
    <n v="2.2499999999999999E-2"/>
    <n v="0"/>
    <n v="1"/>
    <n v="1"/>
    <n v="1"/>
    <n v="2.1081479919890376E-2"/>
    <n v="1"/>
    <n v="0"/>
  </r>
  <r>
    <x v="0"/>
    <x v="6"/>
    <s v="Companion/Escort Journey"/>
    <x v="1"/>
    <n v="0"/>
    <n v="2.2499999999999999E-2"/>
    <n v="0"/>
    <n v="3"/>
    <n v="3"/>
    <n v="3"/>
    <n v="6.3244439759671131E-2"/>
    <n v="1"/>
    <n v="0"/>
  </r>
  <r>
    <x v="0"/>
    <x v="6"/>
    <s v="Companion/Escort Journey"/>
    <x v="2"/>
    <n v="0"/>
    <n v="2.2499999999999999E-2"/>
    <n v="0"/>
    <n v="5"/>
    <n v="5"/>
    <n v="5"/>
    <n v="0.10540739959945188"/>
    <n v="1"/>
    <n v="0"/>
  </r>
  <r>
    <x v="0"/>
    <x v="6"/>
    <s v="Companion/Escort Journey"/>
    <x v="3"/>
    <n v="0"/>
    <n v="2.2499999999999999E-2"/>
    <n v="0"/>
    <n v="7"/>
    <n v="7"/>
    <n v="7"/>
    <n v="0.14757035943923263"/>
    <n v="1"/>
    <n v="0"/>
  </r>
  <r>
    <x v="0"/>
    <x v="6"/>
    <s v="Companion/Escort Journey"/>
    <x v="4"/>
    <n v="0"/>
    <n v="2.2499999999999999E-2"/>
    <n v="0"/>
    <n v="30.1"/>
    <n v="32.770000000000003"/>
    <n v="31.435000000000002"/>
    <n v="0.66269632128175404"/>
    <n v="1"/>
    <n v="0"/>
  </r>
  <r>
    <x v="0"/>
    <x v="6"/>
    <s v="Other"/>
    <x v="0"/>
    <n v="0"/>
    <n v="9.1250000000000012E-2"/>
    <n v="0"/>
    <n v="1"/>
    <n v="1"/>
    <n v="1"/>
    <n v="2.1081479919890376E-2"/>
    <n v="1"/>
    <n v="0"/>
  </r>
  <r>
    <x v="0"/>
    <x v="6"/>
    <s v="Other"/>
    <x v="1"/>
    <n v="0"/>
    <n v="9.1250000000000012E-2"/>
    <n v="0"/>
    <n v="3"/>
    <n v="3"/>
    <n v="3"/>
    <n v="6.3244439759671131E-2"/>
    <n v="1"/>
    <n v="0"/>
  </r>
  <r>
    <x v="0"/>
    <x v="6"/>
    <s v="Other"/>
    <x v="2"/>
    <n v="0"/>
    <n v="9.1250000000000012E-2"/>
    <n v="0"/>
    <n v="5"/>
    <n v="5"/>
    <n v="5"/>
    <n v="0.10540739959945188"/>
    <n v="1"/>
    <n v="0"/>
  </r>
  <r>
    <x v="0"/>
    <x v="6"/>
    <s v="Other"/>
    <x v="3"/>
    <n v="0"/>
    <n v="9.1250000000000012E-2"/>
    <n v="0"/>
    <n v="7"/>
    <n v="7"/>
    <n v="7"/>
    <n v="0.14757035943923263"/>
    <n v="1"/>
    <n v="0"/>
  </r>
  <r>
    <x v="0"/>
    <x v="6"/>
    <s v="Other"/>
    <x v="4"/>
    <n v="0"/>
    <n v="9.1250000000000012E-2"/>
    <n v="0"/>
    <n v="30.1"/>
    <n v="32.770000000000003"/>
    <n v="31.435000000000002"/>
    <n v="0.66269632128175404"/>
    <n v="1"/>
    <n v="0"/>
  </r>
  <r>
    <x v="0"/>
    <x v="7"/>
    <s v="Work"/>
    <x v="0"/>
    <n v="5875413924.046442"/>
    <n v="0.52124999999999999"/>
    <n v="3062559507.9092078"/>
    <n v="1"/>
    <n v="1"/>
    <n v="1"/>
    <n v="2.1081479919890376E-2"/>
    <n v="1"/>
    <n v="64563286.769457318"/>
  </r>
  <r>
    <x v="0"/>
    <x v="7"/>
    <s v="Work"/>
    <x v="1"/>
    <n v="5875413924.046442"/>
    <n v="0.52124999999999999"/>
    <n v="3062559507.9092078"/>
    <n v="3"/>
    <n v="3"/>
    <n v="3"/>
    <n v="6.3244439759671131E-2"/>
    <n v="1"/>
    <n v="193689860.30837196"/>
  </r>
  <r>
    <x v="0"/>
    <x v="7"/>
    <s v="Work"/>
    <x v="2"/>
    <n v="5875413924.046442"/>
    <n v="0.52124999999999999"/>
    <n v="3062559507.9092078"/>
    <n v="5"/>
    <n v="5"/>
    <n v="5"/>
    <n v="0.10540739959945188"/>
    <n v="1"/>
    <n v="322816433.84728658"/>
  </r>
  <r>
    <x v="0"/>
    <x v="7"/>
    <s v="Work"/>
    <x v="3"/>
    <n v="5875413924.046442"/>
    <n v="0.52124999999999999"/>
    <n v="3062559507.9092078"/>
    <n v="7"/>
    <n v="7"/>
    <n v="7"/>
    <n v="0.14757035943923263"/>
    <n v="1"/>
    <n v="451943007.3862012"/>
  </r>
  <r>
    <x v="0"/>
    <x v="7"/>
    <s v="Work"/>
    <x v="4"/>
    <n v="5875413924.046442"/>
    <n v="0.52124999999999999"/>
    <n v="3062559507.9092078"/>
    <n v="30.1"/>
    <n v="32.770000000000003"/>
    <n v="31.435000000000002"/>
    <n v="0.66269632128175404"/>
    <n v="1"/>
    <n v="2029546919.5978909"/>
  </r>
  <r>
    <x v="0"/>
    <x v="7"/>
    <s v="Education"/>
    <x v="0"/>
    <n v="5875413924.046442"/>
    <n v="1.7250000000000001E-2"/>
    <n v="101350890.18980113"/>
    <n v="1"/>
    <n v="1"/>
    <n v="1"/>
    <n v="2.1081479919890376E-2"/>
    <n v="1"/>
    <n v="2136626.7563993069"/>
  </r>
  <r>
    <x v="0"/>
    <x v="7"/>
    <s v="Education"/>
    <x v="1"/>
    <n v="5875413924.046442"/>
    <n v="1.7250000000000001E-2"/>
    <n v="101350890.18980113"/>
    <n v="3"/>
    <n v="3"/>
    <n v="3"/>
    <n v="6.3244439759671131E-2"/>
    <n v="1"/>
    <n v="6409880.2691979213"/>
  </r>
  <r>
    <x v="0"/>
    <x v="7"/>
    <s v="Education"/>
    <x v="2"/>
    <n v="5875413924.046442"/>
    <n v="1.7250000000000001E-2"/>
    <n v="101350890.18980113"/>
    <n v="5"/>
    <n v="5"/>
    <n v="5"/>
    <n v="0.10540739959945188"/>
    <n v="1"/>
    <n v="10683133.781996535"/>
  </r>
  <r>
    <x v="0"/>
    <x v="7"/>
    <s v="Education"/>
    <x v="3"/>
    <n v="5875413924.046442"/>
    <n v="1.7250000000000001E-2"/>
    <n v="101350890.18980113"/>
    <n v="7"/>
    <n v="7"/>
    <n v="7"/>
    <n v="0.14757035943923263"/>
    <n v="1"/>
    <n v="14956387.294795148"/>
  </r>
  <r>
    <x v="0"/>
    <x v="7"/>
    <s v="Education"/>
    <x v="4"/>
    <n v="5875413924.046442"/>
    <n v="1.7250000000000001E-2"/>
    <n v="101350890.18980113"/>
    <n v="30.1"/>
    <n v="32.770000000000003"/>
    <n v="31.435000000000002"/>
    <n v="0.66269632128175404"/>
    <n v="1"/>
    <n v="67164862.087412223"/>
  </r>
  <r>
    <x v="0"/>
    <x v="7"/>
    <s v="Shopping"/>
    <x v="0"/>
    <n v="5875413924.046442"/>
    <n v="9.5499999999999988E-2"/>
    <n v="561102029.74643517"/>
    <n v="1"/>
    <n v="1"/>
    <n v="1"/>
    <n v="2.1081479919890376E-2"/>
    <n v="1"/>
    <n v="11828861.173109205"/>
  </r>
  <r>
    <x v="0"/>
    <x v="7"/>
    <s v="Shopping"/>
    <x v="1"/>
    <n v="5875413924.046442"/>
    <n v="9.5499999999999988E-2"/>
    <n v="561102029.74643517"/>
    <n v="3"/>
    <n v="3"/>
    <n v="3"/>
    <n v="6.3244439759671131E-2"/>
    <n v="1"/>
    <n v="35486583.519327618"/>
  </r>
  <r>
    <x v="0"/>
    <x v="7"/>
    <s v="Shopping"/>
    <x v="2"/>
    <n v="5875413924.046442"/>
    <n v="9.5499999999999988E-2"/>
    <n v="561102029.74643517"/>
    <n v="5"/>
    <n v="5"/>
    <n v="5"/>
    <n v="0.10540739959945188"/>
    <n v="1"/>
    <n v="59144305.865546025"/>
  </r>
  <r>
    <x v="0"/>
    <x v="7"/>
    <s v="Shopping"/>
    <x v="3"/>
    <n v="5875413924.046442"/>
    <n v="9.5499999999999988E-2"/>
    <n v="561102029.74643517"/>
    <n v="7"/>
    <n v="7"/>
    <n v="7"/>
    <n v="0.14757035943923263"/>
    <n v="1"/>
    <n v="82802028.21176444"/>
  </r>
  <r>
    <x v="0"/>
    <x v="7"/>
    <s v="Shopping"/>
    <x v="4"/>
    <n v="5875413924.046442"/>
    <n v="9.5499999999999988E-2"/>
    <n v="561102029.74643517"/>
    <n v="30.1"/>
    <n v="32.770000000000003"/>
    <n v="31.435000000000002"/>
    <n v="0.66269632128175404"/>
    <n v="1"/>
    <n v="371840250.97668791"/>
  </r>
  <r>
    <x v="0"/>
    <x v="7"/>
    <s v="To eat or drink"/>
    <x v="0"/>
    <n v="5875413924.046442"/>
    <n v="3.3750000000000002E-2"/>
    <n v="198295219.93656743"/>
    <n v="1"/>
    <n v="1"/>
    <n v="1"/>
    <n v="2.1081479919890376E-2"/>
    <n v="1"/>
    <n v="4180356.697302992"/>
  </r>
  <r>
    <x v="0"/>
    <x v="7"/>
    <s v="To eat or drink"/>
    <x v="1"/>
    <n v="5875413924.046442"/>
    <n v="3.3750000000000002E-2"/>
    <n v="198295219.93656743"/>
    <n v="3"/>
    <n v="3"/>
    <n v="3"/>
    <n v="6.3244439759671131E-2"/>
    <n v="1"/>
    <n v="12541070.091908976"/>
  </r>
  <r>
    <x v="0"/>
    <x v="7"/>
    <s v="To eat or drink"/>
    <x v="2"/>
    <n v="5875413924.046442"/>
    <n v="3.3750000000000002E-2"/>
    <n v="198295219.93656743"/>
    <n v="5"/>
    <n v="5"/>
    <n v="5"/>
    <n v="0.10540739959945188"/>
    <n v="1"/>
    <n v="20901783.486514959"/>
  </r>
  <r>
    <x v="0"/>
    <x v="7"/>
    <s v="To eat or drink"/>
    <x v="3"/>
    <n v="5875413924.046442"/>
    <n v="3.3750000000000002E-2"/>
    <n v="198295219.93656743"/>
    <n v="7"/>
    <n v="7"/>
    <n v="7"/>
    <n v="0.14757035943923263"/>
    <n v="1"/>
    <n v="29262496.881120943"/>
  </r>
  <r>
    <x v="0"/>
    <x v="7"/>
    <s v="To eat or drink"/>
    <x v="4"/>
    <n v="5875413924.046442"/>
    <n v="3.3750000000000002E-2"/>
    <n v="198295219.93656743"/>
    <n v="30.1"/>
    <n v="32.770000000000003"/>
    <n v="31.435000000000002"/>
    <n v="0.66269632128175404"/>
    <n v="1"/>
    <n v="131409512.77971956"/>
  </r>
  <r>
    <x v="0"/>
    <x v="7"/>
    <s v="Visit family/friends"/>
    <x v="0"/>
    <n v="5875413924.046442"/>
    <n v="6.6500000000000004E-2"/>
    <n v="390715025.94908839"/>
    <n v="1"/>
    <n v="1"/>
    <n v="1"/>
    <n v="2.1081479919890376E-2"/>
    <n v="1"/>
    <n v="8236850.9739451539"/>
  </r>
  <r>
    <x v="0"/>
    <x v="7"/>
    <s v="Visit family/friends"/>
    <x v="1"/>
    <n v="5875413924.046442"/>
    <n v="6.6500000000000004E-2"/>
    <n v="390715025.94908839"/>
    <n v="3"/>
    <n v="3"/>
    <n v="3"/>
    <n v="6.3244439759671131E-2"/>
    <n v="1"/>
    <n v="24710552.921835463"/>
  </r>
  <r>
    <x v="0"/>
    <x v="7"/>
    <s v="Visit family/friends"/>
    <x v="2"/>
    <n v="5875413924.046442"/>
    <n v="6.6500000000000004E-2"/>
    <n v="390715025.94908839"/>
    <n v="5"/>
    <n v="5"/>
    <n v="5"/>
    <n v="0.10540739959945188"/>
    <n v="1"/>
    <n v="41184254.869725771"/>
  </r>
  <r>
    <x v="0"/>
    <x v="7"/>
    <s v="Visit family/friends"/>
    <x v="3"/>
    <n v="5875413924.046442"/>
    <n v="6.6500000000000004E-2"/>
    <n v="390715025.94908839"/>
    <n v="7"/>
    <n v="7"/>
    <n v="7"/>
    <n v="0.14757035943923263"/>
    <n v="1"/>
    <n v="57657956.817616083"/>
  </r>
  <r>
    <x v="0"/>
    <x v="7"/>
    <s v="Visit family/friends"/>
    <x v="4"/>
    <n v="5875413924.046442"/>
    <n v="6.6500000000000004E-2"/>
    <n v="390715025.94908839"/>
    <n v="30.1"/>
    <n v="32.770000000000003"/>
    <n v="31.435000000000002"/>
    <n v="0.66269632128175404"/>
    <n v="1"/>
    <n v="258925410.36596596"/>
  </r>
  <r>
    <x v="0"/>
    <x v="7"/>
    <s v="Entertainment/leisure/sports"/>
    <x v="0"/>
    <n v="5875413924.046442"/>
    <n v="6.8500000000000005E-2"/>
    <n v="402465853.79718131"/>
    <n v="1"/>
    <n v="1"/>
    <n v="1"/>
    <n v="2.1081479919890376E-2"/>
    <n v="1"/>
    <n v="8484575.8152668141"/>
  </r>
  <r>
    <x v="0"/>
    <x v="7"/>
    <s v="Entertainment/leisure/sports"/>
    <x v="1"/>
    <n v="5875413924.046442"/>
    <n v="6.8500000000000005E-2"/>
    <n v="402465853.79718131"/>
    <n v="3"/>
    <n v="3"/>
    <n v="3"/>
    <n v="6.3244439759671131E-2"/>
    <n v="1"/>
    <n v="25453727.445800442"/>
  </r>
  <r>
    <x v="0"/>
    <x v="7"/>
    <s v="Entertainment/leisure/sports"/>
    <x v="2"/>
    <n v="5875413924.046442"/>
    <n v="6.8500000000000005E-2"/>
    <n v="402465853.79718131"/>
    <n v="5"/>
    <n v="5"/>
    <n v="5"/>
    <n v="0.10540739959945188"/>
    <n v="1"/>
    <n v="42422879.076334067"/>
  </r>
  <r>
    <x v="0"/>
    <x v="7"/>
    <s v="Entertainment/leisure/sports"/>
    <x v="3"/>
    <n v="5875413924.046442"/>
    <n v="6.8500000000000005E-2"/>
    <n v="402465853.79718131"/>
    <n v="7"/>
    <n v="7"/>
    <n v="7"/>
    <n v="0.14757035943923263"/>
    <n v="1"/>
    <n v="59392030.706867695"/>
  </r>
  <r>
    <x v="0"/>
    <x v="7"/>
    <s v="Entertainment/leisure/sports"/>
    <x v="4"/>
    <n v="5875413924.046442"/>
    <n v="6.8500000000000005E-2"/>
    <n v="402465853.79718131"/>
    <n v="30.1"/>
    <n v="32.770000000000003"/>
    <n v="31.435000000000002"/>
    <n v="0.66269632128175404"/>
    <n v="1"/>
    <n v="266712640.75291231"/>
  </r>
  <r>
    <x v="0"/>
    <x v="7"/>
    <s v="Personal Business"/>
    <x v="0"/>
    <n v="5875413924.046442"/>
    <n v="8.8250000000000009E-2"/>
    <n v="518505278.79709858"/>
    <n v="1"/>
    <n v="1"/>
    <n v="1"/>
    <n v="2.1081479919890376E-2"/>
    <n v="1"/>
    <n v="10930858.623318195"/>
  </r>
  <r>
    <x v="0"/>
    <x v="7"/>
    <s v="Personal Business"/>
    <x v="1"/>
    <n v="5875413924.046442"/>
    <n v="8.8250000000000009E-2"/>
    <n v="518505278.79709858"/>
    <n v="3"/>
    <n v="3"/>
    <n v="3"/>
    <n v="6.3244439759671131E-2"/>
    <n v="1"/>
    <n v="32792575.869954586"/>
  </r>
  <r>
    <x v="0"/>
    <x v="7"/>
    <s v="Personal Business"/>
    <x v="2"/>
    <n v="5875413924.046442"/>
    <n v="8.8250000000000009E-2"/>
    <n v="518505278.79709858"/>
    <n v="5"/>
    <n v="5"/>
    <n v="5"/>
    <n v="0.10540739959945188"/>
    <n v="1"/>
    <n v="54654293.116590969"/>
  </r>
  <r>
    <x v="0"/>
    <x v="7"/>
    <s v="Personal Business"/>
    <x v="3"/>
    <n v="5875413924.046442"/>
    <n v="8.8250000000000009E-2"/>
    <n v="518505278.79709858"/>
    <n v="7"/>
    <n v="7"/>
    <n v="7"/>
    <n v="0.14757035943923263"/>
    <n v="1"/>
    <n v="76516010.363227367"/>
  </r>
  <r>
    <x v="0"/>
    <x v="7"/>
    <s v="Personal Business"/>
    <x v="4"/>
    <n v="5875413924.046442"/>
    <n v="8.8250000000000009E-2"/>
    <n v="518505278.79709858"/>
    <n v="30.1"/>
    <n v="32.770000000000003"/>
    <n v="31.435000000000002"/>
    <n v="0.66269632128175404"/>
    <n v="1"/>
    <n v="343611540.82400751"/>
  </r>
  <r>
    <x v="0"/>
    <x v="7"/>
    <s v="Companion/Escort Journey"/>
    <x v="0"/>
    <n v="5875413924.046442"/>
    <n v="4.8249999999999994E-2"/>
    <n v="283488721.83524078"/>
    <n v="1"/>
    <n v="1"/>
    <n v="1"/>
    <n v="2.1081479919890376E-2"/>
    <n v="1"/>
    <n v="5976361.7968850173"/>
  </r>
  <r>
    <x v="0"/>
    <x v="7"/>
    <s v="Companion/Escort Journey"/>
    <x v="1"/>
    <n v="5875413924.046442"/>
    <n v="4.8249999999999994E-2"/>
    <n v="283488721.83524078"/>
    <n v="3"/>
    <n v="3"/>
    <n v="3"/>
    <n v="6.3244439759671131E-2"/>
    <n v="1"/>
    <n v="17929085.390655052"/>
  </r>
  <r>
    <x v="0"/>
    <x v="7"/>
    <s v="Companion/Escort Journey"/>
    <x v="2"/>
    <n v="5875413924.046442"/>
    <n v="4.8249999999999994E-2"/>
    <n v="283488721.83524078"/>
    <n v="5"/>
    <n v="5"/>
    <n v="5"/>
    <n v="0.10540739959945188"/>
    <n v="1"/>
    <n v="29881808.984425083"/>
  </r>
  <r>
    <x v="0"/>
    <x v="7"/>
    <s v="Companion/Escort Journey"/>
    <x v="3"/>
    <n v="5875413924.046442"/>
    <n v="4.8249999999999994E-2"/>
    <n v="283488721.83524078"/>
    <n v="7"/>
    <n v="7"/>
    <n v="7"/>
    <n v="0.14757035943923263"/>
    <n v="1"/>
    <n v="41834532.578195117"/>
  </r>
  <r>
    <x v="0"/>
    <x v="7"/>
    <s v="Companion/Escort Journey"/>
    <x v="4"/>
    <n v="5875413924.046442"/>
    <n v="4.8249999999999994E-2"/>
    <n v="283488721.83524078"/>
    <n v="30.1"/>
    <n v="32.770000000000003"/>
    <n v="31.435000000000002"/>
    <n v="0.66269632128175404"/>
    <n v="1"/>
    <n v="187866933.08508053"/>
  </r>
  <r>
    <x v="0"/>
    <x v="7"/>
    <s v="Other"/>
    <x v="0"/>
    <n v="5875413924.046442"/>
    <n v="6.0749999999999998E-2"/>
    <n v="356931395.88582134"/>
    <n v="1"/>
    <n v="1"/>
    <n v="1"/>
    <n v="2.1081479919890376E-2"/>
    <n v="1"/>
    <n v="7524642.0551453847"/>
  </r>
  <r>
    <x v="0"/>
    <x v="7"/>
    <s v="Other"/>
    <x v="1"/>
    <n v="5875413924.046442"/>
    <n v="6.0749999999999998E-2"/>
    <n v="356931395.88582134"/>
    <n v="3"/>
    <n v="3"/>
    <n v="3"/>
    <n v="6.3244439759671131E-2"/>
    <n v="1"/>
    <n v="22573926.165436156"/>
  </r>
  <r>
    <x v="0"/>
    <x v="7"/>
    <s v="Other"/>
    <x v="2"/>
    <n v="5875413924.046442"/>
    <n v="6.0749999999999998E-2"/>
    <n v="356931395.88582134"/>
    <n v="5"/>
    <n v="5"/>
    <n v="5"/>
    <n v="0.10540739959945188"/>
    <n v="1"/>
    <n v="37623210.275726922"/>
  </r>
  <r>
    <x v="0"/>
    <x v="7"/>
    <s v="Other"/>
    <x v="3"/>
    <n v="5875413924.046442"/>
    <n v="6.0749999999999998E-2"/>
    <n v="356931395.88582134"/>
    <n v="7"/>
    <n v="7"/>
    <n v="7"/>
    <n v="0.14757035943923263"/>
    <n v="1"/>
    <n v="52672494.386017695"/>
  </r>
  <r>
    <x v="0"/>
    <x v="7"/>
    <s v="Other"/>
    <x v="4"/>
    <n v="5875413924.046442"/>
    <n v="6.0749999999999998E-2"/>
    <n v="356931395.88582134"/>
    <n v="30.1"/>
    <n v="32.770000000000003"/>
    <n v="31.435000000000002"/>
    <n v="0.66269632128175404"/>
    <n v="1"/>
    <n v="236537123.00349522"/>
  </r>
  <r>
    <x v="1"/>
    <x v="0"/>
    <s v="Work"/>
    <x v="0"/>
    <n v="37448909302.314651"/>
    <n v="0.24349999999999997"/>
    <n v="9118809415.1136169"/>
    <n v="1"/>
    <n v="1"/>
    <n v="1"/>
    <n v="2.0300446609825416E-2"/>
    <n v="1"/>
    <n v="185115903.6766873"/>
  </r>
  <r>
    <x v="1"/>
    <x v="0"/>
    <s v="Work"/>
    <x v="1"/>
    <n v="37448909302.314651"/>
    <n v="0.24349999999999997"/>
    <n v="9118809415.1136169"/>
    <n v="3"/>
    <n v="3"/>
    <n v="3"/>
    <n v="6.0901339829476243E-2"/>
    <n v="1"/>
    <n v="555347711.03006184"/>
  </r>
  <r>
    <x v="1"/>
    <x v="0"/>
    <s v="Work"/>
    <x v="2"/>
    <n v="37448909302.314651"/>
    <n v="0.24349999999999997"/>
    <n v="9118809415.1136169"/>
    <n v="5"/>
    <n v="5"/>
    <n v="5"/>
    <n v="0.10150223304912707"/>
    <n v="1"/>
    <n v="925579518.38343644"/>
  </r>
  <r>
    <x v="1"/>
    <x v="0"/>
    <s v="Work"/>
    <x v="3"/>
    <n v="37448909302.314651"/>
    <n v="0.24349999999999997"/>
    <n v="9118809415.1136169"/>
    <n v="7"/>
    <n v="7"/>
    <n v="7"/>
    <n v="0.14210312626877789"/>
    <n v="1"/>
    <n v="1295811325.7368109"/>
  </r>
  <r>
    <x v="1"/>
    <x v="0"/>
    <s v="Work"/>
    <x v="4"/>
    <n v="37448909302.314651"/>
    <n v="0.24349999999999997"/>
    <n v="9118809415.1136169"/>
    <n v="31.75"/>
    <n v="34.770000000000003"/>
    <n v="33.260000000000005"/>
    <n v="0.67519285424279341"/>
    <n v="1"/>
    <n v="6156954956.2866201"/>
  </r>
  <r>
    <x v="1"/>
    <x v="0"/>
    <s v="Education"/>
    <x v="0"/>
    <n v="37448909302.314651"/>
    <n v="3.5499999999999997E-2"/>
    <n v="1329436280.2321701"/>
    <n v="1"/>
    <n v="1"/>
    <n v="1"/>
    <n v="2.0300446609825416E-2"/>
    <n v="1"/>
    <n v="26988150.228018068"/>
  </r>
  <r>
    <x v="1"/>
    <x v="0"/>
    <s v="Education"/>
    <x v="1"/>
    <n v="37448909302.314651"/>
    <n v="3.5499999999999997E-2"/>
    <n v="1329436280.2321701"/>
    <n v="3"/>
    <n v="3"/>
    <n v="3"/>
    <n v="6.0901339829476243E-2"/>
    <n v="1"/>
    <n v="80964450.684054196"/>
  </r>
  <r>
    <x v="1"/>
    <x v="0"/>
    <s v="Education"/>
    <x v="2"/>
    <n v="37448909302.314651"/>
    <n v="3.5499999999999997E-2"/>
    <n v="1329436280.2321701"/>
    <n v="5"/>
    <n v="5"/>
    <n v="5"/>
    <n v="0.10150223304912707"/>
    <n v="1"/>
    <n v="134940751.14009035"/>
  </r>
  <r>
    <x v="1"/>
    <x v="0"/>
    <s v="Education"/>
    <x v="3"/>
    <n v="37448909302.314651"/>
    <n v="3.5499999999999997E-2"/>
    <n v="1329436280.2321701"/>
    <n v="7"/>
    <n v="7"/>
    <n v="7"/>
    <n v="0.14210312626877789"/>
    <n v="1"/>
    <n v="188917051.59612644"/>
  </r>
  <r>
    <x v="1"/>
    <x v="0"/>
    <s v="Education"/>
    <x v="4"/>
    <n v="37448909302.314651"/>
    <n v="3.5499999999999997E-2"/>
    <n v="1329436280.2321701"/>
    <n v="31.75"/>
    <n v="34.770000000000003"/>
    <n v="33.260000000000005"/>
    <n v="0.67519285424279341"/>
    <n v="1"/>
    <n v="897625876.58388102"/>
  </r>
  <r>
    <x v="1"/>
    <x v="0"/>
    <s v="Shopping"/>
    <x v="0"/>
    <n v="37448909302.314651"/>
    <n v="0.23275000000000001"/>
    <n v="8716233640.1137352"/>
    <n v="1"/>
    <n v="1"/>
    <n v="1"/>
    <n v="2.0300446609825416E-2"/>
    <n v="1"/>
    <n v="176943435.64989311"/>
  </r>
  <r>
    <x v="1"/>
    <x v="0"/>
    <s v="Shopping"/>
    <x v="1"/>
    <n v="37448909302.314651"/>
    <n v="0.23275000000000001"/>
    <n v="8716233640.1137352"/>
    <n v="3"/>
    <n v="3"/>
    <n v="3"/>
    <n v="6.0901339829476243E-2"/>
    <n v="1"/>
    <n v="530830306.94967932"/>
  </r>
  <r>
    <x v="1"/>
    <x v="0"/>
    <s v="Shopping"/>
    <x v="2"/>
    <n v="37448909302.314651"/>
    <n v="0.23275000000000001"/>
    <n v="8716233640.1137352"/>
    <n v="5"/>
    <n v="5"/>
    <n v="5"/>
    <n v="0.10150223304912707"/>
    <n v="1"/>
    <n v="884717178.24946558"/>
  </r>
  <r>
    <x v="1"/>
    <x v="0"/>
    <s v="Shopping"/>
    <x v="3"/>
    <n v="37448909302.314651"/>
    <n v="0.23275000000000001"/>
    <n v="8716233640.1137352"/>
    <n v="7"/>
    <n v="7"/>
    <n v="7"/>
    <n v="0.14210312626877789"/>
    <n v="1"/>
    <n v="1238604049.5492516"/>
  </r>
  <r>
    <x v="1"/>
    <x v="0"/>
    <s v="Shopping"/>
    <x v="4"/>
    <n v="37448909302.314651"/>
    <n v="0.23275000000000001"/>
    <n v="8716233640.1137352"/>
    <n v="31.75"/>
    <n v="34.770000000000003"/>
    <n v="33.260000000000005"/>
    <n v="0.67519285424279341"/>
    <n v="1"/>
    <n v="5885138669.7154455"/>
  </r>
  <r>
    <x v="1"/>
    <x v="0"/>
    <s v="To eat or drink"/>
    <x v="0"/>
    <n v="37448909302.314651"/>
    <n v="1.3500000000000002E-2"/>
    <n v="505560275.58124787"/>
    <n v="1"/>
    <n v="1"/>
    <n v="1"/>
    <n v="2.0300446609825416E-2"/>
    <n v="1"/>
    <n v="10263099.382485745"/>
  </r>
  <r>
    <x v="1"/>
    <x v="0"/>
    <s v="To eat or drink"/>
    <x v="1"/>
    <n v="37448909302.314651"/>
    <n v="1.3500000000000002E-2"/>
    <n v="505560275.58124787"/>
    <n v="3"/>
    <n v="3"/>
    <n v="3"/>
    <n v="6.0901339829476243E-2"/>
    <n v="1"/>
    <n v="30789298.147457238"/>
  </r>
  <r>
    <x v="1"/>
    <x v="0"/>
    <s v="To eat or drink"/>
    <x v="2"/>
    <n v="37448909302.314651"/>
    <n v="1.3500000000000002E-2"/>
    <n v="505560275.58124787"/>
    <n v="5"/>
    <n v="5"/>
    <n v="5"/>
    <n v="0.10150223304912707"/>
    <n v="1"/>
    <n v="51315496.912428729"/>
  </r>
  <r>
    <x v="1"/>
    <x v="0"/>
    <s v="To eat or drink"/>
    <x v="3"/>
    <n v="37448909302.314651"/>
    <n v="1.3500000000000002E-2"/>
    <n v="505560275.58124787"/>
    <n v="7"/>
    <n v="7"/>
    <n v="7"/>
    <n v="0.14210312626877789"/>
    <n v="1"/>
    <n v="71841695.677400216"/>
  </r>
  <r>
    <x v="1"/>
    <x v="0"/>
    <s v="To eat or drink"/>
    <x v="4"/>
    <n v="37448909302.314651"/>
    <n v="1.3500000000000002E-2"/>
    <n v="505560275.58124787"/>
    <n v="31.75"/>
    <n v="34.770000000000003"/>
    <n v="33.260000000000005"/>
    <n v="0.67519285424279341"/>
    <n v="1"/>
    <n v="341350685.46147597"/>
  </r>
  <r>
    <x v="1"/>
    <x v="0"/>
    <s v="Visit family/friends"/>
    <x v="0"/>
    <n v="37448909302.314651"/>
    <n v="0.1125"/>
    <n v="4213002296.5103984"/>
    <n v="1"/>
    <n v="1"/>
    <n v="1"/>
    <n v="2.0300446609825416E-2"/>
    <n v="1"/>
    <n v="85525828.187381208"/>
  </r>
  <r>
    <x v="1"/>
    <x v="0"/>
    <s v="Visit family/friends"/>
    <x v="1"/>
    <n v="37448909302.314651"/>
    <n v="0.1125"/>
    <n v="4213002296.5103984"/>
    <n v="3"/>
    <n v="3"/>
    <n v="3"/>
    <n v="6.0901339829476243E-2"/>
    <n v="1"/>
    <n v="256577484.56214359"/>
  </r>
  <r>
    <x v="1"/>
    <x v="0"/>
    <s v="Visit family/friends"/>
    <x v="2"/>
    <n v="37448909302.314651"/>
    <n v="0.1125"/>
    <n v="4213002296.5103984"/>
    <n v="5"/>
    <n v="5"/>
    <n v="5"/>
    <n v="0.10150223304912707"/>
    <n v="1"/>
    <n v="427629140.93690604"/>
  </r>
  <r>
    <x v="1"/>
    <x v="0"/>
    <s v="Visit family/friends"/>
    <x v="3"/>
    <n v="37448909302.314651"/>
    <n v="0.1125"/>
    <n v="4213002296.5103984"/>
    <n v="7"/>
    <n v="7"/>
    <n v="7"/>
    <n v="0.14210312626877789"/>
    <n v="1"/>
    <n v="598680797.3116684"/>
  </r>
  <r>
    <x v="1"/>
    <x v="0"/>
    <s v="Visit family/friends"/>
    <x v="4"/>
    <n v="37448909302.314651"/>
    <n v="0.1125"/>
    <n v="4213002296.5103984"/>
    <n v="31.75"/>
    <n v="34.770000000000003"/>
    <n v="33.260000000000005"/>
    <n v="0.67519285424279341"/>
    <n v="1"/>
    <n v="2844589045.5122995"/>
  </r>
  <r>
    <x v="1"/>
    <x v="0"/>
    <s v="Entertainment/leisure/sports"/>
    <x v="0"/>
    <n v="37448909302.314651"/>
    <n v="7.8750000000000001E-2"/>
    <n v="2949101607.5572786"/>
    <n v="1"/>
    <n v="1"/>
    <n v="1"/>
    <n v="2.0300446609825416E-2"/>
    <n v="1"/>
    <n v="59868079.73116684"/>
  </r>
  <r>
    <x v="1"/>
    <x v="0"/>
    <s v="Entertainment/leisure/sports"/>
    <x v="1"/>
    <n v="37448909302.314651"/>
    <n v="7.8750000000000001E-2"/>
    <n v="2949101607.5572786"/>
    <n v="3"/>
    <n v="3"/>
    <n v="3"/>
    <n v="6.0901339829476243E-2"/>
    <n v="1"/>
    <n v="179604239.19350052"/>
  </r>
  <r>
    <x v="1"/>
    <x v="0"/>
    <s v="Entertainment/leisure/sports"/>
    <x v="2"/>
    <n v="37448909302.314651"/>
    <n v="7.8750000000000001E-2"/>
    <n v="2949101607.5572786"/>
    <n v="5"/>
    <n v="5"/>
    <n v="5"/>
    <n v="0.10150223304912707"/>
    <n v="1"/>
    <n v="299340398.6558342"/>
  </r>
  <r>
    <x v="1"/>
    <x v="0"/>
    <s v="Entertainment/leisure/sports"/>
    <x v="3"/>
    <n v="37448909302.314651"/>
    <n v="7.8750000000000001E-2"/>
    <n v="2949101607.5572786"/>
    <n v="7"/>
    <n v="7"/>
    <n v="7"/>
    <n v="0.14210312626877789"/>
    <n v="1"/>
    <n v="419076558.11816782"/>
  </r>
  <r>
    <x v="1"/>
    <x v="0"/>
    <s v="Entertainment/leisure/sports"/>
    <x v="4"/>
    <n v="37448909302.314651"/>
    <n v="7.8750000000000001E-2"/>
    <n v="2949101607.5572786"/>
    <n v="31.75"/>
    <n v="34.770000000000003"/>
    <n v="33.260000000000005"/>
    <n v="0.67519285424279341"/>
    <n v="1"/>
    <n v="1991212331.8586094"/>
  </r>
  <r>
    <x v="1"/>
    <x v="0"/>
    <s v="Personal Business"/>
    <x v="0"/>
    <n v="37448909302.314651"/>
    <n v="6.7250000000000004E-2"/>
    <n v="2518439150.5806603"/>
    <n v="1"/>
    <n v="1"/>
    <n v="1"/>
    <n v="2.0300446609825416E-2"/>
    <n v="1"/>
    <n v="51125439.516456768"/>
  </r>
  <r>
    <x v="1"/>
    <x v="0"/>
    <s v="Personal Business"/>
    <x v="1"/>
    <n v="37448909302.314651"/>
    <n v="6.7250000000000004E-2"/>
    <n v="2518439150.5806603"/>
    <n v="3"/>
    <n v="3"/>
    <n v="3"/>
    <n v="6.0901339829476243E-2"/>
    <n v="1"/>
    <n v="153376318.54937029"/>
  </r>
  <r>
    <x v="1"/>
    <x v="0"/>
    <s v="Personal Business"/>
    <x v="2"/>
    <n v="37448909302.314651"/>
    <n v="6.7250000000000004E-2"/>
    <n v="2518439150.5806603"/>
    <n v="5"/>
    <n v="5"/>
    <n v="5"/>
    <n v="0.10150223304912707"/>
    <n v="1"/>
    <n v="255627197.58228382"/>
  </r>
  <r>
    <x v="1"/>
    <x v="0"/>
    <s v="Personal Business"/>
    <x v="3"/>
    <n v="37448909302.314651"/>
    <n v="6.7250000000000004E-2"/>
    <n v="2518439150.5806603"/>
    <n v="7"/>
    <n v="7"/>
    <n v="7"/>
    <n v="0.14210312626877789"/>
    <n v="1"/>
    <n v="357878076.6151973"/>
  </r>
  <r>
    <x v="1"/>
    <x v="0"/>
    <s v="Personal Business"/>
    <x v="4"/>
    <n v="37448909302.314651"/>
    <n v="6.7250000000000004E-2"/>
    <n v="2518439150.5806603"/>
    <n v="31.75"/>
    <n v="34.770000000000003"/>
    <n v="33.260000000000005"/>
    <n v="0.67519285424279341"/>
    <n v="1"/>
    <n v="1700432118.3173523"/>
  </r>
  <r>
    <x v="1"/>
    <x v="0"/>
    <s v="Companion/Escort Journey"/>
    <x v="0"/>
    <n v="37448909302.314651"/>
    <n v="0.18149999999999999"/>
    <n v="6796977038.3701086"/>
    <n v="1"/>
    <n v="1"/>
    <n v="1"/>
    <n v="2.0300446609825416E-2"/>
    <n v="1"/>
    <n v="137981669.47564167"/>
  </r>
  <r>
    <x v="1"/>
    <x v="0"/>
    <s v="Companion/Escort Journey"/>
    <x v="1"/>
    <n v="37448909302.314651"/>
    <n v="0.18149999999999999"/>
    <n v="6796977038.3701086"/>
    <n v="3"/>
    <n v="3"/>
    <n v="3"/>
    <n v="6.0901339829476243E-2"/>
    <n v="1"/>
    <n v="413945008.42692494"/>
  </r>
  <r>
    <x v="1"/>
    <x v="0"/>
    <s v="Companion/Escort Journey"/>
    <x v="2"/>
    <n v="37448909302.314651"/>
    <n v="0.18149999999999999"/>
    <n v="6796977038.3701086"/>
    <n v="5"/>
    <n v="5"/>
    <n v="5"/>
    <n v="0.10150223304912707"/>
    <n v="1"/>
    <n v="689908347.37820828"/>
  </r>
  <r>
    <x v="1"/>
    <x v="0"/>
    <s v="Companion/Escort Journey"/>
    <x v="3"/>
    <n v="37448909302.314651"/>
    <n v="0.18149999999999999"/>
    <n v="6796977038.3701086"/>
    <n v="7"/>
    <n v="7"/>
    <n v="7"/>
    <n v="0.14210312626877789"/>
    <n v="1"/>
    <n v="965871686.3294915"/>
  </r>
  <r>
    <x v="1"/>
    <x v="0"/>
    <s v="Companion/Escort Journey"/>
    <x v="4"/>
    <n v="37448909302.314651"/>
    <n v="0.18149999999999999"/>
    <n v="6796977038.3701086"/>
    <n v="31.75"/>
    <n v="34.770000000000003"/>
    <n v="33.260000000000005"/>
    <n v="0.67519285424279341"/>
    <n v="1"/>
    <n v="4589270326.7598419"/>
  </r>
  <r>
    <x v="1"/>
    <x v="0"/>
    <s v="Other"/>
    <x v="0"/>
    <n v="37448909302.314651"/>
    <n v="3.4750000000000003E-2"/>
    <n v="1301349598.2554343"/>
    <n v="1"/>
    <n v="1"/>
    <n v="1"/>
    <n v="2.0300446609825416E-2"/>
    <n v="1"/>
    <n v="26417978.040102199"/>
  </r>
  <r>
    <x v="1"/>
    <x v="0"/>
    <s v="Other"/>
    <x v="1"/>
    <n v="37448909302.314651"/>
    <n v="3.4750000000000003E-2"/>
    <n v="1301349598.2554343"/>
    <n v="3"/>
    <n v="3"/>
    <n v="3"/>
    <n v="6.0901339829476243E-2"/>
    <n v="1"/>
    <n v="79253934.120306581"/>
  </r>
  <r>
    <x v="1"/>
    <x v="0"/>
    <s v="Other"/>
    <x v="2"/>
    <n v="37448909302.314651"/>
    <n v="3.4750000000000003E-2"/>
    <n v="1301349598.2554343"/>
    <n v="5"/>
    <n v="5"/>
    <n v="5"/>
    <n v="0.10150223304912707"/>
    <n v="1"/>
    <n v="132089890.20051098"/>
  </r>
  <r>
    <x v="1"/>
    <x v="0"/>
    <s v="Other"/>
    <x v="3"/>
    <n v="37448909302.314651"/>
    <n v="3.4750000000000003E-2"/>
    <n v="1301349598.2554343"/>
    <n v="7"/>
    <n v="7"/>
    <n v="7"/>
    <n v="0.14210312626877789"/>
    <n v="1"/>
    <n v="184925846.28071535"/>
  </r>
  <r>
    <x v="1"/>
    <x v="0"/>
    <s v="Other"/>
    <x v="4"/>
    <n v="37448909302.314651"/>
    <n v="3.4750000000000003E-2"/>
    <n v="1301349598.2554343"/>
    <n v="31.75"/>
    <n v="34.770000000000003"/>
    <n v="33.260000000000005"/>
    <n v="0.67519285424279341"/>
    <n v="1"/>
    <n v="878661949.61379921"/>
  </r>
  <r>
    <x v="1"/>
    <x v="1"/>
    <s v="Work"/>
    <x v="0"/>
    <n v="6545814439.711257"/>
    <n v="0.24349999999999997"/>
    <n v="1593905816.0696909"/>
    <n v="1"/>
    <n v="1"/>
    <n v="1"/>
    <n v="2.0300446609825416E-2"/>
    <n v="1"/>
    <n v="32356999.920212969"/>
  </r>
  <r>
    <x v="1"/>
    <x v="1"/>
    <s v="Work"/>
    <x v="1"/>
    <n v="6545814439.711257"/>
    <n v="0.24349999999999997"/>
    <n v="1593905816.0696909"/>
    <n v="3"/>
    <n v="3"/>
    <n v="3"/>
    <n v="6.0901339829476243E-2"/>
    <n v="1"/>
    <n v="97070999.760638908"/>
  </r>
  <r>
    <x v="1"/>
    <x v="1"/>
    <s v="Work"/>
    <x v="2"/>
    <n v="6545814439.711257"/>
    <n v="0.24349999999999997"/>
    <n v="1593905816.0696909"/>
    <n v="5"/>
    <n v="5"/>
    <n v="5"/>
    <n v="0.10150223304912707"/>
    <n v="1"/>
    <n v="161784999.60106483"/>
  </r>
  <r>
    <x v="1"/>
    <x v="1"/>
    <s v="Work"/>
    <x v="3"/>
    <n v="6545814439.711257"/>
    <n v="0.24349999999999997"/>
    <n v="1593905816.0696909"/>
    <n v="7"/>
    <n v="7"/>
    <n v="7"/>
    <n v="0.14210312626877789"/>
    <n v="1"/>
    <n v="226498999.44149074"/>
  </r>
  <r>
    <x v="1"/>
    <x v="1"/>
    <s v="Work"/>
    <x v="4"/>
    <n v="6545814439.711257"/>
    <n v="0.24349999999999997"/>
    <n v="1593905816.0696909"/>
    <n v="31.75"/>
    <n v="34.770000000000003"/>
    <n v="33.260000000000005"/>
    <n v="0.67519285424279341"/>
    <n v="1"/>
    <n v="1076193817.3462834"/>
  </r>
  <r>
    <x v="1"/>
    <x v="1"/>
    <s v="Education"/>
    <x v="0"/>
    <n v="6545814439.711257"/>
    <n v="3.5499999999999997E-2"/>
    <n v="232376412.60974962"/>
    <n v="1"/>
    <n v="1"/>
    <n v="1"/>
    <n v="2.0300446609825416E-2"/>
    <n v="1"/>
    <n v="4717344.957566984"/>
  </r>
  <r>
    <x v="1"/>
    <x v="1"/>
    <s v="Education"/>
    <x v="1"/>
    <n v="6545814439.711257"/>
    <n v="3.5499999999999997E-2"/>
    <n v="232376412.60974962"/>
    <n v="3"/>
    <n v="3"/>
    <n v="3"/>
    <n v="6.0901339829476243E-2"/>
    <n v="1"/>
    <n v="14152034.87270095"/>
  </r>
  <r>
    <x v="1"/>
    <x v="1"/>
    <s v="Education"/>
    <x v="2"/>
    <n v="6545814439.711257"/>
    <n v="3.5499999999999997E-2"/>
    <n v="232376412.60974962"/>
    <n v="5"/>
    <n v="5"/>
    <n v="5"/>
    <n v="0.10150223304912707"/>
    <n v="1"/>
    <n v="23586724.787834916"/>
  </r>
  <r>
    <x v="1"/>
    <x v="1"/>
    <s v="Education"/>
    <x v="3"/>
    <n v="6545814439.711257"/>
    <n v="3.5499999999999997E-2"/>
    <n v="232376412.60974962"/>
    <n v="7"/>
    <n v="7"/>
    <n v="7"/>
    <n v="0.14210312626877789"/>
    <n v="1"/>
    <n v="33021414.702968881"/>
  </r>
  <r>
    <x v="1"/>
    <x v="1"/>
    <s v="Education"/>
    <x v="4"/>
    <n v="6545814439.711257"/>
    <n v="3.5499999999999997E-2"/>
    <n v="232376412.60974962"/>
    <n v="31.75"/>
    <n v="34.770000000000003"/>
    <n v="33.260000000000005"/>
    <n v="0.67519285424279341"/>
    <n v="1"/>
    <n v="156898893.2886779"/>
  </r>
  <r>
    <x v="1"/>
    <x v="1"/>
    <s v="Shopping"/>
    <x v="0"/>
    <n v="6545814439.711257"/>
    <n v="0.23275000000000001"/>
    <n v="1523538310.8427951"/>
    <n v="1"/>
    <n v="1"/>
    <n v="1"/>
    <n v="2.0300446609825416E-2"/>
    <n v="1"/>
    <n v="30928508.137287762"/>
  </r>
  <r>
    <x v="1"/>
    <x v="1"/>
    <s v="Shopping"/>
    <x v="1"/>
    <n v="6545814439.711257"/>
    <n v="0.23275000000000001"/>
    <n v="1523538310.8427951"/>
    <n v="3"/>
    <n v="3"/>
    <n v="3"/>
    <n v="6.0901339829476243E-2"/>
    <n v="1"/>
    <n v="92785524.411863282"/>
  </r>
  <r>
    <x v="1"/>
    <x v="1"/>
    <s v="Shopping"/>
    <x v="2"/>
    <n v="6545814439.711257"/>
    <n v="0.23275000000000001"/>
    <n v="1523538310.8427951"/>
    <n v="5"/>
    <n v="5"/>
    <n v="5"/>
    <n v="0.10150223304912707"/>
    <n v="1"/>
    <n v="154642540.6864388"/>
  </r>
  <r>
    <x v="1"/>
    <x v="1"/>
    <s v="Shopping"/>
    <x v="3"/>
    <n v="6545814439.711257"/>
    <n v="0.23275000000000001"/>
    <n v="1523538310.8427951"/>
    <n v="7"/>
    <n v="7"/>
    <n v="7"/>
    <n v="0.14210312626877789"/>
    <n v="1"/>
    <n v="216499556.9610143"/>
  </r>
  <r>
    <x v="1"/>
    <x v="1"/>
    <s v="Shopping"/>
    <x v="4"/>
    <n v="6545814439.711257"/>
    <n v="0.23275000000000001"/>
    <n v="1523538310.8427951"/>
    <n v="31.75"/>
    <n v="34.770000000000003"/>
    <n v="33.260000000000005"/>
    <n v="0.67519285424279341"/>
    <n v="1"/>
    <n v="1028682180.646191"/>
  </r>
  <r>
    <x v="1"/>
    <x v="1"/>
    <s v="To eat or drink"/>
    <x v="0"/>
    <n v="6545814439.711257"/>
    <n v="1.3500000000000002E-2"/>
    <n v="88368494.936101973"/>
    <n v="1"/>
    <n v="1"/>
    <n v="1"/>
    <n v="2.0300446609825416E-2"/>
    <n v="1"/>
    <n v="1793919.9134409658"/>
  </r>
  <r>
    <x v="1"/>
    <x v="1"/>
    <s v="To eat or drink"/>
    <x v="1"/>
    <n v="6545814439.711257"/>
    <n v="1.3500000000000002E-2"/>
    <n v="88368494.936101973"/>
    <n v="3"/>
    <n v="3"/>
    <n v="3"/>
    <n v="6.0901339829476243E-2"/>
    <n v="1"/>
    <n v="5381759.7403228972"/>
  </r>
  <r>
    <x v="1"/>
    <x v="1"/>
    <s v="To eat or drink"/>
    <x v="2"/>
    <n v="6545814439.711257"/>
    <n v="1.3500000000000002E-2"/>
    <n v="88368494.936101973"/>
    <n v="5"/>
    <n v="5"/>
    <n v="5"/>
    <n v="0.10150223304912707"/>
    <n v="1"/>
    <n v="8969599.5672048274"/>
  </r>
  <r>
    <x v="1"/>
    <x v="1"/>
    <s v="To eat or drink"/>
    <x v="3"/>
    <n v="6545814439.711257"/>
    <n v="1.3500000000000002E-2"/>
    <n v="88368494.936101973"/>
    <n v="7"/>
    <n v="7"/>
    <n v="7"/>
    <n v="0.14210312626877789"/>
    <n v="1"/>
    <n v="12557439.394086758"/>
  </r>
  <r>
    <x v="1"/>
    <x v="1"/>
    <s v="To eat or drink"/>
    <x v="4"/>
    <n v="6545814439.711257"/>
    <n v="1.3500000000000002E-2"/>
    <n v="88368494.936101973"/>
    <n v="31.75"/>
    <n v="34.770000000000003"/>
    <n v="33.260000000000005"/>
    <n v="0.67519285424279341"/>
    <n v="1"/>
    <n v="59665776.321046524"/>
  </r>
  <r>
    <x v="1"/>
    <x v="1"/>
    <s v="Visit family/friends"/>
    <x v="0"/>
    <n v="6545814439.711257"/>
    <n v="0.1125"/>
    <n v="736404124.46751642"/>
    <n v="1"/>
    <n v="1"/>
    <n v="1"/>
    <n v="2.0300446609825416E-2"/>
    <n v="1"/>
    <n v="14949332.612008046"/>
  </r>
  <r>
    <x v="1"/>
    <x v="1"/>
    <s v="Visit family/friends"/>
    <x v="1"/>
    <n v="6545814439.711257"/>
    <n v="0.1125"/>
    <n v="736404124.46751642"/>
    <n v="3"/>
    <n v="3"/>
    <n v="3"/>
    <n v="6.0901339829476243E-2"/>
    <n v="1"/>
    <n v="44847997.836024135"/>
  </r>
  <r>
    <x v="1"/>
    <x v="1"/>
    <s v="Visit family/friends"/>
    <x v="2"/>
    <n v="6545814439.711257"/>
    <n v="0.1125"/>
    <n v="736404124.46751642"/>
    <n v="5"/>
    <n v="5"/>
    <n v="5"/>
    <n v="0.10150223304912707"/>
    <n v="1"/>
    <n v="74746663.060040236"/>
  </r>
  <r>
    <x v="1"/>
    <x v="1"/>
    <s v="Visit family/friends"/>
    <x v="3"/>
    <n v="6545814439.711257"/>
    <n v="0.1125"/>
    <n v="736404124.46751642"/>
    <n v="7"/>
    <n v="7"/>
    <n v="7"/>
    <n v="0.14210312626877789"/>
    <n v="1"/>
    <n v="104645328.28405631"/>
  </r>
  <r>
    <x v="1"/>
    <x v="1"/>
    <s v="Visit family/friends"/>
    <x v="4"/>
    <n v="6545814439.711257"/>
    <n v="0.1125"/>
    <n v="736404124.46751642"/>
    <n v="31.75"/>
    <n v="34.770000000000003"/>
    <n v="33.260000000000005"/>
    <n v="0.67519285424279341"/>
    <n v="1"/>
    <n v="497214802.67538768"/>
  </r>
  <r>
    <x v="1"/>
    <x v="1"/>
    <s v="Entertainment/leisure/sports"/>
    <x v="0"/>
    <n v="6545814439.711257"/>
    <n v="7.8750000000000001E-2"/>
    <n v="515482887.12726152"/>
    <n v="1"/>
    <n v="1"/>
    <n v="1"/>
    <n v="2.0300446609825416E-2"/>
    <n v="1"/>
    <n v="10464532.828405634"/>
  </r>
  <r>
    <x v="1"/>
    <x v="1"/>
    <s v="Entertainment/leisure/sports"/>
    <x v="1"/>
    <n v="6545814439.711257"/>
    <n v="7.8750000000000001E-2"/>
    <n v="515482887.12726152"/>
    <n v="3"/>
    <n v="3"/>
    <n v="3"/>
    <n v="6.0901339829476243E-2"/>
    <n v="1"/>
    <n v="31393598.485216897"/>
  </r>
  <r>
    <x v="1"/>
    <x v="1"/>
    <s v="Entertainment/leisure/sports"/>
    <x v="2"/>
    <n v="6545814439.711257"/>
    <n v="7.8750000000000001E-2"/>
    <n v="515482887.12726152"/>
    <n v="5"/>
    <n v="5"/>
    <n v="5"/>
    <n v="0.10150223304912707"/>
    <n v="1"/>
    <n v="52322664.142028168"/>
  </r>
  <r>
    <x v="1"/>
    <x v="1"/>
    <s v="Entertainment/leisure/sports"/>
    <x v="3"/>
    <n v="6545814439.711257"/>
    <n v="7.8750000000000001E-2"/>
    <n v="515482887.12726152"/>
    <n v="7"/>
    <n v="7"/>
    <n v="7"/>
    <n v="0.14210312626877789"/>
    <n v="1"/>
    <n v="73251729.79883942"/>
  </r>
  <r>
    <x v="1"/>
    <x v="1"/>
    <s v="Entertainment/leisure/sports"/>
    <x v="4"/>
    <n v="6545814439.711257"/>
    <n v="7.8750000000000001E-2"/>
    <n v="515482887.12726152"/>
    <n v="31.75"/>
    <n v="34.770000000000003"/>
    <n v="33.260000000000005"/>
    <n v="0.67519285424279341"/>
    <n v="1"/>
    <n v="348050361.87277138"/>
  </r>
  <r>
    <x v="1"/>
    <x v="1"/>
    <s v="Personal Business"/>
    <x v="0"/>
    <n v="6545814439.711257"/>
    <n v="6.7250000000000004E-2"/>
    <n v="440206021.07058203"/>
    <n v="1"/>
    <n v="1"/>
    <n v="1"/>
    <n v="2.0300446609825416E-2"/>
    <n v="1"/>
    <n v="8936378.8280670326"/>
  </r>
  <r>
    <x v="1"/>
    <x v="1"/>
    <s v="Personal Business"/>
    <x v="1"/>
    <n v="6545814439.711257"/>
    <n v="6.7250000000000004E-2"/>
    <n v="440206021.07058203"/>
    <n v="3"/>
    <n v="3"/>
    <n v="3"/>
    <n v="6.0901339829476243E-2"/>
    <n v="1"/>
    <n v="26809136.484201096"/>
  </r>
  <r>
    <x v="1"/>
    <x v="1"/>
    <s v="Personal Business"/>
    <x v="2"/>
    <n v="6545814439.711257"/>
    <n v="6.7250000000000004E-2"/>
    <n v="440206021.07058203"/>
    <n v="5"/>
    <n v="5"/>
    <n v="5"/>
    <n v="0.10150223304912707"/>
    <n v="1"/>
    <n v="44681894.140335158"/>
  </r>
  <r>
    <x v="1"/>
    <x v="1"/>
    <s v="Personal Business"/>
    <x v="3"/>
    <n v="6545814439.711257"/>
    <n v="6.7250000000000004E-2"/>
    <n v="440206021.07058203"/>
    <n v="7"/>
    <n v="7"/>
    <n v="7"/>
    <n v="0.14210312626877789"/>
    <n v="1"/>
    <n v="62554651.796469219"/>
  </r>
  <r>
    <x v="1"/>
    <x v="1"/>
    <s v="Personal Business"/>
    <x v="4"/>
    <n v="6545814439.711257"/>
    <n v="6.7250000000000004E-2"/>
    <n v="440206021.07058203"/>
    <n v="31.75"/>
    <n v="34.770000000000003"/>
    <n v="33.260000000000005"/>
    <n v="0.67519285424279341"/>
    <n v="1"/>
    <n v="297223959.82150954"/>
  </r>
  <r>
    <x v="1"/>
    <x v="1"/>
    <s v="Companion/Escort Journey"/>
    <x v="0"/>
    <n v="6545814439.711257"/>
    <n v="0.18149999999999999"/>
    <n v="1188065320.8075931"/>
    <n v="1"/>
    <n v="1"/>
    <n v="1"/>
    <n v="2.0300446609825416E-2"/>
    <n v="1"/>
    <n v="24118256.614039648"/>
  </r>
  <r>
    <x v="1"/>
    <x v="1"/>
    <s v="Companion/Escort Journey"/>
    <x v="1"/>
    <n v="6545814439.711257"/>
    <n v="0.18149999999999999"/>
    <n v="1188065320.8075931"/>
    <n v="3"/>
    <n v="3"/>
    <n v="3"/>
    <n v="6.0901339829476243E-2"/>
    <n v="1"/>
    <n v="72354769.842118934"/>
  </r>
  <r>
    <x v="1"/>
    <x v="1"/>
    <s v="Companion/Escort Journey"/>
    <x v="2"/>
    <n v="6545814439.711257"/>
    <n v="0.18149999999999999"/>
    <n v="1188065320.8075931"/>
    <n v="5"/>
    <n v="5"/>
    <n v="5"/>
    <n v="0.10150223304912707"/>
    <n v="1"/>
    <n v="120591283.07019824"/>
  </r>
  <r>
    <x v="1"/>
    <x v="1"/>
    <s v="Companion/Escort Journey"/>
    <x v="3"/>
    <n v="6545814439.711257"/>
    <n v="0.18149999999999999"/>
    <n v="1188065320.8075931"/>
    <n v="7"/>
    <n v="7"/>
    <n v="7"/>
    <n v="0.14210312626877789"/>
    <n v="1"/>
    <n v="168827796.2982775"/>
  </r>
  <r>
    <x v="1"/>
    <x v="1"/>
    <s v="Companion/Escort Journey"/>
    <x v="4"/>
    <n v="6545814439.711257"/>
    <n v="0.18149999999999999"/>
    <n v="1188065320.8075931"/>
    <n v="31.75"/>
    <n v="34.770000000000003"/>
    <n v="33.260000000000005"/>
    <n v="0.67519285424279341"/>
    <n v="1"/>
    <n v="802173214.98295879"/>
  </r>
  <r>
    <x v="1"/>
    <x v="1"/>
    <s v="Other"/>
    <x v="0"/>
    <n v="6545814439.711257"/>
    <n v="3.4750000000000003E-2"/>
    <n v="227467051.77996621"/>
    <n v="1"/>
    <n v="1"/>
    <n v="1"/>
    <n v="2.0300446609825416E-2"/>
    <n v="1"/>
    <n v="4617682.7401535977"/>
  </r>
  <r>
    <x v="1"/>
    <x v="1"/>
    <s v="Other"/>
    <x v="1"/>
    <n v="6545814439.711257"/>
    <n v="3.4750000000000003E-2"/>
    <n v="227467051.77996621"/>
    <n v="3"/>
    <n v="3"/>
    <n v="3"/>
    <n v="6.0901339829476243E-2"/>
    <n v="1"/>
    <n v="13853048.220460791"/>
  </r>
  <r>
    <x v="1"/>
    <x v="1"/>
    <s v="Other"/>
    <x v="2"/>
    <n v="6545814439.711257"/>
    <n v="3.4750000000000003E-2"/>
    <n v="227467051.77996621"/>
    <n v="5"/>
    <n v="5"/>
    <n v="5"/>
    <n v="0.10150223304912707"/>
    <n v="1"/>
    <n v="23088413.700767986"/>
  </r>
  <r>
    <x v="1"/>
    <x v="1"/>
    <s v="Other"/>
    <x v="3"/>
    <n v="6545814439.711257"/>
    <n v="3.4750000000000003E-2"/>
    <n v="227467051.77996621"/>
    <n v="7"/>
    <n v="7"/>
    <n v="7"/>
    <n v="0.14210312626877789"/>
    <n v="1"/>
    <n v="32323779.181075174"/>
  </r>
  <r>
    <x v="1"/>
    <x v="1"/>
    <s v="Other"/>
    <x v="4"/>
    <n v="6545814439.711257"/>
    <n v="3.4750000000000003E-2"/>
    <n v="227467051.77996621"/>
    <n v="31.75"/>
    <n v="34.770000000000003"/>
    <n v="33.260000000000005"/>
    <n v="0.67519285424279341"/>
    <n v="1"/>
    <n v="153584127.93750867"/>
  </r>
  <r>
    <x v="1"/>
    <x v="2"/>
    <s v="Work"/>
    <x v="0"/>
    <n v="122861193.40584016"/>
    <n v="0.17649999999999999"/>
    <n v="21685000.636130787"/>
    <n v="1"/>
    <n v="1"/>
    <n v="1"/>
    <n v="2.0300446609825416E-2"/>
    <n v="1"/>
    <n v="440215.19764780323"/>
  </r>
  <r>
    <x v="1"/>
    <x v="2"/>
    <s v="Work"/>
    <x v="1"/>
    <n v="122861193.40584016"/>
    <n v="0.17649999999999999"/>
    <n v="21685000.636130787"/>
    <n v="3"/>
    <n v="3"/>
    <n v="3"/>
    <n v="6.0901339829476243E-2"/>
    <n v="1"/>
    <n v="1320645.5929434097"/>
  </r>
  <r>
    <x v="1"/>
    <x v="2"/>
    <s v="Work"/>
    <x v="2"/>
    <n v="122861193.40584016"/>
    <n v="0.17649999999999999"/>
    <n v="21685000.636130787"/>
    <n v="5"/>
    <n v="5"/>
    <n v="5"/>
    <n v="0.10150223304912707"/>
    <n v="1"/>
    <n v="2201075.9882390159"/>
  </r>
  <r>
    <x v="1"/>
    <x v="2"/>
    <s v="Work"/>
    <x v="3"/>
    <n v="122861193.40584016"/>
    <n v="0.17649999999999999"/>
    <n v="21685000.636130787"/>
    <n v="7"/>
    <n v="7"/>
    <n v="7"/>
    <n v="0.14210312626877789"/>
    <n v="1"/>
    <n v="3081506.3835346219"/>
  </r>
  <r>
    <x v="1"/>
    <x v="2"/>
    <s v="Work"/>
    <x v="4"/>
    <n v="122861193.40584016"/>
    <n v="0.17649999999999999"/>
    <n v="21685000.636130787"/>
    <n v="31.75"/>
    <n v="34.770000000000003"/>
    <n v="33.260000000000005"/>
    <n v="0.67519285424279341"/>
    <n v="1"/>
    <n v="14641557.473765938"/>
  </r>
  <r>
    <x v="1"/>
    <x v="2"/>
    <s v="Education"/>
    <x v="0"/>
    <n v="122861193.40584016"/>
    <n v="8.5249999999999992E-2"/>
    <n v="10473916.737847872"/>
    <n v="1"/>
    <n v="1"/>
    <n v="1"/>
    <n v="2.0300446609825416E-2"/>
    <n v="1"/>
    <n v="212625.1875324375"/>
  </r>
  <r>
    <x v="1"/>
    <x v="2"/>
    <s v="Education"/>
    <x v="1"/>
    <n v="122861193.40584016"/>
    <n v="8.5249999999999992E-2"/>
    <n v="10473916.737847872"/>
    <n v="3"/>
    <n v="3"/>
    <n v="3"/>
    <n v="6.0901339829476243E-2"/>
    <n v="1"/>
    <n v="637875.5625973125"/>
  </r>
  <r>
    <x v="1"/>
    <x v="2"/>
    <s v="Education"/>
    <x v="2"/>
    <n v="122861193.40584016"/>
    <n v="8.5249999999999992E-2"/>
    <n v="10473916.737847872"/>
    <n v="5"/>
    <n v="5"/>
    <n v="5"/>
    <n v="0.10150223304912707"/>
    <n v="1"/>
    <n v="1063125.9376621875"/>
  </r>
  <r>
    <x v="1"/>
    <x v="2"/>
    <s v="Education"/>
    <x v="3"/>
    <n v="122861193.40584016"/>
    <n v="8.5249999999999992E-2"/>
    <n v="10473916.737847872"/>
    <n v="7"/>
    <n v="7"/>
    <n v="7"/>
    <n v="0.14210312626877789"/>
    <n v="1"/>
    <n v="1488376.3127270623"/>
  </r>
  <r>
    <x v="1"/>
    <x v="2"/>
    <s v="Education"/>
    <x v="4"/>
    <n v="122861193.40584016"/>
    <n v="8.5249999999999992E-2"/>
    <n v="10473916.737847872"/>
    <n v="31.75"/>
    <n v="34.770000000000003"/>
    <n v="33.260000000000005"/>
    <n v="0.67519285424279341"/>
    <n v="1"/>
    <n v="7071913.7373288721"/>
  </r>
  <r>
    <x v="1"/>
    <x v="2"/>
    <s v="Shopping"/>
    <x v="0"/>
    <n v="122861193.40584016"/>
    <n v="0.23774999999999999"/>
    <n v="29210248.732238498"/>
    <n v="1"/>
    <n v="1"/>
    <n v="1"/>
    <n v="2.0300446609825416E-2"/>
    <n v="1"/>
    <n v="592981.09484852816"/>
  </r>
  <r>
    <x v="1"/>
    <x v="2"/>
    <s v="Shopping"/>
    <x v="1"/>
    <n v="122861193.40584016"/>
    <n v="0.23774999999999999"/>
    <n v="29210248.732238498"/>
    <n v="3"/>
    <n v="3"/>
    <n v="3"/>
    <n v="6.0901339829476243E-2"/>
    <n v="1"/>
    <n v="1778943.2845455843"/>
  </r>
  <r>
    <x v="1"/>
    <x v="2"/>
    <s v="Shopping"/>
    <x v="2"/>
    <n v="122861193.40584016"/>
    <n v="0.23774999999999999"/>
    <n v="29210248.732238498"/>
    <n v="5"/>
    <n v="5"/>
    <n v="5"/>
    <n v="0.10150223304912707"/>
    <n v="1"/>
    <n v="2964905.4742426407"/>
  </r>
  <r>
    <x v="1"/>
    <x v="2"/>
    <s v="Shopping"/>
    <x v="3"/>
    <n v="122861193.40584016"/>
    <n v="0.23774999999999999"/>
    <n v="29210248.732238498"/>
    <n v="7"/>
    <n v="7"/>
    <n v="7"/>
    <n v="0.14210312626877789"/>
    <n v="1"/>
    <n v="4150867.6639396963"/>
  </r>
  <r>
    <x v="1"/>
    <x v="2"/>
    <s v="Shopping"/>
    <x v="4"/>
    <n v="122861193.40584016"/>
    <n v="0.23774999999999999"/>
    <n v="29210248.732238498"/>
    <n v="31.75"/>
    <n v="34.770000000000003"/>
    <n v="33.260000000000005"/>
    <n v="0.67519285424279341"/>
    <n v="1"/>
    <n v="19722551.214662049"/>
  </r>
  <r>
    <x v="1"/>
    <x v="2"/>
    <s v="To eat or drink"/>
    <x v="0"/>
    <n v="122861193.40584016"/>
    <n v="3.6750000000000005E-2"/>
    <n v="4515148.8576646261"/>
    <n v="1"/>
    <n v="1"/>
    <n v="1"/>
    <n v="2.0300446609825416E-2"/>
    <n v="1"/>
    <n v="91659.538320434964"/>
  </r>
  <r>
    <x v="1"/>
    <x v="2"/>
    <s v="To eat or drink"/>
    <x v="1"/>
    <n v="122861193.40584016"/>
    <n v="3.6750000000000005E-2"/>
    <n v="4515148.8576646261"/>
    <n v="3"/>
    <n v="3"/>
    <n v="3"/>
    <n v="6.0901339829476243E-2"/>
    <n v="1"/>
    <n v="274978.61496130488"/>
  </r>
  <r>
    <x v="1"/>
    <x v="2"/>
    <s v="To eat or drink"/>
    <x v="2"/>
    <n v="122861193.40584016"/>
    <n v="3.6750000000000005E-2"/>
    <n v="4515148.8576646261"/>
    <n v="5"/>
    <n v="5"/>
    <n v="5"/>
    <n v="0.10150223304912707"/>
    <n v="1"/>
    <n v="458297.69160217477"/>
  </r>
  <r>
    <x v="1"/>
    <x v="2"/>
    <s v="To eat or drink"/>
    <x v="3"/>
    <n v="122861193.40584016"/>
    <n v="3.6750000000000005E-2"/>
    <n v="4515148.8576646261"/>
    <n v="7"/>
    <n v="7"/>
    <n v="7"/>
    <n v="0.14210312626877789"/>
    <n v="1"/>
    <n v="641616.76824304461"/>
  </r>
  <r>
    <x v="1"/>
    <x v="2"/>
    <s v="To eat or drink"/>
    <x v="4"/>
    <n v="122861193.40584016"/>
    <n v="3.6750000000000005E-2"/>
    <n v="4515148.8576646261"/>
    <n v="31.75"/>
    <n v="34.770000000000003"/>
    <n v="33.260000000000005"/>
    <n v="0.67519285424279341"/>
    <n v="1"/>
    <n v="3048596.2445376669"/>
  </r>
  <r>
    <x v="1"/>
    <x v="2"/>
    <s v="Visit family/friends"/>
    <x v="0"/>
    <n v="122861193.40584016"/>
    <n v="7.4500000000000011E-2"/>
    <n v="9153158.9087350927"/>
    <n v="1"/>
    <n v="1"/>
    <n v="1"/>
    <n v="2.0300446609825416E-2"/>
    <n v="1"/>
    <n v="185813.21373802461"/>
  </r>
  <r>
    <x v="1"/>
    <x v="2"/>
    <s v="Visit family/friends"/>
    <x v="1"/>
    <n v="122861193.40584016"/>
    <n v="7.4500000000000011E-2"/>
    <n v="9153158.9087350927"/>
    <n v="3"/>
    <n v="3"/>
    <n v="3"/>
    <n v="6.0901339829476243E-2"/>
    <n v="1"/>
    <n v="557439.64121407387"/>
  </r>
  <r>
    <x v="1"/>
    <x v="2"/>
    <s v="Visit family/friends"/>
    <x v="2"/>
    <n v="122861193.40584016"/>
    <n v="7.4500000000000011E-2"/>
    <n v="9153158.9087350927"/>
    <n v="5"/>
    <n v="5"/>
    <n v="5"/>
    <n v="0.10150223304912707"/>
    <n v="1"/>
    <n v="929066.06869012304"/>
  </r>
  <r>
    <x v="1"/>
    <x v="2"/>
    <s v="Visit family/friends"/>
    <x v="3"/>
    <n v="122861193.40584016"/>
    <n v="7.4500000000000011E-2"/>
    <n v="9153158.9087350927"/>
    <n v="7"/>
    <n v="7"/>
    <n v="7"/>
    <n v="0.14210312626877789"/>
    <n v="1"/>
    <n v="1300692.496166172"/>
  </r>
  <r>
    <x v="1"/>
    <x v="2"/>
    <s v="Visit family/friends"/>
    <x v="4"/>
    <n v="122861193.40584016"/>
    <n v="7.4500000000000011E-2"/>
    <n v="9153158.9087350927"/>
    <n v="31.75"/>
    <n v="34.770000000000003"/>
    <n v="33.260000000000005"/>
    <n v="0.67519285424279341"/>
    <n v="1"/>
    <n v="6180147.4889266994"/>
  </r>
  <r>
    <x v="1"/>
    <x v="2"/>
    <s v="Entertainment/leisure/sports"/>
    <x v="0"/>
    <n v="122861193.40584016"/>
    <n v="0.19524999999999998"/>
    <n v="23988648.012490287"/>
    <n v="1"/>
    <n v="1"/>
    <n v="1"/>
    <n v="2.0300446609825416E-2"/>
    <n v="1"/>
    <n v="486980.26821945363"/>
  </r>
  <r>
    <x v="1"/>
    <x v="2"/>
    <s v="Entertainment/leisure/sports"/>
    <x v="1"/>
    <n v="122861193.40584016"/>
    <n v="0.19524999999999998"/>
    <n v="23988648.012490287"/>
    <n v="3"/>
    <n v="3"/>
    <n v="3"/>
    <n v="6.0901339829476243E-2"/>
    <n v="1"/>
    <n v="1460940.8046583608"/>
  </r>
  <r>
    <x v="1"/>
    <x v="2"/>
    <s v="Entertainment/leisure/sports"/>
    <x v="2"/>
    <n v="122861193.40584016"/>
    <n v="0.19524999999999998"/>
    <n v="23988648.012490287"/>
    <n v="5"/>
    <n v="5"/>
    <n v="5"/>
    <n v="0.10150223304912707"/>
    <n v="1"/>
    <n v="2434901.3410972683"/>
  </r>
  <r>
    <x v="1"/>
    <x v="2"/>
    <s v="Entertainment/leisure/sports"/>
    <x v="3"/>
    <n v="122861193.40584016"/>
    <n v="0.19524999999999998"/>
    <n v="23988648.012490287"/>
    <n v="7"/>
    <n v="7"/>
    <n v="7"/>
    <n v="0.14210312626877789"/>
    <n v="1"/>
    <n v="3408861.8775361748"/>
  </r>
  <r>
    <x v="1"/>
    <x v="2"/>
    <s v="Entertainment/leisure/sports"/>
    <x v="4"/>
    <n v="122861193.40584016"/>
    <n v="0.19524999999999998"/>
    <n v="23988648.012490287"/>
    <n v="31.75"/>
    <n v="34.770000000000003"/>
    <n v="33.260000000000005"/>
    <n v="0.67519285424279341"/>
    <n v="1"/>
    <n v="16196963.720979031"/>
  </r>
  <r>
    <x v="1"/>
    <x v="2"/>
    <s v="Personal Business"/>
    <x v="0"/>
    <n v="122861193.40584016"/>
    <n v="4.4499999999999991E-2"/>
    <n v="5467323.1065598857"/>
    <n v="1"/>
    <n v="1"/>
    <n v="1"/>
    <n v="2.0300446609825416E-2"/>
    <n v="1"/>
    <n v="110989.10082338379"/>
  </r>
  <r>
    <x v="1"/>
    <x v="2"/>
    <s v="Personal Business"/>
    <x v="1"/>
    <n v="122861193.40584016"/>
    <n v="4.4499999999999991E-2"/>
    <n v="5467323.1065598857"/>
    <n v="3"/>
    <n v="3"/>
    <n v="3"/>
    <n v="6.0901339829476243E-2"/>
    <n v="1"/>
    <n v="332967.30247015134"/>
  </r>
  <r>
    <x v="1"/>
    <x v="2"/>
    <s v="Personal Business"/>
    <x v="2"/>
    <n v="122861193.40584016"/>
    <n v="4.4499999999999991E-2"/>
    <n v="5467323.1065598857"/>
    <n v="5"/>
    <n v="5"/>
    <n v="5"/>
    <n v="0.10150223304912707"/>
    <n v="1"/>
    <n v="554945.50411691889"/>
  </r>
  <r>
    <x v="1"/>
    <x v="2"/>
    <s v="Personal Business"/>
    <x v="3"/>
    <n v="122861193.40584016"/>
    <n v="4.4499999999999991E-2"/>
    <n v="5467323.1065598857"/>
    <n v="7"/>
    <n v="7"/>
    <n v="7"/>
    <n v="0.14210312626877789"/>
    <n v="1"/>
    <n v="776923.70576368645"/>
  </r>
  <r>
    <x v="1"/>
    <x v="2"/>
    <s v="Personal Business"/>
    <x v="4"/>
    <n v="122861193.40584016"/>
    <n v="4.4499999999999991E-2"/>
    <n v="5467323.1065598857"/>
    <n v="31.75"/>
    <n v="34.770000000000003"/>
    <n v="33.260000000000005"/>
    <n v="0.67519285424279341"/>
    <n v="1"/>
    <n v="3691497.4933857452"/>
  </r>
  <r>
    <x v="1"/>
    <x v="2"/>
    <s v="Companion/Escort Journey"/>
    <x v="0"/>
    <n v="122861193.40584016"/>
    <n v="8.5500000000000007E-2"/>
    <n v="10504632.036199335"/>
    <n v="1"/>
    <n v="1"/>
    <n v="1"/>
    <n v="2.0300446609825416E-2"/>
    <n v="1"/>
    <n v="213248.72180672624"/>
  </r>
  <r>
    <x v="1"/>
    <x v="2"/>
    <s v="Companion/Escort Journey"/>
    <x v="1"/>
    <n v="122861193.40584016"/>
    <n v="8.5500000000000007E-2"/>
    <n v="10504632.036199335"/>
    <n v="3"/>
    <n v="3"/>
    <n v="3"/>
    <n v="6.0901339829476243E-2"/>
    <n v="1"/>
    <n v="639746.16542017867"/>
  </r>
  <r>
    <x v="1"/>
    <x v="2"/>
    <s v="Companion/Escort Journey"/>
    <x v="2"/>
    <n v="122861193.40584016"/>
    <n v="8.5500000000000007E-2"/>
    <n v="10504632.036199335"/>
    <n v="5"/>
    <n v="5"/>
    <n v="5"/>
    <n v="0.10150223304912707"/>
    <n v="1"/>
    <n v="1066243.6090336312"/>
  </r>
  <r>
    <x v="1"/>
    <x v="2"/>
    <s v="Companion/Escort Journey"/>
    <x v="3"/>
    <n v="122861193.40584016"/>
    <n v="8.5500000000000007E-2"/>
    <n v="10504632.036199335"/>
    <n v="7"/>
    <n v="7"/>
    <n v="7"/>
    <n v="0.14210312626877789"/>
    <n v="1"/>
    <n v="1492741.0526470835"/>
  </r>
  <r>
    <x v="1"/>
    <x v="2"/>
    <s v="Companion/Escort Journey"/>
    <x v="4"/>
    <n v="122861193.40584016"/>
    <n v="8.5500000000000007E-2"/>
    <n v="10504632.036199335"/>
    <n v="31.75"/>
    <n v="34.770000000000003"/>
    <n v="33.260000000000005"/>
    <n v="0.67519285424279341"/>
    <n v="1"/>
    <n v="7092652.487291716"/>
  </r>
  <r>
    <x v="1"/>
    <x v="2"/>
    <s v="Other"/>
    <x v="0"/>
    <n v="122861193.40584016"/>
    <n v="6.4000000000000001E-2"/>
    <n v="7863116.3779737707"/>
    <n v="1"/>
    <n v="1"/>
    <n v="1"/>
    <n v="2.0300446609825416E-2"/>
    <n v="1"/>
    <n v="159624.77421790033"/>
  </r>
  <r>
    <x v="1"/>
    <x v="2"/>
    <s v="Other"/>
    <x v="1"/>
    <n v="122861193.40584016"/>
    <n v="6.4000000000000001E-2"/>
    <n v="7863116.3779737707"/>
    <n v="3"/>
    <n v="3"/>
    <n v="3"/>
    <n v="6.0901339829476243E-2"/>
    <n v="1"/>
    <n v="478874.32265370101"/>
  </r>
  <r>
    <x v="1"/>
    <x v="2"/>
    <s v="Other"/>
    <x v="2"/>
    <n v="122861193.40584016"/>
    <n v="6.4000000000000001E-2"/>
    <n v="7863116.3779737707"/>
    <n v="5"/>
    <n v="5"/>
    <n v="5"/>
    <n v="0.10150223304912707"/>
    <n v="1"/>
    <n v="798123.87108950166"/>
  </r>
  <r>
    <x v="1"/>
    <x v="2"/>
    <s v="Other"/>
    <x v="3"/>
    <n v="122861193.40584016"/>
    <n v="6.4000000000000001E-2"/>
    <n v="7863116.3779737707"/>
    <n v="7"/>
    <n v="7"/>
    <n v="7"/>
    <n v="0.14210312626877789"/>
    <n v="1"/>
    <n v="1117373.4195253022"/>
  </r>
  <r>
    <x v="1"/>
    <x v="2"/>
    <s v="Other"/>
    <x v="4"/>
    <n v="122861193.40584016"/>
    <n v="6.4000000000000001E-2"/>
    <n v="7863116.3779737707"/>
    <n v="31.75"/>
    <n v="34.770000000000003"/>
    <n v="33.260000000000005"/>
    <n v="0.67519285424279341"/>
    <n v="1"/>
    <n v="5309119.990487366"/>
  </r>
  <r>
    <x v="1"/>
    <x v="3"/>
    <s v="Work"/>
    <x v="0"/>
    <n v="2137899500.4216602"/>
    <n v="0.28824999999999995"/>
    <n v="616249530.99654341"/>
    <n v="1"/>
    <n v="1"/>
    <n v="1"/>
    <n v="2.0300446609825416E-2"/>
    <n v="1"/>
    <n v="12510140.702325283"/>
  </r>
  <r>
    <x v="1"/>
    <x v="3"/>
    <s v="Work"/>
    <x v="1"/>
    <n v="2137899500.4216602"/>
    <n v="0.28824999999999995"/>
    <n v="616249530.99654341"/>
    <n v="3"/>
    <n v="3"/>
    <n v="3"/>
    <n v="6.0901339829476243E-2"/>
    <n v="1"/>
    <n v="37530422.106975846"/>
  </r>
  <r>
    <x v="1"/>
    <x v="3"/>
    <s v="Work"/>
    <x v="2"/>
    <n v="2137899500.4216602"/>
    <n v="0.28824999999999995"/>
    <n v="616249530.99654341"/>
    <n v="5"/>
    <n v="5"/>
    <n v="5"/>
    <n v="0.10150223304912707"/>
    <n v="1"/>
    <n v="62550703.511626408"/>
  </r>
  <r>
    <x v="1"/>
    <x v="3"/>
    <s v="Work"/>
    <x v="3"/>
    <n v="2137899500.4216602"/>
    <n v="0.28824999999999995"/>
    <n v="616249530.99654341"/>
    <n v="7"/>
    <n v="7"/>
    <n v="7"/>
    <n v="0.14210312626877789"/>
    <n v="1"/>
    <n v="87570984.916276962"/>
  </r>
  <r>
    <x v="1"/>
    <x v="3"/>
    <s v="Work"/>
    <x v="4"/>
    <n v="2137899500.4216602"/>
    <n v="0.28824999999999995"/>
    <n v="616249530.99654341"/>
    <n v="31.75"/>
    <n v="34.770000000000003"/>
    <n v="33.260000000000005"/>
    <n v="0.67519285424279341"/>
    <n v="1"/>
    <n v="416087279.75933892"/>
  </r>
  <r>
    <x v="1"/>
    <x v="3"/>
    <s v="Education"/>
    <x v="0"/>
    <n v="2137899500.4216602"/>
    <n v="0.12437499999999999"/>
    <n v="265901250.36494395"/>
    <n v="1"/>
    <n v="1"/>
    <n v="1"/>
    <n v="2.0300446609825416E-2"/>
    <n v="1"/>
    <n v="5397914.1365193659"/>
  </r>
  <r>
    <x v="1"/>
    <x v="3"/>
    <s v="Education"/>
    <x v="1"/>
    <n v="2137899500.4216602"/>
    <n v="0.12437499999999999"/>
    <n v="265901250.36494395"/>
    <n v="3"/>
    <n v="3"/>
    <n v="3"/>
    <n v="6.0901339829476243E-2"/>
    <n v="1"/>
    <n v="16193742.409558095"/>
  </r>
  <r>
    <x v="1"/>
    <x v="3"/>
    <s v="Education"/>
    <x v="2"/>
    <n v="2137899500.4216602"/>
    <n v="0.12437499999999999"/>
    <n v="265901250.36494395"/>
    <n v="5"/>
    <n v="5"/>
    <n v="5"/>
    <n v="0.10150223304912707"/>
    <n v="1"/>
    <n v="26989570.682596825"/>
  </r>
  <r>
    <x v="1"/>
    <x v="3"/>
    <s v="Education"/>
    <x v="3"/>
    <n v="2137899500.4216602"/>
    <n v="0.12437499999999999"/>
    <n v="265901250.36494395"/>
    <n v="7"/>
    <n v="7"/>
    <n v="7"/>
    <n v="0.14210312626877789"/>
    <n v="1"/>
    <n v="37785398.955635555"/>
  </r>
  <r>
    <x v="1"/>
    <x v="3"/>
    <s v="Education"/>
    <x v="4"/>
    <n v="2137899500.4216602"/>
    <n v="0.12437499999999999"/>
    <n v="265901250.36494395"/>
    <n v="31.75"/>
    <n v="34.770000000000003"/>
    <n v="33.260000000000005"/>
    <n v="0.67519285424279341"/>
    <n v="1"/>
    <n v="179534624.18063411"/>
  </r>
  <r>
    <x v="1"/>
    <x v="3"/>
    <s v="Shopping"/>
    <x v="0"/>
    <n v="2137899500.4216602"/>
    <n v="0.18625"/>
    <n v="398183781.95353419"/>
    <n v="1"/>
    <n v="1"/>
    <n v="1"/>
    <n v="2.0300446609825416E-2"/>
    <n v="1"/>
    <n v="8083308.6064460855"/>
  </r>
  <r>
    <x v="1"/>
    <x v="3"/>
    <s v="Shopping"/>
    <x v="1"/>
    <n v="2137899500.4216602"/>
    <n v="0.18625"/>
    <n v="398183781.95353419"/>
    <n v="3"/>
    <n v="3"/>
    <n v="3"/>
    <n v="6.0901339829476243E-2"/>
    <n v="1"/>
    <n v="24249925.819338255"/>
  </r>
  <r>
    <x v="1"/>
    <x v="3"/>
    <s v="Shopping"/>
    <x v="2"/>
    <n v="2137899500.4216602"/>
    <n v="0.18625"/>
    <n v="398183781.95353419"/>
    <n v="5"/>
    <n v="5"/>
    <n v="5"/>
    <n v="0.10150223304912707"/>
    <n v="1"/>
    <n v="40416543.032230429"/>
  </r>
  <r>
    <x v="1"/>
    <x v="3"/>
    <s v="Shopping"/>
    <x v="3"/>
    <n v="2137899500.4216602"/>
    <n v="0.18625"/>
    <n v="398183781.95353419"/>
    <n v="7"/>
    <n v="7"/>
    <n v="7"/>
    <n v="0.14210312626877789"/>
    <n v="1"/>
    <n v="56583160.245122589"/>
  </r>
  <r>
    <x v="1"/>
    <x v="3"/>
    <s v="Shopping"/>
    <x v="4"/>
    <n v="2137899500.4216602"/>
    <n v="0.18625"/>
    <n v="398183781.95353419"/>
    <n v="31.75"/>
    <n v="34.770000000000003"/>
    <n v="33.260000000000005"/>
    <n v="0.67519285424279341"/>
    <n v="1"/>
    <n v="268850844.25039685"/>
  </r>
  <r>
    <x v="1"/>
    <x v="3"/>
    <s v="To eat or drink"/>
    <x v="0"/>
    <n v="2137899500.4216602"/>
    <n v="1.7000000000000001E-2"/>
    <n v="36344291.507168226"/>
    <n v="1"/>
    <n v="1"/>
    <n v="1"/>
    <n v="2.0300446609825416E-2"/>
    <n v="1"/>
    <n v="737805.34931319987"/>
  </r>
  <r>
    <x v="1"/>
    <x v="3"/>
    <s v="To eat or drink"/>
    <x v="1"/>
    <n v="2137899500.4216602"/>
    <n v="1.7000000000000001E-2"/>
    <n v="36344291.507168226"/>
    <n v="3"/>
    <n v="3"/>
    <n v="3"/>
    <n v="6.0901339829476243E-2"/>
    <n v="1"/>
    <n v="2213416.0479395995"/>
  </r>
  <r>
    <x v="1"/>
    <x v="3"/>
    <s v="To eat or drink"/>
    <x v="2"/>
    <n v="2137899500.4216602"/>
    <n v="1.7000000000000001E-2"/>
    <n v="36344291.507168226"/>
    <n v="5"/>
    <n v="5"/>
    <n v="5"/>
    <n v="0.10150223304912707"/>
    <n v="1"/>
    <n v="3689026.746565999"/>
  </r>
  <r>
    <x v="1"/>
    <x v="3"/>
    <s v="To eat or drink"/>
    <x v="3"/>
    <n v="2137899500.4216602"/>
    <n v="1.7000000000000001E-2"/>
    <n v="36344291.507168226"/>
    <n v="7"/>
    <n v="7"/>
    <n v="7"/>
    <n v="0.14210312626877789"/>
    <n v="1"/>
    <n v="5164637.4451923985"/>
  </r>
  <r>
    <x v="1"/>
    <x v="3"/>
    <s v="To eat or drink"/>
    <x v="4"/>
    <n v="2137899500.4216602"/>
    <n v="1.7000000000000001E-2"/>
    <n v="36344291.507168226"/>
    <n v="31.75"/>
    <n v="34.770000000000003"/>
    <n v="33.260000000000005"/>
    <n v="0.67519285424279341"/>
    <n v="1"/>
    <n v="24539405.91815703"/>
  </r>
  <r>
    <x v="1"/>
    <x v="3"/>
    <s v="Visit family/friends"/>
    <x v="0"/>
    <n v="2137899500.4216602"/>
    <n v="0.10375000000000002"/>
    <n v="221807073.16874731"/>
    <n v="1"/>
    <n v="1"/>
    <n v="1"/>
    <n v="2.0300446609825416E-2"/>
    <n v="1"/>
    <n v="4502782.6465437943"/>
  </r>
  <r>
    <x v="1"/>
    <x v="3"/>
    <s v="Visit family/friends"/>
    <x v="1"/>
    <n v="2137899500.4216602"/>
    <n v="0.10375000000000002"/>
    <n v="221807073.16874731"/>
    <n v="3"/>
    <n v="3"/>
    <n v="3"/>
    <n v="6.0901339829476243E-2"/>
    <n v="1"/>
    <n v="13508347.939631382"/>
  </r>
  <r>
    <x v="1"/>
    <x v="3"/>
    <s v="Visit family/friends"/>
    <x v="2"/>
    <n v="2137899500.4216602"/>
    <n v="0.10375000000000002"/>
    <n v="221807073.16874731"/>
    <n v="5"/>
    <n v="5"/>
    <n v="5"/>
    <n v="0.10150223304912707"/>
    <n v="1"/>
    <n v="22513913.232718971"/>
  </r>
  <r>
    <x v="1"/>
    <x v="3"/>
    <s v="Visit family/friends"/>
    <x v="3"/>
    <n v="2137899500.4216602"/>
    <n v="0.10375000000000002"/>
    <n v="221807073.16874731"/>
    <n v="7"/>
    <n v="7"/>
    <n v="7"/>
    <n v="0.14210312626877789"/>
    <n v="1"/>
    <n v="31519478.525806554"/>
  </r>
  <r>
    <x v="1"/>
    <x v="3"/>
    <s v="Visit family/friends"/>
    <x v="4"/>
    <n v="2137899500.4216602"/>
    <n v="0.10375000000000002"/>
    <n v="221807073.16874731"/>
    <n v="31.75"/>
    <n v="34.770000000000003"/>
    <n v="33.260000000000005"/>
    <n v="0.67519285424279341"/>
    <n v="1"/>
    <n v="149762550.82404661"/>
  </r>
  <r>
    <x v="1"/>
    <x v="3"/>
    <s v="Entertainment/leisure/sports"/>
    <x v="0"/>
    <n v="2137899500.4216602"/>
    <n v="7.0250000000000007E-2"/>
    <n v="150187439.90462163"/>
    <n v="1"/>
    <n v="1"/>
    <n v="1"/>
    <n v="2.0300446609825416E-2"/>
    <n v="1"/>
    <n v="3048872.1052501346"/>
  </r>
  <r>
    <x v="1"/>
    <x v="3"/>
    <s v="Entertainment/leisure/sports"/>
    <x v="1"/>
    <n v="2137899500.4216602"/>
    <n v="7.0250000000000007E-2"/>
    <n v="150187439.90462163"/>
    <n v="3"/>
    <n v="3"/>
    <n v="3"/>
    <n v="6.0901339829476243E-2"/>
    <n v="1"/>
    <n v="9146616.3157504033"/>
  </r>
  <r>
    <x v="1"/>
    <x v="3"/>
    <s v="Entertainment/leisure/sports"/>
    <x v="2"/>
    <n v="2137899500.4216602"/>
    <n v="7.0250000000000007E-2"/>
    <n v="150187439.90462163"/>
    <n v="5"/>
    <n v="5"/>
    <n v="5"/>
    <n v="0.10150223304912707"/>
    <n v="1"/>
    <n v="15244360.526250672"/>
  </r>
  <r>
    <x v="1"/>
    <x v="3"/>
    <s v="Entertainment/leisure/sports"/>
    <x v="3"/>
    <n v="2137899500.4216602"/>
    <n v="7.0250000000000007E-2"/>
    <n v="150187439.90462163"/>
    <n v="7"/>
    <n v="7"/>
    <n v="7"/>
    <n v="0.14210312626877789"/>
    <n v="1"/>
    <n v="21342104.736750938"/>
  </r>
  <r>
    <x v="1"/>
    <x v="3"/>
    <s v="Entertainment/leisure/sports"/>
    <x v="4"/>
    <n v="2137899500.4216602"/>
    <n v="7.0250000000000007E-2"/>
    <n v="150187439.90462163"/>
    <n v="31.75"/>
    <n v="34.770000000000003"/>
    <n v="33.260000000000005"/>
    <n v="0.67519285424279341"/>
    <n v="1"/>
    <n v="101405486.22061948"/>
  </r>
  <r>
    <x v="1"/>
    <x v="3"/>
    <s v="Personal Business"/>
    <x v="0"/>
    <n v="2137899500.4216602"/>
    <n v="9.6374999999999988E-2"/>
    <n v="206040064.35313746"/>
    <n v="1"/>
    <n v="1"/>
    <n v="1"/>
    <n v="2.0300446609825416E-2"/>
    <n v="1"/>
    <n v="4182705.3258858598"/>
  </r>
  <r>
    <x v="1"/>
    <x v="3"/>
    <s v="Personal Business"/>
    <x v="1"/>
    <n v="2137899500.4216602"/>
    <n v="9.6374999999999988E-2"/>
    <n v="206040064.35313746"/>
    <n v="3"/>
    <n v="3"/>
    <n v="3"/>
    <n v="6.0901339829476243E-2"/>
    <n v="1"/>
    <n v="12548115.977657579"/>
  </r>
  <r>
    <x v="1"/>
    <x v="3"/>
    <s v="Personal Business"/>
    <x v="2"/>
    <n v="2137899500.4216602"/>
    <n v="9.6374999999999988E-2"/>
    <n v="206040064.35313746"/>
    <n v="5"/>
    <n v="5"/>
    <n v="5"/>
    <n v="0.10150223304912707"/>
    <n v="1"/>
    <n v="20913526.629429299"/>
  </r>
  <r>
    <x v="1"/>
    <x v="3"/>
    <s v="Personal Business"/>
    <x v="3"/>
    <n v="2137899500.4216602"/>
    <n v="9.6374999999999988E-2"/>
    <n v="206040064.35313746"/>
    <n v="7"/>
    <n v="7"/>
    <n v="7"/>
    <n v="0.14210312626877789"/>
    <n v="1"/>
    <n v="29278937.281201012"/>
  </r>
  <r>
    <x v="1"/>
    <x v="3"/>
    <s v="Personal Business"/>
    <x v="4"/>
    <n v="2137899500.4216602"/>
    <n v="9.6374999999999988E-2"/>
    <n v="206040064.35313746"/>
    <n v="31.75"/>
    <n v="34.770000000000003"/>
    <n v="33.260000000000005"/>
    <n v="0.67519285424279341"/>
    <n v="1"/>
    <n v="139116779.13896373"/>
  </r>
  <r>
    <x v="1"/>
    <x v="3"/>
    <s v="Companion/Escort Journey"/>
    <x v="0"/>
    <n v="2137899500.4216602"/>
    <n v="2.2499999999999999E-2"/>
    <n v="48102738.759487353"/>
    <n v="1"/>
    <n v="1"/>
    <n v="1"/>
    <n v="2.0300446609825416E-2"/>
    <n v="1"/>
    <n v="976507.07997335261"/>
  </r>
  <r>
    <x v="1"/>
    <x v="3"/>
    <s v="Companion/Escort Journey"/>
    <x v="1"/>
    <n v="2137899500.4216602"/>
    <n v="2.2499999999999999E-2"/>
    <n v="48102738.759487353"/>
    <n v="3"/>
    <n v="3"/>
    <n v="3"/>
    <n v="6.0901339829476243E-2"/>
    <n v="1"/>
    <n v="2929521.2399200578"/>
  </r>
  <r>
    <x v="1"/>
    <x v="3"/>
    <s v="Companion/Escort Journey"/>
    <x v="2"/>
    <n v="2137899500.4216602"/>
    <n v="2.2499999999999999E-2"/>
    <n v="48102738.759487353"/>
    <n v="5"/>
    <n v="5"/>
    <n v="5"/>
    <n v="0.10150223304912707"/>
    <n v="1"/>
    <n v="4882535.3998667635"/>
  </r>
  <r>
    <x v="1"/>
    <x v="3"/>
    <s v="Companion/Escort Journey"/>
    <x v="3"/>
    <n v="2137899500.4216602"/>
    <n v="2.2499999999999999E-2"/>
    <n v="48102738.759487353"/>
    <n v="7"/>
    <n v="7"/>
    <n v="7"/>
    <n v="0.14210312626877789"/>
    <n v="1"/>
    <n v="6835549.5598134678"/>
  </r>
  <r>
    <x v="1"/>
    <x v="3"/>
    <s v="Companion/Escort Journey"/>
    <x v="4"/>
    <n v="2137899500.4216602"/>
    <n v="2.2499999999999999E-2"/>
    <n v="48102738.759487353"/>
    <n v="31.75"/>
    <n v="34.770000000000003"/>
    <n v="33.260000000000005"/>
    <n v="0.67519285424279341"/>
    <n v="1"/>
    <n v="32478625.479913712"/>
  </r>
  <r>
    <x v="1"/>
    <x v="3"/>
    <s v="Other"/>
    <x v="0"/>
    <n v="2137899500.4216602"/>
    <n v="9.1250000000000012E-2"/>
    <n v="195083329.41347653"/>
    <n v="1"/>
    <n v="1"/>
    <n v="1"/>
    <n v="2.0300446609825416E-2"/>
    <n v="1"/>
    <n v="3960278.7132252646"/>
  </r>
  <r>
    <x v="1"/>
    <x v="3"/>
    <s v="Other"/>
    <x v="1"/>
    <n v="2137899500.4216602"/>
    <n v="9.1250000000000012E-2"/>
    <n v="195083329.41347653"/>
    <n v="3"/>
    <n v="3"/>
    <n v="3"/>
    <n v="6.0901339829476243E-2"/>
    <n v="1"/>
    <n v="11880836.139675792"/>
  </r>
  <r>
    <x v="1"/>
    <x v="3"/>
    <s v="Other"/>
    <x v="2"/>
    <n v="2137899500.4216602"/>
    <n v="9.1250000000000012E-2"/>
    <n v="195083329.41347653"/>
    <n v="5"/>
    <n v="5"/>
    <n v="5"/>
    <n v="0.10150223304912707"/>
    <n v="1"/>
    <n v="19801393.566126321"/>
  </r>
  <r>
    <x v="1"/>
    <x v="3"/>
    <s v="Other"/>
    <x v="3"/>
    <n v="2137899500.4216602"/>
    <n v="9.1250000000000012E-2"/>
    <n v="195083329.41347653"/>
    <n v="7"/>
    <n v="7"/>
    <n v="7"/>
    <n v="0.14210312626877789"/>
    <n v="1"/>
    <n v="27721950.992576845"/>
  </r>
  <r>
    <x v="1"/>
    <x v="3"/>
    <s v="Other"/>
    <x v="4"/>
    <n v="2137899500.4216602"/>
    <n v="9.1250000000000012E-2"/>
    <n v="195083329.41347653"/>
    <n v="31.75"/>
    <n v="34.770000000000003"/>
    <n v="33.260000000000005"/>
    <n v="0.67519285424279341"/>
    <n v="1"/>
    <n v="131718870.0018723"/>
  </r>
  <r>
    <x v="1"/>
    <x v="4"/>
    <s v="Work"/>
    <x v="0"/>
    <n v="168685623.35438263"/>
    <n v="0.17649999999999999"/>
    <n v="29773012.522048533"/>
    <n v="1"/>
    <n v="1"/>
    <n v="1"/>
    <n v="2.0300446609825416E-2"/>
    <n v="1"/>
    <n v="604405.45111750974"/>
  </r>
  <r>
    <x v="1"/>
    <x v="4"/>
    <s v="Work"/>
    <x v="1"/>
    <n v="168685623.35438263"/>
    <n v="0.17649999999999999"/>
    <n v="29773012.522048533"/>
    <n v="3"/>
    <n v="3"/>
    <n v="3"/>
    <n v="6.0901339829476243E-2"/>
    <n v="1"/>
    <n v="1813216.3533525292"/>
  </r>
  <r>
    <x v="1"/>
    <x v="4"/>
    <s v="Work"/>
    <x v="2"/>
    <n v="168685623.35438263"/>
    <n v="0.17649999999999999"/>
    <n v="29773012.522048533"/>
    <n v="5"/>
    <n v="5"/>
    <n v="5"/>
    <n v="0.10150223304912707"/>
    <n v="1"/>
    <n v="3022027.2555875489"/>
  </r>
  <r>
    <x v="1"/>
    <x v="4"/>
    <s v="Work"/>
    <x v="3"/>
    <n v="168685623.35438263"/>
    <n v="0.17649999999999999"/>
    <n v="29773012.522048533"/>
    <n v="7"/>
    <n v="7"/>
    <n v="7"/>
    <n v="0.14210312626877789"/>
    <n v="1"/>
    <n v="4230838.157822568"/>
  </r>
  <r>
    <x v="1"/>
    <x v="4"/>
    <s v="Work"/>
    <x v="4"/>
    <n v="168685623.35438263"/>
    <n v="0.17649999999999999"/>
    <n v="29773012.522048533"/>
    <n v="31.75"/>
    <n v="34.770000000000003"/>
    <n v="33.260000000000005"/>
    <n v="0.67519285424279341"/>
    <n v="1"/>
    <n v="20102525.304168377"/>
  </r>
  <r>
    <x v="1"/>
    <x v="4"/>
    <s v="Education"/>
    <x v="0"/>
    <n v="168685623.35438263"/>
    <n v="8.5249999999999992E-2"/>
    <n v="14380449.390961118"/>
    <n v="1"/>
    <n v="1"/>
    <n v="1"/>
    <n v="2.0300446609825416E-2"/>
    <n v="1"/>
    <n v="291929.54508650256"/>
  </r>
  <r>
    <x v="1"/>
    <x v="4"/>
    <s v="Education"/>
    <x v="1"/>
    <n v="168685623.35438263"/>
    <n v="8.5249999999999992E-2"/>
    <n v="14380449.390961118"/>
    <n v="3"/>
    <n v="3"/>
    <n v="3"/>
    <n v="6.0901339829476243E-2"/>
    <n v="1"/>
    <n v="875788.63525950769"/>
  </r>
  <r>
    <x v="1"/>
    <x v="4"/>
    <s v="Education"/>
    <x v="2"/>
    <n v="168685623.35438263"/>
    <n v="8.5249999999999992E-2"/>
    <n v="14380449.390961118"/>
    <n v="5"/>
    <n v="5"/>
    <n v="5"/>
    <n v="0.10150223304912707"/>
    <n v="1"/>
    <n v="1459647.7254325128"/>
  </r>
  <r>
    <x v="1"/>
    <x v="4"/>
    <s v="Education"/>
    <x v="3"/>
    <n v="168685623.35438263"/>
    <n v="8.5249999999999992E-2"/>
    <n v="14380449.390961118"/>
    <n v="7"/>
    <n v="7"/>
    <n v="7"/>
    <n v="0.14210312626877789"/>
    <n v="1"/>
    <n v="2043506.8156055177"/>
  </r>
  <r>
    <x v="1"/>
    <x v="4"/>
    <s v="Education"/>
    <x v="4"/>
    <n v="168685623.35438263"/>
    <n v="8.5249999999999992E-2"/>
    <n v="14380449.390961118"/>
    <n v="31.75"/>
    <n v="34.770000000000003"/>
    <n v="33.260000000000005"/>
    <n v="0.67519285424279341"/>
    <n v="1"/>
    <n v="9709576.669577077"/>
  </r>
  <r>
    <x v="1"/>
    <x v="4"/>
    <s v="Shopping"/>
    <x v="0"/>
    <n v="168685623.35438263"/>
    <n v="0.23774999999999999"/>
    <n v="40105006.952504471"/>
    <n v="1"/>
    <n v="1"/>
    <n v="1"/>
    <n v="2.0300446609825416E-2"/>
    <n v="1"/>
    <n v="814149.55242599407"/>
  </r>
  <r>
    <x v="1"/>
    <x v="4"/>
    <s v="Shopping"/>
    <x v="1"/>
    <n v="168685623.35438263"/>
    <n v="0.23774999999999999"/>
    <n v="40105006.952504471"/>
    <n v="3"/>
    <n v="3"/>
    <n v="3"/>
    <n v="6.0901339829476243E-2"/>
    <n v="1"/>
    <n v="2442448.6572779822"/>
  </r>
  <r>
    <x v="1"/>
    <x v="4"/>
    <s v="Shopping"/>
    <x v="2"/>
    <n v="168685623.35438263"/>
    <n v="0.23774999999999999"/>
    <n v="40105006.952504471"/>
    <n v="5"/>
    <n v="5"/>
    <n v="5"/>
    <n v="0.10150223304912707"/>
    <n v="1"/>
    <n v="4070747.7621299704"/>
  </r>
  <r>
    <x v="1"/>
    <x v="4"/>
    <s v="Shopping"/>
    <x v="3"/>
    <n v="168685623.35438263"/>
    <n v="0.23774999999999999"/>
    <n v="40105006.952504471"/>
    <n v="7"/>
    <n v="7"/>
    <n v="7"/>
    <n v="0.14210312626877789"/>
    <n v="1"/>
    <n v="5699046.866981958"/>
  </r>
  <r>
    <x v="1"/>
    <x v="4"/>
    <s v="Shopping"/>
    <x v="4"/>
    <n v="168685623.35438263"/>
    <n v="0.23774999999999999"/>
    <n v="40105006.952504471"/>
    <n v="31.75"/>
    <n v="34.770000000000003"/>
    <n v="33.260000000000005"/>
    <n v="0.67519285424279341"/>
    <n v="1"/>
    <n v="27078614.113688566"/>
  </r>
  <r>
    <x v="1"/>
    <x v="4"/>
    <s v="To eat or drink"/>
    <x v="0"/>
    <n v="168685623.35438263"/>
    <n v="3.6750000000000005E-2"/>
    <n v="6199196.6582735628"/>
    <n v="1"/>
    <n v="1"/>
    <n v="1"/>
    <n v="2.0300446609825416E-2"/>
    <n v="1"/>
    <n v="125846.46078509059"/>
  </r>
  <r>
    <x v="1"/>
    <x v="4"/>
    <s v="To eat or drink"/>
    <x v="1"/>
    <n v="168685623.35438263"/>
    <n v="3.6750000000000005E-2"/>
    <n v="6199196.6582735628"/>
    <n v="3"/>
    <n v="3"/>
    <n v="3"/>
    <n v="6.0901339829476243E-2"/>
    <n v="1"/>
    <n v="377539.38235527178"/>
  </r>
  <r>
    <x v="1"/>
    <x v="4"/>
    <s v="To eat or drink"/>
    <x v="2"/>
    <n v="168685623.35438263"/>
    <n v="3.6750000000000005E-2"/>
    <n v="6199196.6582735628"/>
    <n v="5"/>
    <n v="5"/>
    <n v="5"/>
    <n v="0.10150223304912707"/>
    <n v="1"/>
    <n v="629232.30392545299"/>
  </r>
  <r>
    <x v="1"/>
    <x v="4"/>
    <s v="To eat or drink"/>
    <x v="3"/>
    <n v="168685623.35438263"/>
    <n v="3.6750000000000005E-2"/>
    <n v="6199196.6582735628"/>
    <n v="7"/>
    <n v="7"/>
    <n v="7"/>
    <n v="0.14210312626877789"/>
    <n v="1"/>
    <n v="880925.22549563402"/>
  </r>
  <r>
    <x v="1"/>
    <x v="4"/>
    <s v="To eat or drink"/>
    <x v="4"/>
    <n v="168685623.35438263"/>
    <n v="3.6750000000000005E-2"/>
    <n v="6199196.6582735628"/>
    <n v="31.75"/>
    <n v="34.770000000000003"/>
    <n v="33.260000000000005"/>
    <n v="0.67519285424279341"/>
    <n v="1"/>
    <n v="4185653.2857121136"/>
  </r>
  <r>
    <x v="1"/>
    <x v="4"/>
    <s v="Visit family/friends"/>
    <x v="0"/>
    <n v="168685623.35438263"/>
    <n v="7.4500000000000011E-2"/>
    <n v="12567078.939901508"/>
    <n v="1"/>
    <n v="1"/>
    <n v="1"/>
    <n v="2.0300446609825416E-2"/>
    <n v="1"/>
    <n v="255117.31506093196"/>
  </r>
  <r>
    <x v="1"/>
    <x v="4"/>
    <s v="Visit family/friends"/>
    <x v="1"/>
    <n v="168685623.35438263"/>
    <n v="7.4500000000000011E-2"/>
    <n v="12567078.939901508"/>
    <n v="3"/>
    <n v="3"/>
    <n v="3"/>
    <n v="6.0901339829476243E-2"/>
    <n v="1"/>
    <n v="765351.94518279587"/>
  </r>
  <r>
    <x v="1"/>
    <x v="4"/>
    <s v="Visit family/friends"/>
    <x v="2"/>
    <n v="168685623.35438263"/>
    <n v="7.4500000000000011E-2"/>
    <n v="12567078.939901508"/>
    <n v="5"/>
    <n v="5"/>
    <n v="5"/>
    <n v="0.10150223304912707"/>
    <n v="1"/>
    <n v="1275586.5753046598"/>
  </r>
  <r>
    <x v="1"/>
    <x v="4"/>
    <s v="Visit family/friends"/>
    <x v="3"/>
    <n v="168685623.35438263"/>
    <n v="7.4500000000000011E-2"/>
    <n v="12567078.939901508"/>
    <n v="7"/>
    <n v="7"/>
    <n v="7"/>
    <n v="0.14210312626877789"/>
    <n v="1"/>
    <n v="1785821.2054265235"/>
  </r>
  <r>
    <x v="1"/>
    <x v="4"/>
    <s v="Visit family/friends"/>
    <x v="4"/>
    <n v="168685623.35438263"/>
    <n v="7.4500000000000011E-2"/>
    <n v="12567078.939901508"/>
    <n v="31.75"/>
    <n v="34.770000000000003"/>
    <n v="33.260000000000005"/>
    <n v="0.67519285424279341"/>
    <n v="1"/>
    <n v="8485201.8989265971"/>
  </r>
  <r>
    <x v="1"/>
    <x v="4"/>
    <s v="Entertainment/leisure/sports"/>
    <x v="0"/>
    <n v="168685623.35438263"/>
    <n v="0.19524999999999998"/>
    <n v="32935867.959943205"/>
    <n v="1"/>
    <n v="1"/>
    <n v="1"/>
    <n v="2.0300446609825416E-2"/>
    <n v="1"/>
    <n v="668612.82906908658"/>
  </r>
  <r>
    <x v="1"/>
    <x v="4"/>
    <s v="Entertainment/leisure/sports"/>
    <x v="1"/>
    <n v="168685623.35438263"/>
    <n v="0.19524999999999998"/>
    <n v="32935867.959943205"/>
    <n v="3"/>
    <n v="3"/>
    <n v="3"/>
    <n v="6.0901339829476243E-2"/>
    <n v="1"/>
    <n v="2005838.4872072595"/>
  </r>
  <r>
    <x v="1"/>
    <x v="4"/>
    <s v="Entertainment/leisure/sports"/>
    <x v="2"/>
    <n v="168685623.35438263"/>
    <n v="0.19524999999999998"/>
    <n v="32935867.959943205"/>
    <n v="5"/>
    <n v="5"/>
    <n v="5"/>
    <n v="0.10150223304912707"/>
    <n v="1"/>
    <n v="3343064.1453454327"/>
  </r>
  <r>
    <x v="1"/>
    <x v="4"/>
    <s v="Entertainment/leisure/sports"/>
    <x v="3"/>
    <n v="168685623.35438263"/>
    <n v="0.19524999999999998"/>
    <n v="32935867.959943205"/>
    <n v="7"/>
    <n v="7"/>
    <n v="7"/>
    <n v="0.14210312626877789"/>
    <n v="1"/>
    <n v="4680289.8034836054"/>
  </r>
  <r>
    <x v="1"/>
    <x v="4"/>
    <s v="Entertainment/leisure/sports"/>
    <x v="4"/>
    <n v="168685623.35438263"/>
    <n v="0.19524999999999998"/>
    <n v="32935867.959943205"/>
    <n v="31.75"/>
    <n v="34.770000000000003"/>
    <n v="33.260000000000005"/>
    <n v="0.67519285424279341"/>
    <n v="1"/>
    <n v="22238062.694837824"/>
  </r>
  <r>
    <x v="1"/>
    <x v="4"/>
    <s v="Personal Business"/>
    <x v="0"/>
    <n v="168685623.35438263"/>
    <n v="4.4499999999999991E-2"/>
    <n v="7506510.2392700259"/>
    <n v="1"/>
    <n v="1"/>
    <n v="1"/>
    <n v="2.0300446609825416E-2"/>
    <n v="1"/>
    <n v="152385.51033840896"/>
  </r>
  <r>
    <x v="1"/>
    <x v="4"/>
    <s v="Personal Business"/>
    <x v="1"/>
    <n v="168685623.35438263"/>
    <n v="4.4499999999999991E-2"/>
    <n v="7506510.2392700259"/>
    <n v="3"/>
    <n v="3"/>
    <n v="3"/>
    <n v="6.0901339829476243E-2"/>
    <n v="1"/>
    <n v="457156.53101522685"/>
  </r>
  <r>
    <x v="1"/>
    <x v="4"/>
    <s v="Personal Business"/>
    <x v="2"/>
    <n v="168685623.35438263"/>
    <n v="4.4499999999999991E-2"/>
    <n v="7506510.2392700259"/>
    <n v="5"/>
    <n v="5"/>
    <n v="5"/>
    <n v="0.10150223304912707"/>
    <n v="1"/>
    <n v="761927.55169204483"/>
  </r>
  <r>
    <x v="1"/>
    <x v="4"/>
    <s v="Personal Business"/>
    <x v="3"/>
    <n v="168685623.35438263"/>
    <n v="4.4499999999999991E-2"/>
    <n v="7506510.2392700259"/>
    <n v="7"/>
    <n v="7"/>
    <n v="7"/>
    <n v="0.14210312626877789"/>
    <n v="1"/>
    <n v="1066698.5723688626"/>
  </r>
  <r>
    <x v="1"/>
    <x v="4"/>
    <s v="Personal Business"/>
    <x v="4"/>
    <n v="168685623.35438263"/>
    <n v="4.4499999999999991E-2"/>
    <n v="7506510.2392700259"/>
    <n v="31.75"/>
    <n v="34.770000000000003"/>
    <n v="33.260000000000005"/>
    <n v="0.67519285424279341"/>
    <n v="1"/>
    <n v="5068342.073855483"/>
  </r>
  <r>
    <x v="1"/>
    <x v="4"/>
    <s v="Companion/Escort Journey"/>
    <x v="0"/>
    <n v="168685623.35438263"/>
    <n v="8.5500000000000007E-2"/>
    <n v="14422620.796799716"/>
    <n v="1"/>
    <n v="1"/>
    <n v="1"/>
    <n v="2.0300446609825416E-2"/>
    <n v="1"/>
    <n v="292785.64345919032"/>
  </r>
  <r>
    <x v="1"/>
    <x v="4"/>
    <s v="Companion/Escort Journey"/>
    <x v="1"/>
    <n v="168685623.35438263"/>
    <n v="8.5500000000000007E-2"/>
    <n v="14422620.796799716"/>
    <n v="3"/>
    <n v="3"/>
    <n v="3"/>
    <n v="6.0901339829476243E-2"/>
    <n v="1"/>
    <n v="878356.93037757091"/>
  </r>
  <r>
    <x v="1"/>
    <x v="4"/>
    <s v="Companion/Escort Journey"/>
    <x v="2"/>
    <n v="168685623.35438263"/>
    <n v="8.5500000000000007E-2"/>
    <n v="14422620.796799716"/>
    <n v="5"/>
    <n v="5"/>
    <n v="5"/>
    <n v="0.10150223304912707"/>
    <n v="1"/>
    <n v="1463928.2172959514"/>
  </r>
  <r>
    <x v="1"/>
    <x v="4"/>
    <s v="Companion/Escort Journey"/>
    <x v="3"/>
    <n v="168685623.35438263"/>
    <n v="8.5500000000000007E-2"/>
    <n v="14422620.796799716"/>
    <n v="7"/>
    <n v="7"/>
    <n v="7"/>
    <n v="0.14210312626877789"/>
    <n v="1"/>
    <n v="2049499.504214332"/>
  </r>
  <r>
    <x v="1"/>
    <x v="4"/>
    <s v="Companion/Escort Journey"/>
    <x v="4"/>
    <n v="168685623.35438263"/>
    <n v="8.5500000000000007E-2"/>
    <n v="14422620.796799716"/>
    <n v="31.75"/>
    <n v="34.770000000000003"/>
    <n v="33.260000000000005"/>
    <n v="0.67519285424279341"/>
    <n v="1"/>
    <n v="9738050.5014526714"/>
  </r>
  <r>
    <x v="1"/>
    <x v="4"/>
    <s v="Other"/>
    <x v="0"/>
    <n v="168685623.35438263"/>
    <n v="6.4000000000000001E-2"/>
    <n v="10795879.894680489"/>
    <n v="1"/>
    <n v="1"/>
    <n v="1"/>
    <n v="2.0300446609825416E-2"/>
    <n v="1"/>
    <n v="219161.18340804891"/>
  </r>
  <r>
    <x v="1"/>
    <x v="4"/>
    <s v="Other"/>
    <x v="1"/>
    <n v="168685623.35438263"/>
    <n v="6.4000000000000001E-2"/>
    <n v="10795879.894680489"/>
    <n v="3"/>
    <n v="3"/>
    <n v="3"/>
    <n v="6.0901339829476243E-2"/>
    <n v="1"/>
    <n v="657483.55022414669"/>
  </r>
  <r>
    <x v="1"/>
    <x v="4"/>
    <s v="Other"/>
    <x v="2"/>
    <n v="168685623.35438263"/>
    <n v="6.4000000000000001E-2"/>
    <n v="10795879.894680489"/>
    <n v="5"/>
    <n v="5"/>
    <n v="5"/>
    <n v="0.10150223304912707"/>
    <n v="1"/>
    <n v="1095805.9170402444"/>
  </r>
  <r>
    <x v="1"/>
    <x v="4"/>
    <s v="Other"/>
    <x v="3"/>
    <n v="168685623.35438263"/>
    <n v="6.4000000000000001E-2"/>
    <n v="10795879.894680489"/>
    <n v="7"/>
    <n v="7"/>
    <n v="7"/>
    <n v="0.14210312626877789"/>
    <n v="1"/>
    <n v="1534128.2838563421"/>
  </r>
  <r>
    <x v="1"/>
    <x v="4"/>
    <s v="Other"/>
    <x v="4"/>
    <n v="168685623.35438263"/>
    <n v="6.4000000000000001E-2"/>
    <n v="10795879.894680489"/>
    <n v="31.75"/>
    <n v="34.770000000000003"/>
    <n v="33.260000000000005"/>
    <n v="0.67519285424279341"/>
    <n v="1"/>
    <n v="7289300.9601517068"/>
  </r>
  <r>
    <x v="1"/>
    <x v="5"/>
    <s v="Work"/>
    <x v="0"/>
    <n v="2097797422.3808711"/>
    <n v="0.28824999999999995"/>
    <n v="604690107.00128603"/>
    <n v="1"/>
    <n v="1"/>
    <n v="1"/>
    <n v="2.0300446609825416E-2"/>
    <n v="1"/>
    <n v="12275479.232669225"/>
  </r>
  <r>
    <x v="1"/>
    <x v="5"/>
    <s v="Work"/>
    <x v="1"/>
    <n v="2097797422.3808711"/>
    <n v="0.28824999999999995"/>
    <n v="604690107.00128603"/>
    <n v="3"/>
    <n v="3"/>
    <n v="3"/>
    <n v="6.0901339829476243E-2"/>
    <n v="1"/>
    <n v="36826437.698007673"/>
  </r>
  <r>
    <x v="1"/>
    <x v="5"/>
    <s v="Work"/>
    <x v="2"/>
    <n v="2097797422.3808711"/>
    <n v="0.28824999999999995"/>
    <n v="604690107.00128603"/>
    <n v="5"/>
    <n v="5"/>
    <n v="5"/>
    <n v="0.10150223304912707"/>
    <n v="1"/>
    <n v="61377396.163346119"/>
  </r>
  <r>
    <x v="1"/>
    <x v="5"/>
    <s v="Work"/>
    <x v="3"/>
    <n v="2097797422.3808711"/>
    <n v="0.28824999999999995"/>
    <n v="604690107.00128603"/>
    <n v="7"/>
    <n v="7"/>
    <n v="7"/>
    <n v="0.14210312626877789"/>
    <n v="1"/>
    <n v="85928354.628684565"/>
  </r>
  <r>
    <x v="1"/>
    <x v="5"/>
    <s v="Work"/>
    <x v="4"/>
    <n v="2097797422.3808711"/>
    <n v="0.28824999999999995"/>
    <n v="604690107.00128603"/>
    <n v="31.75"/>
    <n v="34.770000000000003"/>
    <n v="33.260000000000005"/>
    <n v="0.67519285424279341"/>
    <n v="1"/>
    <n v="408282439.27857846"/>
  </r>
  <r>
    <x v="1"/>
    <x v="5"/>
    <s v="Education"/>
    <x v="0"/>
    <n v="2097797422.3808711"/>
    <n v="0.12437499999999999"/>
    <n v="260913554.4086208"/>
    <n v="1"/>
    <n v="1"/>
    <n v="1"/>
    <n v="2.0300446609825416E-2"/>
    <n v="1"/>
    <n v="5296661.6810519854"/>
  </r>
  <r>
    <x v="1"/>
    <x v="5"/>
    <s v="Education"/>
    <x v="1"/>
    <n v="2097797422.3808711"/>
    <n v="0.12437499999999999"/>
    <n v="260913554.4086208"/>
    <n v="3"/>
    <n v="3"/>
    <n v="3"/>
    <n v="6.0901339829476243E-2"/>
    <n v="1"/>
    <n v="15889985.043155955"/>
  </r>
  <r>
    <x v="1"/>
    <x v="5"/>
    <s v="Education"/>
    <x v="2"/>
    <n v="2097797422.3808711"/>
    <n v="0.12437499999999999"/>
    <n v="260913554.4086208"/>
    <n v="5"/>
    <n v="5"/>
    <n v="5"/>
    <n v="0.10150223304912707"/>
    <n v="1"/>
    <n v="26483308.405259926"/>
  </r>
  <r>
    <x v="1"/>
    <x v="5"/>
    <s v="Education"/>
    <x v="3"/>
    <n v="2097797422.3808711"/>
    <n v="0.12437499999999999"/>
    <n v="260913554.4086208"/>
    <n v="7"/>
    <n v="7"/>
    <n v="7"/>
    <n v="0.14210312626877789"/>
    <n v="1"/>
    <n v="37076631.767363891"/>
  </r>
  <r>
    <x v="1"/>
    <x v="5"/>
    <s v="Education"/>
    <x v="4"/>
    <n v="2097797422.3808711"/>
    <n v="0.12437499999999999"/>
    <n v="260913554.4086208"/>
    <n v="31.75"/>
    <n v="34.770000000000003"/>
    <n v="33.260000000000005"/>
    <n v="0.67519285424279341"/>
    <n v="1"/>
    <n v="176166967.51178905"/>
  </r>
  <r>
    <x v="1"/>
    <x v="5"/>
    <s v="Shopping"/>
    <x v="0"/>
    <n v="2097797422.3808711"/>
    <n v="0.18625"/>
    <n v="390714769.91843724"/>
    <n v="1"/>
    <n v="1"/>
    <n v="1"/>
    <n v="2.0300446609825416E-2"/>
    <n v="1"/>
    <n v="7931684.3263994567"/>
  </r>
  <r>
    <x v="1"/>
    <x v="5"/>
    <s v="Shopping"/>
    <x v="1"/>
    <n v="2097797422.3808711"/>
    <n v="0.18625"/>
    <n v="390714769.91843724"/>
    <n v="3"/>
    <n v="3"/>
    <n v="3"/>
    <n v="6.0901339829476243E-2"/>
    <n v="1"/>
    <n v="23795052.97919837"/>
  </r>
  <r>
    <x v="1"/>
    <x v="5"/>
    <s v="Shopping"/>
    <x v="2"/>
    <n v="2097797422.3808711"/>
    <n v="0.18625"/>
    <n v="390714769.91843724"/>
    <n v="5"/>
    <n v="5"/>
    <n v="5"/>
    <n v="0.10150223304912707"/>
    <n v="1"/>
    <n v="39658421.63199728"/>
  </r>
  <r>
    <x v="1"/>
    <x v="5"/>
    <s v="Shopping"/>
    <x v="3"/>
    <n v="2097797422.3808711"/>
    <n v="0.18625"/>
    <n v="390714769.91843724"/>
    <n v="7"/>
    <n v="7"/>
    <n v="7"/>
    <n v="0.14210312626877789"/>
    <n v="1"/>
    <n v="55521790.284796186"/>
  </r>
  <r>
    <x v="1"/>
    <x v="5"/>
    <s v="Shopping"/>
    <x v="4"/>
    <n v="2097797422.3808711"/>
    <n v="0.18625"/>
    <n v="390714769.91843724"/>
    <n v="31.75"/>
    <n v="34.770000000000003"/>
    <n v="33.260000000000005"/>
    <n v="0.67519285424279341"/>
    <n v="1"/>
    <n v="263807820.69604596"/>
  </r>
  <r>
    <x v="1"/>
    <x v="5"/>
    <s v="To eat or drink"/>
    <x v="0"/>
    <n v="2097797422.3808711"/>
    <n v="1.7000000000000001E-2"/>
    <n v="35662556.18047481"/>
    <n v="1"/>
    <n v="1"/>
    <n v="1"/>
    <n v="2.0300446609825416E-2"/>
    <n v="1"/>
    <n v="723965.81771162827"/>
  </r>
  <r>
    <x v="1"/>
    <x v="5"/>
    <s v="To eat or drink"/>
    <x v="1"/>
    <n v="2097797422.3808711"/>
    <n v="1.7000000000000001E-2"/>
    <n v="35662556.18047481"/>
    <n v="3"/>
    <n v="3"/>
    <n v="3"/>
    <n v="6.0901339829476243E-2"/>
    <n v="1"/>
    <n v="2171897.4531348846"/>
  </r>
  <r>
    <x v="1"/>
    <x v="5"/>
    <s v="To eat or drink"/>
    <x v="2"/>
    <n v="2097797422.3808711"/>
    <n v="1.7000000000000001E-2"/>
    <n v="35662556.18047481"/>
    <n v="5"/>
    <n v="5"/>
    <n v="5"/>
    <n v="0.10150223304912707"/>
    <n v="1"/>
    <n v="3619829.0885581411"/>
  </r>
  <r>
    <x v="1"/>
    <x v="5"/>
    <s v="To eat or drink"/>
    <x v="3"/>
    <n v="2097797422.3808711"/>
    <n v="1.7000000000000001E-2"/>
    <n v="35662556.18047481"/>
    <n v="7"/>
    <n v="7"/>
    <n v="7"/>
    <n v="0.14210312626877789"/>
    <n v="1"/>
    <n v="5067760.7239813972"/>
  </r>
  <r>
    <x v="1"/>
    <x v="5"/>
    <s v="To eat or drink"/>
    <x v="4"/>
    <n v="2097797422.3808711"/>
    <n v="1.7000000000000001E-2"/>
    <n v="35662556.18047481"/>
    <n v="31.75"/>
    <n v="34.770000000000003"/>
    <n v="33.260000000000005"/>
    <n v="0.67519285424279341"/>
    <n v="1"/>
    <n v="24079103.097088758"/>
  </r>
  <r>
    <x v="1"/>
    <x v="5"/>
    <s v="Visit family/friends"/>
    <x v="0"/>
    <n v="2097797422.3808711"/>
    <n v="0.10375000000000002"/>
    <n v="217646482.57201543"/>
    <n v="1"/>
    <n v="1"/>
    <n v="1"/>
    <n v="2.0300446609825416E-2"/>
    <n v="1"/>
    <n v="4418320.7992694974"/>
  </r>
  <r>
    <x v="1"/>
    <x v="5"/>
    <s v="Visit family/friends"/>
    <x v="1"/>
    <n v="2097797422.3808711"/>
    <n v="0.10375000000000002"/>
    <n v="217646482.57201543"/>
    <n v="3"/>
    <n v="3"/>
    <n v="3"/>
    <n v="6.0901339829476243E-2"/>
    <n v="1"/>
    <n v="13254962.39780849"/>
  </r>
  <r>
    <x v="1"/>
    <x v="5"/>
    <s v="Visit family/friends"/>
    <x v="2"/>
    <n v="2097797422.3808711"/>
    <n v="0.10375000000000002"/>
    <n v="217646482.57201543"/>
    <n v="5"/>
    <n v="5"/>
    <n v="5"/>
    <n v="0.10150223304912707"/>
    <n v="1"/>
    <n v="22091603.996347483"/>
  </r>
  <r>
    <x v="1"/>
    <x v="5"/>
    <s v="Visit family/friends"/>
    <x v="3"/>
    <n v="2097797422.3808711"/>
    <n v="0.10375000000000002"/>
    <n v="217646482.57201543"/>
    <n v="7"/>
    <n v="7"/>
    <n v="7"/>
    <n v="0.14210312626877789"/>
    <n v="1"/>
    <n v="30928245.594886474"/>
  </r>
  <r>
    <x v="1"/>
    <x v="5"/>
    <s v="Visit family/friends"/>
    <x v="4"/>
    <n v="2097797422.3808711"/>
    <n v="0.10375000000000002"/>
    <n v="217646482.57201543"/>
    <n v="31.75"/>
    <n v="34.770000000000003"/>
    <n v="33.260000000000005"/>
    <n v="0.67519285424279341"/>
    <n v="1"/>
    <n v="146953349.78370351"/>
  </r>
  <r>
    <x v="1"/>
    <x v="5"/>
    <s v="Entertainment/leisure/sports"/>
    <x v="0"/>
    <n v="2097797422.3808711"/>
    <n v="7.0250000000000007E-2"/>
    <n v="147370268.9222562"/>
    <n v="1"/>
    <n v="1"/>
    <n v="1"/>
    <n v="2.0300446609825416E-2"/>
    <n v="1"/>
    <n v="2991682.2761318758"/>
  </r>
  <r>
    <x v="1"/>
    <x v="5"/>
    <s v="Entertainment/leisure/sports"/>
    <x v="1"/>
    <n v="2097797422.3808711"/>
    <n v="7.0250000000000007E-2"/>
    <n v="147370268.9222562"/>
    <n v="3"/>
    <n v="3"/>
    <n v="3"/>
    <n v="6.0901339829476243E-2"/>
    <n v="1"/>
    <n v="8975046.8283956274"/>
  </r>
  <r>
    <x v="1"/>
    <x v="5"/>
    <s v="Entertainment/leisure/sports"/>
    <x v="2"/>
    <n v="2097797422.3808711"/>
    <n v="7.0250000000000007E-2"/>
    <n v="147370268.9222562"/>
    <n v="5"/>
    <n v="5"/>
    <n v="5"/>
    <n v="0.10150223304912707"/>
    <n v="1"/>
    <n v="14958411.380659377"/>
  </r>
  <r>
    <x v="1"/>
    <x v="5"/>
    <s v="Entertainment/leisure/sports"/>
    <x v="3"/>
    <n v="2097797422.3808711"/>
    <n v="7.0250000000000007E-2"/>
    <n v="147370268.9222562"/>
    <n v="7"/>
    <n v="7"/>
    <n v="7"/>
    <n v="0.14210312626877789"/>
    <n v="1"/>
    <n v="20941775.932923127"/>
  </r>
  <r>
    <x v="1"/>
    <x v="5"/>
    <s v="Entertainment/leisure/sports"/>
    <x v="4"/>
    <n v="2097797422.3808711"/>
    <n v="7.0250000000000007E-2"/>
    <n v="147370268.9222562"/>
    <n v="31.75"/>
    <n v="34.770000000000003"/>
    <n v="33.260000000000005"/>
    <n v="0.67519285424279341"/>
    <n v="1"/>
    <n v="99503352.504146203"/>
  </r>
  <r>
    <x v="1"/>
    <x v="5"/>
    <s v="Personal Business"/>
    <x v="0"/>
    <n v="2097797422.3808711"/>
    <n v="9.6374999999999988E-2"/>
    <n v="202175226.58195642"/>
    <n v="1"/>
    <n v="1"/>
    <n v="1"/>
    <n v="2.0300446609825416E-2"/>
    <n v="1"/>
    <n v="4104247.3930563624"/>
  </r>
  <r>
    <x v="1"/>
    <x v="5"/>
    <s v="Personal Business"/>
    <x v="1"/>
    <n v="2097797422.3808711"/>
    <n v="9.6374999999999988E-2"/>
    <n v="202175226.58195642"/>
    <n v="3"/>
    <n v="3"/>
    <n v="3"/>
    <n v="6.0901339829476243E-2"/>
    <n v="1"/>
    <n v="12312742.179169087"/>
  </r>
  <r>
    <x v="1"/>
    <x v="5"/>
    <s v="Personal Business"/>
    <x v="2"/>
    <n v="2097797422.3808711"/>
    <n v="9.6374999999999988E-2"/>
    <n v="202175226.58195642"/>
    <n v="5"/>
    <n v="5"/>
    <n v="5"/>
    <n v="0.10150223304912707"/>
    <n v="1"/>
    <n v="20521236.965281811"/>
  </r>
  <r>
    <x v="1"/>
    <x v="5"/>
    <s v="Personal Business"/>
    <x v="3"/>
    <n v="2097797422.3808711"/>
    <n v="9.6374999999999988E-2"/>
    <n v="202175226.58195642"/>
    <n v="7"/>
    <n v="7"/>
    <n v="7"/>
    <n v="0.14210312626877789"/>
    <n v="1"/>
    <n v="28729731.751394533"/>
  </r>
  <r>
    <x v="1"/>
    <x v="5"/>
    <s v="Personal Business"/>
    <x v="4"/>
    <n v="2097797422.3808711"/>
    <n v="9.6374999999999988E-2"/>
    <n v="202175226.58195642"/>
    <n v="31.75"/>
    <n v="34.770000000000003"/>
    <n v="33.260000000000005"/>
    <n v="0.67519285424279341"/>
    <n v="1"/>
    <n v="136507268.29305464"/>
  </r>
  <r>
    <x v="1"/>
    <x v="5"/>
    <s v="Companion/Escort Journey"/>
    <x v="0"/>
    <n v="2097797422.3808711"/>
    <n v="2.2499999999999999E-2"/>
    <n v="47200442.003569596"/>
    <n v="1"/>
    <n v="1"/>
    <n v="1"/>
    <n v="2.0300446609825416E-2"/>
    <n v="1"/>
    <n v="958190.0528536255"/>
  </r>
  <r>
    <x v="1"/>
    <x v="5"/>
    <s v="Companion/Escort Journey"/>
    <x v="1"/>
    <n v="2097797422.3808711"/>
    <n v="2.2499999999999999E-2"/>
    <n v="47200442.003569596"/>
    <n v="3"/>
    <n v="3"/>
    <n v="3"/>
    <n v="6.0901339829476243E-2"/>
    <n v="1"/>
    <n v="2874570.1585608763"/>
  </r>
  <r>
    <x v="1"/>
    <x v="5"/>
    <s v="Companion/Escort Journey"/>
    <x v="2"/>
    <n v="2097797422.3808711"/>
    <n v="2.2499999999999999E-2"/>
    <n v="47200442.003569596"/>
    <n v="5"/>
    <n v="5"/>
    <n v="5"/>
    <n v="0.10150223304912707"/>
    <n v="1"/>
    <n v="4790950.2642681273"/>
  </r>
  <r>
    <x v="1"/>
    <x v="5"/>
    <s v="Companion/Escort Journey"/>
    <x v="3"/>
    <n v="2097797422.3808711"/>
    <n v="2.2499999999999999E-2"/>
    <n v="47200442.003569596"/>
    <n v="7"/>
    <n v="7"/>
    <n v="7"/>
    <n v="0.14210312626877789"/>
    <n v="1"/>
    <n v="6707330.3699753778"/>
  </r>
  <r>
    <x v="1"/>
    <x v="5"/>
    <s v="Companion/Escort Journey"/>
    <x v="4"/>
    <n v="2097797422.3808711"/>
    <n v="2.2499999999999999E-2"/>
    <n v="47200442.003569596"/>
    <n v="31.75"/>
    <n v="34.770000000000003"/>
    <n v="33.260000000000005"/>
    <n v="0.67519285424279341"/>
    <n v="1"/>
    <n v="31869401.157911591"/>
  </r>
  <r>
    <x v="1"/>
    <x v="5"/>
    <s v="Other"/>
    <x v="0"/>
    <n v="2097797422.3808711"/>
    <n v="9.1250000000000012E-2"/>
    <n v="191424014.79225451"/>
    <n v="1"/>
    <n v="1"/>
    <n v="1"/>
    <n v="2.0300446609825416E-2"/>
    <n v="1"/>
    <n v="3885992.9921285934"/>
  </r>
  <r>
    <x v="1"/>
    <x v="5"/>
    <s v="Other"/>
    <x v="1"/>
    <n v="2097797422.3808711"/>
    <n v="9.1250000000000012E-2"/>
    <n v="191424014.79225451"/>
    <n v="3"/>
    <n v="3"/>
    <n v="3"/>
    <n v="6.0901339829476243E-2"/>
    <n v="1"/>
    <n v="11657978.97638578"/>
  </r>
  <r>
    <x v="1"/>
    <x v="5"/>
    <s v="Other"/>
    <x v="2"/>
    <n v="2097797422.3808711"/>
    <n v="9.1250000000000012E-2"/>
    <n v="191424014.79225451"/>
    <n v="5"/>
    <n v="5"/>
    <n v="5"/>
    <n v="0.10150223304912707"/>
    <n v="1"/>
    <n v="19429964.960642964"/>
  </r>
  <r>
    <x v="1"/>
    <x v="5"/>
    <s v="Other"/>
    <x v="3"/>
    <n v="2097797422.3808711"/>
    <n v="9.1250000000000012E-2"/>
    <n v="191424014.79225451"/>
    <n v="7"/>
    <n v="7"/>
    <n v="7"/>
    <n v="0.14210312626877789"/>
    <n v="1"/>
    <n v="27201950.944900148"/>
  </r>
  <r>
    <x v="1"/>
    <x v="5"/>
    <s v="Other"/>
    <x v="4"/>
    <n v="2097797422.3808711"/>
    <n v="9.1250000000000012E-2"/>
    <n v="191424014.79225451"/>
    <n v="31.75"/>
    <n v="34.770000000000003"/>
    <n v="33.260000000000005"/>
    <n v="0.67519285424279341"/>
    <n v="1"/>
    <n v="129248126.91819702"/>
  </r>
  <r>
    <x v="1"/>
    <x v="6"/>
    <s v="Work"/>
    <x v="0"/>
    <n v="200431253.53778797"/>
    <n v="0.28824999999999995"/>
    <n v="57774308.832267374"/>
    <n v="1"/>
    <n v="1"/>
    <n v="1"/>
    <n v="2.0300446609825416E-2"/>
    <n v="1"/>
    <n v="1172844.2718690087"/>
  </r>
  <r>
    <x v="1"/>
    <x v="6"/>
    <s v="Work"/>
    <x v="1"/>
    <n v="200431253.53778797"/>
    <n v="0.28824999999999995"/>
    <n v="57774308.832267374"/>
    <n v="3"/>
    <n v="3"/>
    <n v="3"/>
    <n v="6.0901339829476243E-2"/>
    <n v="1"/>
    <n v="3518532.8156070262"/>
  </r>
  <r>
    <x v="1"/>
    <x v="6"/>
    <s v="Work"/>
    <x v="2"/>
    <n v="200431253.53778797"/>
    <n v="0.28824999999999995"/>
    <n v="57774308.832267374"/>
    <n v="5"/>
    <n v="5"/>
    <n v="5"/>
    <n v="0.10150223304912707"/>
    <n v="1"/>
    <n v="5864221.359345044"/>
  </r>
  <r>
    <x v="1"/>
    <x v="6"/>
    <s v="Work"/>
    <x v="3"/>
    <n v="200431253.53778797"/>
    <n v="0.28824999999999995"/>
    <n v="57774308.832267374"/>
    <n v="7"/>
    <n v="7"/>
    <n v="7"/>
    <n v="0.14210312626877789"/>
    <n v="1"/>
    <n v="8209909.9030830599"/>
  </r>
  <r>
    <x v="1"/>
    <x v="6"/>
    <s v="Work"/>
    <x v="4"/>
    <n v="200431253.53778797"/>
    <n v="0.28824999999999995"/>
    <n v="57774308.832267374"/>
    <n v="31.75"/>
    <n v="34.770000000000003"/>
    <n v="33.260000000000005"/>
    <n v="0.67519285424279341"/>
    <n v="1"/>
    <n v="39008800.482363239"/>
  </r>
  <r>
    <x v="1"/>
    <x v="6"/>
    <s v="Education"/>
    <x v="0"/>
    <n v="200431253.53778797"/>
    <n v="0.12437499999999999"/>
    <n v="24928637.158762377"/>
    <n v="1"/>
    <n v="1"/>
    <n v="1"/>
    <n v="2.0300446609825416E-2"/>
    <n v="1"/>
    <n v="506062.46769716556"/>
  </r>
  <r>
    <x v="1"/>
    <x v="6"/>
    <s v="Education"/>
    <x v="1"/>
    <n v="200431253.53778797"/>
    <n v="0.12437499999999999"/>
    <n v="24928637.158762377"/>
    <n v="3"/>
    <n v="3"/>
    <n v="3"/>
    <n v="6.0901339829476243E-2"/>
    <n v="1"/>
    <n v="1518187.4030914966"/>
  </r>
  <r>
    <x v="1"/>
    <x v="6"/>
    <s v="Education"/>
    <x v="2"/>
    <n v="200431253.53778797"/>
    <n v="0.12437499999999999"/>
    <n v="24928637.158762377"/>
    <n v="5"/>
    <n v="5"/>
    <n v="5"/>
    <n v="0.10150223304912707"/>
    <n v="1"/>
    <n v="2530312.3384858277"/>
  </r>
  <r>
    <x v="1"/>
    <x v="6"/>
    <s v="Education"/>
    <x v="3"/>
    <n v="200431253.53778797"/>
    <n v="0.12437499999999999"/>
    <n v="24928637.158762377"/>
    <n v="7"/>
    <n v="7"/>
    <n v="7"/>
    <n v="0.14210312626877789"/>
    <n v="1"/>
    <n v="3542437.2738801586"/>
  </r>
  <r>
    <x v="1"/>
    <x v="6"/>
    <s v="Education"/>
    <x v="4"/>
    <n v="200431253.53778797"/>
    <n v="0.12437499999999999"/>
    <n v="24928637.158762377"/>
    <n v="31.75"/>
    <n v="34.770000000000003"/>
    <n v="33.260000000000005"/>
    <n v="0.67519285424279341"/>
    <n v="1"/>
    <n v="16831637.67560773"/>
  </r>
  <r>
    <x v="1"/>
    <x v="6"/>
    <s v="Shopping"/>
    <x v="0"/>
    <n v="200431253.53778797"/>
    <n v="0.18625"/>
    <n v="37330320.971413009"/>
    <n v="1"/>
    <n v="1"/>
    <n v="1"/>
    <n v="2.0300446609825416E-2"/>
    <n v="1"/>
    <n v="757822.18780781585"/>
  </r>
  <r>
    <x v="1"/>
    <x v="6"/>
    <s v="Shopping"/>
    <x v="1"/>
    <n v="200431253.53778797"/>
    <n v="0.18625"/>
    <n v="37330320.971413009"/>
    <n v="3"/>
    <n v="3"/>
    <n v="3"/>
    <n v="6.0901339829476243E-2"/>
    <n v="1"/>
    <n v="2273466.5634234473"/>
  </r>
  <r>
    <x v="1"/>
    <x v="6"/>
    <s v="Shopping"/>
    <x v="2"/>
    <n v="200431253.53778797"/>
    <n v="0.18625"/>
    <n v="37330320.971413009"/>
    <n v="5"/>
    <n v="5"/>
    <n v="5"/>
    <n v="0.10150223304912707"/>
    <n v="1"/>
    <n v="3789110.939039079"/>
  </r>
  <r>
    <x v="1"/>
    <x v="6"/>
    <s v="Shopping"/>
    <x v="3"/>
    <n v="200431253.53778797"/>
    <n v="0.18625"/>
    <n v="37330320.971413009"/>
    <n v="7"/>
    <n v="7"/>
    <n v="7"/>
    <n v="0.14210312626877789"/>
    <n v="1"/>
    <n v="5304755.3146547098"/>
  </r>
  <r>
    <x v="1"/>
    <x v="6"/>
    <s v="Shopping"/>
    <x v="4"/>
    <n v="200431253.53778797"/>
    <n v="0.18625"/>
    <n v="37330320.971413009"/>
    <n v="31.75"/>
    <n v="34.770000000000003"/>
    <n v="33.260000000000005"/>
    <n v="0.67519285424279341"/>
    <n v="1"/>
    <n v="25205165.966487959"/>
  </r>
  <r>
    <x v="1"/>
    <x v="6"/>
    <s v="To eat or drink"/>
    <x v="0"/>
    <n v="200431253.53778797"/>
    <n v="1.7000000000000001E-2"/>
    <n v="3407331.310142396"/>
    <n v="1"/>
    <n v="1"/>
    <n v="1"/>
    <n v="2.0300446609825416E-2"/>
    <n v="1"/>
    <n v="69170.347343532194"/>
  </r>
  <r>
    <x v="1"/>
    <x v="6"/>
    <s v="To eat or drink"/>
    <x v="1"/>
    <n v="200431253.53778797"/>
    <n v="1.7000000000000001E-2"/>
    <n v="3407331.310142396"/>
    <n v="3"/>
    <n v="3"/>
    <n v="3"/>
    <n v="6.0901339829476243E-2"/>
    <n v="1"/>
    <n v="207511.04203059658"/>
  </r>
  <r>
    <x v="1"/>
    <x v="6"/>
    <s v="To eat or drink"/>
    <x v="2"/>
    <n v="200431253.53778797"/>
    <n v="1.7000000000000001E-2"/>
    <n v="3407331.310142396"/>
    <n v="5"/>
    <n v="5"/>
    <n v="5"/>
    <n v="0.10150223304912707"/>
    <n v="1"/>
    <n v="345851.73671766097"/>
  </r>
  <r>
    <x v="1"/>
    <x v="6"/>
    <s v="To eat or drink"/>
    <x v="3"/>
    <n v="200431253.53778797"/>
    <n v="1.7000000000000001E-2"/>
    <n v="3407331.310142396"/>
    <n v="7"/>
    <n v="7"/>
    <n v="7"/>
    <n v="0.14210312626877789"/>
    <n v="1"/>
    <n v="484192.4314047253"/>
  </r>
  <r>
    <x v="1"/>
    <x v="6"/>
    <s v="To eat or drink"/>
    <x v="4"/>
    <n v="200431253.53778797"/>
    <n v="1.7000000000000001E-2"/>
    <n v="3407331.310142396"/>
    <n v="31.75"/>
    <n v="34.770000000000003"/>
    <n v="33.260000000000005"/>
    <n v="0.67519285424279341"/>
    <n v="1"/>
    <n v="2300605.7526458809"/>
  </r>
  <r>
    <x v="1"/>
    <x v="6"/>
    <s v="Visit family/friends"/>
    <x v="0"/>
    <n v="200431253.53778797"/>
    <n v="0.10375000000000002"/>
    <n v="20794742.554545507"/>
    <n v="1"/>
    <n v="1"/>
    <n v="1"/>
    <n v="2.0300446609825416E-2"/>
    <n v="1"/>
    <n v="422142.56099361565"/>
  </r>
  <r>
    <x v="1"/>
    <x v="6"/>
    <s v="Visit family/friends"/>
    <x v="1"/>
    <n v="200431253.53778797"/>
    <n v="0.10375000000000002"/>
    <n v="20794742.554545507"/>
    <n v="3"/>
    <n v="3"/>
    <n v="3"/>
    <n v="6.0901339829476243E-2"/>
    <n v="1"/>
    <n v="1266427.6829808468"/>
  </r>
  <r>
    <x v="1"/>
    <x v="6"/>
    <s v="Visit family/friends"/>
    <x v="2"/>
    <n v="200431253.53778797"/>
    <n v="0.10375000000000002"/>
    <n v="20794742.554545507"/>
    <n v="5"/>
    <n v="5"/>
    <n v="5"/>
    <n v="0.10150223304912707"/>
    <n v="1"/>
    <n v="2110712.8049680782"/>
  </r>
  <r>
    <x v="1"/>
    <x v="6"/>
    <s v="Visit family/friends"/>
    <x v="3"/>
    <n v="200431253.53778797"/>
    <n v="0.10375000000000002"/>
    <n v="20794742.554545507"/>
    <n v="7"/>
    <n v="7"/>
    <n v="7"/>
    <n v="0.14210312626877789"/>
    <n v="1"/>
    <n v="2954997.9269553088"/>
  </r>
  <r>
    <x v="1"/>
    <x v="6"/>
    <s v="Visit family/friends"/>
    <x v="4"/>
    <n v="200431253.53778797"/>
    <n v="0.10375000000000002"/>
    <n v="20794742.554545507"/>
    <n v="31.75"/>
    <n v="34.770000000000003"/>
    <n v="33.260000000000005"/>
    <n v="0.67519285424279341"/>
    <n v="1"/>
    <n v="14040461.578647658"/>
  </r>
  <r>
    <x v="1"/>
    <x v="6"/>
    <s v="Entertainment/leisure/sports"/>
    <x v="0"/>
    <n v="200431253.53778797"/>
    <n v="7.0250000000000007E-2"/>
    <n v="14080295.561029607"/>
    <n v="1"/>
    <n v="1"/>
    <n v="1"/>
    <n v="2.0300446609825416E-2"/>
    <n v="1"/>
    <n v="285836.28828724334"/>
  </r>
  <r>
    <x v="1"/>
    <x v="6"/>
    <s v="Entertainment/leisure/sports"/>
    <x v="1"/>
    <n v="200431253.53778797"/>
    <n v="7.0250000000000007E-2"/>
    <n v="14080295.561029607"/>
    <n v="3"/>
    <n v="3"/>
    <n v="3"/>
    <n v="6.0901339829476243E-2"/>
    <n v="1"/>
    <n v="857508.86486173002"/>
  </r>
  <r>
    <x v="1"/>
    <x v="6"/>
    <s v="Entertainment/leisure/sports"/>
    <x v="2"/>
    <n v="200431253.53778797"/>
    <n v="7.0250000000000007E-2"/>
    <n v="14080295.561029607"/>
    <n v="5"/>
    <n v="5"/>
    <n v="5"/>
    <n v="0.10150223304912707"/>
    <n v="1"/>
    <n v="1429181.4414362167"/>
  </r>
  <r>
    <x v="1"/>
    <x v="6"/>
    <s v="Entertainment/leisure/sports"/>
    <x v="3"/>
    <n v="200431253.53778797"/>
    <n v="7.0250000000000007E-2"/>
    <n v="14080295.561029607"/>
    <n v="7"/>
    <n v="7"/>
    <n v="7"/>
    <n v="0.14210312626877789"/>
    <n v="1"/>
    <n v="2000854.0180107031"/>
  </r>
  <r>
    <x v="1"/>
    <x v="6"/>
    <s v="Entertainment/leisure/sports"/>
    <x v="4"/>
    <n v="200431253.53778797"/>
    <n v="7.0250000000000007E-2"/>
    <n v="14080295.561029607"/>
    <n v="31.75"/>
    <n v="34.770000000000003"/>
    <n v="33.260000000000005"/>
    <n v="0.67519285424279341"/>
    <n v="1"/>
    <n v="9506914.948433714"/>
  </r>
  <r>
    <x v="1"/>
    <x v="6"/>
    <s v="Personal Business"/>
    <x v="0"/>
    <n v="200431253.53778797"/>
    <n v="9.6374999999999988E-2"/>
    <n v="19316562.059704315"/>
    <n v="1"/>
    <n v="1"/>
    <n v="1"/>
    <n v="2.0300446609825416E-2"/>
    <n v="1"/>
    <n v="392134.83677840669"/>
  </r>
  <r>
    <x v="1"/>
    <x v="6"/>
    <s v="Personal Business"/>
    <x v="1"/>
    <n v="200431253.53778797"/>
    <n v="9.6374999999999988E-2"/>
    <n v="19316562.059704315"/>
    <n v="3"/>
    <n v="3"/>
    <n v="3"/>
    <n v="6.0901339829476243E-2"/>
    <n v="1"/>
    <n v="1176404.51033522"/>
  </r>
  <r>
    <x v="1"/>
    <x v="6"/>
    <s v="Personal Business"/>
    <x v="2"/>
    <n v="200431253.53778797"/>
    <n v="9.6374999999999988E-2"/>
    <n v="19316562.059704315"/>
    <n v="5"/>
    <n v="5"/>
    <n v="5"/>
    <n v="0.10150223304912707"/>
    <n v="1"/>
    <n v="1960674.1838920335"/>
  </r>
  <r>
    <x v="1"/>
    <x v="6"/>
    <s v="Personal Business"/>
    <x v="3"/>
    <n v="200431253.53778797"/>
    <n v="9.6374999999999988E-2"/>
    <n v="19316562.059704315"/>
    <n v="7"/>
    <n v="7"/>
    <n v="7"/>
    <n v="0.14210312626877789"/>
    <n v="1"/>
    <n v="2744943.8574488466"/>
  </r>
  <r>
    <x v="1"/>
    <x v="6"/>
    <s v="Personal Business"/>
    <x v="4"/>
    <n v="200431253.53778797"/>
    <n v="9.6374999999999988E-2"/>
    <n v="19316562.059704315"/>
    <n v="31.75"/>
    <n v="34.770000000000003"/>
    <n v="33.260000000000005"/>
    <n v="0.67519285424279341"/>
    <n v="1"/>
    <n v="13042404.671249809"/>
  </r>
  <r>
    <x v="1"/>
    <x v="6"/>
    <s v="Companion/Escort Journey"/>
    <x v="0"/>
    <n v="200431253.53778797"/>
    <n v="2.2499999999999999E-2"/>
    <n v="4509703.2046002289"/>
    <n v="1"/>
    <n v="1"/>
    <n v="1"/>
    <n v="2.0300446609825416E-2"/>
    <n v="1"/>
    <n v="91548.989131145529"/>
  </r>
  <r>
    <x v="1"/>
    <x v="6"/>
    <s v="Companion/Escort Journey"/>
    <x v="1"/>
    <n v="200431253.53778797"/>
    <n v="2.2499999999999999E-2"/>
    <n v="4509703.2046002289"/>
    <n v="3"/>
    <n v="3"/>
    <n v="3"/>
    <n v="6.0901339829476243E-2"/>
    <n v="1"/>
    <n v="274646.96739343659"/>
  </r>
  <r>
    <x v="1"/>
    <x v="6"/>
    <s v="Companion/Escort Journey"/>
    <x v="2"/>
    <n v="200431253.53778797"/>
    <n v="2.2499999999999999E-2"/>
    <n v="4509703.2046002289"/>
    <n v="5"/>
    <n v="5"/>
    <n v="5"/>
    <n v="0.10150223304912707"/>
    <n v="1"/>
    <n v="457744.94565572764"/>
  </r>
  <r>
    <x v="1"/>
    <x v="6"/>
    <s v="Companion/Escort Journey"/>
    <x v="3"/>
    <n v="200431253.53778797"/>
    <n v="2.2499999999999999E-2"/>
    <n v="4509703.2046002289"/>
    <n v="7"/>
    <n v="7"/>
    <n v="7"/>
    <n v="0.14210312626877789"/>
    <n v="1"/>
    <n v="640842.92391801858"/>
  </r>
  <r>
    <x v="1"/>
    <x v="6"/>
    <s v="Companion/Escort Journey"/>
    <x v="4"/>
    <n v="200431253.53778797"/>
    <n v="2.2499999999999999E-2"/>
    <n v="4509703.2046002289"/>
    <n v="31.75"/>
    <n v="34.770000000000003"/>
    <n v="33.260000000000005"/>
    <n v="0.67519285424279341"/>
    <n v="1"/>
    <n v="3044919.3785019005"/>
  </r>
  <r>
    <x v="1"/>
    <x v="6"/>
    <s v="Other"/>
    <x v="0"/>
    <n v="200431253.53778797"/>
    <n v="9.1250000000000012E-2"/>
    <n v="18289351.885323156"/>
    <n v="1"/>
    <n v="1"/>
    <n v="1"/>
    <n v="2.0300446609825416E-2"/>
    <n v="1"/>
    <n v="371282.01147631253"/>
  </r>
  <r>
    <x v="1"/>
    <x v="6"/>
    <s v="Other"/>
    <x v="1"/>
    <n v="200431253.53778797"/>
    <n v="9.1250000000000012E-2"/>
    <n v="18289351.885323156"/>
    <n v="3"/>
    <n v="3"/>
    <n v="3"/>
    <n v="6.0901339829476243E-2"/>
    <n v="1"/>
    <n v="1113846.0344289376"/>
  </r>
  <r>
    <x v="1"/>
    <x v="6"/>
    <s v="Other"/>
    <x v="2"/>
    <n v="200431253.53778797"/>
    <n v="9.1250000000000012E-2"/>
    <n v="18289351.885323156"/>
    <n v="5"/>
    <n v="5"/>
    <n v="5"/>
    <n v="0.10150223304912707"/>
    <n v="1"/>
    <n v="1856410.0573815627"/>
  </r>
  <r>
    <x v="1"/>
    <x v="6"/>
    <s v="Other"/>
    <x v="3"/>
    <n v="200431253.53778797"/>
    <n v="9.1250000000000012E-2"/>
    <n v="18289351.885323156"/>
    <n v="7"/>
    <n v="7"/>
    <n v="7"/>
    <n v="0.14210312626877789"/>
    <n v="1"/>
    <n v="2598974.0803341875"/>
  </r>
  <r>
    <x v="1"/>
    <x v="6"/>
    <s v="Other"/>
    <x v="4"/>
    <n v="200431253.53778797"/>
    <n v="9.1250000000000012E-2"/>
    <n v="18289351.885323156"/>
    <n v="31.75"/>
    <n v="34.770000000000003"/>
    <n v="33.260000000000005"/>
    <n v="0.67519285424279341"/>
    <n v="1"/>
    <n v="12348839.701702157"/>
  </r>
  <r>
    <x v="1"/>
    <x v="7"/>
    <s v="Work"/>
    <x v="0"/>
    <n v="3044464508.67207"/>
    <n v="0.52124999999999999"/>
    <n v="1586927125.1453164"/>
    <n v="1"/>
    <n v="1"/>
    <n v="1"/>
    <n v="2.0300446609825416E-2"/>
    <n v="1"/>
    <n v="32215329.377696231"/>
  </r>
  <r>
    <x v="1"/>
    <x v="7"/>
    <s v="Work"/>
    <x v="1"/>
    <n v="3044464508.67207"/>
    <n v="0.52124999999999999"/>
    <n v="1586927125.1453164"/>
    <n v="3"/>
    <n v="3"/>
    <n v="3"/>
    <n v="6.0901339829476243E-2"/>
    <n v="1"/>
    <n v="96645988.133088693"/>
  </r>
  <r>
    <x v="1"/>
    <x v="7"/>
    <s v="Work"/>
    <x v="2"/>
    <n v="3044464508.67207"/>
    <n v="0.52124999999999999"/>
    <n v="1586927125.1453164"/>
    <n v="5"/>
    <n v="5"/>
    <n v="5"/>
    <n v="0.10150223304912707"/>
    <n v="1"/>
    <n v="161076646.88848114"/>
  </r>
  <r>
    <x v="1"/>
    <x v="7"/>
    <s v="Work"/>
    <x v="3"/>
    <n v="3044464508.67207"/>
    <n v="0.52124999999999999"/>
    <n v="1586927125.1453164"/>
    <n v="7"/>
    <n v="7"/>
    <n v="7"/>
    <n v="0.14210312626877789"/>
    <n v="1"/>
    <n v="225507305.64387357"/>
  </r>
  <r>
    <x v="1"/>
    <x v="7"/>
    <s v="Work"/>
    <x v="4"/>
    <n v="3044464508.67207"/>
    <n v="0.52124999999999999"/>
    <n v="1586927125.1453164"/>
    <n v="31.75"/>
    <n v="34.770000000000003"/>
    <n v="33.260000000000005"/>
    <n v="0.67519285424279341"/>
    <n v="1"/>
    <n v="1071481855.1021768"/>
  </r>
  <r>
    <x v="1"/>
    <x v="7"/>
    <s v="Education"/>
    <x v="0"/>
    <n v="3044464508.67207"/>
    <n v="1.7250000000000001E-2"/>
    <n v="52517012.774593212"/>
    <n v="1"/>
    <n v="1"/>
    <n v="1"/>
    <n v="2.0300446609825416E-2"/>
    <n v="1"/>
    <n v="1066118.8139381488"/>
  </r>
  <r>
    <x v="1"/>
    <x v="7"/>
    <s v="Education"/>
    <x v="1"/>
    <n v="3044464508.67207"/>
    <n v="1.7250000000000001E-2"/>
    <n v="52517012.774593212"/>
    <n v="3"/>
    <n v="3"/>
    <n v="3"/>
    <n v="6.0901339829476243E-2"/>
    <n v="1"/>
    <n v="3198356.4418144464"/>
  </r>
  <r>
    <x v="1"/>
    <x v="7"/>
    <s v="Education"/>
    <x v="2"/>
    <n v="3044464508.67207"/>
    <n v="1.7250000000000001E-2"/>
    <n v="52517012.774593212"/>
    <n v="5"/>
    <n v="5"/>
    <n v="5"/>
    <n v="0.10150223304912707"/>
    <n v="1"/>
    <n v="5330594.0696907435"/>
  </r>
  <r>
    <x v="1"/>
    <x v="7"/>
    <s v="Education"/>
    <x v="3"/>
    <n v="3044464508.67207"/>
    <n v="1.7250000000000001E-2"/>
    <n v="52517012.774593212"/>
    <n v="7"/>
    <n v="7"/>
    <n v="7"/>
    <n v="0.14210312626877789"/>
    <n v="1"/>
    <n v="7462831.6975670401"/>
  </r>
  <r>
    <x v="1"/>
    <x v="7"/>
    <s v="Education"/>
    <x v="4"/>
    <n v="3044464508.67207"/>
    <n v="1.7250000000000001E-2"/>
    <n v="52517012.774593212"/>
    <n v="31.75"/>
    <n v="34.770000000000003"/>
    <n v="33.260000000000005"/>
    <n v="0.67519285424279341"/>
    <n v="1"/>
    <n v="35459111.751582831"/>
  </r>
  <r>
    <x v="1"/>
    <x v="7"/>
    <s v="Shopping"/>
    <x v="0"/>
    <n v="3044464508.67207"/>
    <n v="9.5499999999999988E-2"/>
    <n v="290746360.57818264"/>
    <n v="1"/>
    <n v="1"/>
    <n v="1"/>
    <n v="2.0300446609825416E-2"/>
    <n v="1"/>
    <n v="5902280.9699184457"/>
  </r>
  <r>
    <x v="1"/>
    <x v="7"/>
    <s v="Shopping"/>
    <x v="1"/>
    <n v="3044464508.67207"/>
    <n v="9.5499999999999988E-2"/>
    <n v="290746360.57818264"/>
    <n v="3"/>
    <n v="3"/>
    <n v="3"/>
    <n v="6.0901339829476243E-2"/>
    <n v="1"/>
    <n v="17706842.909755334"/>
  </r>
  <r>
    <x v="1"/>
    <x v="7"/>
    <s v="Shopping"/>
    <x v="2"/>
    <n v="3044464508.67207"/>
    <n v="9.5499999999999988E-2"/>
    <n v="290746360.57818264"/>
    <n v="5"/>
    <n v="5"/>
    <n v="5"/>
    <n v="0.10150223304912707"/>
    <n v="1"/>
    <n v="29511404.849592227"/>
  </r>
  <r>
    <x v="1"/>
    <x v="7"/>
    <s v="Shopping"/>
    <x v="3"/>
    <n v="3044464508.67207"/>
    <n v="9.5499999999999988E-2"/>
    <n v="290746360.57818264"/>
    <n v="7"/>
    <n v="7"/>
    <n v="7"/>
    <n v="0.14210312626877789"/>
    <n v="1"/>
    <n v="41315966.789429113"/>
  </r>
  <r>
    <x v="1"/>
    <x v="7"/>
    <s v="Shopping"/>
    <x v="4"/>
    <n v="3044464508.67207"/>
    <n v="9.5499999999999988E-2"/>
    <n v="290746360.57818264"/>
    <n v="31.75"/>
    <n v="34.770000000000003"/>
    <n v="33.260000000000005"/>
    <n v="0.67519285424279341"/>
    <n v="1"/>
    <n v="196309865.05948752"/>
  </r>
  <r>
    <x v="1"/>
    <x v="7"/>
    <s v="To eat or drink"/>
    <x v="0"/>
    <n v="3044464508.67207"/>
    <n v="3.3750000000000002E-2"/>
    <n v="102750677.16768236"/>
    <n v="1"/>
    <n v="1"/>
    <n v="1"/>
    <n v="2.0300446609825416E-2"/>
    <n v="1"/>
    <n v="2085884.6359659431"/>
  </r>
  <r>
    <x v="1"/>
    <x v="7"/>
    <s v="To eat or drink"/>
    <x v="1"/>
    <n v="3044464508.67207"/>
    <n v="3.3750000000000002E-2"/>
    <n v="102750677.16768236"/>
    <n v="3"/>
    <n v="3"/>
    <n v="3"/>
    <n v="6.0901339829476243E-2"/>
    <n v="1"/>
    <n v="6257653.9078978291"/>
  </r>
  <r>
    <x v="1"/>
    <x v="7"/>
    <s v="To eat or drink"/>
    <x v="2"/>
    <n v="3044464508.67207"/>
    <n v="3.3750000000000002E-2"/>
    <n v="102750677.16768236"/>
    <n v="5"/>
    <n v="5"/>
    <n v="5"/>
    <n v="0.10150223304912707"/>
    <n v="1"/>
    <n v="10429423.179829715"/>
  </r>
  <r>
    <x v="1"/>
    <x v="7"/>
    <s v="To eat or drink"/>
    <x v="3"/>
    <n v="3044464508.67207"/>
    <n v="3.3750000000000002E-2"/>
    <n v="102750677.16768236"/>
    <n v="7"/>
    <n v="7"/>
    <n v="7"/>
    <n v="0.14210312626877789"/>
    <n v="1"/>
    <n v="14601192.4517616"/>
  </r>
  <r>
    <x v="1"/>
    <x v="7"/>
    <s v="To eat or drink"/>
    <x v="4"/>
    <n v="3044464508.67207"/>
    <n v="3.3750000000000002E-2"/>
    <n v="102750677.16768236"/>
    <n v="31.75"/>
    <n v="34.770000000000003"/>
    <n v="33.260000000000005"/>
    <n v="0.67519285424279341"/>
    <n v="1"/>
    <n v="69376522.992227286"/>
  </r>
  <r>
    <x v="1"/>
    <x v="7"/>
    <s v="Visit family/friends"/>
    <x v="0"/>
    <n v="3044464508.67207"/>
    <n v="6.6500000000000004E-2"/>
    <n v="202456889.82669267"/>
    <n v="1"/>
    <n v="1"/>
    <n v="1"/>
    <n v="2.0300446609825416E-2"/>
    <n v="1"/>
    <n v="4109965.282718081"/>
  </r>
  <r>
    <x v="1"/>
    <x v="7"/>
    <s v="Visit family/friends"/>
    <x v="1"/>
    <n v="3044464508.67207"/>
    <n v="6.6500000000000004E-2"/>
    <n v="202456889.82669267"/>
    <n v="3"/>
    <n v="3"/>
    <n v="3"/>
    <n v="6.0901339829476243E-2"/>
    <n v="1"/>
    <n v="12329895.848154241"/>
  </r>
  <r>
    <x v="1"/>
    <x v="7"/>
    <s v="Visit family/friends"/>
    <x v="2"/>
    <n v="3044464508.67207"/>
    <n v="6.6500000000000004E-2"/>
    <n v="202456889.82669267"/>
    <n v="5"/>
    <n v="5"/>
    <n v="5"/>
    <n v="0.10150223304912707"/>
    <n v="1"/>
    <n v="20549826.413590405"/>
  </r>
  <r>
    <x v="1"/>
    <x v="7"/>
    <s v="Visit family/friends"/>
    <x v="3"/>
    <n v="3044464508.67207"/>
    <n v="6.6500000000000004E-2"/>
    <n v="202456889.82669267"/>
    <n v="7"/>
    <n v="7"/>
    <n v="7"/>
    <n v="0.14210312626877789"/>
    <n v="1"/>
    <n v="28769756.97902656"/>
  </r>
  <r>
    <x v="1"/>
    <x v="7"/>
    <s v="Visit family/friends"/>
    <x v="4"/>
    <n v="3044464508.67207"/>
    <n v="6.6500000000000004E-2"/>
    <n v="202456889.82669267"/>
    <n v="31.75"/>
    <n v="34.770000000000003"/>
    <n v="33.260000000000005"/>
    <n v="0.67519285424279341"/>
    <n v="1"/>
    <n v="136697445.30320337"/>
  </r>
  <r>
    <x v="1"/>
    <x v="7"/>
    <s v="Entertainment/leisure/sports"/>
    <x v="0"/>
    <n v="3044464508.67207"/>
    <n v="6.8500000000000005E-2"/>
    <n v="208545818.84403682"/>
    <n v="1"/>
    <n v="1"/>
    <n v="1"/>
    <n v="2.0300446609825416E-2"/>
    <n v="1"/>
    <n v="4233573.2611456923"/>
  </r>
  <r>
    <x v="1"/>
    <x v="7"/>
    <s v="Entertainment/leisure/sports"/>
    <x v="1"/>
    <n v="3044464508.67207"/>
    <n v="6.8500000000000005E-2"/>
    <n v="208545818.84403682"/>
    <n v="3"/>
    <n v="3"/>
    <n v="3"/>
    <n v="6.0901339829476243E-2"/>
    <n v="1"/>
    <n v="12700719.783437077"/>
  </r>
  <r>
    <x v="1"/>
    <x v="7"/>
    <s v="Entertainment/leisure/sports"/>
    <x v="2"/>
    <n v="3044464508.67207"/>
    <n v="6.8500000000000005E-2"/>
    <n v="208545818.84403682"/>
    <n v="5"/>
    <n v="5"/>
    <n v="5"/>
    <n v="0.10150223304912707"/>
    <n v="1"/>
    <n v="21167866.305728462"/>
  </r>
  <r>
    <x v="1"/>
    <x v="7"/>
    <s v="Entertainment/leisure/sports"/>
    <x v="3"/>
    <n v="3044464508.67207"/>
    <n v="6.8500000000000005E-2"/>
    <n v="208545818.84403682"/>
    <n v="7"/>
    <n v="7"/>
    <n v="7"/>
    <n v="0.14210312626877789"/>
    <n v="1"/>
    <n v="29635012.828019843"/>
  </r>
  <r>
    <x v="1"/>
    <x v="7"/>
    <s v="Entertainment/leisure/sports"/>
    <x v="4"/>
    <n v="3044464508.67207"/>
    <n v="6.8500000000000005E-2"/>
    <n v="208545818.84403682"/>
    <n v="31.75"/>
    <n v="34.770000000000003"/>
    <n v="33.260000000000005"/>
    <n v="0.67519285424279341"/>
    <n v="1"/>
    <n v="140808646.66570574"/>
  </r>
  <r>
    <x v="1"/>
    <x v="7"/>
    <s v="Personal Business"/>
    <x v="0"/>
    <n v="3044464508.67207"/>
    <n v="8.8250000000000009E-2"/>
    <n v="268673992.89031023"/>
    <n v="1"/>
    <n v="1"/>
    <n v="1"/>
    <n v="2.0300446609825416E-2"/>
    <n v="1"/>
    <n v="5454202.0481183557"/>
  </r>
  <r>
    <x v="1"/>
    <x v="7"/>
    <s v="Personal Business"/>
    <x v="1"/>
    <n v="3044464508.67207"/>
    <n v="8.8250000000000009E-2"/>
    <n v="268673992.89031023"/>
    <n v="3"/>
    <n v="3"/>
    <n v="3"/>
    <n v="6.0901339829476243E-2"/>
    <n v="1"/>
    <n v="16362606.144355068"/>
  </r>
  <r>
    <x v="1"/>
    <x v="7"/>
    <s v="Personal Business"/>
    <x v="2"/>
    <n v="3044464508.67207"/>
    <n v="8.8250000000000009E-2"/>
    <n v="268673992.89031023"/>
    <n v="5"/>
    <n v="5"/>
    <n v="5"/>
    <n v="0.10150223304912707"/>
    <n v="1"/>
    <n v="27271010.240591779"/>
  </r>
  <r>
    <x v="1"/>
    <x v="7"/>
    <s v="Personal Business"/>
    <x v="3"/>
    <n v="3044464508.67207"/>
    <n v="8.8250000000000009E-2"/>
    <n v="268673992.89031023"/>
    <n v="7"/>
    <n v="7"/>
    <n v="7"/>
    <n v="0.14210312626877789"/>
    <n v="1"/>
    <n v="38179414.336828485"/>
  </r>
  <r>
    <x v="1"/>
    <x v="7"/>
    <s v="Personal Business"/>
    <x v="4"/>
    <n v="3044464508.67207"/>
    <n v="8.8250000000000009E-2"/>
    <n v="268673992.89031023"/>
    <n v="31.75"/>
    <n v="34.770000000000003"/>
    <n v="33.260000000000005"/>
    <n v="0.67519285424279341"/>
    <n v="1"/>
    <n v="181406760.12041655"/>
  </r>
  <r>
    <x v="1"/>
    <x v="7"/>
    <s v="Companion/Escort Journey"/>
    <x v="0"/>
    <n v="3044464508.67207"/>
    <n v="4.8249999999999994E-2"/>
    <n v="146895412.54342735"/>
    <n v="1"/>
    <n v="1"/>
    <n v="1"/>
    <n v="2.0300446609825416E-2"/>
    <n v="1"/>
    <n v="2982042.4795661257"/>
  </r>
  <r>
    <x v="1"/>
    <x v="7"/>
    <s v="Companion/Escort Journey"/>
    <x v="1"/>
    <n v="3044464508.67207"/>
    <n v="4.8249999999999994E-2"/>
    <n v="146895412.54342735"/>
    <n v="3"/>
    <n v="3"/>
    <n v="3"/>
    <n v="6.0901339829476243E-2"/>
    <n v="1"/>
    <n v="8946127.4386983756"/>
  </r>
  <r>
    <x v="1"/>
    <x v="7"/>
    <s v="Companion/Escort Journey"/>
    <x v="2"/>
    <n v="3044464508.67207"/>
    <n v="4.8249999999999994E-2"/>
    <n v="146895412.54342735"/>
    <n v="5"/>
    <n v="5"/>
    <n v="5"/>
    <n v="0.10150223304912707"/>
    <n v="1"/>
    <n v="14910212.397830628"/>
  </r>
  <r>
    <x v="1"/>
    <x v="7"/>
    <s v="Companion/Escort Journey"/>
    <x v="3"/>
    <n v="3044464508.67207"/>
    <n v="4.8249999999999994E-2"/>
    <n v="146895412.54342735"/>
    <n v="7"/>
    <n v="7"/>
    <n v="7"/>
    <n v="0.14210312626877789"/>
    <n v="1"/>
    <n v="20874297.356962875"/>
  </r>
  <r>
    <x v="1"/>
    <x v="7"/>
    <s v="Companion/Escort Journey"/>
    <x v="4"/>
    <n v="3044464508.67207"/>
    <n v="4.8249999999999994E-2"/>
    <n v="146895412.54342735"/>
    <n v="31.75"/>
    <n v="34.770000000000003"/>
    <n v="33.260000000000005"/>
    <n v="0.67519285424279341"/>
    <n v="1"/>
    <n v="99182732.870369345"/>
  </r>
  <r>
    <x v="1"/>
    <x v="7"/>
    <s v="Other"/>
    <x v="0"/>
    <n v="3044464508.67207"/>
    <n v="6.0749999999999998E-2"/>
    <n v="184951218.90182826"/>
    <n v="1"/>
    <n v="1"/>
    <n v="1"/>
    <n v="2.0300446609825416E-2"/>
    <n v="1"/>
    <n v="3754592.3447386976"/>
  </r>
  <r>
    <x v="1"/>
    <x v="7"/>
    <s v="Other"/>
    <x v="1"/>
    <n v="3044464508.67207"/>
    <n v="6.0749999999999998E-2"/>
    <n v="184951218.90182826"/>
    <n v="3"/>
    <n v="3"/>
    <n v="3"/>
    <n v="6.0901339829476243E-2"/>
    <n v="1"/>
    <n v="11263777.034216093"/>
  </r>
  <r>
    <x v="1"/>
    <x v="7"/>
    <s v="Other"/>
    <x v="2"/>
    <n v="3044464508.67207"/>
    <n v="6.0749999999999998E-2"/>
    <n v="184951218.90182826"/>
    <n v="5"/>
    <n v="5"/>
    <n v="5"/>
    <n v="0.10150223304912707"/>
    <n v="1"/>
    <n v="18772961.72369349"/>
  </r>
  <r>
    <x v="1"/>
    <x v="7"/>
    <s v="Other"/>
    <x v="3"/>
    <n v="3044464508.67207"/>
    <n v="6.0749999999999998E-2"/>
    <n v="184951218.90182826"/>
    <n v="7"/>
    <n v="7"/>
    <n v="7"/>
    <n v="0.14210312626877789"/>
    <n v="1"/>
    <n v="26282146.413170882"/>
  </r>
  <r>
    <x v="1"/>
    <x v="7"/>
    <s v="Other"/>
    <x v="4"/>
    <n v="3044464508.67207"/>
    <n v="6.0749999999999998E-2"/>
    <n v="184951218.90182826"/>
    <n v="31.75"/>
    <n v="34.770000000000003"/>
    <n v="33.260000000000005"/>
    <n v="0.67519285424279341"/>
    <n v="1"/>
    <n v="124877741.3860091"/>
  </r>
  <r>
    <x v="2"/>
    <x v="0"/>
    <s v="Work"/>
    <x v="0"/>
    <n v="40897858608.807022"/>
    <n v="0.24349999999999997"/>
    <n v="9958628571.2445087"/>
    <n v="1"/>
    <n v="1"/>
    <n v="1"/>
    <n v="1.8980734554427257E-2"/>
    <n v="1"/>
    <n v="189022085.4369272"/>
  </r>
  <r>
    <x v="2"/>
    <x v="0"/>
    <s v="Work"/>
    <x v="1"/>
    <n v="40897858608.807022"/>
    <n v="0.24349999999999997"/>
    <n v="9958628571.2445087"/>
    <n v="3"/>
    <n v="3"/>
    <n v="3"/>
    <n v="5.6942203663281767E-2"/>
    <n v="1"/>
    <n v="567066256.31078148"/>
  </r>
  <r>
    <x v="2"/>
    <x v="0"/>
    <s v="Work"/>
    <x v="2"/>
    <n v="40897858608.807022"/>
    <n v="0.24349999999999997"/>
    <n v="9958628571.2445087"/>
    <n v="5"/>
    <n v="5"/>
    <n v="5"/>
    <n v="9.490367277213628E-2"/>
    <n v="1"/>
    <n v="945110427.18463588"/>
  </r>
  <r>
    <x v="2"/>
    <x v="0"/>
    <s v="Work"/>
    <x v="3"/>
    <n v="40897858608.807022"/>
    <n v="0.24349999999999997"/>
    <n v="9958628571.2445087"/>
    <n v="7"/>
    <n v="7"/>
    <n v="7"/>
    <n v="0.1328651418809908"/>
    <n v="1"/>
    <n v="1323154598.0584903"/>
  </r>
  <r>
    <x v="2"/>
    <x v="0"/>
    <s v="Work"/>
    <x v="4"/>
    <n v="40897858608.807022"/>
    <n v="0.24349999999999997"/>
    <n v="9958628571.2445087"/>
    <n v="35.22"/>
    <n v="38.15"/>
    <n v="36.685000000000002"/>
    <n v="0.69630824712916395"/>
    <n v="1"/>
    <n v="6934275204.2536745"/>
  </r>
  <r>
    <x v="2"/>
    <x v="0"/>
    <s v="Education"/>
    <x v="0"/>
    <n v="40897858608.807022"/>
    <n v="3.5499999999999997E-2"/>
    <n v="1451873980.6126492"/>
    <n v="1"/>
    <n v="1"/>
    <n v="1"/>
    <n v="1.8980734554427257E-2"/>
    <n v="1"/>
    <n v="27557634.632488359"/>
  </r>
  <r>
    <x v="2"/>
    <x v="0"/>
    <s v="Education"/>
    <x v="1"/>
    <n v="40897858608.807022"/>
    <n v="3.5499999999999997E-2"/>
    <n v="1451873980.6126492"/>
    <n v="3"/>
    <n v="3"/>
    <n v="3"/>
    <n v="5.6942203663281767E-2"/>
    <n v="1"/>
    <n v="82672903.89746508"/>
  </r>
  <r>
    <x v="2"/>
    <x v="0"/>
    <s v="Education"/>
    <x v="2"/>
    <n v="40897858608.807022"/>
    <n v="3.5499999999999997E-2"/>
    <n v="1451873980.6126492"/>
    <n v="5"/>
    <n v="5"/>
    <n v="5"/>
    <n v="9.490367277213628E-2"/>
    <n v="1"/>
    <n v="137788173.16244179"/>
  </r>
  <r>
    <x v="2"/>
    <x v="0"/>
    <s v="Education"/>
    <x v="3"/>
    <n v="40897858608.807022"/>
    <n v="3.5499999999999997E-2"/>
    <n v="1451873980.6126492"/>
    <n v="7"/>
    <n v="7"/>
    <n v="7"/>
    <n v="0.1328651418809908"/>
    <n v="1"/>
    <n v="192903442.42741853"/>
  </r>
  <r>
    <x v="2"/>
    <x v="0"/>
    <s v="Education"/>
    <x v="4"/>
    <n v="40897858608.807022"/>
    <n v="3.5499999999999997E-2"/>
    <n v="1451873980.6126492"/>
    <n v="35.22"/>
    <n v="38.15"/>
    <n v="36.685000000000002"/>
    <n v="0.69630824712916395"/>
    <n v="1"/>
    <n v="1010951826.4928355"/>
  </r>
  <r>
    <x v="2"/>
    <x v="0"/>
    <s v="Shopping"/>
    <x v="0"/>
    <n v="40897858608.807022"/>
    <n v="0.23275000000000001"/>
    <n v="9518976591.1998348"/>
    <n v="1"/>
    <n v="1"/>
    <n v="1"/>
    <n v="1.8980734554427257E-2"/>
    <n v="1"/>
    <n v="180677167.9073709"/>
  </r>
  <r>
    <x v="2"/>
    <x v="0"/>
    <s v="Shopping"/>
    <x v="1"/>
    <n v="40897858608.807022"/>
    <n v="0.23275000000000001"/>
    <n v="9518976591.1998348"/>
    <n v="3"/>
    <n v="3"/>
    <n v="3"/>
    <n v="5.6942203663281767E-2"/>
    <n v="1"/>
    <n v="542031503.72211266"/>
  </r>
  <r>
    <x v="2"/>
    <x v="0"/>
    <s v="Shopping"/>
    <x v="2"/>
    <n v="40897858608.807022"/>
    <n v="0.23275000000000001"/>
    <n v="9518976591.1998348"/>
    <n v="5"/>
    <n v="5"/>
    <n v="5"/>
    <n v="9.490367277213628E-2"/>
    <n v="1"/>
    <n v="903385839.53685439"/>
  </r>
  <r>
    <x v="2"/>
    <x v="0"/>
    <s v="Shopping"/>
    <x v="3"/>
    <n v="40897858608.807022"/>
    <n v="0.23275000000000001"/>
    <n v="9518976591.1998348"/>
    <n v="7"/>
    <n v="7"/>
    <n v="7"/>
    <n v="0.1328651418809908"/>
    <n v="1"/>
    <n v="1264740175.3515961"/>
  </r>
  <r>
    <x v="2"/>
    <x v="0"/>
    <s v="Shopping"/>
    <x v="4"/>
    <n v="40897858608.807022"/>
    <n v="0.23275000000000001"/>
    <n v="9518976591.1998348"/>
    <n v="35.22"/>
    <n v="38.15"/>
    <n v="36.685000000000002"/>
    <n v="0.69630824712916395"/>
    <n v="1"/>
    <n v="6628141904.681901"/>
  </r>
  <r>
    <x v="2"/>
    <x v="0"/>
    <s v="To eat or drink"/>
    <x v="0"/>
    <n v="40897858608.807022"/>
    <n v="1.3500000000000002E-2"/>
    <n v="552121091.21889484"/>
    <n v="1"/>
    <n v="1"/>
    <n v="1"/>
    <n v="1.8980734554427257E-2"/>
    <n v="1"/>
    <n v="10479663.874326561"/>
  </r>
  <r>
    <x v="2"/>
    <x v="0"/>
    <s v="To eat or drink"/>
    <x v="1"/>
    <n v="40897858608.807022"/>
    <n v="1.3500000000000002E-2"/>
    <n v="552121091.21889484"/>
    <n v="3"/>
    <n v="3"/>
    <n v="3"/>
    <n v="5.6942203663281767E-2"/>
    <n v="1"/>
    <n v="31438991.622979682"/>
  </r>
  <r>
    <x v="2"/>
    <x v="0"/>
    <s v="To eat or drink"/>
    <x v="2"/>
    <n v="40897858608.807022"/>
    <n v="1.3500000000000002E-2"/>
    <n v="552121091.21889484"/>
    <n v="5"/>
    <n v="5"/>
    <n v="5"/>
    <n v="9.490367277213628E-2"/>
    <n v="1"/>
    <n v="52398319.3716328"/>
  </r>
  <r>
    <x v="2"/>
    <x v="0"/>
    <s v="To eat or drink"/>
    <x v="3"/>
    <n v="40897858608.807022"/>
    <n v="1.3500000000000002E-2"/>
    <n v="552121091.21889484"/>
    <n v="7"/>
    <n v="7"/>
    <n v="7"/>
    <n v="0.1328651418809908"/>
    <n v="1"/>
    <n v="73357647.120285928"/>
  </r>
  <r>
    <x v="2"/>
    <x v="0"/>
    <s v="To eat or drink"/>
    <x v="4"/>
    <n v="40897858608.807022"/>
    <n v="1.3500000000000002E-2"/>
    <n v="552121091.21889484"/>
    <n v="35.22"/>
    <n v="38.15"/>
    <n v="36.685000000000002"/>
    <n v="0.69630824712916395"/>
    <n v="1"/>
    <n v="384446469.22966993"/>
  </r>
  <r>
    <x v="2"/>
    <x v="0"/>
    <s v="Visit family/friends"/>
    <x v="0"/>
    <n v="40897858608.807022"/>
    <n v="0.1125"/>
    <n v="4601009093.4907904"/>
    <n v="1"/>
    <n v="1"/>
    <n v="1"/>
    <n v="1.8980734554427257E-2"/>
    <n v="1"/>
    <n v="87330532.286054671"/>
  </r>
  <r>
    <x v="2"/>
    <x v="0"/>
    <s v="Visit family/friends"/>
    <x v="1"/>
    <n v="40897858608.807022"/>
    <n v="0.1125"/>
    <n v="4601009093.4907904"/>
    <n v="3"/>
    <n v="3"/>
    <n v="3"/>
    <n v="5.6942203663281767E-2"/>
    <n v="1"/>
    <n v="261991596.85816401"/>
  </r>
  <r>
    <x v="2"/>
    <x v="0"/>
    <s v="Visit family/friends"/>
    <x v="2"/>
    <n v="40897858608.807022"/>
    <n v="0.1125"/>
    <n v="4601009093.4907904"/>
    <n v="5"/>
    <n v="5"/>
    <n v="5"/>
    <n v="9.490367277213628E-2"/>
    <n v="1"/>
    <n v="436652661.43027335"/>
  </r>
  <r>
    <x v="2"/>
    <x v="0"/>
    <s v="Visit family/friends"/>
    <x v="3"/>
    <n v="40897858608.807022"/>
    <n v="0.1125"/>
    <n v="4601009093.4907904"/>
    <n v="7"/>
    <n v="7"/>
    <n v="7"/>
    <n v="0.1328651418809908"/>
    <n v="1"/>
    <n v="611313726.00238276"/>
  </r>
  <r>
    <x v="2"/>
    <x v="0"/>
    <s v="Visit family/friends"/>
    <x v="4"/>
    <n v="40897858608.807022"/>
    <n v="0.1125"/>
    <n v="4601009093.4907904"/>
    <n v="35.22"/>
    <n v="38.15"/>
    <n v="36.685000000000002"/>
    <n v="0.69630824712916395"/>
    <n v="1"/>
    <n v="3203720576.9139156"/>
  </r>
  <r>
    <x v="2"/>
    <x v="0"/>
    <s v="Entertainment/leisure/sports"/>
    <x v="0"/>
    <n v="40897858608.807022"/>
    <n v="7.8750000000000001E-2"/>
    <n v="3220706365.443553"/>
    <n v="1"/>
    <n v="1"/>
    <n v="1"/>
    <n v="1.8980734554427257E-2"/>
    <n v="1"/>
    <n v="61131372.600238264"/>
  </r>
  <r>
    <x v="2"/>
    <x v="0"/>
    <s v="Entertainment/leisure/sports"/>
    <x v="1"/>
    <n v="40897858608.807022"/>
    <n v="7.8750000000000001E-2"/>
    <n v="3220706365.443553"/>
    <n v="3"/>
    <n v="3"/>
    <n v="3"/>
    <n v="5.6942203663281767E-2"/>
    <n v="1"/>
    <n v="183394117.80071479"/>
  </r>
  <r>
    <x v="2"/>
    <x v="0"/>
    <s v="Entertainment/leisure/sports"/>
    <x v="2"/>
    <n v="40897858608.807022"/>
    <n v="7.8750000000000001E-2"/>
    <n v="3220706365.443553"/>
    <n v="5"/>
    <n v="5"/>
    <n v="5"/>
    <n v="9.490367277213628E-2"/>
    <n v="1"/>
    <n v="305656863.00119132"/>
  </r>
  <r>
    <x v="2"/>
    <x v="0"/>
    <s v="Entertainment/leisure/sports"/>
    <x v="3"/>
    <n v="40897858608.807022"/>
    <n v="7.8750000000000001E-2"/>
    <n v="3220706365.443553"/>
    <n v="7"/>
    <n v="7"/>
    <n v="7"/>
    <n v="0.1328651418809908"/>
    <n v="1"/>
    <n v="427919608.20166785"/>
  </r>
  <r>
    <x v="2"/>
    <x v="0"/>
    <s v="Entertainment/leisure/sports"/>
    <x v="4"/>
    <n v="40897858608.807022"/>
    <n v="7.8750000000000001E-2"/>
    <n v="3220706365.443553"/>
    <n v="35.22"/>
    <n v="38.15"/>
    <n v="36.685000000000002"/>
    <n v="0.69630824712916395"/>
    <n v="1"/>
    <n v="2242604403.8397408"/>
  </r>
  <r>
    <x v="2"/>
    <x v="0"/>
    <s v="Personal Business"/>
    <x v="0"/>
    <n v="40897858608.807022"/>
    <n v="6.7250000000000004E-2"/>
    <n v="2750380991.4422722"/>
    <n v="1"/>
    <n v="1"/>
    <n v="1"/>
    <n v="1.8980734554427257E-2"/>
    <n v="1"/>
    <n v="52204251.522108234"/>
  </r>
  <r>
    <x v="2"/>
    <x v="0"/>
    <s v="Personal Business"/>
    <x v="1"/>
    <n v="40897858608.807022"/>
    <n v="6.7250000000000004E-2"/>
    <n v="2750380991.4422722"/>
    <n v="3"/>
    <n v="3"/>
    <n v="3"/>
    <n v="5.6942203663281767E-2"/>
    <n v="1"/>
    <n v="156612754.56632468"/>
  </r>
  <r>
    <x v="2"/>
    <x v="0"/>
    <s v="Personal Business"/>
    <x v="2"/>
    <n v="40897858608.807022"/>
    <n v="6.7250000000000004E-2"/>
    <n v="2750380991.4422722"/>
    <n v="5"/>
    <n v="5"/>
    <n v="5"/>
    <n v="9.490367277213628E-2"/>
    <n v="1"/>
    <n v="261021257.61054116"/>
  </r>
  <r>
    <x v="2"/>
    <x v="0"/>
    <s v="Personal Business"/>
    <x v="3"/>
    <n v="40897858608.807022"/>
    <n v="6.7250000000000004E-2"/>
    <n v="2750380991.4422722"/>
    <n v="7"/>
    <n v="7"/>
    <n v="7"/>
    <n v="0.1328651418809908"/>
    <n v="1"/>
    <n v="365429760.65475762"/>
  </r>
  <r>
    <x v="2"/>
    <x v="0"/>
    <s v="Personal Business"/>
    <x v="4"/>
    <n v="40897858608.807022"/>
    <n v="6.7250000000000004E-2"/>
    <n v="2750380991.4422722"/>
    <n v="35.22"/>
    <n v="38.15"/>
    <n v="36.685000000000002"/>
    <n v="0.69630824712916395"/>
    <n v="1"/>
    <n v="1915112967.0885406"/>
  </r>
  <r>
    <x v="2"/>
    <x v="0"/>
    <s v="Companion/Escort Journey"/>
    <x v="0"/>
    <n v="40897858608.807022"/>
    <n v="0.18149999999999999"/>
    <n v="7422961337.4984741"/>
    <n v="1"/>
    <n v="1"/>
    <n v="1"/>
    <n v="1.8980734554427257E-2"/>
    <n v="1"/>
    <n v="140893258.75483486"/>
  </r>
  <r>
    <x v="2"/>
    <x v="0"/>
    <s v="Companion/Escort Journey"/>
    <x v="1"/>
    <n v="40897858608.807022"/>
    <n v="0.18149999999999999"/>
    <n v="7422961337.4984741"/>
    <n v="3"/>
    <n v="3"/>
    <n v="3"/>
    <n v="5.6942203663281767E-2"/>
    <n v="1"/>
    <n v="422679776.26450455"/>
  </r>
  <r>
    <x v="2"/>
    <x v="0"/>
    <s v="Companion/Escort Journey"/>
    <x v="2"/>
    <n v="40897858608.807022"/>
    <n v="0.18149999999999999"/>
    <n v="7422961337.4984741"/>
    <n v="5"/>
    <n v="5"/>
    <n v="5"/>
    <n v="9.490367277213628E-2"/>
    <n v="1"/>
    <n v="704466293.77417421"/>
  </r>
  <r>
    <x v="2"/>
    <x v="0"/>
    <s v="Companion/Escort Journey"/>
    <x v="3"/>
    <n v="40897858608.807022"/>
    <n v="0.18149999999999999"/>
    <n v="7422961337.4984741"/>
    <n v="7"/>
    <n v="7"/>
    <n v="7"/>
    <n v="0.1328651418809908"/>
    <n v="1"/>
    <n v="986252811.28384399"/>
  </r>
  <r>
    <x v="2"/>
    <x v="0"/>
    <s v="Companion/Escort Journey"/>
    <x v="4"/>
    <n v="40897858608.807022"/>
    <n v="0.18149999999999999"/>
    <n v="7422961337.4984741"/>
    <n v="35.22"/>
    <n v="38.15"/>
    <n v="36.685000000000002"/>
    <n v="0.69630824712916395"/>
    <n v="1"/>
    <n v="5168669197.4211168"/>
  </r>
  <r>
    <x v="2"/>
    <x v="0"/>
    <s v="Other"/>
    <x v="0"/>
    <n v="40897858608.807022"/>
    <n v="3.4750000000000003E-2"/>
    <n v="1421200586.6560442"/>
    <n v="1"/>
    <n v="1"/>
    <n v="1"/>
    <n v="1.8980734554427257E-2"/>
    <n v="1"/>
    <n v="26975431.083914667"/>
  </r>
  <r>
    <x v="2"/>
    <x v="0"/>
    <s v="Other"/>
    <x v="1"/>
    <n v="40897858608.807022"/>
    <n v="3.4750000000000003E-2"/>
    <n v="1421200586.6560442"/>
    <n v="3"/>
    <n v="3"/>
    <n v="3"/>
    <n v="5.6942203663281767E-2"/>
    <n v="1"/>
    <n v="80926293.251744002"/>
  </r>
  <r>
    <x v="2"/>
    <x v="0"/>
    <s v="Other"/>
    <x v="2"/>
    <n v="40897858608.807022"/>
    <n v="3.4750000000000003E-2"/>
    <n v="1421200586.6560442"/>
    <n v="5"/>
    <n v="5"/>
    <n v="5"/>
    <n v="9.490367277213628E-2"/>
    <n v="1"/>
    <n v="134877155.41957334"/>
  </r>
  <r>
    <x v="2"/>
    <x v="0"/>
    <s v="Other"/>
    <x v="3"/>
    <n v="40897858608.807022"/>
    <n v="3.4750000000000003E-2"/>
    <n v="1421200586.6560442"/>
    <n v="7"/>
    <n v="7"/>
    <n v="7"/>
    <n v="0.1328651418809908"/>
    <n v="1"/>
    <n v="188828017.58740267"/>
  </r>
  <r>
    <x v="2"/>
    <x v="0"/>
    <s v="Other"/>
    <x v="4"/>
    <n v="40897858608.807022"/>
    <n v="3.4750000000000003E-2"/>
    <n v="1421200586.6560442"/>
    <n v="35.22"/>
    <n v="38.15"/>
    <n v="36.685000000000002"/>
    <n v="0.69630824712916395"/>
    <n v="1"/>
    <n v="989593689.31340969"/>
  </r>
  <r>
    <x v="2"/>
    <x v="1"/>
    <s v="Work"/>
    <x v="0"/>
    <n v="6533218281.3236027"/>
    <n v="0.24349999999999997"/>
    <n v="1590838651.5022969"/>
    <n v="1"/>
    <n v="1"/>
    <n v="1"/>
    <n v="1.8980734554427257E-2"/>
    <n v="1"/>
    <n v="30195286.163088109"/>
  </r>
  <r>
    <x v="2"/>
    <x v="1"/>
    <s v="Work"/>
    <x v="1"/>
    <n v="6533218281.3236027"/>
    <n v="0.24349999999999997"/>
    <n v="1590838651.5022969"/>
    <n v="3"/>
    <n v="3"/>
    <n v="3"/>
    <n v="5.6942203663281767E-2"/>
    <n v="1"/>
    <n v="90585858.489264324"/>
  </r>
  <r>
    <x v="2"/>
    <x v="1"/>
    <s v="Work"/>
    <x v="2"/>
    <n v="6533218281.3236027"/>
    <n v="0.24349999999999997"/>
    <n v="1590838651.5022969"/>
    <n v="5"/>
    <n v="5"/>
    <n v="5"/>
    <n v="9.490367277213628E-2"/>
    <n v="1"/>
    <n v="150976430.81544054"/>
  </r>
  <r>
    <x v="2"/>
    <x v="1"/>
    <s v="Work"/>
    <x v="3"/>
    <n v="6533218281.3236027"/>
    <n v="0.24349999999999997"/>
    <n v="1590838651.5022969"/>
    <n v="7"/>
    <n v="7"/>
    <n v="7"/>
    <n v="0.1328651418809908"/>
    <n v="1"/>
    <n v="211367003.14161676"/>
  </r>
  <r>
    <x v="2"/>
    <x v="1"/>
    <s v="Work"/>
    <x v="4"/>
    <n v="6533218281.3236027"/>
    <n v="0.24349999999999997"/>
    <n v="1590838651.5022969"/>
    <n v="35.22"/>
    <n v="38.15"/>
    <n v="36.685000000000002"/>
    <n v="0.69630824712916395"/>
    <n v="1"/>
    <n v="1107714072.8928874"/>
  </r>
  <r>
    <x v="2"/>
    <x v="1"/>
    <s v="Education"/>
    <x v="0"/>
    <n v="6533218281.3236027"/>
    <n v="3.5499999999999997E-2"/>
    <n v="231929248.98698789"/>
    <n v="1"/>
    <n v="1"/>
    <n v="1"/>
    <n v="1.8980734554427257E-2"/>
    <n v="1"/>
    <n v="4402187.5104296841"/>
  </r>
  <r>
    <x v="2"/>
    <x v="1"/>
    <s v="Education"/>
    <x v="1"/>
    <n v="6533218281.3236027"/>
    <n v="3.5499999999999997E-2"/>
    <n v="231929248.98698789"/>
    <n v="3"/>
    <n v="3"/>
    <n v="3"/>
    <n v="5.6942203663281767E-2"/>
    <n v="1"/>
    <n v="13206562.53128905"/>
  </r>
  <r>
    <x v="2"/>
    <x v="1"/>
    <s v="Education"/>
    <x v="2"/>
    <n v="6533218281.3236027"/>
    <n v="3.5499999999999997E-2"/>
    <n v="231929248.98698789"/>
    <n v="5"/>
    <n v="5"/>
    <n v="5"/>
    <n v="9.490367277213628E-2"/>
    <n v="1"/>
    <n v="22010937.552148417"/>
  </r>
  <r>
    <x v="2"/>
    <x v="1"/>
    <s v="Education"/>
    <x v="3"/>
    <n v="6533218281.3236027"/>
    <n v="3.5499999999999997E-2"/>
    <n v="231929248.98698789"/>
    <n v="7"/>
    <n v="7"/>
    <n v="7"/>
    <n v="0.1328651418809908"/>
    <n v="1"/>
    <n v="30815312.573007789"/>
  </r>
  <r>
    <x v="2"/>
    <x v="1"/>
    <s v="Education"/>
    <x v="4"/>
    <n v="6533218281.3236027"/>
    <n v="3.5499999999999997E-2"/>
    <n v="231929248.98698789"/>
    <n v="35.22"/>
    <n v="38.15"/>
    <n v="36.685000000000002"/>
    <n v="0.69630824712916395"/>
    <n v="1"/>
    <n v="161494248.82011297"/>
  </r>
  <r>
    <x v="2"/>
    <x v="1"/>
    <s v="Shopping"/>
    <x v="0"/>
    <n v="6533218281.3236027"/>
    <n v="0.23275000000000001"/>
    <n v="1520606554.9780686"/>
    <n v="1"/>
    <n v="1"/>
    <n v="1"/>
    <n v="1.8980734554427257E-2"/>
    <n v="1"/>
    <n v="28862229.381760817"/>
  </r>
  <r>
    <x v="2"/>
    <x v="1"/>
    <s v="Shopping"/>
    <x v="1"/>
    <n v="6533218281.3236027"/>
    <n v="0.23275000000000001"/>
    <n v="1520606554.9780686"/>
    <n v="3"/>
    <n v="3"/>
    <n v="3"/>
    <n v="5.6942203663281767E-2"/>
    <n v="1"/>
    <n v="86586688.145282447"/>
  </r>
  <r>
    <x v="2"/>
    <x v="1"/>
    <s v="Shopping"/>
    <x v="2"/>
    <n v="6533218281.3236027"/>
    <n v="0.23275000000000001"/>
    <n v="1520606554.9780686"/>
    <n v="5"/>
    <n v="5"/>
    <n v="5"/>
    <n v="9.490367277213628E-2"/>
    <n v="1"/>
    <n v="144311146.90880409"/>
  </r>
  <r>
    <x v="2"/>
    <x v="1"/>
    <s v="Shopping"/>
    <x v="3"/>
    <n v="6533218281.3236027"/>
    <n v="0.23275000000000001"/>
    <n v="1520606554.9780686"/>
    <n v="7"/>
    <n v="7"/>
    <n v="7"/>
    <n v="0.1328651418809908"/>
    <n v="1"/>
    <n v="202035605.67232573"/>
  </r>
  <r>
    <x v="2"/>
    <x v="1"/>
    <s v="Shopping"/>
    <x v="4"/>
    <n v="6533218281.3236027"/>
    <n v="0.23275000000000001"/>
    <n v="1520606554.9780686"/>
    <n v="35.22"/>
    <n v="38.15"/>
    <n v="36.685000000000002"/>
    <n v="0.69630824712916395"/>
    <n v="1"/>
    <n v="1058810884.8698956"/>
  </r>
  <r>
    <x v="2"/>
    <x v="1"/>
    <s v="To eat or drink"/>
    <x v="0"/>
    <n v="6533218281.3236027"/>
    <n v="1.3500000000000002E-2"/>
    <n v="88198446.797868639"/>
    <n v="1"/>
    <n v="1"/>
    <n v="1"/>
    <n v="1.8980734554427257E-2"/>
    <n v="1"/>
    <n v="1674071.3067831192"/>
  </r>
  <r>
    <x v="2"/>
    <x v="1"/>
    <s v="To eat or drink"/>
    <x v="1"/>
    <n v="6533218281.3236027"/>
    <n v="1.3500000000000002E-2"/>
    <n v="88198446.797868639"/>
    <n v="3"/>
    <n v="3"/>
    <n v="3"/>
    <n v="5.6942203663281767E-2"/>
    <n v="1"/>
    <n v="5022213.9203493576"/>
  </r>
  <r>
    <x v="2"/>
    <x v="1"/>
    <s v="To eat or drink"/>
    <x v="2"/>
    <n v="6533218281.3236027"/>
    <n v="1.3500000000000002E-2"/>
    <n v="88198446.797868639"/>
    <n v="5"/>
    <n v="5"/>
    <n v="5"/>
    <n v="9.490367277213628E-2"/>
    <n v="1"/>
    <n v="8370356.5339155961"/>
  </r>
  <r>
    <x v="2"/>
    <x v="1"/>
    <s v="To eat or drink"/>
    <x v="3"/>
    <n v="6533218281.3236027"/>
    <n v="1.3500000000000002E-2"/>
    <n v="88198446.797868639"/>
    <n v="7"/>
    <n v="7"/>
    <n v="7"/>
    <n v="0.1328651418809908"/>
    <n v="1"/>
    <n v="11718499.147481836"/>
  </r>
  <r>
    <x v="2"/>
    <x v="1"/>
    <s v="To eat or drink"/>
    <x v="4"/>
    <n v="6533218281.3236027"/>
    <n v="1.3500000000000002E-2"/>
    <n v="88198446.797868639"/>
    <n v="35.22"/>
    <n v="38.15"/>
    <n v="36.685000000000002"/>
    <n v="0.69630824712916395"/>
    <n v="1"/>
    <n v="61413305.889338732"/>
  </r>
  <r>
    <x v="2"/>
    <x v="1"/>
    <s v="Visit family/friends"/>
    <x v="0"/>
    <n v="6533218281.3236027"/>
    <n v="0.1125"/>
    <n v="734987056.64890528"/>
    <n v="1"/>
    <n v="1"/>
    <n v="1"/>
    <n v="1.8980734554427257E-2"/>
    <n v="1"/>
    <n v="13950594.22319266"/>
  </r>
  <r>
    <x v="2"/>
    <x v="1"/>
    <s v="Visit family/friends"/>
    <x v="1"/>
    <n v="6533218281.3236027"/>
    <n v="0.1125"/>
    <n v="734987056.64890528"/>
    <n v="3"/>
    <n v="3"/>
    <n v="3"/>
    <n v="5.6942203663281767E-2"/>
    <n v="1"/>
    <n v="41851782.669577979"/>
  </r>
  <r>
    <x v="2"/>
    <x v="1"/>
    <s v="Visit family/friends"/>
    <x v="2"/>
    <n v="6533218281.3236027"/>
    <n v="0.1125"/>
    <n v="734987056.64890528"/>
    <n v="5"/>
    <n v="5"/>
    <n v="5"/>
    <n v="9.490367277213628E-2"/>
    <n v="1"/>
    <n v="69752971.115963295"/>
  </r>
  <r>
    <x v="2"/>
    <x v="1"/>
    <s v="Visit family/friends"/>
    <x v="3"/>
    <n v="6533218281.3236027"/>
    <n v="0.1125"/>
    <n v="734987056.64890528"/>
    <n v="7"/>
    <n v="7"/>
    <n v="7"/>
    <n v="0.1328651418809908"/>
    <n v="1"/>
    <n v="97654159.562348619"/>
  </r>
  <r>
    <x v="2"/>
    <x v="1"/>
    <s v="Visit family/friends"/>
    <x v="4"/>
    <n v="6533218281.3236027"/>
    <n v="0.1125"/>
    <n v="734987056.64890528"/>
    <n v="35.22"/>
    <n v="38.15"/>
    <n v="36.685000000000002"/>
    <n v="0.69630824712916395"/>
    <n v="1"/>
    <n v="511777549.07782274"/>
  </r>
  <r>
    <x v="2"/>
    <x v="1"/>
    <s v="Entertainment/leisure/sports"/>
    <x v="0"/>
    <n v="6533218281.3236027"/>
    <n v="7.8750000000000001E-2"/>
    <n v="514490939.65423369"/>
    <n v="1"/>
    <n v="1"/>
    <n v="1"/>
    <n v="1.8980734554427257E-2"/>
    <n v="1"/>
    <n v="9765415.9562348612"/>
  </r>
  <r>
    <x v="2"/>
    <x v="1"/>
    <s v="Entertainment/leisure/sports"/>
    <x v="1"/>
    <n v="6533218281.3236027"/>
    <n v="7.8750000000000001E-2"/>
    <n v="514490939.65423369"/>
    <n v="3"/>
    <n v="3"/>
    <n v="3"/>
    <n v="5.6942203663281767E-2"/>
    <n v="1"/>
    <n v="29296247.868704583"/>
  </r>
  <r>
    <x v="2"/>
    <x v="1"/>
    <s v="Entertainment/leisure/sports"/>
    <x v="2"/>
    <n v="6533218281.3236027"/>
    <n v="7.8750000000000001E-2"/>
    <n v="514490939.65423369"/>
    <n v="5"/>
    <n v="5"/>
    <n v="5"/>
    <n v="9.490367277213628E-2"/>
    <n v="1"/>
    <n v="48827079.78117431"/>
  </r>
  <r>
    <x v="2"/>
    <x v="1"/>
    <s v="Entertainment/leisure/sports"/>
    <x v="3"/>
    <n v="6533218281.3236027"/>
    <n v="7.8750000000000001E-2"/>
    <n v="514490939.65423369"/>
    <n v="7"/>
    <n v="7"/>
    <n v="7"/>
    <n v="0.1328651418809908"/>
    <n v="1"/>
    <n v="68357911.693644032"/>
  </r>
  <r>
    <x v="2"/>
    <x v="1"/>
    <s v="Entertainment/leisure/sports"/>
    <x v="4"/>
    <n v="6533218281.3236027"/>
    <n v="7.8750000000000001E-2"/>
    <n v="514490939.65423369"/>
    <n v="35.22"/>
    <n v="38.15"/>
    <n v="36.685000000000002"/>
    <n v="0.69630824712916395"/>
    <n v="1"/>
    <n v="358244284.35447592"/>
  </r>
  <r>
    <x v="2"/>
    <x v="1"/>
    <s v="Personal Business"/>
    <x v="0"/>
    <n v="6533218281.3236027"/>
    <n v="6.7250000000000004E-2"/>
    <n v="439358929.41901231"/>
    <n v="1"/>
    <n v="1"/>
    <n v="1"/>
    <n v="1.8980734554427257E-2"/>
    <n v="1"/>
    <n v="8339355.2134196134"/>
  </r>
  <r>
    <x v="2"/>
    <x v="1"/>
    <s v="Personal Business"/>
    <x v="1"/>
    <n v="6533218281.3236027"/>
    <n v="6.7250000000000004E-2"/>
    <n v="439358929.41901231"/>
    <n v="3"/>
    <n v="3"/>
    <n v="3"/>
    <n v="5.6942203663281767E-2"/>
    <n v="1"/>
    <n v="25018065.640258837"/>
  </r>
  <r>
    <x v="2"/>
    <x v="1"/>
    <s v="Personal Business"/>
    <x v="2"/>
    <n v="6533218281.3236027"/>
    <n v="6.7250000000000004E-2"/>
    <n v="439358929.41901231"/>
    <n v="5"/>
    <n v="5"/>
    <n v="5"/>
    <n v="9.490367277213628E-2"/>
    <n v="1"/>
    <n v="41696776.067098066"/>
  </r>
  <r>
    <x v="2"/>
    <x v="1"/>
    <s v="Personal Business"/>
    <x v="3"/>
    <n v="6533218281.3236027"/>
    <n v="6.7250000000000004E-2"/>
    <n v="439358929.41901231"/>
    <n v="7"/>
    <n v="7"/>
    <n v="7"/>
    <n v="0.1328651418809908"/>
    <n v="1"/>
    <n v="58375486.493937291"/>
  </r>
  <r>
    <x v="2"/>
    <x v="1"/>
    <s v="Personal Business"/>
    <x v="4"/>
    <n v="6533218281.3236027"/>
    <n v="6.7250000000000004E-2"/>
    <n v="439358929.41901231"/>
    <n v="35.22"/>
    <n v="38.15"/>
    <n v="36.685000000000002"/>
    <n v="0.69630824712916395"/>
    <n v="1"/>
    <n v="305929246.00429851"/>
  </r>
  <r>
    <x v="2"/>
    <x v="1"/>
    <s v="Companion/Escort Journey"/>
    <x v="0"/>
    <n v="6533218281.3236027"/>
    <n v="0.18149999999999999"/>
    <n v="1185779118.0602338"/>
    <n v="1"/>
    <n v="1"/>
    <n v="1"/>
    <n v="1.8980734554427257E-2"/>
    <n v="1"/>
    <n v="22506958.680084158"/>
  </r>
  <r>
    <x v="2"/>
    <x v="1"/>
    <s v="Companion/Escort Journey"/>
    <x v="1"/>
    <n v="6533218281.3236027"/>
    <n v="0.18149999999999999"/>
    <n v="1185779118.0602338"/>
    <n v="3"/>
    <n v="3"/>
    <n v="3"/>
    <n v="5.6942203663281767E-2"/>
    <n v="1"/>
    <n v="67520876.040252462"/>
  </r>
  <r>
    <x v="2"/>
    <x v="1"/>
    <s v="Companion/Escort Journey"/>
    <x v="2"/>
    <n v="6533218281.3236027"/>
    <n v="0.18149999999999999"/>
    <n v="1185779118.0602338"/>
    <n v="5"/>
    <n v="5"/>
    <n v="5"/>
    <n v="9.490367277213628E-2"/>
    <n v="1"/>
    <n v="112534793.40042078"/>
  </r>
  <r>
    <x v="2"/>
    <x v="1"/>
    <s v="Companion/Escort Journey"/>
    <x v="3"/>
    <n v="6533218281.3236027"/>
    <n v="0.18149999999999999"/>
    <n v="1185779118.0602338"/>
    <n v="7"/>
    <n v="7"/>
    <n v="7"/>
    <n v="0.1328651418809908"/>
    <n v="1"/>
    <n v="157548710.76058912"/>
  </r>
  <r>
    <x v="2"/>
    <x v="1"/>
    <s v="Companion/Escort Journey"/>
    <x v="4"/>
    <n v="6533218281.3236027"/>
    <n v="0.18149999999999999"/>
    <n v="1185779118.0602338"/>
    <n v="35.22"/>
    <n v="38.15"/>
    <n v="36.685000000000002"/>
    <n v="0.69630824712916395"/>
    <n v="1"/>
    <n v="825667779.17888737"/>
  </r>
  <r>
    <x v="2"/>
    <x v="1"/>
    <s v="Other"/>
    <x v="0"/>
    <n v="6533218281.3236027"/>
    <n v="3.4750000000000003E-2"/>
    <n v="227029335.27599522"/>
    <n v="1"/>
    <n v="1"/>
    <n v="1"/>
    <n v="1.8980734554427257E-2"/>
    <n v="1"/>
    <n v="4309183.5489417333"/>
  </r>
  <r>
    <x v="2"/>
    <x v="1"/>
    <s v="Other"/>
    <x v="1"/>
    <n v="6533218281.3236027"/>
    <n v="3.4750000000000003E-2"/>
    <n v="227029335.27599522"/>
    <n v="3"/>
    <n v="3"/>
    <n v="3"/>
    <n v="5.6942203663281767E-2"/>
    <n v="1"/>
    <n v="12927550.6468252"/>
  </r>
  <r>
    <x v="2"/>
    <x v="1"/>
    <s v="Other"/>
    <x v="2"/>
    <n v="6533218281.3236027"/>
    <n v="3.4750000000000003E-2"/>
    <n v="227029335.27599522"/>
    <n v="5"/>
    <n v="5"/>
    <n v="5"/>
    <n v="9.490367277213628E-2"/>
    <n v="1"/>
    <n v="21545917.744708668"/>
  </r>
  <r>
    <x v="2"/>
    <x v="1"/>
    <s v="Other"/>
    <x v="3"/>
    <n v="6533218281.3236027"/>
    <n v="3.4750000000000003E-2"/>
    <n v="227029335.27599522"/>
    <n v="7"/>
    <n v="7"/>
    <n v="7"/>
    <n v="0.1328651418809908"/>
    <n v="1"/>
    <n v="30164284.842592135"/>
  </r>
  <r>
    <x v="2"/>
    <x v="1"/>
    <s v="Other"/>
    <x v="4"/>
    <n v="6533218281.3236027"/>
    <n v="3.4750000000000003E-2"/>
    <n v="227029335.27599522"/>
    <n v="35.22"/>
    <n v="38.15"/>
    <n v="36.685000000000002"/>
    <n v="0.69630824712916395"/>
    <n v="1"/>
    <n v="158082398.49292749"/>
  </r>
  <r>
    <x v="2"/>
    <x v="2"/>
    <s v="Work"/>
    <x v="0"/>
    <n v="157166834.45463219"/>
    <n v="0.17649999999999999"/>
    <n v="27739946.281242579"/>
    <n v="1"/>
    <n v="1"/>
    <n v="1"/>
    <n v="1.8980734554427257E-2"/>
    <n v="1"/>
    <n v="526524.55691833689"/>
  </r>
  <r>
    <x v="2"/>
    <x v="2"/>
    <s v="Work"/>
    <x v="1"/>
    <n v="157166834.45463219"/>
    <n v="0.17649999999999999"/>
    <n v="27739946.281242579"/>
    <n v="3"/>
    <n v="3"/>
    <n v="3"/>
    <n v="5.6942203663281767E-2"/>
    <n v="1"/>
    <n v="1579573.6707550106"/>
  </r>
  <r>
    <x v="2"/>
    <x v="2"/>
    <s v="Work"/>
    <x v="2"/>
    <n v="157166834.45463219"/>
    <n v="0.17649999999999999"/>
    <n v="27739946.281242579"/>
    <n v="5"/>
    <n v="5"/>
    <n v="5"/>
    <n v="9.490367277213628E-2"/>
    <n v="1"/>
    <n v="2632622.7845916846"/>
  </r>
  <r>
    <x v="2"/>
    <x v="2"/>
    <s v="Work"/>
    <x v="3"/>
    <n v="157166834.45463219"/>
    <n v="0.17649999999999999"/>
    <n v="27739946.281242579"/>
    <n v="7"/>
    <n v="7"/>
    <n v="7"/>
    <n v="0.1328651418809908"/>
    <n v="1"/>
    <n v="3685671.8984283586"/>
  </r>
  <r>
    <x v="2"/>
    <x v="2"/>
    <s v="Work"/>
    <x v="4"/>
    <n v="157166834.45463219"/>
    <n v="0.17649999999999999"/>
    <n v="27739946.281242579"/>
    <n v="35.22"/>
    <n v="38.15"/>
    <n v="36.685000000000002"/>
    <n v="0.69630824712916395"/>
    <n v="1"/>
    <n v="19315553.370549191"/>
  </r>
  <r>
    <x v="2"/>
    <x v="2"/>
    <s v="Education"/>
    <x v="0"/>
    <n v="157166834.45463219"/>
    <n v="8.5249999999999992E-2"/>
    <n v="13398472.637257393"/>
    <n v="1"/>
    <n v="1"/>
    <n v="1"/>
    <n v="1.8980734554427257E-2"/>
    <n v="1"/>
    <n v="254312.85256253951"/>
  </r>
  <r>
    <x v="2"/>
    <x v="2"/>
    <s v="Education"/>
    <x v="1"/>
    <n v="157166834.45463219"/>
    <n v="8.5249999999999992E-2"/>
    <n v="13398472.637257393"/>
    <n v="3"/>
    <n v="3"/>
    <n v="3"/>
    <n v="5.6942203663281767E-2"/>
    <n v="1"/>
    <n v="762938.55768761842"/>
  </r>
  <r>
    <x v="2"/>
    <x v="2"/>
    <s v="Education"/>
    <x v="2"/>
    <n v="157166834.45463219"/>
    <n v="8.5249999999999992E-2"/>
    <n v="13398472.637257393"/>
    <n v="5"/>
    <n v="5"/>
    <n v="5"/>
    <n v="9.490367277213628E-2"/>
    <n v="1"/>
    <n v="1271564.2628126976"/>
  </r>
  <r>
    <x v="2"/>
    <x v="2"/>
    <s v="Education"/>
    <x v="3"/>
    <n v="157166834.45463219"/>
    <n v="8.5249999999999992E-2"/>
    <n v="13398472.637257393"/>
    <n v="7"/>
    <n v="7"/>
    <n v="7"/>
    <n v="0.1328651418809908"/>
    <n v="1"/>
    <n v="1780189.9679377766"/>
  </r>
  <r>
    <x v="2"/>
    <x v="2"/>
    <s v="Education"/>
    <x v="4"/>
    <n v="157166834.45463219"/>
    <n v="8.5249999999999992E-2"/>
    <n v="13398472.637257393"/>
    <n v="35.22"/>
    <n v="38.15"/>
    <n v="36.685000000000002"/>
    <n v="0.69630824712916395"/>
    <n v="1"/>
    <n v="9329466.9962567613"/>
  </r>
  <r>
    <x v="2"/>
    <x v="2"/>
    <s v="Shopping"/>
    <x v="0"/>
    <n v="157166834.45463219"/>
    <n v="0.23774999999999999"/>
    <n v="37366414.8915888"/>
    <n v="1"/>
    <n v="1"/>
    <n v="1"/>
    <n v="1.8980734554427257E-2"/>
    <n v="1"/>
    <n v="709242.0023078447"/>
  </r>
  <r>
    <x v="2"/>
    <x v="2"/>
    <s v="Shopping"/>
    <x v="1"/>
    <n v="157166834.45463219"/>
    <n v="0.23774999999999999"/>
    <n v="37366414.8915888"/>
    <n v="3"/>
    <n v="3"/>
    <n v="3"/>
    <n v="5.6942203663281767E-2"/>
    <n v="1"/>
    <n v="2127726.006923534"/>
  </r>
  <r>
    <x v="2"/>
    <x v="2"/>
    <s v="Shopping"/>
    <x v="2"/>
    <n v="157166834.45463219"/>
    <n v="0.23774999999999999"/>
    <n v="37366414.8915888"/>
    <n v="5"/>
    <n v="5"/>
    <n v="5"/>
    <n v="9.490367277213628E-2"/>
    <n v="1"/>
    <n v="3546210.0115392236"/>
  </r>
  <r>
    <x v="2"/>
    <x v="2"/>
    <s v="Shopping"/>
    <x v="3"/>
    <n v="157166834.45463219"/>
    <n v="0.23774999999999999"/>
    <n v="37366414.8915888"/>
    <n v="7"/>
    <n v="7"/>
    <n v="7"/>
    <n v="0.1328651418809908"/>
    <n v="1"/>
    <n v="4964694.0161549132"/>
  </r>
  <r>
    <x v="2"/>
    <x v="2"/>
    <s v="Shopping"/>
    <x v="4"/>
    <n v="157166834.45463219"/>
    <n v="0.23774999999999999"/>
    <n v="37366414.8915888"/>
    <n v="35.22"/>
    <n v="38.15"/>
    <n v="36.685000000000002"/>
    <n v="0.69630824712916395"/>
    <n v="1"/>
    <n v="26018542.854663286"/>
  </r>
  <r>
    <x v="2"/>
    <x v="2"/>
    <s v="To eat or drink"/>
    <x v="0"/>
    <n v="157166834.45463219"/>
    <n v="3.6750000000000005E-2"/>
    <n v="5775881.1662077336"/>
    <n v="1"/>
    <n v="1"/>
    <n v="1"/>
    <n v="1.8980734554427257E-2"/>
    <n v="1"/>
    <n v="109630.46723370472"/>
  </r>
  <r>
    <x v="2"/>
    <x v="2"/>
    <s v="To eat or drink"/>
    <x v="1"/>
    <n v="157166834.45463219"/>
    <n v="3.6750000000000005E-2"/>
    <n v="5775881.1662077336"/>
    <n v="3"/>
    <n v="3"/>
    <n v="3"/>
    <n v="5.6942203663281767E-2"/>
    <n v="1"/>
    <n v="328891.40170111414"/>
  </r>
  <r>
    <x v="2"/>
    <x v="2"/>
    <s v="To eat or drink"/>
    <x v="2"/>
    <n v="157166834.45463219"/>
    <n v="3.6750000000000005E-2"/>
    <n v="5775881.1662077336"/>
    <n v="5"/>
    <n v="5"/>
    <n v="5"/>
    <n v="9.490367277213628E-2"/>
    <n v="1"/>
    <n v="548152.33616852365"/>
  </r>
  <r>
    <x v="2"/>
    <x v="2"/>
    <s v="To eat or drink"/>
    <x v="3"/>
    <n v="157166834.45463219"/>
    <n v="3.6750000000000005E-2"/>
    <n v="5775881.1662077336"/>
    <n v="7"/>
    <n v="7"/>
    <n v="7"/>
    <n v="0.1328651418809908"/>
    <n v="1"/>
    <n v="767413.27063593315"/>
  </r>
  <r>
    <x v="2"/>
    <x v="2"/>
    <s v="To eat or drink"/>
    <x v="4"/>
    <n v="157166834.45463219"/>
    <n v="3.6750000000000005E-2"/>
    <n v="5775881.1662077336"/>
    <n v="35.22"/>
    <n v="38.15"/>
    <n v="36.685000000000002"/>
    <n v="0.69630824712916395"/>
    <n v="1"/>
    <n v="4021793.690468458"/>
  </r>
  <r>
    <x v="2"/>
    <x v="2"/>
    <s v="Visit family/friends"/>
    <x v="0"/>
    <n v="157166834.45463219"/>
    <n v="7.4500000000000011E-2"/>
    <n v="11708929.1668701"/>
    <n v="1"/>
    <n v="1"/>
    <n v="1"/>
    <n v="1.8980734554427257E-2"/>
    <n v="1"/>
    <n v="222244.07643295245"/>
  </r>
  <r>
    <x v="2"/>
    <x v="2"/>
    <s v="Visit family/friends"/>
    <x v="1"/>
    <n v="157166834.45463219"/>
    <n v="7.4500000000000011E-2"/>
    <n v="11708929.1668701"/>
    <n v="3"/>
    <n v="3"/>
    <n v="3"/>
    <n v="5.6942203663281767E-2"/>
    <n v="1"/>
    <n v="666732.22929885739"/>
  </r>
  <r>
    <x v="2"/>
    <x v="2"/>
    <s v="Visit family/friends"/>
    <x v="2"/>
    <n v="157166834.45463219"/>
    <n v="7.4500000000000011E-2"/>
    <n v="11708929.1668701"/>
    <n v="5"/>
    <n v="5"/>
    <n v="5"/>
    <n v="9.490367277213628E-2"/>
    <n v="1"/>
    <n v="1111220.3821647624"/>
  </r>
  <r>
    <x v="2"/>
    <x v="2"/>
    <s v="Visit family/friends"/>
    <x v="3"/>
    <n v="157166834.45463219"/>
    <n v="7.4500000000000011E-2"/>
    <n v="11708929.1668701"/>
    <n v="7"/>
    <n v="7"/>
    <n v="7"/>
    <n v="0.1328651418809908"/>
    <n v="1"/>
    <n v="1555708.5350306672"/>
  </r>
  <r>
    <x v="2"/>
    <x v="2"/>
    <s v="Visit family/friends"/>
    <x v="4"/>
    <n v="157166834.45463219"/>
    <n v="7.4500000000000011E-2"/>
    <n v="11708929.1668701"/>
    <n v="35.22"/>
    <n v="38.15"/>
    <n v="36.685000000000002"/>
    <n v="0.69630824712916395"/>
    <n v="1"/>
    <n v="8153023.9439428616"/>
  </r>
  <r>
    <x v="2"/>
    <x v="2"/>
    <s v="Entertainment/leisure/sports"/>
    <x v="0"/>
    <n v="157166834.45463219"/>
    <n v="0.19524999999999998"/>
    <n v="30686824.427266933"/>
    <n v="1"/>
    <n v="1"/>
    <n v="1"/>
    <n v="1.8980734554427257E-2"/>
    <n v="1"/>
    <n v="582458.46877226792"/>
  </r>
  <r>
    <x v="2"/>
    <x v="2"/>
    <s v="Entertainment/leisure/sports"/>
    <x v="1"/>
    <n v="157166834.45463219"/>
    <n v="0.19524999999999998"/>
    <n v="30686824.427266933"/>
    <n v="3"/>
    <n v="3"/>
    <n v="3"/>
    <n v="5.6942203663281767E-2"/>
    <n v="1"/>
    <n v="1747375.4063168035"/>
  </r>
  <r>
    <x v="2"/>
    <x v="2"/>
    <s v="Entertainment/leisure/sports"/>
    <x v="2"/>
    <n v="157166834.45463219"/>
    <n v="0.19524999999999998"/>
    <n v="30686824.427266933"/>
    <n v="5"/>
    <n v="5"/>
    <n v="5"/>
    <n v="9.490367277213628E-2"/>
    <n v="1"/>
    <n v="2912292.3438613391"/>
  </r>
  <r>
    <x v="2"/>
    <x v="2"/>
    <s v="Entertainment/leisure/sports"/>
    <x v="3"/>
    <n v="157166834.45463219"/>
    <n v="0.19524999999999998"/>
    <n v="30686824.427266933"/>
    <n v="7"/>
    <n v="7"/>
    <n v="7"/>
    <n v="0.1328651418809908"/>
    <n v="1"/>
    <n v="4077209.2814058755"/>
  </r>
  <r>
    <x v="2"/>
    <x v="2"/>
    <s v="Entertainment/leisure/sports"/>
    <x v="4"/>
    <n v="157166834.45463219"/>
    <n v="0.19524999999999998"/>
    <n v="30686824.427266933"/>
    <n v="35.22"/>
    <n v="38.15"/>
    <n v="36.685000000000002"/>
    <n v="0.69630824712916395"/>
    <n v="1"/>
    <n v="21367488.92691065"/>
  </r>
  <r>
    <x v="2"/>
    <x v="2"/>
    <s v="Personal Business"/>
    <x v="0"/>
    <n v="157166834.45463219"/>
    <n v="4.4499999999999991E-2"/>
    <n v="6993924.1332311314"/>
    <n v="1"/>
    <n v="1"/>
    <n v="1"/>
    <n v="1.8980734554427257E-2"/>
    <n v="1"/>
    <n v="132749.81746666285"/>
  </r>
  <r>
    <x v="2"/>
    <x v="2"/>
    <s v="Personal Business"/>
    <x v="1"/>
    <n v="157166834.45463219"/>
    <n v="4.4499999999999991E-2"/>
    <n v="6993924.1332311314"/>
    <n v="3"/>
    <n v="3"/>
    <n v="3"/>
    <n v="5.6942203663281767E-2"/>
    <n v="1"/>
    <n v="398249.45239998848"/>
  </r>
  <r>
    <x v="2"/>
    <x v="2"/>
    <s v="Personal Business"/>
    <x v="2"/>
    <n v="157166834.45463219"/>
    <n v="4.4499999999999991E-2"/>
    <n v="6993924.1332311314"/>
    <n v="5"/>
    <n v="5"/>
    <n v="5"/>
    <n v="9.490367277213628E-2"/>
    <n v="1"/>
    <n v="663749.08733331412"/>
  </r>
  <r>
    <x v="2"/>
    <x v="2"/>
    <s v="Personal Business"/>
    <x v="3"/>
    <n v="157166834.45463219"/>
    <n v="4.4499999999999991E-2"/>
    <n v="6993924.1332311314"/>
    <n v="7"/>
    <n v="7"/>
    <n v="7"/>
    <n v="0.1328651418809908"/>
    <n v="1"/>
    <n v="929248.72226663982"/>
  </r>
  <r>
    <x v="2"/>
    <x v="2"/>
    <s v="Personal Business"/>
    <x v="4"/>
    <n v="157166834.45463219"/>
    <n v="4.4499999999999991E-2"/>
    <n v="6993924.1332311314"/>
    <n v="35.22"/>
    <n v="38.15"/>
    <n v="36.685000000000002"/>
    <n v="0.69630824712916395"/>
    <n v="1"/>
    <n v="4869927.0537645267"/>
  </r>
  <r>
    <x v="2"/>
    <x v="2"/>
    <s v="Companion/Escort Journey"/>
    <x v="0"/>
    <n v="157166834.45463219"/>
    <n v="8.5500000000000007E-2"/>
    <n v="13437764.345871054"/>
    <n v="1"/>
    <n v="1"/>
    <n v="1"/>
    <n v="1.8980734554427257E-2"/>
    <n v="1"/>
    <n v="255058.6380539253"/>
  </r>
  <r>
    <x v="2"/>
    <x v="2"/>
    <s v="Companion/Escort Journey"/>
    <x v="1"/>
    <n v="157166834.45463219"/>
    <n v="8.5500000000000007E-2"/>
    <n v="13437764.345871054"/>
    <n v="3"/>
    <n v="3"/>
    <n v="3"/>
    <n v="5.6942203663281767E-2"/>
    <n v="1"/>
    <n v="765175.91416177584"/>
  </r>
  <r>
    <x v="2"/>
    <x v="2"/>
    <s v="Companion/Escort Journey"/>
    <x v="2"/>
    <n v="157166834.45463219"/>
    <n v="8.5500000000000007E-2"/>
    <n v="13437764.345871054"/>
    <n v="5"/>
    <n v="5"/>
    <n v="5"/>
    <n v="9.490367277213628E-2"/>
    <n v="1"/>
    <n v="1275293.1902696264"/>
  </r>
  <r>
    <x v="2"/>
    <x v="2"/>
    <s v="Companion/Escort Journey"/>
    <x v="3"/>
    <n v="157166834.45463219"/>
    <n v="8.5500000000000007E-2"/>
    <n v="13437764.345871054"/>
    <n v="7"/>
    <n v="7"/>
    <n v="7"/>
    <n v="0.1328651418809908"/>
    <n v="1"/>
    <n v="1785410.4663774772"/>
  </r>
  <r>
    <x v="2"/>
    <x v="2"/>
    <s v="Companion/Escort Journey"/>
    <x v="4"/>
    <n v="157166834.45463219"/>
    <n v="8.5500000000000007E-2"/>
    <n v="13437764.345871054"/>
    <n v="35.22"/>
    <n v="38.15"/>
    <n v="36.685000000000002"/>
    <n v="0.69630824712916395"/>
    <n v="1"/>
    <n v="9356826.1370082498"/>
  </r>
  <r>
    <x v="2"/>
    <x v="2"/>
    <s v="Other"/>
    <x v="0"/>
    <n v="157166834.45463219"/>
    <n v="6.4000000000000001E-2"/>
    <n v="10058677.40509646"/>
    <n v="1"/>
    <n v="1"/>
    <n v="1"/>
    <n v="1.8980734554427257E-2"/>
    <n v="1"/>
    <n v="190921.08579475107"/>
  </r>
  <r>
    <x v="2"/>
    <x v="2"/>
    <s v="Other"/>
    <x v="1"/>
    <n v="157166834.45463219"/>
    <n v="6.4000000000000001E-2"/>
    <n v="10058677.40509646"/>
    <n v="3"/>
    <n v="3"/>
    <n v="3"/>
    <n v="5.6942203663281767E-2"/>
    <n v="1"/>
    <n v="572763.2573842532"/>
  </r>
  <r>
    <x v="2"/>
    <x v="2"/>
    <s v="Other"/>
    <x v="2"/>
    <n v="157166834.45463219"/>
    <n v="6.4000000000000001E-2"/>
    <n v="10058677.40509646"/>
    <n v="5"/>
    <n v="5"/>
    <n v="5"/>
    <n v="9.490367277213628E-2"/>
    <n v="1"/>
    <n v="954605.42897375533"/>
  </r>
  <r>
    <x v="2"/>
    <x v="2"/>
    <s v="Other"/>
    <x v="3"/>
    <n v="157166834.45463219"/>
    <n v="6.4000000000000001E-2"/>
    <n v="10058677.40509646"/>
    <n v="7"/>
    <n v="7"/>
    <n v="7"/>
    <n v="0.1328651418809908"/>
    <n v="1"/>
    <n v="1336447.6005632575"/>
  </r>
  <r>
    <x v="2"/>
    <x v="2"/>
    <s v="Other"/>
    <x v="4"/>
    <n v="157166834.45463219"/>
    <n v="6.4000000000000001E-2"/>
    <n v="10058677.40509646"/>
    <n v="35.22"/>
    <n v="38.15"/>
    <n v="36.685000000000002"/>
    <n v="0.69630824712916395"/>
    <n v="1"/>
    <n v="7003940.0323804431"/>
  </r>
  <r>
    <x v="2"/>
    <x v="3"/>
    <s v="Work"/>
    <x v="0"/>
    <n v="2719981114.5358052"/>
    <n v="0.28824999999999995"/>
    <n v="784034556.26494575"/>
    <n v="1"/>
    <n v="1"/>
    <n v="1"/>
    <n v="1.8980734554427257E-2"/>
    <n v="1"/>
    <n v="14881551.793963097"/>
  </r>
  <r>
    <x v="2"/>
    <x v="3"/>
    <s v="Work"/>
    <x v="1"/>
    <n v="2719981114.5358052"/>
    <n v="0.28824999999999995"/>
    <n v="784034556.26494575"/>
    <n v="3"/>
    <n v="3"/>
    <n v="3"/>
    <n v="5.6942203663281767E-2"/>
    <n v="1"/>
    <n v="44644655.381889291"/>
  </r>
  <r>
    <x v="2"/>
    <x v="3"/>
    <s v="Work"/>
    <x v="2"/>
    <n v="2719981114.5358052"/>
    <n v="0.28824999999999995"/>
    <n v="784034556.26494575"/>
    <n v="5"/>
    <n v="5"/>
    <n v="5"/>
    <n v="9.490367277213628E-2"/>
    <n v="1"/>
    <n v="74407758.969815478"/>
  </r>
  <r>
    <x v="2"/>
    <x v="3"/>
    <s v="Work"/>
    <x v="3"/>
    <n v="2719981114.5358052"/>
    <n v="0.28824999999999995"/>
    <n v="784034556.26494575"/>
    <n v="7"/>
    <n v="7"/>
    <n v="7"/>
    <n v="0.1328651418809908"/>
    <n v="1"/>
    <n v="104170862.55774169"/>
  </r>
  <r>
    <x v="2"/>
    <x v="3"/>
    <s v="Work"/>
    <x v="4"/>
    <n v="2719981114.5358052"/>
    <n v="0.28824999999999995"/>
    <n v="784034556.26494575"/>
    <n v="35.22"/>
    <n v="38.15"/>
    <n v="36.685000000000002"/>
    <n v="0.69630824712916395"/>
    <n v="1"/>
    <n v="545929727.56153619"/>
  </r>
  <r>
    <x v="2"/>
    <x v="3"/>
    <s v="Education"/>
    <x v="0"/>
    <n v="2719981114.5358052"/>
    <n v="0.12437499999999999"/>
    <n v="338297651.12039071"/>
    <n v="1"/>
    <n v="1"/>
    <n v="1"/>
    <n v="1.8980734554427257E-2"/>
    <n v="1"/>
    <n v="6421137.9163023764"/>
  </r>
  <r>
    <x v="2"/>
    <x v="3"/>
    <s v="Education"/>
    <x v="1"/>
    <n v="2719981114.5358052"/>
    <n v="0.12437499999999999"/>
    <n v="338297651.12039071"/>
    <n v="3"/>
    <n v="3"/>
    <n v="3"/>
    <n v="5.6942203663281767E-2"/>
    <n v="1"/>
    <n v="19263413.74890713"/>
  </r>
  <r>
    <x v="2"/>
    <x v="3"/>
    <s v="Education"/>
    <x v="2"/>
    <n v="2719981114.5358052"/>
    <n v="0.12437499999999999"/>
    <n v="338297651.12039071"/>
    <n v="5"/>
    <n v="5"/>
    <n v="5"/>
    <n v="9.490367277213628E-2"/>
    <n v="1"/>
    <n v="32105689.581511881"/>
  </r>
  <r>
    <x v="2"/>
    <x v="3"/>
    <s v="Education"/>
    <x v="3"/>
    <n v="2719981114.5358052"/>
    <n v="0.12437499999999999"/>
    <n v="338297651.12039071"/>
    <n v="7"/>
    <n v="7"/>
    <n v="7"/>
    <n v="0.1328651418809908"/>
    <n v="1"/>
    <n v="44947965.414116636"/>
  </r>
  <r>
    <x v="2"/>
    <x v="3"/>
    <s v="Education"/>
    <x v="4"/>
    <n v="2719981114.5358052"/>
    <n v="0.12437499999999999"/>
    <n v="338297651.12039071"/>
    <n v="35.22"/>
    <n v="38.15"/>
    <n v="36.685000000000002"/>
    <n v="0.69630824712916395"/>
    <n v="1"/>
    <n v="235559444.45955271"/>
  </r>
  <r>
    <x v="2"/>
    <x v="3"/>
    <s v="Shopping"/>
    <x v="0"/>
    <n v="2719981114.5358052"/>
    <n v="0.18625"/>
    <n v="506596482.58229375"/>
    <n v="1"/>
    <n v="1"/>
    <n v="1"/>
    <n v="1.8980734554427257E-2"/>
    <n v="1"/>
    <n v="9615573.3621010482"/>
  </r>
  <r>
    <x v="2"/>
    <x v="3"/>
    <s v="Shopping"/>
    <x v="1"/>
    <n v="2719981114.5358052"/>
    <n v="0.18625"/>
    <n v="506596482.58229375"/>
    <n v="3"/>
    <n v="3"/>
    <n v="3"/>
    <n v="5.6942203663281767E-2"/>
    <n v="1"/>
    <n v="28846720.086303145"/>
  </r>
  <r>
    <x v="2"/>
    <x v="3"/>
    <s v="Shopping"/>
    <x v="2"/>
    <n v="2719981114.5358052"/>
    <n v="0.18625"/>
    <n v="506596482.58229375"/>
    <n v="5"/>
    <n v="5"/>
    <n v="5"/>
    <n v="9.490367277213628E-2"/>
    <n v="1"/>
    <n v="48077866.810505241"/>
  </r>
  <r>
    <x v="2"/>
    <x v="3"/>
    <s v="Shopping"/>
    <x v="3"/>
    <n v="2719981114.5358052"/>
    <n v="0.18625"/>
    <n v="506596482.58229375"/>
    <n v="7"/>
    <n v="7"/>
    <n v="7"/>
    <n v="0.1328651418809908"/>
    <n v="1"/>
    <n v="67309013.534707338"/>
  </r>
  <r>
    <x v="2"/>
    <x v="3"/>
    <s v="Shopping"/>
    <x v="4"/>
    <n v="2719981114.5358052"/>
    <n v="0.18625"/>
    <n v="506596482.58229375"/>
    <n v="35.22"/>
    <n v="38.15"/>
    <n v="36.685000000000002"/>
    <n v="0.69630824712916395"/>
    <n v="1"/>
    <n v="352747308.78867698"/>
  </r>
  <r>
    <x v="2"/>
    <x v="3"/>
    <s v="To eat or drink"/>
    <x v="0"/>
    <n v="2719981114.5358052"/>
    <n v="1.7000000000000001E-2"/>
    <n v="46239678.947108693"/>
    <n v="1"/>
    <n v="1"/>
    <n v="1"/>
    <n v="1.8980734554427257E-2"/>
    <n v="1"/>
    <n v="877663.07197700848"/>
  </r>
  <r>
    <x v="2"/>
    <x v="3"/>
    <s v="To eat or drink"/>
    <x v="1"/>
    <n v="2719981114.5358052"/>
    <n v="1.7000000000000001E-2"/>
    <n v="46239678.947108693"/>
    <n v="3"/>
    <n v="3"/>
    <n v="3"/>
    <n v="5.6942203663281767E-2"/>
    <n v="1"/>
    <n v="2632989.2159310253"/>
  </r>
  <r>
    <x v="2"/>
    <x v="3"/>
    <s v="To eat or drink"/>
    <x v="2"/>
    <n v="2719981114.5358052"/>
    <n v="1.7000000000000001E-2"/>
    <n v="46239678.947108693"/>
    <n v="5"/>
    <n v="5"/>
    <n v="5"/>
    <n v="9.490367277213628E-2"/>
    <n v="1"/>
    <n v="4388315.3598850425"/>
  </r>
  <r>
    <x v="2"/>
    <x v="3"/>
    <s v="To eat or drink"/>
    <x v="3"/>
    <n v="2719981114.5358052"/>
    <n v="1.7000000000000001E-2"/>
    <n v="46239678.947108693"/>
    <n v="7"/>
    <n v="7"/>
    <n v="7"/>
    <n v="0.1328651418809908"/>
    <n v="1"/>
    <n v="6143641.5038390597"/>
  </r>
  <r>
    <x v="2"/>
    <x v="3"/>
    <s v="To eat or drink"/>
    <x v="4"/>
    <n v="2719981114.5358052"/>
    <n v="1.7000000000000001E-2"/>
    <n v="46239678.947108693"/>
    <n v="35.22"/>
    <n v="38.15"/>
    <n v="36.685000000000002"/>
    <n v="0.69630824712916395"/>
    <n v="1"/>
    <n v="32197069.79547656"/>
  </r>
  <r>
    <x v="2"/>
    <x v="3"/>
    <s v="Visit family/friends"/>
    <x v="0"/>
    <n v="2719981114.5358052"/>
    <n v="0.10375000000000002"/>
    <n v="282198040.63308984"/>
    <n v="1"/>
    <n v="1"/>
    <n v="1"/>
    <n v="1.8980734554427257E-2"/>
    <n v="1"/>
    <n v="5356326.1010361556"/>
  </r>
  <r>
    <x v="2"/>
    <x v="3"/>
    <s v="Visit family/friends"/>
    <x v="1"/>
    <n v="2719981114.5358052"/>
    <n v="0.10375000000000002"/>
    <n v="282198040.63308984"/>
    <n v="3"/>
    <n v="3"/>
    <n v="3"/>
    <n v="5.6942203663281767E-2"/>
    <n v="1"/>
    <n v="16068978.303108465"/>
  </r>
  <r>
    <x v="2"/>
    <x v="3"/>
    <s v="Visit family/friends"/>
    <x v="2"/>
    <n v="2719981114.5358052"/>
    <n v="0.10375000000000002"/>
    <n v="282198040.63308984"/>
    <n v="5"/>
    <n v="5"/>
    <n v="5"/>
    <n v="9.490367277213628E-2"/>
    <n v="1"/>
    <n v="26781630.505180776"/>
  </r>
  <r>
    <x v="2"/>
    <x v="3"/>
    <s v="Visit family/friends"/>
    <x v="3"/>
    <n v="2719981114.5358052"/>
    <n v="0.10375000000000002"/>
    <n v="282198040.63308984"/>
    <n v="7"/>
    <n v="7"/>
    <n v="7"/>
    <n v="0.1328651418809908"/>
    <n v="1"/>
    <n v="37494282.707253091"/>
  </r>
  <r>
    <x v="2"/>
    <x v="3"/>
    <s v="Visit family/friends"/>
    <x v="4"/>
    <n v="2719981114.5358052"/>
    <n v="0.10375000000000002"/>
    <n v="282198040.63308984"/>
    <n v="35.22"/>
    <n v="38.15"/>
    <n v="36.685000000000002"/>
    <n v="0.69630824712916395"/>
    <n v="1"/>
    <n v="196496823.01651138"/>
  </r>
  <r>
    <x v="2"/>
    <x v="3"/>
    <s v="Entertainment/leisure/sports"/>
    <x v="0"/>
    <n v="2719981114.5358052"/>
    <n v="7.0250000000000007E-2"/>
    <n v="191078673.29614034"/>
    <n v="1"/>
    <n v="1"/>
    <n v="1"/>
    <n v="1.8980734554427257E-2"/>
    <n v="1"/>
    <n v="3626813.5768461679"/>
  </r>
  <r>
    <x v="2"/>
    <x v="3"/>
    <s v="Entertainment/leisure/sports"/>
    <x v="1"/>
    <n v="2719981114.5358052"/>
    <n v="7.0250000000000007E-2"/>
    <n v="191078673.29614034"/>
    <n v="3"/>
    <n v="3"/>
    <n v="3"/>
    <n v="5.6942203663281767E-2"/>
    <n v="1"/>
    <n v="10880440.730538502"/>
  </r>
  <r>
    <x v="2"/>
    <x v="3"/>
    <s v="Entertainment/leisure/sports"/>
    <x v="2"/>
    <n v="2719981114.5358052"/>
    <n v="7.0250000000000007E-2"/>
    <n v="191078673.29614034"/>
    <n v="5"/>
    <n v="5"/>
    <n v="5"/>
    <n v="9.490367277213628E-2"/>
    <n v="1"/>
    <n v="18134067.884230837"/>
  </r>
  <r>
    <x v="2"/>
    <x v="3"/>
    <s v="Entertainment/leisure/sports"/>
    <x v="3"/>
    <n v="2719981114.5358052"/>
    <n v="7.0250000000000007E-2"/>
    <n v="191078673.29614034"/>
    <n v="7"/>
    <n v="7"/>
    <n v="7"/>
    <n v="0.1328651418809908"/>
    <n v="1"/>
    <n v="25387695.037923176"/>
  </r>
  <r>
    <x v="2"/>
    <x v="3"/>
    <s v="Entertainment/leisure/sports"/>
    <x v="4"/>
    <n v="2719981114.5358052"/>
    <n v="7.0250000000000007E-2"/>
    <n v="191078673.29614034"/>
    <n v="35.22"/>
    <n v="38.15"/>
    <n v="36.685000000000002"/>
    <n v="0.69630824712916395"/>
    <n v="1"/>
    <n v="133049656.06660166"/>
  </r>
  <r>
    <x v="2"/>
    <x v="3"/>
    <s v="Personal Business"/>
    <x v="0"/>
    <n v="2719981114.5358052"/>
    <n v="9.6374999999999988E-2"/>
    <n v="262138179.91338819"/>
    <n v="1"/>
    <n v="1"/>
    <n v="1"/>
    <n v="1.8980734554427257E-2"/>
    <n v="1"/>
    <n v="4975575.2095167162"/>
  </r>
  <r>
    <x v="2"/>
    <x v="3"/>
    <s v="Personal Business"/>
    <x v="1"/>
    <n v="2719981114.5358052"/>
    <n v="9.6374999999999988E-2"/>
    <n v="262138179.91338819"/>
    <n v="3"/>
    <n v="3"/>
    <n v="3"/>
    <n v="5.6942203663281767E-2"/>
    <n v="1"/>
    <n v="14926725.628550148"/>
  </r>
  <r>
    <x v="2"/>
    <x v="3"/>
    <s v="Personal Business"/>
    <x v="2"/>
    <n v="2719981114.5358052"/>
    <n v="9.6374999999999988E-2"/>
    <n v="262138179.91338819"/>
    <n v="5"/>
    <n v="5"/>
    <n v="5"/>
    <n v="9.490367277213628E-2"/>
    <n v="1"/>
    <n v="24877876.04758358"/>
  </r>
  <r>
    <x v="2"/>
    <x v="3"/>
    <s v="Personal Business"/>
    <x v="3"/>
    <n v="2719981114.5358052"/>
    <n v="9.6374999999999988E-2"/>
    <n v="262138179.91338819"/>
    <n v="7"/>
    <n v="7"/>
    <n v="7"/>
    <n v="0.1328651418809908"/>
    <n v="1"/>
    <n v="34829026.466617018"/>
  </r>
  <r>
    <x v="2"/>
    <x v="3"/>
    <s v="Personal Business"/>
    <x v="4"/>
    <n v="2719981114.5358052"/>
    <n v="9.6374999999999988E-2"/>
    <n v="262138179.91338819"/>
    <n v="35.22"/>
    <n v="38.15"/>
    <n v="36.685000000000002"/>
    <n v="0.69630824712916395"/>
    <n v="1"/>
    <n v="182528976.56112075"/>
  </r>
  <r>
    <x v="2"/>
    <x v="3"/>
    <s v="Companion/Escort Journey"/>
    <x v="0"/>
    <n v="2719981114.5358052"/>
    <n v="2.2499999999999999E-2"/>
    <n v="61199575.077055618"/>
    <n v="1"/>
    <n v="1"/>
    <n v="1"/>
    <n v="1.8980734554427257E-2"/>
    <n v="1"/>
    <n v="1161612.8893813347"/>
  </r>
  <r>
    <x v="2"/>
    <x v="3"/>
    <s v="Companion/Escort Journey"/>
    <x v="1"/>
    <n v="2719981114.5358052"/>
    <n v="2.2499999999999999E-2"/>
    <n v="61199575.077055618"/>
    <n v="3"/>
    <n v="3"/>
    <n v="3"/>
    <n v="5.6942203663281767E-2"/>
    <n v="1"/>
    <n v="3484838.668144004"/>
  </r>
  <r>
    <x v="2"/>
    <x v="3"/>
    <s v="Companion/Escort Journey"/>
    <x v="2"/>
    <n v="2719981114.5358052"/>
    <n v="2.2499999999999999E-2"/>
    <n v="61199575.077055618"/>
    <n v="5"/>
    <n v="5"/>
    <n v="5"/>
    <n v="9.490367277213628E-2"/>
    <n v="1"/>
    <n v="5808064.4469066737"/>
  </r>
  <r>
    <x v="2"/>
    <x v="3"/>
    <s v="Companion/Escort Journey"/>
    <x v="3"/>
    <n v="2719981114.5358052"/>
    <n v="2.2499999999999999E-2"/>
    <n v="61199575.077055618"/>
    <n v="7"/>
    <n v="7"/>
    <n v="7"/>
    <n v="0.1328651418809908"/>
    <n v="1"/>
    <n v="8131290.225669343"/>
  </r>
  <r>
    <x v="2"/>
    <x v="3"/>
    <s v="Companion/Escort Journey"/>
    <x v="4"/>
    <n v="2719981114.5358052"/>
    <n v="2.2499999999999999E-2"/>
    <n v="61199575.077055618"/>
    <n v="35.22"/>
    <n v="38.15"/>
    <n v="36.685000000000002"/>
    <n v="0.69630824712916395"/>
    <n v="1"/>
    <n v="42613768.846954264"/>
  </r>
  <r>
    <x v="2"/>
    <x v="3"/>
    <s v="Other"/>
    <x v="0"/>
    <n v="2719981114.5358052"/>
    <n v="9.1250000000000012E-2"/>
    <n v="248198276.70139226"/>
    <n v="1"/>
    <n v="1"/>
    <n v="1"/>
    <n v="1.8980734554427257E-2"/>
    <n v="1"/>
    <n v="4710985.6069354136"/>
  </r>
  <r>
    <x v="2"/>
    <x v="3"/>
    <s v="Other"/>
    <x v="1"/>
    <n v="2719981114.5358052"/>
    <n v="9.1250000000000012E-2"/>
    <n v="248198276.70139226"/>
    <n v="3"/>
    <n v="3"/>
    <n v="3"/>
    <n v="5.6942203663281767E-2"/>
    <n v="1"/>
    <n v="14132956.820806241"/>
  </r>
  <r>
    <x v="2"/>
    <x v="3"/>
    <s v="Other"/>
    <x v="2"/>
    <n v="2719981114.5358052"/>
    <n v="9.1250000000000012E-2"/>
    <n v="248198276.70139226"/>
    <n v="5"/>
    <n v="5"/>
    <n v="5"/>
    <n v="9.490367277213628E-2"/>
    <n v="1"/>
    <n v="23554928.034677066"/>
  </r>
  <r>
    <x v="2"/>
    <x v="3"/>
    <s v="Other"/>
    <x v="3"/>
    <n v="2719981114.5358052"/>
    <n v="9.1250000000000012E-2"/>
    <n v="248198276.70139226"/>
    <n v="7"/>
    <n v="7"/>
    <n v="7"/>
    <n v="0.1328651418809908"/>
    <n v="1"/>
    <n v="32976899.248547897"/>
  </r>
  <r>
    <x v="2"/>
    <x v="3"/>
    <s v="Other"/>
    <x v="4"/>
    <n v="2719981114.5358052"/>
    <n v="9.1250000000000012E-2"/>
    <n v="248198276.70139226"/>
    <n v="35.22"/>
    <n v="38.15"/>
    <n v="36.685000000000002"/>
    <n v="0.69630824712916395"/>
    <n v="1"/>
    <n v="172822506.99042565"/>
  </r>
  <r>
    <x v="2"/>
    <x v="4"/>
    <s v="Work"/>
    <x v="0"/>
    <n v="145514747.73957029"/>
    <n v="0.17649999999999999"/>
    <n v="25683352.976034153"/>
    <n v="1"/>
    <n v="1"/>
    <n v="1"/>
    <n v="1.8980734554427257E-2"/>
    <n v="1"/>
    <n v="487488.90530576359"/>
  </r>
  <r>
    <x v="2"/>
    <x v="4"/>
    <s v="Work"/>
    <x v="1"/>
    <n v="145514747.73957029"/>
    <n v="0.17649999999999999"/>
    <n v="25683352.976034153"/>
    <n v="3"/>
    <n v="3"/>
    <n v="3"/>
    <n v="5.6942203663281767E-2"/>
    <n v="1"/>
    <n v="1462466.7159172907"/>
  </r>
  <r>
    <x v="2"/>
    <x v="4"/>
    <s v="Work"/>
    <x v="2"/>
    <n v="145514747.73957029"/>
    <n v="0.17649999999999999"/>
    <n v="25683352.976034153"/>
    <n v="5"/>
    <n v="5"/>
    <n v="5"/>
    <n v="9.490367277213628E-2"/>
    <n v="1"/>
    <n v="2437444.5265288176"/>
  </r>
  <r>
    <x v="2"/>
    <x v="4"/>
    <s v="Work"/>
    <x v="3"/>
    <n v="145514747.73957029"/>
    <n v="0.17649999999999999"/>
    <n v="25683352.976034153"/>
    <n v="7"/>
    <n v="7"/>
    <n v="7"/>
    <n v="0.1328651418809908"/>
    <n v="1"/>
    <n v="3412422.337140345"/>
  </r>
  <r>
    <x v="2"/>
    <x v="4"/>
    <s v="Work"/>
    <x v="4"/>
    <n v="145514747.73957029"/>
    <n v="0.17649999999999999"/>
    <n v="25683352.976034153"/>
    <n v="35.22"/>
    <n v="38.15"/>
    <n v="36.685000000000002"/>
    <n v="0.69630824712916395"/>
    <n v="1"/>
    <n v="17883530.491141938"/>
  </r>
  <r>
    <x v="2"/>
    <x v="4"/>
    <s v="Education"/>
    <x v="0"/>
    <n v="145514747.73957029"/>
    <n v="8.5249999999999992E-2"/>
    <n v="12405132.244798366"/>
    <n v="1"/>
    <n v="1"/>
    <n v="1"/>
    <n v="1.8980734554427257E-2"/>
    <n v="1"/>
    <n v="235458.5222510841"/>
  </r>
  <r>
    <x v="2"/>
    <x v="4"/>
    <s v="Education"/>
    <x v="1"/>
    <n v="145514747.73957029"/>
    <n v="8.5249999999999992E-2"/>
    <n v="12405132.244798366"/>
    <n v="3"/>
    <n v="3"/>
    <n v="3"/>
    <n v="5.6942203663281767E-2"/>
    <n v="1"/>
    <n v="706375.56675325229"/>
  </r>
  <r>
    <x v="2"/>
    <x v="4"/>
    <s v="Education"/>
    <x v="2"/>
    <n v="145514747.73957029"/>
    <n v="8.5249999999999992E-2"/>
    <n v="12405132.244798366"/>
    <n v="5"/>
    <n v="5"/>
    <n v="5"/>
    <n v="9.490367277213628E-2"/>
    <n v="1"/>
    <n v="1177292.6112554206"/>
  </r>
  <r>
    <x v="2"/>
    <x v="4"/>
    <s v="Education"/>
    <x v="3"/>
    <n v="145514747.73957029"/>
    <n v="8.5249999999999992E-2"/>
    <n v="12405132.244798366"/>
    <n v="7"/>
    <n v="7"/>
    <n v="7"/>
    <n v="0.1328651418809908"/>
    <n v="1"/>
    <n v="1648209.6557575888"/>
  </r>
  <r>
    <x v="2"/>
    <x v="4"/>
    <s v="Education"/>
    <x v="4"/>
    <n v="145514747.73957029"/>
    <n v="8.5249999999999992E-2"/>
    <n v="12405132.244798366"/>
    <n v="35.22"/>
    <n v="38.15"/>
    <n v="36.685000000000002"/>
    <n v="0.69630824712916395"/>
    <n v="1"/>
    <n v="8637795.8887810204"/>
  </r>
  <r>
    <x v="2"/>
    <x v="4"/>
    <s v="Shopping"/>
    <x v="0"/>
    <n v="145514747.73957029"/>
    <n v="0.23774999999999999"/>
    <n v="34596131.275082834"/>
    <n v="1"/>
    <n v="1"/>
    <n v="1"/>
    <n v="1.8980734554427257E-2"/>
    <n v="1"/>
    <n v="656659.98434246622"/>
  </r>
  <r>
    <x v="2"/>
    <x v="4"/>
    <s v="Shopping"/>
    <x v="1"/>
    <n v="145514747.73957029"/>
    <n v="0.23774999999999999"/>
    <n v="34596131.275082834"/>
    <n v="3"/>
    <n v="3"/>
    <n v="3"/>
    <n v="5.6942203663281767E-2"/>
    <n v="1"/>
    <n v="1969979.9530273986"/>
  </r>
  <r>
    <x v="2"/>
    <x v="4"/>
    <s v="Shopping"/>
    <x v="2"/>
    <n v="145514747.73957029"/>
    <n v="0.23774999999999999"/>
    <n v="34596131.275082834"/>
    <n v="5"/>
    <n v="5"/>
    <n v="5"/>
    <n v="9.490367277213628E-2"/>
    <n v="1"/>
    <n v="3283299.921712331"/>
  </r>
  <r>
    <x v="2"/>
    <x v="4"/>
    <s v="Shopping"/>
    <x v="3"/>
    <n v="145514747.73957029"/>
    <n v="0.23774999999999999"/>
    <n v="34596131.275082834"/>
    <n v="7"/>
    <n v="7"/>
    <n v="7"/>
    <n v="0.1328651418809908"/>
    <n v="1"/>
    <n v="4596619.8903972637"/>
  </r>
  <r>
    <x v="2"/>
    <x v="4"/>
    <s v="Shopping"/>
    <x v="4"/>
    <n v="145514747.73957029"/>
    <n v="0.23774999999999999"/>
    <n v="34596131.275082834"/>
    <n v="35.22"/>
    <n v="38.15"/>
    <n v="36.685000000000002"/>
    <n v="0.69630824712916395"/>
    <n v="1"/>
    <n v="24089571.525603376"/>
  </r>
  <r>
    <x v="2"/>
    <x v="4"/>
    <s v="To eat or drink"/>
    <x v="0"/>
    <n v="145514747.73957029"/>
    <n v="3.6750000000000005E-2"/>
    <n v="5347666.9794292087"/>
    <n v="1"/>
    <n v="1"/>
    <n v="1"/>
    <n v="1.8980734554427257E-2"/>
    <n v="1"/>
    <n v="101502.64742202162"/>
  </r>
  <r>
    <x v="2"/>
    <x v="4"/>
    <s v="To eat or drink"/>
    <x v="1"/>
    <n v="145514747.73957029"/>
    <n v="3.6750000000000005E-2"/>
    <n v="5347666.9794292087"/>
    <n v="3"/>
    <n v="3"/>
    <n v="3"/>
    <n v="5.6942203663281767E-2"/>
    <n v="1"/>
    <n v="304507.94226606481"/>
  </r>
  <r>
    <x v="2"/>
    <x v="4"/>
    <s v="To eat or drink"/>
    <x v="2"/>
    <n v="145514747.73957029"/>
    <n v="3.6750000000000005E-2"/>
    <n v="5347666.9794292087"/>
    <n v="5"/>
    <n v="5"/>
    <n v="5"/>
    <n v="9.490367277213628E-2"/>
    <n v="1"/>
    <n v="507513.23711010808"/>
  </r>
  <r>
    <x v="2"/>
    <x v="4"/>
    <s v="To eat or drink"/>
    <x v="3"/>
    <n v="145514747.73957029"/>
    <n v="3.6750000000000005E-2"/>
    <n v="5347666.9794292087"/>
    <n v="7"/>
    <n v="7"/>
    <n v="7"/>
    <n v="0.1328651418809908"/>
    <n v="1"/>
    <n v="710518.53195415135"/>
  </r>
  <r>
    <x v="2"/>
    <x v="4"/>
    <s v="To eat or drink"/>
    <x v="4"/>
    <n v="145514747.73957029"/>
    <n v="3.6750000000000005E-2"/>
    <n v="5347666.9794292087"/>
    <n v="35.22"/>
    <n v="38.15"/>
    <n v="36.685000000000002"/>
    <n v="0.69630824712916395"/>
    <n v="1"/>
    <n v="3723624.620676863"/>
  </r>
  <r>
    <x v="2"/>
    <x v="4"/>
    <s v="Visit family/friends"/>
    <x v="0"/>
    <n v="145514747.73957029"/>
    <n v="7.4500000000000011E-2"/>
    <n v="10840848.706597988"/>
    <n v="1"/>
    <n v="1"/>
    <n v="1"/>
    <n v="1.8980734554427257E-2"/>
    <n v="1"/>
    <n v="205767.27164464246"/>
  </r>
  <r>
    <x v="2"/>
    <x v="4"/>
    <s v="Visit family/friends"/>
    <x v="1"/>
    <n v="145514747.73957029"/>
    <n v="7.4500000000000011E-2"/>
    <n v="10840848.706597988"/>
    <n v="3"/>
    <n v="3"/>
    <n v="3"/>
    <n v="5.6942203663281767E-2"/>
    <n v="1"/>
    <n v="617301.81493392738"/>
  </r>
  <r>
    <x v="2"/>
    <x v="4"/>
    <s v="Visit family/friends"/>
    <x v="2"/>
    <n v="145514747.73957029"/>
    <n v="7.4500000000000011E-2"/>
    <n v="10840848.706597988"/>
    <n v="5"/>
    <n v="5"/>
    <n v="5"/>
    <n v="9.490367277213628E-2"/>
    <n v="1"/>
    <n v="1028836.3582232122"/>
  </r>
  <r>
    <x v="2"/>
    <x v="4"/>
    <s v="Visit family/friends"/>
    <x v="3"/>
    <n v="145514747.73957029"/>
    <n v="7.4500000000000011E-2"/>
    <n v="10840848.706597988"/>
    <n v="7"/>
    <n v="7"/>
    <n v="7"/>
    <n v="0.1328651418809908"/>
    <n v="1"/>
    <n v="1440370.9015124973"/>
  </r>
  <r>
    <x v="2"/>
    <x v="4"/>
    <s v="Visit family/friends"/>
    <x v="4"/>
    <n v="145514747.73957029"/>
    <n v="7.4500000000000011E-2"/>
    <n v="10840848.706597988"/>
    <n v="35.22"/>
    <n v="38.15"/>
    <n v="36.685000000000002"/>
    <n v="0.69630824712916395"/>
    <n v="1"/>
    <n v="7548572.3602837091"/>
  </r>
  <r>
    <x v="2"/>
    <x v="4"/>
    <s v="Entertainment/leisure/sports"/>
    <x v="0"/>
    <n v="145514747.73957029"/>
    <n v="0.19524999999999998"/>
    <n v="28411754.496151097"/>
    <n v="1"/>
    <n v="1"/>
    <n v="1"/>
    <n v="1.8980734554427257E-2"/>
    <n v="1"/>
    <n v="539275.97031699913"/>
  </r>
  <r>
    <x v="2"/>
    <x v="4"/>
    <s v="Entertainment/leisure/sports"/>
    <x v="1"/>
    <n v="145514747.73957029"/>
    <n v="0.19524999999999998"/>
    <n v="28411754.496151097"/>
    <n v="3"/>
    <n v="3"/>
    <n v="3"/>
    <n v="5.6942203663281767E-2"/>
    <n v="1"/>
    <n v="1617827.9109509971"/>
  </r>
  <r>
    <x v="2"/>
    <x v="4"/>
    <s v="Entertainment/leisure/sports"/>
    <x v="2"/>
    <n v="145514747.73957029"/>
    <n v="0.19524999999999998"/>
    <n v="28411754.496151097"/>
    <n v="5"/>
    <n v="5"/>
    <n v="5"/>
    <n v="9.490367277213628E-2"/>
    <n v="1"/>
    <n v="2696379.8515849956"/>
  </r>
  <r>
    <x v="2"/>
    <x v="4"/>
    <s v="Entertainment/leisure/sports"/>
    <x v="3"/>
    <n v="145514747.73957029"/>
    <n v="0.19524999999999998"/>
    <n v="28411754.496151097"/>
    <n v="7"/>
    <n v="7"/>
    <n v="7"/>
    <n v="0.1328651418809908"/>
    <n v="1"/>
    <n v="3774931.7922189939"/>
  </r>
  <r>
    <x v="2"/>
    <x v="4"/>
    <s v="Entertainment/leisure/sports"/>
    <x v="4"/>
    <n v="145514747.73957029"/>
    <n v="0.19524999999999998"/>
    <n v="28411754.496151097"/>
    <n v="35.22"/>
    <n v="38.15"/>
    <n v="36.685000000000002"/>
    <n v="0.69630824712916395"/>
    <n v="1"/>
    <n v="19783338.971079115"/>
  </r>
  <r>
    <x v="2"/>
    <x v="4"/>
    <s v="Personal Business"/>
    <x v="0"/>
    <n v="145514747.73957029"/>
    <n v="4.4499999999999991E-2"/>
    <n v="6475406.2744108764"/>
    <n v="1"/>
    <n v="1"/>
    <n v="1"/>
    <n v="1.8980734554427257E-2"/>
    <n v="1"/>
    <n v="122907.96762666559"/>
  </r>
  <r>
    <x v="2"/>
    <x v="4"/>
    <s v="Personal Business"/>
    <x v="1"/>
    <n v="145514747.73957029"/>
    <n v="4.4499999999999991E-2"/>
    <n v="6475406.2744108764"/>
    <n v="3"/>
    <n v="3"/>
    <n v="3"/>
    <n v="5.6942203663281767E-2"/>
    <n v="1"/>
    <n v="368723.90287999675"/>
  </r>
  <r>
    <x v="2"/>
    <x v="4"/>
    <s v="Personal Business"/>
    <x v="2"/>
    <n v="145514747.73957029"/>
    <n v="4.4499999999999991E-2"/>
    <n v="6475406.2744108764"/>
    <n v="5"/>
    <n v="5"/>
    <n v="5"/>
    <n v="9.490367277213628E-2"/>
    <n v="1"/>
    <n v="614539.8381333279"/>
  </r>
  <r>
    <x v="2"/>
    <x v="4"/>
    <s v="Personal Business"/>
    <x v="3"/>
    <n v="145514747.73957029"/>
    <n v="4.4499999999999991E-2"/>
    <n v="6475406.2744108764"/>
    <n v="7"/>
    <n v="7"/>
    <n v="7"/>
    <n v="0.1328651418809908"/>
    <n v="1"/>
    <n v="860355.7733866591"/>
  </r>
  <r>
    <x v="2"/>
    <x v="4"/>
    <s v="Personal Business"/>
    <x v="4"/>
    <n v="145514747.73957029"/>
    <n v="4.4499999999999991E-2"/>
    <n v="6475406.2744108764"/>
    <n v="35.22"/>
    <n v="38.15"/>
    <n v="36.685000000000002"/>
    <n v="0.69630824712916395"/>
    <n v="1"/>
    <n v="4508878.7923842277"/>
  </r>
  <r>
    <x v="2"/>
    <x v="4"/>
    <s v="Companion/Escort Journey"/>
    <x v="0"/>
    <n v="145514747.73957029"/>
    <n v="8.5500000000000007E-2"/>
    <n v="12441510.93173326"/>
    <n v="1"/>
    <n v="1"/>
    <n v="1"/>
    <n v="1.8980734554427257E-2"/>
    <n v="1"/>
    <n v="236149.01645123394"/>
  </r>
  <r>
    <x v="2"/>
    <x v="4"/>
    <s v="Companion/Escort Journey"/>
    <x v="1"/>
    <n v="145514747.73957029"/>
    <n v="8.5500000000000007E-2"/>
    <n v="12441510.93173326"/>
    <n v="3"/>
    <n v="3"/>
    <n v="3"/>
    <n v="5.6942203663281767E-2"/>
    <n v="1"/>
    <n v="708447.04935370176"/>
  </r>
  <r>
    <x v="2"/>
    <x v="4"/>
    <s v="Companion/Escort Journey"/>
    <x v="2"/>
    <n v="145514747.73957029"/>
    <n v="8.5500000000000007E-2"/>
    <n v="12441510.93173326"/>
    <n v="5"/>
    <n v="5"/>
    <n v="5"/>
    <n v="9.490367277213628E-2"/>
    <n v="1"/>
    <n v="1180745.0822561698"/>
  </r>
  <r>
    <x v="2"/>
    <x v="4"/>
    <s v="Companion/Escort Journey"/>
    <x v="3"/>
    <n v="145514747.73957029"/>
    <n v="8.5500000000000007E-2"/>
    <n v="12441510.93173326"/>
    <n v="7"/>
    <n v="7"/>
    <n v="7"/>
    <n v="0.1328651418809908"/>
    <n v="1"/>
    <n v="1653043.1151586375"/>
  </r>
  <r>
    <x v="2"/>
    <x v="4"/>
    <s v="Companion/Escort Journey"/>
    <x v="4"/>
    <n v="145514747.73957029"/>
    <n v="8.5500000000000007E-2"/>
    <n v="12441510.93173326"/>
    <n v="35.22"/>
    <n v="38.15"/>
    <n v="36.685000000000002"/>
    <n v="0.69630824712916395"/>
    <n v="1"/>
    <n v="8663126.6685135178"/>
  </r>
  <r>
    <x v="2"/>
    <x v="4"/>
    <s v="Other"/>
    <x v="0"/>
    <n v="145514747.73957029"/>
    <n v="6.4000000000000001E-2"/>
    <n v="9312943.8553324994"/>
    <n v="1"/>
    <n v="1"/>
    <n v="1"/>
    <n v="1.8980734554427257E-2"/>
    <n v="1"/>
    <n v="176766.51523835058"/>
  </r>
  <r>
    <x v="2"/>
    <x v="4"/>
    <s v="Other"/>
    <x v="1"/>
    <n v="145514747.73957029"/>
    <n v="6.4000000000000001E-2"/>
    <n v="9312943.8553324994"/>
    <n v="3"/>
    <n v="3"/>
    <n v="3"/>
    <n v="5.6942203663281767E-2"/>
    <n v="1"/>
    <n v="530299.5457150517"/>
  </r>
  <r>
    <x v="2"/>
    <x v="4"/>
    <s v="Other"/>
    <x v="2"/>
    <n v="145514747.73957029"/>
    <n v="6.4000000000000001E-2"/>
    <n v="9312943.8553324994"/>
    <n v="5"/>
    <n v="5"/>
    <n v="5"/>
    <n v="9.490367277213628E-2"/>
    <n v="1"/>
    <n v="883832.5761917528"/>
  </r>
  <r>
    <x v="2"/>
    <x v="4"/>
    <s v="Other"/>
    <x v="3"/>
    <n v="145514747.73957029"/>
    <n v="6.4000000000000001E-2"/>
    <n v="9312943.8553324994"/>
    <n v="7"/>
    <n v="7"/>
    <n v="7"/>
    <n v="0.1328651418809908"/>
    <n v="1"/>
    <n v="1237365.6066684539"/>
  </r>
  <r>
    <x v="2"/>
    <x v="4"/>
    <s v="Other"/>
    <x v="4"/>
    <n v="145514747.73957029"/>
    <n v="6.4000000000000001E-2"/>
    <n v="9312943.8553324994"/>
    <n v="35.22"/>
    <n v="38.15"/>
    <n v="36.685000000000002"/>
    <n v="0.69630824712916395"/>
    <n v="1"/>
    <n v="6484679.6115188906"/>
  </r>
  <r>
    <x v="2"/>
    <x v="5"/>
    <s v="Work"/>
    <x v="0"/>
    <n v="2141662556.5333641"/>
    <n v="0.28824999999999995"/>
    <n v="617334231.92074203"/>
    <n v="1"/>
    <n v="1"/>
    <n v="1"/>
    <n v="1.8980734554427257E-2"/>
    <n v="1"/>
    <n v="11717457.187448839"/>
  </r>
  <r>
    <x v="2"/>
    <x v="5"/>
    <s v="Work"/>
    <x v="1"/>
    <n v="2141662556.5333641"/>
    <n v="0.28824999999999995"/>
    <n v="617334231.92074203"/>
    <n v="3"/>
    <n v="3"/>
    <n v="3"/>
    <n v="5.6942203663281767E-2"/>
    <n v="1"/>
    <n v="35152371.562346511"/>
  </r>
  <r>
    <x v="2"/>
    <x v="5"/>
    <s v="Work"/>
    <x v="2"/>
    <n v="2141662556.5333641"/>
    <n v="0.28824999999999995"/>
    <n v="617334231.92074203"/>
    <n v="5"/>
    <n v="5"/>
    <n v="5"/>
    <n v="9.490367277213628E-2"/>
    <n v="1"/>
    <n v="58587285.937244192"/>
  </r>
  <r>
    <x v="2"/>
    <x v="5"/>
    <s v="Work"/>
    <x v="3"/>
    <n v="2141662556.5333641"/>
    <n v="0.28824999999999995"/>
    <n v="617334231.92074203"/>
    <n v="7"/>
    <n v="7"/>
    <n v="7"/>
    <n v="0.1328651418809908"/>
    <n v="1"/>
    <n v="82022200.312141865"/>
  </r>
  <r>
    <x v="2"/>
    <x v="5"/>
    <s v="Work"/>
    <x v="4"/>
    <n v="2141662556.5333641"/>
    <n v="0.28824999999999995"/>
    <n v="617334231.92074203"/>
    <n v="35.22"/>
    <n v="38.15"/>
    <n v="36.685000000000002"/>
    <n v="0.69630824712916395"/>
    <n v="1"/>
    <n v="429854916.92156065"/>
  </r>
  <r>
    <x v="2"/>
    <x v="5"/>
    <s v="Education"/>
    <x v="0"/>
    <n v="2141662556.5333641"/>
    <n v="0.12437499999999999"/>
    <n v="266369280.46883711"/>
    <n v="1"/>
    <n v="1"/>
    <n v="1"/>
    <n v="1.8980734554427257E-2"/>
    <n v="1"/>
    <n v="5055884.6060327822"/>
  </r>
  <r>
    <x v="2"/>
    <x v="5"/>
    <s v="Education"/>
    <x v="1"/>
    <n v="2141662556.5333641"/>
    <n v="0.12437499999999999"/>
    <n v="266369280.46883711"/>
    <n v="3"/>
    <n v="3"/>
    <n v="3"/>
    <n v="5.6942203663281767E-2"/>
    <n v="1"/>
    <n v="15167653.818098346"/>
  </r>
  <r>
    <x v="2"/>
    <x v="5"/>
    <s v="Education"/>
    <x v="2"/>
    <n v="2141662556.5333641"/>
    <n v="0.12437499999999999"/>
    <n v="266369280.46883711"/>
    <n v="5"/>
    <n v="5"/>
    <n v="5"/>
    <n v="9.490367277213628E-2"/>
    <n v="1"/>
    <n v="25279423.03016391"/>
  </r>
  <r>
    <x v="2"/>
    <x v="5"/>
    <s v="Education"/>
    <x v="3"/>
    <n v="2141662556.5333641"/>
    <n v="0.12437499999999999"/>
    <n v="266369280.46883711"/>
    <n v="7"/>
    <n v="7"/>
    <n v="7"/>
    <n v="0.1328651418809908"/>
    <n v="1"/>
    <n v="35391192.242229477"/>
  </r>
  <r>
    <x v="2"/>
    <x v="5"/>
    <s v="Education"/>
    <x v="4"/>
    <n v="2141662556.5333641"/>
    <n v="0.12437499999999999"/>
    <n v="266369280.46883711"/>
    <n v="35.22"/>
    <n v="38.15"/>
    <n v="36.685000000000002"/>
    <n v="0.69630824712916395"/>
    <n v="1"/>
    <n v="185475126.77231261"/>
  </r>
  <r>
    <x v="2"/>
    <x v="5"/>
    <s v="Shopping"/>
    <x v="0"/>
    <n v="2141662556.5333641"/>
    <n v="0.18625"/>
    <n v="398884651.15433908"/>
    <n v="1"/>
    <n v="1"/>
    <n v="1"/>
    <n v="1.8980734554427257E-2"/>
    <n v="1"/>
    <n v="7571123.6813958259"/>
  </r>
  <r>
    <x v="2"/>
    <x v="5"/>
    <s v="Shopping"/>
    <x v="1"/>
    <n v="2141662556.5333641"/>
    <n v="0.18625"/>
    <n v="398884651.15433908"/>
    <n v="3"/>
    <n v="3"/>
    <n v="3"/>
    <n v="5.6942203663281767E-2"/>
    <n v="1"/>
    <n v="22713371.044187475"/>
  </r>
  <r>
    <x v="2"/>
    <x v="5"/>
    <s v="Shopping"/>
    <x v="2"/>
    <n v="2141662556.5333641"/>
    <n v="0.18625"/>
    <n v="398884651.15433908"/>
    <n v="5"/>
    <n v="5"/>
    <n v="5"/>
    <n v="9.490367277213628E-2"/>
    <n v="1"/>
    <n v="37855618.406979129"/>
  </r>
  <r>
    <x v="2"/>
    <x v="5"/>
    <s v="Shopping"/>
    <x v="3"/>
    <n v="2141662556.5333641"/>
    <n v="0.18625"/>
    <n v="398884651.15433908"/>
    <n v="7"/>
    <n v="7"/>
    <n v="7"/>
    <n v="0.1328651418809908"/>
    <n v="1"/>
    <n v="52997865.769770779"/>
  </r>
  <r>
    <x v="2"/>
    <x v="5"/>
    <s v="Shopping"/>
    <x v="4"/>
    <n v="2141662556.5333641"/>
    <n v="0.18625"/>
    <n v="398884651.15433908"/>
    <n v="35.22"/>
    <n v="38.15"/>
    <n v="36.685000000000002"/>
    <n v="0.69630824712916395"/>
    <n v="1"/>
    <n v="277746672.25200588"/>
  </r>
  <r>
    <x v="2"/>
    <x v="5"/>
    <s v="To eat or drink"/>
    <x v="0"/>
    <n v="2141662556.5333641"/>
    <n v="1.7000000000000001E-2"/>
    <n v="36408263.461067192"/>
    <n v="1"/>
    <n v="1"/>
    <n v="1"/>
    <n v="1.8980734554427257E-2"/>
    <n v="1"/>
    <n v="691055.58434216934"/>
  </r>
  <r>
    <x v="2"/>
    <x v="5"/>
    <s v="To eat or drink"/>
    <x v="1"/>
    <n v="2141662556.5333641"/>
    <n v="1.7000000000000001E-2"/>
    <n v="36408263.461067192"/>
    <n v="3"/>
    <n v="3"/>
    <n v="3"/>
    <n v="5.6942203663281767E-2"/>
    <n v="1"/>
    <n v="2073166.753026508"/>
  </r>
  <r>
    <x v="2"/>
    <x v="5"/>
    <s v="To eat or drink"/>
    <x v="2"/>
    <n v="2141662556.5333641"/>
    <n v="1.7000000000000001E-2"/>
    <n v="36408263.461067192"/>
    <n v="5"/>
    <n v="5"/>
    <n v="5"/>
    <n v="9.490367277213628E-2"/>
    <n v="1"/>
    <n v="3455277.9217108465"/>
  </r>
  <r>
    <x v="2"/>
    <x v="5"/>
    <s v="To eat or drink"/>
    <x v="3"/>
    <n v="2141662556.5333641"/>
    <n v="1.7000000000000001E-2"/>
    <n v="36408263.461067192"/>
    <n v="7"/>
    <n v="7"/>
    <n v="7"/>
    <n v="0.1328651418809908"/>
    <n v="1"/>
    <n v="4837389.0903951861"/>
  </r>
  <r>
    <x v="2"/>
    <x v="5"/>
    <s v="To eat or drink"/>
    <x v="4"/>
    <n v="2141662556.5333641"/>
    <n v="1.7000000000000001E-2"/>
    <n v="36408263.461067192"/>
    <n v="35.22"/>
    <n v="38.15"/>
    <n v="36.685000000000002"/>
    <n v="0.69630824712916395"/>
    <n v="1"/>
    <n v="25351374.111592483"/>
  </r>
  <r>
    <x v="2"/>
    <x v="5"/>
    <s v="Visit family/friends"/>
    <x v="0"/>
    <n v="2141662556.5333641"/>
    <n v="0.10375000000000002"/>
    <n v="222197490.24033657"/>
    <n v="1"/>
    <n v="1"/>
    <n v="1"/>
    <n v="1.8980734554427257E-2"/>
    <n v="1"/>
    <n v="4217471.5809117695"/>
  </r>
  <r>
    <x v="2"/>
    <x v="5"/>
    <s v="Visit family/friends"/>
    <x v="1"/>
    <n v="2141662556.5333641"/>
    <n v="0.10375000000000002"/>
    <n v="222197490.24033657"/>
    <n v="3"/>
    <n v="3"/>
    <n v="3"/>
    <n v="5.6942203663281767E-2"/>
    <n v="1"/>
    <n v="12652414.742735308"/>
  </r>
  <r>
    <x v="2"/>
    <x v="5"/>
    <s v="Visit family/friends"/>
    <x v="2"/>
    <n v="2141662556.5333641"/>
    <n v="0.10375000000000002"/>
    <n v="222197490.24033657"/>
    <n v="5"/>
    <n v="5"/>
    <n v="5"/>
    <n v="9.490367277213628E-2"/>
    <n v="1"/>
    <n v="21087357.904558845"/>
  </r>
  <r>
    <x v="2"/>
    <x v="5"/>
    <s v="Visit family/friends"/>
    <x v="3"/>
    <n v="2141662556.5333641"/>
    <n v="0.10375000000000002"/>
    <n v="222197490.24033657"/>
    <n v="7"/>
    <n v="7"/>
    <n v="7"/>
    <n v="0.1328651418809908"/>
    <n v="1"/>
    <n v="29522301.066382386"/>
  </r>
  <r>
    <x v="2"/>
    <x v="5"/>
    <s v="Visit family/friends"/>
    <x v="4"/>
    <n v="2141662556.5333641"/>
    <n v="0.10375000000000002"/>
    <n v="222197490.24033657"/>
    <n v="35.22"/>
    <n v="38.15"/>
    <n v="36.685000000000002"/>
    <n v="0.69630824712916395"/>
    <n v="1"/>
    <n v="154717944.94574827"/>
  </r>
  <r>
    <x v="2"/>
    <x v="5"/>
    <s v="Entertainment/leisure/sports"/>
    <x v="0"/>
    <n v="2141662556.5333641"/>
    <n v="7.0250000000000007E-2"/>
    <n v="150451794.59646884"/>
    <n v="1"/>
    <n v="1"/>
    <n v="1"/>
    <n v="1.8980734554427257E-2"/>
    <n v="1"/>
    <n v="2855685.5764727881"/>
  </r>
  <r>
    <x v="2"/>
    <x v="5"/>
    <s v="Entertainment/leisure/sports"/>
    <x v="1"/>
    <n v="2141662556.5333641"/>
    <n v="7.0250000000000007E-2"/>
    <n v="150451794.59646884"/>
    <n v="3"/>
    <n v="3"/>
    <n v="3"/>
    <n v="5.6942203663281767E-2"/>
    <n v="1"/>
    <n v="8567056.7294183634"/>
  </r>
  <r>
    <x v="2"/>
    <x v="5"/>
    <s v="Entertainment/leisure/sports"/>
    <x v="2"/>
    <n v="2141662556.5333641"/>
    <n v="7.0250000000000007E-2"/>
    <n v="150451794.59646884"/>
    <n v="5"/>
    <n v="5"/>
    <n v="5"/>
    <n v="9.490367277213628E-2"/>
    <n v="1"/>
    <n v="14278427.88236394"/>
  </r>
  <r>
    <x v="2"/>
    <x v="5"/>
    <s v="Entertainment/leisure/sports"/>
    <x v="3"/>
    <n v="2141662556.5333641"/>
    <n v="7.0250000000000007E-2"/>
    <n v="150451794.59646884"/>
    <n v="7"/>
    <n v="7"/>
    <n v="7"/>
    <n v="0.1328651418809908"/>
    <n v="1"/>
    <n v="19989799.035309516"/>
  </r>
  <r>
    <x v="2"/>
    <x v="5"/>
    <s v="Entertainment/leisure/sports"/>
    <x v="4"/>
    <n v="2141662556.5333641"/>
    <n v="7.0250000000000007E-2"/>
    <n v="150451794.59646884"/>
    <n v="35.22"/>
    <n v="38.15"/>
    <n v="36.685000000000002"/>
    <n v="0.69630824712916395"/>
    <n v="1"/>
    <n v="104760825.37290424"/>
  </r>
  <r>
    <x v="2"/>
    <x v="5"/>
    <s v="Personal Business"/>
    <x v="0"/>
    <n v="2141662556.5333641"/>
    <n v="9.6374999999999988E-2"/>
    <n v="206402728.88590294"/>
    <n v="1"/>
    <n v="1"/>
    <n v="1"/>
    <n v="1.8980734554427257E-2"/>
    <n v="1"/>
    <n v="3917675.4082927387"/>
  </r>
  <r>
    <x v="2"/>
    <x v="5"/>
    <s v="Personal Business"/>
    <x v="1"/>
    <n v="2141662556.5333641"/>
    <n v="9.6374999999999988E-2"/>
    <n v="206402728.88590294"/>
    <n v="3"/>
    <n v="3"/>
    <n v="3"/>
    <n v="5.6942203663281767E-2"/>
    <n v="1"/>
    <n v="11753026.224878216"/>
  </r>
  <r>
    <x v="2"/>
    <x v="5"/>
    <s v="Personal Business"/>
    <x v="2"/>
    <n v="2141662556.5333641"/>
    <n v="9.6374999999999988E-2"/>
    <n v="206402728.88590294"/>
    <n v="5"/>
    <n v="5"/>
    <n v="5"/>
    <n v="9.490367277213628E-2"/>
    <n v="1"/>
    <n v="19588377.041463692"/>
  </r>
  <r>
    <x v="2"/>
    <x v="5"/>
    <s v="Personal Business"/>
    <x v="3"/>
    <n v="2141662556.5333641"/>
    <n v="9.6374999999999988E-2"/>
    <n v="206402728.88590294"/>
    <n v="7"/>
    <n v="7"/>
    <n v="7"/>
    <n v="0.1328651418809908"/>
    <n v="1"/>
    <n v="27423727.858049173"/>
  </r>
  <r>
    <x v="2"/>
    <x v="5"/>
    <s v="Personal Business"/>
    <x v="4"/>
    <n v="2141662556.5333641"/>
    <n v="9.6374999999999988E-2"/>
    <n v="206402728.88590294"/>
    <n v="35.22"/>
    <n v="38.15"/>
    <n v="36.685000000000002"/>
    <n v="0.69630824712916395"/>
    <n v="1"/>
    <n v="143719922.35321912"/>
  </r>
  <r>
    <x v="2"/>
    <x v="5"/>
    <s v="Companion/Escort Journey"/>
    <x v="0"/>
    <n v="2141662556.5333641"/>
    <n v="2.2499999999999999E-2"/>
    <n v="48187407.522000693"/>
    <n v="1"/>
    <n v="1"/>
    <n v="1"/>
    <n v="1.8980734554427257E-2"/>
    <n v="1"/>
    <n v="914632.39104110643"/>
  </r>
  <r>
    <x v="2"/>
    <x v="5"/>
    <s v="Companion/Escort Journey"/>
    <x v="1"/>
    <n v="2141662556.5333641"/>
    <n v="2.2499999999999999E-2"/>
    <n v="48187407.522000693"/>
    <n v="3"/>
    <n v="3"/>
    <n v="3"/>
    <n v="5.6942203663281767E-2"/>
    <n v="1"/>
    <n v="2743897.1731233192"/>
  </r>
  <r>
    <x v="2"/>
    <x v="5"/>
    <s v="Companion/Escort Journey"/>
    <x v="2"/>
    <n v="2141662556.5333641"/>
    <n v="2.2499999999999999E-2"/>
    <n v="48187407.522000693"/>
    <n v="5"/>
    <n v="5"/>
    <n v="5"/>
    <n v="9.490367277213628E-2"/>
    <n v="1"/>
    <n v="4573161.9552055318"/>
  </r>
  <r>
    <x v="2"/>
    <x v="5"/>
    <s v="Companion/Escort Journey"/>
    <x v="3"/>
    <n v="2141662556.5333641"/>
    <n v="2.2499999999999999E-2"/>
    <n v="48187407.522000693"/>
    <n v="7"/>
    <n v="7"/>
    <n v="7"/>
    <n v="0.1328651418809908"/>
    <n v="1"/>
    <n v="6402426.7372877458"/>
  </r>
  <r>
    <x v="2"/>
    <x v="5"/>
    <s v="Companion/Escort Journey"/>
    <x v="4"/>
    <n v="2141662556.5333641"/>
    <n v="2.2499999999999999E-2"/>
    <n v="48187407.522000693"/>
    <n v="35.22"/>
    <n v="38.15"/>
    <n v="36.685000000000002"/>
    <n v="0.69630824712916395"/>
    <n v="1"/>
    <n v="33553289.265342992"/>
  </r>
  <r>
    <x v="2"/>
    <x v="5"/>
    <s v="Other"/>
    <x v="0"/>
    <n v="2141662556.5333641"/>
    <n v="9.1250000000000012E-2"/>
    <n v="195426708.2836695"/>
    <n v="1"/>
    <n v="1"/>
    <n v="1"/>
    <n v="1.8980734554427257E-2"/>
    <n v="1"/>
    <n v="3709342.474777821"/>
  </r>
  <r>
    <x v="2"/>
    <x v="5"/>
    <s v="Other"/>
    <x v="1"/>
    <n v="2141662556.5333641"/>
    <n v="9.1250000000000012E-2"/>
    <n v="195426708.2836695"/>
    <n v="3"/>
    <n v="3"/>
    <n v="3"/>
    <n v="5.6942203663281767E-2"/>
    <n v="1"/>
    <n v="11128027.424333462"/>
  </r>
  <r>
    <x v="2"/>
    <x v="5"/>
    <s v="Other"/>
    <x v="2"/>
    <n v="2141662556.5333641"/>
    <n v="9.1250000000000012E-2"/>
    <n v="195426708.2836695"/>
    <n v="5"/>
    <n v="5"/>
    <n v="5"/>
    <n v="9.490367277213628E-2"/>
    <n v="1"/>
    <n v="18546712.373889104"/>
  </r>
  <r>
    <x v="2"/>
    <x v="5"/>
    <s v="Other"/>
    <x v="3"/>
    <n v="2141662556.5333641"/>
    <n v="9.1250000000000012E-2"/>
    <n v="195426708.2836695"/>
    <n v="7"/>
    <n v="7"/>
    <n v="7"/>
    <n v="0.1328651418809908"/>
    <n v="1"/>
    <n v="25965397.32344475"/>
  </r>
  <r>
    <x v="2"/>
    <x v="5"/>
    <s v="Other"/>
    <x v="4"/>
    <n v="2141662556.5333641"/>
    <n v="9.1250000000000012E-2"/>
    <n v="195426708.2836695"/>
    <n v="35.22"/>
    <n v="38.15"/>
    <n v="36.685000000000002"/>
    <n v="0.69630824712916395"/>
    <n v="1"/>
    <n v="136077228.68722439"/>
  </r>
  <r>
    <x v="2"/>
    <x v="6"/>
    <s v="Work"/>
    <x v="0"/>
    <n v="175307461.32720459"/>
    <n v="0.28824999999999995"/>
    <n v="50532375.727566712"/>
    <n v="1"/>
    <n v="1"/>
    <n v="1"/>
    <n v="1.8980734554427257E-2"/>
    <n v="1"/>
    <n v="959141.61008952663"/>
  </r>
  <r>
    <x v="2"/>
    <x v="6"/>
    <s v="Work"/>
    <x v="1"/>
    <n v="175307461.32720459"/>
    <n v="0.28824999999999995"/>
    <n v="50532375.727566712"/>
    <n v="3"/>
    <n v="3"/>
    <n v="3"/>
    <n v="5.6942203663281767E-2"/>
    <n v="1"/>
    <n v="2877424.83026858"/>
  </r>
  <r>
    <x v="2"/>
    <x v="6"/>
    <s v="Work"/>
    <x v="2"/>
    <n v="175307461.32720459"/>
    <n v="0.28824999999999995"/>
    <n v="50532375.727566712"/>
    <n v="5"/>
    <n v="5"/>
    <n v="5"/>
    <n v="9.490367277213628E-2"/>
    <n v="1"/>
    <n v="4795708.0504476335"/>
  </r>
  <r>
    <x v="2"/>
    <x v="6"/>
    <s v="Work"/>
    <x v="3"/>
    <n v="175307461.32720459"/>
    <n v="0.28824999999999995"/>
    <n v="50532375.727566712"/>
    <n v="7"/>
    <n v="7"/>
    <n v="7"/>
    <n v="0.1328651418809908"/>
    <n v="1"/>
    <n v="6713991.2706266865"/>
  </r>
  <r>
    <x v="2"/>
    <x v="6"/>
    <s v="Work"/>
    <x v="4"/>
    <n v="175307461.32720459"/>
    <n v="0.28824999999999995"/>
    <n v="50532375.727566712"/>
    <n v="35.22"/>
    <n v="38.15"/>
    <n v="36.685000000000002"/>
    <n v="0.69630824712916395"/>
    <n v="1"/>
    <n v="35186109.966134287"/>
  </r>
  <r>
    <x v="2"/>
    <x v="6"/>
    <s v="Education"/>
    <x v="0"/>
    <n v="175307461.32720459"/>
    <n v="0.12437499999999999"/>
    <n v="21803865.502571069"/>
    <n v="1"/>
    <n v="1"/>
    <n v="1"/>
    <n v="1.8980734554427257E-2"/>
    <n v="1"/>
    <n v="413853.38336473511"/>
  </r>
  <r>
    <x v="2"/>
    <x v="6"/>
    <s v="Education"/>
    <x v="1"/>
    <n v="175307461.32720459"/>
    <n v="0.12437499999999999"/>
    <n v="21803865.502571069"/>
    <n v="3"/>
    <n v="3"/>
    <n v="3"/>
    <n v="5.6942203663281767E-2"/>
    <n v="1"/>
    <n v="1241560.1500942053"/>
  </r>
  <r>
    <x v="2"/>
    <x v="6"/>
    <s v="Education"/>
    <x v="2"/>
    <n v="175307461.32720459"/>
    <n v="0.12437499999999999"/>
    <n v="21803865.502571069"/>
    <n v="5"/>
    <n v="5"/>
    <n v="5"/>
    <n v="9.490367277213628E-2"/>
    <n v="1"/>
    <n v="2069266.9168236754"/>
  </r>
  <r>
    <x v="2"/>
    <x v="6"/>
    <s v="Education"/>
    <x v="3"/>
    <n v="175307461.32720459"/>
    <n v="0.12437499999999999"/>
    <n v="21803865.502571069"/>
    <n v="7"/>
    <n v="7"/>
    <n v="7"/>
    <n v="0.1328651418809908"/>
    <n v="1"/>
    <n v="2896973.6835531457"/>
  </r>
  <r>
    <x v="2"/>
    <x v="6"/>
    <s v="Education"/>
    <x v="4"/>
    <n v="175307461.32720459"/>
    <n v="0.12437499999999999"/>
    <n v="21803865.502571069"/>
    <n v="35.22"/>
    <n v="38.15"/>
    <n v="36.685000000000002"/>
    <n v="0.69630824712916395"/>
    <n v="1"/>
    <n v="15182211.368735308"/>
  </r>
  <r>
    <x v="2"/>
    <x v="6"/>
    <s v="Shopping"/>
    <x v="0"/>
    <n v="175307461.32720459"/>
    <n v="0.18625"/>
    <n v="32651014.672191855"/>
    <n v="1"/>
    <n v="1"/>
    <n v="1"/>
    <n v="1.8980734554427257E-2"/>
    <n v="1"/>
    <n v="619740.2424255833"/>
  </r>
  <r>
    <x v="2"/>
    <x v="6"/>
    <s v="Shopping"/>
    <x v="1"/>
    <n v="175307461.32720459"/>
    <n v="0.18625"/>
    <n v="32651014.672191855"/>
    <n v="3"/>
    <n v="3"/>
    <n v="3"/>
    <n v="5.6942203663281767E-2"/>
    <n v="1"/>
    <n v="1859220.7272767497"/>
  </r>
  <r>
    <x v="2"/>
    <x v="6"/>
    <s v="Shopping"/>
    <x v="2"/>
    <n v="175307461.32720459"/>
    <n v="0.18625"/>
    <n v="32651014.672191855"/>
    <n v="5"/>
    <n v="5"/>
    <n v="5"/>
    <n v="9.490367277213628E-2"/>
    <n v="1"/>
    <n v="3098701.2121279165"/>
  </r>
  <r>
    <x v="2"/>
    <x v="6"/>
    <s v="Shopping"/>
    <x v="3"/>
    <n v="175307461.32720459"/>
    <n v="0.18625"/>
    <n v="32651014.672191855"/>
    <n v="7"/>
    <n v="7"/>
    <n v="7"/>
    <n v="0.1328651418809908"/>
    <n v="1"/>
    <n v="4338181.6969790831"/>
  </r>
  <r>
    <x v="2"/>
    <x v="6"/>
    <s v="Shopping"/>
    <x v="4"/>
    <n v="175307461.32720459"/>
    <n v="0.18625"/>
    <n v="32651014.672191855"/>
    <n v="35.22"/>
    <n v="38.15"/>
    <n v="36.685000000000002"/>
    <n v="0.69630824712916395"/>
    <n v="1"/>
    <n v="22735170.793382525"/>
  </r>
  <r>
    <x v="2"/>
    <x v="6"/>
    <s v="To eat or drink"/>
    <x v="0"/>
    <n v="175307461.32720459"/>
    <n v="1.7000000000000001E-2"/>
    <n v="2980226.842562478"/>
    <n v="1"/>
    <n v="1"/>
    <n v="1"/>
    <n v="1.8980734554427257E-2"/>
    <n v="1"/>
    <n v="56566.894610657269"/>
  </r>
  <r>
    <x v="2"/>
    <x v="6"/>
    <s v="To eat or drink"/>
    <x v="1"/>
    <n v="175307461.32720459"/>
    <n v="1.7000000000000001E-2"/>
    <n v="2980226.842562478"/>
    <n v="3"/>
    <n v="3"/>
    <n v="3"/>
    <n v="5.6942203663281767E-2"/>
    <n v="1"/>
    <n v="169700.68383197178"/>
  </r>
  <r>
    <x v="2"/>
    <x v="6"/>
    <s v="To eat or drink"/>
    <x v="2"/>
    <n v="175307461.32720459"/>
    <n v="1.7000000000000001E-2"/>
    <n v="2980226.842562478"/>
    <n v="5"/>
    <n v="5"/>
    <n v="5"/>
    <n v="9.490367277213628E-2"/>
    <n v="1"/>
    <n v="282834.47305328632"/>
  </r>
  <r>
    <x v="2"/>
    <x v="6"/>
    <s v="To eat or drink"/>
    <x v="3"/>
    <n v="175307461.32720459"/>
    <n v="1.7000000000000001E-2"/>
    <n v="2980226.842562478"/>
    <n v="7"/>
    <n v="7"/>
    <n v="7"/>
    <n v="0.1328651418809908"/>
    <n v="1"/>
    <n v="395968.26227460086"/>
  </r>
  <r>
    <x v="2"/>
    <x v="6"/>
    <s v="To eat or drink"/>
    <x v="4"/>
    <n v="175307461.32720459"/>
    <n v="1.7000000000000001E-2"/>
    <n v="2980226.842562478"/>
    <n v="35.22"/>
    <n v="38.15"/>
    <n v="36.685000000000002"/>
    <n v="0.69630824712916395"/>
    <n v="1"/>
    <n v="2075156.528791962"/>
  </r>
  <r>
    <x v="2"/>
    <x v="6"/>
    <s v="Visit family/friends"/>
    <x v="0"/>
    <n v="175307461.32720459"/>
    <n v="0.10375000000000002"/>
    <n v="18188149.112697478"/>
    <n v="1"/>
    <n v="1"/>
    <n v="1"/>
    <n v="1.8980734554427257E-2"/>
    <n v="1"/>
    <n v="345224.4303444525"/>
  </r>
  <r>
    <x v="2"/>
    <x v="6"/>
    <s v="Visit family/friends"/>
    <x v="1"/>
    <n v="175307461.32720459"/>
    <n v="0.10375000000000002"/>
    <n v="18188149.112697478"/>
    <n v="3"/>
    <n v="3"/>
    <n v="3"/>
    <n v="5.6942203663281767E-2"/>
    <n v="1"/>
    <n v="1035673.2910333574"/>
  </r>
  <r>
    <x v="2"/>
    <x v="6"/>
    <s v="Visit family/friends"/>
    <x v="2"/>
    <n v="175307461.32720459"/>
    <n v="0.10375000000000002"/>
    <n v="18188149.112697478"/>
    <n v="5"/>
    <n v="5"/>
    <n v="5"/>
    <n v="9.490367277213628E-2"/>
    <n v="1"/>
    <n v="1726122.1517222624"/>
  </r>
  <r>
    <x v="2"/>
    <x v="6"/>
    <s v="Visit family/friends"/>
    <x v="3"/>
    <n v="175307461.32720459"/>
    <n v="0.10375000000000002"/>
    <n v="18188149.112697478"/>
    <n v="7"/>
    <n v="7"/>
    <n v="7"/>
    <n v="0.1328651418809908"/>
    <n v="1"/>
    <n v="2416571.0124111674"/>
  </r>
  <r>
    <x v="2"/>
    <x v="6"/>
    <s v="Visit family/friends"/>
    <x v="4"/>
    <n v="175307461.32720459"/>
    <n v="0.10375000000000002"/>
    <n v="18188149.112697478"/>
    <n v="35.22"/>
    <n v="38.15"/>
    <n v="36.685000000000002"/>
    <n v="0.69630824712916395"/>
    <n v="1"/>
    <n v="12664558.22718624"/>
  </r>
  <r>
    <x v="2"/>
    <x v="6"/>
    <s v="Entertainment/leisure/sports"/>
    <x v="0"/>
    <n v="175307461.32720459"/>
    <n v="7.0250000000000007E-2"/>
    <n v="12315349.158236124"/>
    <n v="1"/>
    <n v="1"/>
    <n v="1"/>
    <n v="1.8980734554427257E-2"/>
    <n v="1"/>
    <n v="233754.37331756903"/>
  </r>
  <r>
    <x v="2"/>
    <x v="6"/>
    <s v="Entertainment/leisure/sports"/>
    <x v="1"/>
    <n v="175307461.32720459"/>
    <n v="7.0250000000000007E-2"/>
    <n v="12315349.158236124"/>
    <n v="3"/>
    <n v="3"/>
    <n v="3"/>
    <n v="5.6942203663281767E-2"/>
    <n v="1"/>
    <n v="701263.11995270697"/>
  </r>
  <r>
    <x v="2"/>
    <x v="6"/>
    <s v="Entertainment/leisure/sports"/>
    <x v="2"/>
    <n v="175307461.32720459"/>
    <n v="7.0250000000000007E-2"/>
    <n v="12315349.158236124"/>
    <n v="5"/>
    <n v="5"/>
    <n v="5"/>
    <n v="9.490367277213628E-2"/>
    <n v="1"/>
    <n v="1168771.8665878451"/>
  </r>
  <r>
    <x v="2"/>
    <x v="6"/>
    <s v="Entertainment/leisure/sports"/>
    <x v="3"/>
    <n v="175307461.32720459"/>
    <n v="7.0250000000000007E-2"/>
    <n v="12315349.158236124"/>
    <n v="7"/>
    <n v="7"/>
    <n v="7"/>
    <n v="0.1328651418809908"/>
    <n v="1"/>
    <n v="1636280.6132229832"/>
  </r>
  <r>
    <x v="2"/>
    <x v="6"/>
    <s v="Entertainment/leisure/sports"/>
    <x v="4"/>
    <n v="175307461.32720459"/>
    <n v="7.0250000000000007E-2"/>
    <n v="12315349.158236124"/>
    <n v="35.22"/>
    <n v="38.15"/>
    <n v="36.685000000000002"/>
    <n v="0.69630824712916395"/>
    <n v="1"/>
    <n v="8575279.1851550192"/>
  </r>
  <r>
    <x v="2"/>
    <x v="6"/>
    <s v="Personal Business"/>
    <x v="0"/>
    <n v="175307461.32720459"/>
    <n v="9.6374999999999988E-2"/>
    <n v="16895256.58540934"/>
    <n v="1"/>
    <n v="1"/>
    <n v="1"/>
    <n v="1.8980734554427257E-2"/>
    <n v="1"/>
    <n v="320684.38047659374"/>
  </r>
  <r>
    <x v="2"/>
    <x v="6"/>
    <s v="Personal Business"/>
    <x v="1"/>
    <n v="175307461.32720459"/>
    <n v="9.6374999999999988E-2"/>
    <n v="16895256.58540934"/>
    <n v="3"/>
    <n v="3"/>
    <n v="3"/>
    <n v="5.6942203663281767E-2"/>
    <n v="1"/>
    <n v="962053.1414297811"/>
  </r>
  <r>
    <x v="2"/>
    <x v="6"/>
    <s v="Personal Business"/>
    <x v="2"/>
    <n v="175307461.32720459"/>
    <n v="9.6374999999999988E-2"/>
    <n v="16895256.58540934"/>
    <n v="5"/>
    <n v="5"/>
    <n v="5"/>
    <n v="9.490367277213628E-2"/>
    <n v="1"/>
    <n v="1603421.9023829685"/>
  </r>
  <r>
    <x v="2"/>
    <x v="6"/>
    <s v="Personal Business"/>
    <x v="3"/>
    <n v="175307461.32720459"/>
    <n v="9.6374999999999988E-2"/>
    <n v="16895256.58540934"/>
    <n v="7"/>
    <n v="7"/>
    <n v="7"/>
    <n v="0.1328651418809908"/>
    <n v="1"/>
    <n v="2244790.6633361559"/>
  </r>
  <r>
    <x v="2"/>
    <x v="6"/>
    <s v="Personal Business"/>
    <x v="4"/>
    <n v="175307461.32720459"/>
    <n v="9.6374999999999988E-2"/>
    <n v="16895256.58540934"/>
    <n v="35.22"/>
    <n v="38.15"/>
    <n v="36.685000000000002"/>
    <n v="0.69630824712916395"/>
    <n v="1"/>
    <n v="11764306.497783842"/>
  </r>
  <r>
    <x v="2"/>
    <x v="6"/>
    <s v="Companion/Escort Journey"/>
    <x v="0"/>
    <n v="175307461.32720459"/>
    <n v="2.2499999999999999E-2"/>
    <n v="3944417.8798621031"/>
    <n v="1"/>
    <n v="1"/>
    <n v="1"/>
    <n v="1.8980734554427257E-2"/>
    <n v="1"/>
    <n v="74867.948749399322"/>
  </r>
  <r>
    <x v="2"/>
    <x v="6"/>
    <s v="Companion/Escort Journey"/>
    <x v="1"/>
    <n v="175307461.32720459"/>
    <n v="2.2499999999999999E-2"/>
    <n v="3944417.8798621031"/>
    <n v="3"/>
    <n v="3"/>
    <n v="3"/>
    <n v="5.6942203663281767E-2"/>
    <n v="1"/>
    <n v="224603.84624819795"/>
  </r>
  <r>
    <x v="2"/>
    <x v="6"/>
    <s v="Companion/Escort Journey"/>
    <x v="2"/>
    <n v="175307461.32720459"/>
    <n v="2.2499999999999999E-2"/>
    <n v="3944417.8798621031"/>
    <n v="5"/>
    <n v="5"/>
    <n v="5"/>
    <n v="9.490367277213628E-2"/>
    <n v="1"/>
    <n v="374339.74374699657"/>
  </r>
  <r>
    <x v="2"/>
    <x v="6"/>
    <s v="Companion/Escort Journey"/>
    <x v="3"/>
    <n v="175307461.32720459"/>
    <n v="2.2499999999999999E-2"/>
    <n v="3944417.8798621031"/>
    <n v="7"/>
    <n v="7"/>
    <n v="7"/>
    <n v="0.1328651418809908"/>
    <n v="1"/>
    <n v="524075.64124579524"/>
  </r>
  <r>
    <x v="2"/>
    <x v="6"/>
    <s v="Companion/Escort Journey"/>
    <x v="4"/>
    <n v="175307461.32720459"/>
    <n v="2.2499999999999999E-2"/>
    <n v="3944417.8798621031"/>
    <n v="35.22"/>
    <n v="38.15"/>
    <n v="36.685000000000002"/>
    <n v="0.69630824712916395"/>
    <n v="1"/>
    <n v="2746530.6998717142"/>
  </r>
  <r>
    <x v="2"/>
    <x v="6"/>
    <s v="Other"/>
    <x v="0"/>
    <n v="175307461.32720459"/>
    <n v="9.1250000000000012E-2"/>
    <n v="15996805.84610742"/>
    <n v="1"/>
    <n v="1"/>
    <n v="1"/>
    <n v="1.8980734554427257E-2"/>
    <n v="1"/>
    <n v="303631.12548367504"/>
  </r>
  <r>
    <x v="2"/>
    <x v="6"/>
    <s v="Other"/>
    <x v="1"/>
    <n v="175307461.32720459"/>
    <n v="9.1250000000000012E-2"/>
    <n v="15996805.84610742"/>
    <n v="3"/>
    <n v="3"/>
    <n v="3"/>
    <n v="5.6942203663281767E-2"/>
    <n v="1"/>
    <n v="910893.37645102513"/>
  </r>
  <r>
    <x v="2"/>
    <x v="6"/>
    <s v="Other"/>
    <x v="2"/>
    <n v="175307461.32720459"/>
    <n v="9.1250000000000012E-2"/>
    <n v="15996805.84610742"/>
    <n v="5"/>
    <n v="5"/>
    <n v="5"/>
    <n v="9.490367277213628E-2"/>
    <n v="1"/>
    <n v="1518155.6274183751"/>
  </r>
  <r>
    <x v="2"/>
    <x v="6"/>
    <s v="Other"/>
    <x v="3"/>
    <n v="175307461.32720459"/>
    <n v="9.1250000000000012E-2"/>
    <n v="15996805.84610742"/>
    <n v="7"/>
    <n v="7"/>
    <n v="7"/>
    <n v="0.1328651418809908"/>
    <n v="1"/>
    <n v="2125417.8783857254"/>
  </r>
  <r>
    <x v="2"/>
    <x v="6"/>
    <s v="Other"/>
    <x v="4"/>
    <n v="175307461.32720459"/>
    <n v="9.1250000000000012E-2"/>
    <n v="15996805.84610742"/>
    <n v="35.22"/>
    <n v="38.15"/>
    <n v="36.685000000000002"/>
    <n v="0.69630824712916395"/>
    <n v="1"/>
    <n v="11138707.838368619"/>
  </r>
  <r>
    <x v="2"/>
    <x v="7"/>
    <s v="Work"/>
    <x v="0"/>
    <n v="3443459091.9606371"/>
    <n v="0.52124999999999999"/>
    <n v="1794903051.6844821"/>
    <n v="1"/>
    <n v="1"/>
    <n v="1"/>
    <n v="1.8980734554427257E-2"/>
    <n v="1"/>
    <n v="34068578.374954581"/>
  </r>
  <r>
    <x v="2"/>
    <x v="7"/>
    <s v="Work"/>
    <x v="1"/>
    <n v="3443459091.9606371"/>
    <n v="0.52124999999999999"/>
    <n v="1794903051.6844821"/>
    <n v="3"/>
    <n v="3"/>
    <n v="3"/>
    <n v="5.6942203663281767E-2"/>
    <n v="1"/>
    <n v="102205735.12486374"/>
  </r>
  <r>
    <x v="2"/>
    <x v="7"/>
    <s v="Work"/>
    <x v="2"/>
    <n v="3443459091.9606371"/>
    <n v="0.52124999999999999"/>
    <n v="1794903051.6844821"/>
    <n v="5"/>
    <n v="5"/>
    <n v="5"/>
    <n v="9.490367277213628E-2"/>
    <n v="1"/>
    <n v="170342891.87477291"/>
  </r>
  <r>
    <x v="2"/>
    <x v="7"/>
    <s v="Work"/>
    <x v="3"/>
    <n v="3443459091.9606371"/>
    <n v="0.52124999999999999"/>
    <n v="1794903051.6844821"/>
    <n v="7"/>
    <n v="7"/>
    <n v="7"/>
    <n v="0.1328651418809908"/>
    <n v="1"/>
    <n v="238480048.62468207"/>
  </r>
  <r>
    <x v="2"/>
    <x v="7"/>
    <s v="Work"/>
    <x v="4"/>
    <n v="3443459091.9606371"/>
    <n v="0.52124999999999999"/>
    <n v="1794903051.6844821"/>
    <n v="35.22"/>
    <n v="38.15"/>
    <n v="36.685000000000002"/>
    <n v="0.69630824712916395"/>
    <n v="1"/>
    <n v="1249805797.6852088"/>
  </r>
  <r>
    <x v="2"/>
    <x v="7"/>
    <s v="Education"/>
    <x v="0"/>
    <n v="3443459091.9606371"/>
    <n v="1.7250000000000001E-2"/>
    <n v="59399669.336320996"/>
    <n v="1"/>
    <n v="1"/>
    <n v="1"/>
    <n v="1.8980734554427257E-2"/>
    <n v="1"/>
    <n v="1127449.3562934611"/>
  </r>
  <r>
    <x v="2"/>
    <x v="7"/>
    <s v="Education"/>
    <x v="1"/>
    <n v="3443459091.9606371"/>
    <n v="1.7250000000000001E-2"/>
    <n v="59399669.336320996"/>
    <n v="3"/>
    <n v="3"/>
    <n v="3"/>
    <n v="5.6942203663281767E-2"/>
    <n v="1"/>
    <n v="3382348.0688803829"/>
  </r>
  <r>
    <x v="2"/>
    <x v="7"/>
    <s v="Education"/>
    <x v="2"/>
    <n v="3443459091.9606371"/>
    <n v="1.7250000000000001E-2"/>
    <n v="59399669.336320996"/>
    <n v="5"/>
    <n v="5"/>
    <n v="5"/>
    <n v="9.490367277213628E-2"/>
    <n v="1"/>
    <n v="5637246.7814673055"/>
  </r>
  <r>
    <x v="2"/>
    <x v="7"/>
    <s v="Education"/>
    <x v="3"/>
    <n v="3443459091.9606371"/>
    <n v="1.7250000000000001E-2"/>
    <n v="59399669.336320996"/>
    <n v="7"/>
    <n v="7"/>
    <n v="7"/>
    <n v="0.1328651418809908"/>
    <n v="1"/>
    <n v="7892145.4940542281"/>
  </r>
  <r>
    <x v="2"/>
    <x v="7"/>
    <s v="Education"/>
    <x v="4"/>
    <n v="3443459091.9606371"/>
    <n v="1.7250000000000001E-2"/>
    <n v="59399669.336320996"/>
    <n v="35.22"/>
    <n v="38.15"/>
    <n v="36.685000000000002"/>
    <n v="0.69630824712916395"/>
    <n v="1"/>
    <n v="41360479.635625623"/>
  </r>
  <r>
    <x v="2"/>
    <x v="7"/>
    <s v="Shopping"/>
    <x v="0"/>
    <n v="3443459091.9606371"/>
    <n v="9.5499999999999988E-2"/>
    <n v="328850343.28224081"/>
    <n v="1"/>
    <n v="1"/>
    <n v="1"/>
    <n v="1.8980734554427257E-2"/>
    <n v="1"/>
    <n v="6241821.0739724934"/>
  </r>
  <r>
    <x v="2"/>
    <x v="7"/>
    <s v="Shopping"/>
    <x v="1"/>
    <n v="3443459091.9606371"/>
    <n v="9.5499999999999988E-2"/>
    <n v="328850343.28224081"/>
    <n v="3"/>
    <n v="3"/>
    <n v="3"/>
    <n v="5.6942203663281767E-2"/>
    <n v="1"/>
    <n v="18725463.22191748"/>
  </r>
  <r>
    <x v="2"/>
    <x v="7"/>
    <s v="Shopping"/>
    <x v="2"/>
    <n v="3443459091.9606371"/>
    <n v="9.5499999999999988E-2"/>
    <n v="328850343.28224081"/>
    <n v="5"/>
    <n v="5"/>
    <n v="5"/>
    <n v="9.490367277213628E-2"/>
    <n v="1"/>
    <n v="31209105.369862467"/>
  </r>
  <r>
    <x v="2"/>
    <x v="7"/>
    <s v="Shopping"/>
    <x v="3"/>
    <n v="3443459091.9606371"/>
    <n v="9.5499999999999988E-2"/>
    <n v="328850343.28224081"/>
    <n v="7"/>
    <n v="7"/>
    <n v="7"/>
    <n v="0.1328651418809908"/>
    <n v="1"/>
    <n v="43692747.517807454"/>
  </r>
  <r>
    <x v="2"/>
    <x v="7"/>
    <s v="Shopping"/>
    <x v="4"/>
    <n v="3443459091.9606371"/>
    <n v="9.5499999999999988E-2"/>
    <n v="328850343.28224081"/>
    <n v="35.22"/>
    <n v="38.15"/>
    <n v="36.685000000000002"/>
    <n v="0.69630824712916395"/>
    <n v="1"/>
    <n v="228981206.09868094"/>
  </r>
  <r>
    <x v="2"/>
    <x v="7"/>
    <s v="To eat or drink"/>
    <x v="0"/>
    <n v="3443459091.9606371"/>
    <n v="3.3750000000000002E-2"/>
    <n v="116216744.35367151"/>
    <n v="1"/>
    <n v="1"/>
    <n v="1"/>
    <n v="1.8980734554427257E-2"/>
    <n v="1"/>
    <n v="2205879.1753567713"/>
  </r>
  <r>
    <x v="2"/>
    <x v="7"/>
    <s v="To eat or drink"/>
    <x v="1"/>
    <n v="3443459091.9606371"/>
    <n v="3.3750000000000002E-2"/>
    <n v="116216744.35367151"/>
    <n v="3"/>
    <n v="3"/>
    <n v="3"/>
    <n v="5.6942203663281767E-2"/>
    <n v="1"/>
    <n v="6617637.5260703145"/>
  </r>
  <r>
    <x v="2"/>
    <x v="7"/>
    <s v="To eat or drink"/>
    <x v="2"/>
    <n v="3443459091.9606371"/>
    <n v="3.3750000000000002E-2"/>
    <n v="116216744.35367151"/>
    <n v="5"/>
    <n v="5"/>
    <n v="5"/>
    <n v="9.490367277213628E-2"/>
    <n v="1"/>
    <n v="11029395.876783857"/>
  </r>
  <r>
    <x v="2"/>
    <x v="7"/>
    <s v="To eat or drink"/>
    <x v="3"/>
    <n v="3443459091.9606371"/>
    <n v="3.3750000000000002E-2"/>
    <n v="116216744.35367151"/>
    <n v="7"/>
    <n v="7"/>
    <n v="7"/>
    <n v="0.1328651418809908"/>
    <n v="1"/>
    <n v="15441154.227497401"/>
  </r>
  <r>
    <x v="2"/>
    <x v="7"/>
    <s v="To eat or drink"/>
    <x v="4"/>
    <n v="3443459091.9606371"/>
    <n v="3.3750000000000002E-2"/>
    <n v="116216744.35367151"/>
    <n v="35.22"/>
    <n v="38.15"/>
    <n v="36.685000000000002"/>
    <n v="0.69630824712916395"/>
    <n v="1"/>
    <n v="80922677.547963172"/>
  </r>
  <r>
    <x v="2"/>
    <x v="7"/>
    <s v="Visit family/friends"/>
    <x v="0"/>
    <n v="3443459091.9606371"/>
    <n v="6.6500000000000004E-2"/>
    <n v="228990029.61538237"/>
    <n v="1"/>
    <n v="1"/>
    <n v="1"/>
    <n v="1.8980734554427257E-2"/>
    <n v="1"/>
    <n v="4346398.9677400086"/>
  </r>
  <r>
    <x v="2"/>
    <x v="7"/>
    <s v="Visit family/friends"/>
    <x v="1"/>
    <n v="3443459091.9606371"/>
    <n v="6.6500000000000004E-2"/>
    <n v="228990029.61538237"/>
    <n v="3"/>
    <n v="3"/>
    <n v="3"/>
    <n v="5.6942203663281767E-2"/>
    <n v="1"/>
    <n v="13039196.903220026"/>
  </r>
  <r>
    <x v="2"/>
    <x v="7"/>
    <s v="Visit family/friends"/>
    <x v="2"/>
    <n v="3443459091.9606371"/>
    <n v="6.6500000000000004E-2"/>
    <n v="228990029.61538237"/>
    <n v="5"/>
    <n v="5"/>
    <n v="5"/>
    <n v="9.490367277213628E-2"/>
    <n v="1"/>
    <n v="21731994.838700045"/>
  </r>
  <r>
    <x v="2"/>
    <x v="7"/>
    <s v="Visit family/friends"/>
    <x v="3"/>
    <n v="3443459091.9606371"/>
    <n v="6.6500000000000004E-2"/>
    <n v="228990029.61538237"/>
    <n v="7"/>
    <n v="7"/>
    <n v="7"/>
    <n v="0.1328651418809908"/>
    <n v="1"/>
    <n v="30424792.774180066"/>
  </r>
  <r>
    <x v="2"/>
    <x v="7"/>
    <s v="Visit family/friends"/>
    <x v="4"/>
    <n v="3443459091.9606371"/>
    <n v="6.6500000000000004E-2"/>
    <n v="228990029.61538237"/>
    <n v="35.22"/>
    <n v="38.15"/>
    <n v="36.685000000000002"/>
    <n v="0.69630824712916395"/>
    <n v="1"/>
    <n v="159447646.13154224"/>
  </r>
  <r>
    <x v="2"/>
    <x v="7"/>
    <s v="Entertainment/leisure/sports"/>
    <x v="0"/>
    <n v="3443459091.9606371"/>
    <n v="6.8500000000000005E-2"/>
    <n v="235876947.79930365"/>
    <n v="1"/>
    <n v="1"/>
    <n v="1"/>
    <n v="1.8980734554427257E-2"/>
    <n v="1"/>
    <n v="4477117.7336870767"/>
  </r>
  <r>
    <x v="2"/>
    <x v="7"/>
    <s v="Entertainment/leisure/sports"/>
    <x v="1"/>
    <n v="3443459091.9606371"/>
    <n v="6.8500000000000005E-2"/>
    <n v="235876947.79930365"/>
    <n v="3"/>
    <n v="3"/>
    <n v="3"/>
    <n v="5.6942203663281767E-2"/>
    <n v="1"/>
    <n v="13431353.20106123"/>
  </r>
  <r>
    <x v="2"/>
    <x v="7"/>
    <s v="Entertainment/leisure/sports"/>
    <x v="2"/>
    <n v="3443459091.9606371"/>
    <n v="6.8500000000000005E-2"/>
    <n v="235876947.79930365"/>
    <n v="5"/>
    <n v="5"/>
    <n v="5"/>
    <n v="9.490367277213628E-2"/>
    <n v="1"/>
    <n v="22385588.668435384"/>
  </r>
  <r>
    <x v="2"/>
    <x v="7"/>
    <s v="Entertainment/leisure/sports"/>
    <x v="3"/>
    <n v="3443459091.9606371"/>
    <n v="6.8500000000000005E-2"/>
    <n v="235876947.79930365"/>
    <n v="7"/>
    <n v="7"/>
    <n v="7"/>
    <n v="0.1328651418809908"/>
    <n v="1"/>
    <n v="31339824.135809541"/>
  </r>
  <r>
    <x v="2"/>
    <x v="7"/>
    <s v="Entertainment/leisure/sports"/>
    <x v="4"/>
    <n v="3443459091.9606371"/>
    <n v="6.8500000000000005E-2"/>
    <n v="235876947.79930365"/>
    <n v="35.22"/>
    <n v="38.15"/>
    <n v="36.685000000000002"/>
    <n v="0.69630824712916395"/>
    <n v="1"/>
    <n v="164243064.06031042"/>
  </r>
  <r>
    <x v="2"/>
    <x v="7"/>
    <s v="Personal Business"/>
    <x v="0"/>
    <n v="3443459091.9606371"/>
    <n v="8.8250000000000009E-2"/>
    <n v="303885264.86552626"/>
    <n v="1"/>
    <n v="1"/>
    <n v="1"/>
    <n v="1.8980734554427257E-2"/>
    <n v="1"/>
    <n v="5767965.5474143736"/>
  </r>
  <r>
    <x v="2"/>
    <x v="7"/>
    <s v="Personal Business"/>
    <x v="1"/>
    <n v="3443459091.9606371"/>
    <n v="8.8250000000000009E-2"/>
    <n v="303885264.86552626"/>
    <n v="3"/>
    <n v="3"/>
    <n v="3"/>
    <n v="5.6942203663281767E-2"/>
    <n v="1"/>
    <n v="17303896.642243121"/>
  </r>
  <r>
    <x v="2"/>
    <x v="7"/>
    <s v="Personal Business"/>
    <x v="2"/>
    <n v="3443459091.9606371"/>
    <n v="8.8250000000000009E-2"/>
    <n v="303885264.86552626"/>
    <n v="5"/>
    <n v="5"/>
    <n v="5"/>
    <n v="9.490367277213628E-2"/>
    <n v="1"/>
    <n v="28839827.737071864"/>
  </r>
  <r>
    <x v="2"/>
    <x v="7"/>
    <s v="Personal Business"/>
    <x v="3"/>
    <n v="3443459091.9606371"/>
    <n v="8.8250000000000009E-2"/>
    <n v="303885264.86552626"/>
    <n v="7"/>
    <n v="7"/>
    <n v="7"/>
    <n v="0.1328651418809908"/>
    <n v="1"/>
    <n v="40375758.831900612"/>
  </r>
  <r>
    <x v="2"/>
    <x v="7"/>
    <s v="Personal Business"/>
    <x v="4"/>
    <n v="3443459091.9606371"/>
    <n v="8.8250000000000009E-2"/>
    <n v="303885264.86552626"/>
    <n v="35.22"/>
    <n v="38.15"/>
    <n v="36.685000000000002"/>
    <n v="0.69630824712916395"/>
    <n v="1"/>
    <n v="211597816.10689631"/>
  </r>
  <r>
    <x v="2"/>
    <x v="7"/>
    <s v="Companion/Escort Journey"/>
    <x v="0"/>
    <n v="3443459091.9606371"/>
    <n v="4.8249999999999994E-2"/>
    <n v="166146901.18710071"/>
    <n v="1"/>
    <n v="1"/>
    <n v="1"/>
    <n v="1.8980734554427257E-2"/>
    <n v="1"/>
    <n v="3153590.2284730133"/>
  </r>
  <r>
    <x v="2"/>
    <x v="7"/>
    <s v="Companion/Escort Journey"/>
    <x v="1"/>
    <n v="3443459091.9606371"/>
    <n v="4.8249999999999994E-2"/>
    <n v="166146901.18710071"/>
    <n v="3"/>
    <n v="3"/>
    <n v="3"/>
    <n v="5.6942203663281767E-2"/>
    <n v="1"/>
    <n v="9460770.6854190398"/>
  </r>
  <r>
    <x v="2"/>
    <x v="7"/>
    <s v="Companion/Escort Journey"/>
    <x v="2"/>
    <n v="3443459091.9606371"/>
    <n v="4.8249999999999994E-2"/>
    <n v="166146901.18710071"/>
    <n v="5"/>
    <n v="5"/>
    <n v="5"/>
    <n v="9.490367277213628E-2"/>
    <n v="1"/>
    <n v="15767951.142365066"/>
  </r>
  <r>
    <x v="2"/>
    <x v="7"/>
    <s v="Companion/Escort Journey"/>
    <x v="3"/>
    <n v="3443459091.9606371"/>
    <n v="4.8249999999999994E-2"/>
    <n v="166146901.18710071"/>
    <n v="7"/>
    <n v="7"/>
    <n v="7"/>
    <n v="0.1328651418809908"/>
    <n v="1"/>
    <n v="22075131.599311095"/>
  </r>
  <r>
    <x v="2"/>
    <x v="7"/>
    <s v="Companion/Escort Journey"/>
    <x v="4"/>
    <n v="3443459091.9606371"/>
    <n v="4.8249999999999994E-2"/>
    <n v="166146901.18710071"/>
    <n v="35.22"/>
    <n v="38.15"/>
    <n v="36.685000000000002"/>
    <n v="0.69630824712916395"/>
    <n v="1"/>
    <n v="115689457.5315325"/>
  </r>
  <r>
    <x v="2"/>
    <x v="7"/>
    <s v="Other"/>
    <x v="0"/>
    <n v="3443459091.9606371"/>
    <n v="6.0749999999999998E-2"/>
    <n v="209190139.83660871"/>
    <n v="1"/>
    <n v="1"/>
    <n v="1"/>
    <n v="1.8980734554427257E-2"/>
    <n v="1"/>
    <n v="3970582.5156421885"/>
  </r>
  <r>
    <x v="2"/>
    <x v="7"/>
    <s v="Other"/>
    <x v="1"/>
    <n v="3443459091.9606371"/>
    <n v="6.0749999999999998E-2"/>
    <n v="209190139.83660871"/>
    <n v="3"/>
    <n v="3"/>
    <n v="3"/>
    <n v="5.6942203663281767E-2"/>
    <n v="1"/>
    <n v="11911747.546926565"/>
  </r>
  <r>
    <x v="2"/>
    <x v="7"/>
    <s v="Other"/>
    <x v="2"/>
    <n v="3443459091.9606371"/>
    <n v="6.0749999999999998E-2"/>
    <n v="209190139.83660871"/>
    <n v="5"/>
    <n v="5"/>
    <n v="5"/>
    <n v="9.490367277213628E-2"/>
    <n v="1"/>
    <n v="19852912.578210942"/>
  </r>
  <r>
    <x v="2"/>
    <x v="7"/>
    <s v="Other"/>
    <x v="3"/>
    <n v="3443459091.9606371"/>
    <n v="6.0749999999999998E-2"/>
    <n v="209190139.83660871"/>
    <n v="7"/>
    <n v="7"/>
    <n v="7"/>
    <n v="0.1328651418809908"/>
    <n v="1"/>
    <n v="27794077.609495323"/>
  </r>
  <r>
    <x v="2"/>
    <x v="7"/>
    <s v="Other"/>
    <x v="4"/>
    <n v="3443459091.9606371"/>
    <n v="6.0749999999999998E-2"/>
    <n v="209190139.83660871"/>
    <n v="35.22"/>
    <n v="38.15"/>
    <n v="36.685000000000002"/>
    <n v="0.69630824712916395"/>
    <n v="1"/>
    <n v="145660819.58633369"/>
  </r>
  <r>
    <x v="3"/>
    <x v="0"/>
    <s v="Work"/>
    <x v="0"/>
    <n v="41379942945.20134"/>
    <n v="0.25243932949712289"/>
    <n v="10445925051.715826"/>
    <n v="1"/>
    <n v="1"/>
    <n v="1"/>
    <n v="1.763046544428773E-2"/>
    <n v="1"/>
    <n v="184166520.65789539"/>
  </r>
  <r>
    <x v="3"/>
    <x v="0"/>
    <s v="Work"/>
    <x v="1"/>
    <n v="41379942945.20134"/>
    <n v="0.25243932949712289"/>
    <n v="10445925051.715826"/>
    <n v="3"/>
    <n v="3"/>
    <n v="3"/>
    <n v="5.2891396332863189E-2"/>
    <n v="1"/>
    <n v="552499561.9736861"/>
  </r>
  <r>
    <x v="3"/>
    <x v="0"/>
    <s v="Work"/>
    <x v="2"/>
    <n v="41379942945.20134"/>
    <n v="0.25243932949712289"/>
    <n v="10445925051.715826"/>
    <n v="5"/>
    <n v="5"/>
    <n v="5"/>
    <n v="8.8152327221438648E-2"/>
    <n v="1"/>
    <n v="920832603.28947687"/>
  </r>
  <r>
    <x v="3"/>
    <x v="0"/>
    <s v="Work"/>
    <x v="3"/>
    <n v="41379942945.20134"/>
    <n v="0.25243932949712289"/>
    <n v="10445925051.715826"/>
    <n v="7"/>
    <n v="7"/>
    <n v="7"/>
    <n v="0.12341325811001411"/>
    <n v="1"/>
    <n v="1289165644.6052678"/>
  </r>
  <r>
    <x v="3"/>
    <x v="0"/>
    <s v="Work"/>
    <x v="4"/>
    <n v="41379942945.20134"/>
    <n v="0.25243932949712289"/>
    <n v="10445925051.715826"/>
    <n v="38.99"/>
    <n v="42.45"/>
    <n v="40.72"/>
    <n v="0.71791255289139633"/>
    <n v="1"/>
    <n v="7499260721.1894999"/>
  </r>
  <r>
    <x v="3"/>
    <x v="0"/>
    <s v="Education"/>
    <x v="0"/>
    <n v="41379942945.20134"/>
    <n v="3.1523642732049037E-2"/>
    <n v="1304446537.6770999"/>
    <n v="1"/>
    <n v="1"/>
    <n v="1"/>
    <n v="1.763046544428773E-2"/>
    <n v="1"/>
    <n v="22997999.606436882"/>
  </r>
  <r>
    <x v="3"/>
    <x v="0"/>
    <s v="Education"/>
    <x v="1"/>
    <n v="41379942945.20134"/>
    <n v="3.1523642732049037E-2"/>
    <n v="1304446537.6770999"/>
    <n v="3"/>
    <n v="3"/>
    <n v="3"/>
    <n v="5.2891396332863189E-2"/>
    <n v="1"/>
    <n v="68993998.81931065"/>
  </r>
  <r>
    <x v="3"/>
    <x v="0"/>
    <s v="Education"/>
    <x v="2"/>
    <n v="41379942945.20134"/>
    <n v="3.1523642732049037E-2"/>
    <n v="1304446537.6770999"/>
    <n v="5"/>
    <n v="5"/>
    <n v="5"/>
    <n v="8.8152327221438648E-2"/>
    <n v="1"/>
    <n v="114989998.03218441"/>
  </r>
  <r>
    <x v="3"/>
    <x v="0"/>
    <s v="Education"/>
    <x v="3"/>
    <n v="41379942945.20134"/>
    <n v="3.1523642732049037E-2"/>
    <n v="1304446537.6770999"/>
    <n v="7"/>
    <n v="7"/>
    <n v="7"/>
    <n v="0.12341325811001411"/>
    <n v="1"/>
    <n v="160985997.24505818"/>
  </r>
  <r>
    <x v="3"/>
    <x v="0"/>
    <s v="Education"/>
    <x v="4"/>
    <n v="41379942945.20134"/>
    <n v="3.1523642732049037E-2"/>
    <n v="1304446537.6770999"/>
    <n v="38.99"/>
    <n v="42.45"/>
    <n v="40.72"/>
    <n v="0.71791255289139633"/>
    <n v="1"/>
    <n v="936478543.97410977"/>
  </r>
  <r>
    <x v="3"/>
    <x v="0"/>
    <s v="Shopping"/>
    <x v="0"/>
    <n v="41379942945.20134"/>
    <n v="0.2416812609457093"/>
    <n v="10000756788.857767"/>
    <n v="1"/>
    <n v="1"/>
    <n v="1"/>
    <n v="1.763046544428773E-2"/>
    <n v="1"/>
    <n v="176317996.98268279"/>
  </r>
  <r>
    <x v="3"/>
    <x v="0"/>
    <s v="Shopping"/>
    <x v="1"/>
    <n v="41379942945.20134"/>
    <n v="0.2416812609457093"/>
    <n v="10000756788.857767"/>
    <n v="3"/>
    <n v="3"/>
    <n v="3"/>
    <n v="5.2891396332863189E-2"/>
    <n v="1"/>
    <n v="528953990.94804835"/>
  </r>
  <r>
    <x v="3"/>
    <x v="0"/>
    <s v="Shopping"/>
    <x v="2"/>
    <n v="41379942945.20134"/>
    <n v="0.2416812609457093"/>
    <n v="10000756788.857767"/>
    <n v="5"/>
    <n v="5"/>
    <n v="5"/>
    <n v="8.8152327221438648E-2"/>
    <n v="1"/>
    <n v="881589984.91341388"/>
  </r>
  <r>
    <x v="3"/>
    <x v="0"/>
    <s v="Shopping"/>
    <x v="3"/>
    <n v="41379942945.20134"/>
    <n v="0.2416812609457093"/>
    <n v="10000756788.857767"/>
    <n v="7"/>
    <n v="7"/>
    <n v="7"/>
    <n v="0.12341325811001411"/>
    <n v="1"/>
    <n v="1234225978.8787794"/>
  </r>
  <r>
    <x v="3"/>
    <x v="0"/>
    <s v="Shopping"/>
    <x v="4"/>
    <n v="41379942945.20134"/>
    <n v="0.2416812609457093"/>
    <n v="10000756788.857767"/>
    <n v="38.99"/>
    <n v="42.45"/>
    <n v="40.72"/>
    <n v="0.71791255289139633"/>
    <n v="1"/>
    <n v="7179668837.1348429"/>
  </r>
  <r>
    <x v="3"/>
    <x v="0"/>
    <s v="To eat or drink"/>
    <x v="0"/>
    <n v="41379942945.20134"/>
    <n v="1.3009757317988493E-2"/>
    <n v="538343015.54927945"/>
    <n v="1"/>
    <n v="1"/>
    <n v="1"/>
    <n v="1.763046544428773E-2"/>
    <n v="1"/>
    <n v="9491237.9328152239"/>
  </r>
  <r>
    <x v="3"/>
    <x v="0"/>
    <s v="To eat or drink"/>
    <x v="1"/>
    <n v="41379942945.20134"/>
    <n v="1.3009757317988493E-2"/>
    <n v="538343015.54927945"/>
    <n v="3"/>
    <n v="3"/>
    <n v="3"/>
    <n v="5.2891396332863189E-2"/>
    <n v="1"/>
    <n v="28473713.798445668"/>
  </r>
  <r>
    <x v="3"/>
    <x v="0"/>
    <s v="To eat or drink"/>
    <x v="2"/>
    <n v="41379942945.20134"/>
    <n v="1.3009757317988493E-2"/>
    <n v="538343015.54927945"/>
    <n v="5"/>
    <n v="5"/>
    <n v="5"/>
    <n v="8.8152327221438648E-2"/>
    <n v="1"/>
    <n v="47456189.66407612"/>
  </r>
  <r>
    <x v="3"/>
    <x v="0"/>
    <s v="To eat or drink"/>
    <x v="3"/>
    <n v="41379942945.20134"/>
    <n v="1.3009757317988493E-2"/>
    <n v="538343015.54927945"/>
    <n v="7"/>
    <n v="7"/>
    <n v="7"/>
    <n v="0.12341325811001411"/>
    <n v="1"/>
    <n v="66438665.52970656"/>
  </r>
  <r>
    <x v="3"/>
    <x v="0"/>
    <s v="To eat or drink"/>
    <x v="4"/>
    <n v="41379942945.20134"/>
    <n v="1.3009757317988493E-2"/>
    <n v="538343015.54927945"/>
    <n v="38.99"/>
    <n v="42.45"/>
    <n v="40.72"/>
    <n v="0.71791255289139633"/>
    <n v="1"/>
    <n v="386483208.62423587"/>
  </r>
  <r>
    <x v="3"/>
    <x v="0"/>
    <s v="Visit family/friends"/>
    <x v="0"/>
    <n v="41379942945.20134"/>
    <n v="0.11508631473605202"/>
    <n v="4762265137.5513172"/>
    <n v="1"/>
    <n v="1"/>
    <n v="1"/>
    <n v="1.763046544428773E-2"/>
    <n v="1"/>
    <n v="83960950.944134653"/>
  </r>
  <r>
    <x v="3"/>
    <x v="0"/>
    <s v="Visit family/friends"/>
    <x v="1"/>
    <n v="41379942945.20134"/>
    <n v="0.11508631473605202"/>
    <n v="4762265137.5513172"/>
    <n v="3"/>
    <n v="3"/>
    <n v="3"/>
    <n v="5.2891396332863189E-2"/>
    <n v="1"/>
    <n v="251882852.83240396"/>
  </r>
  <r>
    <x v="3"/>
    <x v="0"/>
    <s v="Visit family/friends"/>
    <x v="2"/>
    <n v="41379942945.20134"/>
    <n v="0.11508631473605202"/>
    <n v="4762265137.5513172"/>
    <n v="5"/>
    <n v="5"/>
    <n v="5"/>
    <n v="8.8152327221438648E-2"/>
    <n v="1"/>
    <n v="419804754.72067326"/>
  </r>
  <r>
    <x v="3"/>
    <x v="0"/>
    <s v="Visit family/friends"/>
    <x v="3"/>
    <n v="41379942945.20134"/>
    <n v="0.11508631473605202"/>
    <n v="4762265137.5513172"/>
    <n v="7"/>
    <n v="7"/>
    <n v="7"/>
    <n v="0.12341325811001411"/>
    <n v="1"/>
    <n v="587726656.60894251"/>
  </r>
  <r>
    <x v="3"/>
    <x v="0"/>
    <s v="Visit family/friends"/>
    <x v="4"/>
    <n v="41379942945.20134"/>
    <n v="0.11508631473605202"/>
    <n v="4762265137.5513172"/>
    <n v="38.99"/>
    <n v="42.45"/>
    <n v="40.72"/>
    <n v="0.71791255289139633"/>
    <n v="1"/>
    <n v="3418889922.4451628"/>
  </r>
  <r>
    <x v="3"/>
    <x v="0"/>
    <s v="Entertainment/leisure/sports"/>
    <x v="0"/>
    <n v="41379942945.20134"/>
    <n v="8.3812859644733548E-2"/>
    <n v="3468171350.1732421"/>
    <n v="1"/>
    <n v="1"/>
    <n v="1"/>
    <n v="1.763046544428773E-2"/>
    <n v="1"/>
    <n v="61145475.144098066"/>
  </r>
  <r>
    <x v="3"/>
    <x v="0"/>
    <s v="Entertainment/leisure/sports"/>
    <x v="1"/>
    <n v="41379942945.20134"/>
    <n v="8.3812859644733548E-2"/>
    <n v="3468171350.1732421"/>
    <n v="3"/>
    <n v="3"/>
    <n v="3"/>
    <n v="5.2891396332863189E-2"/>
    <n v="1"/>
    <n v="183436425.43229419"/>
  </r>
  <r>
    <x v="3"/>
    <x v="0"/>
    <s v="Entertainment/leisure/sports"/>
    <x v="2"/>
    <n v="41379942945.20134"/>
    <n v="8.3812859644733548E-2"/>
    <n v="3468171350.1732421"/>
    <n v="5"/>
    <n v="5"/>
    <n v="5"/>
    <n v="8.8152327221438648E-2"/>
    <n v="1"/>
    <n v="305727375.72049034"/>
  </r>
  <r>
    <x v="3"/>
    <x v="0"/>
    <s v="Entertainment/leisure/sports"/>
    <x v="3"/>
    <n v="41379942945.20134"/>
    <n v="8.3812859644733548E-2"/>
    <n v="3468171350.1732421"/>
    <n v="7"/>
    <n v="7"/>
    <n v="7"/>
    <n v="0.12341325811001411"/>
    <n v="1"/>
    <n v="428018326.00868642"/>
  </r>
  <r>
    <x v="3"/>
    <x v="0"/>
    <s v="Entertainment/leisure/sports"/>
    <x v="4"/>
    <n v="41379942945.20134"/>
    <n v="8.3812859644733548E-2"/>
    <n v="3468171350.1732421"/>
    <n v="38.99"/>
    <n v="42.45"/>
    <n v="40.72"/>
    <n v="0.71791255289139633"/>
    <n v="1"/>
    <n v="2489843747.8676729"/>
  </r>
  <r>
    <x v="3"/>
    <x v="0"/>
    <s v="Personal Business"/>
    <x v="0"/>
    <n v="41379942945.20134"/>
    <n v="5.4791093319989992E-2"/>
    <n v="2267252315.4863882"/>
    <n v="1"/>
    <n v="1"/>
    <n v="1"/>
    <n v="1.763046544428773E-2"/>
    <n v="1"/>
    <n v="39972713.601664111"/>
  </r>
  <r>
    <x v="3"/>
    <x v="0"/>
    <s v="Personal Business"/>
    <x v="1"/>
    <n v="41379942945.20134"/>
    <n v="5.4791093319989992E-2"/>
    <n v="2267252315.4863882"/>
    <n v="3"/>
    <n v="3"/>
    <n v="3"/>
    <n v="5.2891396332863189E-2"/>
    <n v="1"/>
    <n v="119918140.80499233"/>
  </r>
  <r>
    <x v="3"/>
    <x v="0"/>
    <s v="Personal Business"/>
    <x v="2"/>
    <n v="41379942945.20134"/>
    <n v="5.4791093319989992E-2"/>
    <n v="2267252315.4863882"/>
    <n v="5"/>
    <n v="5"/>
    <n v="5"/>
    <n v="8.8152327221438648E-2"/>
    <n v="1"/>
    <n v="199863568.00832054"/>
  </r>
  <r>
    <x v="3"/>
    <x v="0"/>
    <s v="Personal Business"/>
    <x v="3"/>
    <n v="41379942945.20134"/>
    <n v="5.4791093319989992E-2"/>
    <n v="2267252315.4863882"/>
    <n v="7"/>
    <n v="7"/>
    <n v="7"/>
    <n v="0.12341325811001411"/>
    <n v="1"/>
    <n v="279808995.21164876"/>
  </r>
  <r>
    <x v="3"/>
    <x v="0"/>
    <s v="Personal Business"/>
    <x v="4"/>
    <n v="41379942945.20134"/>
    <n v="5.4791093319989992E-2"/>
    <n v="2267252315.4863882"/>
    <n v="38.99"/>
    <n v="42.45"/>
    <n v="40.72"/>
    <n v="0.71791255289139633"/>
    <n v="1"/>
    <n v="1627688897.8597624"/>
  </r>
  <r>
    <x v="3"/>
    <x v="0"/>
    <s v="Companion/Escort Journey"/>
    <x v="0"/>
    <n v="41379942945.20134"/>
    <n v="0.16062046534901178"/>
    <n v="6646465691.9737959"/>
    <n v="1"/>
    <n v="1"/>
    <n v="1"/>
    <n v="1.763046544428773E-2"/>
    <n v="1"/>
    <n v="117180283.70898794"/>
  </r>
  <r>
    <x v="3"/>
    <x v="0"/>
    <s v="Companion/Escort Journey"/>
    <x v="1"/>
    <n v="41379942945.20134"/>
    <n v="0.16062046534901178"/>
    <n v="6646465691.9737959"/>
    <n v="3"/>
    <n v="3"/>
    <n v="3"/>
    <n v="5.2891396332863189E-2"/>
    <n v="1"/>
    <n v="351540851.12696379"/>
  </r>
  <r>
    <x v="3"/>
    <x v="0"/>
    <s v="Companion/Escort Journey"/>
    <x v="2"/>
    <n v="41379942945.20134"/>
    <n v="0.16062046534901178"/>
    <n v="6646465691.9737959"/>
    <n v="5"/>
    <n v="5"/>
    <n v="5"/>
    <n v="8.8152327221438648E-2"/>
    <n v="1"/>
    <n v="585901418.54493976"/>
  </r>
  <r>
    <x v="3"/>
    <x v="0"/>
    <s v="Companion/Escort Journey"/>
    <x v="3"/>
    <n v="41379942945.20134"/>
    <n v="0.16062046534901178"/>
    <n v="6646465691.9737959"/>
    <n v="7"/>
    <n v="7"/>
    <n v="7"/>
    <n v="0.12341325811001411"/>
    <n v="1"/>
    <n v="820261985.96291554"/>
  </r>
  <r>
    <x v="3"/>
    <x v="0"/>
    <s v="Companion/Escort Journey"/>
    <x v="4"/>
    <n v="41379942945.20134"/>
    <n v="0.16062046534901178"/>
    <n v="6646465691.9737959"/>
    <n v="38.99"/>
    <n v="42.45"/>
    <n v="40.72"/>
    <n v="0.71791255289139633"/>
    <n v="1"/>
    <n v="4771581152.6299887"/>
  </r>
  <r>
    <x v="3"/>
    <x v="0"/>
    <s v="Other"/>
    <x v="0"/>
    <n v="41379942945.20134"/>
    <n v="4.7035276457343012E-2"/>
    <n v="1946317056.2166257"/>
    <n v="1"/>
    <n v="1"/>
    <n v="1"/>
    <n v="1.763046544428773E-2"/>
    <n v="1"/>
    <n v="34314475.603255041"/>
  </r>
  <r>
    <x v="3"/>
    <x v="0"/>
    <s v="Other"/>
    <x v="1"/>
    <n v="41379942945.20134"/>
    <n v="4.7035276457343012E-2"/>
    <n v="1946317056.2166257"/>
    <n v="3"/>
    <n v="3"/>
    <n v="3"/>
    <n v="5.2891396332863189E-2"/>
    <n v="1"/>
    <n v="102943426.80976512"/>
  </r>
  <r>
    <x v="3"/>
    <x v="0"/>
    <s v="Other"/>
    <x v="2"/>
    <n v="41379942945.20134"/>
    <n v="4.7035276457343012E-2"/>
    <n v="1946317056.2166257"/>
    <n v="5"/>
    <n v="5"/>
    <n v="5"/>
    <n v="8.8152327221438648E-2"/>
    <n v="1"/>
    <n v="171572378.0162752"/>
  </r>
  <r>
    <x v="3"/>
    <x v="0"/>
    <s v="Other"/>
    <x v="3"/>
    <n v="41379942945.20134"/>
    <n v="4.7035276457343012E-2"/>
    <n v="1946317056.2166257"/>
    <n v="7"/>
    <n v="7"/>
    <n v="7"/>
    <n v="0.12341325811001411"/>
    <n v="1"/>
    <n v="240201329.22278526"/>
  </r>
  <r>
    <x v="3"/>
    <x v="0"/>
    <s v="Other"/>
    <x v="4"/>
    <n v="41379942945.20134"/>
    <n v="4.7035276457343012E-2"/>
    <n v="1946317056.2166257"/>
    <n v="38.99"/>
    <n v="42.45"/>
    <n v="40.72"/>
    <n v="0.71791255289139633"/>
    <n v="1"/>
    <n v="1397285446.5645452"/>
  </r>
  <r>
    <x v="3"/>
    <x v="1"/>
    <s v="Work"/>
    <x v="0"/>
    <n v="6799367587.5175657"/>
    <n v="0.25243932949712289"/>
    <n v="1716427794.7974043"/>
    <n v="1"/>
    <n v="1"/>
    <n v="1"/>
    <n v="1.763046544428773E-2"/>
    <n v="1"/>
    <n v="30261420.923790626"/>
  </r>
  <r>
    <x v="3"/>
    <x v="1"/>
    <s v="Work"/>
    <x v="1"/>
    <n v="6799367587.5175657"/>
    <n v="0.25243932949712289"/>
    <n v="1716427794.7974043"/>
    <n v="3"/>
    <n v="3"/>
    <n v="3"/>
    <n v="5.2891396332863189E-2"/>
    <n v="1"/>
    <n v="90784262.771371886"/>
  </r>
  <r>
    <x v="3"/>
    <x v="1"/>
    <s v="Work"/>
    <x v="2"/>
    <n v="6799367587.5175657"/>
    <n v="0.25243932949712289"/>
    <n v="1716427794.7974043"/>
    <n v="5"/>
    <n v="5"/>
    <n v="5"/>
    <n v="8.8152327221438648E-2"/>
    <n v="1"/>
    <n v="151307104.61895314"/>
  </r>
  <r>
    <x v="3"/>
    <x v="1"/>
    <s v="Work"/>
    <x v="3"/>
    <n v="6799367587.5175657"/>
    <n v="0.25243932949712289"/>
    <n v="1716427794.7974043"/>
    <n v="7"/>
    <n v="7"/>
    <n v="7"/>
    <n v="0.12341325811001411"/>
    <n v="1"/>
    <n v="211829946.46653438"/>
  </r>
  <r>
    <x v="3"/>
    <x v="1"/>
    <s v="Work"/>
    <x v="4"/>
    <n v="6799367587.5175657"/>
    <n v="0.25243932949712289"/>
    <n v="1716427794.7974043"/>
    <n v="38.99"/>
    <n v="42.45"/>
    <n v="40.72"/>
    <n v="0.71791255289139633"/>
    <n v="1"/>
    <n v="1232245060.0167542"/>
  </r>
  <r>
    <x v="3"/>
    <x v="1"/>
    <s v="Education"/>
    <x v="0"/>
    <n v="6799367587.5175657"/>
    <n v="3.1523642732049037E-2"/>
    <n v="214340834.6327779"/>
    <n v="1"/>
    <n v="1"/>
    <n v="1"/>
    <n v="1.763046544428773E-2"/>
    <n v="1"/>
    <n v="3778928.6782929813"/>
  </r>
  <r>
    <x v="3"/>
    <x v="1"/>
    <s v="Education"/>
    <x v="1"/>
    <n v="6799367587.5175657"/>
    <n v="3.1523642732049037E-2"/>
    <n v="214340834.6327779"/>
    <n v="3"/>
    <n v="3"/>
    <n v="3"/>
    <n v="5.2891396332863189E-2"/>
    <n v="1"/>
    <n v="11336786.034878945"/>
  </r>
  <r>
    <x v="3"/>
    <x v="1"/>
    <s v="Education"/>
    <x v="2"/>
    <n v="6799367587.5175657"/>
    <n v="3.1523642732049037E-2"/>
    <n v="214340834.6327779"/>
    <n v="5"/>
    <n v="5"/>
    <n v="5"/>
    <n v="8.8152327221438648E-2"/>
    <n v="1"/>
    <n v="18894643.391464908"/>
  </r>
  <r>
    <x v="3"/>
    <x v="1"/>
    <s v="Education"/>
    <x v="3"/>
    <n v="6799367587.5175657"/>
    <n v="3.1523642732049037E-2"/>
    <n v="214340834.6327779"/>
    <n v="7"/>
    <n v="7"/>
    <n v="7"/>
    <n v="0.12341325811001411"/>
    <n v="1"/>
    <n v="26452500.748050869"/>
  </r>
  <r>
    <x v="3"/>
    <x v="1"/>
    <s v="Education"/>
    <x v="4"/>
    <n v="6799367587.5175657"/>
    <n v="3.1523642732049037E-2"/>
    <n v="214340834.6327779"/>
    <n v="38.99"/>
    <n v="42.45"/>
    <n v="40.72"/>
    <n v="0.71791255289139633"/>
    <n v="1"/>
    <n v="153877975.78009018"/>
  </r>
  <r>
    <x v="3"/>
    <x v="1"/>
    <s v="Shopping"/>
    <x v="0"/>
    <n v="6799367587.5175657"/>
    <n v="0.2416812609457093"/>
    <n v="1643279732.1846306"/>
    <n v="1"/>
    <n v="1"/>
    <n v="1"/>
    <n v="1.763046544428773E-2"/>
    <n v="1"/>
    <n v="28971786.533579525"/>
  </r>
  <r>
    <x v="3"/>
    <x v="1"/>
    <s v="Shopping"/>
    <x v="1"/>
    <n v="6799367587.5175657"/>
    <n v="0.2416812609457093"/>
    <n v="1643279732.1846306"/>
    <n v="3"/>
    <n v="3"/>
    <n v="3"/>
    <n v="5.2891396332863189E-2"/>
    <n v="1"/>
    <n v="86915359.60073857"/>
  </r>
  <r>
    <x v="3"/>
    <x v="1"/>
    <s v="Shopping"/>
    <x v="2"/>
    <n v="6799367587.5175657"/>
    <n v="0.2416812609457093"/>
    <n v="1643279732.1846306"/>
    <n v="5"/>
    <n v="5"/>
    <n v="5"/>
    <n v="8.8152327221438648E-2"/>
    <n v="1"/>
    <n v="144858932.66789761"/>
  </r>
  <r>
    <x v="3"/>
    <x v="1"/>
    <s v="Shopping"/>
    <x v="3"/>
    <n v="6799367587.5175657"/>
    <n v="0.2416812609457093"/>
    <n v="1643279732.1846306"/>
    <n v="7"/>
    <n v="7"/>
    <n v="7"/>
    <n v="0.12341325811001411"/>
    <n v="1"/>
    <n v="202802505.73505667"/>
  </r>
  <r>
    <x v="3"/>
    <x v="1"/>
    <s v="Shopping"/>
    <x v="4"/>
    <n v="6799367587.5175657"/>
    <n v="0.2416812609457093"/>
    <n v="1643279732.1846306"/>
    <n v="38.99"/>
    <n v="42.45"/>
    <n v="40.72"/>
    <n v="0.71791255289139633"/>
    <n v="1"/>
    <n v="1179731147.6473582"/>
  </r>
  <r>
    <x v="3"/>
    <x v="1"/>
    <s v="To eat or drink"/>
    <x v="0"/>
    <n v="6799367587.5175657"/>
    <n v="1.3009757317988493E-2"/>
    <n v="88458122.229400426"/>
    <n v="1"/>
    <n v="1"/>
    <n v="1"/>
    <n v="1.763046544428773E-2"/>
    <n v="1"/>
    <n v="1559557.8672320244"/>
  </r>
  <r>
    <x v="3"/>
    <x v="1"/>
    <s v="To eat or drink"/>
    <x v="1"/>
    <n v="6799367587.5175657"/>
    <n v="1.3009757317988493E-2"/>
    <n v="88458122.229400426"/>
    <n v="3"/>
    <n v="3"/>
    <n v="3"/>
    <n v="5.2891396332863189E-2"/>
    <n v="1"/>
    <n v="4678673.6016960731"/>
  </r>
  <r>
    <x v="3"/>
    <x v="1"/>
    <s v="To eat or drink"/>
    <x v="2"/>
    <n v="6799367587.5175657"/>
    <n v="1.3009757317988493E-2"/>
    <n v="88458122.229400426"/>
    <n v="5"/>
    <n v="5"/>
    <n v="5"/>
    <n v="8.8152327221438648E-2"/>
    <n v="1"/>
    <n v="7797789.3361601224"/>
  </r>
  <r>
    <x v="3"/>
    <x v="1"/>
    <s v="To eat or drink"/>
    <x v="3"/>
    <n v="6799367587.5175657"/>
    <n v="1.3009757317988493E-2"/>
    <n v="88458122.229400426"/>
    <n v="7"/>
    <n v="7"/>
    <n v="7"/>
    <n v="0.12341325811001411"/>
    <n v="1"/>
    <n v="10916905.070624171"/>
  </r>
  <r>
    <x v="3"/>
    <x v="1"/>
    <s v="To eat or drink"/>
    <x v="4"/>
    <n v="6799367587.5175657"/>
    <n v="1.3009757317988493E-2"/>
    <n v="88458122.229400426"/>
    <n v="38.99"/>
    <n v="42.45"/>
    <n v="40.72"/>
    <n v="0.71791255289139633"/>
    <n v="1"/>
    <n v="63505196.353688031"/>
  </r>
  <r>
    <x v="3"/>
    <x v="1"/>
    <s v="Visit family/friends"/>
    <x v="0"/>
    <n v="6799367587.5175657"/>
    <n v="0.11508631473605202"/>
    <n v="782514158.18315732"/>
    <n v="1"/>
    <n v="1"/>
    <n v="1"/>
    <n v="1.763046544428773E-2"/>
    <n v="1"/>
    <n v="13796088.825514058"/>
  </r>
  <r>
    <x v="3"/>
    <x v="1"/>
    <s v="Visit family/friends"/>
    <x v="1"/>
    <n v="6799367587.5175657"/>
    <n v="0.11508631473605202"/>
    <n v="782514158.18315732"/>
    <n v="3"/>
    <n v="3"/>
    <n v="3"/>
    <n v="5.2891396332863189E-2"/>
    <n v="1"/>
    <n v="41388266.476542175"/>
  </r>
  <r>
    <x v="3"/>
    <x v="1"/>
    <s v="Visit family/friends"/>
    <x v="2"/>
    <n v="6799367587.5175657"/>
    <n v="0.11508631473605202"/>
    <n v="782514158.18315732"/>
    <n v="5"/>
    <n v="5"/>
    <n v="5"/>
    <n v="8.8152327221438648E-2"/>
    <n v="1"/>
    <n v="68980444.127570286"/>
  </r>
  <r>
    <x v="3"/>
    <x v="1"/>
    <s v="Visit family/friends"/>
    <x v="3"/>
    <n v="6799367587.5175657"/>
    <n v="0.11508631473605202"/>
    <n v="782514158.18315732"/>
    <n v="7"/>
    <n v="7"/>
    <n v="7"/>
    <n v="0.12341325811001411"/>
    <n v="1"/>
    <n v="96572621.778598398"/>
  </r>
  <r>
    <x v="3"/>
    <x v="1"/>
    <s v="Visit family/friends"/>
    <x v="4"/>
    <n v="6799367587.5175657"/>
    <n v="0.11508631473605202"/>
    <n v="782514158.18315732"/>
    <n v="38.99"/>
    <n v="42.45"/>
    <n v="40.72"/>
    <n v="0.71791255289139633"/>
    <n v="1"/>
    <n v="561776736.97493243"/>
  </r>
  <r>
    <x v="3"/>
    <x v="1"/>
    <s v="Entertainment/leisure/sports"/>
    <x v="0"/>
    <n v="6799367587.5175657"/>
    <n v="8.3812859644733548E-2"/>
    <n v="569874441.28556025"/>
    <n v="1"/>
    <n v="1"/>
    <n v="1"/>
    <n v="1.763046544428773E-2"/>
    <n v="1"/>
    <n v="10047151.644667847"/>
  </r>
  <r>
    <x v="3"/>
    <x v="1"/>
    <s v="Entertainment/leisure/sports"/>
    <x v="1"/>
    <n v="6799367587.5175657"/>
    <n v="8.3812859644733548E-2"/>
    <n v="569874441.28556025"/>
    <n v="3"/>
    <n v="3"/>
    <n v="3"/>
    <n v="5.2891396332863189E-2"/>
    <n v="1"/>
    <n v="30141454.934003539"/>
  </r>
  <r>
    <x v="3"/>
    <x v="1"/>
    <s v="Entertainment/leisure/sports"/>
    <x v="2"/>
    <n v="6799367587.5175657"/>
    <n v="8.3812859644733548E-2"/>
    <n v="569874441.28556025"/>
    <n v="5"/>
    <n v="5"/>
    <n v="5"/>
    <n v="8.8152327221438648E-2"/>
    <n v="1"/>
    <n v="50235758.22333923"/>
  </r>
  <r>
    <x v="3"/>
    <x v="1"/>
    <s v="Entertainment/leisure/sports"/>
    <x v="3"/>
    <n v="6799367587.5175657"/>
    <n v="8.3812859644733548E-2"/>
    <n v="569874441.28556025"/>
    <n v="7"/>
    <n v="7"/>
    <n v="7"/>
    <n v="0.12341325811001411"/>
    <n v="1"/>
    <n v="70330061.512674928"/>
  </r>
  <r>
    <x v="3"/>
    <x v="1"/>
    <s v="Entertainment/leisure/sports"/>
    <x v="4"/>
    <n v="6799367587.5175657"/>
    <n v="8.3812859644733548E-2"/>
    <n v="569874441.28556025"/>
    <n v="38.99"/>
    <n v="42.45"/>
    <n v="40.72"/>
    <n v="0.71791255289139633"/>
    <n v="1"/>
    <n v="409120014.97087473"/>
  </r>
  <r>
    <x v="3"/>
    <x v="1"/>
    <s v="Personal Business"/>
    <x v="0"/>
    <n v="6799367587.5175657"/>
    <n v="5.4791093319989992E-2"/>
    <n v="372544784.00459015"/>
    <n v="1"/>
    <n v="1"/>
    <n v="1"/>
    <n v="1.763046544428773E-2"/>
    <n v="1"/>
    <n v="6568137.9408425624"/>
  </r>
  <r>
    <x v="3"/>
    <x v="1"/>
    <s v="Personal Business"/>
    <x v="1"/>
    <n v="6799367587.5175657"/>
    <n v="5.4791093319989992E-2"/>
    <n v="372544784.00459015"/>
    <n v="3"/>
    <n v="3"/>
    <n v="3"/>
    <n v="5.2891396332863189E-2"/>
    <n v="1"/>
    <n v="19704413.822527688"/>
  </r>
  <r>
    <x v="3"/>
    <x v="1"/>
    <s v="Personal Business"/>
    <x v="2"/>
    <n v="6799367587.5175657"/>
    <n v="5.4791093319989992E-2"/>
    <n v="372544784.00459015"/>
    <n v="5"/>
    <n v="5"/>
    <n v="5"/>
    <n v="8.8152327221438648E-2"/>
    <n v="1"/>
    <n v="32840689.704212815"/>
  </r>
  <r>
    <x v="3"/>
    <x v="1"/>
    <s v="Personal Business"/>
    <x v="3"/>
    <n v="6799367587.5175657"/>
    <n v="5.4791093319989992E-2"/>
    <n v="372544784.00459015"/>
    <n v="7"/>
    <n v="7"/>
    <n v="7"/>
    <n v="0.12341325811001411"/>
    <n v="1"/>
    <n v="45976965.585897937"/>
  </r>
  <r>
    <x v="3"/>
    <x v="1"/>
    <s v="Personal Business"/>
    <x v="4"/>
    <n v="6799367587.5175657"/>
    <n v="5.4791093319989992E-2"/>
    <n v="372544784.00459015"/>
    <n v="38.99"/>
    <n v="42.45"/>
    <n v="40.72"/>
    <n v="0.71791255289139633"/>
    <n v="1"/>
    <n v="267454576.95110914"/>
  </r>
  <r>
    <x v="3"/>
    <x v="1"/>
    <s v="Companion/Escort Journey"/>
    <x v="0"/>
    <n v="6799367587.5175657"/>
    <n v="0.16062046534901178"/>
    <n v="1092117585.986059"/>
    <n v="1"/>
    <n v="1"/>
    <n v="1"/>
    <n v="1.763046544428773E-2"/>
    <n v="1"/>
    <n v="19254541.360826146"/>
  </r>
  <r>
    <x v="3"/>
    <x v="1"/>
    <s v="Companion/Escort Journey"/>
    <x v="1"/>
    <n v="6799367587.5175657"/>
    <n v="0.16062046534901178"/>
    <n v="1092117585.986059"/>
    <n v="3"/>
    <n v="3"/>
    <n v="3"/>
    <n v="5.2891396332863189E-2"/>
    <n v="1"/>
    <n v="57763624.082478434"/>
  </r>
  <r>
    <x v="3"/>
    <x v="1"/>
    <s v="Companion/Escort Journey"/>
    <x v="2"/>
    <n v="6799367587.5175657"/>
    <n v="0.16062046534901178"/>
    <n v="1092117585.986059"/>
    <n v="5"/>
    <n v="5"/>
    <n v="5"/>
    <n v="8.8152327221438648E-2"/>
    <n v="1"/>
    <n v="96272706.804130733"/>
  </r>
  <r>
    <x v="3"/>
    <x v="1"/>
    <s v="Companion/Escort Journey"/>
    <x v="3"/>
    <n v="6799367587.5175657"/>
    <n v="0.16062046534901178"/>
    <n v="1092117585.986059"/>
    <n v="7"/>
    <n v="7"/>
    <n v="7"/>
    <n v="0.12341325811001411"/>
    <n v="1"/>
    <n v="134781789.52578303"/>
  </r>
  <r>
    <x v="3"/>
    <x v="1"/>
    <s v="Companion/Escort Journey"/>
    <x v="4"/>
    <n v="6799367587.5175657"/>
    <n v="0.16062046534901178"/>
    <n v="1092117585.986059"/>
    <n v="38.99"/>
    <n v="42.45"/>
    <n v="40.72"/>
    <n v="0.71791255289139633"/>
    <n v="1"/>
    <n v="784044924.21284068"/>
  </r>
  <r>
    <x v="3"/>
    <x v="1"/>
    <s v="Other"/>
    <x v="0"/>
    <n v="6799367587.5175657"/>
    <n v="4.7035276457343012E-2"/>
    <n v="319810134.2139861"/>
    <n v="1"/>
    <n v="1"/>
    <n v="1"/>
    <n v="1.763046544428773E-2"/>
    <n v="1"/>
    <n v="5638401.5199927026"/>
  </r>
  <r>
    <x v="3"/>
    <x v="1"/>
    <s v="Other"/>
    <x v="1"/>
    <n v="6799367587.5175657"/>
    <n v="4.7035276457343012E-2"/>
    <n v="319810134.2139861"/>
    <n v="3"/>
    <n v="3"/>
    <n v="3"/>
    <n v="5.2891396332863189E-2"/>
    <n v="1"/>
    <n v="16915204.559978109"/>
  </r>
  <r>
    <x v="3"/>
    <x v="1"/>
    <s v="Other"/>
    <x v="2"/>
    <n v="6799367587.5175657"/>
    <n v="4.7035276457343012E-2"/>
    <n v="319810134.2139861"/>
    <n v="5"/>
    <n v="5"/>
    <n v="5"/>
    <n v="8.8152327221438648E-2"/>
    <n v="1"/>
    <n v="28192007.599963516"/>
  </r>
  <r>
    <x v="3"/>
    <x v="1"/>
    <s v="Other"/>
    <x v="3"/>
    <n v="6799367587.5175657"/>
    <n v="4.7035276457343012E-2"/>
    <n v="319810134.2139861"/>
    <n v="7"/>
    <n v="7"/>
    <n v="7"/>
    <n v="0.12341325811001411"/>
    <n v="1"/>
    <n v="39468810.639948919"/>
  </r>
  <r>
    <x v="3"/>
    <x v="1"/>
    <s v="Other"/>
    <x v="4"/>
    <n v="6799367587.5175657"/>
    <n v="4.7035276457343012E-2"/>
    <n v="319810134.2139861"/>
    <n v="38.99"/>
    <n v="42.45"/>
    <n v="40.72"/>
    <n v="0.71791255289139633"/>
    <n v="1"/>
    <n v="229595709.89410284"/>
  </r>
  <r>
    <x v="3"/>
    <x v="2"/>
    <s v="Work"/>
    <x v="0"/>
    <n v="198715758.57007572"/>
    <n v="0.15625"/>
    <n v="31049337.276574332"/>
    <n v="1"/>
    <n v="1"/>
    <n v="1"/>
    <n v="1.763046544428773E-2"/>
    <n v="1"/>
    <n v="547414.26792267861"/>
  </r>
  <r>
    <x v="3"/>
    <x v="2"/>
    <s v="Work"/>
    <x v="1"/>
    <n v="198715758.57007572"/>
    <n v="0.15625"/>
    <n v="31049337.276574332"/>
    <n v="3"/>
    <n v="3"/>
    <n v="3"/>
    <n v="5.2891396332863189E-2"/>
    <n v="1"/>
    <n v="1642242.803768036"/>
  </r>
  <r>
    <x v="3"/>
    <x v="2"/>
    <s v="Work"/>
    <x v="2"/>
    <n v="198715758.57007572"/>
    <n v="0.15625"/>
    <n v="31049337.276574332"/>
    <n v="5"/>
    <n v="5"/>
    <n v="5"/>
    <n v="8.8152327221438648E-2"/>
    <n v="1"/>
    <n v="2737071.3396133934"/>
  </r>
  <r>
    <x v="3"/>
    <x v="2"/>
    <s v="Work"/>
    <x v="3"/>
    <n v="198715758.57007572"/>
    <n v="0.15625"/>
    <n v="31049337.276574332"/>
    <n v="7"/>
    <n v="7"/>
    <n v="7"/>
    <n v="0.12341325811001411"/>
    <n v="1"/>
    <n v="3831899.8754587504"/>
  </r>
  <r>
    <x v="3"/>
    <x v="2"/>
    <s v="Work"/>
    <x v="4"/>
    <n v="198715758.57007572"/>
    <n v="0.15625"/>
    <n v="31049337.276574332"/>
    <n v="38.99"/>
    <n v="42.45"/>
    <n v="40.72"/>
    <n v="0.71791255289139633"/>
    <n v="1"/>
    <n v="22290708.989811473"/>
  </r>
  <r>
    <x v="3"/>
    <x v="2"/>
    <s v="Education"/>
    <x v="0"/>
    <n v="198715758.57007572"/>
    <n v="0.10225000000000001"/>
    <n v="20318686.313790243"/>
    <n v="1"/>
    <n v="1"/>
    <n v="1"/>
    <n v="1.763046544428773E-2"/>
    <n v="1"/>
    <n v="358227.89692860091"/>
  </r>
  <r>
    <x v="3"/>
    <x v="2"/>
    <s v="Education"/>
    <x v="1"/>
    <n v="198715758.57007572"/>
    <n v="0.10225000000000001"/>
    <n v="20318686.313790243"/>
    <n v="3"/>
    <n v="3"/>
    <n v="3"/>
    <n v="5.2891396332863189E-2"/>
    <n v="1"/>
    <n v="1074683.6907858027"/>
  </r>
  <r>
    <x v="3"/>
    <x v="2"/>
    <s v="Education"/>
    <x v="2"/>
    <n v="198715758.57007572"/>
    <n v="0.10225000000000001"/>
    <n v="20318686.313790243"/>
    <n v="5"/>
    <n v="5"/>
    <n v="5"/>
    <n v="8.8152327221438648E-2"/>
    <n v="1"/>
    <n v="1791139.4846430046"/>
  </r>
  <r>
    <x v="3"/>
    <x v="2"/>
    <s v="Education"/>
    <x v="3"/>
    <n v="198715758.57007572"/>
    <n v="0.10225000000000001"/>
    <n v="20318686.313790243"/>
    <n v="7"/>
    <n v="7"/>
    <n v="7"/>
    <n v="0.12341325811001411"/>
    <n v="1"/>
    <n v="2507595.2785002063"/>
  </r>
  <r>
    <x v="3"/>
    <x v="2"/>
    <s v="Education"/>
    <x v="4"/>
    <n v="198715758.57007572"/>
    <n v="0.10225000000000001"/>
    <n v="20318686.313790243"/>
    <n v="38.99"/>
    <n v="42.45"/>
    <n v="40.72"/>
    <n v="0.71791255289139633"/>
    <n v="1"/>
    <n v="14587039.96293263"/>
  </r>
  <r>
    <x v="3"/>
    <x v="2"/>
    <s v="Shopping"/>
    <x v="0"/>
    <n v="198715758.57007572"/>
    <n v="0.24750000000000003"/>
    <n v="49182150.246093743"/>
    <n v="1"/>
    <n v="1"/>
    <n v="1"/>
    <n v="1.763046544428773E-2"/>
    <n v="1"/>
    <n v="867104.20038952294"/>
  </r>
  <r>
    <x v="3"/>
    <x v="2"/>
    <s v="Shopping"/>
    <x v="1"/>
    <n v="198715758.57007572"/>
    <n v="0.24750000000000003"/>
    <n v="49182150.246093743"/>
    <n v="3"/>
    <n v="3"/>
    <n v="3"/>
    <n v="5.2891396332863189E-2"/>
    <n v="1"/>
    <n v="2601312.6011685692"/>
  </r>
  <r>
    <x v="3"/>
    <x v="2"/>
    <s v="Shopping"/>
    <x v="2"/>
    <n v="198715758.57007572"/>
    <n v="0.24750000000000003"/>
    <n v="49182150.246093743"/>
    <n v="5"/>
    <n v="5"/>
    <n v="5"/>
    <n v="8.8152327221438648E-2"/>
    <n v="1"/>
    <n v="4335521.0019476153"/>
  </r>
  <r>
    <x v="3"/>
    <x v="2"/>
    <s v="Shopping"/>
    <x v="3"/>
    <n v="198715758.57007572"/>
    <n v="0.24750000000000003"/>
    <n v="49182150.246093743"/>
    <n v="7"/>
    <n v="7"/>
    <n v="7"/>
    <n v="0.12341325811001411"/>
    <n v="1"/>
    <n v="6069729.4027266605"/>
  </r>
  <r>
    <x v="3"/>
    <x v="2"/>
    <s v="Shopping"/>
    <x v="4"/>
    <n v="198715758.57007572"/>
    <n v="0.24750000000000003"/>
    <n v="49182150.246093743"/>
    <n v="38.99"/>
    <n v="42.45"/>
    <n v="40.72"/>
    <n v="0.71791255289139633"/>
    <n v="1"/>
    <n v="35308483.039861374"/>
  </r>
  <r>
    <x v="3"/>
    <x v="2"/>
    <s v="To eat or drink"/>
    <x v="0"/>
    <n v="198715758.57007572"/>
    <n v="3.5000000000000003E-2"/>
    <n v="6955051.5499526504"/>
    <n v="1"/>
    <n v="1"/>
    <n v="1"/>
    <n v="1.763046544428773E-2"/>
    <n v="1"/>
    <n v="122620.79601468002"/>
  </r>
  <r>
    <x v="3"/>
    <x v="2"/>
    <s v="To eat or drink"/>
    <x v="1"/>
    <n v="198715758.57007572"/>
    <n v="3.5000000000000003E-2"/>
    <n v="6955051.5499526504"/>
    <n v="3"/>
    <n v="3"/>
    <n v="3"/>
    <n v="5.2891396332863189E-2"/>
    <n v="1"/>
    <n v="367862.38804404007"/>
  </r>
  <r>
    <x v="3"/>
    <x v="2"/>
    <s v="To eat or drink"/>
    <x v="2"/>
    <n v="198715758.57007572"/>
    <n v="3.5000000000000003E-2"/>
    <n v="6955051.5499526504"/>
    <n v="5"/>
    <n v="5"/>
    <n v="5"/>
    <n v="8.8152327221438648E-2"/>
    <n v="1"/>
    <n v="613103.98007340007"/>
  </r>
  <r>
    <x v="3"/>
    <x v="2"/>
    <s v="To eat or drink"/>
    <x v="3"/>
    <n v="198715758.57007572"/>
    <n v="3.5000000000000003E-2"/>
    <n v="6955051.5499526504"/>
    <n v="7"/>
    <n v="7"/>
    <n v="7"/>
    <n v="0.12341325811001411"/>
    <n v="1"/>
    <n v="858345.57210276008"/>
  </r>
  <r>
    <x v="3"/>
    <x v="2"/>
    <s v="To eat or drink"/>
    <x v="4"/>
    <n v="198715758.57007572"/>
    <n v="3.5000000000000003E-2"/>
    <n v="6955051.5499526504"/>
    <n v="38.99"/>
    <n v="42.45"/>
    <n v="40.72"/>
    <n v="0.71791255289139633"/>
    <n v="1"/>
    <n v="4993118.8137177704"/>
  </r>
  <r>
    <x v="3"/>
    <x v="2"/>
    <s v="Visit family/friends"/>
    <x v="0"/>
    <n v="198715758.57007572"/>
    <n v="9.2499999999999999E-2"/>
    <n v="18381207.667732004"/>
    <n v="1"/>
    <n v="1"/>
    <n v="1"/>
    <n v="1.763046544428773E-2"/>
    <n v="1"/>
    <n v="324069.24661022576"/>
  </r>
  <r>
    <x v="3"/>
    <x v="2"/>
    <s v="Visit family/friends"/>
    <x v="1"/>
    <n v="198715758.57007572"/>
    <n v="9.2499999999999999E-2"/>
    <n v="18381207.667732004"/>
    <n v="3"/>
    <n v="3"/>
    <n v="3"/>
    <n v="5.2891396332863189E-2"/>
    <n v="1"/>
    <n v="972207.73983067728"/>
  </r>
  <r>
    <x v="3"/>
    <x v="2"/>
    <s v="Visit family/friends"/>
    <x v="2"/>
    <n v="198715758.57007572"/>
    <n v="9.2499999999999999E-2"/>
    <n v="18381207.667732004"/>
    <n v="5"/>
    <n v="5"/>
    <n v="5"/>
    <n v="8.8152327221438648E-2"/>
    <n v="1"/>
    <n v="1620346.2330511287"/>
  </r>
  <r>
    <x v="3"/>
    <x v="2"/>
    <s v="Visit family/friends"/>
    <x v="3"/>
    <n v="198715758.57007572"/>
    <n v="9.2499999999999999E-2"/>
    <n v="18381207.667732004"/>
    <n v="7"/>
    <n v="7"/>
    <n v="7"/>
    <n v="0.12341325811001411"/>
    <n v="1"/>
    <n v="2268484.7262715804"/>
  </r>
  <r>
    <x v="3"/>
    <x v="2"/>
    <s v="Visit family/friends"/>
    <x v="4"/>
    <n v="198715758.57007572"/>
    <n v="9.2499999999999999E-2"/>
    <n v="18381207.667732004"/>
    <n v="38.99"/>
    <n v="42.45"/>
    <n v="40.72"/>
    <n v="0.71791255289139633"/>
    <n v="1"/>
    <n v="13196099.721968392"/>
  </r>
  <r>
    <x v="3"/>
    <x v="2"/>
    <s v="Entertainment/leisure/sports"/>
    <x v="0"/>
    <n v="198715758.57007572"/>
    <n v="0.17100000000000001"/>
    <n v="33980394.71548295"/>
    <n v="1"/>
    <n v="1"/>
    <n v="1"/>
    <n v="1.763046544428773E-2"/>
    <n v="1"/>
    <n v="599090.17481457954"/>
  </r>
  <r>
    <x v="3"/>
    <x v="2"/>
    <s v="Entertainment/leisure/sports"/>
    <x v="1"/>
    <n v="198715758.57007572"/>
    <n v="0.17100000000000001"/>
    <n v="33980394.71548295"/>
    <n v="3"/>
    <n v="3"/>
    <n v="3"/>
    <n v="5.2891396332863189E-2"/>
    <n v="1"/>
    <n v="1797270.5244437386"/>
  </r>
  <r>
    <x v="3"/>
    <x v="2"/>
    <s v="Entertainment/leisure/sports"/>
    <x v="2"/>
    <n v="198715758.57007572"/>
    <n v="0.17100000000000001"/>
    <n v="33980394.71548295"/>
    <n v="5"/>
    <n v="5"/>
    <n v="5"/>
    <n v="8.8152327221438648E-2"/>
    <n v="1"/>
    <n v="2995450.8740728977"/>
  </r>
  <r>
    <x v="3"/>
    <x v="2"/>
    <s v="Entertainment/leisure/sports"/>
    <x v="3"/>
    <n v="198715758.57007572"/>
    <n v="0.17100000000000001"/>
    <n v="33980394.71548295"/>
    <n v="7"/>
    <n v="7"/>
    <n v="7"/>
    <n v="0.12341325811001411"/>
    <n v="1"/>
    <n v="4193631.2237020568"/>
  </r>
  <r>
    <x v="3"/>
    <x v="2"/>
    <s v="Entertainment/leisure/sports"/>
    <x v="4"/>
    <n v="198715758.57007572"/>
    <n v="0.17100000000000001"/>
    <n v="33980394.71548295"/>
    <n v="38.99"/>
    <n v="42.45"/>
    <n v="40.72"/>
    <n v="0.71791255289139633"/>
    <n v="1"/>
    <n v="24394951.918449678"/>
  </r>
  <r>
    <x v="3"/>
    <x v="2"/>
    <s v="Personal Business"/>
    <x v="0"/>
    <n v="198715758.57007572"/>
    <n v="3.6249999999999998E-2"/>
    <n v="7203446.2481652442"/>
    <n v="1"/>
    <n v="1"/>
    <n v="1"/>
    <n v="1.763046544428773E-2"/>
    <n v="1"/>
    <n v="127000.11015806143"/>
  </r>
  <r>
    <x v="3"/>
    <x v="2"/>
    <s v="Personal Business"/>
    <x v="1"/>
    <n v="198715758.57007572"/>
    <n v="3.6249999999999998E-2"/>
    <n v="7203446.2481652442"/>
    <n v="3"/>
    <n v="3"/>
    <n v="3"/>
    <n v="5.2891396332863189E-2"/>
    <n v="1"/>
    <n v="381000.3304741843"/>
  </r>
  <r>
    <x v="3"/>
    <x v="2"/>
    <s v="Personal Business"/>
    <x v="2"/>
    <n v="198715758.57007572"/>
    <n v="3.6249999999999998E-2"/>
    <n v="7203446.2481652442"/>
    <n v="5"/>
    <n v="5"/>
    <n v="5"/>
    <n v="8.8152327221438648E-2"/>
    <n v="1"/>
    <n v="635000.55079030711"/>
  </r>
  <r>
    <x v="3"/>
    <x v="2"/>
    <s v="Personal Business"/>
    <x v="3"/>
    <n v="198715758.57007572"/>
    <n v="3.6249999999999998E-2"/>
    <n v="7203446.2481652442"/>
    <n v="7"/>
    <n v="7"/>
    <n v="7"/>
    <n v="0.12341325811001411"/>
    <n v="1"/>
    <n v="889000.77110642998"/>
  </r>
  <r>
    <x v="3"/>
    <x v="2"/>
    <s v="Personal Business"/>
    <x v="4"/>
    <n v="198715758.57007572"/>
    <n v="3.6249999999999998E-2"/>
    <n v="7203446.2481652442"/>
    <n v="38.99"/>
    <n v="42.45"/>
    <n v="40.72"/>
    <n v="0.71791255289139633"/>
    <n v="1"/>
    <n v="5171444.4856362613"/>
  </r>
  <r>
    <x v="3"/>
    <x v="2"/>
    <s v="Companion/Escort Journey"/>
    <x v="0"/>
    <n v="198715758.57007572"/>
    <n v="9.1249999999999998E-2"/>
    <n v="18132812.96951941"/>
    <n v="1"/>
    <n v="1"/>
    <n v="1"/>
    <n v="1.763046544428773E-2"/>
    <n v="1"/>
    <n v="319689.93246684433"/>
  </r>
  <r>
    <x v="3"/>
    <x v="2"/>
    <s v="Companion/Escort Journey"/>
    <x v="1"/>
    <n v="198715758.57007572"/>
    <n v="9.1249999999999998E-2"/>
    <n v="18132812.96951941"/>
    <n v="3"/>
    <n v="3"/>
    <n v="3"/>
    <n v="5.2891396332863189E-2"/>
    <n v="1"/>
    <n v="959069.79740053299"/>
  </r>
  <r>
    <x v="3"/>
    <x v="2"/>
    <s v="Companion/Escort Journey"/>
    <x v="2"/>
    <n v="198715758.57007572"/>
    <n v="9.1249999999999998E-2"/>
    <n v="18132812.96951941"/>
    <n v="5"/>
    <n v="5"/>
    <n v="5"/>
    <n v="8.8152327221438648E-2"/>
    <n v="1"/>
    <n v="1598449.6623342216"/>
  </r>
  <r>
    <x v="3"/>
    <x v="2"/>
    <s v="Companion/Escort Journey"/>
    <x v="3"/>
    <n v="198715758.57007572"/>
    <n v="9.1249999999999998E-2"/>
    <n v="18132812.96951941"/>
    <n v="7"/>
    <n v="7"/>
    <n v="7"/>
    <n v="0.12341325811001411"/>
    <n v="1"/>
    <n v="2237829.5272679105"/>
  </r>
  <r>
    <x v="3"/>
    <x v="2"/>
    <s v="Companion/Escort Journey"/>
    <x v="4"/>
    <n v="198715758.57007572"/>
    <n v="9.1249999999999998E-2"/>
    <n v="18132812.96951941"/>
    <n v="38.99"/>
    <n v="42.45"/>
    <n v="40.72"/>
    <n v="0.71791255289139633"/>
    <n v="1"/>
    <n v="13017774.050049901"/>
  </r>
  <r>
    <x v="3"/>
    <x v="2"/>
    <s v="Other"/>
    <x v="0"/>
    <n v="198715758.57007572"/>
    <n v="6.8249999999999991E-2"/>
    <n v="13562350.522407666"/>
    <n v="1"/>
    <n v="1"/>
    <n v="1"/>
    <n v="1.763046544428773E-2"/>
    <n v="1"/>
    <n v="239110.55222862598"/>
  </r>
  <r>
    <x v="3"/>
    <x v="2"/>
    <s v="Other"/>
    <x v="1"/>
    <n v="198715758.57007572"/>
    <n v="6.8249999999999991E-2"/>
    <n v="13562350.522407666"/>
    <n v="3"/>
    <n v="3"/>
    <n v="3"/>
    <n v="5.2891396332863189E-2"/>
    <n v="1"/>
    <n v="717331.65668587794"/>
  </r>
  <r>
    <x v="3"/>
    <x v="2"/>
    <s v="Other"/>
    <x v="2"/>
    <n v="198715758.57007572"/>
    <n v="6.8249999999999991E-2"/>
    <n v="13562350.522407666"/>
    <n v="5"/>
    <n v="5"/>
    <n v="5"/>
    <n v="8.8152327221438648E-2"/>
    <n v="1"/>
    <n v="1195552.76114313"/>
  </r>
  <r>
    <x v="3"/>
    <x v="2"/>
    <s v="Other"/>
    <x v="3"/>
    <n v="198715758.57007572"/>
    <n v="6.8249999999999991E-2"/>
    <n v="13562350.522407666"/>
    <n v="7"/>
    <n v="7"/>
    <n v="7"/>
    <n v="0.12341325811001411"/>
    <n v="1"/>
    <n v="1673773.865600382"/>
  </r>
  <r>
    <x v="3"/>
    <x v="2"/>
    <s v="Other"/>
    <x v="4"/>
    <n v="198715758.57007572"/>
    <n v="6.8249999999999991E-2"/>
    <n v="13562350.522407666"/>
    <n v="38.99"/>
    <n v="42.45"/>
    <n v="40.72"/>
    <n v="0.71791255289139633"/>
    <n v="1"/>
    <n v="9736581.6867496502"/>
  </r>
  <r>
    <x v="3"/>
    <x v="3"/>
    <s v="Work"/>
    <x v="0"/>
    <n v="3059690963.0623112"/>
    <n v="0.2525"/>
    <n v="772571968.17323363"/>
    <n v="1"/>
    <n v="1"/>
    <n v="1"/>
    <n v="1.763046544428773E-2"/>
    <n v="1"/>
    <n v="13620803.388103556"/>
  </r>
  <r>
    <x v="3"/>
    <x v="3"/>
    <s v="Work"/>
    <x v="1"/>
    <n v="3059690963.0623112"/>
    <n v="0.2525"/>
    <n v="772571968.17323363"/>
    <n v="3"/>
    <n v="3"/>
    <n v="3"/>
    <n v="5.2891396332863189E-2"/>
    <n v="1"/>
    <n v="40862410.164310664"/>
  </r>
  <r>
    <x v="3"/>
    <x v="3"/>
    <s v="Work"/>
    <x v="2"/>
    <n v="3059690963.0623112"/>
    <n v="0.2525"/>
    <n v="772571968.17323363"/>
    <n v="5"/>
    <n v="5"/>
    <n v="5"/>
    <n v="8.8152327221438648E-2"/>
    <n v="1"/>
    <n v="68104016.940517768"/>
  </r>
  <r>
    <x v="3"/>
    <x v="3"/>
    <s v="Work"/>
    <x v="3"/>
    <n v="3059690963.0623112"/>
    <n v="0.2525"/>
    <n v="772571968.17323363"/>
    <n v="7"/>
    <n v="7"/>
    <n v="7"/>
    <n v="0.12341325811001411"/>
    <n v="1"/>
    <n v="95345623.716724887"/>
  </r>
  <r>
    <x v="3"/>
    <x v="3"/>
    <s v="Work"/>
    <x v="4"/>
    <n v="3059690963.0623112"/>
    <n v="0.2525"/>
    <n v="772571968.17323363"/>
    <n v="38.99"/>
    <n v="42.45"/>
    <n v="40.72"/>
    <n v="0.71791255289139633"/>
    <n v="1"/>
    <n v="554639113.96357679"/>
  </r>
  <r>
    <x v="3"/>
    <x v="3"/>
    <s v="Education"/>
    <x v="0"/>
    <n v="3059690963.0623112"/>
    <n v="0.11775000000000002"/>
    <n v="360278610.9005872"/>
    <n v="1"/>
    <n v="1"/>
    <n v="1"/>
    <n v="1.763046544428773E-2"/>
    <n v="1"/>
    <n v="6351879.5997987874"/>
  </r>
  <r>
    <x v="3"/>
    <x v="3"/>
    <s v="Education"/>
    <x v="1"/>
    <n v="3059690963.0623112"/>
    <n v="0.11775000000000002"/>
    <n v="360278610.9005872"/>
    <n v="3"/>
    <n v="3"/>
    <n v="3"/>
    <n v="5.2891396332863189E-2"/>
    <n v="1"/>
    <n v="19055638.799396362"/>
  </r>
  <r>
    <x v="3"/>
    <x v="3"/>
    <s v="Education"/>
    <x v="2"/>
    <n v="3059690963.0623112"/>
    <n v="0.11775000000000002"/>
    <n v="360278610.9005872"/>
    <n v="5"/>
    <n v="5"/>
    <n v="5"/>
    <n v="8.8152327221438648E-2"/>
    <n v="1"/>
    <n v="31759397.998993937"/>
  </r>
  <r>
    <x v="3"/>
    <x v="3"/>
    <s v="Education"/>
    <x v="3"/>
    <n v="3059690963.0623112"/>
    <n v="0.11775000000000002"/>
    <n v="360278610.9005872"/>
    <n v="7"/>
    <n v="7"/>
    <n v="7"/>
    <n v="0.12341325811001411"/>
    <n v="1"/>
    <n v="44463157.198591508"/>
  </r>
  <r>
    <x v="3"/>
    <x v="3"/>
    <s v="Education"/>
    <x v="4"/>
    <n v="3059690963.0623112"/>
    <n v="0.11775000000000002"/>
    <n v="360278610.9005872"/>
    <n v="38.99"/>
    <n v="42.45"/>
    <n v="40.72"/>
    <n v="0.71791255289139633"/>
    <n v="1"/>
    <n v="258648537.3038066"/>
  </r>
  <r>
    <x v="3"/>
    <x v="3"/>
    <s v="Shopping"/>
    <x v="0"/>
    <n v="3059690963.0623112"/>
    <n v="0.25125000000000003"/>
    <n v="768747354.46940577"/>
    <n v="1"/>
    <n v="1"/>
    <n v="1"/>
    <n v="1.763046544428773E-2"/>
    <n v="1"/>
    <n v="13553373.668360468"/>
  </r>
  <r>
    <x v="3"/>
    <x v="3"/>
    <s v="Shopping"/>
    <x v="1"/>
    <n v="3059690963.0623112"/>
    <n v="0.25125000000000003"/>
    <n v="768747354.46940577"/>
    <n v="3"/>
    <n v="3"/>
    <n v="3"/>
    <n v="5.2891396332863189E-2"/>
    <n v="1"/>
    <n v="40660121.005081408"/>
  </r>
  <r>
    <x v="3"/>
    <x v="3"/>
    <s v="Shopping"/>
    <x v="2"/>
    <n v="3059690963.0623112"/>
    <n v="0.25125000000000003"/>
    <n v="768747354.46940577"/>
    <n v="5"/>
    <n v="5"/>
    <n v="5"/>
    <n v="8.8152327221438648E-2"/>
    <n v="1"/>
    <n v="67766868.341802344"/>
  </r>
  <r>
    <x v="3"/>
    <x v="3"/>
    <s v="Shopping"/>
    <x v="3"/>
    <n v="3059690963.0623112"/>
    <n v="0.25125000000000003"/>
    <n v="768747354.46940577"/>
    <n v="7"/>
    <n v="7"/>
    <n v="7"/>
    <n v="0.12341325811001411"/>
    <n v="1"/>
    <n v="94873615.678523287"/>
  </r>
  <r>
    <x v="3"/>
    <x v="3"/>
    <s v="Shopping"/>
    <x v="4"/>
    <n v="3059690963.0623112"/>
    <n v="0.25125000000000003"/>
    <n v="768747354.46940577"/>
    <n v="38.99"/>
    <n v="42.45"/>
    <n v="40.72"/>
    <n v="0.71791255289139633"/>
    <n v="1"/>
    <n v="551893375.77563822"/>
  </r>
  <r>
    <x v="3"/>
    <x v="3"/>
    <s v="To eat or drink"/>
    <x v="0"/>
    <n v="3059690963.0623112"/>
    <n v="2.3250000000000003E-2"/>
    <n v="71137814.891198739"/>
    <n v="1"/>
    <n v="1"/>
    <n v="1"/>
    <n v="1.763046544428773E-2"/>
    <n v="1"/>
    <n v="1254192.7872214164"/>
  </r>
  <r>
    <x v="3"/>
    <x v="3"/>
    <s v="To eat or drink"/>
    <x v="1"/>
    <n v="3059690963.0623112"/>
    <n v="2.3250000000000003E-2"/>
    <n v="71137814.891198739"/>
    <n v="3"/>
    <n v="3"/>
    <n v="3"/>
    <n v="5.2891396332863189E-2"/>
    <n v="1"/>
    <n v="3762578.3616642496"/>
  </r>
  <r>
    <x v="3"/>
    <x v="3"/>
    <s v="To eat or drink"/>
    <x v="2"/>
    <n v="3059690963.0623112"/>
    <n v="2.3250000000000003E-2"/>
    <n v="71137814.891198739"/>
    <n v="5"/>
    <n v="5"/>
    <n v="5"/>
    <n v="8.8152327221438648E-2"/>
    <n v="1"/>
    <n v="6270963.9361070823"/>
  </r>
  <r>
    <x v="3"/>
    <x v="3"/>
    <s v="To eat or drink"/>
    <x v="3"/>
    <n v="3059690963.0623112"/>
    <n v="2.3250000000000003E-2"/>
    <n v="71137814.891198739"/>
    <n v="7"/>
    <n v="7"/>
    <n v="7"/>
    <n v="0.12341325811001411"/>
    <n v="1"/>
    <n v="8779349.510549916"/>
  </r>
  <r>
    <x v="3"/>
    <x v="3"/>
    <s v="To eat or drink"/>
    <x v="4"/>
    <n v="3059690963.0623112"/>
    <n v="2.3250000000000003E-2"/>
    <n v="71137814.891198739"/>
    <n v="38.99"/>
    <n v="42.45"/>
    <n v="40.72"/>
    <n v="0.71791255289139633"/>
    <n v="1"/>
    <n v="51070730.295656078"/>
  </r>
  <r>
    <x v="3"/>
    <x v="3"/>
    <s v="Visit family/friends"/>
    <x v="0"/>
    <n v="3059690963.0623112"/>
    <n v="0.11150000000000002"/>
    <n v="341155542.38144773"/>
    <n v="1"/>
    <n v="1"/>
    <n v="1"/>
    <n v="1.763046544428773E-2"/>
    <n v="1"/>
    <n v="6014731.0010833526"/>
  </r>
  <r>
    <x v="3"/>
    <x v="3"/>
    <s v="Visit family/friends"/>
    <x v="1"/>
    <n v="3059690963.0623112"/>
    <n v="0.11150000000000002"/>
    <n v="341155542.38144773"/>
    <n v="3"/>
    <n v="3"/>
    <n v="3"/>
    <n v="5.2891396332863189E-2"/>
    <n v="1"/>
    <n v="18044193.003250055"/>
  </r>
  <r>
    <x v="3"/>
    <x v="3"/>
    <s v="Visit family/friends"/>
    <x v="2"/>
    <n v="3059690963.0623112"/>
    <n v="0.11150000000000002"/>
    <n v="341155542.38144773"/>
    <n v="5"/>
    <n v="5"/>
    <n v="5"/>
    <n v="8.8152327221438648E-2"/>
    <n v="1"/>
    <n v="30073655.005416762"/>
  </r>
  <r>
    <x v="3"/>
    <x v="3"/>
    <s v="Visit family/friends"/>
    <x v="3"/>
    <n v="3059690963.0623112"/>
    <n v="0.11150000000000002"/>
    <n v="341155542.38144773"/>
    <n v="7"/>
    <n v="7"/>
    <n v="7"/>
    <n v="0.12341325811001411"/>
    <n v="1"/>
    <n v="42103117.007583469"/>
  </r>
  <r>
    <x v="3"/>
    <x v="3"/>
    <s v="Visit family/friends"/>
    <x v="4"/>
    <n v="3059690963.0623112"/>
    <n v="0.11150000000000002"/>
    <n v="341155542.38144773"/>
    <n v="38.99"/>
    <n v="42.45"/>
    <n v="40.72"/>
    <n v="0.71791255289139633"/>
    <n v="1"/>
    <n v="244919846.36411411"/>
  </r>
  <r>
    <x v="3"/>
    <x v="3"/>
    <s v="Entertainment/leisure/sports"/>
    <x v="0"/>
    <n v="3059690963.0623112"/>
    <n v="7.5249999999999997E-2"/>
    <n v="230241744.9704389"/>
    <n v="1"/>
    <n v="1"/>
    <n v="1"/>
    <n v="1.763046544428773E-2"/>
    <n v="1"/>
    <n v="4059269.1285338313"/>
  </r>
  <r>
    <x v="3"/>
    <x v="3"/>
    <s v="Entertainment/leisure/sports"/>
    <x v="1"/>
    <n v="3059690963.0623112"/>
    <n v="7.5249999999999997E-2"/>
    <n v="230241744.9704389"/>
    <n v="3"/>
    <n v="3"/>
    <n v="3"/>
    <n v="5.2891396332863189E-2"/>
    <n v="1"/>
    <n v="12177807.385601493"/>
  </r>
  <r>
    <x v="3"/>
    <x v="3"/>
    <s v="Entertainment/leisure/sports"/>
    <x v="2"/>
    <n v="3059690963.0623112"/>
    <n v="7.5249999999999997E-2"/>
    <n v="230241744.9704389"/>
    <n v="5"/>
    <n v="5"/>
    <n v="5"/>
    <n v="8.8152327221438648E-2"/>
    <n v="1"/>
    <n v="20296345.642669156"/>
  </r>
  <r>
    <x v="3"/>
    <x v="3"/>
    <s v="Entertainment/leisure/sports"/>
    <x v="3"/>
    <n v="3059690963.0623112"/>
    <n v="7.5249999999999997E-2"/>
    <n v="230241744.9704389"/>
    <n v="7"/>
    <n v="7"/>
    <n v="7"/>
    <n v="0.12341325811001411"/>
    <n v="1"/>
    <n v="28414883.899736818"/>
  </r>
  <r>
    <x v="3"/>
    <x v="3"/>
    <s v="Entertainment/leisure/sports"/>
    <x v="4"/>
    <n v="3059690963.0623112"/>
    <n v="7.5249999999999997E-2"/>
    <n v="230241744.9704389"/>
    <n v="38.99"/>
    <n v="42.45"/>
    <n v="40.72"/>
    <n v="0.71791255289139633"/>
    <n v="1"/>
    <n v="165293438.9138976"/>
  </r>
  <r>
    <x v="3"/>
    <x v="3"/>
    <s v="Personal Business"/>
    <x v="0"/>
    <n v="3059690963.0623112"/>
    <n v="8.0749999999999988E-2"/>
    <n v="247070045.26728159"/>
    <n v="1"/>
    <n v="1"/>
    <n v="1"/>
    <n v="1.763046544428773E-2"/>
    <n v="1"/>
    <n v="4355959.8954034131"/>
  </r>
  <r>
    <x v="3"/>
    <x v="3"/>
    <s v="Personal Business"/>
    <x v="1"/>
    <n v="3059690963.0623112"/>
    <n v="8.0749999999999988E-2"/>
    <n v="247070045.26728159"/>
    <n v="3"/>
    <n v="3"/>
    <n v="3"/>
    <n v="5.2891396332863189E-2"/>
    <n v="1"/>
    <n v="13067879.686210239"/>
  </r>
  <r>
    <x v="3"/>
    <x v="3"/>
    <s v="Personal Business"/>
    <x v="2"/>
    <n v="3059690963.0623112"/>
    <n v="8.0749999999999988E-2"/>
    <n v="247070045.26728159"/>
    <n v="5"/>
    <n v="5"/>
    <n v="5"/>
    <n v="8.8152327221438648E-2"/>
    <n v="1"/>
    <n v="21779799.477017067"/>
  </r>
  <r>
    <x v="3"/>
    <x v="3"/>
    <s v="Personal Business"/>
    <x v="3"/>
    <n v="3059690963.0623112"/>
    <n v="8.0749999999999988E-2"/>
    <n v="247070045.26728159"/>
    <n v="7"/>
    <n v="7"/>
    <n v="7"/>
    <n v="0.12341325811001411"/>
    <n v="1"/>
    <n v="30491719.267823894"/>
  </r>
  <r>
    <x v="3"/>
    <x v="3"/>
    <s v="Personal Business"/>
    <x v="4"/>
    <n v="3059690963.0623112"/>
    <n v="8.0749999999999988E-2"/>
    <n v="247070045.26728159"/>
    <n v="38.99"/>
    <n v="42.45"/>
    <n v="40.72"/>
    <n v="0.71791255289139633"/>
    <n v="1"/>
    <n v="177374686.94082698"/>
  </r>
  <r>
    <x v="3"/>
    <x v="3"/>
    <s v="Companion/Escort Journey"/>
    <x v="0"/>
    <n v="3059690963.0623112"/>
    <n v="3.0250000000000003E-2"/>
    <n v="92555651.632634923"/>
    <n v="1"/>
    <n v="1"/>
    <n v="1"/>
    <n v="1.763046544428773E-2"/>
    <n v="1"/>
    <n v="1631799.2177827032"/>
  </r>
  <r>
    <x v="3"/>
    <x v="3"/>
    <s v="Companion/Escort Journey"/>
    <x v="1"/>
    <n v="3059690963.0623112"/>
    <n v="3.0250000000000003E-2"/>
    <n v="92555651.632634923"/>
    <n v="3"/>
    <n v="3"/>
    <n v="3"/>
    <n v="5.2891396332863189E-2"/>
    <n v="1"/>
    <n v="4895397.6533481097"/>
  </r>
  <r>
    <x v="3"/>
    <x v="3"/>
    <s v="Companion/Escort Journey"/>
    <x v="2"/>
    <n v="3059690963.0623112"/>
    <n v="3.0250000000000003E-2"/>
    <n v="92555651.632634923"/>
    <n v="5"/>
    <n v="5"/>
    <n v="5"/>
    <n v="8.8152327221438648E-2"/>
    <n v="1"/>
    <n v="8158996.0889135161"/>
  </r>
  <r>
    <x v="3"/>
    <x v="3"/>
    <s v="Companion/Escort Journey"/>
    <x v="3"/>
    <n v="3059690963.0623112"/>
    <n v="3.0250000000000003E-2"/>
    <n v="92555651.632634923"/>
    <n v="7"/>
    <n v="7"/>
    <n v="7"/>
    <n v="0.12341325811001411"/>
    <n v="1"/>
    <n v="11422594.524478922"/>
  </r>
  <r>
    <x v="3"/>
    <x v="3"/>
    <s v="Companion/Escort Journey"/>
    <x v="4"/>
    <n v="3059690963.0623112"/>
    <n v="3.0250000000000003E-2"/>
    <n v="92555651.632634923"/>
    <n v="38.99"/>
    <n v="42.45"/>
    <n v="40.72"/>
    <n v="0.71791255289139633"/>
    <n v="1"/>
    <n v="66446864.148111671"/>
  </r>
  <r>
    <x v="3"/>
    <x v="3"/>
    <s v="Other"/>
    <x v="0"/>
    <n v="3059690963.0623112"/>
    <n v="5.7500000000000009E-2"/>
    <n v="175932230.37608293"/>
    <n v="1"/>
    <n v="1"/>
    <n v="1"/>
    <n v="1.763046544428773E-2"/>
    <n v="1"/>
    <n v="3101767.1081819981"/>
  </r>
  <r>
    <x v="3"/>
    <x v="3"/>
    <s v="Other"/>
    <x v="1"/>
    <n v="3059690963.0623112"/>
    <n v="5.7500000000000009E-2"/>
    <n v="175932230.37608293"/>
    <n v="3"/>
    <n v="3"/>
    <n v="3"/>
    <n v="5.2891396332863189E-2"/>
    <n v="1"/>
    <n v="9305301.3245459944"/>
  </r>
  <r>
    <x v="3"/>
    <x v="3"/>
    <s v="Other"/>
    <x v="2"/>
    <n v="3059690963.0623112"/>
    <n v="5.7500000000000009E-2"/>
    <n v="175932230.37608293"/>
    <n v="5"/>
    <n v="5"/>
    <n v="5"/>
    <n v="8.8152327221438648E-2"/>
    <n v="1"/>
    <n v="15508835.540909991"/>
  </r>
  <r>
    <x v="3"/>
    <x v="3"/>
    <s v="Other"/>
    <x v="3"/>
    <n v="3059690963.0623112"/>
    <n v="5.7500000000000009E-2"/>
    <n v="175932230.37608293"/>
    <n v="7"/>
    <n v="7"/>
    <n v="7"/>
    <n v="0.12341325811001411"/>
    <n v="1"/>
    <n v="21712369.757273987"/>
  </r>
  <r>
    <x v="3"/>
    <x v="3"/>
    <s v="Other"/>
    <x v="4"/>
    <n v="3059690963.0623112"/>
    <n v="5.7500000000000009E-2"/>
    <n v="175932230.37608293"/>
    <n v="38.99"/>
    <n v="42.45"/>
    <n v="40.72"/>
    <n v="0.71791255289139633"/>
    <n v="1"/>
    <n v="126303956.64517096"/>
  </r>
  <r>
    <x v="3"/>
    <x v="4"/>
    <s v="Work"/>
    <x v="0"/>
    <n v="199728407.91332668"/>
    <n v="0.15625"/>
    <n v="31207563.736457296"/>
    <n v="1"/>
    <n v="1"/>
    <n v="1"/>
    <n v="1.763046544428773E-2"/>
    <n v="1"/>
    <n v="550203.87405601726"/>
  </r>
  <r>
    <x v="3"/>
    <x v="4"/>
    <s v="Work"/>
    <x v="1"/>
    <n v="199728407.91332668"/>
    <n v="0.15625"/>
    <n v="31207563.736457296"/>
    <n v="3"/>
    <n v="3"/>
    <n v="3"/>
    <n v="5.2891396332863189E-2"/>
    <n v="1"/>
    <n v="1650611.6221680515"/>
  </r>
  <r>
    <x v="3"/>
    <x v="4"/>
    <s v="Work"/>
    <x v="2"/>
    <n v="199728407.91332668"/>
    <n v="0.15625"/>
    <n v="31207563.736457296"/>
    <n v="5"/>
    <n v="5"/>
    <n v="5"/>
    <n v="8.8152327221438648E-2"/>
    <n v="1"/>
    <n v="2751019.3702800861"/>
  </r>
  <r>
    <x v="3"/>
    <x v="4"/>
    <s v="Work"/>
    <x v="3"/>
    <n v="199728407.91332668"/>
    <n v="0.15625"/>
    <n v="31207563.736457296"/>
    <n v="7"/>
    <n v="7"/>
    <n v="7"/>
    <n v="0.12341325811001411"/>
    <n v="1"/>
    <n v="3851427.1183921206"/>
  </r>
  <r>
    <x v="3"/>
    <x v="4"/>
    <s v="Work"/>
    <x v="4"/>
    <n v="199728407.91332668"/>
    <n v="0.15625"/>
    <n v="31207563.736457296"/>
    <n v="38.99"/>
    <n v="42.45"/>
    <n v="40.72"/>
    <n v="0.71791255289139633"/>
    <n v="1"/>
    <n v="22404301.75156102"/>
  </r>
  <r>
    <x v="3"/>
    <x v="4"/>
    <s v="Education"/>
    <x v="0"/>
    <n v="199728407.91332668"/>
    <n v="0.10225000000000001"/>
    <n v="20422229.709137656"/>
    <n v="1"/>
    <n v="1"/>
    <n v="1"/>
    <n v="1.763046544428773E-2"/>
    <n v="1"/>
    <n v="360053.41518225771"/>
  </r>
  <r>
    <x v="3"/>
    <x v="4"/>
    <s v="Education"/>
    <x v="1"/>
    <n v="199728407.91332668"/>
    <n v="0.10225000000000001"/>
    <n v="20422229.709137656"/>
    <n v="3"/>
    <n v="3"/>
    <n v="3"/>
    <n v="5.2891396332863189E-2"/>
    <n v="1"/>
    <n v="1080160.2455467731"/>
  </r>
  <r>
    <x v="3"/>
    <x v="4"/>
    <s v="Education"/>
    <x v="2"/>
    <n v="199728407.91332668"/>
    <n v="0.10225000000000001"/>
    <n v="20422229.709137656"/>
    <n v="5"/>
    <n v="5"/>
    <n v="5"/>
    <n v="8.8152327221438648E-2"/>
    <n v="1"/>
    <n v="1800267.0759112884"/>
  </r>
  <r>
    <x v="3"/>
    <x v="4"/>
    <s v="Education"/>
    <x v="3"/>
    <n v="199728407.91332668"/>
    <n v="0.10225000000000001"/>
    <n v="20422229.709137656"/>
    <n v="7"/>
    <n v="7"/>
    <n v="7"/>
    <n v="0.12341325811001411"/>
    <n v="1"/>
    <n v="2520373.9062758037"/>
  </r>
  <r>
    <x v="3"/>
    <x v="4"/>
    <s v="Education"/>
    <x v="4"/>
    <n v="199728407.91332668"/>
    <n v="0.10225000000000001"/>
    <n v="20422229.709137656"/>
    <n v="38.99"/>
    <n v="42.45"/>
    <n v="40.72"/>
    <n v="0.71791255289139633"/>
    <n v="1"/>
    <n v="14661375.066221533"/>
  </r>
  <r>
    <x v="3"/>
    <x v="4"/>
    <s v="Shopping"/>
    <x v="0"/>
    <n v="199728407.91332668"/>
    <n v="0.24750000000000003"/>
    <n v="49432780.95854836"/>
    <n v="1"/>
    <n v="1"/>
    <n v="1"/>
    <n v="1.763046544428773E-2"/>
    <n v="1"/>
    <n v="871522.9365047313"/>
  </r>
  <r>
    <x v="3"/>
    <x v="4"/>
    <s v="Shopping"/>
    <x v="1"/>
    <n v="199728407.91332668"/>
    <n v="0.24750000000000003"/>
    <n v="49432780.95854836"/>
    <n v="3"/>
    <n v="3"/>
    <n v="3"/>
    <n v="5.2891396332863189E-2"/>
    <n v="1"/>
    <n v="2614568.8095141938"/>
  </r>
  <r>
    <x v="3"/>
    <x v="4"/>
    <s v="Shopping"/>
    <x v="2"/>
    <n v="199728407.91332668"/>
    <n v="0.24750000000000003"/>
    <n v="49432780.95854836"/>
    <n v="5"/>
    <n v="5"/>
    <n v="5"/>
    <n v="8.8152327221438648E-2"/>
    <n v="1"/>
    <n v="4357614.6825236566"/>
  </r>
  <r>
    <x v="3"/>
    <x v="4"/>
    <s v="Shopping"/>
    <x v="3"/>
    <n v="199728407.91332668"/>
    <n v="0.24750000000000003"/>
    <n v="49432780.95854836"/>
    <n v="7"/>
    <n v="7"/>
    <n v="7"/>
    <n v="0.12341325811001411"/>
    <n v="1"/>
    <n v="6100660.5555331195"/>
  </r>
  <r>
    <x v="3"/>
    <x v="4"/>
    <s v="Shopping"/>
    <x v="4"/>
    <n v="199728407.91332668"/>
    <n v="0.24750000000000003"/>
    <n v="49432780.95854836"/>
    <n v="38.99"/>
    <n v="42.45"/>
    <n v="40.72"/>
    <n v="0.71791255289139633"/>
    <n v="1"/>
    <n v="35488413.974472657"/>
  </r>
  <r>
    <x v="3"/>
    <x v="4"/>
    <s v="To eat or drink"/>
    <x v="0"/>
    <n v="199728407.91332668"/>
    <n v="3.5000000000000003E-2"/>
    <n v="6990494.2769664349"/>
    <n v="1"/>
    <n v="1"/>
    <n v="1"/>
    <n v="1.763046544428773E-2"/>
    <n v="1"/>
    <n v="123245.66778854787"/>
  </r>
  <r>
    <x v="3"/>
    <x v="4"/>
    <s v="To eat or drink"/>
    <x v="1"/>
    <n v="199728407.91332668"/>
    <n v="3.5000000000000003E-2"/>
    <n v="6990494.2769664349"/>
    <n v="3"/>
    <n v="3"/>
    <n v="3"/>
    <n v="5.2891396332863189E-2"/>
    <n v="1"/>
    <n v="369737.00336564361"/>
  </r>
  <r>
    <x v="3"/>
    <x v="4"/>
    <s v="To eat or drink"/>
    <x v="2"/>
    <n v="199728407.91332668"/>
    <n v="3.5000000000000003E-2"/>
    <n v="6990494.2769664349"/>
    <n v="5"/>
    <n v="5"/>
    <n v="5"/>
    <n v="8.8152327221438648E-2"/>
    <n v="1"/>
    <n v="616228.3389427393"/>
  </r>
  <r>
    <x v="3"/>
    <x v="4"/>
    <s v="To eat or drink"/>
    <x v="3"/>
    <n v="199728407.91332668"/>
    <n v="3.5000000000000003E-2"/>
    <n v="6990494.2769664349"/>
    <n v="7"/>
    <n v="7"/>
    <n v="7"/>
    <n v="0.12341325811001411"/>
    <n v="1"/>
    <n v="862719.67451983504"/>
  </r>
  <r>
    <x v="3"/>
    <x v="4"/>
    <s v="To eat or drink"/>
    <x v="4"/>
    <n v="199728407.91332668"/>
    <n v="3.5000000000000003E-2"/>
    <n v="6990494.2769664349"/>
    <n v="38.99"/>
    <n v="42.45"/>
    <n v="40.72"/>
    <n v="0.71791255289139633"/>
    <n v="1"/>
    <n v="5018563.592349669"/>
  </r>
  <r>
    <x v="3"/>
    <x v="4"/>
    <s v="Visit family/friends"/>
    <x v="0"/>
    <n v="199728407.91332668"/>
    <n v="9.2499999999999999E-2"/>
    <n v="18474877.731982719"/>
    <n v="1"/>
    <n v="1"/>
    <n v="1"/>
    <n v="1.763046544428773E-2"/>
    <n v="1"/>
    <n v="325720.69344116218"/>
  </r>
  <r>
    <x v="3"/>
    <x v="4"/>
    <s v="Visit family/friends"/>
    <x v="1"/>
    <n v="199728407.91332668"/>
    <n v="9.2499999999999999E-2"/>
    <n v="18474877.731982719"/>
    <n v="3"/>
    <n v="3"/>
    <n v="3"/>
    <n v="5.2891396332863189E-2"/>
    <n v="1"/>
    <n v="977162.08032348659"/>
  </r>
  <r>
    <x v="3"/>
    <x v="4"/>
    <s v="Visit family/friends"/>
    <x v="2"/>
    <n v="199728407.91332668"/>
    <n v="9.2499999999999999E-2"/>
    <n v="18474877.731982719"/>
    <n v="5"/>
    <n v="5"/>
    <n v="5"/>
    <n v="8.8152327221438648E-2"/>
    <n v="1"/>
    <n v="1628603.4672058111"/>
  </r>
  <r>
    <x v="3"/>
    <x v="4"/>
    <s v="Visit family/friends"/>
    <x v="3"/>
    <n v="199728407.91332668"/>
    <n v="9.2499999999999999E-2"/>
    <n v="18474877.731982719"/>
    <n v="7"/>
    <n v="7"/>
    <n v="7"/>
    <n v="0.12341325811001411"/>
    <n v="1"/>
    <n v="2280044.8540881355"/>
  </r>
  <r>
    <x v="3"/>
    <x v="4"/>
    <s v="Visit family/friends"/>
    <x v="4"/>
    <n v="199728407.91332668"/>
    <n v="9.2499999999999999E-2"/>
    <n v="18474877.731982719"/>
    <n v="38.99"/>
    <n v="42.45"/>
    <n v="40.72"/>
    <n v="0.71791255289139633"/>
    <n v="1"/>
    <n v="13263346.636924123"/>
  </r>
  <r>
    <x v="3"/>
    <x v="4"/>
    <s v="Entertainment/leisure/sports"/>
    <x v="0"/>
    <n v="199728407.91332668"/>
    <n v="0.17100000000000001"/>
    <n v="34153557.753178865"/>
    <n v="1"/>
    <n v="1"/>
    <n v="1"/>
    <n v="1.763046544428773E-2"/>
    <n v="1"/>
    <n v="602143.11976690521"/>
  </r>
  <r>
    <x v="3"/>
    <x v="4"/>
    <s v="Entertainment/leisure/sports"/>
    <x v="1"/>
    <n v="199728407.91332668"/>
    <n v="0.17100000000000001"/>
    <n v="34153557.753178865"/>
    <n v="3"/>
    <n v="3"/>
    <n v="3"/>
    <n v="5.2891396332863189E-2"/>
    <n v="1"/>
    <n v="1806429.3593007156"/>
  </r>
  <r>
    <x v="3"/>
    <x v="4"/>
    <s v="Entertainment/leisure/sports"/>
    <x v="2"/>
    <n v="199728407.91332668"/>
    <n v="0.17100000000000001"/>
    <n v="34153557.753178865"/>
    <n v="5"/>
    <n v="5"/>
    <n v="5"/>
    <n v="8.8152327221438648E-2"/>
    <n v="1"/>
    <n v="3010715.5988345263"/>
  </r>
  <r>
    <x v="3"/>
    <x v="4"/>
    <s v="Entertainment/leisure/sports"/>
    <x v="3"/>
    <n v="199728407.91332668"/>
    <n v="0.17100000000000001"/>
    <n v="34153557.753178865"/>
    <n v="7"/>
    <n v="7"/>
    <n v="7"/>
    <n v="0.12341325811001411"/>
    <n v="1"/>
    <n v="4215001.8383683367"/>
  </r>
  <r>
    <x v="3"/>
    <x v="4"/>
    <s v="Entertainment/leisure/sports"/>
    <x v="4"/>
    <n v="199728407.91332668"/>
    <n v="0.17100000000000001"/>
    <n v="34153557.753178865"/>
    <n v="38.99"/>
    <n v="42.45"/>
    <n v="40.72"/>
    <n v="0.71791255289139633"/>
    <n v="1"/>
    <n v="24519267.836908381"/>
  </r>
  <r>
    <x v="3"/>
    <x v="4"/>
    <s v="Personal Business"/>
    <x v="0"/>
    <n v="199728407.91332668"/>
    <n v="3.6249999999999998E-2"/>
    <n v="7240154.7868580921"/>
    <n v="1"/>
    <n v="1"/>
    <n v="1"/>
    <n v="1.763046544428773E-2"/>
    <n v="1"/>
    <n v="127647.29878099599"/>
  </r>
  <r>
    <x v="3"/>
    <x v="4"/>
    <s v="Personal Business"/>
    <x v="1"/>
    <n v="199728407.91332668"/>
    <n v="3.6249999999999998E-2"/>
    <n v="7240154.7868580921"/>
    <n v="3"/>
    <n v="3"/>
    <n v="3"/>
    <n v="5.2891396332863189E-2"/>
    <n v="1"/>
    <n v="382941.89634298795"/>
  </r>
  <r>
    <x v="3"/>
    <x v="4"/>
    <s v="Personal Business"/>
    <x v="2"/>
    <n v="199728407.91332668"/>
    <n v="3.6249999999999998E-2"/>
    <n v="7240154.7868580921"/>
    <n v="5"/>
    <n v="5"/>
    <n v="5"/>
    <n v="8.8152327221438648E-2"/>
    <n v="1"/>
    <n v="638236.4939049799"/>
  </r>
  <r>
    <x v="3"/>
    <x v="4"/>
    <s v="Personal Business"/>
    <x v="3"/>
    <n v="199728407.91332668"/>
    <n v="3.6249999999999998E-2"/>
    <n v="7240154.7868580921"/>
    <n v="7"/>
    <n v="7"/>
    <n v="7"/>
    <n v="0.12341325811001411"/>
    <n v="1"/>
    <n v="893531.09146697191"/>
  </r>
  <r>
    <x v="3"/>
    <x v="4"/>
    <s v="Personal Business"/>
    <x v="4"/>
    <n v="199728407.91332668"/>
    <n v="3.6249999999999998E-2"/>
    <n v="7240154.7868580921"/>
    <n v="38.99"/>
    <n v="42.45"/>
    <n v="40.72"/>
    <n v="0.71791255289139633"/>
    <n v="1"/>
    <n v="5197798.006362156"/>
  </r>
  <r>
    <x v="3"/>
    <x v="4"/>
    <s v="Companion/Escort Journey"/>
    <x v="0"/>
    <n v="199728407.91332668"/>
    <n v="9.1249999999999998E-2"/>
    <n v="18225217.22209106"/>
    <n v="1"/>
    <n v="1"/>
    <n v="1"/>
    <n v="1.763046544428773E-2"/>
    <n v="1"/>
    <n v="321319.06244871404"/>
  </r>
  <r>
    <x v="3"/>
    <x v="4"/>
    <s v="Companion/Escort Journey"/>
    <x v="1"/>
    <n v="199728407.91332668"/>
    <n v="9.1249999999999998E-2"/>
    <n v="18225217.22209106"/>
    <n v="3"/>
    <n v="3"/>
    <n v="3"/>
    <n v="5.2891396332863189E-2"/>
    <n v="1"/>
    <n v="963957.18734614213"/>
  </r>
  <r>
    <x v="3"/>
    <x v="4"/>
    <s v="Companion/Escort Journey"/>
    <x v="2"/>
    <n v="199728407.91332668"/>
    <n v="9.1249999999999998E-2"/>
    <n v="18225217.22209106"/>
    <n v="5"/>
    <n v="5"/>
    <n v="5"/>
    <n v="8.8152327221438648E-2"/>
    <n v="1"/>
    <n v="1606595.3122435701"/>
  </r>
  <r>
    <x v="3"/>
    <x v="4"/>
    <s v="Companion/Escort Journey"/>
    <x v="3"/>
    <n v="199728407.91332668"/>
    <n v="9.1249999999999998E-2"/>
    <n v="18225217.22209106"/>
    <n v="7"/>
    <n v="7"/>
    <n v="7"/>
    <n v="0.12341325811001411"/>
    <n v="1"/>
    <n v="2249233.4371409984"/>
  </r>
  <r>
    <x v="3"/>
    <x v="4"/>
    <s v="Companion/Escort Journey"/>
    <x v="4"/>
    <n v="199728407.91332668"/>
    <n v="9.1249999999999998E-2"/>
    <n v="18225217.22209106"/>
    <n v="38.99"/>
    <n v="42.45"/>
    <n v="40.72"/>
    <n v="0.71791255289139633"/>
    <n v="1"/>
    <n v="13084112.222911635"/>
  </r>
  <r>
    <x v="3"/>
    <x v="4"/>
    <s v="Other"/>
    <x v="0"/>
    <n v="199728407.91332668"/>
    <n v="6.8249999999999991E-2"/>
    <n v="13631463.840084543"/>
    <n v="1"/>
    <n v="1"/>
    <n v="1"/>
    <n v="1.763046544428773E-2"/>
    <n v="1"/>
    <n v="240329.05218766825"/>
  </r>
  <r>
    <x v="3"/>
    <x v="4"/>
    <s v="Other"/>
    <x v="1"/>
    <n v="199728407.91332668"/>
    <n v="6.8249999999999991E-2"/>
    <n v="13631463.840084543"/>
    <n v="3"/>
    <n v="3"/>
    <n v="3"/>
    <n v="5.2891396332863189E-2"/>
    <n v="1"/>
    <n v="720987.15656300483"/>
  </r>
  <r>
    <x v="3"/>
    <x v="4"/>
    <s v="Other"/>
    <x v="2"/>
    <n v="199728407.91332668"/>
    <n v="6.8249999999999991E-2"/>
    <n v="13631463.840084543"/>
    <n v="5"/>
    <n v="5"/>
    <n v="5"/>
    <n v="8.8152327221438648E-2"/>
    <n v="1"/>
    <n v="1201645.2609383413"/>
  </r>
  <r>
    <x v="3"/>
    <x v="4"/>
    <s v="Other"/>
    <x v="3"/>
    <n v="199728407.91332668"/>
    <n v="6.8249999999999991E-2"/>
    <n v="13631463.840084543"/>
    <n v="7"/>
    <n v="7"/>
    <n v="7"/>
    <n v="0.12341325811001411"/>
    <n v="1"/>
    <n v="1682303.3653136778"/>
  </r>
  <r>
    <x v="3"/>
    <x v="4"/>
    <s v="Other"/>
    <x v="4"/>
    <n v="199728407.91332668"/>
    <n v="6.8249999999999991E-2"/>
    <n v="13631463.840084543"/>
    <n v="38.99"/>
    <n v="42.45"/>
    <n v="40.72"/>
    <n v="0.71791255289139633"/>
    <n v="1"/>
    <n v="9786199.005081851"/>
  </r>
  <r>
    <x v="3"/>
    <x v="5"/>
    <s v="Work"/>
    <x v="0"/>
    <n v="2709659549.1139545"/>
    <n v="0.2525"/>
    <n v="684189036.15127349"/>
    <n v="1"/>
    <n v="1"/>
    <n v="1"/>
    <n v="1.763046544428773E-2"/>
    <n v="1"/>
    <n v="12062571.159225555"/>
  </r>
  <r>
    <x v="3"/>
    <x v="5"/>
    <s v="Work"/>
    <x v="1"/>
    <n v="2709659549.1139545"/>
    <n v="0.2525"/>
    <n v="684189036.15127349"/>
    <n v="3"/>
    <n v="3"/>
    <n v="3"/>
    <n v="5.2891396332863189E-2"/>
    <n v="1"/>
    <n v="36187713.477676667"/>
  </r>
  <r>
    <x v="3"/>
    <x v="5"/>
    <s v="Work"/>
    <x v="2"/>
    <n v="2709659549.1139545"/>
    <n v="0.2525"/>
    <n v="684189036.15127349"/>
    <n v="5"/>
    <n v="5"/>
    <n v="5"/>
    <n v="8.8152327221438648E-2"/>
    <n v="1"/>
    <n v="60312855.796127774"/>
  </r>
  <r>
    <x v="3"/>
    <x v="5"/>
    <s v="Work"/>
    <x v="3"/>
    <n v="2709659549.1139545"/>
    <n v="0.2525"/>
    <n v="684189036.15127349"/>
    <n v="7"/>
    <n v="7"/>
    <n v="7"/>
    <n v="0.12341325811001411"/>
    <n v="1"/>
    <n v="84437998.114578888"/>
  </r>
  <r>
    <x v="3"/>
    <x v="5"/>
    <s v="Work"/>
    <x v="4"/>
    <n v="2709659549.1139545"/>
    <n v="0.2525"/>
    <n v="684189036.15127349"/>
    <n v="38.99"/>
    <n v="42.45"/>
    <n v="40.72"/>
    <n v="0.71791255289139633"/>
    <n v="1"/>
    <n v="491187897.60366458"/>
  </r>
  <r>
    <x v="3"/>
    <x v="5"/>
    <s v="Education"/>
    <x v="0"/>
    <n v="2709659549.1139545"/>
    <n v="0.11775000000000002"/>
    <n v="319062411.9081682"/>
    <n v="1"/>
    <n v="1"/>
    <n v="1"/>
    <n v="1.763046544428773E-2"/>
    <n v="1"/>
    <n v="5625218.8277180567"/>
  </r>
  <r>
    <x v="3"/>
    <x v="5"/>
    <s v="Education"/>
    <x v="1"/>
    <n v="2709659549.1139545"/>
    <n v="0.11775000000000002"/>
    <n v="319062411.9081682"/>
    <n v="3"/>
    <n v="3"/>
    <n v="3"/>
    <n v="5.2891396332863189E-2"/>
    <n v="1"/>
    <n v="16875656.48315417"/>
  </r>
  <r>
    <x v="3"/>
    <x v="5"/>
    <s v="Education"/>
    <x v="2"/>
    <n v="2709659549.1139545"/>
    <n v="0.11775000000000002"/>
    <n v="319062411.9081682"/>
    <n v="5"/>
    <n v="5"/>
    <n v="5"/>
    <n v="8.8152327221438648E-2"/>
    <n v="1"/>
    <n v="28126094.138590287"/>
  </r>
  <r>
    <x v="3"/>
    <x v="5"/>
    <s v="Education"/>
    <x v="3"/>
    <n v="2709659549.1139545"/>
    <n v="0.11775000000000002"/>
    <n v="319062411.9081682"/>
    <n v="7"/>
    <n v="7"/>
    <n v="7"/>
    <n v="0.12341325811001411"/>
    <n v="1"/>
    <n v="39376531.794026397"/>
  </r>
  <r>
    <x v="3"/>
    <x v="5"/>
    <s v="Education"/>
    <x v="4"/>
    <n v="2709659549.1139545"/>
    <n v="0.11775000000000002"/>
    <n v="319062411.9081682"/>
    <n v="38.99"/>
    <n v="42.45"/>
    <n v="40.72"/>
    <n v="0.71791255289139633"/>
    <n v="1"/>
    <n v="229058910.66467929"/>
  </r>
  <r>
    <x v="3"/>
    <x v="5"/>
    <s v="Shopping"/>
    <x v="0"/>
    <n v="2709659549.1139545"/>
    <n v="0.25125000000000003"/>
    <n v="680801961.71488118"/>
    <n v="1"/>
    <n v="1"/>
    <n v="1"/>
    <n v="1.763046544428773E-2"/>
    <n v="1"/>
    <n v="12002855.460417511"/>
  </r>
  <r>
    <x v="3"/>
    <x v="5"/>
    <s v="Shopping"/>
    <x v="1"/>
    <n v="2709659549.1139545"/>
    <n v="0.25125000000000003"/>
    <n v="680801961.71488118"/>
    <n v="3"/>
    <n v="3"/>
    <n v="3"/>
    <n v="5.2891396332863189E-2"/>
    <n v="1"/>
    <n v="36008566.381252535"/>
  </r>
  <r>
    <x v="3"/>
    <x v="5"/>
    <s v="Shopping"/>
    <x v="2"/>
    <n v="2709659549.1139545"/>
    <n v="0.25125000000000003"/>
    <n v="680801961.71488118"/>
    <n v="5"/>
    <n v="5"/>
    <n v="5"/>
    <n v="8.8152327221438648E-2"/>
    <n v="1"/>
    <n v="60014277.302087553"/>
  </r>
  <r>
    <x v="3"/>
    <x v="5"/>
    <s v="Shopping"/>
    <x v="3"/>
    <n v="2709659549.1139545"/>
    <n v="0.25125000000000003"/>
    <n v="680801961.71488118"/>
    <n v="7"/>
    <n v="7"/>
    <n v="7"/>
    <n v="0.12341325811001411"/>
    <n v="1"/>
    <n v="84019988.222922578"/>
  </r>
  <r>
    <x v="3"/>
    <x v="5"/>
    <s v="Shopping"/>
    <x v="4"/>
    <n v="2709659549.1139545"/>
    <n v="0.25125000000000003"/>
    <n v="680801961.71488118"/>
    <n v="38.99"/>
    <n v="42.45"/>
    <n v="40.72"/>
    <n v="0.71791255289139633"/>
    <n v="1"/>
    <n v="488756274.34820104"/>
  </r>
  <r>
    <x v="3"/>
    <x v="5"/>
    <s v="To eat or drink"/>
    <x v="0"/>
    <n v="2709659549.1139545"/>
    <n v="2.3250000000000003E-2"/>
    <n v="62999584.516899452"/>
    <n v="1"/>
    <n v="1"/>
    <n v="1"/>
    <n v="1.763046544428773E-2"/>
    <n v="1"/>
    <n v="1110711.9978296801"/>
  </r>
  <r>
    <x v="3"/>
    <x v="5"/>
    <s v="To eat or drink"/>
    <x v="1"/>
    <n v="2709659549.1139545"/>
    <n v="2.3250000000000003E-2"/>
    <n v="62999584.516899452"/>
    <n v="3"/>
    <n v="3"/>
    <n v="3"/>
    <n v="5.2891396332863189E-2"/>
    <n v="1"/>
    <n v="3332135.9934890401"/>
  </r>
  <r>
    <x v="3"/>
    <x v="5"/>
    <s v="To eat or drink"/>
    <x v="2"/>
    <n v="2709659549.1139545"/>
    <n v="2.3250000000000003E-2"/>
    <n v="62999584.516899452"/>
    <n v="5"/>
    <n v="5"/>
    <n v="5"/>
    <n v="8.8152327221438648E-2"/>
    <n v="1"/>
    <n v="5553559.9891484007"/>
  </r>
  <r>
    <x v="3"/>
    <x v="5"/>
    <s v="To eat or drink"/>
    <x v="3"/>
    <n v="2709659549.1139545"/>
    <n v="2.3250000000000003E-2"/>
    <n v="62999584.516899452"/>
    <n v="7"/>
    <n v="7"/>
    <n v="7"/>
    <n v="0.12341325811001411"/>
    <n v="1"/>
    <n v="7774983.9848077605"/>
  </r>
  <r>
    <x v="3"/>
    <x v="5"/>
    <s v="To eat or drink"/>
    <x v="4"/>
    <n v="2709659549.1139545"/>
    <n v="2.3250000000000003E-2"/>
    <n v="62999584.516899452"/>
    <n v="38.99"/>
    <n v="42.45"/>
    <n v="40.72"/>
    <n v="0.71791255289139633"/>
    <n v="1"/>
    <n v="45228192.551624574"/>
  </r>
  <r>
    <x v="3"/>
    <x v="5"/>
    <s v="Visit family/friends"/>
    <x v="0"/>
    <n v="2709659549.1139545"/>
    <n v="0.11150000000000002"/>
    <n v="302127039.72620595"/>
    <n v="1"/>
    <n v="1"/>
    <n v="1"/>
    <n v="1.763046544428773E-2"/>
    <n v="1"/>
    <n v="5326640.3336778199"/>
  </r>
  <r>
    <x v="3"/>
    <x v="5"/>
    <s v="Visit family/friends"/>
    <x v="1"/>
    <n v="2709659549.1139545"/>
    <n v="0.11150000000000002"/>
    <n v="302127039.72620595"/>
    <n v="3"/>
    <n v="3"/>
    <n v="3"/>
    <n v="5.2891396332863189E-2"/>
    <n v="1"/>
    <n v="15979921.001033461"/>
  </r>
  <r>
    <x v="3"/>
    <x v="5"/>
    <s v="Visit family/friends"/>
    <x v="2"/>
    <n v="2709659549.1139545"/>
    <n v="0.11150000000000002"/>
    <n v="302127039.72620595"/>
    <n v="5"/>
    <n v="5"/>
    <n v="5"/>
    <n v="8.8152327221438648E-2"/>
    <n v="1"/>
    <n v="26633201.668389101"/>
  </r>
  <r>
    <x v="3"/>
    <x v="5"/>
    <s v="Visit family/friends"/>
    <x v="3"/>
    <n v="2709659549.1139545"/>
    <n v="0.11150000000000002"/>
    <n v="302127039.72620595"/>
    <n v="7"/>
    <n v="7"/>
    <n v="7"/>
    <n v="0.12341325811001411"/>
    <n v="1"/>
    <n v="37286482.335744739"/>
  </r>
  <r>
    <x v="3"/>
    <x v="5"/>
    <s v="Visit family/friends"/>
    <x v="4"/>
    <n v="2709659549.1139545"/>
    <n v="0.11150000000000002"/>
    <n v="302127039.72620595"/>
    <n v="38.99"/>
    <n v="42.45"/>
    <n v="40.72"/>
    <n v="0.71791255289139633"/>
    <n v="1"/>
    <n v="216900794.38736081"/>
  </r>
  <r>
    <x v="3"/>
    <x v="5"/>
    <s v="Entertainment/leisure/sports"/>
    <x v="0"/>
    <n v="2709659549.1139545"/>
    <n v="7.5249999999999997E-2"/>
    <n v="203901881.07082507"/>
    <n v="1"/>
    <n v="1"/>
    <n v="1"/>
    <n v="1.763046544428773E-2"/>
    <n v="1"/>
    <n v="3594885.0682444479"/>
  </r>
  <r>
    <x v="3"/>
    <x v="5"/>
    <s v="Entertainment/leisure/sports"/>
    <x v="1"/>
    <n v="2709659549.1139545"/>
    <n v="7.5249999999999997E-2"/>
    <n v="203901881.07082507"/>
    <n v="3"/>
    <n v="3"/>
    <n v="3"/>
    <n v="5.2891396332863189E-2"/>
    <n v="1"/>
    <n v="10784655.204733344"/>
  </r>
  <r>
    <x v="3"/>
    <x v="5"/>
    <s v="Entertainment/leisure/sports"/>
    <x v="2"/>
    <n v="2709659549.1139545"/>
    <n v="7.5249999999999997E-2"/>
    <n v="203901881.07082507"/>
    <n v="5"/>
    <n v="5"/>
    <n v="5"/>
    <n v="8.8152327221438648E-2"/>
    <n v="1"/>
    <n v="17974425.341222238"/>
  </r>
  <r>
    <x v="3"/>
    <x v="5"/>
    <s v="Entertainment/leisure/sports"/>
    <x v="3"/>
    <n v="2709659549.1139545"/>
    <n v="7.5249999999999997E-2"/>
    <n v="203901881.07082507"/>
    <n v="7"/>
    <n v="7"/>
    <n v="7"/>
    <n v="0.12341325811001411"/>
    <n v="1"/>
    <n v="25164195.477711134"/>
  </r>
  <r>
    <x v="3"/>
    <x v="5"/>
    <s v="Entertainment/leisure/sports"/>
    <x v="4"/>
    <n v="2709659549.1139545"/>
    <n v="7.5249999999999997E-2"/>
    <n v="203901881.07082507"/>
    <n v="38.99"/>
    <n v="42.45"/>
    <n v="40.72"/>
    <n v="0.71791255289139633"/>
    <n v="1"/>
    <n v="146383719.9789139"/>
  </r>
  <r>
    <x v="3"/>
    <x v="5"/>
    <s v="Personal Business"/>
    <x v="0"/>
    <n v="2709659549.1139545"/>
    <n v="8.0749999999999988E-2"/>
    <n v="218805008.5909518"/>
    <n v="1"/>
    <n v="1"/>
    <n v="1"/>
    <n v="1.763046544428773E-2"/>
    <n v="1"/>
    <n v="3857634.1429998553"/>
  </r>
  <r>
    <x v="3"/>
    <x v="5"/>
    <s v="Personal Business"/>
    <x v="1"/>
    <n v="2709659549.1139545"/>
    <n v="8.0749999999999988E-2"/>
    <n v="218805008.5909518"/>
    <n v="3"/>
    <n v="3"/>
    <n v="3"/>
    <n v="5.2891396332863189E-2"/>
    <n v="1"/>
    <n v="11572902.428999567"/>
  </r>
  <r>
    <x v="3"/>
    <x v="5"/>
    <s v="Personal Business"/>
    <x v="2"/>
    <n v="2709659549.1139545"/>
    <n v="8.0749999999999988E-2"/>
    <n v="218805008.5909518"/>
    <n v="5"/>
    <n v="5"/>
    <n v="5"/>
    <n v="8.8152327221438648E-2"/>
    <n v="1"/>
    <n v="19288170.714999277"/>
  </r>
  <r>
    <x v="3"/>
    <x v="5"/>
    <s v="Personal Business"/>
    <x v="3"/>
    <n v="2709659549.1139545"/>
    <n v="8.0749999999999988E-2"/>
    <n v="218805008.5909518"/>
    <n v="7"/>
    <n v="7"/>
    <n v="7"/>
    <n v="0.12341325811001411"/>
    <n v="1"/>
    <n v="27003439.000998989"/>
  </r>
  <r>
    <x v="3"/>
    <x v="5"/>
    <s v="Personal Business"/>
    <x v="4"/>
    <n v="2709659549.1139545"/>
    <n v="8.0749999999999988E-2"/>
    <n v="218805008.5909518"/>
    <n v="38.99"/>
    <n v="42.45"/>
    <n v="40.72"/>
    <n v="0.71791255289139633"/>
    <n v="1"/>
    <n v="157082862.30295411"/>
  </r>
  <r>
    <x v="3"/>
    <x v="5"/>
    <s v="Companion/Escort Journey"/>
    <x v="0"/>
    <n v="2709659549.1139545"/>
    <n v="3.0250000000000003E-2"/>
    <n v="81967201.360697135"/>
    <n v="1"/>
    <n v="1"/>
    <n v="1"/>
    <n v="1.763046544428773E-2"/>
    <n v="1"/>
    <n v="1445119.9111547449"/>
  </r>
  <r>
    <x v="3"/>
    <x v="5"/>
    <s v="Companion/Escort Journey"/>
    <x v="1"/>
    <n v="2709659549.1139545"/>
    <n v="3.0250000000000003E-2"/>
    <n v="81967201.360697135"/>
    <n v="3"/>
    <n v="3"/>
    <n v="3"/>
    <n v="5.2891396332863189E-2"/>
    <n v="1"/>
    <n v="4335359.7334642354"/>
  </r>
  <r>
    <x v="3"/>
    <x v="5"/>
    <s v="Companion/Escort Journey"/>
    <x v="2"/>
    <n v="2709659549.1139545"/>
    <n v="3.0250000000000003E-2"/>
    <n v="81967201.360697135"/>
    <n v="5"/>
    <n v="5"/>
    <n v="5"/>
    <n v="8.8152327221438648E-2"/>
    <n v="1"/>
    <n v="7225599.5557737248"/>
  </r>
  <r>
    <x v="3"/>
    <x v="5"/>
    <s v="Companion/Escort Journey"/>
    <x v="3"/>
    <n v="2709659549.1139545"/>
    <n v="3.0250000000000003E-2"/>
    <n v="81967201.360697135"/>
    <n v="7"/>
    <n v="7"/>
    <n v="7"/>
    <n v="0.12341325811001411"/>
    <n v="1"/>
    <n v="10115839.378083214"/>
  </r>
  <r>
    <x v="3"/>
    <x v="5"/>
    <s v="Companion/Escort Journey"/>
    <x v="4"/>
    <n v="2709659549.1139545"/>
    <n v="3.0250000000000003E-2"/>
    <n v="81967201.360697135"/>
    <n v="38.99"/>
    <n v="42.45"/>
    <n v="40.72"/>
    <n v="0.71791255289139633"/>
    <n v="1"/>
    <n v="58845282.782221213"/>
  </r>
  <r>
    <x v="3"/>
    <x v="5"/>
    <s v="Other"/>
    <x v="0"/>
    <n v="2709659549.1139545"/>
    <n v="5.7500000000000009E-2"/>
    <n v="155805424.07405242"/>
    <n v="1"/>
    <n v="1"/>
    <n v="1"/>
    <n v="1.763046544428773E-2"/>
    <n v="1"/>
    <n v="2746922.1451701769"/>
  </r>
  <r>
    <x v="3"/>
    <x v="5"/>
    <s v="Other"/>
    <x v="1"/>
    <n v="2709659549.1139545"/>
    <n v="5.7500000000000009E-2"/>
    <n v="155805424.07405242"/>
    <n v="3"/>
    <n v="3"/>
    <n v="3"/>
    <n v="5.2891396332863189E-2"/>
    <n v="1"/>
    <n v="8240766.4355105301"/>
  </r>
  <r>
    <x v="3"/>
    <x v="5"/>
    <s v="Other"/>
    <x v="2"/>
    <n v="2709659549.1139545"/>
    <n v="5.7500000000000009E-2"/>
    <n v="155805424.07405242"/>
    <n v="5"/>
    <n v="5"/>
    <n v="5"/>
    <n v="8.8152327221438648E-2"/>
    <n v="1"/>
    <n v="13734610.725850884"/>
  </r>
  <r>
    <x v="3"/>
    <x v="5"/>
    <s v="Other"/>
    <x v="3"/>
    <n v="2709659549.1139545"/>
    <n v="5.7500000000000009E-2"/>
    <n v="155805424.07405242"/>
    <n v="7"/>
    <n v="7"/>
    <n v="7"/>
    <n v="0.12341325811001411"/>
    <n v="1"/>
    <n v="19228455.016191237"/>
  </r>
  <r>
    <x v="3"/>
    <x v="5"/>
    <s v="Other"/>
    <x v="4"/>
    <n v="2709659549.1139545"/>
    <n v="5.7500000000000009E-2"/>
    <n v="155805424.07405242"/>
    <n v="38.99"/>
    <n v="42.45"/>
    <n v="40.72"/>
    <n v="0.71791255289139633"/>
    <n v="1"/>
    <n v="111854669.7513296"/>
  </r>
  <r>
    <x v="3"/>
    <x v="6"/>
    <s v="Work"/>
    <x v="0"/>
    <n v="179885559.24640933"/>
    <n v="0.2525"/>
    <n v="45421103.709718354"/>
    <n v="1"/>
    <n v="1"/>
    <n v="1"/>
    <n v="1.763046544428773E-2"/>
    <n v="1"/>
    <n v="800795.19939559861"/>
  </r>
  <r>
    <x v="3"/>
    <x v="6"/>
    <s v="Work"/>
    <x v="1"/>
    <n v="179885559.24640933"/>
    <n v="0.2525"/>
    <n v="45421103.709718354"/>
    <n v="3"/>
    <n v="3"/>
    <n v="3"/>
    <n v="5.2891396332863189E-2"/>
    <n v="1"/>
    <n v="2402385.5981867961"/>
  </r>
  <r>
    <x v="3"/>
    <x v="6"/>
    <s v="Work"/>
    <x v="2"/>
    <n v="179885559.24640933"/>
    <n v="0.2525"/>
    <n v="45421103.709718354"/>
    <n v="5"/>
    <n v="5"/>
    <n v="5"/>
    <n v="8.8152327221438648E-2"/>
    <n v="1"/>
    <n v="4003975.9969779933"/>
  </r>
  <r>
    <x v="3"/>
    <x v="6"/>
    <s v="Work"/>
    <x v="3"/>
    <n v="179885559.24640933"/>
    <n v="0.2525"/>
    <n v="45421103.709718354"/>
    <n v="7"/>
    <n v="7"/>
    <n v="7"/>
    <n v="0.12341325811001411"/>
    <n v="1"/>
    <n v="5605566.39576919"/>
  </r>
  <r>
    <x v="3"/>
    <x v="6"/>
    <s v="Work"/>
    <x v="4"/>
    <n v="179885559.24640933"/>
    <n v="0.2525"/>
    <n v="45421103.709718354"/>
    <n v="38.99"/>
    <n v="42.45"/>
    <n v="40.72"/>
    <n v="0.71791255289139633"/>
    <n v="1"/>
    <n v="32608380.519388776"/>
  </r>
  <r>
    <x v="3"/>
    <x v="6"/>
    <s v="Education"/>
    <x v="0"/>
    <n v="179885559.24640933"/>
    <n v="0.11775000000000002"/>
    <n v="21181524.6012647"/>
    <n v="1"/>
    <n v="1"/>
    <n v="1"/>
    <n v="1.763046544428773E-2"/>
    <n v="1"/>
    <n v="373440.13753992773"/>
  </r>
  <r>
    <x v="3"/>
    <x v="6"/>
    <s v="Education"/>
    <x v="1"/>
    <n v="179885559.24640933"/>
    <n v="0.11775000000000002"/>
    <n v="21181524.6012647"/>
    <n v="3"/>
    <n v="3"/>
    <n v="3"/>
    <n v="5.2891396332863189E-2"/>
    <n v="1"/>
    <n v="1120320.4126197831"/>
  </r>
  <r>
    <x v="3"/>
    <x v="6"/>
    <s v="Education"/>
    <x v="2"/>
    <n v="179885559.24640933"/>
    <n v="0.11775000000000002"/>
    <n v="21181524.6012647"/>
    <n v="5"/>
    <n v="5"/>
    <n v="5"/>
    <n v="8.8152327221438648E-2"/>
    <n v="1"/>
    <n v="1867200.6876996385"/>
  </r>
  <r>
    <x v="3"/>
    <x v="6"/>
    <s v="Education"/>
    <x v="3"/>
    <n v="179885559.24640933"/>
    <n v="0.11775000000000002"/>
    <n v="21181524.6012647"/>
    <n v="7"/>
    <n v="7"/>
    <n v="7"/>
    <n v="0.12341325811001411"/>
    <n v="1"/>
    <n v="2614080.962779494"/>
  </r>
  <r>
    <x v="3"/>
    <x v="6"/>
    <s v="Education"/>
    <x v="4"/>
    <n v="179885559.24640933"/>
    <n v="0.11775000000000002"/>
    <n v="21181524.6012647"/>
    <n v="38.99"/>
    <n v="42.45"/>
    <n v="40.72"/>
    <n v="0.71791255289139633"/>
    <n v="1"/>
    <n v="15206482.400625857"/>
  </r>
  <r>
    <x v="3"/>
    <x v="6"/>
    <s v="Shopping"/>
    <x v="0"/>
    <n v="179885559.24640933"/>
    <n v="0.25125000000000003"/>
    <n v="45196246.76066035"/>
    <n v="1"/>
    <n v="1"/>
    <n v="1"/>
    <n v="1.763046544428773E-2"/>
    <n v="1"/>
    <n v="796830.86672532349"/>
  </r>
  <r>
    <x v="3"/>
    <x v="6"/>
    <s v="Shopping"/>
    <x v="1"/>
    <n v="179885559.24640933"/>
    <n v="0.25125000000000003"/>
    <n v="45196246.76066035"/>
    <n v="3"/>
    <n v="3"/>
    <n v="3"/>
    <n v="5.2891396332863189E-2"/>
    <n v="1"/>
    <n v="2390492.6001759707"/>
  </r>
  <r>
    <x v="3"/>
    <x v="6"/>
    <s v="Shopping"/>
    <x v="2"/>
    <n v="179885559.24640933"/>
    <n v="0.25125000000000003"/>
    <n v="45196246.76066035"/>
    <n v="5"/>
    <n v="5"/>
    <n v="5"/>
    <n v="8.8152327221438648E-2"/>
    <n v="1"/>
    <n v="3984154.3336266177"/>
  </r>
  <r>
    <x v="3"/>
    <x v="6"/>
    <s v="Shopping"/>
    <x v="3"/>
    <n v="179885559.24640933"/>
    <n v="0.25125000000000003"/>
    <n v="45196246.76066035"/>
    <n v="7"/>
    <n v="7"/>
    <n v="7"/>
    <n v="0.12341325811001411"/>
    <n v="1"/>
    <n v="5577816.0670772651"/>
  </r>
  <r>
    <x v="3"/>
    <x v="6"/>
    <s v="Shopping"/>
    <x v="4"/>
    <n v="179885559.24640933"/>
    <n v="0.25125000000000003"/>
    <n v="45196246.76066035"/>
    <n v="38.99"/>
    <n v="42.45"/>
    <n v="40.72"/>
    <n v="0.71791255289139633"/>
    <n v="1"/>
    <n v="32446952.893055174"/>
  </r>
  <r>
    <x v="3"/>
    <x v="6"/>
    <s v="To eat or drink"/>
    <x v="0"/>
    <n v="179885559.24640933"/>
    <n v="2.3250000000000003E-2"/>
    <n v="4182339.2524790172"/>
    <n v="1"/>
    <n v="1"/>
    <n v="1"/>
    <n v="1.763046544428773E-2"/>
    <n v="1"/>
    <n v="73736.587667119486"/>
  </r>
  <r>
    <x v="3"/>
    <x v="6"/>
    <s v="To eat or drink"/>
    <x v="1"/>
    <n v="179885559.24640933"/>
    <n v="2.3250000000000003E-2"/>
    <n v="4182339.2524790172"/>
    <n v="3"/>
    <n v="3"/>
    <n v="3"/>
    <n v="5.2891396332863189E-2"/>
    <n v="1"/>
    <n v="221209.76300135846"/>
  </r>
  <r>
    <x v="3"/>
    <x v="6"/>
    <s v="To eat or drink"/>
    <x v="2"/>
    <n v="179885559.24640933"/>
    <n v="2.3250000000000003E-2"/>
    <n v="4182339.2524790172"/>
    <n v="5"/>
    <n v="5"/>
    <n v="5"/>
    <n v="8.8152327221438648E-2"/>
    <n v="1"/>
    <n v="368682.93833559746"/>
  </r>
  <r>
    <x v="3"/>
    <x v="6"/>
    <s v="To eat or drink"/>
    <x v="3"/>
    <n v="179885559.24640933"/>
    <n v="2.3250000000000003E-2"/>
    <n v="4182339.2524790172"/>
    <n v="7"/>
    <n v="7"/>
    <n v="7"/>
    <n v="0.12341325811001411"/>
    <n v="1"/>
    <n v="516156.11366983643"/>
  </r>
  <r>
    <x v="3"/>
    <x v="6"/>
    <s v="To eat or drink"/>
    <x v="4"/>
    <n v="179885559.24640933"/>
    <n v="2.3250000000000003E-2"/>
    <n v="4182339.2524790172"/>
    <n v="38.99"/>
    <n v="42.45"/>
    <n v="40.72"/>
    <n v="0.71791255289139633"/>
    <n v="1"/>
    <n v="3002553.8498051055"/>
  </r>
  <r>
    <x v="3"/>
    <x v="6"/>
    <s v="Visit family/friends"/>
    <x v="0"/>
    <n v="179885559.24640933"/>
    <n v="0.11150000000000002"/>
    <n v="20057239.855974644"/>
    <n v="1"/>
    <n v="1"/>
    <n v="1"/>
    <n v="1.763046544428773E-2"/>
    <n v="1"/>
    <n v="353618.47418855154"/>
  </r>
  <r>
    <x v="3"/>
    <x v="6"/>
    <s v="Visit family/friends"/>
    <x v="1"/>
    <n v="179885559.24640933"/>
    <n v="0.11150000000000002"/>
    <n v="20057239.855974644"/>
    <n v="3"/>
    <n v="3"/>
    <n v="3"/>
    <n v="5.2891396332863189E-2"/>
    <n v="1"/>
    <n v="1060855.4225656546"/>
  </r>
  <r>
    <x v="3"/>
    <x v="6"/>
    <s v="Visit family/friends"/>
    <x v="2"/>
    <n v="179885559.24640933"/>
    <n v="0.11150000000000002"/>
    <n v="20057239.855974644"/>
    <n v="5"/>
    <n v="5"/>
    <n v="5"/>
    <n v="8.8152327221438648E-2"/>
    <n v="1"/>
    <n v="1768092.3709427579"/>
  </r>
  <r>
    <x v="3"/>
    <x v="6"/>
    <s v="Visit family/friends"/>
    <x v="3"/>
    <n v="179885559.24640933"/>
    <n v="0.11150000000000002"/>
    <n v="20057239.855974644"/>
    <n v="7"/>
    <n v="7"/>
    <n v="7"/>
    <n v="0.12341325811001411"/>
    <n v="1"/>
    <n v="2475329.319319861"/>
  </r>
  <r>
    <x v="3"/>
    <x v="6"/>
    <s v="Visit family/friends"/>
    <x v="4"/>
    <n v="179885559.24640933"/>
    <n v="0.11150000000000002"/>
    <n v="20057239.855974644"/>
    <n v="38.99"/>
    <n v="42.45"/>
    <n v="40.72"/>
    <n v="0.71791255289139633"/>
    <n v="1"/>
    <n v="14399344.26895782"/>
  </r>
  <r>
    <x v="3"/>
    <x v="6"/>
    <s v="Entertainment/leisure/sports"/>
    <x v="0"/>
    <n v="179885559.24640933"/>
    <n v="7.5249999999999997E-2"/>
    <n v="13536388.333292302"/>
    <n v="1"/>
    <n v="1"/>
    <n v="1"/>
    <n v="1.763046544428773E-2"/>
    <n v="1"/>
    <n v="238652.82675056951"/>
  </r>
  <r>
    <x v="3"/>
    <x v="6"/>
    <s v="Entertainment/leisure/sports"/>
    <x v="1"/>
    <n v="179885559.24640933"/>
    <n v="7.5249999999999997E-2"/>
    <n v="13536388.333292302"/>
    <n v="3"/>
    <n v="3"/>
    <n v="3"/>
    <n v="5.2891396332863189E-2"/>
    <n v="1"/>
    <n v="715958.48025170853"/>
  </r>
  <r>
    <x v="3"/>
    <x v="6"/>
    <s v="Entertainment/leisure/sports"/>
    <x v="2"/>
    <n v="179885559.24640933"/>
    <n v="7.5249999999999997E-2"/>
    <n v="13536388.333292302"/>
    <n v="5"/>
    <n v="5"/>
    <n v="5"/>
    <n v="8.8152327221438648E-2"/>
    <n v="1"/>
    <n v="1193264.1337528476"/>
  </r>
  <r>
    <x v="3"/>
    <x v="6"/>
    <s v="Entertainment/leisure/sports"/>
    <x v="3"/>
    <n v="179885559.24640933"/>
    <n v="7.5249999999999997E-2"/>
    <n v="13536388.333292302"/>
    <n v="7"/>
    <n v="7"/>
    <n v="7"/>
    <n v="0.12341325811001411"/>
    <n v="1"/>
    <n v="1670569.7872539866"/>
  </r>
  <r>
    <x v="3"/>
    <x v="6"/>
    <s v="Entertainment/leisure/sports"/>
    <x v="4"/>
    <n v="179885559.24640933"/>
    <n v="7.5249999999999997E-2"/>
    <n v="13536388.333292302"/>
    <n v="38.99"/>
    <n v="42.45"/>
    <n v="40.72"/>
    <n v="0.71791255289139633"/>
    <n v="1"/>
    <n v="9717943.1052831896"/>
  </r>
  <r>
    <x v="3"/>
    <x v="6"/>
    <s v="Personal Business"/>
    <x v="0"/>
    <n v="179885559.24640933"/>
    <n v="8.0749999999999988E-2"/>
    <n v="14525758.909147551"/>
    <n v="1"/>
    <n v="1"/>
    <n v="1"/>
    <n v="1.763046544428773E-2"/>
    <n v="1"/>
    <n v="256095.89049978054"/>
  </r>
  <r>
    <x v="3"/>
    <x v="6"/>
    <s v="Personal Business"/>
    <x v="1"/>
    <n v="179885559.24640933"/>
    <n v="8.0749999999999988E-2"/>
    <n v="14525758.909147551"/>
    <n v="3"/>
    <n v="3"/>
    <n v="3"/>
    <n v="5.2891396332863189E-2"/>
    <n v="1"/>
    <n v="768287.67149934161"/>
  </r>
  <r>
    <x v="3"/>
    <x v="6"/>
    <s v="Personal Business"/>
    <x v="2"/>
    <n v="179885559.24640933"/>
    <n v="8.0749999999999988E-2"/>
    <n v="14525758.909147551"/>
    <n v="5"/>
    <n v="5"/>
    <n v="5"/>
    <n v="8.8152327221438648E-2"/>
    <n v="1"/>
    <n v="1280479.4524989026"/>
  </r>
  <r>
    <x v="3"/>
    <x v="6"/>
    <s v="Personal Business"/>
    <x v="3"/>
    <n v="179885559.24640933"/>
    <n v="8.0749999999999988E-2"/>
    <n v="14525758.909147551"/>
    <n v="7"/>
    <n v="7"/>
    <n v="7"/>
    <n v="0.12341325811001411"/>
    <n v="1"/>
    <n v="1792671.2334984636"/>
  </r>
  <r>
    <x v="3"/>
    <x v="6"/>
    <s v="Personal Business"/>
    <x v="4"/>
    <n v="179885559.24640933"/>
    <n v="8.0749999999999988E-2"/>
    <n v="14525758.909147551"/>
    <n v="38.99"/>
    <n v="42.45"/>
    <n v="40.72"/>
    <n v="0.71791255289139633"/>
    <n v="1"/>
    <n v="10428224.661151063"/>
  </r>
  <r>
    <x v="3"/>
    <x v="6"/>
    <s v="Companion/Escort Journey"/>
    <x v="0"/>
    <n v="179885559.24640933"/>
    <n v="3.0250000000000003E-2"/>
    <n v="5441538.1672038827"/>
    <n v="1"/>
    <n v="1"/>
    <n v="1"/>
    <n v="1.763046544428773E-2"/>
    <n v="1"/>
    <n v="95936.850620660844"/>
  </r>
  <r>
    <x v="3"/>
    <x v="6"/>
    <s v="Companion/Escort Journey"/>
    <x v="1"/>
    <n v="179885559.24640933"/>
    <n v="3.0250000000000003E-2"/>
    <n v="5441538.1672038827"/>
    <n v="3"/>
    <n v="3"/>
    <n v="3"/>
    <n v="5.2891396332863189E-2"/>
    <n v="1"/>
    <n v="287810.5518619825"/>
  </r>
  <r>
    <x v="3"/>
    <x v="6"/>
    <s v="Companion/Escort Journey"/>
    <x v="2"/>
    <n v="179885559.24640933"/>
    <n v="3.0250000000000003E-2"/>
    <n v="5441538.1672038827"/>
    <n v="5"/>
    <n v="5"/>
    <n v="5"/>
    <n v="8.8152327221438648E-2"/>
    <n v="1"/>
    <n v="479684.25310330419"/>
  </r>
  <r>
    <x v="3"/>
    <x v="6"/>
    <s v="Companion/Escort Journey"/>
    <x v="3"/>
    <n v="179885559.24640933"/>
    <n v="3.0250000000000003E-2"/>
    <n v="5441538.1672038827"/>
    <n v="7"/>
    <n v="7"/>
    <n v="7"/>
    <n v="0.12341325811001411"/>
    <n v="1"/>
    <n v="671557.95434462593"/>
  </r>
  <r>
    <x v="3"/>
    <x v="6"/>
    <s v="Companion/Escort Journey"/>
    <x v="4"/>
    <n v="179885559.24640933"/>
    <n v="3.0250000000000003E-2"/>
    <n v="5441538.1672038827"/>
    <n v="38.99"/>
    <n v="42.45"/>
    <n v="40.72"/>
    <n v="0.71791255289139633"/>
    <n v="1"/>
    <n v="3906548.5572733092"/>
  </r>
  <r>
    <x v="3"/>
    <x v="6"/>
    <s v="Other"/>
    <x v="0"/>
    <n v="179885559.24640933"/>
    <n v="5.7500000000000009E-2"/>
    <n v="10343419.656668538"/>
    <n v="1"/>
    <n v="1"/>
    <n v="1"/>
    <n v="1.763046544428773E-2"/>
    <n v="1"/>
    <n v="182359.30283266111"/>
  </r>
  <r>
    <x v="3"/>
    <x v="6"/>
    <s v="Other"/>
    <x v="1"/>
    <n v="179885559.24640933"/>
    <n v="5.7500000000000009E-2"/>
    <n v="10343419.656668538"/>
    <n v="3"/>
    <n v="3"/>
    <n v="3"/>
    <n v="5.2891396332863189E-2"/>
    <n v="1"/>
    <n v="547077.90849798336"/>
  </r>
  <r>
    <x v="3"/>
    <x v="6"/>
    <s v="Other"/>
    <x v="2"/>
    <n v="179885559.24640933"/>
    <n v="5.7500000000000009E-2"/>
    <n v="10343419.656668538"/>
    <n v="5"/>
    <n v="5"/>
    <n v="5"/>
    <n v="8.8152327221438648E-2"/>
    <n v="1"/>
    <n v="911796.51416330552"/>
  </r>
  <r>
    <x v="3"/>
    <x v="6"/>
    <s v="Other"/>
    <x v="3"/>
    <n v="179885559.24640933"/>
    <n v="5.7500000000000009E-2"/>
    <n v="10343419.656668538"/>
    <n v="7"/>
    <n v="7"/>
    <n v="7"/>
    <n v="0.12341325811001411"/>
    <n v="1"/>
    <n v="1276515.1198286279"/>
  </r>
  <r>
    <x v="3"/>
    <x v="6"/>
    <s v="Other"/>
    <x v="4"/>
    <n v="179885559.24640933"/>
    <n v="5.7500000000000009E-2"/>
    <n v="10343419.656668538"/>
    <n v="38.99"/>
    <n v="42.45"/>
    <n v="40.72"/>
    <n v="0.71791255289139633"/>
    <n v="1"/>
    <n v="7425670.81134596"/>
  </r>
  <r>
    <x v="3"/>
    <x v="7"/>
    <s v="Work"/>
    <x v="0"/>
    <n v="3334832249.6264081"/>
    <n v="0.50875000000000004"/>
    <n v="1696595906.9974353"/>
    <n v="1"/>
    <n v="1"/>
    <n v="1"/>
    <n v="1.763046544428773E-2"/>
    <n v="1"/>
    <n v="29911775.511238281"/>
  </r>
  <r>
    <x v="3"/>
    <x v="7"/>
    <s v="Work"/>
    <x v="1"/>
    <n v="3334832249.6264081"/>
    <n v="0.50875000000000004"/>
    <n v="1696595906.9974353"/>
    <n v="3"/>
    <n v="3"/>
    <n v="3"/>
    <n v="5.2891396332863189E-2"/>
    <n v="1"/>
    <n v="89735326.533714846"/>
  </r>
  <r>
    <x v="3"/>
    <x v="7"/>
    <s v="Work"/>
    <x v="2"/>
    <n v="3334832249.6264081"/>
    <n v="0.50875000000000004"/>
    <n v="1696595906.9974353"/>
    <n v="5"/>
    <n v="5"/>
    <n v="5"/>
    <n v="8.8152327221438648E-2"/>
    <n v="1"/>
    <n v="149558877.55619141"/>
  </r>
  <r>
    <x v="3"/>
    <x v="7"/>
    <s v="Work"/>
    <x v="3"/>
    <n v="3334832249.6264081"/>
    <n v="0.50875000000000004"/>
    <n v="1696595906.9974353"/>
    <n v="7"/>
    <n v="7"/>
    <n v="7"/>
    <n v="0.12341325811001411"/>
    <n v="1"/>
    <n v="209382428.57866797"/>
  </r>
  <r>
    <x v="3"/>
    <x v="7"/>
    <s v="Work"/>
    <x v="4"/>
    <n v="3334832249.6264081"/>
    <n v="0.50875000000000004"/>
    <n v="1696595906.9974353"/>
    <n v="38.99"/>
    <n v="42.45"/>
    <n v="40.72"/>
    <n v="0.71791255289139633"/>
    <n v="1"/>
    <n v="1218007498.8176229"/>
  </r>
  <r>
    <x v="3"/>
    <x v="7"/>
    <s v="Education"/>
    <x v="0"/>
    <n v="3334832249.6264081"/>
    <n v="3.7499999999999999E-3"/>
    <n v="12505620.93609903"/>
    <n v="1"/>
    <n v="1"/>
    <n v="1"/>
    <n v="1.763046544428773E-2"/>
    <n v="1"/>
    <n v="220479.91777325512"/>
  </r>
  <r>
    <x v="3"/>
    <x v="7"/>
    <s v="Education"/>
    <x v="1"/>
    <n v="3334832249.6264081"/>
    <n v="3.7499999999999999E-3"/>
    <n v="12505620.93609903"/>
    <n v="3"/>
    <n v="3"/>
    <n v="3"/>
    <n v="5.2891396332863189E-2"/>
    <n v="1"/>
    <n v="661439.75331976532"/>
  </r>
  <r>
    <x v="3"/>
    <x v="7"/>
    <s v="Education"/>
    <x v="2"/>
    <n v="3334832249.6264081"/>
    <n v="3.7499999999999999E-3"/>
    <n v="12505620.93609903"/>
    <n v="5"/>
    <n v="5"/>
    <n v="5"/>
    <n v="8.8152327221438648E-2"/>
    <n v="1"/>
    <n v="1102399.5888662755"/>
  </r>
  <r>
    <x v="3"/>
    <x v="7"/>
    <s v="Education"/>
    <x v="3"/>
    <n v="3334832249.6264081"/>
    <n v="3.7499999999999999E-3"/>
    <n v="12505620.93609903"/>
    <n v="7"/>
    <n v="7"/>
    <n v="7"/>
    <n v="0.12341325811001411"/>
    <n v="1"/>
    <n v="1543359.4244127858"/>
  </r>
  <r>
    <x v="3"/>
    <x v="7"/>
    <s v="Education"/>
    <x v="4"/>
    <n v="3334832249.6264081"/>
    <n v="3.7499999999999999E-3"/>
    <n v="12505620.93609903"/>
    <n v="38.99"/>
    <n v="42.45"/>
    <n v="40.72"/>
    <n v="0.71791255289139633"/>
    <n v="1"/>
    <n v="8977942.2517269477"/>
  </r>
  <r>
    <x v="3"/>
    <x v="7"/>
    <s v="Shopping"/>
    <x v="0"/>
    <n v="3334832249.6264081"/>
    <n v="0.11475000000000002"/>
    <n v="382672000.64463037"/>
    <n v="1"/>
    <n v="1"/>
    <n v="1"/>
    <n v="1.763046544428773E-2"/>
    <n v="1"/>
    <n v="6746685.4838616075"/>
  </r>
  <r>
    <x v="3"/>
    <x v="7"/>
    <s v="Shopping"/>
    <x v="1"/>
    <n v="3334832249.6264081"/>
    <n v="0.11475000000000002"/>
    <n v="382672000.64463037"/>
    <n v="3"/>
    <n v="3"/>
    <n v="3"/>
    <n v="5.2891396332863189E-2"/>
    <n v="1"/>
    <n v="20240056.451584823"/>
  </r>
  <r>
    <x v="3"/>
    <x v="7"/>
    <s v="Shopping"/>
    <x v="2"/>
    <n v="3334832249.6264081"/>
    <n v="0.11475000000000002"/>
    <n v="382672000.64463037"/>
    <n v="5"/>
    <n v="5"/>
    <n v="5"/>
    <n v="8.8152327221438648E-2"/>
    <n v="1"/>
    <n v="33733427.419308037"/>
  </r>
  <r>
    <x v="3"/>
    <x v="7"/>
    <s v="Shopping"/>
    <x v="3"/>
    <n v="3334832249.6264081"/>
    <n v="0.11475000000000002"/>
    <n v="382672000.64463037"/>
    <n v="7"/>
    <n v="7"/>
    <n v="7"/>
    <n v="0.12341325811001411"/>
    <n v="1"/>
    <n v="47226798.38703125"/>
  </r>
  <r>
    <x v="3"/>
    <x v="7"/>
    <s v="Shopping"/>
    <x v="4"/>
    <n v="3334832249.6264081"/>
    <n v="0.11475000000000002"/>
    <n v="382672000.64463037"/>
    <n v="38.99"/>
    <n v="42.45"/>
    <n v="40.72"/>
    <n v="0.71791255289139633"/>
    <n v="1"/>
    <n v="274725032.90284467"/>
  </r>
  <r>
    <x v="3"/>
    <x v="7"/>
    <s v="To eat or drink"/>
    <x v="0"/>
    <n v="3334832249.6264081"/>
    <n v="3.8249999999999999E-2"/>
    <n v="127557333.54821011"/>
    <n v="1"/>
    <n v="1"/>
    <n v="1"/>
    <n v="1.763046544428773E-2"/>
    <n v="1"/>
    <n v="2248895.1612872025"/>
  </r>
  <r>
    <x v="3"/>
    <x v="7"/>
    <s v="To eat or drink"/>
    <x v="1"/>
    <n v="3334832249.6264081"/>
    <n v="3.8249999999999999E-2"/>
    <n v="127557333.54821011"/>
    <n v="3"/>
    <n v="3"/>
    <n v="3"/>
    <n v="5.2891396332863189E-2"/>
    <n v="1"/>
    <n v="6746685.4838616066"/>
  </r>
  <r>
    <x v="3"/>
    <x v="7"/>
    <s v="To eat or drink"/>
    <x v="2"/>
    <n v="3334832249.6264081"/>
    <n v="3.8249999999999999E-2"/>
    <n v="127557333.54821011"/>
    <n v="5"/>
    <n v="5"/>
    <n v="5"/>
    <n v="8.8152327221438648E-2"/>
    <n v="1"/>
    <n v="11244475.806436012"/>
  </r>
  <r>
    <x v="3"/>
    <x v="7"/>
    <s v="To eat or drink"/>
    <x v="3"/>
    <n v="3334832249.6264081"/>
    <n v="3.8249999999999999E-2"/>
    <n v="127557333.54821011"/>
    <n v="7"/>
    <n v="7"/>
    <n v="7"/>
    <n v="0.12341325811001411"/>
    <n v="1"/>
    <n v="15742266.129010417"/>
  </r>
  <r>
    <x v="3"/>
    <x v="7"/>
    <s v="To eat or drink"/>
    <x v="4"/>
    <n v="3334832249.6264081"/>
    <n v="3.8249999999999999E-2"/>
    <n v="127557333.54821011"/>
    <n v="38.99"/>
    <n v="42.45"/>
    <n v="40.72"/>
    <n v="0.71791255289139633"/>
    <n v="1"/>
    <n v="91575010.967614874"/>
  </r>
  <r>
    <x v="3"/>
    <x v="7"/>
    <s v="Visit family/friends"/>
    <x v="0"/>
    <n v="3334832249.6264081"/>
    <n v="7.3249999999999996E-2"/>
    <n v="244276462.28513438"/>
    <n v="1"/>
    <n v="1"/>
    <n v="1"/>
    <n v="1.763046544428773E-2"/>
    <n v="1"/>
    <n v="4306707.7271709163"/>
  </r>
  <r>
    <x v="3"/>
    <x v="7"/>
    <s v="Visit family/friends"/>
    <x v="1"/>
    <n v="3334832249.6264081"/>
    <n v="7.3249999999999996E-2"/>
    <n v="244276462.28513438"/>
    <n v="3"/>
    <n v="3"/>
    <n v="3"/>
    <n v="5.2891396332863189E-2"/>
    <n v="1"/>
    <n v="12920123.181512749"/>
  </r>
  <r>
    <x v="3"/>
    <x v="7"/>
    <s v="Visit family/friends"/>
    <x v="2"/>
    <n v="3334832249.6264081"/>
    <n v="7.3249999999999996E-2"/>
    <n v="244276462.28513438"/>
    <n v="5"/>
    <n v="5"/>
    <n v="5"/>
    <n v="8.8152327221438648E-2"/>
    <n v="1"/>
    <n v="21533538.635854583"/>
  </r>
  <r>
    <x v="3"/>
    <x v="7"/>
    <s v="Visit family/friends"/>
    <x v="3"/>
    <n v="3334832249.6264081"/>
    <n v="7.3249999999999996E-2"/>
    <n v="244276462.28513438"/>
    <n v="7"/>
    <n v="7"/>
    <n v="7"/>
    <n v="0.12341325811001411"/>
    <n v="1"/>
    <n v="30146954.090196416"/>
  </r>
  <r>
    <x v="3"/>
    <x v="7"/>
    <s v="Visit family/friends"/>
    <x v="4"/>
    <n v="3334832249.6264081"/>
    <n v="7.3249999999999996E-2"/>
    <n v="244276462.28513438"/>
    <n v="38.99"/>
    <n v="42.45"/>
    <n v="40.72"/>
    <n v="0.71791255289139633"/>
    <n v="1"/>
    <n v="175369138.65039971"/>
  </r>
  <r>
    <x v="3"/>
    <x v="7"/>
    <s v="Entertainment/leisure/sports"/>
    <x v="0"/>
    <n v="3334832249.6264081"/>
    <n v="0.10125000000000001"/>
    <n v="337651765.27467382"/>
    <n v="1"/>
    <n v="1"/>
    <n v="1"/>
    <n v="1.763046544428773E-2"/>
    <n v="1"/>
    <n v="5952957.779877888"/>
  </r>
  <r>
    <x v="3"/>
    <x v="7"/>
    <s v="Entertainment/leisure/sports"/>
    <x v="1"/>
    <n v="3334832249.6264081"/>
    <n v="0.10125000000000001"/>
    <n v="337651765.27467382"/>
    <n v="3"/>
    <n v="3"/>
    <n v="3"/>
    <n v="5.2891396332863189E-2"/>
    <n v="1"/>
    <n v="17858873.339633666"/>
  </r>
  <r>
    <x v="3"/>
    <x v="7"/>
    <s v="Entertainment/leisure/sports"/>
    <x v="2"/>
    <n v="3334832249.6264081"/>
    <n v="0.10125000000000001"/>
    <n v="337651765.27467382"/>
    <n v="5"/>
    <n v="5"/>
    <n v="5"/>
    <n v="8.8152327221438648E-2"/>
    <n v="1"/>
    <n v="29764788.899389442"/>
  </r>
  <r>
    <x v="3"/>
    <x v="7"/>
    <s v="Entertainment/leisure/sports"/>
    <x v="3"/>
    <n v="3334832249.6264081"/>
    <n v="0.10125000000000001"/>
    <n v="337651765.27467382"/>
    <n v="7"/>
    <n v="7"/>
    <n v="7"/>
    <n v="0.12341325811001411"/>
    <n v="1"/>
    <n v="41670704.459145218"/>
  </r>
  <r>
    <x v="3"/>
    <x v="7"/>
    <s v="Entertainment/leisure/sports"/>
    <x v="4"/>
    <n v="3334832249.6264081"/>
    <n v="0.10125000000000001"/>
    <n v="337651765.27467382"/>
    <n v="38.99"/>
    <n v="42.45"/>
    <n v="40.72"/>
    <n v="0.71791255289139633"/>
    <n v="1"/>
    <n v="242404440.79662761"/>
  </r>
  <r>
    <x v="3"/>
    <x v="7"/>
    <s v="Personal Business"/>
    <x v="0"/>
    <n v="3334832249.6264081"/>
    <n v="5.9249999999999997E-2"/>
    <n v="197588810.79036468"/>
    <n v="1"/>
    <n v="1"/>
    <n v="1"/>
    <n v="1.763046544428773E-2"/>
    <n v="1"/>
    <n v="3483582.7008174309"/>
  </r>
  <r>
    <x v="3"/>
    <x v="7"/>
    <s v="Personal Business"/>
    <x v="1"/>
    <n v="3334832249.6264081"/>
    <n v="5.9249999999999997E-2"/>
    <n v="197588810.79036468"/>
    <n v="3"/>
    <n v="3"/>
    <n v="3"/>
    <n v="5.2891396332863189E-2"/>
    <n v="1"/>
    <n v="10450748.102452293"/>
  </r>
  <r>
    <x v="3"/>
    <x v="7"/>
    <s v="Personal Business"/>
    <x v="2"/>
    <n v="3334832249.6264081"/>
    <n v="5.9249999999999997E-2"/>
    <n v="197588810.79036468"/>
    <n v="5"/>
    <n v="5"/>
    <n v="5"/>
    <n v="8.8152327221438648E-2"/>
    <n v="1"/>
    <n v="17417913.504087154"/>
  </r>
  <r>
    <x v="3"/>
    <x v="7"/>
    <s v="Personal Business"/>
    <x v="3"/>
    <n v="3334832249.6264081"/>
    <n v="5.9249999999999997E-2"/>
    <n v="197588810.79036468"/>
    <n v="7"/>
    <n v="7"/>
    <n v="7"/>
    <n v="0.12341325811001411"/>
    <n v="1"/>
    <n v="24385078.905722018"/>
  </r>
  <r>
    <x v="3"/>
    <x v="7"/>
    <s v="Personal Business"/>
    <x v="4"/>
    <n v="3334832249.6264081"/>
    <n v="5.9249999999999997E-2"/>
    <n v="197588810.79036468"/>
    <n v="38.99"/>
    <n v="42.45"/>
    <n v="40.72"/>
    <n v="0.71791255289139633"/>
    <n v="1"/>
    <n v="141851487.5772858"/>
  </r>
  <r>
    <x v="3"/>
    <x v="7"/>
    <s v="Companion/Escort Journey"/>
    <x v="0"/>
    <n v="3334832249.6264081"/>
    <n v="4.9500000000000002E-2"/>
    <n v="165074196.35650721"/>
    <n v="1"/>
    <n v="1"/>
    <n v="1"/>
    <n v="1.763046544428773E-2"/>
    <n v="1"/>
    <n v="2910334.9146069679"/>
  </r>
  <r>
    <x v="3"/>
    <x v="7"/>
    <s v="Companion/Escort Journey"/>
    <x v="1"/>
    <n v="3334832249.6264081"/>
    <n v="4.9500000000000002E-2"/>
    <n v="165074196.35650721"/>
    <n v="3"/>
    <n v="3"/>
    <n v="3"/>
    <n v="5.2891396332863189E-2"/>
    <n v="1"/>
    <n v="8731004.7438209038"/>
  </r>
  <r>
    <x v="3"/>
    <x v="7"/>
    <s v="Companion/Escort Journey"/>
    <x v="2"/>
    <n v="3334832249.6264081"/>
    <n v="4.9500000000000002E-2"/>
    <n v="165074196.35650721"/>
    <n v="5"/>
    <n v="5"/>
    <n v="5"/>
    <n v="8.8152327221438648E-2"/>
    <n v="1"/>
    <n v="14551674.57303484"/>
  </r>
  <r>
    <x v="3"/>
    <x v="7"/>
    <s v="Companion/Escort Journey"/>
    <x v="3"/>
    <n v="3334832249.6264081"/>
    <n v="4.9500000000000002E-2"/>
    <n v="165074196.35650721"/>
    <n v="7"/>
    <n v="7"/>
    <n v="7"/>
    <n v="0.12341325811001411"/>
    <n v="1"/>
    <n v="20372344.402248774"/>
  </r>
  <r>
    <x v="3"/>
    <x v="7"/>
    <s v="Companion/Escort Journey"/>
    <x v="4"/>
    <n v="3334832249.6264081"/>
    <n v="4.9500000000000002E-2"/>
    <n v="165074196.35650721"/>
    <n v="38.99"/>
    <n v="42.45"/>
    <n v="40.72"/>
    <n v="0.71791255289139633"/>
    <n v="1"/>
    <n v="118508837.72279572"/>
  </r>
  <r>
    <x v="3"/>
    <x v="7"/>
    <s v="Other"/>
    <x v="0"/>
    <n v="3334832249.6264081"/>
    <n v="5.2499999999999991E-2"/>
    <n v="175078693.10538641"/>
    <n v="1"/>
    <n v="1"/>
    <n v="1"/>
    <n v="1.763046544428773E-2"/>
    <n v="1"/>
    <n v="3086718.8488255716"/>
  </r>
  <r>
    <x v="3"/>
    <x v="7"/>
    <s v="Other"/>
    <x v="1"/>
    <n v="3334832249.6264081"/>
    <n v="5.2499999999999991E-2"/>
    <n v="175078693.10538641"/>
    <n v="3"/>
    <n v="3"/>
    <n v="3"/>
    <n v="5.2891396332863189E-2"/>
    <n v="1"/>
    <n v="9260156.5464767143"/>
  </r>
  <r>
    <x v="3"/>
    <x v="7"/>
    <s v="Other"/>
    <x v="2"/>
    <n v="3334832249.6264081"/>
    <n v="5.2499999999999991E-2"/>
    <n v="175078693.10538641"/>
    <n v="5"/>
    <n v="5"/>
    <n v="5"/>
    <n v="8.8152327221438648E-2"/>
    <n v="1"/>
    <n v="15433594.244127857"/>
  </r>
  <r>
    <x v="3"/>
    <x v="7"/>
    <s v="Other"/>
    <x v="3"/>
    <n v="3334832249.6264081"/>
    <n v="5.2499999999999991E-2"/>
    <n v="175078693.10538641"/>
    <n v="7"/>
    <n v="7"/>
    <n v="7"/>
    <n v="0.12341325811001411"/>
    <n v="1"/>
    <n v="21607031.941778999"/>
  </r>
  <r>
    <x v="3"/>
    <x v="7"/>
    <s v="Other"/>
    <x v="4"/>
    <n v="3334832249.6264081"/>
    <n v="5.2499999999999991E-2"/>
    <n v="175078693.10538641"/>
    <n v="38.99"/>
    <n v="42.45"/>
    <n v="40.72"/>
    <n v="0.71791255289139633"/>
    <n v="1"/>
    <n v="125691191.52417727"/>
  </r>
  <r>
    <x v="4"/>
    <x v="0"/>
    <s v="Work"/>
    <x v="0"/>
    <n v="47547076180.316536"/>
    <n v="0.28750000000000003"/>
    <n v="13669784401.841005"/>
    <n v="1"/>
    <n v="1"/>
    <n v="1"/>
    <n v="1.7176228100309172E-2"/>
    <n v="1"/>
    <n v="234795334.96806949"/>
  </r>
  <r>
    <x v="4"/>
    <x v="0"/>
    <s v="Work"/>
    <x v="1"/>
    <n v="47547076180.316536"/>
    <n v="0.28750000000000003"/>
    <n v="13669784401.841005"/>
    <n v="3"/>
    <n v="3"/>
    <n v="3"/>
    <n v="5.1528684300927517E-2"/>
    <n v="1"/>
    <n v="704386004.90420842"/>
  </r>
  <r>
    <x v="4"/>
    <x v="0"/>
    <s v="Work"/>
    <x v="2"/>
    <n v="47547076180.316536"/>
    <n v="0.28750000000000003"/>
    <n v="13669784401.841005"/>
    <n v="5"/>
    <n v="5"/>
    <n v="5"/>
    <n v="8.5881140501545869E-2"/>
    <n v="1"/>
    <n v="1173976674.8403475"/>
  </r>
  <r>
    <x v="4"/>
    <x v="0"/>
    <s v="Work"/>
    <x v="3"/>
    <n v="47547076180.316536"/>
    <n v="0.28750000000000003"/>
    <n v="13669784401.841005"/>
    <n v="7"/>
    <n v="7"/>
    <n v="7"/>
    <n v="0.12023359670216421"/>
    <n v="1"/>
    <n v="1643567344.7764864"/>
  </r>
  <r>
    <x v="4"/>
    <x v="0"/>
    <s v="Work"/>
    <x v="4"/>
    <n v="47547076180.316536"/>
    <n v="0.28750000000000003"/>
    <n v="13669784401.841005"/>
    <n v="41.2"/>
    <n v="43.24"/>
    <n v="42.22"/>
    <n v="0.72518035039505324"/>
    <n v="1"/>
    <n v="9913059042.3518944"/>
  </r>
  <r>
    <x v="4"/>
    <x v="0"/>
    <s v="Education"/>
    <x v="0"/>
    <n v="47547076180.316536"/>
    <n v="2.6000000000000002E-2"/>
    <n v="1236223980.68823"/>
    <n v="1"/>
    <n v="1"/>
    <n v="1"/>
    <n v="1.7176228100309172E-2"/>
    <n v="1"/>
    <n v="21233665.07537324"/>
  </r>
  <r>
    <x v="4"/>
    <x v="0"/>
    <s v="Education"/>
    <x v="1"/>
    <n v="47547076180.316536"/>
    <n v="2.6000000000000002E-2"/>
    <n v="1236223980.68823"/>
    <n v="3"/>
    <n v="3"/>
    <n v="3"/>
    <n v="5.1528684300927517E-2"/>
    <n v="1"/>
    <n v="63700995.226119719"/>
  </r>
  <r>
    <x v="4"/>
    <x v="0"/>
    <s v="Education"/>
    <x v="2"/>
    <n v="47547076180.316536"/>
    <n v="2.6000000000000002E-2"/>
    <n v="1236223980.68823"/>
    <n v="5"/>
    <n v="5"/>
    <n v="5"/>
    <n v="8.5881140501545869E-2"/>
    <n v="1"/>
    <n v="106168325.37686621"/>
  </r>
  <r>
    <x v="4"/>
    <x v="0"/>
    <s v="Education"/>
    <x v="3"/>
    <n v="47547076180.316536"/>
    <n v="2.6000000000000002E-2"/>
    <n v="1236223980.68823"/>
    <n v="7"/>
    <n v="7"/>
    <n v="7"/>
    <n v="0.12023359670216421"/>
    <n v="1"/>
    <n v="148635655.52761269"/>
  </r>
  <r>
    <x v="4"/>
    <x v="0"/>
    <s v="Education"/>
    <x v="4"/>
    <n v="47547076180.316536"/>
    <n v="2.6000000000000002E-2"/>
    <n v="1236223980.68823"/>
    <n v="41.2"/>
    <n v="43.24"/>
    <n v="42.22"/>
    <n v="0.72518035039505324"/>
    <n v="1"/>
    <n v="896485339.4822582"/>
  </r>
  <r>
    <x v="4"/>
    <x v="0"/>
    <s v="Shopping"/>
    <x v="0"/>
    <n v="47547076180.316536"/>
    <n v="0.2235"/>
    <n v="10626771526.300747"/>
    <n v="1"/>
    <n v="1"/>
    <n v="1"/>
    <n v="1.7176228100309172E-2"/>
    <n v="1"/>
    <n v="182527851.70561227"/>
  </r>
  <r>
    <x v="4"/>
    <x v="0"/>
    <s v="Shopping"/>
    <x v="1"/>
    <n v="47547076180.316536"/>
    <n v="0.2235"/>
    <n v="10626771526.300747"/>
    <n v="3"/>
    <n v="3"/>
    <n v="3"/>
    <n v="5.1528684300927517E-2"/>
    <n v="1"/>
    <n v="547583555.11683691"/>
  </r>
  <r>
    <x v="4"/>
    <x v="0"/>
    <s v="Shopping"/>
    <x v="2"/>
    <n v="47547076180.316536"/>
    <n v="0.2235"/>
    <n v="10626771526.300747"/>
    <n v="5"/>
    <n v="5"/>
    <n v="5"/>
    <n v="8.5881140501545869E-2"/>
    <n v="1"/>
    <n v="912639258.52806151"/>
  </r>
  <r>
    <x v="4"/>
    <x v="0"/>
    <s v="Shopping"/>
    <x v="3"/>
    <n v="47547076180.316536"/>
    <n v="0.2235"/>
    <n v="10626771526.300747"/>
    <n v="7"/>
    <n v="7"/>
    <n v="7"/>
    <n v="0.12023359670216421"/>
    <n v="1"/>
    <n v="1277694961.939286"/>
  </r>
  <r>
    <x v="4"/>
    <x v="0"/>
    <s v="Shopping"/>
    <x v="4"/>
    <n v="47547076180.316536"/>
    <n v="0.2235"/>
    <n v="10626771526.300747"/>
    <n v="41.2"/>
    <n v="43.24"/>
    <n v="42.22"/>
    <n v="0.72518035039505324"/>
    <n v="1"/>
    <n v="7706325899.0109501"/>
  </r>
  <r>
    <x v="4"/>
    <x v="0"/>
    <s v="To eat or drink"/>
    <x v="0"/>
    <n v="47547076180.316536"/>
    <n v="1.7000000000000001E-2"/>
    <n v="808300295.06538117"/>
    <n v="1"/>
    <n v="1"/>
    <n v="1"/>
    <n v="1.7176228100309172E-2"/>
    <n v="1"/>
    <n v="13883550.241590196"/>
  </r>
  <r>
    <x v="4"/>
    <x v="0"/>
    <s v="To eat or drink"/>
    <x v="1"/>
    <n v="47547076180.316536"/>
    <n v="1.7000000000000001E-2"/>
    <n v="808300295.06538117"/>
    <n v="3"/>
    <n v="3"/>
    <n v="3"/>
    <n v="5.1528684300927517E-2"/>
    <n v="1"/>
    <n v="41650650.724770583"/>
  </r>
  <r>
    <x v="4"/>
    <x v="0"/>
    <s v="To eat or drink"/>
    <x v="2"/>
    <n v="47547076180.316536"/>
    <n v="1.7000000000000001E-2"/>
    <n v="808300295.06538117"/>
    <n v="5"/>
    <n v="5"/>
    <n v="5"/>
    <n v="8.5881140501545869E-2"/>
    <n v="1"/>
    <n v="69417751.207950979"/>
  </r>
  <r>
    <x v="4"/>
    <x v="0"/>
    <s v="To eat or drink"/>
    <x v="3"/>
    <n v="47547076180.316536"/>
    <n v="1.7000000000000001E-2"/>
    <n v="808300295.06538117"/>
    <n v="7"/>
    <n v="7"/>
    <n v="7"/>
    <n v="0.12023359670216421"/>
    <n v="1"/>
    <n v="97184851.691131368"/>
  </r>
  <r>
    <x v="4"/>
    <x v="0"/>
    <s v="To eat or drink"/>
    <x v="4"/>
    <n v="47547076180.316536"/>
    <n v="1.7000000000000001E-2"/>
    <n v="808300295.06538117"/>
    <n v="41.2"/>
    <n v="43.24"/>
    <n v="42.22"/>
    <n v="0.72518035039505324"/>
    <n v="1"/>
    <n v="586163491.19993806"/>
  </r>
  <r>
    <x v="4"/>
    <x v="0"/>
    <s v="Visit family/friends"/>
    <x v="0"/>
    <n v="47547076180.316536"/>
    <n v="9.425E-2"/>
    <n v="4481311929.9948339"/>
    <n v="1"/>
    <n v="1"/>
    <n v="1"/>
    <n v="1.7176228100309172E-2"/>
    <n v="1"/>
    <n v="76972035.898228005"/>
  </r>
  <r>
    <x v="4"/>
    <x v="0"/>
    <s v="Visit family/friends"/>
    <x v="1"/>
    <n v="47547076180.316536"/>
    <n v="9.425E-2"/>
    <n v="4481311929.9948339"/>
    <n v="3"/>
    <n v="3"/>
    <n v="3"/>
    <n v="5.1528684300927517E-2"/>
    <n v="1"/>
    <n v="230916107.694684"/>
  </r>
  <r>
    <x v="4"/>
    <x v="0"/>
    <s v="Visit family/friends"/>
    <x v="2"/>
    <n v="47547076180.316536"/>
    <n v="9.425E-2"/>
    <n v="4481311929.9948339"/>
    <n v="5"/>
    <n v="5"/>
    <n v="5"/>
    <n v="8.5881140501545869E-2"/>
    <n v="1"/>
    <n v="384860179.49114001"/>
  </r>
  <r>
    <x v="4"/>
    <x v="0"/>
    <s v="Visit family/friends"/>
    <x v="3"/>
    <n v="47547076180.316536"/>
    <n v="9.425E-2"/>
    <n v="4481311929.9948339"/>
    <n v="7"/>
    <n v="7"/>
    <n v="7"/>
    <n v="0.12023359670216421"/>
    <n v="1"/>
    <n v="538804251.28759599"/>
  </r>
  <r>
    <x v="4"/>
    <x v="0"/>
    <s v="Visit family/friends"/>
    <x v="4"/>
    <n v="47547076180.316536"/>
    <n v="9.425E-2"/>
    <n v="4481311929.9948339"/>
    <n v="41.2"/>
    <n v="43.24"/>
    <n v="42.22"/>
    <n v="0.72518035039505324"/>
    <n v="1"/>
    <n v="3249759355.6231861"/>
  </r>
  <r>
    <x v="4"/>
    <x v="0"/>
    <s v="Entertainment/leisure/sports"/>
    <x v="0"/>
    <n v="47547076180.316536"/>
    <n v="7.5000000000000011E-2"/>
    <n v="3566030713.5237408"/>
    <n v="1"/>
    <n v="1"/>
    <n v="1"/>
    <n v="1.7176228100309172E-2"/>
    <n v="1"/>
    <n v="61250956.948192045"/>
  </r>
  <r>
    <x v="4"/>
    <x v="0"/>
    <s v="Entertainment/leisure/sports"/>
    <x v="1"/>
    <n v="47547076180.316536"/>
    <n v="7.5000000000000011E-2"/>
    <n v="3566030713.5237408"/>
    <n v="3"/>
    <n v="3"/>
    <n v="3"/>
    <n v="5.1528684300927517E-2"/>
    <n v="1"/>
    <n v="183752870.84457612"/>
  </r>
  <r>
    <x v="4"/>
    <x v="0"/>
    <s v="Entertainment/leisure/sports"/>
    <x v="2"/>
    <n v="47547076180.316536"/>
    <n v="7.5000000000000011E-2"/>
    <n v="3566030713.5237408"/>
    <n v="5"/>
    <n v="5"/>
    <n v="5"/>
    <n v="8.5881140501545869E-2"/>
    <n v="1"/>
    <n v="306254784.74096024"/>
  </r>
  <r>
    <x v="4"/>
    <x v="0"/>
    <s v="Entertainment/leisure/sports"/>
    <x v="3"/>
    <n v="47547076180.316536"/>
    <n v="7.5000000000000011E-2"/>
    <n v="3566030713.5237408"/>
    <n v="7"/>
    <n v="7"/>
    <n v="7"/>
    <n v="0.12023359670216421"/>
    <n v="1"/>
    <n v="428756698.63734436"/>
  </r>
  <r>
    <x v="4"/>
    <x v="0"/>
    <s v="Entertainment/leisure/sports"/>
    <x v="4"/>
    <n v="47547076180.316536"/>
    <n v="7.5000000000000011E-2"/>
    <n v="3566030713.5237408"/>
    <n v="41.2"/>
    <n v="43.24"/>
    <n v="42.22"/>
    <n v="0.72518035039505324"/>
    <n v="1"/>
    <n v="2586015402.3526683"/>
  </r>
  <r>
    <x v="4"/>
    <x v="0"/>
    <s v="Personal Business"/>
    <x v="0"/>
    <n v="47547076180.316536"/>
    <n v="5.9249999999999997E-2"/>
    <n v="2817164263.6837544"/>
    <n v="1"/>
    <n v="1"/>
    <n v="1"/>
    <n v="1.7176228100309172E-2"/>
    <n v="1"/>
    <n v="48388255.989071704"/>
  </r>
  <r>
    <x v="4"/>
    <x v="0"/>
    <s v="Personal Business"/>
    <x v="1"/>
    <n v="47547076180.316536"/>
    <n v="5.9249999999999997E-2"/>
    <n v="2817164263.6837544"/>
    <n v="3"/>
    <n v="3"/>
    <n v="3"/>
    <n v="5.1528684300927517E-2"/>
    <n v="1"/>
    <n v="145164767.96721512"/>
  </r>
  <r>
    <x v="4"/>
    <x v="0"/>
    <s v="Personal Business"/>
    <x v="2"/>
    <n v="47547076180.316536"/>
    <n v="5.9249999999999997E-2"/>
    <n v="2817164263.6837544"/>
    <n v="5"/>
    <n v="5"/>
    <n v="5"/>
    <n v="8.5881140501545869E-2"/>
    <n v="1"/>
    <n v="241941279.94535854"/>
  </r>
  <r>
    <x v="4"/>
    <x v="0"/>
    <s v="Personal Business"/>
    <x v="3"/>
    <n v="47547076180.316536"/>
    <n v="5.9249999999999997E-2"/>
    <n v="2817164263.6837544"/>
    <n v="7"/>
    <n v="7"/>
    <n v="7"/>
    <n v="0.12023359670216421"/>
    <n v="1"/>
    <n v="338717791.92350191"/>
  </r>
  <r>
    <x v="4"/>
    <x v="0"/>
    <s v="Personal Business"/>
    <x v="4"/>
    <n v="47547076180.316536"/>
    <n v="5.9249999999999997E-2"/>
    <n v="2817164263.6837544"/>
    <n v="41.2"/>
    <n v="43.24"/>
    <n v="42.22"/>
    <n v="0.72518035039505324"/>
    <n v="1"/>
    <n v="2042952167.8586073"/>
  </r>
  <r>
    <x v="4"/>
    <x v="0"/>
    <s v="Companion/Escort Journey"/>
    <x v="0"/>
    <n v="47547076180.316536"/>
    <n v="0.183"/>
    <n v="8701114940.9979267"/>
    <n v="1"/>
    <n v="1"/>
    <n v="1"/>
    <n v="1.7176228100309172E-2"/>
    <n v="1"/>
    <n v="149452334.95358858"/>
  </r>
  <r>
    <x v="4"/>
    <x v="0"/>
    <s v="Companion/Escort Journey"/>
    <x v="1"/>
    <n v="47547076180.316536"/>
    <n v="0.183"/>
    <n v="8701114940.9979267"/>
    <n v="3"/>
    <n v="3"/>
    <n v="3"/>
    <n v="5.1528684300927517E-2"/>
    <n v="1"/>
    <n v="448357004.86076576"/>
  </r>
  <r>
    <x v="4"/>
    <x v="0"/>
    <s v="Companion/Escort Journey"/>
    <x v="2"/>
    <n v="47547076180.316536"/>
    <n v="0.183"/>
    <n v="8701114940.9979267"/>
    <n v="5"/>
    <n v="5"/>
    <n v="5"/>
    <n v="8.5881140501545869E-2"/>
    <n v="1"/>
    <n v="747261674.76794291"/>
  </r>
  <r>
    <x v="4"/>
    <x v="0"/>
    <s v="Companion/Escort Journey"/>
    <x v="3"/>
    <n v="47547076180.316536"/>
    <n v="0.183"/>
    <n v="8701114940.9979267"/>
    <n v="7"/>
    <n v="7"/>
    <n v="7"/>
    <n v="0.12023359670216421"/>
    <n v="1"/>
    <n v="1046166344.6751201"/>
  </r>
  <r>
    <x v="4"/>
    <x v="0"/>
    <s v="Companion/Escort Journey"/>
    <x v="4"/>
    <n v="47547076180.316536"/>
    <n v="0.183"/>
    <n v="8701114940.9979267"/>
    <n v="41.2"/>
    <n v="43.24"/>
    <n v="42.22"/>
    <n v="0.72518035039505324"/>
    <n v="1"/>
    <n v="6309877581.740509"/>
  </r>
  <r>
    <x v="4"/>
    <x v="0"/>
    <s v="Other"/>
    <x v="0"/>
    <n v="47547076180.316536"/>
    <n v="3.4500000000000003E-2"/>
    <n v="1640374128.2209206"/>
    <n v="1"/>
    <n v="1"/>
    <n v="1"/>
    <n v="1.7176228100309172E-2"/>
    <n v="1"/>
    <n v="28175440.196168337"/>
  </r>
  <r>
    <x v="4"/>
    <x v="0"/>
    <s v="Other"/>
    <x v="1"/>
    <n v="47547076180.316536"/>
    <n v="3.4500000000000003E-2"/>
    <n v="1640374128.2209206"/>
    <n v="3"/>
    <n v="3"/>
    <n v="3"/>
    <n v="5.1528684300927517E-2"/>
    <n v="1"/>
    <n v="84526320.588505015"/>
  </r>
  <r>
    <x v="4"/>
    <x v="0"/>
    <s v="Other"/>
    <x v="2"/>
    <n v="47547076180.316536"/>
    <n v="3.4500000000000003E-2"/>
    <n v="1640374128.2209206"/>
    <n v="5"/>
    <n v="5"/>
    <n v="5"/>
    <n v="8.5881140501545869E-2"/>
    <n v="1"/>
    <n v="140877200.9808417"/>
  </r>
  <r>
    <x v="4"/>
    <x v="0"/>
    <s v="Other"/>
    <x v="3"/>
    <n v="47547076180.316536"/>
    <n v="3.4500000000000003E-2"/>
    <n v="1640374128.2209206"/>
    <n v="7"/>
    <n v="7"/>
    <n v="7"/>
    <n v="0.12023359670216421"/>
    <n v="1"/>
    <n v="197228081.37317836"/>
  </r>
  <r>
    <x v="4"/>
    <x v="0"/>
    <s v="Other"/>
    <x v="4"/>
    <n v="47547076180.316536"/>
    <n v="3.4500000000000003E-2"/>
    <n v="1640374128.2209206"/>
    <n v="41.2"/>
    <n v="43.24"/>
    <n v="42.22"/>
    <n v="0.72518035039505324"/>
    <n v="1"/>
    <n v="1189567085.0822272"/>
  </r>
  <r>
    <x v="4"/>
    <x v="1"/>
    <s v="Work"/>
    <x v="0"/>
    <n v="6373422709.3424673"/>
    <n v="0.28750000000000003"/>
    <n v="1832359028.9359596"/>
    <n v="1"/>
    <n v="1"/>
    <n v="1"/>
    <n v="1.7176228100309172E-2"/>
    <n v="1"/>
    <n v="31473016.642665058"/>
  </r>
  <r>
    <x v="4"/>
    <x v="1"/>
    <s v="Work"/>
    <x v="1"/>
    <n v="6373422709.3424673"/>
    <n v="0.28750000000000003"/>
    <n v="1832359028.9359596"/>
    <n v="3"/>
    <n v="3"/>
    <n v="3"/>
    <n v="5.1528684300927517E-2"/>
    <n v="1"/>
    <n v="94419049.927995175"/>
  </r>
  <r>
    <x v="4"/>
    <x v="1"/>
    <s v="Work"/>
    <x v="2"/>
    <n v="6373422709.3424673"/>
    <n v="0.28750000000000003"/>
    <n v="1832359028.9359596"/>
    <n v="5"/>
    <n v="5"/>
    <n v="5"/>
    <n v="8.5881140501545869E-2"/>
    <n v="1"/>
    <n v="157365083.21332529"/>
  </r>
  <r>
    <x v="4"/>
    <x v="1"/>
    <s v="Work"/>
    <x v="3"/>
    <n v="6373422709.3424673"/>
    <n v="0.28750000000000003"/>
    <n v="1832359028.9359596"/>
    <n v="7"/>
    <n v="7"/>
    <n v="7"/>
    <n v="0.12023359670216421"/>
    <n v="1"/>
    <n v="220311116.49865541"/>
  </r>
  <r>
    <x v="4"/>
    <x v="1"/>
    <s v="Work"/>
    <x v="4"/>
    <n v="6373422709.3424673"/>
    <n v="0.28750000000000003"/>
    <n v="1832359028.9359596"/>
    <n v="41.2"/>
    <n v="43.24"/>
    <n v="42.22"/>
    <n v="0.72518035039505324"/>
    <n v="1"/>
    <n v="1328790762.6533186"/>
  </r>
  <r>
    <x v="4"/>
    <x v="1"/>
    <s v="Education"/>
    <x v="0"/>
    <n v="6373422709.3424673"/>
    <n v="2.6000000000000002E-2"/>
    <n v="165708990.44290417"/>
    <n v="1"/>
    <n v="1"/>
    <n v="1"/>
    <n v="1.7176228100309172E-2"/>
    <n v="1"/>
    <n v="2846255.4181192745"/>
  </r>
  <r>
    <x v="4"/>
    <x v="1"/>
    <s v="Education"/>
    <x v="1"/>
    <n v="6373422709.3424673"/>
    <n v="2.6000000000000002E-2"/>
    <n v="165708990.44290417"/>
    <n v="3"/>
    <n v="3"/>
    <n v="3"/>
    <n v="5.1528684300927517E-2"/>
    <n v="1"/>
    <n v="8538766.2543578241"/>
  </r>
  <r>
    <x v="4"/>
    <x v="1"/>
    <s v="Education"/>
    <x v="2"/>
    <n v="6373422709.3424673"/>
    <n v="2.6000000000000002E-2"/>
    <n v="165708990.44290417"/>
    <n v="5"/>
    <n v="5"/>
    <n v="5"/>
    <n v="8.5881140501545869E-2"/>
    <n v="1"/>
    <n v="14231277.090596374"/>
  </r>
  <r>
    <x v="4"/>
    <x v="1"/>
    <s v="Education"/>
    <x v="3"/>
    <n v="6373422709.3424673"/>
    <n v="2.6000000000000002E-2"/>
    <n v="165708990.44290417"/>
    <n v="7"/>
    <n v="7"/>
    <n v="7"/>
    <n v="0.12023359670216421"/>
    <n v="1"/>
    <n v="19923787.926834926"/>
  </r>
  <r>
    <x v="4"/>
    <x v="1"/>
    <s v="Education"/>
    <x v="4"/>
    <n v="6373422709.3424673"/>
    <n v="2.6000000000000002E-2"/>
    <n v="165708990.44290417"/>
    <n v="41.2"/>
    <n v="43.24"/>
    <n v="42.22"/>
    <n v="0.72518035039505324"/>
    <n v="1"/>
    <n v="120168903.75299577"/>
  </r>
  <r>
    <x v="4"/>
    <x v="1"/>
    <s v="Shopping"/>
    <x v="0"/>
    <n v="6373422709.3424673"/>
    <n v="0.2235"/>
    <n v="1424459975.5380414"/>
    <n v="1"/>
    <n v="1"/>
    <n v="1"/>
    <n v="1.7176228100309172E-2"/>
    <n v="1"/>
    <n v="24466849.459602222"/>
  </r>
  <r>
    <x v="4"/>
    <x v="1"/>
    <s v="Shopping"/>
    <x v="1"/>
    <n v="6373422709.3424673"/>
    <n v="0.2235"/>
    <n v="1424459975.5380414"/>
    <n v="3"/>
    <n v="3"/>
    <n v="3"/>
    <n v="5.1528684300927517E-2"/>
    <n v="1"/>
    <n v="73400548.378806666"/>
  </r>
  <r>
    <x v="4"/>
    <x v="1"/>
    <s v="Shopping"/>
    <x v="2"/>
    <n v="6373422709.3424673"/>
    <n v="0.2235"/>
    <n v="1424459975.5380414"/>
    <n v="5"/>
    <n v="5"/>
    <n v="5"/>
    <n v="8.5881140501545869E-2"/>
    <n v="1"/>
    <n v="122334247.29801112"/>
  </r>
  <r>
    <x v="4"/>
    <x v="1"/>
    <s v="Shopping"/>
    <x v="3"/>
    <n v="6373422709.3424673"/>
    <n v="0.2235"/>
    <n v="1424459975.5380414"/>
    <n v="7"/>
    <n v="7"/>
    <n v="7"/>
    <n v="0.12023359670216421"/>
    <n v="1"/>
    <n v="171267946.21721557"/>
  </r>
  <r>
    <x v="4"/>
    <x v="1"/>
    <s v="Shopping"/>
    <x v="4"/>
    <n v="6373422709.3424673"/>
    <n v="0.2235"/>
    <n v="1424459975.5380414"/>
    <n v="41.2"/>
    <n v="43.24"/>
    <n v="42.22"/>
    <n v="0.72518035039505324"/>
    <n v="1"/>
    <n v="1032990384.1844058"/>
  </r>
  <r>
    <x v="4"/>
    <x v="1"/>
    <s v="To eat or drink"/>
    <x v="0"/>
    <n v="6373422709.3424673"/>
    <n v="1.7000000000000001E-2"/>
    <n v="108348186.05882195"/>
    <n v="1"/>
    <n v="1"/>
    <n v="1"/>
    <n v="1.7176228100309172E-2"/>
    <n v="1"/>
    <n v="1861013.1580010641"/>
  </r>
  <r>
    <x v="4"/>
    <x v="1"/>
    <s v="To eat or drink"/>
    <x v="1"/>
    <n v="6373422709.3424673"/>
    <n v="1.7000000000000001E-2"/>
    <n v="108348186.05882195"/>
    <n v="3"/>
    <n v="3"/>
    <n v="3"/>
    <n v="5.1528684300927517E-2"/>
    <n v="1"/>
    <n v="5583039.474003192"/>
  </r>
  <r>
    <x v="4"/>
    <x v="1"/>
    <s v="To eat or drink"/>
    <x v="2"/>
    <n v="6373422709.3424673"/>
    <n v="1.7000000000000001E-2"/>
    <n v="108348186.05882195"/>
    <n v="5"/>
    <n v="5"/>
    <n v="5"/>
    <n v="8.5881140501545869E-2"/>
    <n v="1"/>
    <n v="9305065.7900053207"/>
  </r>
  <r>
    <x v="4"/>
    <x v="1"/>
    <s v="To eat or drink"/>
    <x v="3"/>
    <n v="6373422709.3424673"/>
    <n v="1.7000000000000001E-2"/>
    <n v="108348186.05882195"/>
    <n v="7"/>
    <n v="7"/>
    <n v="7"/>
    <n v="0.12023359670216421"/>
    <n v="1"/>
    <n v="13027092.106007449"/>
  </r>
  <r>
    <x v="4"/>
    <x v="1"/>
    <s v="To eat or drink"/>
    <x v="4"/>
    <n v="6373422709.3424673"/>
    <n v="1.7000000000000001E-2"/>
    <n v="108348186.05882195"/>
    <n v="41.2"/>
    <n v="43.24"/>
    <n v="42.22"/>
    <n v="0.72518035039505324"/>
    <n v="1"/>
    <n v="78571975.530804917"/>
  </r>
  <r>
    <x v="4"/>
    <x v="1"/>
    <s v="Visit family/friends"/>
    <x v="0"/>
    <n v="6373422709.3424673"/>
    <n v="9.425E-2"/>
    <n v="600695090.35552752"/>
    <n v="1"/>
    <n v="1"/>
    <n v="1"/>
    <n v="1.7176228100309172E-2"/>
    <n v="1"/>
    <n v="10317675.890682369"/>
  </r>
  <r>
    <x v="4"/>
    <x v="1"/>
    <s v="Visit family/friends"/>
    <x v="1"/>
    <n v="6373422709.3424673"/>
    <n v="9.425E-2"/>
    <n v="600695090.35552752"/>
    <n v="3"/>
    <n v="3"/>
    <n v="3"/>
    <n v="5.1528684300927517E-2"/>
    <n v="1"/>
    <n v="30953027.672047108"/>
  </r>
  <r>
    <x v="4"/>
    <x v="1"/>
    <s v="Visit family/friends"/>
    <x v="2"/>
    <n v="6373422709.3424673"/>
    <n v="9.425E-2"/>
    <n v="600695090.35552752"/>
    <n v="5"/>
    <n v="5"/>
    <n v="5"/>
    <n v="8.5881140501545869E-2"/>
    <n v="1"/>
    <n v="51588379.453411847"/>
  </r>
  <r>
    <x v="4"/>
    <x v="1"/>
    <s v="Visit family/friends"/>
    <x v="3"/>
    <n v="6373422709.3424673"/>
    <n v="9.425E-2"/>
    <n v="600695090.35552752"/>
    <n v="7"/>
    <n v="7"/>
    <n v="7"/>
    <n v="0.12023359670216421"/>
    <n v="1"/>
    <n v="72223731.234776586"/>
  </r>
  <r>
    <x v="4"/>
    <x v="1"/>
    <s v="Visit family/friends"/>
    <x v="4"/>
    <n v="6373422709.3424673"/>
    <n v="9.425E-2"/>
    <n v="600695090.35552752"/>
    <n v="41.2"/>
    <n v="43.24"/>
    <n v="42.22"/>
    <n v="0.72518035039505324"/>
    <n v="1"/>
    <n v="435612276.10460961"/>
  </r>
  <r>
    <x v="4"/>
    <x v="1"/>
    <s v="Entertainment/leisure/sports"/>
    <x v="0"/>
    <n v="6373422709.3424673"/>
    <n v="7.5000000000000011E-2"/>
    <n v="478006703.20068514"/>
    <n v="1"/>
    <n v="1"/>
    <n v="1"/>
    <n v="1.7176228100309172E-2"/>
    <n v="1"/>
    <n v="8210352.1676517548"/>
  </r>
  <r>
    <x v="4"/>
    <x v="1"/>
    <s v="Entertainment/leisure/sports"/>
    <x v="1"/>
    <n v="6373422709.3424673"/>
    <n v="7.5000000000000011E-2"/>
    <n v="478006703.20068514"/>
    <n v="3"/>
    <n v="3"/>
    <n v="3"/>
    <n v="5.1528684300927517E-2"/>
    <n v="1"/>
    <n v="24631056.502955265"/>
  </r>
  <r>
    <x v="4"/>
    <x v="1"/>
    <s v="Entertainment/leisure/sports"/>
    <x v="2"/>
    <n v="6373422709.3424673"/>
    <n v="7.5000000000000011E-2"/>
    <n v="478006703.20068514"/>
    <n v="5"/>
    <n v="5"/>
    <n v="5"/>
    <n v="8.5881140501545869E-2"/>
    <n v="1"/>
    <n v="41051760.838258773"/>
  </r>
  <r>
    <x v="4"/>
    <x v="1"/>
    <s v="Entertainment/leisure/sports"/>
    <x v="3"/>
    <n v="6373422709.3424673"/>
    <n v="7.5000000000000011E-2"/>
    <n v="478006703.20068514"/>
    <n v="7"/>
    <n v="7"/>
    <n v="7"/>
    <n v="0.12023359670216421"/>
    <n v="1"/>
    <n v="57472465.173562288"/>
  </r>
  <r>
    <x v="4"/>
    <x v="1"/>
    <s v="Entertainment/leisure/sports"/>
    <x v="4"/>
    <n v="6373422709.3424673"/>
    <n v="7.5000000000000011E-2"/>
    <n v="478006703.20068514"/>
    <n v="41.2"/>
    <n v="43.24"/>
    <n v="42.22"/>
    <n v="0.72518035039505324"/>
    <n v="1"/>
    <n v="346641068.51825708"/>
  </r>
  <r>
    <x v="4"/>
    <x v="1"/>
    <s v="Personal Business"/>
    <x v="0"/>
    <n v="6373422709.3424673"/>
    <n v="5.9249999999999997E-2"/>
    <n v="377625295.52854115"/>
    <n v="1"/>
    <n v="1"/>
    <n v="1"/>
    <n v="1.7176228100309172E-2"/>
    <n v="1"/>
    <n v="6486178.2124448838"/>
  </r>
  <r>
    <x v="4"/>
    <x v="1"/>
    <s v="Personal Business"/>
    <x v="1"/>
    <n v="6373422709.3424673"/>
    <n v="5.9249999999999997E-2"/>
    <n v="377625295.52854115"/>
    <n v="3"/>
    <n v="3"/>
    <n v="3"/>
    <n v="5.1528684300927517E-2"/>
    <n v="1"/>
    <n v="19458534.637334652"/>
  </r>
  <r>
    <x v="4"/>
    <x v="1"/>
    <s v="Personal Business"/>
    <x v="2"/>
    <n v="6373422709.3424673"/>
    <n v="5.9249999999999997E-2"/>
    <n v="377625295.52854115"/>
    <n v="5"/>
    <n v="5"/>
    <n v="5"/>
    <n v="8.5881140501545869E-2"/>
    <n v="1"/>
    <n v="32430891.062224422"/>
  </r>
  <r>
    <x v="4"/>
    <x v="1"/>
    <s v="Personal Business"/>
    <x v="3"/>
    <n v="6373422709.3424673"/>
    <n v="5.9249999999999997E-2"/>
    <n v="377625295.52854115"/>
    <n v="7"/>
    <n v="7"/>
    <n v="7"/>
    <n v="0.12023359670216421"/>
    <n v="1"/>
    <n v="45403247.487114191"/>
  </r>
  <r>
    <x v="4"/>
    <x v="1"/>
    <s v="Personal Business"/>
    <x v="4"/>
    <n v="6373422709.3424673"/>
    <n v="5.9249999999999997E-2"/>
    <n v="377625295.52854115"/>
    <n v="41.2"/>
    <n v="43.24"/>
    <n v="42.22"/>
    <n v="0.72518035039505324"/>
    <n v="1"/>
    <n v="273846444.12942302"/>
  </r>
  <r>
    <x v="4"/>
    <x v="1"/>
    <s v="Companion/Escort Journey"/>
    <x v="0"/>
    <n v="6373422709.3424673"/>
    <n v="0.183"/>
    <n v="1166336355.8096714"/>
    <n v="1"/>
    <n v="1"/>
    <n v="1"/>
    <n v="1.7176228100309172E-2"/>
    <n v="1"/>
    <n v="20033259.289070275"/>
  </r>
  <r>
    <x v="4"/>
    <x v="1"/>
    <s v="Companion/Escort Journey"/>
    <x v="1"/>
    <n v="6373422709.3424673"/>
    <n v="0.183"/>
    <n v="1166336355.8096714"/>
    <n v="3"/>
    <n v="3"/>
    <n v="3"/>
    <n v="5.1528684300927517E-2"/>
    <n v="1"/>
    <n v="60099777.867210828"/>
  </r>
  <r>
    <x v="4"/>
    <x v="1"/>
    <s v="Companion/Escort Journey"/>
    <x v="2"/>
    <n v="6373422709.3424673"/>
    <n v="0.183"/>
    <n v="1166336355.8096714"/>
    <n v="5"/>
    <n v="5"/>
    <n v="5"/>
    <n v="8.5881140501545869E-2"/>
    <n v="1"/>
    <n v="100166296.44535138"/>
  </r>
  <r>
    <x v="4"/>
    <x v="1"/>
    <s v="Companion/Escort Journey"/>
    <x v="3"/>
    <n v="6373422709.3424673"/>
    <n v="0.183"/>
    <n v="1166336355.8096714"/>
    <n v="7"/>
    <n v="7"/>
    <n v="7"/>
    <n v="0.12023359670216421"/>
    <n v="1"/>
    <n v="140232815.02349195"/>
  </r>
  <r>
    <x v="4"/>
    <x v="1"/>
    <s v="Companion/Escort Journey"/>
    <x v="4"/>
    <n v="6373422709.3424673"/>
    <n v="0.183"/>
    <n v="1166336355.8096714"/>
    <n v="41.2"/>
    <n v="43.24"/>
    <n v="42.22"/>
    <n v="0.72518035039505324"/>
    <n v="1"/>
    <n v="845804207.18454695"/>
  </r>
  <r>
    <x v="4"/>
    <x v="1"/>
    <s v="Other"/>
    <x v="0"/>
    <n v="6373422709.3424673"/>
    <n v="3.4500000000000003E-2"/>
    <n v="219883083.47231513"/>
    <n v="1"/>
    <n v="1"/>
    <n v="1"/>
    <n v="1.7176228100309172E-2"/>
    <n v="1"/>
    <n v="3776761.9971198067"/>
  </r>
  <r>
    <x v="4"/>
    <x v="1"/>
    <s v="Other"/>
    <x v="1"/>
    <n v="6373422709.3424673"/>
    <n v="3.4500000000000003E-2"/>
    <n v="219883083.47231513"/>
    <n v="3"/>
    <n v="3"/>
    <n v="3"/>
    <n v="5.1528684300927517E-2"/>
    <n v="1"/>
    <n v="11330285.99135942"/>
  </r>
  <r>
    <x v="4"/>
    <x v="1"/>
    <s v="Other"/>
    <x v="2"/>
    <n v="6373422709.3424673"/>
    <n v="3.4500000000000003E-2"/>
    <n v="219883083.47231513"/>
    <n v="5"/>
    <n v="5"/>
    <n v="5"/>
    <n v="8.5881140501545869E-2"/>
    <n v="1"/>
    <n v="18883809.985599034"/>
  </r>
  <r>
    <x v="4"/>
    <x v="1"/>
    <s v="Other"/>
    <x v="3"/>
    <n v="6373422709.3424673"/>
    <n v="3.4500000000000003E-2"/>
    <n v="219883083.47231513"/>
    <n v="7"/>
    <n v="7"/>
    <n v="7"/>
    <n v="0.12023359670216421"/>
    <n v="1"/>
    <n v="26437333.979838647"/>
  </r>
  <r>
    <x v="4"/>
    <x v="1"/>
    <s v="Other"/>
    <x v="4"/>
    <n v="6373422709.3424673"/>
    <n v="3.4500000000000003E-2"/>
    <n v="219883083.47231513"/>
    <n v="41.2"/>
    <n v="43.24"/>
    <n v="42.22"/>
    <n v="0.72518035039505324"/>
    <n v="1"/>
    <n v="159454891.51839823"/>
  </r>
  <r>
    <x v="4"/>
    <x v="2"/>
    <s v="Work"/>
    <x v="0"/>
    <n v="140095535.3435244"/>
    <n v="0.18525"/>
    <n v="25952697.922387894"/>
    <n v="1"/>
    <n v="1"/>
    <n v="1"/>
    <n v="1.7176228100309172E-2"/>
    <n v="1"/>
    <n v="445769.45933335443"/>
  </r>
  <r>
    <x v="4"/>
    <x v="2"/>
    <s v="Work"/>
    <x v="1"/>
    <n v="140095535.3435244"/>
    <n v="0.18525"/>
    <n v="25952697.922387894"/>
    <n v="3"/>
    <n v="3"/>
    <n v="3"/>
    <n v="5.1528684300927517E-2"/>
    <n v="1"/>
    <n v="1337308.3780000634"/>
  </r>
  <r>
    <x v="4"/>
    <x v="2"/>
    <s v="Work"/>
    <x v="2"/>
    <n v="140095535.3435244"/>
    <n v="0.18525"/>
    <n v="25952697.922387894"/>
    <n v="5"/>
    <n v="5"/>
    <n v="5"/>
    <n v="8.5881140501545869E-2"/>
    <n v="1"/>
    <n v="2228847.2966667721"/>
  </r>
  <r>
    <x v="4"/>
    <x v="2"/>
    <s v="Work"/>
    <x v="3"/>
    <n v="140095535.3435244"/>
    <n v="0.18525"/>
    <n v="25952697.922387894"/>
    <n v="7"/>
    <n v="7"/>
    <n v="7"/>
    <n v="0.12023359670216421"/>
    <n v="1"/>
    <n v="3120386.2153334813"/>
  </r>
  <r>
    <x v="4"/>
    <x v="2"/>
    <s v="Work"/>
    <x v="4"/>
    <n v="140095535.3435244"/>
    <n v="0.18525"/>
    <n v="25952697.922387894"/>
    <n v="41.2"/>
    <n v="43.24"/>
    <n v="42.22"/>
    <n v="0.72518035039505324"/>
    <n v="1"/>
    <n v="18820386.573054224"/>
  </r>
  <r>
    <x v="4"/>
    <x v="2"/>
    <s v="Education"/>
    <x v="0"/>
    <n v="140095535.3435244"/>
    <n v="0.10099999999999999"/>
    <n v="14149649.069695963"/>
    <n v="1"/>
    <n v="1"/>
    <n v="1"/>
    <n v="1.7176228100309172E-2"/>
    <n v="1"/>
    <n v="243037.59996042534"/>
  </r>
  <r>
    <x v="4"/>
    <x v="2"/>
    <s v="Education"/>
    <x v="1"/>
    <n v="140095535.3435244"/>
    <n v="0.10099999999999999"/>
    <n v="14149649.069695963"/>
    <n v="3"/>
    <n v="3"/>
    <n v="3"/>
    <n v="5.1528684300927517E-2"/>
    <n v="1"/>
    <n v="729112.79988127598"/>
  </r>
  <r>
    <x v="4"/>
    <x v="2"/>
    <s v="Education"/>
    <x v="2"/>
    <n v="140095535.3435244"/>
    <n v="0.10099999999999999"/>
    <n v="14149649.069695963"/>
    <n v="5"/>
    <n v="5"/>
    <n v="5"/>
    <n v="8.5881140501545869E-2"/>
    <n v="1"/>
    <n v="1215187.9998021268"/>
  </r>
  <r>
    <x v="4"/>
    <x v="2"/>
    <s v="Education"/>
    <x v="3"/>
    <n v="140095535.3435244"/>
    <n v="0.10099999999999999"/>
    <n v="14149649.069695963"/>
    <n v="7"/>
    <n v="7"/>
    <n v="7"/>
    <n v="0.12023359670216421"/>
    <n v="1"/>
    <n v="1701263.1997229774"/>
  </r>
  <r>
    <x v="4"/>
    <x v="2"/>
    <s v="Education"/>
    <x v="4"/>
    <n v="140095535.3435244"/>
    <n v="0.10099999999999999"/>
    <n v="14149649.069695963"/>
    <n v="41.2"/>
    <n v="43.24"/>
    <n v="42.22"/>
    <n v="0.72518035039505324"/>
    <n v="1"/>
    <n v="10261047.470329158"/>
  </r>
  <r>
    <x v="4"/>
    <x v="2"/>
    <s v="Shopping"/>
    <x v="0"/>
    <n v="140095535.3435244"/>
    <n v="0.24650000000000002"/>
    <n v="34533549.462178767"/>
    <n v="1"/>
    <n v="1"/>
    <n v="1"/>
    <n v="1.7176228100309172E-2"/>
    <n v="1"/>
    <n v="593156.12267569161"/>
  </r>
  <r>
    <x v="4"/>
    <x v="2"/>
    <s v="Shopping"/>
    <x v="1"/>
    <n v="140095535.3435244"/>
    <n v="0.24650000000000002"/>
    <n v="34533549.462178767"/>
    <n v="3"/>
    <n v="3"/>
    <n v="3"/>
    <n v="5.1528684300927517E-2"/>
    <n v="1"/>
    <n v="1779468.368027075"/>
  </r>
  <r>
    <x v="4"/>
    <x v="2"/>
    <s v="Shopping"/>
    <x v="2"/>
    <n v="140095535.3435244"/>
    <n v="0.24650000000000002"/>
    <n v="34533549.462178767"/>
    <n v="5"/>
    <n v="5"/>
    <n v="5"/>
    <n v="8.5881140501545869E-2"/>
    <n v="1"/>
    <n v="2965780.6133784587"/>
  </r>
  <r>
    <x v="4"/>
    <x v="2"/>
    <s v="Shopping"/>
    <x v="3"/>
    <n v="140095535.3435244"/>
    <n v="0.24650000000000002"/>
    <n v="34533549.462178767"/>
    <n v="7"/>
    <n v="7"/>
    <n v="7"/>
    <n v="0.12023359670216421"/>
    <n v="1"/>
    <n v="4152092.8587298417"/>
  </r>
  <r>
    <x v="4"/>
    <x v="2"/>
    <s v="Shopping"/>
    <x v="4"/>
    <n v="140095535.3435244"/>
    <n v="0.24650000000000002"/>
    <n v="34533549.462178767"/>
    <n v="41.2"/>
    <n v="43.24"/>
    <n v="42.22"/>
    <n v="0.72518035039505324"/>
    <n v="1"/>
    <n v="25043051.499367699"/>
  </r>
  <r>
    <x v="4"/>
    <x v="2"/>
    <s v="To eat or drink"/>
    <x v="0"/>
    <n v="140095535.3435244"/>
    <n v="3.95E-2"/>
    <n v="5533773.6460692137"/>
    <n v="1"/>
    <n v="1"/>
    <n v="1"/>
    <n v="1.7176228100309172E-2"/>
    <n v="1"/>
    <n v="95049.358400364377"/>
  </r>
  <r>
    <x v="4"/>
    <x v="2"/>
    <s v="To eat or drink"/>
    <x v="1"/>
    <n v="140095535.3435244"/>
    <n v="3.95E-2"/>
    <n v="5533773.6460692137"/>
    <n v="3"/>
    <n v="3"/>
    <n v="3"/>
    <n v="5.1528684300927517E-2"/>
    <n v="1"/>
    <n v="285148.0752010931"/>
  </r>
  <r>
    <x v="4"/>
    <x v="2"/>
    <s v="To eat or drink"/>
    <x v="2"/>
    <n v="140095535.3435244"/>
    <n v="3.95E-2"/>
    <n v="5533773.6460692137"/>
    <n v="5"/>
    <n v="5"/>
    <n v="5"/>
    <n v="8.5881140501545869E-2"/>
    <n v="1"/>
    <n v="475246.79200182192"/>
  </r>
  <r>
    <x v="4"/>
    <x v="2"/>
    <s v="To eat or drink"/>
    <x v="3"/>
    <n v="140095535.3435244"/>
    <n v="3.95E-2"/>
    <n v="5533773.6460692137"/>
    <n v="7"/>
    <n v="7"/>
    <n v="7"/>
    <n v="0.12023359670216421"/>
    <n v="1"/>
    <n v="665345.50880255061"/>
  </r>
  <r>
    <x v="4"/>
    <x v="2"/>
    <s v="To eat or drink"/>
    <x v="4"/>
    <n v="140095535.3435244"/>
    <n v="3.95E-2"/>
    <n v="5533773.6460692137"/>
    <n v="41.2"/>
    <n v="43.24"/>
    <n v="42.22"/>
    <n v="0.72518035039505324"/>
    <n v="1"/>
    <n v="4012983.9116633837"/>
  </r>
  <r>
    <x v="4"/>
    <x v="2"/>
    <s v="Visit family/friends"/>
    <x v="0"/>
    <n v="140095535.3435244"/>
    <n v="6.8250000000000005E-2"/>
    <n v="9561520.287195541"/>
    <n v="1"/>
    <n v="1"/>
    <n v="1"/>
    <n v="1.7176228100309172E-2"/>
    <n v="1"/>
    <n v="164230.85343860427"/>
  </r>
  <r>
    <x v="4"/>
    <x v="2"/>
    <s v="Visit family/friends"/>
    <x v="1"/>
    <n v="140095535.3435244"/>
    <n v="6.8250000000000005E-2"/>
    <n v="9561520.287195541"/>
    <n v="3"/>
    <n v="3"/>
    <n v="3"/>
    <n v="5.1528684300927517E-2"/>
    <n v="1"/>
    <n v="492692.56031581282"/>
  </r>
  <r>
    <x v="4"/>
    <x v="2"/>
    <s v="Visit family/friends"/>
    <x v="2"/>
    <n v="140095535.3435244"/>
    <n v="6.8250000000000005E-2"/>
    <n v="9561520.287195541"/>
    <n v="5"/>
    <n v="5"/>
    <n v="5"/>
    <n v="8.5881140501545869E-2"/>
    <n v="1"/>
    <n v="821154.26719302149"/>
  </r>
  <r>
    <x v="4"/>
    <x v="2"/>
    <s v="Visit family/friends"/>
    <x v="3"/>
    <n v="140095535.3435244"/>
    <n v="6.8250000000000005E-2"/>
    <n v="9561520.287195541"/>
    <n v="7"/>
    <n v="7"/>
    <n v="7"/>
    <n v="0.12023359670216421"/>
    <n v="1"/>
    <n v="1149615.97407023"/>
  </r>
  <r>
    <x v="4"/>
    <x v="2"/>
    <s v="Visit family/friends"/>
    <x v="4"/>
    <n v="140095535.3435244"/>
    <n v="6.8250000000000005E-2"/>
    <n v="9561520.287195541"/>
    <n v="41.2"/>
    <n v="43.24"/>
    <n v="42.22"/>
    <n v="0.72518035039505324"/>
    <n v="1"/>
    <n v="6933826.6321778726"/>
  </r>
  <r>
    <x v="4"/>
    <x v="2"/>
    <s v="Entertainment/leisure/sports"/>
    <x v="0"/>
    <n v="140095535.3435244"/>
    <n v="0.185"/>
    <n v="25917674.038552012"/>
    <n v="1"/>
    <n v="1"/>
    <n v="1"/>
    <n v="1.7176228100309172E-2"/>
    <n v="1"/>
    <n v="445167.88111563056"/>
  </r>
  <r>
    <x v="4"/>
    <x v="2"/>
    <s v="Entertainment/leisure/sports"/>
    <x v="1"/>
    <n v="140095535.3435244"/>
    <n v="0.185"/>
    <n v="25917674.038552012"/>
    <n v="3"/>
    <n v="3"/>
    <n v="3"/>
    <n v="5.1528684300927517E-2"/>
    <n v="1"/>
    <n v="1335503.6433468917"/>
  </r>
  <r>
    <x v="4"/>
    <x v="2"/>
    <s v="Entertainment/leisure/sports"/>
    <x v="2"/>
    <n v="140095535.3435244"/>
    <n v="0.185"/>
    <n v="25917674.038552012"/>
    <n v="5"/>
    <n v="5"/>
    <n v="5"/>
    <n v="8.5881140501545869E-2"/>
    <n v="1"/>
    <n v="2225839.4055781532"/>
  </r>
  <r>
    <x v="4"/>
    <x v="2"/>
    <s v="Entertainment/leisure/sports"/>
    <x v="3"/>
    <n v="140095535.3435244"/>
    <n v="0.185"/>
    <n v="25917674.038552012"/>
    <n v="7"/>
    <n v="7"/>
    <n v="7"/>
    <n v="0.12023359670216421"/>
    <n v="1"/>
    <n v="3116175.1678094142"/>
  </r>
  <r>
    <x v="4"/>
    <x v="2"/>
    <s v="Entertainment/leisure/sports"/>
    <x v="4"/>
    <n v="140095535.3435244"/>
    <n v="0.185"/>
    <n v="25917674.038552012"/>
    <n v="41.2"/>
    <n v="43.24"/>
    <n v="42.22"/>
    <n v="0.72518035039505324"/>
    <n v="1"/>
    <n v="18794987.940701924"/>
  </r>
  <r>
    <x v="4"/>
    <x v="2"/>
    <s v="Personal Business"/>
    <x v="0"/>
    <n v="140095535.3435244"/>
    <n v="4.2249999999999996E-2"/>
    <n v="5919036.3682639049"/>
    <n v="1"/>
    <n v="1"/>
    <n v="1"/>
    <n v="1.7176228100309172E-2"/>
    <n v="1"/>
    <n v="101666.71879532644"/>
  </r>
  <r>
    <x v="4"/>
    <x v="2"/>
    <s v="Personal Business"/>
    <x v="1"/>
    <n v="140095535.3435244"/>
    <n v="4.2249999999999996E-2"/>
    <n v="5919036.3682639049"/>
    <n v="3"/>
    <n v="3"/>
    <n v="3"/>
    <n v="5.1528684300927517E-2"/>
    <n v="1"/>
    <n v="305000.15638597932"/>
  </r>
  <r>
    <x v="4"/>
    <x v="2"/>
    <s v="Personal Business"/>
    <x v="2"/>
    <n v="140095535.3435244"/>
    <n v="4.2249999999999996E-2"/>
    <n v="5919036.3682639049"/>
    <n v="5"/>
    <n v="5"/>
    <n v="5"/>
    <n v="8.5881140501545869E-2"/>
    <n v="1"/>
    <n v="508333.59397663223"/>
  </r>
  <r>
    <x v="4"/>
    <x v="2"/>
    <s v="Personal Business"/>
    <x v="3"/>
    <n v="140095535.3435244"/>
    <n v="4.2249999999999996E-2"/>
    <n v="5919036.3682639049"/>
    <n v="7"/>
    <n v="7"/>
    <n v="7"/>
    <n v="0.12023359670216421"/>
    <n v="1"/>
    <n v="711667.03156728507"/>
  </r>
  <r>
    <x v="4"/>
    <x v="2"/>
    <s v="Personal Business"/>
    <x v="4"/>
    <n v="140095535.3435244"/>
    <n v="4.2249999999999996E-2"/>
    <n v="5919036.3682639049"/>
    <n v="41.2"/>
    <n v="43.24"/>
    <n v="42.22"/>
    <n v="0.72518035039505324"/>
    <n v="1"/>
    <n v="4292368.8675386822"/>
  </r>
  <r>
    <x v="4"/>
    <x v="2"/>
    <s v="Companion/Escort Journey"/>
    <x v="0"/>
    <n v="140095535.3435244"/>
    <n v="7.5499999999999998E-2"/>
    <n v="10577212.918436091"/>
    <n v="1"/>
    <n v="1"/>
    <n v="1"/>
    <n v="1.7176228100309172E-2"/>
    <n v="1"/>
    <n v="181676.62175259518"/>
  </r>
  <r>
    <x v="4"/>
    <x v="2"/>
    <s v="Companion/Escort Journey"/>
    <x v="1"/>
    <n v="140095535.3435244"/>
    <n v="7.5499999999999998E-2"/>
    <n v="10577212.918436091"/>
    <n v="3"/>
    <n v="3"/>
    <n v="3"/>
    <n v="5.1528684300927517E-2"/>
    <n v="1"/>
    <n v="545029.86525778554"/>
  </r>
  <r>
    <x v="4"/>
    <x v="2"/>
    <s v="Companion/Escort Journey"/>
    <x v="2"/>
    <n v="140095535.3435244"/>
    <n v="7.5499999999999998E-2"/>
    <n v="10577212.918436091"/>
    <n v="5"/>
    <n v="5"/>
    <n v="5"/>
    <n v="8.5881140501545869E-2"/>
    <n v="1"/>
    <n v="908383.10876297601"/>
  </r>
  <r>
    <x v="4"/>
    <x v="2"/>
    <s v="Companion/Escort Journey"/>
    <x v="3"/>
    <n v="140095535.3435244"/>
    <n v="7.5499999999999998E-2"/>
    <n v="10577212.918436091"/>
    <n v="7"/>
    <n v="7"/>
    <n v="7"/>
    <n v="0.12023359670216421"/>
    <n v="1"/>
    <n v="1271736.3522681664"/>
  </r>
  <r>
    <x v="4"/>
    <x v="2"/>
    <s v="Companion/Escort Journey"/>
    <x v="4"/>
    <n v="140095535.3435244"/>
    <n v="7.5499999999999998E-2"/>
    <n v="10577212.918436091"/>
    <n v="41.2"/>
    <n v="43.24"/>
    <n v="42.22"/>
    <n v="0.72518035039505324"/>
    <n v="1"/>
    <n v="7670386.9703945685"/>
  </r>
  <r>
    <x v="4"/>
    <x v="2"/>
    <s v="Other"/>
    <x v="0"/>
    <n v="140095535.3435244"/>
    <n v="5.6749999999999995E-2"/>
    <n v="7950421.6307450086"/>
    <n v="1"/>
    <n v="1"/>
    <n v="1"/>
    <n v="1.7176228100309172E-2"/>
    <n v="1"/>
    <n v="136558.25542330829"/>
  </r>
  <r>
    <x v="4"/>
    <x v="2"/>
    <s v="Other"/>
    <x v="1"/>
    <n v="140095535.3435244"/>
    <n v="5.6749999999999995E-2"/>
    <n v="7950421.6307450086"/>
    <n v="3"/>
    <n v="3"/>
    <n v="3"/>
    <n v="5.1528684300927517E-2"/>
    <n v="1"/>
    <n v="409674.76626992488"/>
  </r>
  <r>
    <x v="4"/>
    <x v="2"/>
    <s v="Other"/>
    <x v="2"/>
    <n v="140095535.3435244"/>
    <n v="5.6749999999999995E-2"/>
    <n v="7950421.6307450086"/>
    <n v="5"/>
    <n v="5"/>
    <n v="5"/>
    <n v="8.5881140501545869E-2"/>
    <n v="1"/>
    <n v="682791.27711654152"/>
  </r>
  <r>
    <x v="4"/>
    <x v="2"/>
    <s v="Other"/>
    <x v="3"/>
    <n v="140095535.3435244"/>
    <n v="5.6749999999999995E-2"/>
    <n v="7950421.6307450086"/>
    <n v="7"/>
    <n v="7"/>
    <n v="7"/>
    <n v="0.12023359670216421"/>
    <n v="1"/>
    <n v="955907.7879631581"/>
  </r>
  <r>
    <x v="4"/>
    <x v="2"/>
    <s v="Other"/>
    <x v="4"/>
    <n v="140095535.3435244"/>
    <n v="5.6749999999999995E-2"/>
    <n v="7950421.6307450086"/>
    <n v="41.2"/>
    <n v="43.24"/>
    <n v="42.22"/>
    <n v="0.72518035039505324"/>
    <n v="1"/>
    <n v="5765489.5439720759"/>
  </r>
  <r>
    <x v="4"/>
    <x v="3"/>
    <s v="Work"/>
    <x v="0"/>
    <n v="2045228199.2464628"/>
    <n v="0.32174999999999998"/>
    <n v="658052173.10754943"/>
    <n v="1"/>
    <n v="1"/>
    <n v="1"/>
    <n v="1.7176228100309172E-2"/>
    <n v="1"/>
    <n v="11302854.227199407"/>
  </r>
  <r>
    <x v="4"/>
    <x v="3"/>
    <s v="Work"/>
    <x v="1"/>
    <n v="2045228199.2464628"/>
    <n v="0.32174999999999998"/>
    <n v="658052173.10754943"/>
    <n v="3"/>
    <n v="3"/>
    <n v="3"/>
    <n v="5.1528684300927517E-2"/>
    <n v="1"/>
    <n v="33908562.681598216"/>
  </r>
  <r>
    <x v="4"/>
    <x v="3"/>
    <s v="Work"/>
    <x v="2"/>
    <n v="2045228199.2464628"/>
    <n v="0.32174999999999998"/>
    <n v="658052173.10754943"/>
    <n v="5"/>
    <n v="5"/>
    <n v="5"/>
    <n v="8.5881140501545869E-2"/>
    <n v="1"/>
    <n v="56514271.135997035"/>
  </r>
  <r>
    <x v="4"/>
    <x v="3"/>
    <s v="Work"/>
    <x v="3"/>
    <n v="2045228199.2464628"/>
    <n v="0.32174999999999998"/>
    <n v="658052173.10754943"/>
    <n v="7"/>
    <n v="7"/>
    <n v="7"/>
    <n v="0.12023359670216421"/>
    <n v="1"/>
    <n v="79119979.590395853"/>
  </r>
  <r>
    <x v="4"/>
    <x v="3"/>
    <s v="Work"/>
    <x v="4"/>
    <n v="2045228199.2464628"/>
    <n v="0.32174999999999998"/>
    <n v="658052173.10754943"/>
    <n v="41.2"/>
    <n v="43.24"/>
    <n v="42.22"/>
    <n v="0.72518035039505324"/>
    <n v="1"/>
    <n v="477206505.47235894"/>
  </r>
  <r>
    <x v="4"/>
    <x v="3"/>
    <s v="Education"/>
    <x v="0"/>
    <n v="2045228199.2464628"/>
    <n v="0.1585"/>
    <n v="324168669.58056438"/>
    <n v="1"/>
    <n v="1"/>
    <n v="1"/>
    <n v="1.7176228100309172E-2"/>
    <n v="1"/>
    <n v="5567995.0116895288"/>
  </r>
  <r>
    <x v="4"/>
    <x v="3"/>
    <s v="Education"/>
    <x v="1"/>
    <n v="2045228199.2464628"/>
    <n v="0.1585"/>
    <n v="324168669.58056438"/>
    <n v="3"/>
    <n v="3"/>
    <n v="3"/>
    <n v="5.1528684300927517E-2"/>
    <n v="1"/>
    <n v="16703985.035068586"/>
  </r>
  <r>
    <x v="4"/>
    <x v="3"/>
    <s v="Education"/>
    <x v="2"/>
    <n v="2045228199.2464628"/>
    <n v="0.1585"/>
    <n v="324168669.58056438"/>
    <n v="5"/>
    <n v="5"/>
    <n v="5"/>
    <n v="8.5881140501545869E-2"/>
    <n v="1"/>
    <n v="27839975.058447648"/>
  </r>
  <r>
    <x v="4"/>
    <x v="3"/>
    <s v="Education"/>
    <x v="3"/>
    <n v="2045228199.2464628"/>
    <n v="0.1585"/>
    <n v="324168669.58056438"/>
    <n v="7"/>
    <n v="7"/>
    <n v="7"/>
    <n v="0.12023359670216421"/>
    <n v="1"/>
    <n v="38975965.081826709"/>
  </r>
  <r>
    <x v="4"/>
    <x v="3"/>
    <s v="Education"/>
    <x v="4"/>
    <n v="2045228199.2464628"/>
    <n v="0.1585"/>
    <n v="324168669.58056438"/>
    <n v="41.2"/>
    <n v="43.24"/>
    <n v="42.22"/>
    <n v="0.72518035039505324"/>
    <n v="1"/>
    <n v="235080749.39353192"/>
  </r>
  <r>
    <x v="4"/>
    <x v="3"/>
    <s v="Shopping"/>
    <x v="0"/>
    <n v="2045228199.2464628"/>
    <n v="0.19150000000000003"/>
    <n v="391661200.1556977"/>
    <n v="1"/>
    <n v="1"/>
    <n v="1"/>
    <n v="1.7176228100309172E-2"/>
    <n v="1"/>
    <n v="6727262.1119151097"/>
  </r>
  <r>
    <x v="4"/>
    <x v="3"/>
    <s v="Shopping"/>
    <x v="1"/>
    <n v="2045228199.2464628"/>
    <n v="0.19150000000000003"/>
    <n v="391661200.1556977"/>
    <n v="3"/>
    <n v="3"/>
    <n v="3"/>
    <n v="5.1528684300927517E-2"/>
    <n v="1"/>
    <n v="20181786.335745331"/>
  </r>
  <r>
    <x v="4"/>
    <x v="3"/>
    <s v="Shopping"/>
    <x v="2"/>
    <n v="2045228199.2464628"/>
    <n v="0.19150000000000003"/>
    <n v="391661200.1556977"/>
    <n v="5"/>
    <n v="5"/>
    <n v="5"/>
    <n v="8.5881140501545869E-2"/>
    <n v="1"/>
    <n v="33636310.55957555"/>
  </r>
  <r>
    <x v="4"/>
    <x v="3"/>
    <s v="Shopping"/>
    <x v="3"/>
    <n v="2045228199.2464628"/>
    <n v="0.19150000000000003"/>
    <n v="391661200.1556977"/>
    <n v="7"/>
    <n v="7"/>
    <n v="7"/>
    <n v="0.12023359670216421"/>
    <n v="1"/>
    <n v="47090834.783405773"/>
  </r>
  <r>
    <x v="4"/>
    <x v="3"/>
    <s v="Shopping"/>
    <x v="4"/>
    <n v="2045228199.2464628"/>
    <n v="0.19150000000000003"/>
    <n v="391661200.1556977"/>
    <n v="41.2"/>
    <n v="43.24"/>
    <n v="42.22"/>
    <n v="0.72518035039505324"/>
    <n v="1"/>
    <n v="284025006.36505592"/>
  </r>
  <r>
    <x v="4"/>
    <x v="3"/>
    <s v="To eat or drink"/>
    <x v="0"/>
    <n v="2045228199.2464628"/>
    <n v="3.4000000000000002E-2"/>
    <n v="69537758.774379745"/>
    <n v="1"/>
    <n v="1"/>
    <n v="1"/>
    <n v="1.7176228100309172E-2"/>
    <n v="1"/>
    <n v="1194396.406293022"/>
  </r>
  <r>
    <x v="4"/>
    <x v="3"/>
    <s v="To eat or drink"/>
    <x v="1"/>
    <n v="2045228199.2464628"/>
    <n v="3.4000000000000002E-2"/>
    <n v="69537758.774379745"/>
    <n v="3"/>
    <n v="3"/>
    <n v="3"/>
    <n v="5.1528684300927517E-2"/>
    <n v="1"/>
    <n v="3583189.2188790664"/>
  </r>
  <r>
    <x v="4"/>
    <x v="3"/>
    <s v="To eat or drink"/>
    <x v="2"/>
    <n v="2045228199.2464628"/>
    <n v="3.4000000000000002E-2"/>
    <n v="69537758.774379745"/>
    <n v="5"/>
    <n v="5"/>
    <n v="5"/>
    <n v="8.5881140501545869E-2"/>
    <n v="1"/>
    <n v="5971982.0314651113"/>
  </r>
  <r>
    <x v="4"/>
    <x v="3"/>
    <s v="To eat or drink"/>
    <x v="3"/>
    <n v="2045228199.2464628"/>
    <n v="3.4000000000000002E-2"/>
    <n v="69537758.774379745"/>
    <n v="7"/>
    <n v="7"/>
    <n v="7"/>
    <n v="0.12023359670216421"/>
    <n v="1"/>
    <n v="8360774.8440511553"/>
  </r>
  <r>
    <x v="4"/>
    <x v="3"/>
    <s v="To eat or drink"/>
    <x v="4"/>
    <n v="2045228199.2464628"/>
    <n v="3.4000000000000002E-2"/>
    <n v="69537758.774379745"/>
    <n v="41.2"/>
    <n v="43.24"/>
    <n v="42.22"/>
    <n v="0.72518035039505324"/>
    <n v="1"/>
    <n v="50427416.273691393"/>
  </r>
  <r>
    <x v="4"/>
    <x v="3"/>
    <s v="Visit family/friends"/>
    <x v="0"/>
    <n v="2045228199.2464628"/>
    <n v="7.0750000000000007E-2"/>
    <n v="144699895.09668726"/>
    <n v="1"/>
    <n v="1"/>
    <n v="1"/>
    <n v="1.7176228100309172E-2"/>
    <n v="1"/>
    <n v="2485398.404271509"/>
  </r>
  <r>
    <x v="4"/>
    <x v="3"/>
    <s v="Visit family/friends"/>
    <x v="1"/>
    <n v="2045228199.2464628"/>
    <n v="7.0750000000000007E-2"/>
    <n v="144699895.09668726"/>
    <n v="3"/>
    <n v="3"/>
    <n v="3"/>
    <n v="5.1528684300927517E-2"/>
    <n v="1"/>
    <n v="7456195.2128145276"/>
  </r>
  <r>
    <x v="4"/>
    <x v="3"/>
    <s v="Visit family/friends"/>
    <x v="2"/>
    <n v="2045228199.2464628"/>
    <n v="7.0750000000000007E-2"/>
    <n v="144699895.09668726"/>
    <n v="5"/>
    <n v="5"/>
    <n v="5"/>
    <n v="8.5881140501545869E-2"/>
    <n v="1"/>
    <n v="12426992.021357546"/>
  </r>
  <r>
    <x v="4"/>
    <x v="3"/>
    <s v="Visit family/friends"/>
    <x v="3"/>
    <n v="2045228199.2464628"/>
    <n v="7.0750000000000007E-2"/>
    <n v="144699895.09668726"/>
    <n v="7"/>
    <n v="7"/>
    <n v="7"/>
    <n v="0.12023359670216421"/>
    <n v="1"/>
    <n v="17397788.829900566"/>
  </r>
  <r>
    <x v="4"/>
    <x v="3"/>
    <s v="Visit family/friends"/>
    <x v="4"/>
    <n v="2045228199.2464628"/>
    <n v="7.0750000000000007E-2"/>
    <n v="144699895.09668726"/>
    <n v="41.2"/>
    <n v="43.24"/>
    <n v="42.22"/>
    <n v="0.72518035039505324"/>
    <n v="1"/>
    <n v="104933520.62834311"/>
  </r>
  <r>
    <x v="4"/>
    <x v="3"/>
    <s v="Entertainment/leisure/sports"/>
    <x v="0"/>
    <n v="2045228199.2464628"/>
    <n v="9.375E-2"/>
    <n v="191740143.67935589"/>
    <n v="1"/>
    <n v="1"/>
    <n v="1"/>
    <n v="1.7176228100309172E-2"/>
    <n v="1"/>
    <n v="3293372.4438226707"/>
  </r>
  <r>
    <x v="4"/>
    <x v="3"/>
    <s v="Entertainment/leisure/sports"/>
    <x v="1"/>
    <n v="2045228199.2464628"/>
    <n v="9.375E-2"/>
    <n v="191740143.67935589"/>
    <n v="3"/>
    <n v="3"/>
    <n v="3"/>
    <n v="5.1528684300927517E-2"/>
    <n v="1"/>
    <n v="9880117.3314680122"/>
  </r>
  <r>
    <x v="4"/>
    <x v="3"/>
    <s v="Entertainment/leisure/sports"/>
    <x v="2"/>
    <n v="2045228199.2464628"/>
    <n v="9.375E-2"/>
    <n v="191740143.67935589"/>
    <n v="5"/>
    <n v="5"/>
    <n v="5"/>
    <n v="8.5881140501545869E-2"/>
    <n v="1"/>
    <n v="16466862.219113356"/>
  </r>
  <r>
    <x v="4"/>
    <x v="3"/>
    <s v="Entertainment/leisure/sports"/>
    <x v="3"/>
    <n v="2045228199.2464628"/>
    <n v="9.375E-2"/>
    <n v="191740143.67935589"/>
    <n v="7"/>
    <n v="7"/>
    <n v="7"/>
    <n v="0.12023359670216421"/>
    <n v="1"/>
    <n v="23053607.106758695"/>
  </r>
  <r>
    <x v="4"/>
    <x v="3"/>
    <s v="Entertainment/leisure/sports"/>
    <x v="4"/>
    <n v="2045228199.2464628"/>
    <n v="9.375E-2"/>
    <n v="191740143.67935589"/>
    <n v="41.2"/>
    <n v="43.24"/>
    <n v="42.22"/>
    <n v="0.72518035039505324"/>
    <n v="1"/>
    <n v="139046184.57819316"/>
  </r>
  <r>
    <x v="4"/>
    <x v="3"/>
    <s v="Personal Business"/>
    <x v="0"/>
    <n v="2045228199.2464628"/>
    <n v="4.5749999999999992E-2"/>
    <n v="93569190.115525663"/>
    <n v="1"/>
    <n v="1"/>
    <n v="1"/>
    <n v="1.7176228100309172E-2"/>
    <n v="1"/>
    <n v="1607165.7525854632"/>
  </r>
  <r>
    <x v="4"/>
    <x v="3"/>
    <s v="Personal Business"/>
    <x v="1"/>
    <n v="2045228199.2464628"/>
    <n v="4.5749999999999992E-2"/>
    <n v="93569190.115525663"/>
    <n v="3"/>
    <n v="3"/>
    <n v="3"/>
    <n v="5.1528684300927517E-2"/>
    <n v="1"/>
    <n v="4821497.2577563897"/>
  </r>
  <r>
    <x v="4"/>
    <x v="3"/>
    <s v="Personal Business"/>
    <x v="2"/>
    <n v="2045228199.2464628"/>
    <n v="4.5749999999999992E-2"/>
    <n v="93569190.115525663"/>
    <n v="5"/>
    <n v="5"/>
    <n v="5"/>
    <n v="8.5881140501545869E-2"/>
    <n v="1"/>
    <n v="8035828.7629273161"/>
  </r>
  <r>
    <x v="4"/>
    <x v="3"/>
    <s v="Personal Business"/>
    <x v="3"/>
    <n v="2045228199.2464628"/>
    <n v="4.5749999999999992E-2"/>
    <n v="93569190.115525663"/>
    <n v="7"/>
    <n v="7"/>
    <n v="7"/>
    <n v="0.12023359670216421"/>
    <n v="1"/>
    <n v="11250160.268098243"/>
  </r>
  <r>
    <x v="4"/>
    <x v="3"/>
    <s v="Personal Business"/>
    <x v="4"/>
    <n v="2045228199.2464628"/>
    <n v="4.5749999999999992E-2"/>
    <n v="93569190.115525663"/>
    <n v="41.2"/>
    <n v="43.24"/>
    <n v="42.22"/>
    <n v="0.72518035039505324"/>
    <n v="1"/>
    <n v="67854538.074158251"/>
  </r>
  <r>
    <x v="4"/>
    <x v="3"/>
    <s v="Companion/Escort Journey"/>
    <x v="0"/>
    <n v="2045228199.2464628"/>
    <n v="2.8999999999999998E-2"/>
    <n v="59311617.778147414"/>
    <n v="1"/>
    <n v="1"/>
    <n v="1"/>
    <n v="1.7176228100309172E-2"/>
    <n v="1"/>
    <n v="1018749.8759558127"/>
  </r>
  <r>
    <x v="4"/>
    <x v="3"/>
    <s v="Companion/Escort Journey"/>
    <x v="1"/>
    <n v="2045228199.2464628"/>
    <n v="2.8999999999999998E-2"/>
    <n v="59311617.778147414"/>
    <n v="3"/>
    <n v="3"/>
    <n v="3"/>
    <n v="5.1528684300927517E-2"/>
    <n v="1"/>
    <n v="3056249.6278674379"/>
  </r>
  <r>
    <x v="4"/>
    <x v="3"/>
    <s v="Companion/Escort Journey"/>
    <x v="2"/>
    <n v="2045228199.2464628"/>
    <n v="2.8999999999999998E-2"/>
    <n v="59311617.778147414"/>
    <n v="5"/>
    <n v="5"/>
    <n v="5"/>
    <n v="8.5881140501545869E-2"/>
    <n v="1"/>
    <n v="5093749.3797790641"/>
  </r>
  <r>
    <x v="4"/>
    <x v="3"/>
    <s v="Companion/Escort Journey"/>
    <x v="3"/>
    <n v="2045228199.2464628"/>
    <n v="2.8999999999999998E-2"/>
    <n v="59311617.778147414"/>
    <n v="7"/>
    <n v="7"/>
    <n v="7"/>
    <n v="0.12023359670216421"/>
    <n v="1"/>
    <n v="7131249.1316906894"/>
  </r>
  <r>
    <x v="4"/>
    <x v="3"/>
    <s v="Companion/Escort Journey"/>
    <x v="4"/>
    <n v="2045228199.2464628"/>
    <n v="2.8999999999999998E-2"/>
    <n v="59311617.778147414"/>
    <n v="41.2"/>
    <n v="43.24"/>
    <n v="42.22"/>
    <n v="0.72518035039505324"/>
    <n v="1"/>
    <n v="43011619.762854412"/>
  </r>
  <r>
    <x v="4"/>
    <x v="3"/>
    <s v="Other"/>
    <x v="0"/>
    <n v="2045228199.2464628"/>
    <n v="5.3999999999999992E-2"/>
    <n v="110442322.75930898"/>
    <n v="1"/>
    <n v="1"/>
    <n v="1"/>
    <n v="1.7176228100309172E-2"/>
    <n v="1"/>
    <n v="1896982.5276418582"/>
  </r>
  <r>
    <x v="4"/>
    <x v="3"/>
    <s v="Other"/>
    <x v="1"/>
    <n v="2045228199.2464628"/>
    <n v="5.3999999999999992E-2"/>
    <n v="110442322.75930898"/>
    <n v="3"/>
    <n v="3"/>
    <n v="3"/>
    <n v="5.1528684300927517E-2"/>
    <n v="1"/>
    <n v="5690947.5829255749"/>
  </r>
  <r>
    <x v="4"/>
    <x v="3"/>
    <s v="Other"/>
    <x v="2"/>
    <n v="2045228199.2464628"/>
    <n v="5.3999999999999992E-2"/>
    <n v="110442322.75930898"/>
    <n v="5"/>
    <n v="5"/>
    <n v="5"/>
    <n v="8.5881140501545869E-2"/>
    <n v="1"/>
    <n v="9484912.6382092908"/>
  </r>
  <r>
    <x v="4"/>
    <x v="3"/>
    <s v="Other"/>
    <x v="3"/>
    <n v="2045228199.2464628"/>
    <n v="5.3999999999999992E-2"/>
    <n v="110442322.75930898"/>
    <n v="7"/>
    <n v="7"/>
    <n v="7"/>
    <n v="0.12023359670216421"/>
    <n v="1"/>
    <n v="13278877.693493009"/>
  </r>
  <r>
    <x v="4"/>
    <x v="3"/>
    <s v="Other"/>
    <x v="4"/>
    <n v="2045228199.2464628"/>
    <n v="5.3999999999999992E-2"/>
    <n v="110442322.75930898"/>
    <n v="41.2"/>
    <n v="43.24"/>
    <n v="42.22"/>
    <n v="0.72518035039505324"/>
    <n v="1"/>
    <n v="80090602.317039251"/>
  </r>
  <r>
    <x v="4"/>
    <x v="4"/>
    <s v="Work"/>
    <x v="0"/>
    <n v="213602282.25222278"/>
    <n v="0.18525"/>
    <n v="39569822.78722427"/>
    <n v="1"/>
    <n v="1"/>
    <n v="1"/>
    <n v="1.7176228100309172E-2"/>
    <n v="1"/>
    <n v="679660.30208217574"/>
  </r>
  <r>
    <x v="4"/>
    <x v="4"/>
    <s v="Work"/>
    <x v="1"/>
    <n v="213602282.25222278"/>
    <n v="0.18525"/>
    <n v="39569822.78722427"/>
    <n v="3"/>
    <n v="3"/>
    <n v="3"/>
    <n v="5.1528684300927517E-2"/>
    <n v="1"/>
    <n v="2038980.9062465271"/>
  </r>
  <r>
    <x v="4"/>
    <x v="4"/>
    <s v="Work"/>
    <x v="2"/>
    <n v="213602282.25222278"/>
    <n v="0.18525"/>
    <n v="39569822.78722427"/>
    <n v="5"/>
    <n v="5"/>
    <n v="5"/>
    <n v="8.5881140501545869E-2"/>
    <n v="1"/>
    <n v="3398301.5104108788"/>
  </r>
  <r>
    <x v="4"/>
    <x v="4"/>
    <s v="Work"/>
    <x v="3"/>
    <n v="213602282.25222278"/>
    <n v="0.18525"/>
    <n v="39569822.78722427"/>
    <n v="7"/>
    <n v="7"/>
    <n v="7"/>
    <n v="0.12023359670216421"/>
    <n v="1"/>
    <n v="4757622.1145752305"/>
  </r>
  <r>
    <x v="4"/>
    <x v="4"/>
    <s v="Work"/>
    <x v="4"/>
    <n v="213602282.25222278"/>
    <n v="0.18525"/>
    <n v="39569822.78722427"/>
    <n v="41.2"/>
    <n v="43.24"/>
    <n v="42.22"/>
    <n v="0.72518035039505324"/>
    <n v="1"/>
    <n v="28695257.95390946"/>
  </r>
  <r>
    <x v="4"/>
    <x v="4"/>
    <s v="Education"/>
    <x v="0"/>
    <n v="213602282.25222278"/>
    <n v="0.10099999999999999"/>
    <n v="21573830.507474501"/>
    <n v="1"/>
    <n v="1"/>
    <n v="1"/>
    <n v="1.7176228100309172E-2"/>
    <n v="1"/>
    <n v="370557.03379379079"/>
  </r>
  <r>
    <x v="4"/>
    <x v="4"/>
    <s v="Education"/>
    <x v="1"/>
    <n v="213602282.25222278"/>
    <n v="0.10099999999999999"/>
    <n v="21573830.507474501"/>
    <n v="3"/>
    <n v="3"/>
    <n v="3"/>
    <n v="5.1528684300927517E-2"/>
    <n v="1"/>
    <n v="1111671.1013813724"/>
  </r>
  <r>
    <x v="4"/>
    <x v="4"/>
    <s v="Education"/>
    <x v="2"/>
    <n v="213602282.25222278"/>
    <n v="0.10099999999999999"/>
    <n v="21573830.507474501"/>
    <n v="5"/>
    <n v="5"/>
    <n v="5"/>
    <n v="8.5881140501545869E-2"/>
    <n v="1"/>
    <n v="1852785.1689689541"/>
  </r>
  <r>
    <x v="4"/>
    <x v="4"/>
    <s v="Education"/>
    <x v="3"/>
    <n v="213602282.25222278"/>
    <n v="0.10099999999999999"/>
    <n v="21573830.507474501"/>
    <n v="7"/>
    <n v="7"/>
    <n v="7"/>
    <n v="0.12023359670216421"/>
    <n v="1"/>
    <n v="2593899.2365565361"/>
  </r>
  <r>
    <x v="4"/>
    <x v="4"/>
    <s v="Education"/>
    <x v="4"/>
    <n v="213602282.25222278"/>
    <n v="0.10099999999999999"/>
    <n v="21573830.507474501"/>
    <n v="41.2"/>
    <n v="43.24"/>
    <n v="42.22"/>
    <n v="0.72518035039505324"/>
    <n v="1"/>
    <n v="15644917.966773847"/>
  </r>
  <r>
    <x v="4"/>
    <x v="4"/>
    <s v="Shopping"/>
    <x v="0"/>
    <n v="213602282.25222278"/>
    <n v="0.24650000000000002"/>
    <n v="52652962.575172916"/>
    <n v="1"/>
    <n v="1"/>
    <n v="1"/>
    <n v="1.7176228100309172E-2"/>
    <n v="1"/>
    <n v="904379.29534821224"/>
  </r>
  <r>
    <x v="4"/>
    <x v="4"/>
    <s v="Shopping"/>
    <x v="1"/>
    <n v="213602282.25222278"/>
    <n v="0.24650000000000002"/>
    <n v="52652962.575172916"/>
    <n v="3"/>
    <n v="3"/>
    <n v="3"/>
    <n v="5.1528684300927517E-2"/>
    <n v="1"/>
    <n v="2713137.8860446368"/>
  </r>
  <r>
    <x v="4"/>
    <x v="4"/>
    <s v="Shopping"/>
    <x v="2"/>
    <n v="213602282.25222278"/>
    <n v="0.24650000000000002"/>
    <n v="52652962.575172916"/>
    <n v="5"/>
    <n v="5"/>
    <n v="5"/>
    <n v="8.5881140501545869E-2"/>
    <n v="1"/>
    <n v="4521896.4767410615"/>
  </r>
  <r>
    <x v="4"/>
    <x v="4"/>
    <s v="Shopping"/>
    <x v="3"/>
    <n v="213602282.25222278"/>
    <n v="0.24650000000000002"/>
    <n v="52652962.575172916"/>
    <n v="7"/>
    <n v="7"/>
    <n v="7"/>
    <n v="0.12023359670216421"/>
    <n v="1"/>
    <n v="6330655.0674374858"/>
  </r>
  <r>
    <x v="4"/>
    <x v="4"/>
    <s v="Shopping"/>
    <x v="4"/>
    <n v="213602282.25222278"/>
    <n v="0.24650000000000002"/>
    <n v="52652962.575172916"/>
    <n v="41.2"/>
    <n v="43.24"/>
    <n v="42.22"/>
    <n v="0.72518035039505324"/>
    <n v="1"/>
    <n v="38182893.849601522"/>
  </r>
  <r>
    <x v="4"/>
    <x v="4"/>
    <s v="To eat or drink"/>
    <x v="0"/>
    <n v="213602282.25222278"/>
    <n v="3.95E-2"/>
    <n v="8437290.1489627995"/>
    <n v="1"/>
    <n v="1"/>
    <n v="1"/>
    <n v="1.7176228100309172E-2"/>
    <n v="1"/>
    <n v="144920.82014707659"/>
  </r>
  <r>
    <x v="4"/>
    <x v="4"/>
    <s v="To eat or drink"/>
    <x v="1"/>
    <n v="213602282.25222278"/>
    <n v="3.95E-2"/>
    <n v="8437290.1489627995"/>
    <n v="3"/>
    <n v="3"/>
    <n v="3"/>
    <n v="5.1528684300927517E-2"/>
    <n v="1"/>
    <n v="434762.46044122981"/>
  </r>
  <r>
    <x v="4"/>
    <x v="4"/>
    <s v="To eat or drink"/>
    <x v="2"/>
    <n v="213602282.25222278"/>
    <n v="3.95E-2"/>
    <n v="8437290.1489627995"/>
    <n v="5"/>
    <n v="5"/>
    <n v="5"/>
    <n v="8.5881140501545869E-2"/>
    <n v="1"/>
    <n v="724604.10073538311"/>
  </r>
  <r>
    <x v="4"/>
    <x v="4"/>
    <s v="To eat or drink"/>
    <x v="3"/>
    <n v="213602282.25222278"/>
    <n v="3.95E-2"/>
    <n v="8437290.1489627995"/>
    <n v="7"/>
    <n v="7"/>
    <n v="7"/>
    <n v="0.12023359670216421"/>
    <n v="1"/>
    <n v="1014445.7410295362"/>
  </r>
  <r>
    <x v="4"/>
    <x v="4"/>
    <s v="To eat or drink"/>
    <x v="4"/>
    <n v="213602282.25222278"/>
    <n v="3.95E-2"/>
    <n v="8437290.1489627995"/>
    <n v="41.2"/>
    <n v="43.24"/>
    <n v="42.22"/>
    <n v="0.72518035039505324"/>
    <n v="1"/>
    <n v="6118557.0266095735"/>
  </r>
  <r>
    <x v="4"/>
    <x v="4"/>
    <s v="Visit family/friends"/>
    <x v="0"/>
    <n v="213602282.25222278"/>
    <n v="6.8250000000000005E-2"/>
    <n v="14578355.763714205"/>
    <n v="1"/>
    <n v="1"/>
    <n v="1"/>
    <n v="1.7176228100309172E-2"/>
    <n v="1"/>
    <n v="250401.16392501211"/>
  </r>
  <r>
    <x v="4"/>
    <x v="4"/>
    <s v="Visit family/friends"/>
    <x v="1"/>
    <n v="213602282.25222278"/>
    <n v="6.8250000000000005E-2"/>
    <n v="14578355.763714205"/>
    <n v="3"/>
    <n v="3"/>
    <n v="3"/>
    <n v="5.1528684300927517E-2"/>
    <n v="1"/>
    <n v="751203.49177503632"/>
  </r>
  <r>
    <x v="4"/>
    <x v="4"/>
    <s v="Visit family/friends"/>
    <x v="2"/>
    <n v="213602282.25222278"/>
    <n v="6.8250000000000005E-2"/>
    <n v="14578355.763714205"/>
    <n v="5"/>
    <n v="5"/>
    <n v="5"/>
    <n v="8.5881140501545869E-2"/>
    <n v="1"/>
    <n v="1252005.8196250608"/>
  </r>
  <r>
    <x v="4"/>
    <x v="4"/>
    <s v="Visit family/friends"/>
    <x v="3"/>
    <n v="213602282.25222278"/>
    <n v="6.8250000000000005E-2"/>
    <n v="14578355.763714205"/>
    <n v="7"/>
    <n v="7"/>
    <n v="7"/>
    <n v="0.12023359670216421"/>
    <n v="1"/>
    <n v="1752808.147475085"/>
  </r>
  <r>
    <x v="4"/>
    <x v="4"/>
    <s v="Visit family/friends"/>
    <x v="4"/>
    <n v="213602282.25222278"/>
    <n v="6.8250000000000005E-2"/>
    <n v="14578355.763714205"/>
    <n v="41.2"/>
    <n v="43.24"/>
    <n v="42.22"/>
    <n v="0.72518035039505324"/>
    <n v="1"/>
    <n v="10571937.140914012"/>
  </r>
  <r>
    <x v="4"/>
    <x v="4"/>
    <s v="Entertainment/leisure/sports"/>
    <x v="0"/>
    <n v="213602282.25222278"/>
    <n v="0.185"/>
    <n v="39516422.216661215"/>
    <n v="1"/>
    <n v="1"/>
    <n v="1"/>
    <n v="1.7176228100309172E-2"/>
    <n v="1"/>
    <n v="678743.08170149801"/>
  </r>
  <r>
    <x v="4"/>
    <x v="4"/>
    <s v="Entertainment/leisure/sports"/>
    <x v="1"/>
    <n v="213602282.25222278"/>
    <n v="0.185"/>
    <n v="39516422.216661215"/>
    <n v="3"/>
    <n v="3"/>
    <n v="3"/>
    <n v="5.1528684300927517E-2"/>
    <n v="1"/>
    <n v="2036229.245104494"/>
  </r>
  <r>
    <x v="4"/>
    <x v="4"/>
    <s v="Entertainment/leisure/sports"/>
    <x v="2"/>
    <n v="213602282.25222278"/>
    <n v="0.185"/>
    <n v="39516422.216661215"/>
    <n v="5"/>
    <n v="5"/>
    <n v="5"/>
    <n v="8.5881140501545869E-2"/>
    <n v="1"/>
    <n v="3393715.4085074905"/>
  </r>
  <r>
    <x v="4"/>
    <x v="4"/>
    <s v="Entertainment/leisure/sports"/>
    <x v="3"/>
    <n v="213602282.25222278"/>
    <n v="0.185"/>
    <n v="39516422.216661215"/>
    <n v="7"/>
    <n v="7"/>
    <n v="7"/>
    <n v="0.12023359670216421"/>
    <n v="1"/>
    <n v="4751201.5719104866"/>
  </r>
  <r>
    <x v="4"/>
    <x v="4"/>
    <s v="Entertainment/leisure/sports"/>
    <x v="4"/>
    <n v="213602282.25222278"/>
    <n v="0.185"/>
    <n v="39516422.216661215"/>
    <n v="41.2"/>
    <n v="43.24"/>
    <n v="42.22"/>
    <n v="0.72518035039505324"/>
    <n v="1"/>
    <n v="28656532.909437247"/>
  </r>
  <r>
    <x v="4"/>
    <x v="4"/>
    <s v="Personal Business"/>
    <x v="0"/>
    <n v="213602282.25222278"/>
    <n v="4.2249999999999996E-2"/>
    <n v="9024696.4251564108"/>
    <n v="1"/>
    <n v="1"/>
    <n v="1"/>
    <n v="1.7176228100309172E-2"/>
    <n v="1"/>
    <n v="155010.24433453128"/>
  </r>
  <r>
    <x v="4"/>
    <x v="4"/>
    <s v="Personal Business"/>
    <x v="1"/>
    <n v="213602282.25222278"/>
    <n v="4.2249999999999996E-2"/>
    <n v="9024696.4251564108"/>
    <n v="3"/>
    <n v="3"/>
    <n v="3"/>
    <n v="5.1528684300927517E-2"/>
    <n v="1"/>
    <n v="465030.73300359381"/>
  </r>
  <r>
    <x v="4"/>
    <x v="4"/>
    <s v="Personal Business"/>
    <x v="2"/>
    <n v="213602282.25222278"/>
    <n v="4.2249999999999996E-2"/>
    <n v="9024696.4251564108"/>
    <n v="5"/>
    <n v="5"/>
    <n v="5"/>
    <n v="8.5881140501545869E-2"/>
    <n v="1"/>
    <n v="775051.22167265648"/>
  </r>
  <r>
    <x v="4"/>
    <x v="4"/>
    <s v="Personal Business"/>
    <x v="3"/>
    <n v="213602282.25222278"/>
    <n v="4.2249999999999996E-2"/>
    <n v="9024696.4251564108"/>
    <n v="7"/>
    <n v="7"/>
    <n v="7"/>
    <n v="0.12023359670216421"/>
    <n v="1"/>
    <n v="1085071.710341719"/>
  </r>
  <r>
    <x v="4"/>
    <x v="4"/>
    <s v="Personal Business"/>
    <x v="4"/>
    <n v="213602282.25222278"/>
    <n v="4.2249999999999996E-2"/>
    <n v="9024696.4251564108"/>
    <n v="41.2"/>
    <n v="43.24"/>
    <n v="42.22"/>
    <n v="0.72518035039505324"/>
    <n v="1"/>
    <n v="6544532.5158039108"/>
  </r>
  <r>
    <x v="4"/>
    <x v="4"/>
    <s v="Companion/Escort Journey"/>
    <x v="0"/>
    <n v="213602282.25222278"/>
    <n v="7.5499999999999998E-2"/>
    <n v="16126972.310042819"/>
    <n v="1"/>
    <n v="1"/>
    <n v="1"/>
    <n v="1.7176228100309172E-2"/>
    <n v="1"/>
    <n v="277000.55496466538"/>
  </r>
  <r>
    <x v="4"/>
    <x v="4"/>
    <s v="Companion/Escort Journey"/>
    <x v="1"/>
    <n v="213602282.25222278"/>
    <n v="7.5499999999999998E-2"/>
    <n v="16126972.310042819"/>
    <n v="3"/>
    <n v="3"/>
    <n v="3"/>
    <n v="5.1528684300927517E-2"/>
    <n v="1"/>
    <n v="831001.6648939962"/>
  </r>
  <r>
    <x v="4"/>
    <x v="4"/>
    <s v="Companion/Escort Journey"/>
    <x v="2"/>
    <n v="213602282.25222278"/>
    <n v="7.5499999999999998E-2"/>
    <n v="16126972.310042819"/>
    <n v="5"/>
    <n v="5"/>
    <n v="5"/>
    <n v="8.5881140501545869E-2"/>
    <n v="1"/>
    <n v="1385002.7748233271"/>
  </r>
  <r>
    <x v="4"/>
    <x v="4"/>
    <s v="Companion/Escort Journey"/>
    <x v="3"/>
    <n v="213602282.25222278"/>
    <n v="7.5499999999999998E-2"/>
    <n v="16126972.310042819"/>
    <n v="7"/>
    <n v="7"/>
    <n v="7"/>
    <n v="0.12023359670216421"/>
    <n v="1"/>
    <n v="1939003.884752658"/>
  </r>
  <r>
    <x v="4"/>
    <x v="4"/>
    <s v="Companion/Escort Journey"/>
    <x v="4"/>
    <n v="213602282.25222278"/>
    <n v="7.5499999999999998E-2"/>
    <n v="16126972.310042819"/>
    <n v="41.2"/>
    <n v="43.24"/>
    <n v="42.22"/>
    <n v="0.72518035039505324"/>
    <n v="1"/>
    <n v="11694963.430608172"/>
  </r>
  <r>
    <x v="4"/>
    <x v="4"/>
    <s v="Other"/>
    <x v="0"/>
    <n v="213602282.25222278"/>
    <n v="5.6749999999999995E-2"/>
    <n v="12121929.517813642"/>
    <n v="1"/>
    <n v="1"/>
    <n v="1"/>
    <n v="1.7176228100309172E-2"/>
    <n v="1"/>
    <n v="208209.02641383788"/>
  </r>
  <r>
    <x v="4"/>
    <x v="4"/>
    <s v="Other"/>
    <x v="1"/>
    <n v="213602282.25222278"/>
    <n v="5.6749999999999995E-2"/>
    <n v="12121929.517813642"/>
    <n v="3"/>
    <n v="3"/>
    <n v="3"/>
    <n v="5.1528684300927517E-2"/>
    <n v="1"/>
    <n v="624627.07924151362"/>
  </r>
  <r>
    <x v="4"/>
    <x v="4"/>
    <s v="Other"/>
    <x v="2"/>
    <n v="213602282.25222278"/>
    <n v="5.6749999999999995E-2"/>
    <n v="12121929.517813642"/>
    <n v="5"/>
    <n v="5"/>
    <n v="5"/>
    <n v="8.5881140501545869E-2"/>
    <n v="1"/>
    <n v="1041045.1320691896"/>
  </r>
  <r>
    <x v="4"/>
    <x v="4"/>
    <s v="Other"/>
    <x v="3"/>
    <n v="213602282.25222278"/>
    <n v="5.6749999999999995E-2"/>
    <n v="12121929.517813642"/>
    <n v="7"/>
    <n v="7"/>
    <n v="7"/>
    <n v="0.12023359670216421"/>
    <n v="1"/>
    <n v="1457463.1848968654"/>
  </r>
  <r>
    <x v="4"/>
    <x v="4"/>
    <s v="Other"/>
    <x v="4"/>
    <n v="213602282.25222278"/>
    <n v="5.6749999999999995E-2"/>
    <n v="12121929.517813642"/>
    <n v="41.2"/>
    <n v="43.24"/>
    <n v="42.22"/>
    <n v="0.72518035039505324"/>
    <n v="1"/>
    <n v="8790585.095192235"/>
  </r>
  <r>
    <x v="4"/>
    <x v="5"/>
    <s v="Work"/>
    <x v="0"/>
    <n v="2074583126.9798479"/>
    <n v="0.32174999999999998"/>
    <n v="667497121.10576606"/>
    <n v="1"/>
    <n v="1"/>
    <n v="1"/>
    <n v="1.7176228100309172E-2"/>
    <n v="1"/>
    <n v="11465082.808412334"/>
  </r>
  <r>
    <x v="4"/>
    <x v="5"/>
    <s v="Work"/>
    <x v="1"/>
    <n v="2074583126.9798479"/>
    <n v="0.32174999999999998"/>
    <n v="667497121.10576606"/>
    <n v="3"/>
    <n v="3"/>
    <n v="3"/>
    <n v="5.1528684300927517E-2"/>
    <n v="1"/>
    <n v="34395248.425237"/>
  </r>
  <r>
    <x v="4"/>
    <x v="5"/>
    <s v="Work"/>
    <x v="2"/>
    <n v="2074583126.9798479"/>
    <n v="0.32174999999999998"/>
    <n v="667497121.10576606"/>
    <n v="5"/>
    <n v="5"/>
    <n v="5"/>
    <n v="8.5881140501545869E-2"/>
    <n v="1"/>
    <n v="57325414.042061672"/>
  </r>
  <r>
    <x v="4"/>
    <x v="5"/>
    <s v="Work"/>
    <x v="3"/>
    <n v="2074583126.9798479"/>
    <n v="0.32174999999999998"/>
    <n v="667497121.10576606"/>
    <n v="7"/>
    <n v="7"/>
    <n v="7"/>
    <n v="0.12023359670216421"/>
    <n v="1"/>
    <n v="80255579.658886343"/>
  </r>
  <r>
    <x v="4"/>
    <x v="5"/>
    <s v="Work"/>
    <x v="4"/>
    <n v="2074583126.9798479"/>
    <n v="0.32174999999999998"/>
    <n v="667497121.10576606"/>
    <n v="41.2"/>
    <n v="43.24"/>
    <n v="42.22"/>
    <n v="0.72518035039505324"/>
    <n v="1"/>
    <n v="484055796.17116874"/>
  </r>
  <r>
    <x v="4"/>
    <x v="5"/>
    <s v="Education"/>
    <x v="0"/>
    <n v="2074583126.9798479"/>
    <n v="0.1585"/>
    <n v="328821425.62630588"/>
    <n v="1"/>
    <n v="1"/>
    <n v="1"/>
    <n v="1.7176228100309172E-2"/>
    <n v="1"/>
    <n v="5647911.8108262774"/>
  </r>
  <r>
    <x v="4"/>
    <x v="5"/>
    <s v="Education"/>
    <x v="1"/>
    <n v="2074583126.9798479"/>
    <n v="0.1585"/>
    <n v="328821425.62630588"/>
    <n v="3"/>
    <n v="3"/>
    <n v="3"/>
    <n v="5.1528684300927517E-2"/>
    <n v="1"/>
    <n v="16943735.432478834"/>
  </r>
  <r>
    <x v="4"/>
    <x v="5"/>
    <s v="Education"/>
    <x v="2"/>
    <n v="2074583126.9798479"/>
    <n v="0.1585"/>
    <n v="328821425.62630588"/>
    <n v="5"/>
    <n v="5"/>
    <n v="5"/>
    <n v="8.5881140501545869E-2"/>
    <n v="1"/>
    <n v="28239559.054131389"/>
  </r>
  <r>
    <x v="4"/>
    <x v="5"/>
    <s v="Education"/>
    <x v="3"/>
    <n v="2074583126.9798479"/>
    <n v="0.1585"/>
    <n v="328821425.62630588"/>
    <n v="7"/>
    <n v="7"/>
    <n v="7"/>
    <n v="0.12023359670216421"/>
    <n v="1"/>
    <n v="39535382.675783947"/>
  </r>
  <r>
    <x v="4"/>
    <x v="5"/>
    <s v="Education"/>
    <x v="4"/>
    <n v="2074583126.9798479"/>
    <n v="0.1585"/>
    <n v="328821425.62630588"/>
    <n v="41.2"/>
    <n v="43.24"/>
    <n v="42.22"/>
    <n v="0.72518035039505324"/>
    <n v="1"/>
    <n v="238454836.65308544"/>
  </r>
  <r>
    <x v="4"/>
    <x v="5"/>
    <s v="Shopping"/>
    <x v="0"/>
    <n v="2074583126.9798479"/>
    <n v="0.19150000000000003"/>
    <n v="397282668.81664091"/>
    <n v="1"/>
    <n v="1"/>
    <n v="1"/>
    <n v="1.7176228100309172E-2"/>
    <n v="1"/>
    <n v="6823817.7398942104"/>
  </r>
  <r>
    <x v="4"/>
    <x v="5"/>
    <s v="Shopping"/>
    <x v="1"/>
    <n v="2074583126.9798479"/>
    <n v="0.19150000000000003"/>
    <n v="397282668.81664091"/>
    <n v="3"/>
    <n v="3"/>
    <n v="3"/>
    <n v="5.1528684300927517E-2"/>
    <n v="1"/>
    <n v="20471453.21968263"/>
  </r>
  <r>
    <x v="4"/>
    <x v="5"/>
    <s v="Shopping"/>
    <x v="2"/>
    <n v="2074583126.9798479"/>
    <n v="0.19150000000000003"/>
    <n v="397282668.81664091"/>
    <n v="5"/>
    <n v="5"/>
    <n v="5"/>
    <n v="8.5881140501545869E-2"/>
    <n v="1"/>
    <n v="34119088.699471056"/>
  </r>
  <r>
    <x v="4"/>
    <x v="5"/>
    <s v="Shopping"/>
    <x v="3"/>
    <n v="2074583126.9798479"/>
    <n v="0.19150000000000003"/>
    <n v="397282668.81664091"/>
    <n v="7"/>
    <n v="7"/>
    <n v="7"/>
    <n v="0.12023359670216421"/>
    <n v="1"/>
    <n v="47766724.179259472"/>
  </r>
  <r>
    <x v="4"/>
    <x v="5"/>
    <s v="Shopping"/>
    <x v="4"/>
    <n v="2074583126.9798479"/>
    <n v="0.19150000000000003"/>
    <n v="397282668.81664091"/>
    <n v="41.2"/>
    <n v="43.24"/>
    <n v="42.22"/>
    <n v="0.72518035039505324"/>
    <n v="1"/>
    <n v="288101584.97833353"/>
  </r>
  <r>
    <x v="4"/>
    <x v="5"/>
    <s v="To eat or drink"/>
    <x v="0"/>
    <n v="2074583126.9798479"/>
    <n v="3.4000000000000002E-2"/>
    <n v="70535826.317314833"/>
    <n v="1"/>
    <n v="1"/>
    <n v="1"/>
    <n v="1.7176228100309172E-2"/>
    <n v="1"/>
    <n v="1211539.4420699903"/>
  </r>
  <r>
    <x v="4"/>
    <x v="5"/>
    <s v="To eat or drink"/>
    <x v="1"/>
    <n v="2074583126.9798479"/>
    <n v="3.4000000000000002E-2"/>
    <n v="70535826.317314833"/>
    <n v="3"/>
    <n v="3"/>
    <n v="3"/>
    <n v="5.1528684300927517E-2"/>
    <n v="1"/>
    <n v="3634618.3262099707"/>
  </r>
  <r>
    <x v="4"/>
    <x v="5"/>
    <s v="To eat or drink"/>
    <x v="2"/>
    <n v="2074583126.9798479"/>
    <n v="3.4000000000000002E-2"/>
    <n v="70535826.317314833"/>
    <n v="5"/>
    <n v="5"/>
    <n v="5"/>
    <n v="8.5881140501545869E-2"/>
    <n v="1"/>
    <n v="6057697.2103499519"/>
  </r>
  <r>
    <x v="4"/>
    <x v="5"/>
    <s v="To eat or drink"/>
    <x v="3"/>
    <n v="2074583126.9798479"/>
    <n v="3.4000000000000002E-2"/>
    <n v="70535826.317314833"/>
    <n v="7"/>
    <n v="7"/>
    <n v="7"/>
    <n v="0.12023359670216421"/>
    <n v="1"/>
    <n v="8480776.0944899321"/>
  </r>
  <r>
    <x v="4"/>
    <x v="5"/>
    <s v="To eat or drink"/>
    <x v="4"/>
    <n v="2074583126.9798479"/>
    <n v="3.4000000000000002E-2"/>
    <n v="70535826.317314833"/>
    <n v="41.2"/>
    <n v="43.24"/>
    <n v="42.22"/>
    <n v="0.72518035039505324"/>
    <n v="1"/>
    <n v="51151195.244194992"/>
  </r>
  <r>
    <x v="4"/>
    <x v="5"/>
    <s v="Visit family/friends"/>
    <x v="0"/>
    <n v="2074583126.9798479"/>
    <n v="7.0750000000000007E-2"/>
    <n v="146776756.23382425"/>
    <n v="1"/>
    <n v="1"/>
    <n v="1"/>
    <n v="1.7176228100309172E-2"/>
    <n v="1"/>
    <n v="2521071.0448956415"/>
  </r>
  <r>
    <x v="4"/>
    <x v="5"/>
    <s v="Visit family/friends"/>
    <x v="1"/>
    <n v="2074583126.9798479"/>
    <n v="7.0750000000000007E-2"/>
    <n v="146776756.23382425"/>
    <n v="3"/>
    <n v="3"/>
    <n v="3"/>
    <n v="5.1528684300927517E-2"/>
    <n v="1"/>
    <n v="7563213.1346869245"/>
  </r>
  <r>
    <x v="4"/>
    <x v="5"/>
    <s v="Visit family/friends"/>
    <x v="2"/>
    <n v="2074583126.9798479"/>
    <n v="7.0750000000000007E-2"/>
    <n v="146776756.23382425"/>
    <n v="5"/>
    <n v="5"/>
    <n v="5"/>
    <n v="8.5881140501545869E-2"/>
    <n v="1"/>
    <n v="12605355.224478209"/>
  </r>
  <r>
    <x v="4"/>
    <x v="5"/>
    <s v="Visit family/friends"/>
    <x v="3"/>
    <n v="2074583126.9798479"/>
    <n v="7.0750000000000007E-2"/>
    <n v="146776756.23382425"/>
    <n v="7"/>
    <n v="7"/>
    <n v="7"/>
    <n v="0.12023359670216421"/>
    <n v="1"/>
    <n v="17647497.314269494"/>
  </r>
  <r>
    <x v="4"/>
    <x v="5"/>
    <s v="Visit family/friends"/>
    <x v="4"/>
    <n v="2074583126.9798479"/>
    <n v="7.0750000000000007E-2"/>
    <n v="146776756.23382425"/>
    <n v="41.2"/>
    <n v="43.24"/>
    <n v="42.22"/>
    <n v="0.72518035039505324"/>
    <n v="1"/>
    <n v="106439619.51549399"/>
  </r>
  <r>
    <x v="4"/>
    <x v="5"/>
    <s v="Entertainment/leisure/sports"/>
    <x v="0"/>
    <n v="2074583126.9798479"/>
    <n v="9.375E-2"/>
    <n v="194492168.15436074"/>
    <n v="1"/>
    <n v="1"/>
    <n v="1"/>
    <n v="1.7176228100309172E-2"/>
    <n v="1"/>
    <n v="3340641.8439429877"/>
  </r>
  <r>
    <x v="4"/>
    <x v="5"/>
    <s v="Entertainment/leisure/sports"/>
    <x v="1"/>
    <n v="2074583126.9798479"/>
    <n v="9.375E-2"/>
    <n v="194492168.15436074"/>
    <n v="3"/>
    <n v="3"/>
    <n v="3"/>
    <n v="5.1528684300927517E-2"/>
    <n v="1"/>
    <n v="10021925.531828962"/>
  </r>
  <r>
    <x v="4"/>
    <x v="5"/>
    <s v="Entertainment/leisure/sports"/>
    <x v="2"/>
    <n v="2074583126.9798479"/>
    <n v="9.375E-2"/>
    <n v="194492168.15436074"/>
    <n v="5"/>
    <n v="5"/>
    <n v="5"/>
    <n v="8.5881140501545869E-2"/>
    <n v="1"/>
    <n v="16703209.21971494"/>
  </r>
  <r>
    <x v="4"/>
    <x v="5"/>
    <s v="Entertainment/leisure/sports"/>
    <x v="3"/>
    <n v="2074583126.9798479"/>
    <n v="9.375E-2"/>
    <n v="194492168.15436074"/>
    <n v="7"/>
    <n v="7"/>
    <n v="7"/>
    <n v="0.12023359670216421"/>
    <n v="1"/>
    <n v="23384492.907600917"/>
  </r>
  <r>
    <x v="4"/>
    <x v="5"/>
    <s v="Entertainment/leisure/sports"/>
    <x v="4"/>
    <n v="2074583126.9798479"/>
    <n v="9.375E-2"/>
    <n v="194492168.15436074"/>
    <n v="41.2"/>
    <n v="43.24"/>
    <n v="42.22"/>
    <n v="0.72518035039505324"/>
    <n v="1"/>
    <n v="141041898.65127295"/>
  </r>
  <r>
    <x v="4"/>
    <x v="5"/>
    <s v="Personal Business"/>
    <x v="0"/>
    <n v="2074583126.9798479"/>
    <n v="4.5749999999999992E-2"/>
    <n v="94912178.05932802"/>
    <n v="1"/>
    <n v="1"/>
    <n v="1"/>
    <n v="1.7176228100309172E-2"/>
    <n v="1"/>
    <n v="1630233.2198441776"/>
  </r>
  <r>
    <x v="4"/>
    <x v="5"/>
    <s v="Personal Business"/>
    <x v="1"/>
    <n v="2074583126.9798479"/>
    <n v="4.5749999999999992E-2"/>
    <n v="94912178.05932802"/>
    <n v="3"/>
    <n v="3"/>
    <n v="3"/>
    <n v="5.1528684300927517E-2"/>
    <n v="1"/>
    <n v="4890699.659532533"/>
  </r>
  <r>
    <x v="4"/>
    <x v="5"/>
    <s v="Personal Business"/>
    <x v="2"/>
    <n v="2074583126.9798479"/>
    <n v="4.5749999999999992E-2"/>
    <n v="94912178.05932802"/>
    <n v="5"/>
    <n v="5"/>
    <n v="5"/>
    <n v="8.5881140501545869E-2"/>
    <n v="1"/>
    <n v="8151166.0992208887"/>
  </r>
  <r>
    <x v="4"/>
    <x v="5"/>
    <s v="Personal Business"/>
    <x v="3"/>
    <n v="2074583126.9798479"/>
    <n v="4.5749999999999992E-2"/>
    <n v="94912178.05932802"/>
    <n v="7"/>
    <n v="7"/>
    <n v="7"/>
    <n v="0.12023359670216421"/>
    <n v="1"/>
    <n v="11411632.538909243"/>
  </r>
  <r>
    <x v="4"/>
    <x v="5"/>
    <s v="Personal Business"/>
    <x v="4"/>
    <n v="2074583126.9798479"/>
    <n v="4.5749999999999992E-2"/>
    <n v="94912178.05932802"/>
    <n v="41.2"/>
    <n v="43.24"/>
    <n v="42.22"/>
    <n v="0.72518035039505324"/>
    <n v="1"/>
    <n v="68828446.541821182"/>
  </r>
  <r>
    <x v="4"/>
    <x v="5"/>
    <s v="Companion/Escort Journey"/>
    <x v="0"/>
    <n v="2074583126.9798479"/>
    <n v="2.8999999999999998E-2"/>
    <n v="60162910.682415582"/>
    <n v="1"/>
    <n v="1"/>
    <n v="1"/>
    <n v="1.7176228100309172E-2"/>
    <n v="1"/>
    <n v="1033371.8770596974"/>
  </r>
  <r>
    <x v="4"/>
    <x v="5"/>
    <s v="Companion/Escort Journey"/>
    <x v="1"/>
    <n v="2074583126.9798479"/>
    <n v="2.8999999999999998E-2"/>
    <n v="60162910.682415582"/>
    <n v="3"/>
    <n v="3"/>
    <n v="3"/>
    <n v="5.1528684300927517E-2"/>
    <n v="1"/>
    <n v="3100115.6311790925"/>
  </r>
  <r>
    <x v="4"/>
    <x v="5"/>
    <s v="Companion/Escort Journey"/>
    <x v="2"/>
    <n v="2074583126.9798479"/>
    <n v="2.8999999999999998E-2"/>
    <n v="60162910.682415582"/>
    <n v="5"/>
    <n v="5"/>
    <n v="5"/>
    <n v="8.5881140501545869E-2"/>
    <n v="1"/>
    <n v="5166859.3852984877"/>
  </r>
  <r>
    <x v="4"/>
    <x v="5"/>
    <s v="Companion/Escort Journey"/>
    <x v="3"/>
    <n v="2074583126.9798479"/>
    <n v="2.8999999999999998E-2"/>
    <n v="60162910.682415582"/>
    <n v="7"/>
    <n v="7"/>
    <n v="7"/>
    <n v="0.12023359670216421"/>
    <n v="1"/>
    <n v="7233603.1394178821"/>
  </r>
  <r>
    <x v="4"/>
    <x v="5"/>
    <s v="Companion/Escort Journey"/>
    <x v="4"/>
    <n v="2074583126.9798479"/>
    <n v="2.8999999999999998E-2"/>
    <n v="60162910.682415582"/>
    <n v="41.2"/>
    <n v="43.24"/>
    <n v="42.22"/>
    <n v="0.72518035039505324"/>
    <n v="1"/>
    <n v="43628960.64946042"/>
  </r>
  <r>
    <x v="4"/>
    <x v="5"/>
    <s v="Other"/>
    <x v="0"/>
    <n v="2074583126.9798479"/>
    <n v="5.3999999999999992E-2"/>
    <n v="112027488.85691178"/>
    <n v="1"/>
    <n v="1"/>
    <n v="1"/>
    <n v="1.7176228100309172E-2"/>
    <n v="1"/>
    <n v="1924209.7021111608"/>
  </r>
  <r>
    <x v="4"/>
    <x v="5"/>
    <s v="Other"/>
    <x v="1"/>
    <n v="2074583126.9798479"/>
    <n v="5.3999999999999992E-2"/>
    <n v="112027488.85691178"/>
    <n v="3"/>
    <n v="3"/>
    <n v="3"/>
    <n v="5.1528684300927517E-2"/>
    <n v="1"/>
    <n v="5772629.1063334821"/>
  </r>
  <r>
    <x v="4"/>
    <x v="5"/>
    <s v="Other"/>
    <x v="2"/>
    <n v="2074583126.9798479"/>
    <n v="5.3999999999999992E-2"/>
    <n v="112027488.85691178"/>
    <n v="5"/>
    <n v="5"/>
    <n v="5"/>
    <n v="8.5881140501545869E-2"/>
    <n v="1"/>
    <n v="9621048.5105558038"/>
  </r>
  <r>
    <x v="4"/>
    <x v="5"/>
    <s v="Other"/>
    <x v="3"/>
    <n v="2074583126.9798479"/>
    <n v="5.3999999999999992E-2"/>
    <n v="112027488.85691178"/>
    <n v="7"/>
    <n v="7"/>
    <n v="7"/>
    <n v="0.12023359670216421"/>
    <n v="1"/>
    <n v="13469467.914778126"/>
  </r>
  <r>
    <x v="4"/>
    <x v="5"/>
    <s v="Other"/>
    <x v="4"/>
    <n v="2074583126.9798479"/>
    <n v="5.3999999999999992E-2"/>
    <n v="112027488.85691178"/>
    <n v="41.2"/>
    <n v="43.24"/>
    <n v="42.22"/>
    <n v="0.72518035039505324"/>
    <n v="1"/>
    <n v="81240133.623133212"/>
  </r>
  <r>
    <x v="4"/>
    <x v="6"/>
    <s v="Work"/>
    <x v="0"/>
    <n v="202659444.47580478"/>
    <n v="0.32174999999999998"/>
    <n v="65205676.26009018"/>
    <n v="1"/>
    <n v="1"/>
    <n v="1"/>
    <n v="1.7176228100309172E-2"/>
    <n v="1"/>
    <n v="1119987.5688782237"/>
  </r>
  <r>
    <x v="4"/>
    <x v="6"/>
    <s v="Work"/>
    <x v="1"/>
    <n v="202659444.47580478"/>
    <n v="0.32174999999999998"/>
    <n v="65205676.26009018"/>
    <n v="3"/>
    <n v="3"/>
    <n v="3"/>
    <n v="5.1528684300927517E-2"/>
    <n v="1"/>
    <n v="3359962.706634671"/>
  </r>
  <r>
    <x v="4"/>
    <x v="6"/>
    <s v="Work"/>
    <x v="2"/>
    <n v="202659444.47580478"/>
    <n v="0.32174999999999998"/>
    <n v="65205676.26009018"/>
    <n v="5"/>
    <n v="5"/>
    <n v="5"/>
    <n v="8.5881140501545869E-2"/>
    <n v="1"/>
    <n v="5599937.8443911187"/>
  </r>
  <r>
    <x v="4"/>
    <x v="6"/>
    <s v="Work"/>
    <x v="3"/>
    <n v="202659444.47580478"/>
    <n v="0.32174999999999998"/>
    <n v="65205676.26009018"/>
    <n v="7"/>
    <n v="7"/>
    <n v="7"/>
    <n v="0.12023359670216421"/>
    <n v="1"/>
    <n v="7839912.982147566"/>
  </r>
  <r>
    <x v="4"/>
    <x v="6"/>
    <s v="Work"/>
    <x v="4"/>
    <n v="202659444.47580478"/>
    <n v="0.32174999999999998"/>
    <n v="65205676.26009018"/>
    <n v="41.2"/>
    <n v="43.24"/>
    <n v="42.22"/>
    <n v="0.72518035039505324"/>
    <n v="1"/>
    <n v="47285875.158038601"/>
  </r>
  <r>
    <x v="4"/>
    <x v="6"/>
    <s v="Education"/>
    <x v="0"/>
    <n v="202659444.47580478"/>
    <n v="0.1585"/>
    <n v="32121521.949415058"/>
    <n v="1"/>
    <n v="1"/>
    <n v="1"/>
    <n v="1.7176228100309172E-2"/>
    <n v="1"/>
    <n v="551726.5879322408"/>
  </r>
  <r>
    <x v="4"/>
    <x v="6"/>
    <s v="Education"/>
    <x v="1"/>
    <n v="202659444.47580478"/>
    <n v="0.1585"/>
    <n v="32121521.949415058"/>
    <n v="3"/>
    <n v="3"/>
    <n v="3"/>
    <n v="5.1528684300927517E-2"/>
    <n v="1"/>
    <n v="1655179.7637967223"/>
  </r>
  <r>
    <x v="4"/>
    <x v="6"/>
    <s v="Education"/>
    <x v="2"/>
    <n v="202659444.47580478"/>
    <n v="0.1585"/>
    <n v="32121521.949415058"/>
    <n v="5"/>
    <n v="5"/>
    <n v="5"/>
    <n v="8.5881140501545869E-2"/>
    <n v="1"/>
    <n v="2758632.9396612043"/>
  </r>
  <r>
    <x v="4"/>
    <x v="6"/>
    <s v="Education"/>
    <x v="3"/>
    <n v="202659444.47580478"/>
    <n v="0.1585"/>
    <n v="32121521.949415058"/>
    <n v="7"/>
    <n v="7"/>
    <n v="7"/>
    <n v="0.12023359670216421"/>
    <n v="1"/>
    <n v="3862086.1155256857"/>
  </r>
  <r>
    <x v="4"/>
    <x v="6"/>
    <s v="Education"/>
    <x v="4"/>
    <n v="202659444.47580478"/>
    <n v="0.1585"/>
    <n v="32121521.949415058"/>
    <n v="41.2"/>
    <n v="43.24"/>
    <n v="42.22"/>
    <n v="0.72518035039505324"/>
    <n v="1"/>
    <n v="23293896.542499207"/>
  </r>
  <r>
    <x v="4"/>
    <x v="6"/>
    <s v="Shopping"/>
    <x v="0"/>
    <n v="202659444.47580478"/>
    <n v="0.19150000000000003"/>
    <n v="38809283.617116623"/>
    <n v="1"/>
    <n v="1"/>
    <n v="1"/>
    <n v="1.7176228100309172E-2"/>
    <n v="1"/>
    <n v="666597.10781718697"/>
  </r>
  <r>
    <x v="4"/>
    <x v="6"/>
    <s v="Shopping"/>
    <x v="1"/>
    <n v="202659444.47580478"/>
    <n v="0.19150000000000003"/>
    <n v="38809283.617116623"/>
    <n v="3"/>
    <n v="3"/>
    <n v="3"/>
    <n v="5.1528684300927517E-2"/>
    <n v="1"/>
    <n v="1999791.3234515607"/>
  </r>
  <r>
    <x v="4"/>
    <x v="6"/>
    <s v="Shopping"/>
    <x v="2"/>
    <n v="202659444.47580478"/>
    <n v="0.19150000000000003"/>
    <n v="38809283.617116623"/>
    <n v="5"/>
    <n v="5"/>
    <n v="5"/>
    <n v="8.5881140501545869E-2"/>
    <n v="1"/>
    <n v="3332985.5390859349"/>
  </r>
  <r>
    <x v="4"/>
    <x v="6"/>
    <s v="Shopping"/>
    <x v="3"/>
    <n v="202659444.47580478"/>
    <n v="0.19150000000000003"/>
    <n v="38809283.617116623"/>
    <n v="7"/>
    <n v="7"/>
    <n v="7"/>
    <n v="0.12023359670216421"/>
    <n v="1"/>
    <n v="4666179.7547203088"/>
  </r>
  <r>
    <x v="4"/>
    <x v="6"/>
    <s v="Shopping"/>
    <x v="4"/>
    <n v="202659444.47580478"/>
    <n v="0.19150000000000003"/>
    <n v="38809283.617116623"/>
    <n v="41.2"/>
    <n v="43.24"/>
    <n v="42.22"/>
    <n v="0.72518035039505324"/>
    <n v="1"/>
    <n v="28143729.892041631"/>
  </r>
  <r>
    <x v="4"/>
    <x v="6"/>
    <s v="To eat or drink"/>
    <x v="0"/>
    <n v="202659444.47580478"/>
    <n v="3.4000000000000002E-2"/>
    <n v="6890421.1121773627"/>
    <n v="1"/>
    <n v="1"/>
    <n v="1"/>
    <n v="1.7176228100309172E-2"/>
    <n v="1"/>
    <n v="118351.4447299444"/>
  </r>
  <r>
    <x v="4"/>
    <x v="6"/>
    <s v="To eat or drink"/>
    <x v="1"/>
    <n v="202659444.47580478"/>
    <n v="3.4000000000000002E-2"/>
    <n v="6890421.1121773627"/>
    <n v="3"/>
    <n v="3"/>
    <n v="3"/>
    <n v="5.1528684300927517E-2"/>
    <n v="1"/>
    <n v="355054.3341898332"/>
  </r>
  <r>
    <x v="4"/>
    <x v="6"/>
    <s v="To eat or drink"/>
    <x v="2"/>
    <n v="202659444.47580478"/>
    <n v="3.4000000000000002E-2"/>
    <n v="6890421.1121773627"/>
    <n v="5"/>
    <n v="5"/>
    <n v="5"/>
    <n v="8.5881140501545869E-2"/>
    <n v="1"/>
    <n v="591757.22364972206"/>
  </r>
  <r>
    <x v="4"/>
    <x v="6"/>
    <s v="To eat or drink"/>
    <x v="3"/>
    <n v="202659444.47580478"/>
    <n v="3.4000000000000002E-2"/>
    <n v="6890421.1121773627"/>
    <n v="7"/>
    <n v="7"/>
    <n v="7"/>
    <n v="0.12023359670216421"/>
    <n v="1"/>
    <n v="828460.11310961086"/>
  </r>
  <r>
    <x v="4"/>
    <x v="6"/>
    <s v="To eat or drink"/>
    <x v="4"/>
    <n v="202659444.47580478"/>
    <n v="3.4000000000000002E-2"/>
    <n v="6890421.1121773627"/>
    <n v="41.2"/>
    <n v="43.24"/>
    <n v="42.22"/>
    <n v="0.72518035039505324"/>
    <n v="1"/>
    <n v="4996797.9964982523"/>
  </r>
  <r>
    <x v="4"/>
    <x v="6"/>
    <s v="Visit family/friends"/>
    <x v="0"/>
    <n v="202659444.47580478"/>
    <n v="7.0750000000000007E-2"/>
    <n v="14338155.69666319"/>
    <n v="1"/>
    <n v="1"/>
    <n v="1"/>
    <n v="1.7176228100309172E-2"/>
    <n v="1"/>
    <n v="246275.43278363431"/>
  </r>
  <r>
    <x v="4"/>
    <x v="6"/>
    <s v="Visit family/friends"/>
    <x v="1"/>
    <n v="202659444.47580478"/>
    <n v="7.0750000000000007E-2"/>
    <n v="14338155.69666319"/>
    <n v="3"/>
    <n v="3"/>
    <n v="3"/>
    <n v="5.1528684300927517E-2"/>
    <n v="1"/>
    <n v="738826.29835090297"/>
  </r>
  <r>
    <x v="4"/>
    <x v="6"/>
    <s v="Visit family/friends"/>
    <x v="2"/>
    <n v="202659444.47580478"/>
    <n v="7.0750000000000007E-2"/>
    <n v="14338155.69666319"/>
    <n v="5"/>
    <n v="5"/>
    <n v="5"/>
    <n v="8.5881140501545869E-2"/>
    <n v="1"/>
    <n v="1231377.1639181718"/>
  </r>
  <r>
    <x v="4"/>
    <x v="6"/>
    <s v="Visit family/friends"/>
    <x v="3"/>
    <n v="202659444.47580478"/>
    <n v="7.0750000000000007E-2"/>
    <n v="14338155.69666319"/>
    <n v="7"/>
    <n v="7"/>
    <n v="7"/>
    <n v="0.12023359670216421"/>
    <n v="1"/>
    <n v="1723928.0294854403"/>
  </r>
  <r>
    <x v="4"/>
    <x v="6"/>
    <s v="Visit family/friends"/>
    <x v="4"/>
    <n v="202659444.47580478"/>
    <n v="7.0750000000000007E-2"/>
    <n v="14338155.69666319"/>
    <n v="41.2"/>
    <n v="43.24"/>
    <n v="42.22"/>
    <n v="0.72518035039505324"/>
    <n v="1"/>
    <n v="10397748.772125041"/>
  </r>
  <r>
    <x v="4"/>
    <x v="6"/>
    <s v="Entertainment/leisure/sports"/>
    <x v="0"/>
    <n v="202659444.47580478"/>
    <n v="9.375E-2"/>
    <n v="18999322.919606697"/>
    <n v="1"/>
    <n v="1"/>
    <n v="1"/>
    <n v="1.7176228100309172E-2"/>
    <n v="1"/>
    <n v="326336.70421859663"/>
  </r>
  <r>
    <x v="4"/>
    <x v="6"/>
    <s v="Entertainment/leisure/sports"/>
    <x v="1"/>
    <n v="202659444.47580478"/>
    <n v="9.375E-2"/>
    <n v="18999322.919606697"/>
    <n v="3"/>
    <n v="3"/>
    <n v="3"/>
    <n v="5.1528684300927517E-2"/>
    <n v="1"/>
    <n v="979010.11265578994"/>
  </r>
  <r>
    <x v="4"/>
    <x v="6"/>
    <s v="Entertainment/leisure/sports"/>
    <x v="2"/>
    <n v="202659444.47580478"/>
    <n v="9.375E-2"/>
    <n v="18999322.919606697"/>
    <n v="5"/>
    <n v="5"/>
    <n v="5"/>
    <n v="8.5881140501545869E-2"/>
    <n v="1"/>
    <n v="1631683.5210929834"/>
  </r>
  <r>
    <x v="4"/>
    <x v="6"/>
    <s v="Entertainment/leisure/sports"/>
    <x v="3"/>
    <n v="202659444.47580478"/>
    <n v="9.375E-2"/>
    <n v="18999322.919606697"/>
    <n v="7"/>
    <n v="7"/>
    <n v="7"/>
    <n v="0.12023359670216421"/>
    <n v="1"/>
    <n v="2284356.9295301768"/>
  </r>
  <r>
    <x v="4"/>
    <x v="6"/>
    <s v="Entertainment/leisure/sports"/>
    <x v="4"/>
    <n v="202659444.47580478"/>
    <n v="9.375E-2"/>
    <n v="18999322.919606697"/>
    <n v="41.2"/>
    <n v="43.24"/>
    <n v="42.22"/>
    <n v="0.72518035039505324"/>
    <n v="1"/>
    <n v="13777935.65210915"/>
  </r>
  <r>
    <x v="4"/>
    <x v="6"/>
    <s v="Personal Business"/>
    <x v="0"/>
    <n v="202659444.47580478"/>
    <n v="4.5749999999999992E-2"/>
    <n v="9271669.5847680662"/>
    <n v="1"/>
    <n v="1"/>
    <n v="1"/>
    <n v="1.7176228100309172E-2"/>
    <n v="1"/>
    <n v="159252.31165867514"/>
  </r>
  <r>
    <x v="4"/>
    <x v="6"/>
    <s v="Personal Business"/>
    <x v="1"/>
    <n v="202659444.47580478"/>
    <n v="4.5749999999999992E-2"/>
    <n v="9271669.5847680662"/>
    <n v="3"/>
    <n v="3"/>
    <n v="3"/>
    <n v="5.1528684300927517E-2"/>
    <n v="1"/>
    <n v="477756.93497602543"/>
  </r>
  <r>
    <x v="4"/>
    <x v="6"/>
    <s v="Personal Business"/>
    <x v="2"/>
    <n v="202659444.47580478"/>
    <n v="4.5749999999999992E-2"/>
    <n v="9271669.5847680662"/>
    <n v="5"/>
    <n v="5"/>
    <n v="5"/>
    <n v="8.5881140501545869E-2"/>
    <n v="1"/>
    <n v="796261.55829337577"/>
  </r>
  <r>
    <x v="4"/>
    <x v="6"/>
    <s v="Personal Business"/>
    <x v="3"/>
    <n v="202659444.47580478"/>
    <n v="4.5749999999999992E-2"/>
    <n v="9271669.5847680662"/>
    <n v="7"/>
    <n v="7"/>
    <n v="7"/>
    <n v="0.12023359670216421"/>
    <n v="1"/>
    <n v="1114766.1816107261"/>
  </r>
  <r>
    <x v="4"/>
    <x v="6"/>
    <s v="Personal Business"/>
    <x v="4"/>
    <n v="202659444.47580478"/>
    <n v="4.5749999999999992E-2"/>
    <n v="9271669.5847680662"/>
    <n v="41.2"/>
    <n v="43.24"/>
    <n v="42.22"/>
    <n v="0.72518035039505324"/>
    <n v="1"/>
    <n v="6723632.5982292639"/>
  </r>
  <r>
    <x v="4"/>
    <x v="6"/>
    <s v="Companion/Escort Journey"/>
    <x v="0"/>
    <n v="202659444.47580478"/>
    <n v="2.8999999999999998E-2"/>
    <n v="5877123.8897983385"/>
    <n v="1"/>
    <n v="1"/>
    <n v="1"/>
    <n v="1.7176228100309172E-2"/>
    <n v="1"/>
    <n v="100946.82050495257"/>
  </r>
  <r>
    <x v="4"/>
    <x v="6"/>
    <s v="Companion/Escort Journey"/>
    <x v="1"/>
    <n v="202659444.47580478"/>
    <n v="2.8999999999999998E-2"/>
    <n v="5877123.8897983385"/>
    <n v="3"/>
    <n v="3"/>
    <n v="3"/>
    <n v="5.1528684300927517E-2"/>
    <n v="1"/>
    <n v="302840.46151485771"/>
  </r>
  <r>
    <x v="4"/>
    <x v="6"/>
    <s v="Companion/Escort Journey"/>
    <x v="2"/>
    <n v="202659444.47580478"/>
    <n v="2.8999999999999998E-2"/>
    <n v="5877123.8897983385"/>
    <n v="5"/>
    <n v="5"/>
    <n v="5"/>
    <n v="8.5881140501545869E-2"/>
    <n v="1"/>
    <n v="504734.10252476291"/>
  </r>
  <r>
    <x v="4"/>
    <x v="6"/>
    <s v="Companion/Escort Journey"/>
    <x v="3"/>
    <n v="202659444.47580478"/>
    <n v="2.8999999999999998E-2"/>
    <n v="5877123.8897983385"/>
    <n v="7"/>
    <n v="7"/>
    <n v="7"/>
    <n v="0.12023359670216421"/>
    <n v="1"/>
    <n v="706627.743534668"/>
  </r>
  <r>
    <x v="4"/>
    <x v="6"/>
    <s v="Companion/Escort Journey"/>
    <x v="4"/>
    <n v="202659444.47580478"/>
    <n v="2.8999999999999998E-2"/>
    <n v="5877123.8897983385"/>
    <n v="41.2"/>
    <n v="43.24"/>
    <n v="42.22"/>
    <n v="0.72518035039505324"/>
    <n v="1"/>
    <n v="4261974.7617190974"/>
  </r>
  <r>
    <x v="4"/>
    <x v="6"/>
    <s v="Other"/>
    <x v="0"/>
    <n v="202659444.47580478"/>
    <n v="5.3999999999999992E-2"/>
    <n v="10943610.001693456"/>
    <n v="1"/>
    <n v="1"/>
    <n v="1"/>
    <n v="1.7176228100309172E-2"/>
    <n v="1"/>
    <n v="187969.94162991163"/>
  </r>
  <r>
    <x v="4"/>
    <x v="6"/>
    <s v="Other"/>
    <x v="1"/>
    <n v="202659444.47580478"/>
    <n v="5.3999999999999992E-2"/>
    <n v="10943610.001693456"/>
    <n v="3"/>
    <n v="3"/>
    <n v="3"/>
    <n v="5.1528684300927517E-2"/>
    <n v="1"/>
    <n v="563909.82488973497"/>
  </r>
  <r>
    <x v="4"/>
    <x v="6"/>
    <s v="Other"/>
    <x v="2"/>
    <n v="202659444.47580478"/>
    <n v="5.3999999999999992E-2"/>
    <n v="10943610.001693456"/>
    <n v="5"/>
    <n v="5"/>
    <n v="5"/>
    <n v="8.5881140501545869E-2"/>
    <n v="1"/>
    <n v="939849.70814955828"/>
  </r>
  <r>
    <x v="4"/>
    <x v="6"/>
    <s v="Other"/>
    <x v="3"/>
    <n v="202659444.47580478"/>
    <n v="5.3999999999999992E-2"/>
    <n v="10943610.001693456"/>
    <n v="7"/>
    <n v="7"/>
    <n v="7"/>
    <n v="0.12023359670216421"/>
    <n v="1"/>
    <n v="1315789.5914093815"/>
  </r>
  <r>
    <x v="4"/>
    <x v="6"/>
    <s v="Other"/>
    <x v="4"/>
    <n v="202659444.47580478"/>
    <n v="5.3999999999999992E-2"/>
    <n v="10943610.001693456"/>
    <n v="41.2"/>
    <n v="43.24"/>
    <n v="42.22"/>
    <n v="0.72518035039505324"/>
    <n v="1"/>
    <n v="7936090.935614869"/>
  </r>
  <r>
    <x v="4"/>
    <x v="7"/>
    <s v="Work"/>
    <x v="0"/>
    <n v="4212198972.0526061"/>
    <n v="0.57799999999999996"/>
    <n v="2434651005.846406"/>
    <n v="1"/>
    <n v="1"/>
    <n v="1"/>
    <n v="1.7176228100309172E-2"/>
    <n v="1"/>
    <n v="41818121.021065027"/>
  </r>
  <r>
    <x v="4"/>
    <x v="7"/>
    <s v="Work"/>
    <x v="1"/>
    <n v="4212198972.0526061"/>
    <n v="0.57799999999999996"/>
    <n v="2434651005.846406"/>
    <n v="3"/>
    <n v="3"/>
    <n v="3"/>
    <n v="5.1528684300927517E-2"/>
    <n v="1"/>
    <n v="125454363.06319509"/>
  </r>
  <r>
    <x v="4"/>
    <x v="7"/>
    <s v="Work"/>
    <x v="2"/>
    <n v="4212198972.0526061"/>
    <n v="0.57799999999999996"/>
    <n v="2434651005.846406"/>
    <n v="5"/>
    <n v="5"/>
    <n v="5"/>
    <n v="8.5881140501545869E-2"/>
    <n v="1"/>
    <n v="209090605.10532516"/>
  </r>
  <r>
    <x v="4"/>
    <x v="7"/>
    <s v="Work"/>
    <x v="3"/>
    <n v="4212198972.0526061"/>
    <n v="0.57799999999999996"/>
    <n v="2434651005.846406"/>
    <n v="7"/>
    <n v="7"/>
    <n v="7"/>
    <n v="0.12023359670216421"/>
    <n v="1"/>
    <n v="292726847.14745522"/>
  </r>
  <r>
    <x v="4"/>
    <x v="7"/>
    <s v="Work"/>
    <x v="4"/>
    <n v="4212198972.0526061"/>
    <n v="0.57799999999999996"/>
    <n v="2434651005.846406"/>
    <n v="41.2"/>
    <n v="43.24"/>
    <n v="42.22"/>
    <n v="0.72518035039505324"/>
    <n v="1"/>
    <n v="1765561069.5093656"/>
  </r>
  <r>
    <x v="4"/>
    <x v="7"/>
    <s v="Education"/>
    <x v="0"/>
    <n v="4212198972.0526061"/>
    <n v="1.325E-2"/>
    <n v="55811636.379697032"/>
    <n v="1"/>
    <n v="1"/>
    <n v="1"/>
    <n v="1.7176228100309172E-2"/>
    <n v="1"/>
    <n v="958633.39710918989"/>
  </r>
  <r>
    <x v="4"/>
    <x v="7"/>
    <s v="Education"/>
    <x v="1"/>
    <n v="4212198972.0526061"/>
    <n v="1.325E-2"/>
    <n v="55811636.379697032"/>
    <n v="3"/>
    <n v="3"/>
    <n v="3"/>
    <n v="5.1528684300927517E-2"/>
    <n v="1"/>
    <n v="2875900.1913275695"/>
  </r>
  <r>
    <x v="4"/>
    <x v="7"/>
    <s v="Education"/>
    <x v="2"/>
    <n v="4212198972.0526061"/>
    <n v="1.325E-2"/>
    <n v="55811636.379697032"/>
    <n v="5"/>
    <n v="5"/>
    <n v="5"/>
    <n v="8.5881140501545869E-2"/>
    <n v="1"/>
    <n v="4793166.98554595"/>
  </r>
  <r>
    <x v="4"/>
    <x v="7"/>
    <s v="Education"/>
    <x v="3"/>
    <n v="4212198972.0526061"/>
    <n v="1.325E-2"/>
    <n v="55811636.379697032"/>
    <n v="7"/>
    <n v="7"/>
    <n v="7"/>
    <n v="0.12023359670216421"/>
    <n v="1"/>
    <n v="6710433.7797643291"/>
  </r>
  <r>
    <x v="4"/>
    <x v="7"/>
    <s v="Education"/>
    <x v="4"/>
    <n v="4212198972.0526061"/>
    <n v="1.325E-2"/>
    <n v="55811636.379697032"/>
    <n v="41.2"/>
    <n v="43.24"/>
    <n v="42.22"/>
    <n v="0.72518035039505324"/>
    <n v="1"/>
    <n v="40473502.025949992"/>
  </r>
  <r>
    <x v="4"/>
    <x v="7"/>
    <s v="Shopping"/>
    <x v="0"/>
    <n v="4212198972.0526061"/>
    <n v="0.10200000000000001"/>
    <n v="429644295.14936584"/>
    <n v="1"/>
    <n v="1"/>
    <n v="1"/>
    <n v="1.7176228100309172E-2"/>
    <n v="1"/>
    <n v="7379668.4154820656"/>
  </r>
  <r>
    <x v="4"/>
    <x v="7"/>
    <s v="Shopping"/>
    <x v="1"/>
    <n v="4212198972.0526061"/>
    <n v="0.10200000000000001"/>
    <n v="429644295.14936584"/>
    <n v="3"/>
    <n v="3"/>
    <n v="3"/>
    <n v="5.1528684300927517E-2"/>
    <n v="1"/>
    <n v="22139005.246446196"/>
  </r>
  <r>
    <x v="4"/>
    <x v="7"/>
    <s v="Shopping"/>
    <x v="2"/>
    <n v="4212198972.0526061"/>
    <n v="0.10200000000000001"/>
    <n v="429644295.14936584"/>
    <n v="5"/>
    <n v="5"/>
    <n v="5"/>
    <n v="8.5881140501545869E-2"/>
    <n v="1"/>
    <n v="36898342.077410333"/>
  </r>
  <r>
    <x v="4"/>
    <x v="7"/>
    <s v="Shopping"/>
    <x v="3"/>
    <n v="4212198972.0526061"/>
    <n v="0.10200000000000001"/>
    <n v="429644295.14936584"/>
    <n v="7"/>
    <n v="7"/>
    <n v="7"/>
    <n v="0.12023359670216421"/>
    <n v="1"/>
    <n v="51657678.908374459"/>
  </r>
  <r>
    <x v="4"/>
    <x v="7"/>
    <s v="Shopping"/>
    <x v="4"/>
    <n v="4212198972.0526061"/>
    <n v="0.10200000000000001"/>
    <n v="429644295.14936584"/>
    <n v="41.2"/>
    <n v="43.24"/>
    <n v="42.22"/>
    <n v="0.72518035039505324"/>
    <n v="1"/>
    <n v="311569600.50165278"/>
  </r>
  <r>
    <x v="4"/>
    <x v="7"/>
    <s v="To eat or drink"/>
    <x v="0"/>
    <n v="4212198972.0526061"/>
    <n v="3.4499999999999996E-2"/>
    <n v="145320864.53581488"/>
    <n v="1"/>
    <n v="1"/>
    <n v="1"/>
    <n v="1.7176228100309172E-2"/>
    <n v="1"/>
    <n v="2496064.3170012864"/>
  </r>
  <r>
    <x v="4"/>
    <x v="7"/>
    <s v="To eat or drink"/>
    <x v="1"/>
    <n v="4212198972.0526061"/>
    <n v="3.4499999999999996E-2"/>
    <n v="145320864.53581488"/>
    <n v="3"/>
    <n v="3"/>
    <n v="3"/>
    <n v="5.1528684300927517E-2"/>
    <n v="1"/>
    <n v="7488192.9510038588"/>
  </r>
  <r>
    <x v="4"/>
    <x v="7"/>
    <s v="To eat or drink"/>
    <x v="2"/>
    <n v="4212198972.0526061"/>
    <n v="3.4499999999999996E-2"/>
    <n v="145320864.53581488"/>
    <n v="5"/>
    <n v="5"/>
    <n v="5"/>
    <n v="8.5881140501545869E-2"/>
    <n v="1"/>
    <n v="12480321.585006433"/>
  </r>
  <r>
    <x v="4"/>
    <x v="7"/>
    <s v="To eat or drink"/>
    <x v="3"/>
    <n v="4212198972.0526061"/>
    <n v="3.4499999999999996E-2"/>
    <n v="145320864.53581488"/>
    <n v="7"/>
    <n v="7"/>
    <n v="7"/>
    <n v="0.12023359670216421"/>
    <n v="1"/>
    <n v="17472450.219009005"/>
  </r>
  <r>
    <x v="4"/>
    <x v="7"/>
    <s v="To eat or drink"/>
    <x v="4"/>
    <n v="4212198972.0526061"/>
    <n v="3.4499999999999996E-2"/>
    <n v="145320864.53581488"/>
    <n v="41.2"/>
    <n v="43.24"/>
    <n v="42.22"/>
    <n v="0.72518035039505324"/>
    <n v="1"/>
    <n v="105383835.46379431"/>
  </r>
  <r>
    <x v="4"/>
    <x v="7"/>
    <s v="Visit family/friends"/>
    <x v="0"/>
    <n v="4212198972.0526061"/>
    <n v="2.3749999999999997E-2"/>
    <n v="100039725.58624938"/>
    <n v="1"/>
    <n v="1"/>
    <n v="1"/>
    <n v="1.7176228100309172E-2"/>
    <n v="1"/>
    <n v="1718305.1457617551"/>
  </r>
  <r>
    <x v="4"/>
    <x v="7"/>
    <s v="Visit family/friends"/>
    <x v="1"/>
    <n v="4212198972.0526061"/>
    <n v="2.3749999999999997E-2"/>
    <n v="100039725.58624938"/>
    <n v="3"/>
    <n v="3"/>
    <n v="3"/>
    <n v="5.1528684300927517E-2"/>
    <n v="1"/>
    <n v="5154915.437285265"/>
  </r>
  <r>
    <x v="4"/>
    <x v="7"/>
    <s v="Visit family/friends"/>
    <x v="2"/>
    <n v="4212198972.0526061"/>
    <n v="2.3749999999999997E-2"/>
    <n v="100039725.58624938"/>
    <n v="5"/>
    <n v="5"/>
    <n v="5"/>
    <n v="8.5881140501545869E-2"/>
    <n v="1"/>
    <n v="8591525.7288087755"/>
  </r>
  <r>
    <x v="4"/>
    <x v="7"/>
    <s v="Visit family/friends"/>
    <x v="3"/>
    <n v="4212198972.0526061"/>
    <n v="2.3749999999999997E-2"/>
    <n v="100039725.58624938"/>
    <n v="7"/>
    <n v="7"/>
    <n v="7"/>
    <n v="0.12023359670216421"/>
    <n v="1"/>
    <n v="12028136.020332286"/>
  </r>
  <r>
    <x v="4"/>
    <x v="7"/>
    <s v="Visit family/friends"/>
    <x v="4"/>
    <n v="4212198972.0526061"/>
    <n v="2.3749999999999997E-2"/>
    <n v="100039725.58624938"/>
    <n v="41.2"/>
    <n v="43.24"/>
    <n v="42.22"/>
    <n v="0.72518035039505324"/>
    <n v="1"/>
    <n v="72546843.254061297"/>
  </r>
  <r>
    <x v="4"/>
    <x v="7"/>
    <s v="Entertainment/leisure/sports"/>
    <x v="0"/>
    <n v="4212198972.0526061"/>
    <n v="7.2499999999999995E-2"/>
    <n v="305384425.47381395"/>
    <n v="1"/>
    <n v="1"/>
    <n v="1"/>
    <n v="1.7176228100309172E-2"/>
    <n v="1"/>
    <n v="5245352.5502200956"/>
  </r>
  <r>
    <x v="4"/>
    <x v="7"/>
    <s v="Entertainment/leisure/sports"/>
    <x v="1"/>
    <n v="4212198972.0526061"/>
    <n v="7.2499999999999995E-2"/>
    <n v="305384425.47381395"/>
    <n v="3"/>
    <n v="3"/>
    <n v="3"/>
    <n v="5.1528684300927517E-2"/>
    <n v="1"/>
    <n v="15736057.650660286"/>
  </r>
  <r>
    <x v="4"/>
    <x v="7"/>
    <s v="Entertainment/leisure/sports"/>
    <x v="2"/>
    <n v="4212198972.0526061"/>
    <n v="7.2499999999999995E-2"/>
    <n v="305384425.47381395"/>
    <n v="5"/>
    <n v="5"/>
    <n v="5"/>
    <n v="8.5881140501545869E-2"/>
    <n v="1"/>
    <n v="26226762.751100481"/>
  </r>
  <r>
    <x v="4"/>
    <x v="7"/>
    <s v="Entertainment/leisure/sports"/>
    <x v="3"/>
    <n v="4212198972.0526061"/>
    <n v="7.2499999999999995E-2"/>
    <n v="305384425.47381395"/>
    <n v="7"/>
    <n v="7"/>
    <n v="7"/>
    <n v="0.12023359670216421"/>
    <n v="1"/>
    <n v="36717467.85154067"/>
  </r>
  <r>
    <x v="4"/>
    <x v="7"/>
    <s v="Entertainment/leisure/sports"/>
    <x v="4"/>
    <n v="4212198972.0526061"/>
    <n v="7.2499999999999995E-2"/>
    <n v="305384425.47381395"/>
    <n v="41.2"/>
    <n v="43.24"/>
    <n v="42.22"/>
    <n v="0.72518035039505324"/>
    <n v="1"/>
    <n v="221458784.67029244"/>
  </r>
  <r>
    <x v="4"/>
    <x v="7"/>
    <s v="Personal Business"/>
    <x v="0"/>
    <n v="4212198972.0526061"/>
    <n v="7.4999999999999997E-2"/>
    <n v="315914922.90394545"/>
    <n v="1"/>
    <n v="1"/>
    <n v="1"/>
    <n v="1.7176228100309172E-2"/>
    <n v="1"/>
    <n v="5426226.776089754"/>
  </r>
  <r>
    <x v="4"/>
    <x v="7"/>
    <s v="Personal Business"/>
    <x v="1"/>
    <n v="4212198972.0526061"/>
    <n v="7.4999999999999997E-2"/>
    <n v="315914922.90394545"/>
    <n v="3"/>
    <n v="3"/>
    <n v="3"/>
    <n v="5.1528684300927517E-2"/>
    <n v="1"/>
    <n v="16278680.32826926"/>
  </r>
  <r>
    <x v="4"/>
    <x v="7"/>
    <s v="Personal Business"/>
    <x v="2"/>
    <n v="4212198972.0526061"/>
    <n v="7.4999999999999997E-2"/>
    <n v="315914922.90394545"/>
    <n v="5"/>
    <n v="5"/>
    <n v="5"/>
    <n v="8.5881140501545869E-2"/>
    <n v="1"/>
    <n v="27131133.88044877"/>
  </r>
  <r>
    <x v="4"/>
    <x v="7"/>
    <s v="Personal Business"/>
    <x v="3"/>
    <n v="4212198972.0526061"/>
    <n v="7.4999999999999997E-2"/>
    <n v="315914922.90394545"/>
    <n v="7"/>
    <n v="7"/>
    <n v="7"/>
    <n v="0.12023359670216421"/>
    <n v="1"/>
    <n v="37983587.432628274"/>
  </r>
  <r>
    <x v="4"/>
    <x v="7"/>
    <s v="Personal Business"/>
    <x v="4"/>
    <n v="4212198972.0526061"/>
    <n v="7.4999999999999997E-2"/>
    <n v="315914922.90394545"/>
    <n v="41.2"/>
    <n v="43.24"/>
    <n v="42.22"/>
    <n v="0.72518035039505324"/>
    <n v="1"/>
    <n v="229095294.48650938"/>
  </r>
  <r>
    <x v="4"/>
    <x v="7"/>
    <s v="Companion/Escort Journey"/>
    <x v="0"/>
    <n v="4212198972.0526061"/>
    <n v="4.2249999999999996E-2"/>
    <n v="177965406.5692226"/>
    <n v="1"/>
    <n v="1"/>
    <n v="1"/>
    <n v="1.7176228100309172E-2"/>
    <n v="1"/>
    <n v="3056774.4171972279"/>
  </r>
  <r>
    <x v="4"/>
    <x v="7"/>
    <s v="Companion/Escort Journey"/>
    <x v="1"/>
    <n v="4212198972.0526061"/>
    <n v="4.2249999999999996E-2"/>
    <n v="177965406.5692226"/>
    <n v="3"/>
    <n v="3"/>
    <n v="3"/>
    <n v="5.1528684300927517E-2"/>
    <n v="1"/>
    <n v="9170323.2515916843"/>
  </r>
  <r>
    <x v="4"/>
    <x v="7"/>
    <s v="Companion/Escort Journey"/>
    <x v="2"/>
    <n v="4212198972.0526061"/>
    <n v="4.2249999999999996E-2"/>
    <n v="177965406.5692226"/>
    <n v="5"/>
    <n v="5"/>
    <n v="5"/>
    <n v="8.5881140501545869E-2"/>
    <n v="1"/>
    <n v="15283872.085986141"/>
  </r>
  <r>
    <x v="4"/>
    <x v="7"/>
    <s v="Companion/Escort Journey"/>
    <x v="3"/>
    <n v="4212198972.0526061"/>
    <n v="4.2249999999999996E-2"/>
    <n v="177965406.5692226"/>
    <n v="7"/>
    <n v="7"/>
    <n v="7"/>
    <n v="0.12023359670216421"/>
    <n v="1"/>
    <n v="21397420.920380596"/>
  </r>
  <r>
    <x v="4"/>
    <x v="7"/>
    <s v="Companion/Escort Journey"/>
    <x v="4"/>
    <n v="4212198972.0526061"/>
    <n v="4.2249999999999996E-2"/>
    <n v="177965406.5692226"/>
    <n v="41.2"/>
    <n v="43.24"/>
    <n v="42.22"/>
    <n v="0.72518035039505324"/>
    <n v="1"/>
    <n v="129057015.89406696"/>
  </r>
  <r>
    <x v="4"/>
    <x v="7"/>
    <s v="Other"/>
    <x v="0"/>
    <n v="4212198972.0526061"/>
    <n v="5.8749999999999997E-2"/>
    <n v="247466689.60809061"/>
    <n v="1"/>
    <n v="1"/>
    <n v="1"/>
    <n v="1.7176228100309172E-2"/>
    <n v="1"/>
    <n v="4250544.3079369739"/>
  </r>
  <r>
    <x v="4"/>
    <x v="7"/>
    <s v="Other"/>
    <x v="1"/>
    <n v="4212198972.0526061"/>
    <n v="5.8749999999999997E-2"/>
    <n v="247466689.60809061"/>
    <n v="3"/>
    <n v="3"/>
    <n v="3"/>
    <n v="5.1528684300927517E-2"/>
    <n v="1"/>
    <n v="12751632.923810922"/>
  </r>
  <r>
    <x v="4"/>
    <x v="7"/>
    <s v="Other"/>
    <x v="2"/>
    <n v="4212198972.0526061"/>
    <n v="5.8749999999999997E-2"/>
    <n v="247466689.60809061"/>
    <n v="5"/>
    <n v="5"/>
    <n v="5"/>
    <n v="8.5881140501545869E-2"/>
    <n v="1"/>
    <n v="21252721.539684869"/>
  </r>
  <r>
    <x v="4"/>
    <x v="7"/>
    <s v="Other"/>
    <x v="3"/>
    <n v="4212198972.0526061"/>
    <n v="5.8749999999999997E-2"/>
    <n v="247466689.60809061"/>
    <n v="7"/>
    <n v="7"/>
    <n v="7"/>
    <n v="0.12023359670216421"/>
    <n v="1"/>
    <n v="29753810.155558817"/>
  </r>
  <r>
    <x v="4"/>
    <x v="7"/>
    <s v="Other"/>
    <x v="4"/>
    <n v="4212198972.0526061"/>
    <n v="5.8749999999999997E-2"/>
    <n v="247466689.60809061"/>
    <n v="41.2"/>
    <n v="43.24"/>
    <n v="42.22"/>
    <n v="0.72518035039505324"/>
    <n v="1"/>
    <n v="179457980.68109903"/>
  </r>
  <r>
    <x v="5"/>
    <x v="0"/>
    <s v="Work"/>
    <x v="0"/>
    <n v="43130427324.122261"/>
    <n v="0.21325000000000002"/>
    <n v="9197563626.8690739"/>
    <n v="1"/>
    <n v="1"/>
    <n v="1"/>
    <n v="2.3282887077997669E-2"/>
    <n v="1"/>
    <n v="214145835.31709135"/>
  </r>
  <r>
    <x v="5"/>
    <x v="0"/>
    <s v="Work"/>
    <x v="1"/>
    <n v="43130427324.122261"/>
    <n v="0.21325000000000002"/>
    <n v="9197563626.8690739"/>
    <n v="3"/>
    <n v="3"/>
    <n v="3"/>
    <n v="6.9848661233993012E-2"/>
    <n v="1"/>
    <n v="642437505.95127404"/>
  </r>
  <r>
    <x v="5"/>
    <x v="0"/>
    <s v="Work"/>
    <x v="2"/>
    <n v="43130427324.122261"/>
    <n v="0.21325000000000002"/>
    <n v="9197563626.8690739"/>
    <n v="5"/>
    <n v="5"/>
    <n v="5"/>
    <n v="0.11641443538998836"/>
    <n v="1"/>
    <n v="1070729176.5854567"/>
  </r>
  <r>
    <x v="5"/>
    <x v="0"/>
    <s v="Work"/>
    <x v="3"/>
    <n v="43130427324.122261"/>
    <n v="0.21325000000000002"/>
    <n v="9197563626.8690739"/>
    <n v="7"/>
    <n v="7"/>
    <n v="7"/>
    <n v="0.16298020954598369"/>
    <n v="1"/>
    <n v="1499020847.2196393"/>
  </r>
  <r>
    <x v="5"/>
    <x v="0"/>
    <s v="Work"/>
    <x v="4"/>
    <n v="43130427324.122261"/>
    <n v="0.21325000000000002"/>
    <n v="9197563626.8690739"/>
    <n v="25.7"/>
    <n v="28.2"/>
    <n v="26.95"/>
    <n v="0.62747380675203723"/>
    <n v="1"/>
    <n v="5771230261.7956123"/>
  </r>
  <r>
    <x v="5"/>
    <x v="0"/>
    <s v="Education"/>
    <x v="0"/>
    <n v="43130427324.122261"/>
    <n v="2.0749999999999998E-2"/>
    <n v="894956366.97553682"/>
    <n v="1"/>
    <n v="1"/>
    <n v="1"/>
    <n v="2.3282887077997669E-2"/>
    <n v="1"/>
    <n v="20837168.032026466"/>
  </r>
  <r>
    <x v="5"/>
    <x v="0"/>
    <s v="Education"/>
    <x v="1"/>
    <n v="43130427324.122261"/>
    <n v="2.0749999999999998E-2"/>
    <n v="894956366.97553682"/>
    <n v="3"/>
    <n v="3"/>
    <n v="3"/>
    <n v="6.9848661233993012E-2"/>
    <n v="1"/>
    <n v="62511504.096079402"/>
  </r>
  <r>
    <x v="5"/>
    <x v="0"/>
    <s v="Education"/>
    <x v="2"/>
    <n v="43130427324.122261"/>
    <n v="2.0749999999999998E-2"/>
    <n v="894956366.97553682"/>
    <n v="5"/>
    <n v="5"/>
    <n v="5"/>
    <n v="0.11641443538998836"/>
    <n v="1"/>
    <n v="104185840.16013235"/>
  </r>
  <r>
    <x v="5"/>
    <x v="0"/>
    <s v="Education"/>
    <x v="3"/>
    <n v="43130427324.122261"/>
    <n v="2.0749999999999998E-2"/>
    <n v="894956366.97553682"/>
    <n v="7"/>
    <n v="7"/>
    <n v="7"/>
    <n v="0.16298020954598369"/>
    <n v="1"/>
    <n v="145860176.22418526"/>
  </r>
  <r>
    <x v="5"/>
    <x v="0"/>
    <s v="Education"/>
    <x v="4"/>
    <n v="43130427324.122261"/>
    <n v="2.0749999999999998E-2"/>
    <n v="894956366.97553682"/>
    <n v="25.7"/>
    <n v="28.2"/>
    <n v="26.95"/>
    <n v="0.62747380675203723"/>
    <n v="1"/>
    <n v="561561678.46311331"/>
  </r>
  <r>
    <x v="5"/>
    <x v="0"/>
    <s v="Shopping"/>
    <x v="0"/>
    <n v="43130427324.122261"/>
    <n v="0.21225000000000002"/>
    <n v="9154433199.5449505"/>
    <n v="1"/>
    <n v="1"/>
    <n v="1"/>
    <n v="2.3282887077997669E-2"/>
    <n v="1"/>
    <n v="213141634.44807798"/>
  </r>
  <r>
    <x v="5"/>
    <x v="0"/>
    <s v="Shopping"/>
    <x v="1"/>
    <n v="43130427324.122261"/>
    <n v="0.21225000000000002"/>
    <n v="9154433199.5449505"/>
    <n v="3"/>
    <n v="3"/>
    <n v="3"/>
    <n v="6.9848661233993012E-2"/>
    <n v="1"/>
    <n v="639424903.34423399"/>
  </r>
  <r>
    <x v="5"/>
    <x v="0"/>
    <s v="Shopping"/>
    <x v="2"/>
    <n v="43130427324.122261"/>
    <n v="0.21225000000000002"/>
    <n v="9154433199.5449505"/>
    <n v="5"/>
    <n v="5"/>
    <n v="5"/>
    <n v="0.11641443538998836"/>
    <n v="1"/>
    <n v="1065708172.2403901"/>
  </r>
  <r>
    <x v="5"/>
    <x v="0"/>
    <s v="Shopping"/>
    <x v="3"/>
    <n v="43130427324.122261"/>
    <n v="0.21225000000000002"/>
    <n v="9154433199.5449505"/>
    <n v="7"/>
    <n v="7"/>
    <n v="7"/>
    <n v="0.16298020954598369"/>
    <n v="1"/>
    <n v="1491991441.1365459"/>
  </r>
  <r>
    <x v="5"/>
    <x v="0"/>
    <s v="Shopping"/>
    <x v="4"/>
    <n v="43130427324.122261"/>
    <n v="0.21225000000000002"/>
    <n v="9154433199.5449505"/>
    <n v="25.7"/>
    <n v="28.2"/>
    <n v="26.95"/>
    <n v="0.62747380675203723"/>
    <n v="1"/>
    <n v="5744167048.3757019"/>
  </r>
  <r>
    <x v="5"/>
    <x v="0"/>
    <s v="To eat or drink"/>
    <x v="0"/>
    <n v="43130427324.122261"/>
    <n v="3.125E-2"/>
    <n v="1347825853.8788207"/>
    <n v="1"/>
    <n v="1"/>
    <n v="1"/>
    <n v="2.3282887077997669E-2"/>
    <n v="1"/>
    <n v="31381277.156666368"/>
  </r>
  <r>
    <x v="5"/>
    <x v="0"/>
    <s v="To eat or drink"/>
    <x v="1"/>
    <n v="43130427324.122261"/>
    <n v="3.125E-2"/>
    <n v="1347825853.8788207"/>
    <n v="3"/>
    <n v="3"/>
    <n v="3"/>
    <n v="6.9848661233993012E-2"/>
    <n v="1"/>
    <n v="94143831.469999105"/>
  </r>
  <r>
    <x v="5"/>
    <x v="0"/>
    <s v="To eat or drink"/>
    <x v="2"/>
    <n v="43130427324.122261"/>
    <n v="3.125E-2"/>
    <n v="1347825853.8788207"/>
    <n v="5"/>
    <n v="5"/>
    <n v="5"/>
    <n v="0.11641443538998836"/>
    <n v="1"/>
    <n v="156906385.78333187"/>
  </r>
  <r>
    <x v="5"/>
    <x v="0"/>
    <s v="To eat or drink"/>
    <x v="3"/>
    <n v="43130427324.122261"/>
    <n v="3.125E-2"/>
    <n v="1347825853.8788207"/>
    <n v="7"/>
    <n v="7"/>
    <n v="7"/>
    <n v="0.16298020954598369"/>
    <n v="1"/>
    <n v="219668940.09666458"/>
  </r>
  <r>
    <x v="5"/>
    <x v="0"/>
    <s v="To eat or drink"/>
    <x v="4"/>
    <n v="43130427324.122261"/>
    <n v="3.125E-2"/>
    <n v="1347825853.8788207"/>
    <n v="25.7"/>
    <n v="28.2"/>
    <n v="26.95"/>
    <n v="0.62747380675203723"/>
    <n v="1"/>
    <n v="845725419.37215865"/>
  </r>
  <r>
    <x v="5"/>
    <x v="0"/>
    <s v="Visit family/friends"/>
    <x v="0"/>
    <n v="43130427324.122261"/>
    <n v="0.11175"/>
    <n v="4819825253.4706631"/>
    <n v="1"/>
    <n v="1"/>
    <n v="1"/>
    <n v="2.3282887077997669E-2"/>
    <n v="1"/>
    <n v="112219447.11223894"/>
  </r>
  <r>
    <x v="5"/>
    <x v="0"/>
    <s v="Visit family/friends"/>
    <x v="1"/>
    <n v="43130427324.122261"/>
    <n v="0.11175"/>
    <n v="4819825253.4706631"/>
    <n v="3"/>
    <n v="3"/>
    <n v="3"/>
    <n v="6.9848661233993012E-2"/>
    <n v="1"/>
    <n v="336658341.33671683"/>
  </r>
  <r>
    <x v="5"/>
    <x v="0"/>
    <s v="Visit family/friends"/>
    <x v="2"/>
    <n v="43130427324.122261"/>
    <n v="0.11175"/>
    <n v="4819825253.4706631"/>
    <n v="5"/>
    <n v="5"/>
    <n v="5"/>
    <n v="0.11641443538998836"/>
    <n v="1"/>
    <n v="561097235.56119478"/>
  </r>
  <r>
    <x v="5"/>
    <x v="0"/>
    <s v="Visit family/friends"/>
    <x v="3"/>
    <n v="43130427324.122261"/>
    <n v="0.11175"/>
    <n v="4819825253.4706631"/>
    <n v="7"/>
    <n v="7"/>
    <n v="7"/>
    <n v="0.16298020954598369"/>
    <n v="1"/>
    <n v="785536129.78567266"/>
  </r>
  <r>
    <x v="5"/>
    <x v="0"/>
    <s v="Visit family/friends"/>
    <x v="4"/>
    <n v="43130427324.122261"/>
    <n v="0.11175"/>
    <n v="4819825253.4706631"/>
    <n v="25.7"/>
    <n v="28.2"/>
    <n v="26.95"/>
    <n v="0.62747380675203723"/>
    <n v="1"/>
    <n v="3024314099.6748395"/>
  </r>
  <r>
    <x v="5"/>
    <x v="0"/>
    <s v="Entertainment/leisure/sports"/>
    <x v="0"/>
    <n v="43130427324.122261"/>
    <n v="9.6500000000000002E-2"/>
    <n v="4162086236.7777982"/>
    <n v="1"/>
    <n v="1"/>
    <n v="1"/>
    <n v="2.3282887077997669E-2"/>
    <n v="1"/>
    <n v="96905383.859785751"/>
  </r>
  <r>
    <x v="5"/>
    <x v="0"/>
    <s v="Entertainment/leisure/sports"/>
    <x v="1"/>
    <n v="43130427324.122261"/>
    <n v="9.6500000000000002E-2"/>
    <n v="4162086236.7777982"/>
    <n v="3"/>
    <n v="3"/>
    <n v="3"/>
    <n v="6.9848661233993012E-2"/>
    <n v="1"/>
    <n v="290716151.57935727"/>
  </r>
  <r>
    <x v="5"/>
    <x v="0"/>
    <s v="Entertainment/leisure/sports"/>
    <x v="2"/>
    <n v="43130427324.122261"/>
    <n v="9.6500000000000002E-2"/>
    <n v="4162086236.7777982"/>
    <n v="5"/>
    <n v="5"/>
    <n v="5"/>
    <n v="0.11641443538998836"/>
    <n v="1"/>
    <n v="484526919.2989288"/>
  </r>
  <r>
    <x v="5"/>
    <x v="0"/>
    <s v="Entertainment/leisure/sports"/>
    <x v="3"/>
    <n v="43130427324.122261"/>
    <n v="9.6500000000000002E-2"/>
    <n v="4162086236.7777982"/>
    <n v="7"/>
    <n v="7"/>
    <n v="7"/>
    <n v="0.16298020954598369"/>
    <n v="1"/>
    <n v="678337687.01850021"/>
  </r>
  <r>
    <x v="5"/>
    <x v="0"/>
    <s v="Entertainment/leisure/sports"/>
    <x v="4"/>
    <n v="43130427324.122261"/>
    <n v="9.6500000000000002E-2"/>
    <n v="4162086236.7777982"/>
    <n v="25.7"/>
    <n v="28.2"/>
    <n v="26.95"/>
    <n v="0.62747380675203723"/>
    <n v="1"/>
    <n v="2611600095.0212259"/>
  </r>
  <r>
    <x v="5"/>
    <x v="0"/>
    <s v="Personal Business"/>
    <x v="0"/>
    <n v="43130427324.122261"/>
    <n v="5.8999999999999997E-2"/>
    <n v="2544695212.1232133"/>
    <n v="1"/>
    <n v="1"/>
    <n v="1"/>
    <n v="2.3282887077997669E-2"/>
    <n v="1"/>
    <n v="59247851.271786101"/>
  </r>
  <r>
    <x v="5"/>
    <x v="0"/>
    <s v="Personal Business"/>
    <x v="1"/>
    <n v="43130427324.122261"/>
    <n v="5.8999999999999997E-2"/>
    <n v="2544695212.1232133"/>
    <n v="3"/>
    <n v="3"/>
    <n v="3"/>
    <n v="6.9848661233993012E-2"/>
    <n v="1"/>
    <n v="177743553.81535831"/>
  </r>
  <r>
    <x v="5"/>
    <x v="0"/>
    <s v="Personal Business"/>
    <x v="2"/>
    <n v="43130427324.122261"/>
    <n v="5.8999999999999997E-2"/>
    <n v="2544695212.1232133"/>
    <n v="5"/>
    <n v="5"/>
    <n v="5"/>
    <n v="0.11641443538998836"/>
    <n v="1"/>
    <n v="296239256.35893053"/>
  </r>
  <r>
    <x v="5"/>
    <x v="0"/>
    <s v="Personal Business"/>
    <x v="3"/>
    <n v="43130427324.122261"/>
    <n v="5.8999999999999997E-2"/>
    <n v="2544695212.1232133"/>
    <n v="7"/>
    <n v="7"/>
    <n v="7"/>
    <n v="0.16298020954598369"/>
    <n v="1"/>
    <n v="414734958.90250272"/>
  </r>
  <r>
    <x v="5"/>
    <x v="0"/>
    <s v="Personal Business"/>
    <x v="4"/>
    <n v="43130427324.122261"/>
    <n v="5.8999999999999997E-2"/>
    <n v="2544695212.1232133"/>
    <n v="25.7"/>
    <n v="28.2"/>
    <n v="26.95"/>
    <n v="0.62747380675203723"/>
    <n v="1"/>
    <n v="1596729591.7746356"/>
  </r>
  <r>
    <x v="5"/>
    <x v="0"/>
    <s v="Companion/Escort Journey"/>
    <x v="0"/>
    <n v="43130427324.122261"/>
    <n v="0.22625000000000001"/>
    <n v="9758259182.0826626"/>
    <n v="1"/>
    <n v="1"/>
    <n v="1"/>
    <n v="2.3282887077997669E-2"/>
    <n v="1"/>
    <n v="227200446.61426452"/>
  </r>
  <r>
    <x v="5"/>
    <x v="0"/>
    <s v="Companion/Escort Journey"/>
    <x v="1"/>
    <n v="43130427324.122261"/>
    <n v="0.22625000000000001"/>
    <n v="9758259182.0826626"/>
    <n v="3"/>
    <n v="3"/>
    <n v="3"/>
    <n v="6.9848661233993012E-2"/>
    <n v="1"/>
    <n v="681601339.84279358"/>
  </r>
  <r>
    <x v="5"/>
    <x v="0"/>
    <s v="Companion/Escort Journey"/>
    <x v="2"/>
    <n v="43130427324.122261"/>
    <n v="0.22625000000000001"/>
    <n v="9758259182.0826626"/>
    <n v="5"/>
    <n v="5"/>
    <n v="5"/>
    <n v="0.11641443538998836"/>
    <n v="1"/>
    <n v="1136002233.0713227"/>
  </r>
  <r>
    <x v="5"/>
    <x v="0"/>
    <s v="Companion/Escort Journey"/>
    <x v="3"/>
    <n v="43130427324.122261"/>
    <n v="0.22625000000000001"/>
    <n v="9758259182.0826626"/>
    <n v="7"/>
    <n v="7"/>
    <n v="7"/>
    <n v="0.16298020954598369"/>
    <n v="1"/>
    <n v="1590403126.2998517"/>
  </r>
  <r>
    <x v="5"/>
    <x v="0"/>
    <s v="Companion/Escort Journey"/>
    <x v="4"/>
    <n v="43130427324.122261"/>
    <n v="0.22625000000000001"/>
    <n v="9758259182.0826626"/>
    <n v="25.7"/>
    <n v="28.2"/>
    <n v="26.95"/>
    <n v="0.62747380675203723"/>
    <n v="1"/>
    <n v="6123052036.2544298"/>
  </r>
  <r>
    <x v="5"/>
    <x v="0"/>
    <s v="Other"/>
    <x v="0"/>
    <n v="43130427324.122261"/>
    <n v="2.8999999999999998E-2"/>
    <n v="1250782392.3995454"/>
    <n v="1"/>
    <n v="1"/>
    <n v="1"/>
    <n v="2.3282887077997669E-2"/>
    <n v="1"/>
    <n v="29121825.201386388"/>
  </r>
  <r>
    <x v="5"/>
    <x v="0"/>
    <s v="Other"/>
    <x v="1"/>
    <n v="43130427324.122261"/>
    <n v="2.8999999999999998E-2"/>
    <n v="1250782392.3995454"/>
    <n v="3"/>
    <n v="3"/>
    <n v="3"/>
    <n v="6.9848661233993012E-2"/>
    <n v="1"/>
    <n v="87365475.604159161"/>
  </r>
  <r>
    <x v="5"/>
    <x v="0"/>
    <s v="Other"/>
    <x v="2"/>
    <n v="43130427324.122261"/>
    <n v="2.8999999999999998E-2"/>
    <n v="1250782392.3995454"/>
    <n v="5"/>
    <n v="5"/>
    <n v="5"/>
    <n v="0.11641443538998836"/>
    <n v="1"/>
    <n v="145609126.00693196"/>
  </r>
  <r>
    <x v="5"/>
    <x v="0"/>
    <s v="Other"/>
    <x v="3"/>
    <n v="43130427324.122261"/>
    <n v="2.8999999999999998E-2"/>
    <n v="1250782392.3995454"/>
    <n v="7"/>
    <n v="7"/>
    <n v="7"/>
    <n v="0.16298020954598369"/>
    <n v="1"/>
    <n v="203852776.40970472"/>
  </r>
  <r>
    <x v="5"/>
    <x v="0"/>
    <s v="Other"/>
    <x v="4"/>
    <n v="43130427324.122261"/>
    <n v="2.8999999999999998E-2"/>
    <n v="1250782392.3995454"/>
    <n v="25.7"/>
    <n v="28.2"/>
    <n v="26.95"/>
    <n v="0.62747380675203723"/>
    <n v="1"/>
    <n v="784833189.17736316"/>
  </r>
  <r>
    <x v="5"/>
    <x v="1"/>
    <s v="Work"/>
    <x v="0"/>
    <n v="10792465210.306"/>
    <n v="0.21325000000000002"/>
    <n v="2301493206.0977545"/>
    <n v="1"/>
    <n v="1"/>
    <n v="1"/>
    <n v="2.3282887077997669E-2"/>
    <n v="1"/>
    <n v="53585406.428352833"/>
  </r>
  <r>
    <x v="5"/>
    <x v="1"/>
    <s v="Work"/>
    <x v="1"/>
    <n v="10792465210.306"/>
    <n v="0.21325000000000002"/>
    <n v="2301493206.0977545"/>
    <n v="3"/>
    <n v="3"/>
    <n v="3"/>
    <n v="6.9848661233993012E-2"/>
    <n v="1"/>
    <n v="160756219.2850585"/>
  </r>
  <r>
    <x v="5"/>
    <x v="1"/>
    <s v="Work"/>
    <x v="2"/>
    <n v="10792465210.306"/>
    <n v="0.21325000000000002"/>
    <n v="2301493206.0977545"/>
    <n v="5"/>
    <n v="5"/>
    <n v="5"/>
    <n v="0.11641443538998836"/>
    <n v="1"/>
    <n v="267927032.14176419"/>
  </r>
  <r>
    <x v="5"/>
    <x v="1"/>
    <s v="Work"/>
    <x v="3"/>
    <n v="10792465210.306"/>
    <n v="0.21325000000000002"/>
    <n v="2301493206.0977545"/>
    <n v="7"/>
    <n v="7"/>
    <n v="7"/>
    <n v="0.16298020954598369"/>
    <n v="1"/>
    <n v="375097844.99846983"/>
  </r>
  <r>
    <x v="5"/>
    <x v="1"/>
    <s v="Work"/>
    <x v="4"/>
    <n v="10792465210.306"/>
    <n v="0.21325000000000002"/>
    <n v="2301493206.0977545"/>
    <n v="25.7"/>
    <n v="28.2"/>
    <n v="26.95"/>
    <n v="0.62747380675203723"/>
    <n v="1"/>
    <n v="1444126703.2441089"/>
  </r>
  <r>
    <x v="5"/>
    <x v="1"/>
    <s v="Education"/>
    <x v="0"/>
    <n v="10792465210.306"/>
    <n v="2.0749999999999998E-2"/>
    <n v="223943653.11384946"/>
    <n v="1"/>
    <n v="1"/>
    <n v="1"/>
    <n v="2.3282887077997669E-2"/>
    <n v="1"/>
    <n v="5214054.787284038"/>
  </r>
  <r>
    <x v="5"/>
    <x v="1"/>
    <s v="Education"/>
    <x v="1"/>
    <n v="10792465210.306"/>
    <n v="2.0749999999999998E-2"/>
    <n v="223943653.11384946"/>
    <n v="3"/>
    <n v="3"/>
    <n v="3"/>
    <n v="6.9848661233993012E-2"/>
    <n v="1"/>
    <n v="15642164.361852115"/>
  </r>
  <r>
    <x v="5"/>
    <x v="1"/>
    <s v="Education"/>
    <x v="2"/>
    <n v="10792465210.306"/>
    <n v="2.0749999999999998E-2"/>
    <n v="223943653.11384946"/>
    <n v="5"/>
    <n v="5"/>
    <n v="5"/>
    <n v="0.11641443538998836"/>
    <n v="1"/>
    <n v="26070273.936420195"/>
  </r>
  <r>
    <x v="5"/>
    <x v="1"/>
    <s v="Education"/>
    <x v="3"/>
    <n v="10792465210.306"/>
    <n v="2.0749999999999998E-2"/>
    <n v="223943653.11384946"/>
    <n v="7"/>
    <n v="7"/>
    <n v="7"/>
    <n v="0.16298020954598369"/>
    <n v="1"/>
    <n v="36498383.510988265"/>
  </r>
  <r>
    <x v="5"/>
    <x v="1"/>
    <s v="Education"/>
    <x v="4"/>
    <n v="10792465210.306"/>
    <n v="2.0749999999999998E-2"/>
    <n v="223943653.11384946"/>
    <n v="25.7"/>
    <n v="28.2"/>
    <n v="26.95"/>
    <n v="0.62747380675203723"/>
    <n v="1"/>
    <n v="140518776.51730484"/>
  </r>
  <r>
    <x v="5"/>
    <x v="1"/>
    <s v="Shopping"/>
    <x v="0"/>
    <n v="10792465210.306"/>
    <n v="0.21225000000000002"/>
    <n v="2290700740.8874488"/>
    <n v="1"/>
    <n v="1"/>
    <n v="1"/>
    <n v="2.3282887077997669E-2"/>
    <n v="1"/>
    <n v="53334126.679568067"/>
  </r>
  <r>
    <x v="5"/>
    <x v="1"/>
    <s v="Shopping"/>
    <x v="1"/>
    <n v="10792465210.306"/>
    <n v="0.21225000000000002"/>
    <n v="2290700740.8874488"/>
    <n v="3"/>
    <n v="3"/>
    <n v="3"/>
    <n v="6.9848661233993012E-2"/>
    <n v="1"/>
    <n v="160002380.03870422"/>
  </r>
  <r>
    <x v="5"/>
    <x v="1"/>
    <s v="Shopping"/>
    <x v="2"/>
    <n v="10792465210.306"/>
    <n v="0.21225000000000002"/>
    <n v="2290700740.8874488"/>
    <n v="5"/>
    <n v="5"/>
    <n v="5"/>
    <n v="0.11641443538998836"/>
    <n v="1"/>
    <n v="266670633.39784038"/>
  </r>
  <r>
    <x v="5"/>
    <x v="1"/>
    <s v="Shopping"/>
    <x v="3"/>
    <n v="10792465210.306"/>
    <n v="0.21225000000000002"/>
    <n v="2290700740.8874488"/>
    <n v="7"/>
    <n v="7"/>
    <n v="7"/>
    <n v="0.16298020954598369"/>
    <n v="1"/>
    <n v="373338886.75697649"/>
  </r>
  <r>
    <x v="5"/>
    <x v="1"/>
    <s v="Shopping"/>
    <x v="4"/>
    <n v="10792465210.306"/>
    <n v="0.21225000000000002"/>
    <n v="2290700740.8874488"/>
    <n v="25.7"/>
    <n v="28.2"/>
    <n v="26.95"/>
    <n v="0.62747380675203723"/>
    <n v="1"/>
    <n v="1437354714.0143595"/>
  </r>
  <r>
    <x v="5"/>
    <x v="1"/>
    <s v="To eat or drink"/>
    <x v="0"/>
    <n v="10792465210.306"/>
    <n v="3.125E-2"/>
    <n v="337264537.82206249"/>
    <n v="1"/>
    <n v="1"/>
    <n v="1"/>
    <n v="2.3282887077997669E-2"/>
    <n v="1"/>
    <n v="7852492.1495241551"/>
  </r>
  <r>
    <x v="5"/>
    <x v="1"/>
    <s v="To eat or drink"/>
    <x v="1"/>
    <n v="10792465210.306"/>
    <n v="3.125E-2"/>
    <n v="337264537.82206249"/>
    <n v="3"/>
    <n v="3"/>
    <n v="3"/>
    <n v="6.9848661233993012E-2"/>
    <n v="1"/>
    <n v="23557476.448572468"/>
  </r>
  <r>
    <x v="5"/>
    <x v="1"/>
    <s v="To eat or drink"/>
    <x v="2"/>
    <n v="10792465210.306"/>
    <n v="3.125E-2"/>
    <n v="337264537.82206249"/>
    <n v="5"/>
    <n v="5"/>
    <n v="5"/>
    <n v="0.11641443538998836"/>
    <n v="1"/>
    <n v="39262460.747620776"/>
  </r>
  <r>
    <x v="5"/>
    <x v="1"/>
    <s v="To eat or drink"/>
    <x v="3"/>
    <n v="10792465210.306"/>
    <n v="3.125E-2"/>
    <n v="337264537.82206249"/>
    <n v="7"/>
    <n v="7"/>
    <n v="7"/>
    <n v="0.16298020954598369"/>
    <n v="1"/>
    <n v="54967445.046669088"/>
  </r>
  <r>
    <x v="5"/>
    <x v="1"/>
    <s v="To eat or drink"/>
    <x v="4"/>
    <n v="10792465210.306"/>
    <n v="3.125E-2"/>
    <n v="337264537.82206249"/>
    <n v="25.7"/>
    <n v="28.2"/>
    <n v="26.95"/>
    <n v="0.62747380675203723"/>
    <n v="1"/>
    <n v="211624663.429676"/>
  </r>
  <r>
    <x v="5"/>
    <x v="1"/>
    <s v="Visit family/friends"/>
    <x v="0"/>
    <n v="10792465210.306"/>
    <n v="0.11175"/>
    <n v="1206057987.2516954"/>
    <n v="1"/>
    <n v="1"/>
    <n v="1"/>
    <n v="2.3282887077997669E-2"/>
    <n v="1"/>
    <n v="28080511.926698375"/>
  </r>
  <r>
    <x v="5"/>
    <x v="1"/>
    <s v="Visit family/friends"/>
    <x v="1"/>
    <n v="10792465210.306"/>
    <n v="0.11175"/>
    <n v="1206057987.2516954"/>
    <n v="3"/>
    <n v="3"/>
    <n v="3"/>
    <n v="6.9848661233993012E-2"/>
    <n v="1"/>
    <n v="84241535.78009513"/>
  </r>
  <r>
    <x v="5"/>
    <x v="1"/>
    <s v="Visit family/friends"/>
    <x v="2"/>
    <n v="10792465210.306"/>
    <n v="0.11175"/>
    <n v="1206057987.2516954"/>
    <n v="5"/>
    <n v="5"/>
    <n v="5"/>
    <n v="0.11641443538998836"/>
    <n v="1"/>
    <n v="140402559.6334919"/>
  </r>
  <r>
    <x v="5"/>
    <x v="1"/>
    <s v="Visit family/friends"/>
    <x v="3"/>
    <n v="10792465210.306"/>
    <n v="0.11175"/>
    <n v="1206057987.2516954"/>
    <n v="7"/>
    <n v="7"/>
    <n v="7"/>
    <n v="0.16298020954598369"/>
    <n v="1"/>
    <n v="196563583.48688865"/>
  </r>
  <r>
    <x v="5"/>
    <x v="1"/>
    <s v="Visit family/friends"/>
    <x v="4"/>
    <n v="10792465210.306"/>
    <n v="0.11175"/>
    <n v="1206057987.2516954"/>
    <n v="25.7"/>
    <n v="28.2"/>
    <n v="26.95"/>
    <n v="0.62747380675203723"/>
    <n v="1"/>
    <n v="756769796.42452133"/>
  </r>
  <r>
    <x v="5"/>
    <x v="1"/>
    <s v="Entertainment/leisure/sports"/>
    <x v="0"/>
    <n v="10792465210.306"/>
    <n v="9.6500000000000002E-2"/>
    <n v="1041472892.794529"/>
    <n v="1"/>
    <n v="1"/>
    <n v="1"/>
    <n v="2.3282887077997669E-2"/>
    <n v="1"/>
    <n v="24248495.757730592"/>
  </r>
  <r>
    <x v="5"/>
    <x v="1"/>
    <s v="Entertainment/leisure/sports"/>
    <x v="1"/>
    <n v="10792465210.306"/>
    <n v="9.6500000000000002E-2"/>
    <n v="1041472892.794529"/>
    <n v="3"/>
    <n v="3"/>
    <n v="3"/>
    <n v="6.9848661233993012E-2"/>
    <n v="1"/>
    <n v="72745487.27319178"/>
  </r>
  <r>
    <x v="5"/>
    <x v="1"/>
    <s v="Entertainment/leisure/sports"/>
    <x v="2"/>
    <n v="10792465210.306"/>
    <n v="9.6500000000000002E-2"/>
    <n v="1041472892.794529"/>
    <n v="5"/>
    <n v="5"/>
    <n v="5"/>
    <n v="0.11641443538998836"/>
    <n v="1"/>
    <n v="121242478.78865296"/>
  </r>
  <r>
    <x v="5"/>
    <x v="1"/>
    <s v="Entertainment/leisure/sports"/>
    <x v="3"/>
    <n v="10792465210.306"/>
    <n v="9.6500000000000002E-2"/>
    <n v="1041472892.794529"/>
    <n v="7"/>
    <n v="7"/>
    <n v="7"/>
    <n v="0.16298020954598369"/>
    <n v="1"/>
    <n v="169739470.30411413"/>
  </r>
  <r>
    <x v="5"/>
    <x v="1"/>
    <s v="Entertainment/leisure/sports"/>
    <x v="4"/>
    <n v="10792465210.306"/>
    <n v="9.6500000000000002E-2"/>
    <n v="1041472892.794529"/>
    <n v="25.7"/>
    <n v="28.2"/>
    <n v="26.95"/>
    <n v="0.62747380675203723"/>
    <n v="1"/>
    <n v="653496960.67083943"/>
  </r>
  <r>
    <x v="5"/>
    <x v="1"/>
    <s v="Personal Business"/>
    <x v="0"/>
    <n v="10792465210.306"/>
    <n v="5.8999999999999997E-2"/>
    <n v="636755447.40805399"/>
    <n v="1"/>
    <n v="1"/>
    <n v="1"/>
    <n v="2.3282887077997669E-2"/>
    <n v="1"/>
    <n v="14825505.178301604"/>
  </r>
  <r>
    <x v="5"/>
    <x v="1"/>
    <s v="Personal Business"/>
    <x v="1"/>
    <n v="10792465210.306"/>
    <n v="5.8999999999999997E-2"/>
    <n v="636755447.40805399"/>
    <n v="3"/>
    <n v="3"/>
    <n v="3"/>
    <n v="6.9848661233993012E-2"/>
    <n v="1"/>
    <n v="44476515.534904815"/>
  </r>
  <r>
    <x v="5"/>
    <x v="1"/>
    <s v="Personal Business"/>
    <x v="2"/>
    <n v="10792465210.306"/>
    <n v="5.8999999999999997E-2"/>
    <n v="636755447.40805399"/>
    <n v="5"/>
    <n v="5"/>
    <n v="5"/>
    <n v="0.11641443538998836"/>
    <n v="1"/>
    <n v="74127525.891508028"/>
  </r>
  <r>
    <x v="5"/>
    <x v="1"/>
    <s v="Personal Business"/>
    <x v="3"/>
    <n v="10792465210.306"/>
    <n v="5.8999999999999997E-2"/>
    <n v="636755447.40805399"/>
    <n v="7"/>
    <n v="7"/>
    <n v="7"/>
    <n v="0.16298020954598369"/>
    <n v="1"/>
    <n v="103778536.24811123"/>
  </r>
  <r>
    <x v="5"/>
    <x v="1"/>
    <s v="Personal Business"/>
    <x v="4"/>
    <n v="10792465210.306"/>
    <n v="5.8999999999999997E-2"/>
    <n v="636755447.40805399"/>
    <n v="25.7"/>
    <n v="28.2"/>
    <n v="26.95"/>
    <n v="0.62747380675203723"/>
    <n v="1"/>
    <n v="399547364.55522829"/>
  </r>
  <r>
    <x v="5"/>
    <x v="1"/>
    <s v="Companion/Escort Journey"/>
    <x v="0"/>
    <n v="10792465210.306"/>
    <n v="0.22625000000000001"/>
    <n v="2441795253.8317327"/>
    <n v="1"/>
    <n v="1"/>
    <n v="1"/>
    <n v="2.3282887077997669E-2"/>
    <n v="1"/>
    <n v="56852043.16255489"/>
  </r>
  <r>
    <x v="5"/>
    <x v="1"/>
    <s v="Companion/Escort Journey"/>
    <x v="1"/>
    <n v="10792465210.306"/>
    <n v="0.22625000000000001"/>
    <n v="2441795253.8317327"/>
    <n v="3"/>
    <n v="3"/>
    <n v="3"/>
    <n v="6.9848661233993012E-2"/>
    <n v="1"/>
    <n v="170556129.48766467"/>
  </r>
  <r>
    <x v="5"/>
    <x v="1"/>
    <s v="Companion/Escort Journey"/>
    <x v="2"/>
    <n v="10792465210.306"/>
    <n v="0.22625000000000001"/>
    <n v="2441795253.8317327"/>
    <n v="5"/>
    <n v="5"/>
    <n v="5"/>
    <n v="0.11641443538998836"/>
    <n v="1"/>
    <n v="284260215.81277448"/>
  </r>
  <r>
    <x v="5"/>
    <x v="1"/>
    <s v="Companion/Escort Journey"/>
    <x v="3"/>
    <n v="10792465210.306"/>
    <n v="0.22625000000000001"/>
    <n v="2441795253.8317327"/>
    <n v="7"/>
    <n v="7"/>
    <n v="7"/>
    <n v="0.16298020954598369"/>
    <n v="1"/>
    <n v="397964302.13788426"/>
  </r>
  <r>
    <x v="5"/>
    <x v="1"/>
    <s v="Companion/Escort Journey"/>
    <x v="4"/>
    <n v="10792465210.306"/>
    <n v="0.22625000000000001"/>
    <n v="2441795253.8317327"/>
    <n v="25.7"/>
    <n v="28.2"/>
    <n v="26.95"/>
    <n v="0.62747380675203723"/>
    <n v="1"/>
    <n v="1532162563.2308543"/>
  </r>
  <r>
    <x v="5"/>
    <x v="1"/>
    <s v="Other"/>
    <x v="0"/>
    <n v="10792465210.306"/>
    <n v="2.8999999999999998E-2"/>
    <n v="312981491.09887397"/>
    <n v="1"/>
    <n v="1"/>
    <n v="1"/>
    <n v="2.3282887077997669E-2"/>
    <n v="1"/>
    <n v="7287112.7147584157"/>
  </r>
  <r>
    <x v="5"/>
    <x v="1"/>
    <s v="Other"/>
    <x v="1"/>
    <n v="10792465210.306"/>
    <n v="2.8999999999999998E-2"/>
    <n v="312981491.09887397"/>
    <n v="3"/>
    <n v="3"/>
    <n v="3"/>
    <n v="6.9848661233993012E-2"/>
    <n v="1"/>
    <n v="21861338.144275248"/>
  </r>
  <r>
    <x v="5"/>
    <x v="1"/>
    <s v="Other"/>
    <x v="2"/>
    <n v="10792465210.306"/>
    <n v="2.8999999999999998E-2"/>
    <n v="312981491.09887397"/>
    <n v="5"/>
    <n v="5"/>
    <n v="5"/>
    <n v="0.11641443538998836"/>
    <n v="1"/>
    <n v="36435563.573792078"/>
  </r>
  <r>
    <x v="5"/>
    <x v="1"/>
    <s v="Other"/>
    <x v="3"/>
    <n v="10792465210.306"/>
    <n v="2.8999999999999998E-2"/>
    <n v="312981491.09887397"/>
    <n v="7"/>
    <n v="7"/>
    <n v="7"/>
    <n v="0.16298020954598369"/>
    <n v="1"/>
    <n v="51009789.003308907"/>
  </r>
  <r>
    <x v="5"/>
    <x v="1"/>
    <s v="Other"/>
    <x v="4"/>
    <n v="10792465210.306"/>
    <n v="2.8999999999999998E-2"/>
    <n v="312981491.09887397"/>
    <n v="25.7"/>
    <n v="28.2"/>
    <n v="26.95"/>
    <n v="0.62747380675203723"/>
    <n v="1"/>
    <n v="196387687.66273931"/>
  </r>
  <r>
    <x v="5"/>
    <x v="2"/>
    <s v="Work"/>
    <x v="0"/>
    <n v="303409408.69538796"/>
    <n v="0.20975000000000002"/>
    <n v="63640123.473857634"/>
    <n v="1"/>
    <n v="1"/>
    <n v="1"/>
    <n v="2.3282887077997669E-2"/>
    <n v="1"/>
    <n v="1481725.8084716562"/>
  </r>
  <r>
    <x v="5"/>
    <x v="2"/>
    <s v="Work"/>
    <x v="1"/>
    <n v="303409408.69538796"/>
    <n v="0.20975000000000002"/>
    <n v="63640123.473857634"/>
    <n v="3"/>
    <n v="3"/>
    <n v="3"/>
    <n v="6.9848661233993012E-2"/>
    <n v="1"/>
    <n v="4445177.4254149683"/>
  </r>
  <r>
    <x v="5"/>
    <x v="2"/>
    <s v="Work"/>
    <x v="2"/>
    <n v="303409408.69538796"/>
    <n v="0.20975000000000002"/>
    <n v="63640123.473857634"/>
    <n v="5"/>
    <n v="5"/>
    <n v="5"/>
    <n v="0.11641443538998836"/>
    <n v="1"/>
    <n v="7408629.0423582811"/>
  </r>
  <r>
    <x v="5"/>
    <x v="2"/>
    <s v="Work"/>
    <x v="3"/>
    <n v="303409408.69538796"/>
    <n v="0.20975000000000002"/>
    <n v="63640123.473857634"/>
    <n v="7"/>
    <n v="7"/>
    <n v="7"/>
    <n v="0.16298020954598369"/>
    <n v="1"/>
    <n v="10372080.659301592"/>
  </r>
  <r>
    <x v="5"/>
    <x v="2"/>
    <s v="Work"/>
    <x v="4"/>
    <n v="303409408.69538796"/>
    <n v="0.20975000000000002"/>
    <n v="63640123.473857634"/>
    <n v="25.7"/>
    <n v="28.2"/>
    <n v="26.95"/>
    <n v="0.62747380675203723"/>
    <n v="1"/>
    <n v="39932510.538311131"/>
  </r>
  <r>
    <x v="5"/>
    <x v="2"/>
    <s v="Education"/>
    <x v="0"/>
    <n v="303409408.69538796"/>
    <n v="3.6749999999999998E-2"/>
    <n v="11150295.769555507"/>
    <n v="1"/>
    <n v="1"/>
    <n v="1"/>
    <n v="2.3282887077997669E-2"/>
    <n v="1"/>
    <n v="259611.07728883601"/>
  </r>
  <r>
    <x v="5"/>
    <x v="2"/>
    <s v="Education"/>
    <x v="1"/>
    <n v="303409408.69538796"/>
    <n v="3.6749999999999998E-2"/>
    <n v="11150295.769555507"/>
    <n v="3"/>
    <n v="3"/>
    <n v="3"/>
    <n v="6.9848661233993012E-2"/>
    <n v="1"/>
    <n v="778833.23186650802"/>
  </r>
  <r>
    <x v="5"/>
    <x v="2"/>
    <s v="Education"/>
    <x v="2"/>
    <n v="303409408.69538796"/>
    <n v="3.6749999999999998E-2"/>
    <n v="11150295.769555507"/>
    <n v="5"/>
    <n v="5"/>
    <n v="5"/>
    <n v="0.11641443538998836"/>
    <n v="1"/>
    <n v="1298055.38644418"/>
  </r>
  <r>
    <x v="5"/>
    <x v="2"/>
    <s v="Education"/>
    <x v="3"/>
    <n v="303409408.69538796"/>
    <n v="3.6749999999999998E-2"/>
    <n v="11150295.769555507"/>
    <n v="7"/>
    <n v="7"/>
    <n v="7"/>
    <n v="0.16298020954598369"/>
    <n v="1"/>
    <n v="1817277.5410218521"/>
  </r>
  <r>
    <x v="5"/>
    <x v="2"/>
    <s v="Education"/>
    <x v="4"/>
    <n v="303409408.69538796"/>
    <n v="3.6749999999999998E-2"/>
    <n v="11150295.769555507"/>
    <n v="25.7"/>
    <n v="28.2"/>
    <n v="26.95"/>
    <n v="0.62747380675203723"/>
    <n v="1"/>
    <n v="6996518.5329341302"/>
  </r>
  <r>
    <x v="5"/>
    <x v="2"/>
    <s v="Shopping"/>
    <x v="0"/>
    <n v="303409408.69538796"/>
    <n v="0.24875"/>
    <n v="75473090.412977755"/>
    <n v="1"/>
    <n v="1"/>
    <n v="1"/>
    <n v="2.3282887077997669E-2"/>
    <n v="1"/>
    <n v="1757231.4415128697"/>
  </r>
  <r>
    <x v="5"/>
    <x v="2"/>
    <s v="Shopping"/>
    <x v="1"/>
    <n v="303409408.69538796"/>
    <n v="0.24875"/>
    <n v="75473090.412977755"/>
    <n v="3"/>
    <n v="3"/>
    <n v="3"/>
    <n v="6.9848661233993012E-2"/>
    <n v="1"/>
    <n v="5271694.324538609"/>
  </r>
  <r>
    <x v="5"/>
    <x v="2"/>
    <s v="Shopping"/>
    <x v="2"/>
    <n v="303409408.69538796"/>
    <n v="0.24875"/>
    <n v="75473090.412977755"/>
    <n v="5"/>
    <n v="5"/>
    <n v="5"/>
    <n v="0.11641443538998836"/>
    <n v="1"/>
    <n v="8786157.2075643484"/>
  </r>
  <r>
    <x v="5"/>
    <x v="2"/>
    <s v="Shopping"/>
    <x v="3"/>
    <n v="303409408.69538796"/>
    <n v="0.24875"/>
    <n v="75473090.412977755"/>
    <n v="7"/>
    <n v="7"/>
    <n v="7"/>
    <n v="0.16298020954598369"/>
    <n v="1"/>
    <n v="12300620.090590088"/>
  </r>
  <r>
    <x v="5"/>
    <x v="2"/>
    <s v="Shopping"/>
    <x v="4"/>
    <n v="303409408.69538796"/>
    <n v="0.24875"/>
    <n v="75473090.412977755"/>
    <n v="25.7"/>
    <n v="28.2"/>
    <n v="26.95"/>
    <n v="0.62747380675203723"/>
    <n v="1"/>
    <n v="47357387.34877184"/>
  </r>
  <r>
    <x v="5"/>
    <x v="2"/>
    <s v="To eat or drink"/>
    <x v="0"/>
    <n v="303409408.69538796"/>
    <n v="5.8249999999999996E-2"/>
    <n v="17673598.056506347"/>
    <n v="1"/>
    <n v="1"/>
    <n v="1"/>
    <n v="2.3282887077997669E-2"/>
    <n v="1"/>
    <n v="411492.38781155634"/>
  </r>
  <r>
    <x v="5"/>
    <x v="2"/>
    <s v="To eat or drink"/>
    <x v="1"/>
    <n v="303409408.69538796"/>
    <n v="5.8249999999999996E-2"/>
    <n v="17673598.056506347"/>
    <n v="3"/>
    <n v="3"/>
    <n v="3"/>
    <n v="6.9848661233993012E-2"/>
    <n v="1"/>
    <n v="1234477.1634346691"/>
  </r>
  <r>
    <x v="5"/>
    <x v="2"/>
    <s v="To eat or drink"/>
    <x v="2"/>
    <n v="303409408.69538796"/>
    <n v="5.8249999999999996E-2"/>
    <n v="17673598.056506347"/>
    <n v="5"/>
    <n v="5"/>
    <n v="5"/>
    <n v="0.11641443538998836"/>
    <n v="1"/>
    <n v="2057461.9390577818"/>
  </r>
  <r>
    <x v="5"/>
    <x v="2"/>
    <s v="To eat or drink"/>
    <x v="3"/>
    <n v="303409408.69538796"/>
    <n v="5.8249999999999996E-2"/>
    <n v="17673598.056506347"/>
    <n v="7"/>
    <n v="7"/>
    <n v="7"/>
    <n v="0.16298020954598369"/>
    <n v="1"/>
    <n v="2880446.7146808943"/>
  </r>
  <r>
    <x v="5"/>
    <x v="2"/>
    <s v="To eat or drink"/>
    <x v="4"/>
    <n v="303409408.69538796"/>
    <n v="5.8249999999999996E-2"/>
    <n v="17673598.056506347"/>
    <n v="25.7"/>
    <n v="28.2"/>
    <n v="26.95"/>
    <n v="0.62747380675203723"/>
    <n v="1"/>
    <n v="11089719.851521444"/>
  </r>
  <r>
    <x v="5"/>
    <x v="2"/>
    <s v="Visit family/friends"/>
    <x v="0"/>
    <n v="303409408.69538796"/>
    <n v="8.0499999999999988E-2"/>
    <n v="24424457.399978727"/>
    <n v="1"/>
    <n v="1"/>
    <n v="1"/>
    <n v="2.3282887077997669E-2"/>
    <n v="1"/>
    <n v="568671.88358506921"/>
  </r>
  <r>
    <x v="5"/>
    <x v="2"/>
    <s v="Visit family/friends"/>
    <x v="1"/>
    <n v="303409408.69538796"/>
    <n v="8.0499999999999988E-2"/>
    <n v="24424457.399978727"/>
    <n v="3"/>
    <n v="3"/>
    <n v="3"/>
    <n v="6.9848661233993012E-2"/>
    <n v="1"/>
    <n v="1706015.6507552078"/>
  </r>
  <r>
    <x v="5"/>
    <x v="2"/>
    <s v="Visit family/friends"/>
    <x v="2"/>
    <n v="303409408.69538796"/>
    <n v="8.0499999999999988E-2"/>
    <n v="24424457.399978727"/>
    <n v="5"/>
    <n v="5"/>
    <n v="5"/>
    <n v="0.11641443538998836"/>
    <n v="1"/>
    <n v="2843359.4179253466"/>
  </r>
  <r>
    <x v="5"/>
    <x v="2"/>
    <s v="Visit family/friends"/>
    <x v="3"/>
    <n v="303409408.69538796"/>
    <n v="8.0499999999999988E-2"/>
    <n v="24424457.399978727"/>
    <n v="7"/>
    <n v="7"/>
    <n v="7"/>
    <n v="0.16298020954598369"/>
    <n v="1"/>
    <n v="3980703.1850954848"/>
  </r>
  <r>
    <x v="5"/>
    <x v="2"/>
    <s v="Visit family/friends"/>
    <x v="4"/>
    <n v="303409408.69538796"/>
    <n v="8.0499999999999988E-2"/>
    <n v="24424457.399978727"/>
    <n v="25.7"/>
    <n v="28.2"/>
    <n v="26.95"/>
    <n v="0.62747380675203723"/>
    <n v="1"/>
    <n v="15325707.262617618"/>
  </r>
  <r>
    <x v="5"/>
    <x v="2"/>
    <s v="Entertainment/leisure/sports"/>
    <x v="0"/>
    <n v="303409408.69538796"/>
    <n v="0.10050000000000001"/>
    <n v="30492645.573886491"/>
    <n v="1"/>
    <n v="1"/>
    <n v="1"/>
    <n v="2.3282887077997669E-2"/>
    <n v="1"/>
    <n v="709956.82360620459"/>
  </r>
  <r>
    <x v="5"/>
    <x v="2"/>
    <s v="Entertainment/leisure/sports"/>
    <x v="1"/>
    <n v="303409408.69538796"/>
    <n v="0.10050000000000001"/>
    <n v="30492645.573886491"/>
    <n v="3"/>
    <n v="3"/>
    <n v="3"/>
    <n v="6.9848661233993012E-2"/>
    <n v="1"/>
    <n v="2129870.4708186141"/>
  </r>
  <r>
    <x v="5"/>
    <x v="2"/>
    <s v="Entertainment/leisure/sports"/>
    <x v="2"/>
    <n v="303409408.69538796"/>
    <n v="0.10050000000000001"/>
    <n v="30492645.573886491"/>
    <n v="5"/>
    <n v="5"/>
    <n v="5"/>
    <n v="0.11641443538998836"/>
    <n v="1"/>
    <n v="3549784.1180310235"/>
  </r>
  <r>
    <x v="5"/>
    <x v="2"/>
    <s v="Entertainment/leisure/sports"/>
    <x v="3"/>
    <n v="303409408.69538796"/>
    <n v="0.10050000000000001"/>
    <n v="30492645.573886491"/>
    <n v="7"/>
    <n v="7"/>
    <n v="7"/>
    <n v="0.16298020954598369"/>
    <n v="1"/>
    <n v="4969697.7652434325"/>
  </r>
  <r>
    <x v="5"/>
    <x v="2"/>
    <s v="Entertainment/leisure/sports"/>
    <x v="4"/>
    <n v="303409408.69538796"/>
    <n v="0.10050000000000001"/>
    <n v="30492645.573886491"/>
    <n v="25.7"/>
    <n v="28.2"/>
    <n v="26.95"/>
    <n v="0.62747380675203723"/>
    <n v="1"/>
    <n v="19133336.396187216"/>
  </r>
  <r>
    <x v="5"/>
    <x v="2"/>
    <s v="Personal Business"/>
    <x v="0"/>
    <n v="303409408.69538796"/>
    <n v="4.4999999999999998E-2"/>
    <n v="13653423.391292458"/>
    <n v="1"/>
    <n v="1"/>
    <n v="1"/>
    <n v="2.3282887077997669E-2"/>
    <n v="1"/>
    <n v="317891.11504755431"/>
  </r>
  <r>
    <x v="5"/>
    <x v="2"/>
    <s v="Personal Business"/>
    <x v="1"/>
    <n v="303409408.69538796"/>
    <n v="4.4999999999999998E-2"/>
    <n v="13653423.391292458"/>
    <n v="3"/>
    <n v="3"/>
    <n v="3"/>
    <n v="6.9848661233993012E-2"/>
    <n v="1"/>
    <n v="953673.34514266299"/>
  </r>
  <r>
    <x v="5"/>
    <x v="2"/>
    <s v="Personal Business"/>
    <x v="2"/>
    <n v="303409408.69538796"/>
    <n v="4.4999999999999998E-2"/>
    <n v="13653423.391292458"/>
    <n v="5"/>
    <n v="5"/>
    <n v="5"/>
    <n v="0.11641443538998836"/>
    <n v="1"/>
    <n v="1589455.5752377717"/>
  </r>
  <r>
    <x v="5"/>
    <x v="2"/>
    <s v="Personal Business"/>
    <x v="3"/>
    <n v="303409408.69538796"/>
    <n v="4.4999999999999998E-2"/>
    <n v="13653423.391292458"/>
    <n v="7"/>
    <n v="7"/>
    <n v="7"/>
    <n v="0.16298020954598369"/>
    <n v="1"/>
    <n v="2225237.80533288"/>
  </r>
  <r>
    <x v="5"/>
    <x v="2"/>
    <s v="Personal Business"/>
    <x v="4"/>
    <n v="303409408.69538796"/>
    <n v="4.4999999999999998E-2"/>
    <n v="13653423.391292458"/>
    <n v="25.7"/>
    <n v="28.2"/>
    <n v="26.95"/>
    <n v="0.62747380675203723"/>
    <n v="1"/>
    <n v="8567165.5505315885"/>
  </r>
  <r>
    <x v="5"/>
    <x v="2"/>
    <s v="Companion/Escort Journey"/>
    <x v="0"/>
    <n v="303409408.69538796"/>
    <n v="0.1525"/>
    <n v="46269934.826046661"/>
    <n v="1"/>
    <n v="1"/>
    <n v="1"/>
    <n v="2.3282887077997669E-2"/>
    <n v="1"/>
    <n v="1077297.667661156"/>
  </r>
  <r>
    <x v="5"/>
    <x v="2"/>
    <s v="Companion/Escort Journey"/>
    <x v="1"/>
    <n v="303409408.69538796"/>
    <n v="0.1525"/>
    <n v="46269934.826046661"/>
    <n v="3"/>
    <n v="3"/>
    <n v="3"/>
    <n v="6.9848661233993012E-2"/>
    <n v="1"/>
    <n v="3231893.0029834686"/>
  </r>
  <r>
    <x v="5"/>
    <x v="2"/>
    <s v="Companion/Escort Journey"/>
    <x v="2"/>
    <n v="303409408.69538796"/>
    <n v="0.1525"/>
    <n v="46269934.826046661"/>
    <n v="5"/>
    <n v="5"/>
    <n v="5"/>
    <n v="0.11641443538998836"/>
    <n v="1"/>
    <n v="5386488.3383057816"/>
  </r>
  <r>
    <x v="5"/>
    <x v="2"/>
    <s v="Companion/Escort Journey"/>
    <x v="3"/>
    <n v="303409408.69538796"/>
    <n v="0.1525"/>
    <n v="46269934.826046661"/>
    <n v="7"/>
    <n v="7"/>
    <n v="7"/>
    <n v="0.16298020954598369"/>
    <n v="1"/>
    <n v="7541083.6736280927"/>
  </r>
  <r>
    <x v="5"/>
    <x v="2"/>
    <s v="Companion/Escort Journey"/>
    <x v="4"/>
    <n v="303409408.69538796"/>
    <n v="0.1525"/>
    <n v="46269934.826046661"/>
    <n v="25.7"/>
    <n v="28.2"/>
    <n v="26.95"/>
    <n v="0.62747380675203723"/>
    <n v="1"/>
    <n v="29033172.14346816"/>
  </r>
  <r>
    <x v="5"/>
    <x v="2"/>
    <s v="Other"/>
    <x v="0"/>
    <n v="303409408.69538796"/>
    <n v="6.724999999999999E-2"/>
    <n v="20404282.734764837"/>
    <n v="1"/>
    <n v="1"/>
    <n v="1"/>
    <n v="2.3282887077997669E-2"/>
    <n v="1"/>
    <n v="475070.61082106718"/>
  </r>
  <r>
    <x v="5"/>
    <x v="2"/>
    <s v="Other"/>
    <x v="1"/>
    <n v="303409408.69538796"/>
    <n v="6.724999999999999E-2"/>
    <n v="20404282.734764837"/>
    <n v="3"/>
    <n v="3"/>
    <n v="3"/>
    <n v="6.9848661233993012E-2"/>
    <n v="1"/>
    <n v="1425211.8324632016"/>
  </r>
  <r>
    <x v="5"/>
    <x v="2"/>
    <s v="Other"/>
    <x v="2"/>
    <n v="303409408.69538796"/>
    <n v="6.724999999999999E-2"/>
    <n v="20404282.734764837"/>
    <n v="5"/>
    <n v="5"/>
    <n v="5"/>
    <n v="0.11641443538998836"/>
    <n v="1"/>
    <n v="2375353.0541053358"/>
  </r>
  <r>
    <x v="5"/>
    <x v="2"/>
    <s v="Other"/>
    <x v="3"/>
    <n v="303409408.69538796"/>
    <n v="6.724999999999999E-2"/>
    <n v="20404282.734764837"/>
    <n v="7"/>
    <n v="7"/>
    <n v="7"/>
    <n v="0.16298020954598369"/>
    <n v="1"/>
    <n v="3325494.2757474701"/>
  </r>
  <r>
    <x v="5"/>
    <x v="2"/>
    <s v="Other"/>
    <x v="4"/>
    <n v="303409408.69538796"/>
    <n v="6.724999999999999E-2"/>
    <n v="20404282.734764837"/>
    <n v="25.7"/>
    <n v="28.2"/>
    <n v="26.95"/>
    <n v="0.62747380675203723"/>
    <n v="1"/>
    <n v="12803152.961627761"/>
  </r>
  <r>
    <x v="5"/>
    <x v="3"/>
    <s v="Work"/>
    <x v="0"/>
    <n v="3642740747.0555634"/>
    <n v="0.35425000000000006"/>
    <n v="1290440909.6444335"/>
    <n v="1"/>
    <n v="1"/>
    <n v="1"/>
    <n v="2.3282887077997669E-2"/>
    <n v="1"/>
    <n v="30045189.980079938"/>
  </r>
  <r>
    <x v="5"/>
    <x v="3"/>
    <s v="Work"/>
    <x v="1"/>
    <n v="3642740747.0555634"/>
    <n v="0.35425000000000006"/>
    <n v="1290440909.6444335"/>
    <n v="3"/>
    <n v="3"/>
    <n v="3"/>
    <n v="6.9848661233993012E-2"/>
    <n v="1"/>
    <n v="90135569.940239817"/>
  </r>
  <r>
    <x v="5"/>
    <x v="3"/>
    <s v="Work"/>
    <x v="2"/>
    <n v="3642740747.0555634"/>
    <n v="0.35425000000000006"/>
    <n v="1290440909.6444335"/>
    <n v="5"/>
    <n v="5"/>
    <n v="5"/>
    <n v="0.11641443538998836"/>
    <n v="1"/>
    <n v="150225949.90039971"/>
  </r>
  <r>
    <x v="5"/>
    <x v="3"/>
    <s v="Work"/>
    <x v="3"/>
    <n v="3642740747.0555634"/>
    <n v="0.35425000000000006"/>
    <n v="1290440909.6444335"/>
    <n v="7"/>
    <n v="7"/>
    <n v="7"/>
    <n v="0.16298020954598369"/>
    <n v="1"/>
    <n v="210316329.86055958"/>
  </r>
  <r>
    <x v="5"/>
    <x v="3"/>
    <s v="Work"/>
    <x v="4"/>
    <n v="3642740747.0555634"/>
    <n v="0.35425000000000006"/>
    <n v="1290440909.6444335"/>
    <n v="25.7"/>
    <n v="28.2"/>
    <n v="26.95"/>
    <n v="0.62747380675203723"/>
    <n v="1"/>
    <n v="809717869.96315444"/>
  </r>
  <r>
    <x v="5"/>
    <x v="3"/>
    <s v="Education"/>
    <x v="0"/>
    <n v="3642740747.0555634"/>
    <n v="0.10475"/>
    <n v="381577093.25407028"/>
    <n v="1"/>
    <n v="1"/>
    <n v="1"/>
    <n v="2.3282887077997669E-2"/>
    <n v="1"/>
    <n v="8884216.3737851046"/>
  </r>
  <r>
    <x v="5"/>
    <x v="3"/>
    <s v="Education"/>
    <x v="1"/>
    <n v="3642740747.0555634"/>
    <n v="0.10475"/>
    <n v="381577093.25407028"/>
    <n v="3"/>
    <n v="3"/>
    <n v="3"/>
    <n v="6.9848661233993012E-2"/>
    <n v="1"/>
    <n v="26652649.121355314"/>
  </r>
  <r>
    <x v="5"/>
    <x v="3"/>
    <s v="Education"/>
    <x v="2"/>
    <n v="3642740747.0555634"/>
    <n v="0.10475"/>
    <n v="381577093.25407028"/>
    <n v="5"/>
    <n v="5"/>
    <n v="5"/>
    <n v="0.11641443538998836"/>
    <n v="1"/>
    <n v="44421081.868925527"/>
  </r>
  <r>
    <x v="5"/>
    <x v="3"/>
    <s v="Education"/>
    <x v="3"/>
    <n v="3642740747.0555634"/>
    <n v="0.10475"/>
    <n v="381577093.25407028"/>
    <n v="7"/>
    <n v="7"/>
    <n v="7"/>
    <n v="0.16298020954598369"/>
    <n v="1"/>
    <n v="62189514.616495736"/>
  </r>
  <r>
    <x v="5"/>
    <x v="3"/>
    <s v="Education"/>
    <x v="4"/>
    <n v="3642740747.0555634"/>
    <n v="0.10475"/>
    <n v="381577093.25407028"/>
    <n v="25.7"/>
    <n v="28.2"/>
    <n v="26.95"/>
    <n v="0.62747380675203723"/>
    <n v="1"/>
    <n v="239429631.27350858"/>
  </r>
  <r>
    <x v="5"/>
    <x v="3"/>
    <s v="Shopping"/>
    <x v="0"/>
    <n v="3642740747.0555634"/>
    <n v="0.27474999999999999"/>
    <n v="1000843020.2535161"/>
    <n v="1"/>
    <n v="1"/>
    <n v="1"/>
    <n v="2.3282887077997669E-2"/>
    <n v="1"/>
    <n v="23302515.023364749"/>
  </r>
  <r>
    <x v="5"/>
    <x v="3"/>
    <s v="Shopping"/>
    <x v="1"/>
    <n v="3642740747.0555634"/>
    <n v="0.27474999999999999"/>
    <n v="1000843020.2535161"/>
    <n v="3"/>
    <n v="3"/>
    <n v="3"/>
    <n v="6.9848661233993012E-2"/>
    <n v="1"/>
    <n v="69907545.070094258"/>
  </r>
  <r>
    <x v="5"/>
    <x v="3"/>
    <s v="Shopping"/>
    <x v="2"/>
    <n v="3642740747.0555634"/>
    <n v="0.27474999999999999"/>
    <n v="1000843020.2535161"/>
    <n v="5"/>
    <n v="5"/>
    <n v="5"/>
    <n v="0.11641443538998836"/>
    <n v="1"/>
    <n v="116512575.11682376"/>
  </r>
  <r>
    <x v="5"/>
    <x v="3"/>
    <s v="Shopping"/>
    <x v="3"/>
    <n v="3642740747.0555634"/>
    <n v="0.27474999999999999"/>
    <n v="1000843020.2535161"/>
    <n v="7"/>
    <n v="7"/>
    <n v="7"/>
    <n v="0.16298020954598369"/>
    <n v="1"/>
    <n v="163117605.16355324"/>
  </r>
  <r>
    <x v="5"/>
    <x v="3"/>
    <s v="Shopping"/>
    <x v="4"/>
    <n v="3642740747.0555634"/>
    <n v="0.27474999999999999"/>
    <n v="1000843020.2535161"/>
    <n v="25.7"/>
    <n v="28.2"/>
    <n v="26.95"/>
    <n v="0.62747380675203723"/>
    <n v="1"/>
    <n v="628002779.87968004"/>
  </r>
  <r>
    <x v="5"/>
    <x v="3"/>
    <s v="To eat or drink"/>
    <x v="0"/>
    <n v="3642740747.0555634"/>
    <n v="2.9499999999999998E-2"/>
    <n v="107460852.03813912"/>
    <n v="1"/>
    <n v="1"/>
    <n v="1"/>
    <n v="2.3282887077997669E-2"/>
    <n v="1"/>
    <n v="2501998.883309409"/>
  </r>
  <r>
    <x v="5"/>
    <x v="3"/>
    <s v="To eat or drink"/>
    <x v="1"/>
    <n v="3642740747.0555634"/>
    <n v="2.9499999999999998E-2"/>
    <n v="107460852.03813912"/>
    <n v="3"/>
    <n v="3"/>
    <n v="3"/>
    <n v="6.9848661233993012E-2"/>
    <n v="1"/>
    <n v="7505996.6499282271"/>
  </r>
  <r>
    <x v="5"/>
    <x v="3"/>
    <s v="To eat or drink"/>
    <x v="2"/>
    <n v="3642740747.0555634"/>
    <n v="2.9499999999999998E-2"/>
    <n v="107460852.03813912"/>
    <n v="5"/>
    <n v="5"/>
    <n v="5"/>
    <n v="0.11641443538998836"/>
    <n v="1"/>
    <n v="12509994.416547045"/>
  </r>
  <r>
    <x v="5"/>
    <x v="3"/>
    <s v="To eat or drink"/>
    <x v="3"/>
    <n v="3642740747.0555634"/>
    <n v="2.9499999999999998E-2"/>
    <n v="107460852.03813912"/>
    <n v="7"/>
    <n v="7"/>
    <n v="7"/>
    <n v="0.16298020954598369"/>
    <n v="1"/>
    <n v="17513992.183165863"/>
  </r>
  <r>
    <x v="5"/>
    <x v="3"/>
    <s v="To eat or drink"/>
    <x v="4"/>
    <n v="3642740747.0555634"/>
    <n v="2.9499999999999998E-2"/>
    <n v="107460852.03813912"/>
    <n v="25.7"/>
    <n v="28.2"/>
    <n v="26.95"/>
    <n v="0.62747380675203723"/>
    <n v="1"/>
    <n v="67428869.905188575"/>
  </r>
  <r>
    <x v="5"/>
    <x v="3"/>
    <s v="Visit family/friends"/>
    <x v="0"/>
    <n v="3642740747.0555634"/>
    <n v="7.0999999999999994E-2"/>
    <n v="258634593.04094499"/>
    <n v="1"/>
    <n v="1"/>
    <n v="1"/>
    <n v="2.3282887077997669E-2"/>
    <n v="1"/>
    <n v="6021760.0242362041"/>
  </r>
  <r>
    <x v="5"/>
    <x v="3"/>
    <s v="Visit family/friends"/>
    <x v="1"/>
    <n v="3642740747.0555634"/>
    <n v="7.0999999999999994E-2"/>
    <n v="258634593.04094499"/>
    <n v="3"/>
    <n v="3"/>
    <n v="3"/>
    <n v="6.9848661233993012E-2"/>
    <n v="1"/>
    <n v="18065280.072708614"/>
  </r>
  <r>
    <x v="5"/>
    <x v="3"/>
    <s v="Visit family/friends"/>
    <x v="2"/>
    <n v="3642740747.0555634"/>
    <n v="7.0999999999999994E-2"/>
    <n v="258634593.04094499"/>
    <n v="5"/>
    <n v="5"/>
    <n v="5"/>
    <n v="0.11641443538998836"/>
    <n v="1"/>
    <n v="30108800.121181022"/>
  </r>
  <r>
    <x v="5"/>
    <x v="3"/>
    <s v="Visit family/friends"/>
    <x v="3"/>
    <n v="3642740747.0555634"/>
    <n v="7.0999999999999994E-2"/>
    <n v="258634593.04094499"/>
    <n v="7"/>
    <n v="7"/>
    <n v="7"/>
    <n v="0.16298020954598369"/>
    <n v="1"/>
    <n v="42152320.169653431"/>
  </r>
  <r>
    <x v="5"/>
    <x v="3"/>
    <s v="Visit family/friends"/>
    <x v="4"/>
    <n v="3642740747.0555634"/>
    <n v="7.0999999999999994E-2"/>
    <n v="258634593.04094499"/>
    <n v="25.7"/>
    <n v="28.2"/>
    <n v="26.95"/>
    <n v="0.62747380675203723"/>
    <n v="1"/>
    <n v="162286432.6531657"/>
  </r>
  <r>
    <x v="5"/>
    <x v="3"/>
    <s v="Entertainment/leisure/sports"/>
    <x v="0"/>
    <n v="3642740747.0555634"/>
    <n v="5.1749999999999997E-2"/>
    <n v="188511833.6601254"/>
    <n v="1"/>
    <n v="1"/>
    <n v="1"/>
    <n v="2.3282887077997669E-2"/>
    <n v="1"/>
    <n v="4389099.7359749796"/>
  </r>
  <r>
    <x v="5"/>
    <x v="3"/>
    <s v="Entertainment/leisure/sports"/>
    <x v="1"/>
    <n v="3642740747.0555634"/>
    <n v="5.1749999999999997E-2"/>
    <n v="188511833.6601254"/>
    <n v="3"/>
    <n v="3"/>
    <n v="3"/>
    <n v="6.9848661233993012E-2"/>
    <n v="1"/>
    <n v="13167299.20792494"/>
  </r>
  <r>
    <x v="5"/>
    <x v="3"/>
    <s v="Entertainment/leisure/sports"/>
    <x v="2"/>
    <n v="3642740747.0555634"/>
    <n v="5.1749999999999997E-2"/>
    <n v="188511833.6601254"/>
    <n v="5"/>
    <n v="5"/>
    <n v="5"/>
    <n v="0.11641443538998836"/>
    <n v="1"/>
    <n v="21945498.679874901"/>
  </r>
  <r>
    <x v="5"/>
    <x v="3"/>
    <s v="Entertainment/leisure/sports"/>
    <x v="3"/>
    <n v="3642740747.0555634"/>
    <n v="5.1749999999999997E-2"/>
    <n v="188511833.6601254"/>
    <n v="7"/>
    <n v="7"/>
    <n v="7"/>
    <n v="0.16298020954598369"/>
    <n v="1"/>
    <n v="30723698.151824858"/>
  </r>
  <r>
    <x v="5"/>
    <x v="3"/>
    <s v="Entertainment/leisure/sports"/>
    <x v="4"/>
    <n v="3642740747.0555634"/>
    <n v="5.1749999999999997E-2"/>
    <n v="188511833.6601254"/>
    <n v="25.7"/>
    <n v="28.2"/>
    <n v="26.95"/>
    <n v="0.62747380675203723"/>
    <n v="1"/>
    <n v="118286237.88452572"/>
  </r>
  <r>
    <x v="5"/>
    <x v="3"/>
    <s v="Personal Business"/>
    <x v="0"/>
    <n v="3642740747.0555634"/>
    <n v="4.2999999999999997E-2"/>
    <n v="156637852.12338921"/>
    <n v="1"/>
    <n v="1"/>
    <n v="1"/>
    <n v="2.3282887077997669E-2"/>
    <n v="1"/>
    <n v="3646981.4231289686"/>
  </r>
  <r>
    <x v="5"/>
    <x v="3"/>
    <s v="Personal Business"/>
    <x v="1"/>
    <n v="3642740747.0555634"/>
    <n v="4.2999999999999997E-2"/>
    <n v="156637852.12338921"/>
    <n v="3"/>
    <n v="3"/>
    <n v="3"/>
    <n v="6.9848661233993012E-2"/>
    <n v="1"/>
    <n v="10940944.269386906"/>
  </r>
  <r>
    <x v="5"/>
    <x v="3"/>
    <s v="Personal Business"/>
    <x v="2"/>
    <n v="3642740747.0555634"/>
    <n v="4.2999999999999997E-2"/>
    <n v="156637852.12338921"/>
    <n v="5"/>
    <n v="5"/>
    <n v="5"/>
    <n v="0.11641443538998836"/>
    <n v="1"/>
    <n v="18234907.115644846"/>
  </r>
  <r>
    <x v="5"/>
    <x v="3"/>
    <s v="Personal Business"/>
    <x v="3"/>
    <n v="3642740747.0555634"/>
    <n v="4.2999999999999997E-2"/>
    <n v="156637852.12338921"/>
    <n v="7"/>
    <n v="7"/>
    <n v="7"/>
    <n v="0.16298020954598369"/>
    <n v="1"/>
    <n v="25528869.961902779"/>
  </r>
  <r>
    <x v="5"/>
    <x v="3"/>
    <s v="Personal Business"/>
    <x v="4"/>
    <n v="3642740747.0555634"/>
    <n v="4.2999999999999997E-2"/>
    <n v="156637852.12338921"/>
    <n v="25.7"/>
    <n v="28.2"/>
    <n v="26.95"/>
    <n v="0.62747380675203723"/>
    <n v="1"/>
    <n v="98286149.35332571"/>
  </r>
  <r>
    <x v="5"/>
    <x v="3"/>
    <s v="Companion/Escort Journey"/>
    <x v="0"/>
    <n v="3642740747.0555634"/>
    <n v="3.7749999999999999E-2"/>
    <n v="137513463.20134753"/>
    <n v="1"/>
    <n v="1"/>
    <n v="1"/>
    <n v="2.3282887077997669E-2"/>
    <n v="1"/>
    <n v="3201710.4354213625"/>
  </r>
  <r>
    <x v="5"/>
    <x v="3"/>
    <s v="Companion/Escort Journey"/>
    <x v="1"/>
    <n v="3642740747.0555634"/>
    <n v="3.7749999999999999E-2"/>
    <n v="137513463.20134753"/>
    <n v="3"/>
    <n v="3"/>
    <n v="3"/>
    <n v="6.9848661233993012E-2"/>
    <n v="1"/>
    <n v="9605131.3062640876"/>
  </r>
  <r>
    <x v="5"/>
    <x v="3"/>
    <s v="Companion/Escort Journey"/>
    <x v="2"/>
    <n v="3642740747.0555634"/>
    <n v="3.7749999999999999E-2"/>
    <n v="137513463.20134753"/>
    <n v="5"/>
    <n v="5"/>
    <n v="5"/>
    <n v="0.11641443538998836"/>
    <n v="1"/>
    <n v="16008552.177106814"/>
  </r>
  <r>
    <x v="5"/>
    <x v="3"/>
    <s v="Companion/Escort Journey"/>
    <x v="3"/>
    <n v="3642740747.0555634"/>
    <n v="3.7749999999999999E-2"/>
    <n v="137513463.20134753"/>
    <n v="7"/>
    <n v="7"/>
    <n v="7"/>
    <n v="0.16298020954598369"/>
    <n v="1"/>
    <n v="22411973.047949538"/>
  </r>
  <r>
    <x v="5"/>
    <x v="3"/>
    <s v="Companion/Escort Journey"/>
    <x v="4"/>
    <n v="3642740747.0555634"/>
    <n v="3.7749999999999999E-2"/>
    <n v="137513463.20134753"/>
    <n v="25.7"/>
    <n v="28.2"/>
    <n v="26.95"/>
    <n v="0.62747380675203723"/>
    <n v="1"/>
    <n v="86286096.23460573"/>
  </r>
  <r>
    <x v="5"/>
    <x v="3"/>
    <s v="Other"/>
    <x v="0"/>
    <n v="3642740747.0555634"/>
    <n v="3.2500000000000001E-2"/>
    <n v="118389074.27930582"/>
    <n v="1"/>
    <n v="1"/>
    <n v="1"/>
    <n v="2.3282887077997669E-2"/>
    <n v="1"/>
    <n v="2756439.4477137555"/>
  </r>
  <r>
    <x v="5"/>
    <x v="3"/>
    <s v="Other"/>
    <x v="1"/>
    <n v="3642740747.0555634"/>
    <n v="3.2500000000000001E-2"/>
    <n v="118389074.27930582"/>
    <n v="3"/>
    <n v="3"/>
    <n v="3"/>
    <n v="6.9848661233993012E-2"/>
    <n v="1"/>
    <n v="8269318.3431412671"/>
  </r>
  <r>
    <x v="5"/>
    <x v="3"/>
    <s v="Other"/>
    <x v="2"/>
    <n v="3642740747.0555634"/>
    <n v="3.2500000000000001E-2"/>
    <n v="118389074.27930582"/>
    <n v="5"/>
    <n v="5"/>
    <n v="5"/>
    <n v="0.11641443538998836"/>
    <n v="1"/>
    <n v="13782197.238568779"/>
  </r>
  <r>
    <x v="5"/>
    <x v="3"/>
    <s v="Other"/>
    <x v="3"/>
    <n v="3642740747.0555634"/>
    <n v="3.2500000000000001E-2"/>
    <n v="118389074.27930582"/>
    <n v="7"/>
    <n v="7"/>
    <n v="7"/>
    <n v="0.16298020954598369"/>
    <n v="1"/>
    <n v="19295076.133996289"/>
  </r>
  <r>
    <x v="5"/>
    <x v="3"/>
    <s v="Other"/>
    <x v="4"/>
    <n v="3642740747.0555634"/>
    <n v="3.2500000000000001E-2"/>
    <n v="118389074.27930582"/>
    <n v="25.7"/>
    <n v="28.2"/>
    <n v="26.95"/>
    <n v="0.62747380675203723"/>
    <n v="1"/>
    <n v="74286043.11588572"/>
  </r>
  <r>
    <x v="5"/>
    <x v="4"/>
    <s v="Work"/>
    <x v="0"/>
    <n v="233080616.05569208"/>
    <n v="0.20975000000000002"/>
    <n v="48888659.217681415"/>
    <n v="1"/>
    <n v="1"/>
    <n v="1"/>
    <n v="2.3282887077997669E-2"/>
    <n v="1"/>
    <n v="1138269.1319599862"/>
  </r>
  <r>
    <x v="5"/>
    <x v="4"/>
    <s v="Work"/>
    <x v="1"/>
    <n v="233080616.05569208"/>
    <n v="0.20975000000000002"/>
    <n v="48888659.217681415"/>
    <n v="3"/>
    <n v="3"/>
    <n v="3"/>
    <n v="6.9848661233993012E-2"/>
    <n v="1"/>
    <n v="3414807.3958799592"/>
  </r>
  <r>
    <x v="5"/>
    <x v="4"/>
    <s v="Work"/>
    <x v="2"/>
    <n v="233080616.05569208"/>
    <n v="0.20975000000000002"/>
    <n v="48888659.217681415"/>
    <n v="5"/>
    <n v="5"/>
    <n v="5"/>
    <n v="0.11641443538998836"/>
    <n v="1"/>
    <n v="5691345.6597999316"/>
  </r>
  <r>
    <x v="5"/>
    <x v="4"/>
    <s v="Work"/>
    <x v="3"/>
    <n v="233080616.05569208"/>
    <n v="0.20975000000000002"/>
    <n v="48888659.217681415"/>
    <n v="7"/>
    <n v="7"/>
    <n v="7"/>
    <n v="0.16298020954598369"/>
    <n v="1"/>
    <n v="7967883.9237199044"/>
  </r>
  <r>
    <x v="5"/>
    <x v="4"/>
    <s v="Work"/>
    <x v="4"/>
    <n v="233080616.05569208"/>
    <n v="0.20975000000000002"/>
    <n v="48888659.217681415"/>
    <n v="25.7"/>
    <n v="28.2"/>
    <n v="26.95"/>
    <n v="0.62747380675203723"/>
    <n v="1"/>
    <n v="30676353.106321633"/>
  </r>
  <r>
    <x v="5"/>
    <x v="4"/>
    <s v="Education"/>
    <x v="0"/>
    <n v="233080616.05569208"/>
    <n v="3.6749999999999998E-2"/>
    <n v="8565712.6400466841"/>
    <n v="1"/>
    <n v="1"/>
    <n v="1"/>
    <n v="2.3282887077997669E-2"/>
    <n v="1"/>
    <n v="199434.52014078424"/>
  </r>
  <r>
    <x v="5"/>
    <x v="4"/>
    <s v="Education"/>
    <x v="1"/>
    <n v="233080616.05569208"/>
    <n v="3.6749999999999998E-2"/>
    <n v="8565712.6400466841"/>
    <n v="3"/>
    <n v="3"/>
    <n v="3"/>
    <n v="6.9848661233993012E-2"/>
    <n v="1"/>
    <n v="598303.56042235275"/>
  </r>
  <r>
    <x v="5"/>
    <x v="4"/>
    <s v="Education"/>
    <x v="2"/>
    <n v="233080616.05569208"/>
    <n v="3.6749999999999998E-2"/>
    <n v="8565712.6400466841"/>
    <n v="5"/>
    <n v="5"/>
    <n v="5"/>
    <n v="0.11641443538998836"/>
    <n v="1"/>
    <n v="997172.60070392129"/>
  </r>
  <r>
    <x v="5"/>
    <x v="4"/>
    <s v="Education"/>
    <x v="3"/>
    <n v="233080616.05569208"/>
    <n v="3.6749999999999998E-2"/>
    <n v="8565712.6400466841"/>
    <n v="7"/>
    <n v="7"/>
    <n v="7"/>
    <n v="0.16298020954598369"/>
    <n v="1"/>
    <n v="1396041.6409854898"/>
  </r>
  <r>
    <x v="5"/>
    <x v="4"/>
    <s v="Education"/>
    <x v="4"/>
    <n v="233080616.05569208"/>
    <n v="3.6749999999999998E-2"/>
    <n v="8565712.6400466841"/>
    <n v="25.7"/>
    <n v="28.2"/>
    <n v="26.95"/>
    <n v="0.62747380675203723"/>
    <n v="1"/>
    <n v="5374760.3177941358"/>
  </r>
  <r>
    <x v="5"/>
    <x v="4"/>
    <s v="Shopping"/>
    <x v="0"/>
    <n v="233080616.05569208"/>
    <n v="0.24875"/>
    <n v="57978803.243853405"/>
    <n v="1"/>
    <n v="1"/>
    <n v="1"/>
    <n v="2.3282887077997669E-2"/>
    <n v="1"/>
    <n v="1349913.9288440838"/>
  </r>
  <r>
    <x v="5"/>
    <x v="4"/>
    <s v="Shopping"/>
    <x v="1"/>
    <n v="233080616.05569208"/>
    <n v="0.24875"/>
    <n v="57978803.243853405"/>
    <n v="3"/>
    <n v="3"/>
    <n v="3"/>
    <n v="6.9848661233993012E-2"/>
    <n v="1"/>
    <n v="4049741.7865322516"/>
  </r>
  <r>
    <x v="5"/>
    <x v="4"/>
    <s v="Shopping"/>
    <x v="2"/>
    <n v="233080616.05569208"/>
    <n v="0.24875"/>
    <n v="57978803.243853405"/>
    <n v="5"/>
    <n v="5"/>
    <n v="5"/>
    <n v="0.11641443538998836"/>
    <n v="1"/>
    <n v="6749569.6442204192"/>
  </r>
  <r>
    <x v="5"/>
    <x v="4"/>
    <s v="Shopping"/>
    <x v="3"/>
    <n v="233080616.05569208"/>
    <n v="0.24875"/>
    <n v="57978803.243853405"/>
    <n v="7"/>
    <n v="7"/>
    <n v="7"/>
    <n v="0.16298020954598369"/>
    <n v="1"/>
    <n v="9449397.5019085873"/>
  </r>
  <r>
    <x v="5"/>
    <x v="4"/>
    <s v="Shopping"/>
    <x v="4"/>
    <n v="233080616.05569208"/>
    <n v="0.24875"/>
    <n v="57978803.243853405"/>
    <n v="25.7"/>
    <n v="28.2"/>
    <n v="26.95"/>
    <n v="0.62747380675203723"/>
    <n v="1"/>
    <n v="36380180.382348061"/>
  </r>
  <r>
    <x v="5"/>
    <x v="4"/>
    <s v="To eat or drink"/>
    <x v="0"/>
    <n v="233080616.05569208"/>
    <n v="5.8249999999999996E-2"/>
    <n v="13576945.885244062"/>
    <n v="1"/>
    <n v="1"/>
    <n v="1"/>
    <n v="2.3282887077997669E-2"/>
    <n v="1"/>
    <n v="316110.49791022262"/>
  </r>
  <r>
    <x v="5"/>
    <x v="4"/>
    <s v="To eat or drink"/>
    <x v="1"/>
    <n v="233080616.05569208"/>
    <n v="5.8249999999999996E-2"/>
    <n v="13576945.885244062"/>
    <n v="3"/>
    <n v="3"/>
    <n v="3"/>
    <n v="6.9848661233993012E-2"/>
    <n v="1"/>
    <n v="948331.49373066786"/>
  </r>
  <r>
    <x v="5"/>
    <x v="4"/>
    <s v="To eat or drink"/>
    <x v="2"/>
    <n v="233080616.05569208"/>
    <n v="5.8249999999999996E-2"/>
    <n v="13576945.885244062"/>
    <n v="5"/>
    <n v="5"/>
    <n v="5"/>
    <n v="0.11641443538998836"/>
    <n v="1"/>
    <n v="1580552.4895511132"/>
  </r>
  <r>
    <x v="5"/>
    <x v="4"/>
    <s v="To eat or drink"/>
    <x v="3"/>
    <n v="233080616.05569208"/>
    <n v="5.8249999999999996E-2"/>
    <n v="13576945.885244062"/>
    <n v="7"/>
    <n v="7"/>
    <n v="7"/>
    <n v="0.16298020954598369"/>
    <n v="1"/>
    <n v="2212773.4853715585"/>
  </r>
  <r>
    <x v="5"/>
    <x v="4"/>
    <s v="To eat or drink"/>
    <x v="4"/>
    <n v="233080616.05569208"/>
    <n v="5.8249999999999996E-2"/>
    <n v="13576945.885244062"/>
    <n v="25.7"/>
    <n v="28.2"/>
    <n v="26.95"/>
    <n v="0.62747380675203723"/>
    <n v="1"/>
    <n v="8519177.9186805002"/>
  </r>
  <r>
    <x v="5"/>
    <x v="4"/>
    <s v="Visit family/friends"/>
    <x v="0"/>
    <n v="233080616.05569208"/>
    <n v="8.0499999999999988E-2"/>
    <n v="18762989.592483208"/>
    <n v="1"/>
    <n v="1"/>
    <n v="1"/>
    <n v="2.3282887077997669E-2"/>
    <n v="1"/>
    <n v="436856.56792743201"/>
  </r>
  <r>
    <x v="5"/>
    <x v="4"/>
    <s v="Visit family/friends"/>
    <x v="1"/>
    <n v="233080616.05569208"/>
    <n v="8.0499999999999988E-2"/>
    <n v="18762989.592483208"/>
    <n v="3"/>
    <n v="3"/>
    <n v="3"/>
    <n v="6.9848661233993012E-2"/>
    <n v="1"/>
    <n v="1310569.7037822963"/>
  </r>
  <r>
    <x v="5"/>
    <x v="4"/>
    <s v="Visit family/friends"/>
    <x v="2"/>
    <n v="233080616.05569208"/>
    <n v="8.0499999999999988E-2"/>
    <n v="18762989.592483208"/>
    <n v="5"/>
    <n v="5"/>
    <n v="5"/>
    <n v="0.11641443538998836"/>
    <n v="1"/>
    <n v="2184282.8396371603"/>
  </r>
  <r>
    <x v="5"/>
    <x v="4"/>
    <s v="Visit family/friends"/>
    <x v="3"/>
    <n v="233080616.05569208"/>
    <n v="8.0499999999999988E-2"/>
    <n v="18762989.592483208"/>
    <n v="7"/>
    <n v="7"/>
    <n v="7"/>
    <n v="0.16298020954598369"/>
    <n v="1"/>
    <n v="3057995.9754920243"/>
  </r>
  <r>
    <x v="5"/>
    <x v="4"/>
    <s v="Visit family/friends"/>
    <x v="4"/>
    <n v="233080616.05569208"/>
    <n v="8.0499999999999988E-2"/>
    <n v="18762989.592483208"/>
    <n v="25.7"/>
    <n v="28.2"/>
    <n v="26.95"/>
    <n v="0.62747380675203723"/>
    <n v="1"/>
    <n v="11773284.505644294"/>
  </r>
  <r>
    <x v="5"/>
    <x v="4"/>
    <s v="Entertainment/leisure/sports"/>
    <x v="0"/>
    <n v="233080616.05569208"/>
    <n v="0.10050000000000001"/>
    <n v="23424601.913597055"/>
    <n v="1"/>
    <n v="1"/>
    <n v="1"/>
    <n v="2.3282887077997669E-2"/>
    <n v="1"/>
    <n v="545392.36120132834"/>
  </r>
  <r>
    <x v="5"/>
    <x v="4"/>
    <s v="Entertainment/leisure/sports"/>
    <x v="1"/>
    <n v="233080616.05569208"/>
    <n v="0.10050000000000001"/>
    <n v="23424601.913597055"/>
    <n v="3"/>
    <n v="3"/>
    <n v="3"/>
    <n v="6.9848661233993012E-2"/>
    <n v="1"/>
    <n v="1636177.0836039851"/>
  </r>
  <r>
    <x v="5"/>
    <x v="4"/>
    <s v="Entertainment/leisure/sports"/>
    <x v="2"/>
    <n v="233080616.05569208"/>
    <n v="0.10050000000000001"/>
    <n v="23424601.913597055"/>
    <n v="5"/>
    <n v="5"/>
    <n v="5"/>
    <n v="0.11641443538998836"/>
    <n v="1"/>
    <n v="2726961.8060066421"/>
  </r>
  <r>
    <x v="5"/>
    <x v="4"/>
    <s v="Entertainment/leisure/sports"/>
    <x v="3"/>
    <n v="233080616.05569208"/>
    <n v="0.10050000000000001"/>
    <n v="23424601.913597055"/>
    <n v="7"/>
    <n v="7"/>
    <n v="7"/>
    <n v="0.16298020954598369"/>
    <n v="1"/>
    <n v="3817746.5284092985"/>
  </r>
  <r>
    <x v="5"/>
    <x v="4"/>
    <s v="Entertainment/leisure/sports"/>
    <x v="4"/>
    <n v="233080616.05569208"/>
    <n v="0.10050000000000001"/>
    <n v="23424601.913597055"/>
    <n v="25.7"/>
    <n v="28.2"/>
    <n v="26.95"/>
    <n v="0.62747380675203723"/>
    <n v="1"/>
    <n v="14698324.134375799"/>
  </r>
  <r>
    <x v="5"/>
    <x v="4"/>
    <s v="Personal Business"/>
    <x v="0"/>
    <n v="233080616.05569208"/>
    <n v="4.4999999999999998E-2"/>
    <n v="10488627.722506143"/>
    <n v="1"/>
    <n v="1"/>
    <n v="1"/>
    <n v="2.3282887077997669E-2"/>
    <n v="1"/>
    <n v="244205.53486626642"/>
  </r>
  <r>
    <x v="5"/>
    <x v="4"/>
    <s v="Personal Business"/>
    <x v="1"/>
    <n v="233080616.05569208"/>
    <n v="4.4999999999999998E-2"/>
    <n v="10488627.722506143"/>
    <n v="3"/>
    <n v="3"/>
    <n v="3"/>
    <n v="6.9848661233993012E-2"/>
    <n v="1"/>
    <n v="732616.60459879925"/>
  </r>
  <r>
    <x v="5"/>
    <x v="4"/>
    <s v="Personal Business"/>
    <x v="2"/>
    <n v="233080616.05569208"/>
    <n v="4.4999999999999998E-2"/>
    <n v="10488627.722506143"/>
    <n v="5"/>
    <n v="5"/>
    <n v="5"/>
    <n v="0.11641443538998836"/>
    <n v="1"/>
    <n v="1221027.6743313321"/>
  </r>
  <r>
    <x v="5"/>
    <x v="4"/>
    <s v="Personal Business"/>
    <x v="3"/>
    <n v="233080616.05569208"/>
    <n v="4.4999999999999998E-2"/>
    <n v="10488627.722506143"/>
    <n v="7"/>
    <n v="7"/>
    <n v="7"/>
    <n v="0.16298020954598369"/>
    <n v="1"/>
    <n v="1709438.7440638649"/>
  </r>
  <r>
    <x v="5"/>
    <x v="4"/>
    <s v="Personal Business"/>
    <x v="4"/>
    <n v="233080616.05569208"/>
    <n v="4.4999999999999998E-2"/>
    <n v="10488627.722506143"/>
    <n v="25.7"/>
    <n v="28.2"/>
    <n v="26.95"/>
    <n v="0.62747380675203723"/>
    <n v="1"/>
    <n v="6581339.1646458805"/>
  </r>
  <r>
    <x v="5"/>
    <x v="4"/>
    <s v="Companion/Escort Journey"/>
    <x v="0"/>
    <n v="233080616.05569208"/>
    <n v="0.1525"/>
    <n v="35544793.948493041"/>
    <n v="1"/>
    <n v="1"/>
    <n v="1"/>
    <n v="2.3282887077997669E-2"/>
    <n v="1"/>
    <n v="827585.42371345835"/>
  </r>
  <r>
    <x v="5"/>
    <x v="4"/>
    <s v="Companion/Escort Journey"/>
    <x v="1"/>
    <n v="233080616.05569208"/>
    <n v="0.1525"/>
    <n v="35544793.948493041"/>
    <n v="3"/>
    <n v="3"/>
    <n v="3"/>
    <n v="6.9848661233993012E-2"/>
    <n v="1"/>
    <n v="2482756.2711403752"/>
  </r>
  <r>
    <x v="5"/>
    <x v="4"/>
    <s v="Companion/Escort Journey"/>
    <x v="2"/>
    <n v="233080616.05569208"/>
    <n v="0.1525"/>
    <n v="35544793.948493041"/>
    <n v="5"/>
    <n v="5"/>
    <n v="5"/>
    <n v="0.11641443538998836"/>
    <n v="1"/>
    <n v="4137927.1185672921"/>
  </r>
  <r>
    <x v="5"/>
    <x v="4"/>
    <s v="Companion/Escort Journey"/>
    <x v="3"/>
    <n v="233080616.05569208"/>
    <n v="0.1525"/>
    <n v="35544793.948493041"/>
    <n v="7"/>
    <n v="7"/>
    <n v="7"/>
    <n v="0.16298020954598369"/>
    <n v="1"/>
    <n v="5793097.9659942091"/>
  </r>
  <r>
    <x v="5"/>
    <x v="4"/>
    <s v="Companion/Escort Journey"/>
    <x v="4"/>
    <n v="233080616.05569208"/>
    <n v="0.1525"/>
    <n v="35544793.948493041"/>
    <n v="25.7"/>
    <n v="28.2"/>
    <n v="26.95"/>
    <n v="0.62747380675203723"/>
    <n v="1"/>
    <n v="22303427.169077706"/>
  </r>
  <r>
    <x v="5"/>
    <x v="4"/>
    <s v="Other"/>
    <x v="0"/>
    <n v="233080616.05569208"/>
    <n v="6.724999999999999E-2"/>
    <n v="15674671.42974529"/>
    <n v="1"/>
    <n v="1"/>
    <n v="1"/>
    <n v="2.3282887077997669E-2"/>
    <n v="1"/>
    <n v="364951.60488347587"/>
  </r>
  <r>
    <x v="5"/>
    <x v="4"/>
    <s v="Other"/>
    <x v="1"/>
    <n v="233080616.05569208"/>
    <n v="6.724999999999999E-2"/>
    <n v="15674671.42974529"/>
    <n v="3"/>
    <n v="3"/>
    <n v="3"/>
    <n v="6.9848661233993012E-2"/>
    <n v="1"/>
    <n v="1094854.8146504278"/>
  </r>
  <r>
    <x v="5"/>
    <x v="4"/>
    <s v="Other"/>
    <x v="2"/>
    <n v="233080616.05569208"/>
    <n v="6.724999999999999E-2"/>
    <n v="15674671.42974529"/>
    <n v="5"/>
    <n v="5"/>
    <n v="5"/>
    <n v="0.11641443538998836"/>
    <n v="1"/>
    <n v="1824758.0244173796"/>
  </r>
  <r>
    <x v="5"/>
    <x v="4"/>
    <s v="Other"/>
    <x v="3"/>
    <n v="233080616.05569208"/>
    <n v="6.724999999999999E-2"/>
    <n v="15674671.42974529"/>
    <n v="7"/>
    <n v="7"/>
    <n v="7"/>
    <n v="0.16298020954598369"/>
    <n v="1"/>
    <n v="2554661.2341843313"/>
  </r>
  <r>
    <x v="5"/>
    <x v="4"/>
    <s v="Other"/>
    <x v="4"/>
    <n v="233080616.05569208"/>
    <n v="6.724999999999999E-2"/>
    <n v="15674671.42974529"/>
    <n v="25.7"/>
    <n v="28.2"/>
    <n v="26.95"/>
    <n v="0.62747380675203723"/>
    <n v="1"/>
    <n v="9835445.7516096756"/>
  </r>
  <r>
    <x v="5"/>
    <x v="5"/>
    <s v="Work"/>
    <x v="0"/>
    <n v="3948009846.44596"/>
    <n v="0.35425000000000006"/>
    <n v="1398582488.1034815"/>
    <n v="1"/>
    <n v="1"/>
    <n v="1"/>
    <n v="2.3282887077997669E-2"/>
    <n v="1"/>
    <n v="32563038.139778379"/>
  </r>
  <r>
    <x v="5"/>
    <x v="5"/>
    <s v="Work"/>
    <x v="1"/>
    <n v="3948009846.44596"/>
    <n v="0.35425000000000006"/>
    <n v="1398582488.1034815"/>
    <n v="3"/>
    <n v="3"/>
    <n v="3"/>
    <n v="6.9848661233993012E-2"/>
    <n v="1"/>
    <n v="97689114.419335142"/>
  </r>
  <r>
    <x v="5"/>
    <x v="5"/>
    <s v="Work"/>
    <x v="2"/>
    <n v="3948009846.44596"/>
    <n v="0.35425000000000006"/>
    <n v="1398582488.1034815"/>
    <n v="5"/>
    <n v="5"/>
    <n v="5"/>
    <n v="0.11641443538998836"/>
    <n v="1"/>
    <n v="162815190.69889191"/>
  </r>
  <r>
    <x v="5"/>
    <x v="5"/>
    <s v="Work"/>
    <x v="3"/>
    <n v="3948009846.44596"/>
    <n v="0.35425000000000006"/>
    <n v="1398582488.1034815"/>
    <n v="7"/>
    <n v="7"/>
    <n v="7"/>
    <n v="0.16298020954598369"/>
    <n v="1"/>
    <n v="227941266.97844866"/>
  </r>
  <r>
    <x v="5"/>
    <x v="5"/>
    <s v="Work"/>
    <x v="4"/>
    <n v="3948009846.44596"/>
    <n v="0.35425000000000006"/>
    <n v="1398582488.1034815"/>
    <n v="25.7"/>
    <n v="28.2"/>
    <n v="26.95"/>
    <n v="0.62747380675203723"/>
    <n v="1"/>
    <n v="877573877.8670274"/>
  </r>
  <r>
    <x v="5"/>
    <x v="5"/>
    <s v="Education"/>
    <x v="0"/>
    <n v="3948009846.44596"/>
    <n v="0.10475"/>
    <n v="413554031.4152143"/>
    <n v="1"/>
    <n v="1"/>
    <n v="1"/>
    <n v="2.3282887077997669E-2"/>
    <n v="1"/>
    <n v="9628731.8140911348"/>
  </r>
  <r>
    <x v="5"/>
    <x v="5"/>
    <s v="Education"/>
    <x v="1"/>
    <n v="3948009846.44596"/>
    <n v="0.10475"/>
    <n v="413554031.4152143"/>
    <n v="3"/>
    <n v="3"/>
    <n v="3"/>
    <n v="6.9848661233993012E-2"/>
    <n v="1"/>
    <n v="28886195.442273408"/>
  </r>
  <r>
    <x v="5"/>
    <x v="5"/>
    <s v="Education"/>
    <x v="2"/>
    <n v="3948009846.44596"/>
    <n v="0.10475"/>
    <n v="413554031.4152143"/>
    <n v="5"/>
    <n v="5"/>
    <n v="5"/>
    <n v="0.11641443538998836"/>
    <n v="1"/>
    <n v="48143659.070455678"/>
  </r>
  <r>
    <x v="5"/>
    <x v="5"/>
    <s v="Education"/>
    <x v="3"/>
    <n v="3948009846.44596"/>
    <n v="0.10475"/>
    <n v="413554031.4152143"/>
    <n v="7"/>
    <n v="7"/>
    <n v="7"/>
    <n v="0.16298020954598369"/>
    <n v="1"/>
    <n v="67401122.698637947"/>
  </r>
  <r>
    <x v="5"/>
    <x v="5"/>
    <s v="Education"/>
    <x v="4"/>
    <n v="3948009846.44596"/>
    <n v="0.10475"/>
    <n v="413554031.4152143"/>
    <n v="25.7"/>
    <n v="28.2"/>
    <n v="26.95"/>
    <n v="0.62747380675203723"/>
    <n v="1"/>
    <n v="259494322.38975611"/>
  </r>
  <r>
    <x v="5"/>
    <x v="5"/>
    <s v="Shopping"/>
    <x v="0"/>
    <n v="3948009846.44596"/>
    <n v="0.27474999999999999"/>
    <n v="1084715705.3110275"/>
    <n v="1"/>
    <n v="1"/>
    <n v="1"/>
    <n v="2.3282887077997669E-2"/>
    <n v="1"/>
    <n v="25255313.27848725"/>
  </r>
  <r>
    <x v="5"/>
    <x v="5"/>
    <s v="Shopping"/>
    <x v="1"/>
    <n v="3948009846.44596"/>
    <n v="0.27474999999999999"/>
    <n v="1084715705.3110275"/>
    <n v="3"/>
    <n v="3"/>
    <n v="3"/>
    <n v="6.9848661233993012E-2"/>
    <n v="1"/>
    <n v="75765939.835461751"/>
  </r>
  <r>
    <x v="5"/>
    <x v="5"/>
    <s v="Shopping"/>
    <x v="2"/>
    <n v="3948009846.44596"/>
    <n v="0.27474999999999999"/>
    <n v="1084715705.3110275"/>
    <n v="5"/>
    <n v="5"/>
    <n v="5"/>
    <n v="0.11641443538998836"/>
    <n v="1"/>
    <n v="126276566.39243627"/>
  </r>
  <r>
    <x v="5"/>
    <x v="5"/>
    <s v="Shopping"/>
    <x v="3"/>
    <n v="3948009846.44596"/>
    <n v="0.27474999999999999"/>
    <n v="1084715705.3110275"/>
    <n v="7"/>
    <n v="7"/>
    <n v="7"/>
    <n v="0.16298020954598369"/>
    <n v="1"/>
    <n v="176787192.94941077"/>
  </r>
  <r>
    <x v="5"/>
    <x v="5"/>
    <s v="Shopping"/>
    <x v="4"/>
    <n v="3948009846.44596"/>
    <n v="0.27474999999999999"/>
    <n v="1084715705.3110275"/>
    <n v="25.7"/>
    <n v="28.2"/>
    <n v="26.95"/>
    <n v="0.62747380675203723"/>
    <n v="1"/>
    <n v="680630692.8552314"/>
  </r>
  <r>
    <x v="5"/>
    <x v="5"/>
    <s v="To eat or drink"/>
    <x v="0"/>
    <n v="3948009846.44596"/>
    <n v="2.9499999999999998E-2"/>
    <n v="116466290.47015582"/>
    <n v="1"/>
    <n v="1"/>
    <n v="1"/>
    <n v="2.3282887077997669E-2"/>
    <n v="1"/>
    <n v="2711671.4894099142"/>
  </r>
  <r>
    <x v="5"/>
    <x v="5"/>
    <s v="To eat or drink"/>
    <x v="1"/>
    <n v="3948009846.44596"/>
    <n v="2.9499999999999998E-2"/>
    <n v="116466290.47015582"/>
    <n v="3"/>
    <n v="3"/>
    <n v="3"/>
    <n v="6.9848661233993012E-2"/>
    <n v="1"/>
    <n v="8135014.4682297427"/>
  </r>
  <r>
    <x v="5"/>
    <x v="5"/>
    <s v="To eat or drink"/>
    <x v="2"/>
    <n v="3948009846.44596"/>
    <n v="2.9499999999999998E-2"/>
    <n v="116466290.47015582"/>
    <n v="5"/>
    <n v="5"/>
    <n v="5"/>
    <n v="0.11641443538998836"/>
    <n v="1"/>
    <n v="13558357.447049571"/>
  </r>
  <r>
    <x v="5"/>
    <x v="5"/>
    <s v="To eat or drink"/>
    <x v="3"/>
    <n v="3948009846.44596"/>
    <n v="2.9499999999999998E-2"/>
    <n v="116466290.47015582"/>
    <n v="7"/>
    <n v="7"/>
    <n v="7"/>
    <n v="0.16298020954598369"/>
    <n v="1"/>
    <n v="18981700.425869398"/>
  </r>
  <r>
    <x v="5"/>
    <x v="5"/>
    <s v="To eat or drink"/>
    <x v="4"/>
    <n v="3948009846.44596"/>
    <n v="2.9499999999999998E-2"/>
    <n v="116466290.47015582"/>
    <n v="25.7"/>
    <n v="28.2"/>
    <n v="26.95"/>
    <n v="0.62747380675203723"/>
    <n v="1"/>
    <n v="73079546.639597192"/>
  </r>
  <r>
    <x v="5"/>
    <x v="5"/>
    <s v="Visit family/friends"/>
    <x v="0"/>
    <n v="3948009846.44596"/>
    <n v="7.0999999999999994E-2"/>
    <n v="280308699.09766316"/>
    <n v="1"/>
    <n v="1"/>
    <n v="1"/>
    <n v="2.3282887077997669E-2"/>
    <n v="1"/>
    <n v="6526395.7880713185"/>
  </r>
  <r>
    <x v="5"/>
    <x v="5"/>
    <s v="Visit family/friends"/>
    <x v="1"/>
    <n v="3948009846.44596"/>
    <n v="7.0999999999999994E-2"/>
    <n v="280308699.09766316"/>
    <n v="3"/>
    <n v="3"/>
    <n v="3"/>
    <n v="6.9848661233993012E-2"/>
    <n v="1"/>
    <n v="19579187.364213958"/>
  </r>
  <r>
    <x v="5"/>
    <x v="5"/>
    <s v="Visit family/friends"/>
    <x v="2"/>
    <n v="3948009846.44596"/>
    <n v="7.0999999999999994E-2"/>
    <n v="280308699.09766316"/>
    <n v="5"/>
    <n v="5"/>
    <n v="5"/>
    <n v="0.11641443538998836"/>
    <n v="1"/>
    <n v="32631978.940356597"/>
  </r>
  <r>
    <x v="5"/>
    <x v="5"/>
    <s v="Visit family/friends"/>
    <x v="3"/>
    <n v="3948009846.44596"/>
    <n v="7.0999999999999994E-2"/>
    <n v="280308699.09766316"/>
    <n v="7"/>
    <n v="7"/>
    <n v="7"/>
    <n v="0.16298020954598369"/>
    <n v="1"/>
    <n v="45684770.516499229"/>
  </r>
  <r>
    <x v="5"/>
    <x v="5"/>
    <s v="Visit family/friends"/>
    <x v="4"/>
    <n v="3948009846.44596"/>
    <n v="7.0999999999999994E-2"/>
    <n v="280308699.09766316"/>
    <n v="25.7"/>
    <n v="28.2"/>
    <n v="26.95"/>
    <n v="0.62747380675203723"/>
    <n v="1"/>
    <n v="175886366.48852205"/>
  </r>
  <r>
    <x v="5"/>
    <x v="5"/>
    <s v="Entertainment/leisure/sports"/>
    <x v="0"/>
    <n v="3948009846.44596"/>
    <n v="5.1749999999999997E-2"/>
    <n v="204309509.55357844"/>
    <n v="1"/>
    <n v="1"/>
    <n v="1"/>
    <n v="2.3282887077997669E-2"/>
    <n v="1"/>
    <n v="4756915.2398970528"/>
  </r>
  <r>
    <x v="5"/>
    <x v="5"/>
    <s v="Entertainment/leisure/sports"/>
    <x v="1"/>
    <n v="3948009846.44596"/>
    <n v="5.1749999999999997E-2"/>
    <n v="204309509.55357844"/>
    <n v="3"/>
    <n v="3"/>
    <n v="3"/>
    <n v="6.9848661233993012E-2"/>
    <n v="1"/>
    <n v="14270745.719691159"/>
  </r>
  <r>
    <x v="5"/>
    <x v="5"/>
    <s v="Entertainment/leisure/sports"/>
    <x v="2"/>
    <n v="3948009846.44596"/>
    <n v="5.1749999999999997E-2"/>
    <n v="204309509.55357844"/>
    <n v="5"/>
    <n v="5"/>
    <n v="5"/>
    <n v="0.11641443538998836"/>
    <n v="1"/>
    <n v="23784576.199485265"/>
  </r>
  <r>
    <x v="5"/>
    <x v="5"/>
    <s v="Entertainment/leisure/sports"/>
    <x v="3"/>
    <n v="3948009846.44596"/>
    <n v="5.1749999999999997E-2"/>
    <n v="204309509.55357844"/>
    <n v="7"/>
    <n v="7"/>
    <n v="7"/>
    <n v="0.16298020954598369"/>
    <n v="1"/>
    <n v="33298406.679279368"/>
  </r>
  <r>
    <x v="5"/>
    <x v="5"/>
    <s v="Entertainment/leisure/sports"/>
    <x v="4"/>
    <n v="3948009846.44596"/>
    <n v="5.1749999999999997E-2"/>
    <n v="204309509.55357844"/>
    <n v="25.7"/>
    <n v="28.2"/>
    <n v="26.95"/>
    <n v="0.62747380675203723"/>
    <n v="1"/>
    <n v="128198865.71522558"/>
  </r>
  <r>
    <x v="5"/>
    <x v="5"/>
    <s v="Personal Business"/>
    <x v="0"/>
    <n v="3948009846.44596"/>
    <n v="4.2999999999999997E-2"/>
    <n v="169764423.39717627"/>
    <n v="1"/>
    <n v="1"/>
    <n v="1"/>
    <n v="2.3282887077997669E-2"/>
    <n v="1"/>
    <n v="3952605.8998178407"/>
  </r>
  <r>
    <x v="5"/>
    <x v="5"/>
    <s v="Personal Business"/>
    <x v="1"/>
    <n v="3948009846.44596"/>
    <n v="4.2999999999999997E-2"/>
    <n v="169764423.39717627"/>
    <n v="3"/>
    <n v="3"/>
    <n v="3"/>
    <n v="6.9848661233993012E-2"/>
    <n v="1"/>
    <n v="11857817.699453522"/>
  </r>
  <r>
    <x v="5"/>
    <x v="5"/>
    <s v="Personal Business"/>
    <x v="2"/>
    <n v="3948009846.44596"/>
    <n v="4.2999999999999997E-2"/>
    <n v="169764423.39717627"/>
    <n v="5"/>
    <n v="5"/>
    <n v="5"/>
    <n v="0.11641443538998836"/>
    <n v="1"/>
    <n v="19763029.499089204"/>
  </r>
  <r>
    <x v="5"/>
    <x v="5"/>
    <s v="Personal Business"/>
    <x v="3"/>
    <n v="3948009846.44596"/>
    <n v="4.2999999999999997E-2"/>
    <n v="169764423.39717627"/>
    <n v="7"/>
    <n v="7"/>
    <n v="7"/>
    <n v="0.16298020954598369"/>
    <n v="1"/>
    <n v="27668241.298724882"/>
  </r>
  <r>
    <x v="5"/>
    <x v="5"/>
    <s v="Personal Business"/>
    <x v="4"/>
    <n v="3948009846.44596"/>
    <n v="4.2999999999999997E-2"/>
    <n v="169764423.39717627"/>
    <n v="25.7"/>
    <n v="28.2"/>
    <n v="26.95"/>
    <n v="0.62747380675203723"/>
    <n v="1"/>
    <n v="106522729.00009081"/>
  </r>
  <r>
    <x v="5"/>
    <x v="5"/>
    <s v="Companion/Escort Journey"/>
    <x v="0"/>
    <n v="3948009846.44596"/>
    <n v="3.7749999999999999E-2"/>
    <n v="149037371.70333499"/>
    <n v="1"/>
    <n v="1"/>
    <n v="1"/>
    <n v="2.3282887077997669E-2"/>
    <n v="1"/>
    <n v="3470020.2957703136"/>
  </r>
  <r>
    <x v="5"/>
    <x v="5"/>
    <s v="Companion/Escort Journey"/>
    <x v="1"/>
    <n v="3948009846.44596"/>
    <n v="3.7749999999999999E-2"/>
    <n v="149037371.70333499"/>
    <n v="3"/>
    <n v="3"/>
    <n v="3"/>
    <n v="6.9848661233993012E-2"/>
    <n v="1"/>
    <n v="10410060.887310941"/>
  </r>
  <r>
    <x v="5"/>
    <x v="5"/>
    <s v="Companion/Escort Journey"/>
    <x v="2"/>
    <n v="3948009846.44596"/>
    <n v="3.7749999999999999E-2"/>
    <n v="149037371.70333499"/>
    <n v="5"/>
    <n v="5"/>
    <n v="5"/>
    <n v="0.11641443538998836"/>
    <n v="1"/>
    <n v="17350101.478851572"/>
  </r>
  <r>
    <x v="5"/>
    <x v="5"/>
    <s v="Companion/Escort Journey"/>
    <x v="3"/>
    <n v="3948009846.44596"/>
    <n v="3.7749999999999999E-2"/>
    <n v="149037371.70333499"/>
    <n v="7"/>
    <n v="7"/>
    <n v="7"/>
    <n v="0.16298020954598369"/>
    <n v="1"/>
    <n v="24290142.070392195"/>
  </r>
  <r>
    <x v="5"/>
    <x v="5"/>
    <s v="Companion/Escort Journey"/>
    <x v="4"/>
    <n v="3948009846.44596"/>
    <n v="3.7749999999999999E-2"/>
    <n v="149037371.70333499"/>
    <n v="25.7"/>
    <n v="28.2"/>
    <n v="26.95"/>
    <n v="0.62747380675203723"/>
    <n v="1"/>
    <n v="93517046.971009955"/>
  </r>
  <r>
    <x v="5"/>
    <x v="5"/>
    <s v="Other"/>
    <x v="0"/>
    <n v="3948009846.44596"/>
    <n v="3.2500000000000001E-2"/>
    <n v="128310320.00949371"/>
    <n v="1"/>
    <n v="1"/>
    <n v="1"/>
    <n v="2.3282887077997669E-2"/>
    <n v="1"/>
    <n v="2987434.691722787"/>
  </r>
  <r>
    <x v="5"/>
    <x v="5"/>
    <s v="Other"/>
    <x v="1"/>
    <n v="3948009846.44596"/>
    <n v="3.2500000000000001E-2"/>
    <n v="128310320.00949371"/>
    <n v="3"/>
    <n v="3"/>
    <n v="3"/>
    <n v="6.9848661233993012E-2"/>
    <n v="1"/>
    <n v="8962304.0751683619"/>
  </r>
  <r>
    <x v="5"/>
    <x v="5"/>
    <s v="Other"/>
    <x v="2"/>
    <n v="3948009846.44596"/>
    <n v="3.2500000000000001E-2"/>
    <n v="128310320.00949371"/>
    <n v="5"/>
    <n v="5"/>
    <n v="5"/>
    <n v="0.11641443538998836"/>
    <n v="1"/>
    <n v="14937173.458613936"/>
  </r>
  <r>
    <x v="5"/>
    <x v="5"/>
    <s v="Other"/>
    <x v="3"/>
    <n v="3948009846.44596"/>
    <n v="3.2500000000000001E-2"/>
    <n v="128310320.00949371"/>
    <n v="7"/>
    <n v="7"/>
    <n v="7"/>
    <n v="0.16298020954598369"/>
    <n v="1"/>
    <n v="20912042.842059508"/>
  </r>
  <r>
    <x v="5"/>
    <x v="5"/>
    <s v="Other"/>
    <x v="4"/>
    <n v="3948009846.44596"/>
    <n v="3.2500000000000001E-2"/>
    <n v="128310320.00949371"/>
    <n v="25.7"/>
    <n v="28.2"/>
    <n v="26.95"/>
    <n v="0.62747380675203723"/>
    <n v="1"/>
    <n v="80511364.941929117"/>
  </r>
  <r>
    <x v="5"/>
    <x v="6"/>
    <s v="Work"/>
    <x v="0"/>
    <n v="302040792.60850525"/>
    <n v="0.35425000000000006"/>
    <n v="106997950.781563"/>
    <n v="1"/>
    <n v="1"/>
    <n v="1"/>
    <n v="2.3282887077997669E-2"/>
    <n v="1"/>
    <n v="2491221.2056242838"/>
  </r>
  <r>
    <x v="5"/>
    <x v="6"/>
    <s v="Work"/>
    <x v="1"/>
    <n v="302040792.60850525"/>
    <n v="0.35425000000000006"/>
    <n v="106997950.781563"/>
    <n v="3"/>
    <n v="3"/>
    <n v="3"/>
    <n v="6.9848661233993012E-2"/>
    <n v="1"/>
    <n v="7473663.6168728517"/>
  </r>
  <r>
    <x v="5"/>
    <x v="6"/>
    <s v="Work"/>
    <x v="2"/>
    <n v="302040792.60850525"/>
    <n v="0.35425000000000006"/>
    <n v="106997950.781563"/>
    <n v="5"/>
    <n v="5"/>
    <n v="5"/>
    <n v="0.11641443538998836"/>
    <n v="1"/>
    <n v="12456106.028121419"/>
  </r>
  <r>
    <x v="5"/>
    <x v="6"/>
    <s v="Work"/>
    <x v="3"/>
    <n v="302040792.60850525"/>
    <n v="0.35425000000000006"/>
    <n v="106997950.781563"/>
    <n v="7"/>
    <n v="7"/>
    <n v="7"/>
    <n v="0.16298020954598369"/>
    <n v="1"/>
    <n v="17438548.439369988"/>
  </r>
  <r>
    <x v="5"/>
    <x v="6"/>
    <s v="Work"/>
    <x v="4"/>
    <n v="302040792.60850525"/>
    <n v="0.35425000000000006"/>
    <n v="106997950.781563"/>
    <n v="25.7"/>
    <n v="28.2"/>
    <n v="26.95"/>
    <n v="0.62747380675203723"/>
    <n v="1"/>
    <n v="67138411.491574451"/>
  </r>
  <r>
    <x v="5"/>
    <x v="6"/>
    <s v="Education"/>
    <x v="0"/>
    <n v="302040792.60850525"/>
    <n v="0.10475"/>
    <n v="31638773.025740925"/>
    <n v="1"/>
    <n v="1"/>
    <n v="1"/>
    <n v="2.3282887077997669E-2"/>
    <n v="1"/>
    <n v="736641.97964472463"/>
  </r>
  <r>
    <x v="5"/>
    <x v="6"/>
    <s v="Education"/>
    <x v="1"/>
    <n v="302040792.60850525"/>
    <n v="0.10475"/>
    <n v="31638773.025740925"/>
    <n v="3"/>
    <n v="3"/>
    <n v="3"/>
    <n v="6.9848661233993012E-2"/>
    <n v="1"/>
    <n v="2209925.9389341739"/>
  </r>
  <r>
    <x v="5"/>
    <x v="6"/>
    <s v="Education"/>
    <x v="2"/>
    <n v="302040792.60850525"/>
    <n v="0.10475"/>
    <n v="31638773.025740925"/>
    <n v="5"/>
    <n v="5"/>
    <n v="5"/>
    <n v="0.11641443538998836"/>
    <n v="1"/>
    <n v="3683209.8982236232"/>
  </r>
  <r>
    <x v="5"/>
    <x v="6"/>
    <s v="Education"/>
    <x v="3"/>
    <n v="302040792.60850525"/>
    <n v="0.10475"/>
    <n v="31638773.025740925"/>
    <n v="7"/>
    <n v="7"/>
    <n v="7"/>
    <n v="0.16298020954598369"/>
    <n v="1"/>
    <n v="5156493.857513072"/>
  </r>
  <r>
    <x v="5"/>
    <x v="6"/>
    <s v="Education"/>
    <x v="4"/>
    <n v="302040792.60850525"/>
    <n v="0.10475"/>
    <n v="31638773.025740925"/>
    <n v="25.7"/>
    <n v="28.2"/>
    <n v="26.95"/>
    <n v="0.62747380675203723"/>
    <n v="1"/>
    <n v="19852501.351425331"/>
  </r>
  <r>
    <x v="5"/>
    <x v="6"/>
    <s v="Shopping"/>
    <x v="0"/>
    <n v="302040792.60850525"/>
    <n v="0.27474999999999999"/>
    <n v="82985707.76918681"/>
    <n v="1"/>
    <n v="1"/>
    <n v="1"/>
    <n v="2.3282887077997669E-2"/>
    <n v="1"/>
    <n v="1932146.8630776904"/>
  </r>
  <r>
    <x v="5"/>
    <x v="6"/>
    <s v="Shopping"/>
    <x v="1"/>
    <n v="302040792.60850525"/>
    <n v="0.27474999999999999"/>
    <n v="82985707.76918681"/>
    <n v="3"/>
    <n v="3"/>
    <n v="3"/>
    <n v="6.9848661233993012E-2"/>
    <n v="1"/>
    <n v="5796440.5892330715"/>
  </r>
  <r>
    <x v="5"/>
    <x v="6"/>
    <s v="Shopping"/>
    <x v="2"/>
    <n v="302040792.60850525"/>
    <n v="0.27474999999999999"/>
    <n v="82985707.76918681"/>
    <n v="5"/>
    <n v="5"/>
    <n v="5"/>
    <n v="0.11641443538998836"/>
    <n v="1"/>
    <n v="9660734.3153884523"/>
  </r>
  <r>
    <x v="5"/>
    <x v="6"/>
    <s v="Shopping"/>
    <x v="3"/>
    <n v="302040792.60850525"/>
    <n v="0.27474999999999999"/>
    <n v="82985707.76918681"/>
    <n v="7"/>
    <n v="7"/>
    <n v="7"/>
    <n v="0.16298020954598369"/>
    <n v="1"/>
    <n v="13525028.041543832"/>
  </r>
  <r>
    <x v="5"/>
    <x v="6"/>
    <s v="Shopping"/>
    <x v="4"/>
    <n v="302040792.60850525"/>
    <n v="0.27474999999999999"/>
    <n v="82985707.76918681"/>
    <n v="25.7"/>
    <n v="28.2"/>
    <n v="26.95"/>
    <n v="0.62747380675203723"/>
    <n v="1"/>
    <n v="52071357.959943756"/>
  </r>
  <r>
    <x v="5"/>
    <x v="6"/>
    <s v="To eat or drink"/>
    <x v="0"/>
    <n v="302040792.60850525"/>
    <n v="2.9499999999999998E-2"/>
    <n v="8910203.3819509037"/>
    <n v="1"/>
    <n v="1"/>
    <n v="1"/>
    <n v="2.3282887077997669E-2"/>
    <n v="1"/>
    <n v="207455.25918395582"/>
  </r>
  <r>
    <x v="5"/>
    <x v="6"/>
    <s v="To eat or drink"/>
    <x v="1"/>
    <n v="302040792.60850525"/>
    <n v="2.9499999999999998E-2"/>
    <n v="8910203.3819509037"/>
    <n v="3"/>
    <n v="3"/>
    <n v="3"/>
    <n v="6.9848661233993012E-2"/>
    <n v="1"/>
    <n v="622365.77755186753"/>
  </r>
  <r>
    <x v="5"/>
    <x v="6"/>
    <s v="To eat or drink"/>
    <x v="2"/>
    <n v="302040792.60850525"/>
    <n v="2.9499999999999998E-2"/>
    <n v="8910203.3819509037"/>
    <n v="5"/>
    <n v="5"/>
    <n v="5"/>
    <n v="0.11641443538998836"/>
    <n v="1"/>
    <n v="1037276.2959197792"/>
  </r>
  <r>
    <x v="5"/>
    <x v="6"/>
    <s v="To eat or drink"/>
    <x v="3"/>
    <n v="302040792.60850525"/>
    <n v="2.9499999999999998E-2"/>
    <n v="8910203.3819509037"/>
    <n v="7"/>
    <n v="7"/>
    <n v="7"/>
    <n v="0.16298020954598369"/>
    <n v="1"/>
    <n v="1452186.8142876909"/>
  </r>
  <r>
    <x v="5"/>
    <x v="6"/>
    <s v="To eat or drink"/>
    <x v="4"/>
    <n v="302040792.60850525"/>
    <n v="2.9499999999999998E-2"/>
    <n v="8910203.3819509037"/>
    <n v="25.7"/>
    <n v="28.2"/>
    <n v="26.95"/>
    <n v="0.62747380675203723"/>
    <n v="1"/>
    <n v="5590919.2350076102"/>
  </r>
  <r>
    <x v="5"/>
    <x v="6"/>
    <s v="Visit family/friends"/>
    <x v="0"/>
    <n v="302040792.60850525"/>
    <n v="7.0999999999999994E-2"/>
    <n v="21444896.275203872"/>
    <n v="1"/>
    <n v="1"/>
    <n v="1"/>
    <n v="2.3282887077997669E-2"/>
    <n v="1"/>
    <n v="499299.09837494459"/>
  </r>
  <r>
    <x v="5"/>
    <x v="6"/>
    <s v="Visit family/friends"/>
    <x v="1"/>
    <n v="302040792.60850525"/>
    <n v="7.0999999999999994E-2"/>
    <n v="21444896.275203872"/>
    <n v="3"/>
    <n v="3"/>
    <n v="3"/>
    <n v="6.9848661233993012E-2"/>
    <n v="1"/>
    <n v="1497897.2951248339"/>
  </r>
  <r>
    <x v="5"/>
    <x v="6"/>
    <s v="Visit family/friends"/>
    <x v="2"/>
    <n v="302040792.60850525"/>
    <n v="7.0999999999999994E-2"/>
    <n v="21444896.275203872"/>
    <n v="5"/>
    <n v="5"/>
    <n v="5"/>
    <n v="0.11641443538998836"/>
    <n v="1"/>
    <n v="2496495.4918747232"/>
  </r>
  <r>
    <x v="5"/>
    <x v="6"/>
    <s v="Visit family/friends"/>
    <x v="3"/>
    <n v="302040792.60850525"/>
    <n v="7.0999999999999994E-2"/>
    <n v="21444896.275203872"/>
    <n v="7"/>
    <n v="7"/>
    <n v="7"/>
    <n v="0.16298020954598369"/>
    <n v="1"/>
    <n v="3495093.6886246121"/>
  </r>
  <r>
    <x v="5"/>
    <x v="6"/>
    <s v="Visit family/friends"/>
    <x v="4"/>
    <n v="302040792.60850525"/>
    <n v="7.0999999999999994E-2"/>
    <n v="21444896.275203872"/>
    <n v="25.7"/>
    <n v="28.2"/>
    <n v="26.95"/>
    <n v="0.62747380675203723"/>
    <n v="1"/>
    <n v="13456110.701204758"/>
  </r>
  <r>
    <x v="5"/>
    <x v="6"/>
    <s v="Entertainment/leisure/sports"/>
    <x v="0"/>
    <n v="302040792.60850525"/>
    <n v="5.1749999999999997E-2"/>
    <n v="15630611.017490147"/>
    <n v="1"/>
    <n v="1"/>
    <n v="1"/>
    <n v="2.3282887077997669E-2"/>
    <n v="1"/>
    <n v="363925.75128032936"/>
  </r>
  <r>
    <x v="5"/>
    <x v="6"/>
    <s v="Entertainment/leisure/sports"/>
    <x v="1"/>
    <n v="302040792.60850525"/>
    <n v="5.1749999999999997E-2"/>
    <n v="15630611.017490147"/>
    <n v="3"/>
    <n v="3"/>
    <n v="3"/>
    <n v="6.9848661233993012E-2"/>
    <n v="1"/>
    <n v="1091777.253840988"/>
  </r>
  <r>
    <x v="5"/>
    <x v="6"/>
    <s v="Entertainment/leisure/sports"/>
    <x v="2"/>
    <n v="302040792.60850525"/>
    <n v="5.1749999999999997E-2"/>
    <n v="15630611.017490147"/>
    <n v="5"/>
    <n v="5"/>
    <n v="5"/>
    <n v="0.11641443538998836"/>
    <n v="1"/>
    <n v="1819628.7564016469"/>
  </r>
  <r>
    <x v="5"/>
    <x v="6"/>
    <s v="Entertainment/leisure/sports"/>
    <x v="3"/>
    <n v="302040792.60850525"/>
    <n v="5.1749999999999997E-2"/>
    <n v="15630611.017490147"/>
    <n v="7"/>
    <n v="7"/>
    <n v="7"/>
    <n v="0.16298020954598369"/>
    <n v="1"/>
    <n v="2547480.2589623053"/>
  </r>
  <r>
    <x v="5"/>
    <x v="6"/>
    <s v="Entertainment/leisure/sports"/>
    <x v="4"/>
    <n v="302040792.60850525"/>
    <n v="5.1749999999999997E-2"/>
    <n v="15630611.017490147"/>
    <n v="25.7"/>
    <n v="28.2"/>
    <n v="26.95"/>
    <n v="0.62747380675203723"/>
    <n v="1"/>
    <n v="9807798.9970048759"/>
  </r>
  <r>
    <x v="5"/>
    <x v="6"/>
    <s v="Personal Business"/>
    <x v="0"/>
    <n v="302040792.60850525"/>
    <n v="4.2999999999999997E-2"/>
    <n v="12987754.082165726"/>
    <n v="1"/>
    <n v="1"/>
    <n v="1"/>
    <n v="2.3282887077997669E-2"/>
    <n v="1"/>
    <n v="302392.41169186786"/>
  </r>
  <r>
    <x v="5"/>
    <x v="6"/>
    <s v="Personal Business"/>
    <x v="1"/>
    <n v="302040792.60850525"/>
    <n v="4.2999999999999997E-2"/>
    <n v="12987754.082165726"/>
    <n v="3"/>
    <n v="3"/>
    <n v="3"/>
    <n v="6.9848661233993012E-2"/>
    <n v="1"/>
    <n v="907177.23507560359"/>
  </r>
  <r>
    <x v="5"/>
    <x v="6"/>
    <s v="Personal Business"/>
    <x v="2"/>
    <n v="302040792.60850525"/>
    <n v="4.2999999999999997E-2"/>
    <n v="12987754.082165726"/>
    <n v="5"/>
    <n v="5"/>
    <n v="5"/>
    <n v="0.11641443538998836"/>
    <n v="1"/>
    <n v="1511962.0584593394"/>
  </r>
  <r>
    <x v="5"/>
    <x v="6"/>
    <s v="Personal Business"/>
    <x v="3"/>
    <n v="302040792.60850525"/>
    <n v="4.2999999999999997E-2"/>
    <n v="12987754.082165726"/>
    <n v="7"/>
    <n v="7"/>
    <n v="7"/>
    <n v="0.16298020954598369"/>
    <n v="1"/>
    <n v="2116746.8818430752"/>
  </r>
  <r>
    <x v="5"/>
    <x v="6"/>
    <s v="Personal Business"/>
    <x v="4"/>
    <n v="302040792.60850525"/>
    <n v="4.2999999999999997E-2"/>
    <n v="12987754.082165726"/>
    <n v="25.7"/>
    <n v="28.2"/>
    <n v="26.95"/>
    <n v="0.62747380675203723"/>
    <n v="1"/>
    <n v="8149475.4950958388"/>
  </r>
  <r>
    <x v="5"/>
    <x v="6"/>
    <s v="Companion/Escort Journey"/>
    <x v="0"/>
    <n v="302040792.60850525"/>
    <n v="3.7749999999999999E-2"/>
    <n v="11402039.920971073"/>
    <n v="1"/>
    <n v="1"/>
    <n v="1"/>
    <n v="2.3282887077997669E-2"/>
    <n v="1"/>
    <n v="265472.40793879097"/>
  </r>
  <r>
    <x v="5"/>
    <x v="6"/>
    <s v="Companion/Escort Journey"/>
    <x v="1"/>
    <n v="302040792.60850525"/>
    <n v="3.7749999999999999E-2"/>
    <n v="11402039.920971073"/>
    <n v="3"/>
    <n v="3"/>
    <n v="3"/>
    <n v="6.9848661233993012E-2"/>
    <n v="1"/>
    <n v="796417.22381637292"/>
  </r>
  <r>
    <x v="5"/>
    <x v="6"/>
    <s v="Companion/Escort Journey"/>
    <x v="2"/>
    <n v="302040792.60850525"/>
    <n v="3.7749999999999999E-2"/>
    <n v="11402039.920971073"/>
    <n v="5"/>
    <n v="5"/>
    <n v="5"/>
    <n v="0.11641443538998836"/>
    <n v="1"/>
    <n v="1327362.0396939549"/>
  </r>
  <r>
    <x v="5"/>
    <x v="6"/>
    <s v="Companion/Escort Journey"/>
    <x v="3"/>
    <n v="302040792.60850525"/>
    <n v="3.7749999999999999E-2"/>
    <n v="11402039.920971073"/>
    <n v="7"/>
    <n v="7"/>
    <n v="7"/>
    <n v="0.16298020954598369"/>
    <n v="1"/>
    <n v="1858306.8555715368"/>
  </r>
  <r>
    <x v="5"/>
    <x v="6"/>
    <s v="Companion/Escort Journey"/>
    <x v="4"/>
    <n v="302040792.60850525"/>
    <n v="3.7749999999999999E-2"/>
    <n v="11402039.920971073"/>
    <n v="25.7"/>
    <n v="28.2"/>
    <n v="26.95"/>
    <n v="0.62747380675203723"/>
    <n v="1"/>
    <n v="7154481.3939504167"/>
  </r>
  <r>
    <x v="5"/>
    <x v="6"/>
    <s v="Other"/>
    <x v="0"/>
    <n v="302040792.60850525"/>
    <n v="3.2500000000000001E-2"/>
    <n v="9816325.7597764209"/>
    <n v="1"/>
    <n v="1"/>
    <n v="1"/>
    <n v="2.3282887077997669E-2"/>
    <n v="1"/>
    <n v="228552.40418571408"/>
  </r>
  <r>
    <x v="5"/>
    <x v="6"/>
    <s v="Other"/>
    <x v="1"/>
    <n v="302040792.60850525"/>
    <n v="3.2500000000000001E-2"/>
    <n v="9816325.7597764209"/>
    <n v="3"/>
    <n v="3"/>
    <n v="3"/>
    <n v="6.9848661233993012E-2"/>
    <n v="1"/>
    <n v="685657.21255714225"/>
  </r>
  <r>
    <x v="5"/>
    <x v="6"/>
    <s v="Other"/>
    <x v="2"/>
    <n v="302040792.60850525"/>
    <n v="3.2500000000000001E-2"/>
    <n v="9816325.7597764209"/>
    <n v="5"/>
    <n v="5"/>
    <n v="5"/>
    <n v="0.11641443538998836"/>
    <n v="1"/>
    <n v="1142762.0209285705"/>
  </r>
  <r>
    <x v="5"/>
    <x v="6"/>
    <s v="Other"/>
    <x v="3"/>
    <n v="302040792.60850525"/>
    <n v="3.2500000000000001E-2"/>
    <n v="9816325.7597764209"/>
    <n v="7"/>
    <n v="7"/>
    <n v="7"/>
    <n v="0.16298020954598369"/>
    <n v="1"/>
    <n v="1599866.8292999987"/>
  </r>
  <r>
    <x v="5"/>
    <x v="6"/>
    <s v="Other"/>
    <x v="4"/>
    <n v="302040792.60850525"/>
    <n v="3.2500000000000001E-2"/>
    <n v="9816325.7597764209"/>
    <n v="25.7"/>
    <n v="28.2"/>
    <n v="26.95"/>
    <n v="0.62747380675203723"/>
    <n v="1"/>
    <n v="6159487.2928049946"/>
  </r>
  <r>
    <x v="5"/>
    <x v="7"/>
    <s v="Work"/>
    <x v="0"/>
    <n v="3335786464.3653483"/>
    <n v="0.48249999999999993"/>
    <n v="1609516969.0562804"/>
    <n v="1"/>
    <n v="1"/>
    <n v="1"/>
    <n v="2.3282887077997669E-2"/>
    <n v="1"/>
    <n v="37474201.840658449"/>
  </r>
  <r>
    <x v="5"/>
    <x v="7"/>
    <s v="Work"/>
    <x v="1"/>
    <n v="3335786464.3653483"/>
    <n v="0.48249999999999993"/>
    <n v="1609516969.0562804"/>
    <n v="3"/>
    <n v="3"/>
    <n v="3"/>
    <n v="6.9848661233993012E-2"/>
    <n v="1"/>
    <n v="112422605.52197534"/>
  </r>
  <r>
    <x v="5"/>
    <x v="7"/>
    <s v="Work"/>
    <x v="2"/>
    <n v="3335786464.3653483"/>
    <n v="0.48249999999999993"/>
    <n v="1609516969.0562804"/>
    <n v="5"/>
    <n v="5"/>
    <n v="5"/>
    <n v="0.11641443538998836"/>
    <n v="1"/>
    <n v="187371009.20329225"/>
  </r>
  <r>
    <x v="5"/>
    <x v="7"/>
    <s v="Work"/>
    <x v="3"/>
    <n v="3335786464.3653483"/>
    <n v="0.48249999999999993"/>
    <n v="1609516969.0562804"/>
    <n v="7"/>
    <n v="7"/>
    <n v="7"/>
    <n v="0.16298020954598369"/>
    <n v="1"/>
    <n v="262319412.88460913"/>
  </r>
  <r>
    <x v="5"/>
    <x v="7"/>
    <s v="Work"/>
    <x v="4"/>
    <n v="3335786464.3653483"/>
    <n v="0.48249999999999993"/>
    <n v="1609516969.0562804"/>
    <n v="25.7"/>
    <n v="28.2"/>
    <n v="26.95"/>
    <n v="0.62747380675203723"/>
    <n v="1"/>
    <n v="1009929739.6057452"/>
  </r>
  <r>
    <x v="5"/>
    <x v="7"/>
    <s v="Education"/>
    <x v="0"/>
    <n v="3335786464.3653483"/>
    <n v="0"/>
    <n v="0"/>
    <n v="1"/>
    <n v="1"/>
    <n v="1"/>
    <n v="2.3282887077997669E-2"/>
    <n v="1"/>
    <n v="0"/>
  </r>
  <r>
    <x v="5"/>
    <x v="7"/>
    <s v="Education"/>
    <x v="1"/>
    <n v="3335786464.3653483"/>
    <n v="0"/>
    <n v="0"/>
    <n v="3"/>
    <n v="3"/>
    <n v="3"/>
    <n v="6.9848661233993012E-2"/>
    <n v="1"/>
    <n v="0"/>
  </r>
  <r>
    <x v="5"/>
    <x v="7"/>
    <s v="Education"/>
    <x v="2"/>
    <n v="3335786464.3653483"/>
    <n v="0"/>
    <n v="0"/>
    <n v="5"/>
    <n v="5"/>
    <n v="5"/>
    <n v="0.11641443538998836"/>
    <n v="1"/>
    <n v="0"/>
  </r>
  <r>
    <x v="5"/>
    <x v="7"/>
    <s v="Education"/>
    <x v="3"/>
    <n v="3335786464.3653483"/>
    <n v="0"/>
    <n v="0"/>
    <n v="7"/>
    <n v="7"/>
    <n v="7"/>
    <n v="0.16298020954598369"/>
    <n v="1"/>
    <n v="0"/>
  </r>
  <r>
    <x v="5"/>
    <x v="7"/>
    <s v="Education"/>
    <x v="4"/>
    <n v="3335786464.3653483"/>
    <n v="0"/>
    <n v="0"/>
    <n v="25.7"/>
    <n v="28.2"/>
    <n v="26.95"/>
    <n v="0.62747380675203723"/>
    <n v="1"/>
    <n v="0"/>
  </r>
  <r>
    <x v="5"/>
    <x v="7"/>
    <s v="Shopping"/>
    <x v="0"/>
    <n v="3335786464.3653483"/>
    <n v="0.10549999999999998"/>
    <n v="351925471.9905442"/>
    <n v="1"/>
    <n v="1"/>
    <n v="1"/>
    <n v="2.3282887077997669E-2"/>
    <n v="1"/>
    <n v="8193841.0242268723"/>
  </r>
  <r>
    <x v="5"/>
    <x v="7"/>
    <s v="Shopping"/>
    <x v="1"/>
    <n v="3335786464.3653483"/>
    <n v="0.10549999999999998"/>
    <n v="351925471.9905442"/>
    <n v="3"/>
    <n v="3"/>
    <n v="3"/>
    <n v="6.9848661233993012E-2"/>
    <n v="1"/>
    <n v="24581523.072680619"/>
  </r>
  <r>
    <x v="5"/>
    <x v="7"/>
    <s v="Shopping"/>
    <x v="2"/>
    <n v="3335786464.3653483"/>
    <n v="0.10549999999999998"/>
    <n v="351925471.9905442"/>
    <n v="5"/>
    <n v="5"/>
    <n v="5"/>
    <n v="0.11641443538998836"/>
    <n v="1"/>
    <n v="40969205.121134363"/>
  </r>
  <r>
    <x v="5"/>
    <x v="7"/>
    <s v="Shopping"/>
    <x v="3"/>
    <n v="3335786464.3653483"/>
    <n v="0.10549999999999998"/>
    <n v="351925471.9905442"/>
    <n v="7"/>
    <n v="7"/>
    <n v="7"/>
    <n v="0.16298020954598369"/>
    <n v="1"/>
    <n v="57356887.169588104"/>
  </r>
  <r>
    <x v="5"/>
    <x v="7"/>
    <s v="Shopping"/>
    <x v="4"/>
    <n v="3335786464.3653483"/>
    <n v="0.10549999999999998"/>
    <n v="351925471.9905442"/>
    <n v="25.7"/>
    <n v="28.2"/>
    <n v="26.95"/>
    <n v="0.62747380675203723"/>
    <n v="1"/>
    <n v="220824015.60291421"/>
  </r>
  <r>
    <x v="5"/>
    <x v="7"/>
    <s v="To eat or drink"/>
    <x v="0"/>
    <n v="3335786464.3653483"/>
    <n v="3.6249999999999998E-2"/>
    <n v="120922259.33324386"/>
    <n v="1"/>
    <n v="1"/>
    <n v="1"/>
    <n v="2.3282887077997669E-2"/>
    <n v="1"/>
    <n v="2815419.3092722665"/>
  </r>
  <r>
    <x v="5"/>
    <x v="7"/>
    <s v="To eat or drink"/>
    <x v="1"/>
    <n v="3335786464.3653483"/>
    <n v="3.6249999999999998E-2"/>
    <n v="120922259.33324386"/>
    <n v="3"/>
    <n v="3"/>
    <n v="3"/>
    <n v="6.9848661233993012E-2"/>
    <n v="1"/>
    <n v="8446257.9278168008"/>
  </r>
  <r>
    <x v="5"/>
    <x v="7"/>
    <s v="To eat or drink"/>
    <x v="2"/>
    <n v="3335786464.3653483"/>
    <n v="3.6249999999999998E-2"/>
    <n v="120922259.33324386"/>
    <n v="5"/>
    <n v="5"/>
    <n v="5"/>
    <n v="0.11641443538998836"/>
    <n v="1"/>
    <n v="14077096.546361335"/>
  </r>
  <r>
    <x v="5"/>
    <x v="7"/>
    <s v="To eat or drink"/>
    <x v="3"/>
    <n v="3335786464.3653483"/>
    <n v="3.6249999999999998E-2"/>
    <n v="120922259.33324386"/>
    <n v="7"/>
    <n v="7"/>
    <n v="7"/>
    <n v="0.16298020954598369"/>
    <n v="1"/>
    <n v="19707935.164905865"/>
  </r>
  <r>
    <x v="5"/>
    <x v="7"/>
    <s v="To eat or drink"/>
    <x v="4"/>
    <n v="3335786464.3653483"/>
    <n v="3.6249999999999998E-2"/>
    <n v="120922259.33324386"/>
    <n v="25.7"/>
    <n v="28.2"/>
    <n v="26.95"/>
    <n v="0.62747380675203723"/>
    <n v="1"/>
    <n v="75875550.384887591"/>
  </r>
  <r>
    <x v="5"/>
    <x v="7"/>
    <s v="Visit family/friends"/>
    <x v="0"/>
    <n v="3335786464.3653483"/>
    <n v="0.105"/>
    <n v="350257578.75836158"/>
    <n v="1"/>
    <n v="1"/>
    <n v="1"/>
    <n v="2.3282887077997669E-2"/>
    <n v="1"/>
    <n v="8155007.6544438079"/>
  </r>
  <r>
    <x v="5"/>
    <x v="7"/>
    <s v="Visit family/friends"/>
    <x v="1"/>
    <n v="3335786464.3653483"/>
    <n v="0.105"/>
    <n v="350257578.75836158"/>
    <n v="3"/>
    <n v="3"/>
    <n v="3"/>
    <n v="6.9848661233993012E-2"/>
    <n v="1"/>
    <n v="24465022.963331424"/>
  </r>
  <r>
    <x v="5"/>
    <x v="7"/>
    <s v="Visit family/friends"/>
    <x v="2"/>
    <n v="3335786464.3653483"/>
    <n v="0.105"/>
    <n v="350257578.75836158"/>
    <n v="5"/>
    <n v="5"/>
    <n v="5"/>
    <n v="0.11641443538998836"/>
    <n v="1"/>
    <n v="40775038.272219039"/>
  </r>
  <r>
    <x v="5"/>
    <x v="7"/>
    <s v="Visit family/friends"/>
    <x v="3"/>
    <n v="3335786464.3653483"/>
    <n v="0.105"/>
    <n v="350257578.75836158"/>
    <n v="7"/>
    <n v="7"/>
    <n v="7"/>
    <n v="0.16298020954598369"/>
    <n v="1"/>
    <n v="57085053.581106655"/>
  </r>
  <r>
    <x v="5"/>
    <x v="7"/>
    <s v="Visit family/friends"/>
    <x v="4"/>
    <n v="3335786464.3653483"/>
    <n v="0.105"/>
    <n v="350257578.75836158"/>
    <n v="25.7"/>
    <n v="28.2"/>
    <n v="26.95"/>
    <n v="0.62747380675203723"/>
    <n v="1"/>
    <n v="219777456.28726062"/>
  </r>
  <r>
    <x v="5"/>
    <x v="7"/>
    <s v="Entertainment/leisure/sports"/>
    <x v="0"/>
    <n v="3335786464.3653483"/>
    <n v="4.5500000000000006E-2"/>
    <n v="151778284.12862337"/>
    <n v="1"/>
    <n v="1"/>
    <n v="1"/>
    <n v="2.3282887077997669E-2"/>
    <n v="1"/>
    <n v="3533836.650258984"/>
  </r>
  <r>
    <x v="5"/>
    <x v="7"/>
    <s v="Entertainment/leisure/sports"/>
    <x v="1"/>
    <n v="3335786464.3653483"/>
    <n v="4.5500000000000006E-2"/>
    <n v="151778284.12862337"/>
    <n v="3"/>
    <n v="3"/>
    <n v="3"/>
    <n v="6.9848661233993012E-2"/>
    <n v="1"/>
    <n v="10601509.950776951"/>
  </r>
  <r>
    <x v="5"/>
    <x v="7"/>
    <s v="Entertainment/leisure/sports"/>
    <x v="2"/>
    <n v="3335786464.3653483"/>
    <n v="4.5500000000000006E-2"/>
    <n v="151778284.12862337"/>
    <n v="5"/>
    <n v="5"/>
    <n v="5"/>
    <n v="0.11641443538998836"/>
    <n v="1"/>
    <n v="17669183.251294922"/>
  </r>
  <r>
    <x v="5"/>
    <x v="7"/>
    <s v="Entertainment/leisure/sports"/>
    <x v="3"/>
    <n v="3335786464.3653483"/>
    <n v="4.5500000000000006E-2"/>
    <n v="151778284.12862337"/>
    <n v="7"/>
    <n v="7"/>
    <n v="7"/>
    <n v="0.16298020954598369"/>
    <n v="1"/>
    <n v="24736856.551812887"/>
  </r>
  <r>
    <x v="5"/>
    <x v="7"/>
    <s v="Entertainment/leisure/sports"/>
    <x v="4"/>
    <n v="3335786464.3653483"/>
    <n v="4.5500000000000006E-2"/>
    <n v="151778284.12862337"/>
    <n v="25.7"/>
    <n v="28.2"/>
    <n v="26.95"/>
    <n v="0.62747380675203723"/>
    <n v="1"/>
    <n v="95236897.724479616"/>
  </r>
  <r>
    <x v="5"/>
    <x v="7"/>
    <s v="Personal Business"/>
    <x v="0"/>
    <n v="3335786464.3653483"/>
    <n v="1.7500000000000002E-2"/>
    <n v="58376263.126393601"/>
    <n v="1"/>
    <n v="1"/>
    <n v="1"/>
    <n v="2.3282887077997669E-2"/>
    <n v="1"/>
    <n v="1359167.9424073014"/>
  </r>
  <r>
    <x v="5"/>
    <x v="7"/>
    <s v="Personal Business"/>
    <x v="1"/>
    <n v="3335786464.3653483"/>
    <n v="1.7500000000000002E-2"/>
    <n v="58376263.126393601"/>
    <n v="3"/>
    <n v="3"/>
    <n v="3"/>
    <n v="6.9848661233993012E-2"/>
    <n v="1"/>
    <n v="4077503.8272219044"/>
  </r>
  <r>
    <x v="5"/>
    <x v="7"/>
    <s v="Personal Business"/>
    <x v="2"/>
    <n v="3335786464.3653483"/>
    <n v="1.7500000000000002E-2"/>
    <n v="58376263.126393601"/>
    <n v="5"/>
    <n v="5"/>
    <n v="5"/>
    <n v="0.11641443538998836"/>
    <n v="1"/>
    <n v="6795839.7120365072"/>
  </r>
  <r>
    <x v="5"/>
    <x v="7"/>
    <s v="Personal Business"/>
    <x v="3"/>
    <n v="3335786464.3653483"/>
    <n v="1.7500000000000002E-2"/>
    <n v="58376263.126393601"/>
    <n v="7"/>
    <n v="7"/>
    <n v="7"/>
    <n v="0.16298020954598369"/>
    <n v="1"/>
    <n v="9514175.5968511105"/>
  </r>
  <r>
    <x v="5"/>
    <x v="7"/>
    <s v="Personal Business"/>
    <x v="4"/>
    <n v="3335786464.3653483"/>
    <n v="1.7500000000000002E-2"/>
    <n v="58376263.126393601"/>
    <n v="25.7"/>
    <n v="28.2"/>
    <n v="26.95"/>
    <n v="0.62747380675203723"/>
    <n v="1"/>
    <n v="36629576.047876775"/>
  </r>
  <r>
    <x v="5"/>
    <x v="7"/>
    <s v="Companion/Escort Journey"/>
    <x v="0"/>
    <n v="3335786464.3653483"/>
    <n v="0.10075000000000001"/>
    <n v="336080486.28480887"/>
    <n v="1"/>
    <n v="1"/>
    <n v="1"/>
    <n v="2.3282887077997669E-2"/>
    <n v="1"/>
    <n v="7824924.0112877497"/>
  </r>
  <r>
    <x v="5"/>
    <x v="7"/>
    <s v="Companion/Escort Journey"/>
    <x v="1"/>
    <n v="3335786464.3653483"/>
    <n v="0.10075000000000001"/>
    <n v="336080486.28480887"/>
    <n v="3"/>
    <n v="3"/>
    <n v="3"/>
    <n v="6.9848661233993012E-2"/>
    <n v="1"/>
    <n v="23474772.03386325"/>
  </r>
  <r>
    <x v="5"/>
    <x v="7"/>
    <s v="Companion/Escort Journey"/>
    <x v="2"/>
    <n v="3335786464.3653483"/>
    <n v="0.10075000000000001"/>
    <n v="336080486.28480887"/>
    <n v="5"/>
    <n v="5"/>
    <n v="5"/>
    <n v="0.11641443538998836"/>
    <n v="1"/>
    <n v="39124620.056438752"/>
  </r>
  <r>
    <x v="5"/>
    <x v="7"/>
    <s v="Companion/Escort Journey"/>
    <x v="3"/>
    <n v="3335786464.3653483"/>
    <n v="0.10075000000000001"/>
    <n v="336080486.28480887"/>
    <n v="7"/>
    <n v="7"/>
    <n v="7"/>
    <n v="0.16298020954598369"/>
    <n v="1"/>
    <n v="54774468.079014249"/>
  </r>
  <r>
    <x v="5"/>
    <x v="7"/>
    <s v="Companion/Escort Journey"/>
    <x v="4"/>
    <n v="3335786464.3653483"/>
    <n v="0.10075000000000001"/>
    <n v="336080486.28480887"/>
    <n v="25.7"/>
    <n v="28.2"/>
    <n v="26.95"/>
    <n v="0.62747380675203723"/>
    <n v="1"/>
    <n v="210881702.10420486"/>
  </r>
  <r>
    <x v="5"/>
    <x v="7"/>
    <s v="Other"/>
    <x v="0"/>
    <n v="3335786464.3653483"/>
    <n v="0.10700000000000001"/>
    <n v="356929151.6870923"/>
    <n v="1"/>
    <n v="1"/>
    <n v="1"/>
    <n v="2.3282887077997669E-2"/>
    <n v="1"/>
    <n v="8310341.1335760718"/>
  </r>
  <r>
    <x v="5"/>
    <x v="7"/>
    <s v="Other"/>
    <x v="1"/>
    <n v="3335786464.3653483"/>
    <n v="0.10700000000000001"/>
    <n v="356929151.6870923"/>
    <n v="3"/>
    <n v="3"/>
    <n v="3"/>
    <n v="6.9848661233993012E-2"/>
    <n v="1"/>
    <n v="24931023.400728215"/>
  </r>
  <r>
    <x v="5"/>
    <x v="7"/>
    <s v="Other"/>
    <x v="2"/>
    <n v="3335786464.3653483"/>
    <n v="0.10700000000000001"/>
    <n v="356929151.6870923"/>
    <n v="5"/>
    <n v="5"/>
    <n v="5"/>
    <n v="0.11641443538998836"/>
    <n v="1"/>
    <n v="41551705.667880364"/>
  </r>
  <r>
    <x v="5"/>
    <x v="7"/>
    <s v="Other"/>
    <x v="3"/>
    <n v="3335786464.3653483"/>
    <n v="0.10700000000000001"/>
    <n v="356929151.6870923"/>
    <n v="7"/>
    <n v="7"/>
    <n v="7"/>
    <n v="0.16298020954598369"/>
    <n v="1"/>
    <n v="58172387.935032502"/>
  </r>
  <r>
    <x v="5"/>
    <x v="7"/>
    <s v="Other"/>
    <x v="4"/>
    <n v="3335786464.3653483"/>
    <n v="0.10700000000000001"/>
    <n v="356929151.6870923"/>
    <n v="25.7"/>
    <n v="28.2"/>
    <n v="26.95"/>
    <n v="0.62747380675203723"/>
    <n v="1"/>
    <n v="223963693.549875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0">
  <r>
    <x v="0"/>
    <x v="0"/>
    <x v="0"/>
    <x v="0"/>
    <n v="41186265414.625694"/>
    <n v="0.24349999999999997"/>
    <x v="0"/>
    <x v="0"/>
    <n v="1"/>
    <n v="1"/>
    <n v="2.1081479919890376E-2"/>
    <n v="1"/>
    <x v="0"/>
    <n v="3.4776015767065847E-3"/>
  </r>
  <r>
    <x v="0"/>
    <x v="0"/>
    <x v="0"/>
    <x v="1"/>
    <n v="41186265414.625694"/>
    <n v="0.24349999999999997"/>
    <x v="0"/>
    <x v="1"/>
    <n v="3"/>
    <n v="3"/>
    <n v="6.3244439759671131E-2"/>
    <n v="1"/>
    <x v="1"/>
    <n v="1.0432804730119755E-2"/>
  </r>
  <r>
    <x v="0"/>
    <x v="0"/>
    <x v="0"/>
    <x v="2"/>
    <n v="41186265414.625694"/>
    <n v="0.24349999999999997"/>
    <x v="0"/>
    <x v="2"/>
    <n v="5"/>
    <n v="5"/>
    <n v="0.10540739959945188"/>
    <n v="1"/>
    <x v="2"/>
    <n v="1.7388007883532924E-2"/>
  </r>
  <r>
    <x v="0"/>
    <x v="0"/>
    <x v="0"/>
    <x v="3"/>
    <n v="41186265414.625694"/>
    <n v="0.24349999999999997"/>
    <x v="0"/>
    <x v="3"/>
    <n v="7"/>
    <n v="7"/>
    <n v="0.14757035943923263"/>
    <n v="1"/>
    <x v="3"/>
    <n v="2.4343211036946096E-2"/>
  </r>
  <r>
    <x v="0"/>
    <x v="0"/>
    <x v="0"/>
    <x v="4"/>
    <n v="41186265414.625694"/>
    <n v="0.24349999999999997"/>
    <x v="0"/>
    <x v="4"/>
    <n v="32.770000000000003"/>
    <n v="31.435000000000002"/>
    <n v="0.66269632128175404"/>
    <n v="1"/>
    <x v="4"/>
    <n v="0.10931840556377151"/>
  </r>
  <r>
    <x v="0"/>
    <x v="0"/>
    <x v="1"/>
    <x v="0"/>
    <n v="41186265414.625694"/>
    <n v="3.5499999999999997E-2"/>
    <x v="1"/>
    <x v="0"/>
    <n v="1"/>
    <n v="1"/>
    <n v="2.1081479919890376E-2"/>
    <n v="1"/>
    <x v="5"/>
    <n v="5.0700146190178134E-4"/>
  </r>
  <r>
    <x v="0"/>
    <x v="0"/>
    <x v="1"/>
    <x v="1"/>
    <n v="41186265414.625694"/>
    <n v="3.5499999999999997E-2"/>
    <x v="1"/>
    <x v="1"/>
    <n v="3"/>
    <n v="3"/>
    <n v="6.3244439759671131E-2"/>
    <n v="1"/>
    <x v="6"/>
    <n v="1.521004385705344E-3"/>
  </r>
  <r>
    <x v="0"/>
    <x v="0"/>
    <x v="1"/>
    <x v="2"/>
    <n v="41186265414.625694"/>
    <n v="3.5499999999999997E-2"/>
    <x v="1"/>
    <x v="2"/>
    <n v="5"/>
    <n v="5"/>
    <n v="0.10540739959945188"/>
    <n v="1"/>
    <x v="7"/>
    <n v="2.5350073095089065E-3"/>
  </r>
  <r>
    <x v="0"/>
    <x v="0"/>
    <x v="1"/>
    <x v="3"/>
    <n v="41186265414.625694"/>
    <n v="3.5499999999999997E-2"/>
    <x v="1"/>
    <x v="3"/>
    <n v="7"/>
    <n v="7"/>
    <n v="0.14757035943923263"/>
    <n v="1"/>
    <x v="8"/>
    <n v="3.5490102333124696E-3"/>
  </r>
  <r>
    <x v="0"/>
    <x v="0"/>
    <x v="1"/>
    <x v="4"/>
    <n v="41186265414.625694"/>
    <n v="3.5499999999999997E-2"/>
    <x v="1"/>
    <x v="4"/>
    <n v="32.770000000000003"/>
    <n v="31.435000000000002"/>
    <n v="0.66269632128175404"/>
    <n v="1"/>
    <x v="9"/>
    <n v="1.5937590954882501E-2"/>
  </r>
  <r>
    <x v="0"/>
    <x v="0"/>
    <x v="2"/>
    <x v="0"/>
    <n v="41186265414.625694"/>
    <n v="0.23275000000000001"/>
    <x v="2"/>
    <x v="0"/>
    <n v="1"/>
    <n v="1"/>
    <n v="2.1081479919890376E-2"/>
    <n v="1"/>
    <x v="10"/>
    <n v="3.3240729650039335E-3"/>
  </r>
  <r>
    <x v="0"/>
    <x v="0"/>
    <x v="2"/>
    <x v="1"/>
    <n v="41186265414.625694"/>
    <n v="0.23275000000000001"/>
    <x v="2"/>
    <x v="1"/>
    <n v="3"/>
    <n v="3"/>
    <n v="6.3244439759671131E-2"/>
    <n v="1"/>
    <x v="11"/>
    <n v="9.9722188950118005E-3"/>
  </r>
  <r>
    <x v="0"/>
    <x v="0"/>
    <x v="2"/>
    <x v="2"/>
    <n v="41186265414.625694"/>
    <n v="0.23275000000000001"/>
    <x v="2"/>
    <x v="2"/>
    <n v="5"/>
    <n v="5"/>
    <n v="0.10540739959945188"/>
    <n v="1"/>
    <x v="12"/>
    <n v="1.6620364825019666E-2"/>
  </r>
  <r>
    <x v="0"/>
    <x v="0"/>
    <x v="2"/>
    <x v="3"/>
    <n v="41186265414.625694"/>
    <n v="0.23275000000000001"/>
    <x v="2"/>
    <x v="3"/>
    <n v="7"/>
    <n v="7"/>
    <n v="0.14757035943923263"/>
    <n v="1"/>
    <x v="13"/>
    <n v="2.3268510755027533E-2"/>
  </r>
  <r>
    <x v="0"/>
    <x v="0"/>
    <x v="2"/>
    <x v="4"/>
    <n v="41186265414.625694"/>
    <n v="0.23275000000000001"/>
    <x v="2"/>
    <x v="4"/>
    <n v="32.770000000000003"/>
    <n v="31.435000000000002"/>
    <n v="0.66269632128175404"/>
    <n v="1"/>
    <x v="14"/>
    <n v="0.10449223365489865"/>
  </r>
  <r>
    <x v="0"/>
    <x v="0"/>
    <x v="3"/>
    <x v="0"/>
    <n v="41186265414.625694"/>
    <n v="1.3500000000000002E-2"/>
    <x v="3"/>
    <x v="0"/>
    <n v="1"/>
    <n v="1"/>
    <n v="2.1081479919890376E-2"/>
    <n v="1"/>
    <x v="15"/>
    <n v="1.928033728358887E-4"/>
  </r>
  <r>
    <x v="0"/>
    <x v="0"/>
    <x v="3"/>
    <x v="1"/>
    <n v="41186265414.625694"/>
    <n v="1.3500000000000002E-2"/>
    <x v="3"/>
    <x v="1"/>
    <n v="3"/>
    <n v="3"/>
    <n v="6.3244439759671131E-2"/>
    <n v="1"/>
    <x v="16"/>
    <n v="5.7841011850766615E-4"/>
  </r>
  <r>
    <x v="0"/>
    <x v="0"/>
    <x v="3"/>
    <x v="2"/>
    <n v="41186265414.625694"/>
    <n v="1.3500000000000002E-2"/>
    <x v="3"/>
    <x v="2"/>
    <n v="5"/>
    <n v="5"/>
    <n v="0.10540739959945188"/>
    <n v="1"/>
    <x v="17"/>
    <n v="9.6401686417944355E-4"/>
  </r>
  <r>
    <x v="0"/>
    <x v="0"/>
    <x v="3"/>
    <x v="3"/>
    <n v="41186265414.625694"/>
    <n v="1.3500000000000002E-2"/>
    <x v="3"/>
    <x v="3"/>
    <n v="7"/>
    <n v="7"/>
    <n v="0.14757035943923263"/>
    <n v="1"/>
    <x v="18"/>
    <n v="1.3496236098512211E-3"/>
  </r>
  <r>
    <x v="0"/>
    <x v="0"/>
    <x v="3"/>
    <x v="4"/>
    <n v="41186265414.625694"/>
    <n v="1.3500000000000002E-2"/>
    <x v="3"/>
    <x v="4"/>
    <n v="32.770000000000003"/>
    <n v="31.435000000000002"/>
    <n v="0.66269632128175404"/>
    <n v="1"/>
    <x v="19"/>
    <n v="6.0607740250961627E-3"/>
  </r>
  <r>
    <x v="0"/>
    <x v="0"/>
    <x v="4"/>
    <x v="0"/>
    <n v="41186265414.625694"/>
    <n v="0.1125"/>
    <x v="4"/>
    <x v="0"/>
    <n v="1"/>
    <n v="1"/>
    <n v="2.1081479919890376E-2"/>
    <n v="1"/>
    <x v="20"/>
    <n v="1.6066947736324058E-3"/>
  </r>
  <r>
    <x v="0"/>
    <x v="0"/>
    <x v="4"/>
    <x v="1"/>
    <n v="41186265414.625694"/>
    <n v="0.1125"/>
    <x v="4"/>
    <x v="1"/>
    <n v="3"/>
    <n v="3"/>
    <n v="6.3244439759671131E-2"/>
    <n v="1"/>
    <x v="21"/>
    <n v="4.8200843208972182E-3"/>
  </r>
  <r>
    <x v="0"/>
    <x v="0"/>
    <x v="4"/>
    <x v="2"/>
    <n v="41186265414.625694"/>
    <n v="0.1125"/>
    <x v="4"/>
    <x v="2"/>
    <n v="5"/>
    <n v="5"/>
    <n v="0.10540739959945188"/>
    <n v="1"/>
    <x v="22"/>
    <n v="8.0334738681620294E-3"/>
  </r>
  <r>
    <x v="0"/>
    <x v="0"/>
    <x v="4"/>
    <x v="3"/>
    <n v="41186265414.625694"/>
    <n v="0.1125"/>
    <x v="4"/>
    <x v="3"/>
    <n v="7"/>
    <n v="7"/>
    <n v="0.14757035943923263"/>
    <n v="1"/>
    <x v="23"/>
    <n v="1.124686341542684E-2"/>
  </r>
  <r>
    <x v="0"/>
    <x v="0"/>
    <x v="4"/>
    <x v="4"/>
    <n v="41186265414.625694"/>
    <n v="0.1125"/>
    <x v="4"/>
    <x v="4"/>
    <n v="32.770000000000003"/>
    <n v="31.435000000000002"/>
    <n v="0.66269632128175404"/>
    <n v="1"/>
    <x v="24"/>
    <n v="5.0506450209134683E-2"/>
  </r>
  <r>
    <x v="0"/>
    <x v="0"/>
    <x v="5"/>
    <x v="0"/>
    <n v="41186265414.625694"/>
    <n v="7.8750000000000001E-2"/>
    <x v="5"/>
    <x v="0"/>
    <n v="1"/>
    <n v="1"/>
    <n v="2.1081479919890376E-2"/>
    <n v="1"/>
    <x v="25"/>
    <n v="1.1246863415426841E-3"/>
  </r>
  <r>
    <x v="0"/>
    <x v="0"/>
    <x v="5"/>
    <x v="1"/>
    <n v="41186265414.625694"/>
    <n v="7.8750000000000001E-2"/>
    <x v="5"/>
    <x v="1"/>
    <n v="3"/>
    <n v="3"/>
    <n v="6.3244439759671131E-2"/>
    <n v="1"/>
    <x v="26"/>
    <n v="3.3740590246280526E-3"/>
  </r>
  <r>
    <x v="0"/>
    <x v="0"/>
    <x v="5"/>
    <x v="2"/>
    <n v="41186265414.625694"/>
    <n v="7.8750000000000001E-2"/>
    <x v="5"/>
    <x v="2"/>
    <n v="5"/>
    <n v="5"/>
    <n v="0.10540739959945188"/>
    <n v="1"/>
    <x v="27"/>
    <n v="5.6234317077134199E-3"/>
  </r>
  <r>
    <x v="0"/>
    <x v="0"/>
    <x v="5"/>
    <x v="3"/>
    <n v="41186265414.625694"/>
    <n v="7.8750000000000001E-2"/>
    <x v="5"/>
    <x v="3"/>
    <n v="7"/>
    <n v="7"/>
    <n v="0.14757035943923263"/>
    <n v="1"/>
    <x v="28"/>
    <n v="7.8728043907987898E-3"/>
  </r>
  <r>
    <x v="0"/>
    <x v="0"/>
    <x v="5"/>
    <x v="4"/>
    <n v="41186265414.625694"/>
    <n v="7.8750000000000001E-2"/>
    <x v="5"/>
    <x v="4"/>
    <n v="32.770000000000003"/>
    <n v="31.435000000000002"/>
    <n v="0.66269632128175404"/>
    <n v="1"/>
    <x v="29"/>
    <n v="3.5354515146394275E-2"/>
  </r>
  <r>
    <x v="0"/>
    <x v="0"/>
    <x v="6"/>
    <x v="0"/>
    <n v="41186265414.625694"/>
    <n v="6.7250000000000004E-2"/>
    <x v="6"/>
    <x v="0"/>
    <n v="1"/>
    <n v="1"/>
    <n v="2.1081479919890376E-2"/>
    <n v="1"/>
    <x v="30"/>
    <n v="9.6044643134914932E-4"/>
  </r>
  <r>
    <x v="0"/>
    <x v="0"/>
    <x v="6"/>
    <x v="1"/>
    <n v="41186265414.625694"/>
    <n v="6.7250000000000004E-2"/>
    <x v="6"/>
    <x v="1"/>
    <n v="3"/>
    <n v="3"/>
    <n v="6.3244439759671131E-2"/>
    <n v="1"/>
    <x v="31"/>
    <n v="2.881339294047448E-3"/>
  </r>
  <r>
    <x v="0"/>
    <x v="0"/>
    <x v="6"/>
    <x v="2"/>
    <n v="41186265414.625694"/>
    <n v="6.7250000000000004E-2"/>
    <x v="6"/>
    <x v="2"/>
    <n v="5"/>
    <n v="5"/>
    <n v="0.10540739959945188"/>
    <n v="1"/>
    <x v="32"/>
    <n v="4.8022321567457466E-3"/>
  </r>
  <r>
    <x v="0"/>
    <x v="0"/>
    <x v="6"/>
    <x v="3"/>
    <n v="41186265414.625694"/>
    <n v="6.7250000000000004E-2"/>
    <x v="6"/>
    <x v="3"/>
    <n v="7"/>
    <n v="7"/>
    <n v="0.14757035943923263"/>
    <n v="1"/>
    <x v="33"/>
    <n v="6.7231250194440453E-3"/>
  </r>
  <r>
    <x v="0"/>
    <x v="0"/>
    <x v="6"/>
    <x v="4"/>
    <n v="41186265414.625694"/>
    <n v="6.7250000000000004E-2"/>
    <x v="6"/>
    <x v="4"/>
    <n v="32.770000000000003"/>
    <n v="31.435000000000002"/>
    <n v="0.66269632128175404"/>
    <n v="1"/>
    <x v="34"/>
    <n v="3.0191633569460516E-2"/>
  </r>
  <r>
    <x v="0"/>
    <x v="0"/>
    <x v="7"/>
    <x v="0"/>
    <n v="41186265414.625694"/>
    <n v="0.18149999999999999"/>
    <x v="7"/>
    <x v="0"/>
    <n v="1"/>
    <n v="1"/>
    <n v="2.1081479919890376E-2"/>
    <n v="1"/>
    <x v="35"/>
    <n v="2.592134234793615E-3"/>
  </r>
  <r>
    <x v="0"/>
    <x v="0"/>
    <x v="7"/>
    <x v="1"/>
    <n v="41186265414.625694"/>
    <n v="0.18149999999999999"/>
    <x v="7"/>
    <x v="1"/>
    <n v="3"/>
    <n v="3"/>
    <n v="6.3244439759671131E-2"/>
    <n v="1"/>
    <x v="36"/>
    <n v="7.7764027043808444E-3"/>
  </r>
  <r>
    <x v="0"/>
    <x v="0"/>
    <x v="7"/>
    <x v="2"/>
    <n v="41186265414.625694"/>
    <n v="0.18149999999999999"/>
    <x v="7"/>
    <x v="2"/>
    <n v="5"/>
    <n v="5"/>
    <n v="0.10540739959945188"/>
    <n v="1"/>
    <x v="37"/>
    <n v="1.2960671173968074E-2"/>
  </r>
  <r>
    <x v="0"/>
    <x v="0"/>
    <x v="7"/>
    <x v="3"/>
    <n v="41186265414.625694"/>
    <n v="0.18149999999999999"/>
    <x v="7"/>
    <x v="3"/>
    <n v="7"/>
    <n v="7"/>
    <n v="0.14757035943923263"/>
    <n v="1"/>
    <x v="38"/>
    <n v="1.8144939643555305E-2"/>
  </r>
  <r>
    <x v="0"/>
    <x v="0"/>
    <x v="7"/>
    <x v="4"/>
    <n v="41186265414.625694"/>
    <n v="0.18149999999999999"/>
    <x v="7"/>
    <x v="4"/>
    <n v="32.770000000000003"/>
    <n v="31.435000000000002"/>
    <n v="0.66269632128175404"/>
    <n v="1"/>
    <x v="39"/>
    <n v="8.1483739670737299E-2"/>
  </r>
  <r>
    <x v="0"/>
    <x v="0"/>
    <x v="8"/>
    <x v="0"/>
    <n v="41186265414.625694"/>
    <n v="3.4750000000000003E-2"/>
    <x v="8"/>
    <x v="0"/>
    <n v="1"/>
    <n v="1"/>
    <n v="2.1081479919890376E-2"/>
    <n v="1"/>
    <x v="40"/>
    <n v="4.9629016341089867E-4"/>
  </r>
  <r>
    <x v="0"/>
    <x v="0"/>
    <x v="8"/>
    <x v="1"/>
    <n v="41186265414.625694"/>
    <n v="3.4750000000000003E-2"/>
    <x v="8"/>
    <x v="1"/>
    <n v="3"/>
    <n v="3"/>
    <n v="6.3244439759671131E-2"/>
    <n v="1"/>
    <x v="41"/>
    <n v="1.4888704902326962E-3"/>
  </r>
  <r>
    <x v="0"/>
    <x v="0"/>
    <x v="8"/>
    <x v="2"/>
    <n v="41186265414.625694"/>
    <n v="3.4750000000000003E-2"/>
    <x v="8"/>
    <x v="2"/>
    <n v="5"/>
    <n v="5"/>
    <n v="0.10540739959945188"/>
    <n v="1"/>
    <x v="42"/>
    <n v="2.4814508170544936E-3"/>
  </r>
  <r>
    <x v="0"/>
    <x v="0"/>
    <x v="8"/>
    <x v="3"/>
    <n v="41186265414.625694"/>
    <n v="3.4750000000000003E-2"/>
    <x v="8"/>
    <x v="3"/>
    <n v="7"/>
    <n v="7"/>
    <n v="0.14757035943923263"/>
    <n v="1"/>
    <x v="43"/>
    <n v="3.4740311438762909E-3"/>
  </r>
  <r>
    <x v="0"/>
    <x v="0"/>
    <x v="8"/>
    <x v="4"/>
    <n v="41186265414.625694"/>
    <n v="3.4750000000000003E-2"/>
    <x v="8"/>
    <x v="4"/>
    <n v="32.770000000000003"/>
    <n v="31.435000000000002"/>
    <n v="0.66269632128175404"/>
    <n v="1"/>
    <x v="44"/>
    <n v="1.5600881286821603E-2"/>
  </r>
  <r>
    <x v="0"/>
    <x v="1"/>
    <x v="0"/>
    <x v="0"/>
    <n v="7789254559.7352896"/>
    <n v="0.24349999999999997"/>
    <x v="9"/>
    <x v="0"/>
    <n v="1"/>
    <n v="1"/>
    <n v="2.1081479919890376E-2"/>
    <n v="1"/>
    <x v="45"/>
    <n v="6.5769313302888532E-4"/>
  </r>
  <r>
    <x v="0"/>
    <x v="1"/>
    <x v="0"/>
    <x v="1"/>
    <n v="7789254559.7352896"/>
    <n v="0.24349999999999997"/>
    <x v="9"/>
    <x v="1"/>
    <n v="3"/>
    <n v="3"/>
    <n v="6.3244439759671131E-2"/>
    <n v="1"/>
    <x v="46"/>
    <n v="1.9730793990866561E-3"/>
  </r>
  <r>
    <x v="0"/>
    <x v="1"/>
    <x v="0"/>
    <x v="2"/>
    <n v="7789254559.7352896"/>
    <n v="0.24349999999999997"/>
    <x v="9"/>
    <x v="2"/>
    <n v="5"/>
    <n v="5"/>
    <n v="0.10540739959945188"/>
    <n v="1"/>
    <x v="47"/>
    <n v="3.2884656651444265E-3"/>
  </r>
  <r>
    <x v="0"/>
    <x v="1"/>
    <x v="0"/>
    <x v="3"/>
    <n v="7789254559.7352896"/>
    <n v="0.24349999999999997"/>
    <x v="9"/>
    <x v="3"/>
    <n v="7"/>
    <n v="7"/>
    <n v="0.14757035943923263"/>
    <n v="1"/>
    <x v="48"/>
    <n v="4.6038519312021978E-3"/>
  </r>
  <r>
    <x v="0"/>
    <x v="1"/>
    <x v="0"/>
    <x v="4"/>
    <n v="7789254559.7352896"/>
    <n v="0.24349999999999997"/>
    <x v="9"/>
    <x v="4"/>
    <n v="32.770000000000003"/>
    <n v="31.435000000000002"/>
    <n v="0.66269632128175404"/>
    <n v="1"/>
    <x v="49"/>
    <n v="2.0674583636763014E-2"/>
  </r>
  <r>
    <x v="0"/>
    <x v="1"/>
    <x v="1"/>
    <x v="0"/>
    <n v="7789254559.7352896"/>
    <n v="3.5499999999999997E-2"/>
    <x v="10"/>
    <x v="0"/>
    <n v="1"/>
    <n v="1"/>
    <n v="2.1081479919890376E-2"/>
    <n v="1"/>
    <x v="50"/>
    <n v="9.5885446499077736E-5"/>
  </r>
  <r>
    <x v="0"/>
    <x v="1"/>
    <x v="1"/>
    <x v="1"/>
    <n v="7789254559.7352896"/>
    <n v="3.5499999999999997E-2"/>
    <x v="10"/>
    <x v="1"/>
    <n v="3"/>
    <n v="3"/>
    <n v="6.3244439759671131E-2"/>
    <n v="1"/>
    <x v="51"/>
    <n v="2.8765633949723324E-4"/>
  </r>
  <r>
    <x v="0"/>
    <x v="1"/>
    <x v="1"/>
    <x v="2"/>
    <n v="7789254559.7352896"/>
    <n v="3.5499999999999997E-2"/>
    <x v="10"/>
    <x v="2"/>
    <n v="5"/>
    <n v="5"/>
    <n v="0.10540739959945188"/>
    <n v="1"/>
    <x v="52"/>
    <n v="4.7942723249538871E-4"/>
  </r>
  <r>
    <x v="0"/>
    <x v="1"/>
    <x v="1"/>
    <x v="3"/>
    <n v="7789254559.7352896"/>
    <n v="3.5499999999999997E-2"/>
    <x v="10"/>
    <x v="3"/>
    <n v="7"/>
    <n v="7"/>
    <n v="0.14757035943923263"/>
    <n v="1"/>
    <x v="53"/>
    <n v="6.7119812549354418E-4"/>
  </r>
  <r>
    <x v="0"/>
    <x v="1"/>
    <x v="1"/>
    <x v="4"/>
    <n v="7789254559.7352896"/>
    <n v="3.5499999999999997E-2"/>
    <x v="10"/>
    <x v="4"/>
    <n v="32.770000000000003"/>
    <n v="31.435000000000002"/>
    <n v="0.66269632128175404"/>
    <n v="1"/>
    <x v="54"/>
    <n v="3.0141590106985091E-3"/>
  </r>
  <r>
    <x v="0"/>
    <x v="1"/>
    <x v="2"/>
    <x v="0"/>
    <n v="7789254559.7352896"/>
    <n v="0.23275000000000001"/>
    <x v="11"/>
    <x v="0"/>
    <n v="1"/>
    <n v="1"/>
    <n v="2.1081479919890376E-2"/>
    <n v="1"/>
    <x v="55"/>
    <n v="6.2865739922986902E-4"/>
  </r>
  <r>
    <x v="0"/>
    <x v="1"/>
    <x v="2"/>
    <x v="1"/>
    <n v="7789254559.7352896"/>
    <n v="0.23275000000000001"/>
    <x v="11"/>
    <x v="1"/>
    <n v="3"/>
    <n v="3"/>
    <n v="6.3244439759671131E-2"/>
    <n v="1"/>
    <x v="56"/>
    <n v="1.885972197689607E-3"/>
  </r>
  <r>
    <x v="0"/>
    <x v="1"/>
    <x v="2"/>
    <x v="2"/>
    <n v="7789254559.7352896"/>
    <n v="0.23275000000000001"/>
    <x v="11"/>
    <x v="2"/>
    <n v="5"/>
    <n v="5"/>
    <n v="0.10540739959945188"/>
    <n v="1"/>
    <x v="57"/>
    <n v="3.1432869961493448E-3"/>
  </r>
  <r>
    <x v="0"/>
    <x v="1"/>
    <x v="2"/>
    <x v="3"/>
    <n v="7789254559.7352896"/>
    <n v="0.23275000000000001"/>
    <x v="11"/>
    <x v="3"/>
    <n v="7"/>
    <n v="7"/>
    <n v="0.14757035943923263"/>
    <n v="1"/>
    <x v="58"/>
    <n v="4.400601794609083E-3"/>
  </r>
  <r>
    <x v="0"/>
    <x v="1"/>
    <x v="2"/>
    <x v="4"/>
    <n v="7789254559.7352896"/>
    <n v="0.23275000000000001"/>
    <x v="11"/>
    <x v="4"/>
    <n v="32.770000000000003"/>
    <n v="31.435000000000002"/>
    <n v="0.66269632128175404"/>
    <n v="1"/>
    <x v="59"/>
    <n v="1.9761845344790932E-2"/>
  </r>
  <r>
    <x v="0"/>
    <x v="1"/>
    <x v="3"/>
    <x v="0"/>
    <n v="7789254559.7352896"/>
    <n v="1.3500000000000002E-2"/>
    <x v="12"/>
    <x v="0"/>
    <n v="1"/>
    <n v="1"/>
    <n v="2.1081479919890376E-2"/>
    <n v="1"/>
    <x v="60"/>
    <n v="3.6463479654578866E-5"/>
  </r>
  <r>
    <x v="0"/>
    <x v="1"/>
    <x v="3"/>
    <x v="1"/>
    <n v="7789254559.7352896"/>
    <n v="1.3500000000000002E-2"/>
    <x v="12"/>
    <x v="1"/>
    <n v="3"/>
    <n v="3"/>
    <n v="6.3244439759671131E-2"/>
    <n v="1"/>
    <x v="61"/>
    <n v="1.0939043896373661E-4"/>
  </r>
  <r>
    <x v="0"/>
    <x v="1"/>
    <x v="3"/>
    <x v="2"/>
    <n v="7789254559.7352896"/>
    <n v="1.3500000000000002E-2"/>
    <x v="12"/>
    <x v="2"/>
    <n v="5"/>
    <n v="5"/>
    <n v="0.10540739959945188"/>
    <n v="1"/>
    <x v="62"/>
    <n v="1.8231739827289433E-4"/>
  </r>
  <r>
    <x v="0"/>
    <x v="1"/>
    <x v="3"/>
    <x v="3"/>
    <n v="7789254559.7352896"/>
    <n v="1.3500000000000002E-2"/>
    <x v="12"/>
    <x v="3"/>
    <n v="7"/>
    <n v="7"/>
    <n v="0.14757035943923263"/>
    <n v="1"/>
    <x v="63"/>
    <n v="2.5524435758205209E-4"/>
  </r>
  <r>
    <x v="0"/>
    <x v="1"/>
    <x v="3"/>
    <x v="4"/>
    <n v="7789254559.7352896"/>
    <n v="1.3500000000000002E-2"/>
    <x v="12"/>
    <x v="4"/>
    <n v="32.770000000000003"/>
    <n v="31.435000000000002"/>
    <n v="0.66269632128175404"/>
    <n v="1"/>
    <x v="64"/>
    <n v="1.1462294829416868E-3"/>
  </r>
  <r>
    <x v="0"/>
    <x v="1"/>
    <x v="4"/>
    <x v="0"/>
    <n v="7789254559.7352896"/>
    <n v="0.1125"/>
    <x v="13"/>
    <x v="0"/>
    <n v="1"/>
    <n v="1"/>
    <n v="2.1081479919890376E-2"/>
    <n v="1"/>
    <x v="65"/>
    <n v="3.0386233045482384E-4"/>
  </r>
  <r>
    <x v="0"/>
    <x v="1"/>
    <x v="4"/>
    <x v="1"/>
    <n v="7789254559.7352896"/>
    <n v="0.1125"/>
    <x v="13"/>
    <x v="1"/>
    <n v="3"/>
    <n v="3"/>
    <n v="6.3244439759671131E-2"/>
    <n v="1"/>
    <x v="66"/>
    <n v="9.1158699136447167E-4"/>
  </r>
  <r>
    <x v="0"/>
    <x v="1"/>
    <x v="4"/>
    <x v="2"/>
    <n v="7789254559.7352896"/>
    <n v="0.1125"/>
    <x v="13"/>
    <x v="2"/>
    <n v="5"/>
    <n v="5"/>
    <n v="0.10540739959945188"/>
    <n v="1"/>
    <x v="67"/>
    <n v="1.5193116522741192E-3"/>
  </r>
  <r>
    <x v="0"/>
    <x v="1"/>
    <x v="4"/>
    <x v="3"/>
    <n v="7789254559.7352896"/>
    <n v="0.1125"/>
    <x v="13"/>
    <x v="3"/>
    <n v="7"/>
    <n v="7"/>
    <n v="0.14757035943923263"/>
    <n v="1"/>
    <x v="68"/>
    <n v="2.1270363131837672E-3"/>
  </r>
  <r>
    <x v="0"/>
    <x v="1"/>
    <x v="4"/>
    <x v="4"/>
    <n v="7789254559.7352896"/>
    <n v="0.1125"/>
    <x v="13"/>
    <x v="4"/>
    <n v="32.770000000000003"/>
    <n v="31.435000000000002"/>
    <n v="0.66269632128175404"/>
    <n v="1"/>
    <x v="69"/>
    <n v="9.5519123578473898E-3"/>
  </r>
  <r>
    <x v="0"/>
    <x v="1"/>
    <x v="5"/>
    <x v="0"/>
    <n v="7789254559.7352896"/>
    <n v="7.8750000000000001E-2"/>
    <x v="14"/>
    <x v="0"/>
    <n v="1"/>
    <n v="1"/>
    <n v="2.1081479919890376E-2"/>
    <n v="1"/>
    <x v="70"/>
    <n v="2.1270363131837671E-4"/>
  </r>
  <r>
    <x v="0"/>
    <x v="1"/>
    <x v="5"/>
    <x v="1"/>
    <n v="7789254559.7352896"/>
    <n v="7.8750000000000001E-2"/>
    <x v="14"/>
    <x v="1"/>
    <n v="3"/>
    <n v="3"/>
    <n v="6.3244439759671131E-2"/>
    <n v="1"/>
    <x v="71"/>
    <n v="6.3811089395513008E-4"/>
  </r>
  <r>
    <x v="0"/>
    <x v="1"/>
    <x v="5"/>
    <x v="2"/>
    <n v="7789254559.7352896"/>
    <n v="7.8750000000000001E-2"/>
    <x v="14"/>
    <x v="2"/>
    <n v="5"/>
    <n v="5"/>
    <n v="0.10540739959945188"/>
    <n v="1"/>
    <x v="72"/>
    <n v="1.0635181565918834E-3"/>
  </r>
  <r>
    <x v="0"/>
    <x v="1"/>
    <x v="5"/>
    <x v="3"/>
    <n v="7789254559.7352896"/>
    <n v="7.8750000000000001E-2"/>
    <x v="14"/>
    <x v="3"/>
    <n v="7"/>
    <n v="7"/>
    <n v="0.14757035943923263"/>
    <n v="1"/>
    <x v="73"/>
    <n v="1.4889254192286367E-3"/>
  </r>
  <r>
    <x v="0"/>
    <x v="1"/>
    <x v="5"/>
    <x v="4"/>
    <n v="7789254559.7352896"/>
    <n v="7.8750000000000001E-2"/>
    <x v="14"/>
    <x v="4"/>
    <n v="32.770000000000003"/>
    <n v="31.435000000000002"/>
    <n v="0.66269632128175404"/>
    <n v="1"/>
    <x v="74"/>
    <n v="6.6863386504931724E-3"/>
  </r>
  <r>
    <x v="0"/>
    <x v="1"/>
    <x v="6"/>
    <x v="0"/>
    <n v="7789254559.7352896"/>
    <n v="6.7250000000000004E-2"/>
    <x v="15"/>
    <x v="0"/>
    <n v="1"/>
    <n v="1"/>
    <n v="2.1081479919890376E-2"/>
    <n v="1"/>
    <x v="75"/>
    <n v="1.8164214864966138E-4"/>
  </r>
  <r>
    <x v="0"/>
    <x v="1"/>
    <x v="6"/>
    <x v="1"/>
    <n v="7789254559.7352896"/>
    <n v="6.7250000000000004E-2"/>
    <x v="15"/>
    <x v="1"/>
    <n v="3"/>
    <n v="3"/>
    <n v="6.3244439759671131E-2"/>
    <n v="1"/>
    <x v="76"/>
    <n v="5.4492644594898428E-4"/>
  </r>
  <r>
    <x v="0"/>
    <x v="1"/>
    <x v="6"/>
    <x v="2"/>
    <n v="7789254559.7352896"/>
    <n v="6.7250000000000004E-2"/>
    <x v="15"/>
    <x v="2"/>
    <n v="5"/>
    <n v="5"/>
    <n v="0.10540739959945188"/>
    <n v="1"/>
    <x v="77"/>
    <n v="9.0821074324830698E-4"/>
  </r>
  <r>
    <x v="0"/>
    <x v="1"/>
    <x v="6"/>
    <x v="3"/>
    <n v="7789254559.7352896"/>
    <n v="6.7250000000000004E-2"/>
    <x v="15"/>
    <x v="3"/>
    <n v="7"/>
    <n v="7"/>
    <n v="0.14757035943923263"/>
    <n v="1"/>
    <x v="78"/>
    <n v="1.2714950405476298E-3"/>
  </r>
  <r>
    <x v="0"/>
    <x v="1"/>
    <x v="6"/>
    <x v="4"/>
    <n v="7789254559.7352896"/>
    <n v="6.7250000000000004E-2"/>
    <x v="15"/>
    <x v="4"/>
    <n v="32.770000000000003"/>
    <n v="31.435000000000002"/>
    <n v="0.66269632128175404"/>
    <n v="1"/>
    <x v="79"/>
    <n v="5.7099209428021066E-3"/>
  </r>
  <r>
    <x v="0"/>
    <x v="1"/>
    <x v="7"/>
    <x v="0"/>
    <n v="7789254559.7352896"/>
    <n v="0.18149999999999999"/>
    <x v="16"/>
    <x v="0"/>
    <n v="1"/>
    <n v="1"/>
    <n v="2.1081479919890376E-2"/>
    <n v="1"/>
    <x v="80"/>
    <n v="4.9023122646711583E-4"/>
  </r>
  <r>
    <x v="0"/>
    <x v="1"/>
    <x v="7"/>
    <x v="1"/>
    <n v="7789254559.7352896"/>
    <n v="0.18149999999999999"/>
    <x v="16"/>
    <x v="1"/>
    <n v="3"/>
    <n v="3"/>
    <n v="6.3244439759671131E-2"/>
    <n v="1"/>
    <x v="81"/>
    <n v="1.4706936794013474E-3"/>
  </r>
  <r>
    <x v="0"/>
    <x v="1"/>
    <x v="7"/>
    <x v="2"/>
    <n v="7789254559.7352896"/>
    <n v="0.18149999999999999"/>
    <x v="16"/>
    <x v="2"/>
    <n v="5"/>
    <n v="5"/>
    <n v="0.10540739959945188"/>
    <n v="1"/>
    <x v="82"/>
    <n v="2.451156132335579E-3"/>
  </r>
  <r>
    <x v="0"/>
    <x v="1"/>
    <x v="7"/>
    <x v="3"/>
    <n v="7789254559.7352896"/>
    <n v="0.18149999999999999"/>
    <x v="16"/>
    <x v="3"/>
    <n v="7"/>
    <n v="7"/>
    <n v="0.14757035943923263"/>
    <n v="1"/>
    <x v="83"/>
    <n v="3.4316185852698105E-3"/>
  </r>
  <r>
    <x v="0"/>
    <x v="1"/>
    <x v="7"/>
    <x v="4"/>
    <n v="7789254559.7352896"/>
    <n v="0.18149999999999999"/>
    <x v="16"/>
    <x v="4"/>
    <n v="32.770000000000003"/>
    <n v="31.435000000000002"/>
    <n v="0.66269632128175404"/>
    <n v="1"/>
    <x v="84"/>
    <n v="1.5410418603993786E-2"/>
  </r>
  <r>
    <x v="0"/>
    <x v="1"/>
    <x v="8"/>
    <x v="0"/>
    <n v="7789254559.7352896"/>
    <n v="3.4750000000000003E-2"/>
    <x v="17"/>
    <x v="0"/>
    <n v="1"/>
    <n v="1"/>
    <n v="2.1081479919890376E-2"/>
    <n v="1"/>
    <x v="85"/>
    <n v="9.3859697629378931E-5"/>
  </r>
  <r>
    <x v="0"/>
    <x v="1"/>
    <x v="8"/>
    <x v="1"/>
    <n v="7789254559.7352896"/>
    <n v="3.4750000000000003E-2"/>
    <x v="17"/>
    <x v="1"/>
    <n v="3"/>
    <n v="3"/>
    <n v="6.3244439759671131E-2"/>
    <n v="1"/>
    <x v="86"/>
    <n v="2.8157909288813681E-4"/>
  </r>
  <r>
    <x v="0"/>
    <x v="1"/>
    <x v="8"/>
    <x v="2"/>
    <n v="7789254559.7352896"/>
    <n v="3.4750000000000003E-2"/>
    <x v="17"/>
    <x v="2"/>
    <n v="5"/>
    <n v="5"/>
    <n v="0.10540739959945188"/>
    <n v="1"/>
    <x v="87"/>
    <n v="4.6929848814689464E-4"/>
  </r>
  <r>
    <x v="0"/>
    <x v="1"/>
    <x v="8"/>
    <x v="3"/>
    <n v="7789254559.7352896"/>
    <n v="3.4750000000000003E-2"/>
    <x v="17"/>
    <x v="3"/>
    <n v="7"/>
    <n v="7"/>
    <n v="0.14757035943923263"/>
    <n v="1"/>
    <x v="88"/>
    <n v="6.5701788340565253E-4"/>
  </r>
  <r>
    <x v="0"/>
    <x v="1"/>
    <x v="8"/>
    <x v="4"/>
    <n v="7789254559.7352896"/>
    <n v="3.4750000000000003E-2"/>
    <x v="17"/>
    <x v="4"/>
    <n v="32.770000000000003"/>
    <n v="31.435000000000002"/>
    <n v="0.66269632128175404"/>
    <n v="1"/>
    <x v="89"/>
    <n v="2.9504795949795272E-3"/>
  </r>
  <r>
    <x v="0"/>
    <x v="2"/>
    <x v="0"/>
    <x v="0"/>
    <n v="157552739.62167439"/>
    <n v="0.17649999999999999"/>
    <x v="18"/>
    <x v="0"/>
    <n v="1"/>
    <n v="1"/>
    <n v="2.1081479919890376E-2"/>
    <n v="1"/>
    <x v="90"/>
    <n v="9.6427101772833901E-6"/>
  </r>
  <r>
    <x v="0"/>
    <x v="2"/>
    <x v="0"/>
    <x v="1"/>
    <n v="157552739.62167439"/>
    <n v="0.17649999999999999"/>
    <x v="18"/>
    <x v="1"/>
    <n v="3"/>
    <n v="3"/>
    <n v="6.3244439759671131E-2"/>
    <n v="1"/>
    <x v="91"/>
    <n v="2.8928130531850169E-5"/>
  </r>
  <r>
    <x v="0"/>
    <x v="2"/>
    <x v="0"/>
    <x v="2"/>
    <n v="157552739.62167439"/>
    <n v="0.17649999999999999"/>
    <x v="18"/>
    <x v="2"/>
    <n v="5"/>
    <n v="5"/>
    <n v="0.10540739959945188"/>
    <n v="1"/>
    <x v="92"/>
    <n v="4.8213550886416942E-5"/>
  </r>
  <r>
    <x v="0"/>
    <x v="2"/>
    <x v="0"/>
    <x v="3"/>
    <n v="157552739.62167439"/>
    <n v="0.17649999999999999"/>
    <x v="18"/>
    <x v="3"/>
    <n v="7"/>
    <n v="7"/>
    <n v="0.14757035943923263"/>
    <n v="1"/>
    <x v="93"/>
    <n v="6.7498971240983712E-5"/>
  </r>
  <r>
    <x v="0"/>
    <x v="2"/>
    <x v="0"/>
    <x v="4"/>
    <n v="157552739.62167439"/>
    <n v="0.17649999999999999"/>
    <x v="18"/>
    <x v="4"/>
    <n v="32.770000000000003"/>
    <n v="31.435000000000002"/>
    <n v="0.66269632128175404"/>
    <n v="1"/>
    <x v="94"/>
    <n v="3.0311859442290338E-4"/>
  </r>
  <r>
    <x v="0"/>
    <x v="2"/>
    <x v="1"/>
    <x v="0"/>
    <n v="157552739.62167439"/>
    <n v="8.5249999999999992E-2"/>
    <x v="19"/>
    <x v="0"/>
    <n v="1"/>
    <n v="1"/>
    <n v="2.1081479919890376E-2"/>
    <n v="1"/>
    <x v="95"/>
    <n v="4.6574563320873031E-6"/>
  </r>
  <r>
    <x v="0"/>
    <x v="2"/>
    <x v="1"/>
    <x v="1"/>
    <n v="157552739.62167439"/>
    <n v="8.5249999999999992E-2"/>
    <x v="19"/>
    <x v="1"/>
    <n v="3"/>
    <n v="3"/>
    <n v="6.3244439759671131E-2"/>
    <n v="1"/>
    <x v="96"/>
    <n v="1.397236899626191E-5"/>
  </r>
  <r>
    <x v="0"/>
    <x v="2"/>
    <x v="1"/>
    <x v="2"/>
    <n v="157552739.62167439"/>
    <n v="8.5249999999999992E-2"/>
    <x v="19"/>
    <x v="2"/>
    <n v="5"/>
    <n v="5"/>
    <n v="0.10540739959945188"/>
    <n v="1"/>
    <x v="97"/>
    <n v="2.328728166043651E-5"/>
  </r>
  <r>
    <x v="0"/>
    <x v="2"/>
    <x v="1"/>
    <x v="3"/>
    <n v="157552739.62167439"/>
    <n v="8.5249999999999992E-2"/>
    <x v="19"/>
    <x v="3"/>
    <n v="7"/>
    <n v="7"/>
    <n v="0.14757035943923263"/>
    <n v="1"/>
    <x v="98"/>
    <n v="3.2602194324611121E-5"/>
  </r>
  <r>
    <x v="0"/>
    <x v="2"/>
    <x v="1"/>
    <x v="4"/>
    <n v="157552739.62167439"/>
    <n v="8.5249999999999992E-2"/>
    <x v="19"/>
    <x v="4"/>
    <n v="32.770000000000003"/>
    <n v="31.435000000000002"/>
    <n v="0.66269632128175404"/>
    <n v="1"/>
    <x v="99"/>
    <n v="1.4640713979916439E-4"/>
  </r>
  <r>
    <x v="0"/>
    <x v="2"/>
    <x v="2"/>
    <x v="0"/>
    <n v="157552739.62167439"/>
    <n v="0.23774999999999999"/>
    <x v="20"/>
    <x v="0"/>
    <n v="1"/>
    <n v="1"/>
    <n v="2.1081479919890376E-2"/>
    <n v="1"/>
    <x v="100"/>
    <n v="1.2988976456935557E-5"/>
  </r>
  <r>
    <x v="0"/>
    <x v="2"/>
    <x v="2"/>
    <x v="1"/>
    <n v="157552739.62167439"/>
    <n v="0.23774999999999999"/>
    <x v="20"/>
    <x v="1"/>
    <n v="3"/>
    <n v="3"/>
    <n v="6.3244439759671131E-2"/>
    <n v="1"/>
    <x v="101"/>
    <n v="3.8966929370806671E-5"/>
  </r>
  <r>
    <x v="0"/>
    <x v="2"/>
    <x v="2"/>
    <x v="2"/>
    <n v="157552739.62167439"/>
    <n v="0.23774999999999999"/>
    <x v="20"/>
    <x v="2"/>
    <n v="5"/>
    <n v="5"/>
    <n v="0.10540739959945188"/>
    <n v="1"/>
    <x v="102"/>
    <n v="6.4944882284677778E-5"/>
  </r>
  <r>
    <x v="0"/>
    <x v="2"/>
    <x v="2"/>
    <x v="3"/>
    <n v="157552739.62167439"/>
    <n v="0.23774999999999999"/>
    <x v="20"/>
    <x v="3"/>
    <n v="7"/>
    <n v="7"/>
    <n v="0.14757035943923263"/>
    <n v="1"/>
    <x v="103"/>
    <n v="9.0922835198548892E-5"/>
  </r>
  <r>
    <x v="0"/>
    <x v="2"/>
    <x v="2"/>
    <x v="4"/>
    <n v="157552739.62167439"/>
    <n v="0.23774999999999999"/>
    <x v="20"/>
    <x v="4"/>
    <n v="32.770000000000003"/>
    <n v="31.435000000000002"/>
    <n v="0.66269632128175404"/>
    <n v="1"/>
    <x v="104"/>
    <n v="4.0830847492376928E-4"/>
  </r>
  <r>
    <x v="0"/>
    <x v="2"/>
    <x v="3"/>
    <x v="0"/>
    <n v="157552739.62167439"/>
    <n v="3.6750000000000005E-2"/>
    <x v="21"/>
    <x v="0"/>
    <n v="1"/>
    <n v="1"/>
    <n v="2.1081479919890376E-2"/>
    <n v="1"/>
    <x v="105"/>
    <n v="2.0077597677913006E-6"/>
  </r>
  <r>
    <x v="0"/>
    <x v="2"/>
    <x v="3"/>
    <x v="1"/>
    <n v="157552739.62167439"/>
    <n v="3.6750000000000005E-2"/>
    <x v="21"/>
    <x v="1"/>
    <n v="3"/>
    <n v="3"/>
    <n v="6.3244439759671131E-2"/>
    <n v="1"/>
    <x v="106"/>
    <n v="6.0232793033739028E-6"/>
  </r>
  <r>
    <x v="0"/>
    <x v="2"/>
    <x v="3"/>
    <x v="2"/>
    <n v="157552739.62167439"/>
    <n v="3.6750000000000005E-2"/>
    <x v="21"/>
    <x v="2"/>
    <n v="5"/>
    <n v="5"/>
    <n v="0.10540739959945188"/>
    <n v="1"/>
    <x v="107"/>
    <n v="1.0038798838956504E-5"/>
  </r>
  <r>
    <x v="0"/>
    <x v="2"/>
    <x v="3"/>
    <x v="3"/>
    <n v="157552739.62167439"/>
    <n v="3.6750000000000005E-2"/>
    <x v="21"/>
    <x v="3"/>
    <n v="7"/>
    <n v="7"/>
    <n v="0.14757035943923263"/>
    <n v="1"/>
    <x v="108"/>
    <n v="1.4054318374539107E-5"/>
  </r>
  <r>
    <x v="0"/>
    <x v="2"/>
    <x v="3"/>
    <x v="4"/>
    <n v="157552739.62167439"/>
    <n v="3.6750000000000005E-2"/>
    <x v="21"/>
    <x v="4"/>
    <n v="32.770000000000003"/>
    <n v="31.435000000000002"/>
    <n v="0.66269632128175404"/>
    <n v="1"/>
    <x v="109"/>
    <n v="6.3113928300519547E-5"/>
  </r>
  <r>
    <x v="0"/>
    <x v="2"/>
    <x v="4"/>
    <x v="0"/>
    <n v="157552739.62167439"/>
    <n v="7.4500000000000011E-2"/>
    <x v="22"/>
    <x v="0"/>
    <n v="1"/>
    <n v="1"/>
    <n v="2.1081479919890376E-2"/>
    <n v="1"/>
    <x v="110"/>
    <n v="4.0701524544340655E-6"/>
  </r>
  <r>
    <x v="0"/>
    <x v="2"/>
    <x v="4"/>
    <x v="1"/>
    <n v="157552739.62167439"/>
    <n v="7.4500000000000011E-2"/>
    <x v="22"/>
    <x v="1"/>
    <n v="3"/>
    <n v="3"/>
    <n v="6.3244439759671131E-2"/>
    <n v="1"/>
    <x v="111"/>
    <n v="1.2210457363302199E-5"/>
  </r>
  <r>
    <x v="0"/>
    <x v="2"/>
    <x v="4"/>
    <x v="2"/>
    <n v="157552739.62167439"/>
    <n v="7.4500000000000011E-2"/>
    <x v="22"/>
    <x v="2"/>
    <n v="5"/>
    <n v="5"/>
    <n v="0.10540739959945188"/>
    <n v="1"/>
    <x v="112"/>
    <n v="2.0350762272170329E-5"/>
  </r>
  <r>
    <x v="0"/>
    <x v="2"/>
    <x v="4"/>
    <x v="3"/>
    <n v="157552739.62167439"/>
    <n v="7.4500000000000011E-2"/>
    <x v="22"/>
    <x v="3"/>
    <n v="7"/>
    <n v="7"/>
    <n v="0.14757035943923263"/>
    <n v="1"/>
    <x v="113"/>
    <n v="2.8491067181038461E-5"/>
  </r>
  <r>
    <x v="0"/>
    <x v="2"/>
    <x v="4"/>
    <x v="4"/>
    <n v="157552739.62167439"/>
    <n v="7.4500000000000011E-2"/>
    <x v="22"/>
    <x v="4"/>
    <n v="32.770000000000003"/>
    <n v="31.435000000000002"/>
    <n v="0.66269632128175404"/>
    <n v="1"/>
    <x v="114"/>
    <n v="1.2794524240513489E-4"/>
  </r>
  <r>
    <x v="0"/>
    <x v="2"/>
    <x v="5"/>
    <x v="0"/>
    <n v="157552739.62167439"/>
    <n v="0.19524999999999998"/>
    <x v="23"/>
    <x v="0"/>
    <n v="1"/>
    <n v="1"/>
    <n v="2.1081479919890376E-2"/>
    <n v="1"/>
    <x v="115"/>
    <n v="1.0667077405748337E-5"/>
  </r>
  <r>
    <x v="0"/>
    <x v="2"/>
    <x v="5"/>
    <x v="1"/>
    <n v="157552739.62167439"/>
    <n v="0.19524999999999998"/>
    <x v="23"/>
    <x v="1"/>
    <n v="3"/>
    <n v="3"/>
    <n v="6.3244439759671131E-2"/>
    <n v="1"/>
    <x v="116"/>
    <n v="3.2001232217245013E-5"/>
  </r>
  <r>
    <x v="0"/>
    <x v="2"/>
    <x v="5"/>
    <x v="2"/>
    <n v="157552739.62167439"/>
    <n v="0.19524999999999998"/>
    <x v="23"/>
    <x v="2"/>
    <n v="5"/>
    <n v="5"/>
    <n v="0.10540739959945188"/>
    <n v="1"/>
    <x v="117"/>
    <n v="5.3335387028741693E-5"/>
  </r>
  <r>
    <x v="0"/>
    <x v="2"/>
    <x v="5"/>
    <x v="3"/>
    <n v="157552739.62167439"/>
    <n v="0.19524999999999998"/>
    <x v="23"/>
    <x v="3"/>
    <n v="7"/>
    <n v="7"/>
    <n v="0.14757035943923263"/>
    <n v="1"/>
    <x v="118"/>
    <n v="7.4669541840238367E-5"/>
  </r>
  <r>
    <x v="0"/>
    <x v="2"/>
    <x v="5"/>
    <x v="4"/>
    <n v="157552739.62167439"/>
    <n v="0.19524999999999998"/>
    <x v="23"/>
    <x v="4"/>
    <n v="32.770000000000003"/>
    <n v="31.435000000000002"/>
    <n v="0.66269632128175404"/>
    <n v="1"/>
    <x v="119"/>
    <n v="3.3531957824969904E-4"/>
  </r>
  <r>
    <x v="0"/>
    <x v="2"/>
    <x v="6"/>
    <x v="0"/>
    <n v="157552739.62167439"/>
    <n v="4.4499999999999991E-2"/>
    <x v="24"/>
    <x v="0"/>
    <n v="1"/>
    <n v="1"/>
    <n v="2.1081479919890376E-2"/>
    <n v="1"/>
    <x v="120"/>
    <n v="2.4311648888901459E-6"/>
  </r>
  <r>
    <x v="0"/>
    <x v="2"/>
    <x v="6"/>
    <x v="1"/>
    <n v="157552739.62167439"/>
    <n v="4.4499999999999991E-2"/>
    <x v="24"/>
    <x v="1"/>
    <n v="3"/>
    <n v="3"/>
    <n v="6.3244439759671131E-2"/>
    <n v="1"/>
    <x v="121"/>
    <n v="7.2934946666704372E-6"/>
  </r>
  <r>
    <x v="0"/>
    <x v="2"/>
    <x v="6"/>
    <x v="2"/>
    <n v="157552739.62167439"/>
    <n v="4.4499999999999991E-2"/>
    <x v="24"/>
    <x v="2"/>
    <n v="5"/>
    <n v="5"/>
    <n v="0.10540739959945188"/>
    <n v="1"/>
    <x v="122"/>
    <n v="1.2155824444450727E-5"/>
  </r>
  <r>
    <x v="0"/>
    <x v="2"/>
    <x v="6"/>
    <x v="3"/>
    <n v="157552739.62167439"/>
    <n v="4.4499999999999991E-2"/>
    <x v="24"/>
    <x v="3"/>
    <n v="7"/>
    <n v="7"/>
    <n v="0.14757035943923263"/>
    <n v="1"/>
    <x v="123"/>
    <n v="1.701815422223102E-5"/>
  </r>
  <r>
    <x v="0"/>
    <x v="2"/>
    <x v="6"/>
    <x v="4"/>
    <n v="157552739.62167439"/>
    <n v="4.4499999999999991E-2"/>
    <x v="24"/>
    <x v="4"/>
    <n v="32.770000000000003"/>
    <n v="31.435000000000002"/>
    <n v="0.66269632128175404"/>
    <n v="1"/>
    <x v="124"/>
    <n v="7.6423668282261733E-5"/>
  </r>
  <r>
    <x v="0"/>
    <x v="2"/>
    <x v="7"/>
    <x v="0"/>
    <n v="157552739.62167439"/>
    <n v="8.5500000000000007E-2"/>
    <x v="25"/>
    <x v="0"/>
    <n v="1"/>
    <n v="1"/>
    <n v="2.1081479919890376E-2"/>
    <n v="1"/>
    <x v="125"/>
    <n v="4.671114561800169E-6"/>
  </r>
  <r>
    <x v="0"/>
    <x v="2"/>
    <x v="7"/>
    <x v="1"/>
    <n v="157552739.62167439"/>
    <n v="8.5500000000000007E-2"/>
    <x v="25"/>
    <x v="1"/>
    <n v="3"/>
    <n v="3"/>
    <n v="6.3244439759671131E-2"/>
    <n v="1"/>
    <x v="126"/>
    <n v="1.4013343685400509E-5"/>
  </r>
  <r>
    <x v="0"/>
    <x v="2"/>
    <x v="7"/>
    <x v="2"/>
    <n v="157552739.62167439"/>
    <n v="8.5500000000000007E-2"/>
    <x v="25"/>
    <x v="2"/>
    <n v="5"/>
    <n v="5"/>
    <n v="0.10540739959945188"/>
    <n v="1"/>
    <x v="127"/>
    <n v="2.3355572809000843E-5"/>
  </r>
  <r>
    <x v="0"/>
    <x v="2"/>
    <x v="7"/>
    <x v="3"/>
    <n v="157552739.62167439"/>
    <n v="8.5500000000000007E-2"/>
    <x v="25"/>
    <x v="3"/>
    <n v="7"/>
    <n v="7"/>
    <n v="0.14757035943923263"/>
    <n v="1"/>
    <x v="128"/>
    <n v="3.2697801932601185E-5"/>
  </r>
  <r>
    <x v="0"/>
    <x v="2"/>
    <x v="7"/>
    <x v="4"/>
    <n v="157552739.62167439"/>
    <n v="8.5500000000000007E-2"/>
    <x v="25"/>
    <x v="4"/>
    <n v="32.770000000000003"/>
    <n v="31.435000000000002"/>
    <n v="0.66269632128175404"/>
    <n v="1"/>
    <x v="129"/>
    <n v="1.4683648625018832E-4"/>
  </r>
  <r>
    <x v="0"/>
    <x v="2"/>
    <x v="8"/>
    <x v="0"/>
    <n v="157552739.62167439"/>
    <n v="6.4000000000000001E-2"/>
    <x v="26"/>
    <x v="0"/>
    <n v="1"/>
    <n v="1"/>
    <n v="2.1081479919890376E-2"/>
    <n v="1"/>
    <x v="130"/>
    <n v="3.4965068064936934E-6"/>
  </r>
  <r>
    <x v="0"/>
    <x v="2"/>
    <x v="8"/>
    <x v="1"/>
    <n v="157552739.62167439"/>
    <n v="6.4000000000000001E-2"/>
    <x v="26"/>
    <x v="1"/>
    <n v="3"/>
    <n v="3"/>
    <n v="6.3244439759671131E-2"/>
    <n v="1"/>
    <x v="131"/>
    <n v="1.048952041948108E-5"/>
  </r>
  <r>
    <x v="0"/>
    <x v="2"/>
    <x v="8"/>
    <x v="2"/>
    <n v="157552739.62167439"/>
    <n v="6.4000000000000001E-2"/>
    <x v="26"/>
    <x v="2"/>
    <n v="5"/>
    <n v="5"/>
    <n v="0.10540739959945188"/>
    <n v="1"/>
    <x v="132"/>
    <n v="1.7482534032468467E-5"/>
  </r>
  <r>
    <x v="0"/>
    <x v="2"/>
    <x v="8"/>
    <x v="3"/>
    <n v="157552739.62167439"/>
    <n v="6.4000000000000001E-2"/>
    <x v="26"/>
    <x v="3"/>
    <n v="7"/>
    <n v="7"/>
    <n v="0.14757035943923263"/>
    <n v="1"/>
    <x v="133"/>
    <n v="2.4475547645455855E-5"/>
  </r>
  <r>
    <x v="0"/>
    <x v="2"/>
    <x v="8"/>
    <x v="4"/>
    <n v="157552739.62167439"/>
    <n v="6.4000000000000001E-2"/>
    <x v="26"/>
    <x v="4"/>
    <n v="32.770000000000003"/>
    <n v="31.435000000000002"/>
    <n v="0.66269632128175404"/>
    <n v="1"/>
    <x v="134"/>
    <n v="1.0991269146212927E-4"/>
  </r>
  <r>
    <x v="0"/>
    <x v="3"/>
    <x v="0"/>
    <x v="0"/>
    <n v="2807733662.5477371"/>
    <n v="0.28824999999999995"/>
    <x v="27"/>
    <x v="0"/>
    <n v="1"/>
    <n v="1"/>
    <n v="2.1081479919890376E-2"/>
    <n v="1"/>
    <x v="135"/>
    <n v="2.8064264801836044E-4"/>
  </r>
  <r>
    <x v="0"/>
    <x v="3"/>
    <x v="0"/>
    <x v="1"/>
    <n v="2807733662.5477371"/>
    <n v="0.28824999999999995"/>
    <x v="27"/>
    <x v="1"/>
    <n v="3"/>
    <n v="3"/>
    <n v="6.3244439759671131E-2"/>
    <n v="1"/>
    <x v="136"/>
    <n v="8.4192794405508141E-4"/>
  </r>
  <r>
    <x v="0"/>
    <x v="3"/>
    <x v="0"/>
    <x v="2"/>
    <n v="2807733662.5477371"/>
    <n v="0.28824999999999995"/>
    <x v="27"/>
    <x v="2"/>
    <n v="5"/>
    <n v="5"/>
    <n v="0.10540739959945188"/>
    <n v="1"/>
    <x v="137"/>
    <n v="1.4032132400918021E-3"/>
  </r>
  <r>
    <x v="0"/>
    <x v="3"/>
    <x v="0"/>
    <x v="3"/>
    <n v="2807733662.5477371"/>
    <n v="0.28824999999999995"/>
    <x v="27"/>
    <x v="3"/>
    <n v="7"/>
    <n v="7"/>
    <n v="0.14757035943923263"/>
    <n v="1"/>
    <x v="138"/>
    <n v="1.9644985361285229E-3"/>
  </r>
  <r>
    <x v="0"/>
    <x v="3"/>
    <x v="0"/>
    <x v="4"/>
    <n v="2807733662.5477371"/>
    <n v="0.28824999999999995"/>
    <x v="27"/>
    <x v="4"/>
    <n v="32.770000000000003"/>
    <n v="31.435000000000002"/>
    <n v="0.66269632128175404"/>
    <n v="1"/>
    <x v="139"/>
    <n v="8.8220016404571607E-3"/>
  </r>
  <r>
    <x v="0"/>
    <x v="3"/>
    <x v="1"/>
    <x v="0"/>
    <n v="2807733662.5477371"/>
    <n v="0.12437499999999999"/>
    <x v="28"/>
    <x v="0"/>
    <n v="1"/>
    <n v="1"/>
    <n v="2.1081479919890376E-2"/>
    <n v="1"/>
    <x v="140"/>
    <n v="1.2109255627852066E-4"/>
  </r>
  <r>
    <x v="0"/>
    <x v="3"/>
    <x v="1"/>
    <x v="1"/>
    <n v="2807733662.5477371"/>
    <n v="0.12437499999999999"/>
    <x v="28"/>
    <x v="1"/>
    <n v="3"/>
    <n v="3"/>
    <n v="6.3244439759671131E-2"/>
    <n v="1"/>
    <x v="141"/>
    <n v="3.6327766883556203E-4"/>
  </r>
  <r>
    <x v="0"/>
    <x v="3"/>
    <x v="1"/>
    <x v="2"/>
    <n v="2807733662.5477371"/>
    <n v="0.12437499999999999"/>
    <x v="28"/>
    <x v="2"/>
    <n v="5"/>
    <n v="5"/>
    <n v="0.10540739959945188"/>
    <n v="1"/>
    <x v="142"/>
    <n v="6.0546278139260326E-4"/>
  </r>
  <r>
    <x v="0"/>
    <x v="3"/>
    <x v="1"/>
    <x v="3"/>
    <n v="2807733662.5477371"/>
    <n v="0.12437499999999999"/>
    <x v="28"/>
    <x v="3"/>
    <n v="7"/>
    <n v="7"/>
    <n v="0.14757035943923263"/>
    <n v="1"/>
    <x v="143"/>
    <n v="8.4764789394964465E-4"/>
  </r>
  <r>
    <x v="0"/>
    <x v="3"/>
    <x v="1"/>
    <x v="4"/>
    <n v="2807733662.5477371"/>
    <n v="0.12437499999999999"/>
    <x v="28"/>
    <x v="4"/>
    <n v="32.770000000000003"/>
    <n v="31.435000000000002"/>
    <n v="0.66269632128175404"/>
    <n v="1"/>
    <x v="144"/>
    <n v="3.8065445066152973E-3"/>
  </r>
  <r>
    <x v="0"/>
    <x v="3"/>
    <x v="2"/>
    <x v="0"/>
    <n v="2807733662.5477371"/>
    <n v="0.18625"/>
    <x v="29"/>
    <x v="0"/>
    <n v="1"/>
    <n v="1"/>
    <n v="2.1081479919890376E-2"/>
    <n v="1"/>
    <x v="145"/>
    <n v="1.8133458176381487E-4"/>
  </r>
  <r>
    <x v="0"/>
    <x v="3"/>
    <x v="2"/>
    <x v="1"/>
    <n v="2807733662.5477371"/>
    <n v="0.18625"/>
    <x v="29"/>
    <x v="1"/>
    <n v="3"/>
    <n v="3"/>
    <n v="6.3244439759671131E-2"/>
    <n v="1"/>
    <x v="146"/>
    <n v="5.440037452914446E-4"/>
  </r>
  <r>
    <x v="0"/>
    <x v="3"/>
    <x v="2"/>
    <x v="2"/>
    <n v="2807733662.5477371"/>
    <n v="0.18625"/>
    <x v="29"/>
    <x v="2"/>
    <n v="5"/>
    <n v="5"/>
    <n v="0.10540739959945188"/>
    <n v="1"/>
    <x v="147"/>
    <n v="9.0667290881907433E-4"/>
  </r>
  <r>
    <x v="0"/>
    <x v="3"/>
    <x v="2"/>
    <x v="3"/>
    <n v="2807733662.5477371"/>
    <n v="0.18625"/>
    <x v="29"/>
    <x v="3"/>
    <n v="7"/>
    <n v="7"/>
    <n v="0.14757035943923263"/>
    <n v="1"/>
    <x v="148"/>
    <n v="1.2693420723467041E-3"/>
  </r>
  <r>
    <x v="0"/>
    <x v="3"/>
    <x v="2"/>
    <x v="4"/>
    <n v="2807733662.5477371"/>
    <n v="0.18625"/>
    <x v="29"/>
    <x v="4"/>
    <n v="32.770000000000003"/>
    <n v="31.435000000000002"/>
    <n v="0.66269632128175404"/>
    <n v="1"/>
    <x v="149"/>
    <n v="5.700252577745521E-3"/>
  </r>
  <r>
    <x v="0"/>
    <x v="3"/>
    <x v="3"/>
    <x v="0"/>
    <n v="2807733662.5477371"/>
    <n v="1.7000000000000001E-2"/>
    <x v="30"/>
    <x v="0"/>
    <n v="1"/>
    <n v="1"/>
    <n v="2.1081479919890376E-2"/>
    <n v="1"/>
    <x v="150"/>
    <n v="1.6551344375757601E-5"/>
  </r>
  <r>
    <x v="0"/>
    <x v="3"/>
    <x v="3"/>
    <x v="1"/>
    <n v="2807733662.5477371"/>
    <n v="1.7000000000000001E-2"/>
    <x v="30"/>
    <x v="1"/>
    <n v="3"/>
    <n v="3"/>
    <n v="6.3244439759671131E-2"/>
    <n v="1"/>
    <x v="151"/>
    <n v="4.9654033127272805E-5"/>
  </r>
  <r>
    <x v="0"/>
    <x v="3"/>
    <x v="3"/>
    <x v="2"/>
    <n v="2807733662.5477371"/>
    <n v="1.7000000000000001E-2"/>
    <x v="30"/>
    <x v="2"/>
    <n v="5"/>
    <n v="5"/>
    <n v="0.10540739959945188"/>
    <n v="1"/>
    <x v="152"/>
    <n v="8.2756721878787993E-5"/>
  </r>
  <r>
    <x v="0"/>
    <x v="3"/>
    <x v="3"/>
    <x v="3"/>
    <n v="2807733662.5477371"/>
    <n v="1.7000000000000001E-2"/>
    <x v="30"/>
    <x v="3"/>
    <n v="7"/>
    <n v="7"/>
    <n v="0.14757035943923263"/>
    <n v="1"/>
    <x v="153"/>
    <n v="1.1585941063030321E-4"/>
  </r>
  <r>
    <x v="0"/>
    <x v="3"/>
    <x v="3"/>
    <x v="4"/>
    <n v="2807733662.5477371"/>
    <n v="1.7000000000000001E-2"/>
    <x v="30"/>
    <x v="4"/>
    <n v="32.770000000000003"/>
    <n v="31.435000000000002"/>
    <n v="0.66269632128175404"/>
    <n v="1"/>
    <x v="154"/>
    <n v="5.2029151045194025E-4"/>
  </r>
  <r>
    <x v="0"/>
    <x v="3"/>
    <x v="4"/>
    <x v="0"/>
    <n v="2807733662.5477371"/>
    <n v="0.10375000000000002"/>
    <x v="31"/>
    <x v="0"/>
    <n v="1"/>
    <n v="1"/>
    <n v="2.1081479919890376E-2"/>
    <n v="1"/>
    <x v="155"/>
    <n v="1.0101188111675596E-4"/>
  </r>
  <r>
    <x v="0"/>
    <x v="3"/>
    <x v="4"/>
    <x v="1"/>
    <n v="2807733662.5477371"/>
    <n v="0.10375000000000002"/>
    <x v="31"/>
    <x v="1"/>
    <n v="3"/>
    <n v="3"/>
    <n v="6.3244439759671131E-2"/>
    <n v="1"/>
    <x v="156"/>
    <n v="3.0303564335026792E-4"/>
  </r>
  <r>
    <x v="0"/>
    <x v="3"/>
    <x v="4"/>
    <x v="2"/>
    <n v="2807733662.5477371"/>
    <n v="0.10375000000000002"/>
    <x v="31"/>
    <x v="2"/>
    <n v="5"/>
    <n v="5"/>
    <n v="0.10540739959945188"/>
    <n v="1"/>
    <x v="157"/>
    <n v="5.0505940558377975E-4"/>
  </r>
  <r>
    <x v="0"/>
    <x v="3"/>
    <x v="4"/>
    <x v="3"/>
    <n v="2807733662.5477371"/>
    <n v="0.10375000000000002"/>
    <x v="31"/>
    <x v="3"/>
    <n v="7"/>
    <n v="7"/>
    <n v="0.14757035943923263"/>
    <n v="1"/>
    <x v="158"/>
    <n v="7.070831678172917E-4"/>
  </r>
  <r>
    <x v="0"/>
    <x v="3"/>
    <x v="4"/>
    <x v="4"/>
    <n v="2807733662.5477371"/>
    <n v="0.10375000000000002"/>
    <x v="31"/>
    <x v="4"/>
    <n v="32.770000000000003"/>
    <n v="31.435000000000002"/>
    <n v="0.66269632128175404"/>
    <n v="1"/>
    <x v="159"/>
    <n v="3.175308482905224E-3"/>
  </r>
  <r>
    <x v="0"/>
    <x v="3"/>
    <x v="5"/>
    <x v="0"/>
    <n v="2807733662.5477371"/>
    <n v="7.0250000000000007E-2"/>
    <x v="32"/>
    <x v="0"/>
    <n v="1"/>
    <n v="1"/>
    <n v="2.1081479919890376E-2"/>
    <n v="1"/>
    <x v="160"/>
    <n v="6.8395996611586549E-5"/>
  </r>
  <r>
    <x v="0"/>
    <x v="3"/>
    <x v="5"/>
    <x v="1"/>
    <n v="2807733662.5477371"/>
    <n v="7.0250000000000007E-2"/>
    <x v="32"/>
    <x v="1"/>
    <n v="3"/>
    <n v="3"/>
    <n v="6.3244439759671131E-2"/>
    <n v="1"/>
    <x v="161"/>
    <n v="2.0518798983475966E-4"/>
  </r>
  <r>
    <x v="0"/>
    <x v="3"/>
    <x v="5"/>
    <x v="2"/>
    <n v="2807733662.5477371"/>
    <n v="7.0250000000000007E-2"/>
    <x v="32"/>
    <x v="2"/>
    <n v="5"/>
    <n v="5"/>
    <n v="0.10540739959945188"/>
    <n v="1"/>
    <x v="162"/>
    <n v="3.4197998305793276E-4"/>
  </r>
  <r>
    <x v="0"/>
    <x v="3"/>
    <x v="5"/>
    <x v="3"/>
    <n v="2807733662.5477371"/>
    <n v="7.0250000000000007E-2"/>
    <x v="32"/>
    <x v="3"/>
    <n v="7"/>
    <n v="7"/>
    <n v="0.14757035943923263"/>
    <n v="1"/>
    <x v="163"/>
    <n v="4.7877197628110589E-4"/>
  </r>
  <r>
    <x v="0"/>
    <x v="3"/>
    <x v="5"/>
    <x v="4"/>
    <n v="2807733662.5477371"/>
    <n v="7.0250000000000007E-2"/>
    <x v="32"/>
    <x v="4"/>
    <n v="32.770000000000003"/>
    <n v="31.435000000000002"/>
    <n v="0.66269632128175404"/>
    <n v="1"/>
    <x v="164"/>
    <n v="2.1500281534852237E-3"/>
  </r>
  <r>
    <x v="0"/>
    <x v="3"/>
    <x v="6"/>
    <x v="0"/>
    <n v="2807733662.5477371"/>
    <n v="9.6374999999999988E-2"/>
    <x v="33"/>
    <x v="0"/>
    <n v="1"/>
    <n v="1"/>
    <n v="2.1081479919890376E-2"/>
    <n v="1"/>
    <x v="165"/>
    <n v="9.383151848315519E-5"/>
  </r>
  <r>
    <x v="0"/>
    <x v="3"/>
    <x v="6"/>
    <x v="1"/>
    <n v="2807733662.5477371"/>
    <n v="9.6374999999999988E-2"/>
    <x v="33"/>
    <x v="1"/>
    <n v="3"/>
    <n v="3"/>
    <n v="6.3244439759671131E-2"/>
    <n v="1"/>
    <x v="166"/>
    <n v="2.8149455544946558E-4"/>
  </r>
  <r>
    <x v="0"/>
    <x v="3"/>
    <x v="6"/>
    <x v="2"/>
    <n v="2807733662.5477371"/>
    <n v="9.6374999999999988E-2"/>
    <x v="33"/>
    <x v="2"/>
    <n v="5"/>
    <n v="5"/>
    <n v="0.10540739959945188"/>
    <n v="1"/>
    <x v="167"/>
    <n v="4.6915759241577599E-4"/>
  </r>
  <r>
    <x v="0"/>
    <x v="3"/>
    <x v="6"/>
    <x v="3"/>
    <n v="2807733662.5477371"/>
    <n v="9.6374999999999988E-2"/>
    <x v="33"/>
    <x v="3"/>
    <n v="7"/>
    <n v="7"/>
    <n v="0.14757035943923263"/>
    <n v="1"/>
    <x v="168"/>
    <n v="6.568206293820864E-4"/>
  </r>
  <r>
    <x v="0"/>
    <x v="3"/>
    <x v="6"/>
    <x v="4"/>
    <n v="2807733662.5477371"/>
    <n v="9.6374999999999988E-2"/>
    <x v="33"/>
    <x v="4"/>
    <n v="32.770000000000003"/>
    <n v="31.435000000000002"/>
    <n v="0.66269632128175404"/>
    <n v="1"/>
    <x v="169"/>
    <n v="2.9495937835179839E-3"/>
  </r>
  <r>
    <x v="0"/>
    <x v="3"/>
    <x v="7"/>
    <x v="0"/>
    <n v="2807733662.5477371"/>
    <n v="2.2499999999999999E-2"/>
    <x v="34"/>
    <x v="0"/>
    <n v="1"/>
    <n v="1"/>
    <n v="2.1081479919890376E-2"/>
    <n v="1"/>
    <x v="170"/>
    <n v="2.1906191085561528E-5"/>
  </r>
  <r>
    <x v="0"/>
    <x v="3"/>
    <x v="7"/>
    <x v="1"/>
    <n v="2807733662.5477371"/>
    <n v="2.2499999999999999E-2"/>
    <x v="34"/>
    <x v="1"/>
    <n v="3"/>
    <n v="3"/>
    <n v="6.3244439759671131E-2"/>
    <n v="1"/>
    <x v="171"/>
    <n v="6.5718573256684591E-5"/>
  </r>
  <r>
    <x v="0"/>
    <x v="3"/>
    <x v="7"/>
    <x v="2"/>
    <n v="2807733662.5477371"/>
    <n v="2.2499999999999999E-2"/>
    <x v="34"/>
    <x v="2"/>
    <n v="5"/>
    <n v="5"/>
    <n v="0.10540739959945188"/>
    <n v="1"/>
    <x v="172"/>
    <n v="1.0953095542780763E-4"/>
  </r>
  <r>
    <x v="0"/>
    <x v="3"/>
    <x v="7"/>
    <x v="3"/>
    <n v="2807733662.5477371"/>
    <n v="2.2499999999999999E-2"/>
    <x v="34"/>
    <x v="3"/>
    <n v="7"/>
    <n v="7"/>
    <n v="0.14757035943923263"/>
    <n v="1"/>
    <x v="173"/>
    <n v="1.533433375989307E-4"/>
  </r>
  <r>
    <x v="0"/>
    <x v="3"/>
    <x v="7"/>
    <x v="4"/>
    <n v="2807733662.5477371"/>
    <n v="2.2499999999999999E-2"/>
    <x v="34"/>
    <x v="4"/>
    <n v="32.770000000000003"/>
    <n v="31.435000000000002"/>
    <n v="0.66269632128175404"/>
    <n v="1"/>
    <x v="174"/>
    <n v="6.8862111677462669E-4"/>
  </r>
  <r>
    <x v="0"/>
    <x v="3"/>
    <x v="8"/>
    <x v="0"/>
    <n v="2807733662.5477371"/>
    <n v="9.1250000000000012E-2"/>
    <x v="35"/>
    <x v="0"/>
    <n v="1"/>
    <n v="1"/>
    <n v="2.1081479919890376E-2"/>
    <n v="1"/>
    <x v="175"/>
    <n v="8.8841774958110662E-5"/>
  </r>
  <r>
    <x v="0"/>
    <x v="3"/>
    <x v="8"/>
    <x v="1"/>
    <n v="2807733662.5477371"/>
    <n v="9.1250000000000012E-2"/>
    <x v="35"/>
    <x v="1"/>
    <n v="3"/>
    <n v="3"/>
    <n v="6.3244439759671131E-2"/>
    <n v="1"/>
    <x v="176"/>
    <n v="2.6652532487433201E-4"/>
  </r>
  <r>
    <x v="0"/>
    <x v="3"/>
    <x v="8"/>
    <x v="2"/>
    <n v="2807733662.5477371"/>
    <n v="9.1250000000000012E-2"/>
    <x v="35"/>
    <x v="2"/>
    <n v="5"/>
    <n v="5"/>
    <n v="0.10540739959945188"/>
    <n v="1"/>
    <x v="177"/>
    <n v="4.4420887479055328E-4"/>
  </r>
  <r>
    <x v="0"/>
    <x v="3"/>
    <x v="8"/>
    <x v="3"/>
    <n v="2807733662.5477371"/>
    <n v="9.1250000000000012E-2"/>
    <x v="35"/>
    <x v="3"/>
    <n v="7"/>
    <n v="7"/>
    <n v="0.14757035943923263"/>
    <n v="1"/>
    <x v="178"/>
    <n v="6.2189242470677471E-4"/>
  </r>
  <r>
    <x v="0"/>
    <x v="3"/>
    <x v="8"/>
    <x v="4"/>
    <n v="2807733662.5477371"/>
    <n v="9.1250000000000012E-2"/>
    <x v="35"/>
    <x v="4"/>
    <n v="32.770000000000003"/>
    <n v="31.435000000000002"/>
    <n v="0.66269632128175404"/>
    <n v="1"/>
    <x v="179"/>
    <n v="2.7927411958082091E-3"/>
  </r>
  <r>
    <x v="0"/>
    <x v="4"/>
    <x v="0"/>
    <x v="0"/>
    <n v="223983167.86609241"/>
    <n v="0.17649999999999999"/>
    <x v="36"/>
    <x v="0"/>
    <n v="1"/>
    <n v="1"/>
    <n v="2.1081479919890376E-2"/>
    <n v="1"/>
    <x v="180"/>
    <n v="1.3708455832052193E-5"/>
  </r>
  <r>
    <x v="0"/>
    <x v="4"/>
    <x v="0"/>
    <x v="1"/>
    <n v="223983167.86609241"/>
    <n v="0.17649999999999999"/>
    <x v="36"/>
    <x v="1"/>
    <n v="3"/>
    <n v="3"/>
    <n v="6.3244439759671131E-2"/>
    <n v="1"/>
    <x v="181"/>
    <n v="4.1125367496156583E-5"/>
  </r>
  <r>
    <x v="0"/>
    <x v="4"/>
    <x v="0"/>
    <x v="2"/>
    <n v="223983167.86609241"/>
    <n v="0.17649999999999999"/>
    <x v="36"/>
    <x v="2"/>
    <n v="5"/>
    <n v="5"/>
    <n v="0.10540739959945188"/>
    <n v="1"/>
    <x v="182"/>
    <n v="6.854227916026097E-5"/>
  </r>
  <r>
    <x v="0"/>
    <x v="4"/>
    <x v="0"/>
    <x v="3"/>
    <n v="223983167.86609241"/>
    <n v="0.17649999999999999"/>
    <x v="36"/>
    <x v="3"/>
    <n v="7"/>
    <n v="7"/>
    <n v="0.14757035943923263"/>
    <n v="1"/>
    <x v="183"/>
    <n v="9.5959190824365363E-5"/>
  </r>
  <r>
    <x v="0"/>
    <x v="4"/>
    <x v="0"/>
    <x v="4"/>
    <n v="223983167.86609241"/>
    <n v="0.17649999999999999"/>
    <x v="36"/>
    <x v="4"/>
    <n v="32.770000000000003"/>
    <n v="31.435000000000002"/>
    <n v="0.66269632128175404"/>
    <n v="1"/>
    <x v="184"/>
    <n v="4.3092530908056076E-4"/>
  </r>
  <r>
    <x v="0"/>
    <x v="4"/>
    <x v="1"/>
    <x v="0"/>
    <n v="223983167.86609241"/>
    <n v="8.5249999999999992E-2"/>
    <x v="37"/>
    <x v="0"/>
    <n v="1"/>
    <n v="1"/>
    <n v="2.1081479919890376E-2"/>
    <n v="1"/>
    <x v="185"/>
    <n v="6.6212230010337087E-6"/>
  </r>
  <r>
    <x v="0"/>
    <x v="4"/>
    <x v="1"/>
    <x v="1"/>
    <n v="223983167.86609241"/>
    <n v="8.5249999999999992E-2"/>
    <x v="37"/>
    <x v="1"/>
    <n v="3"/>
    <n v="3"/>
    <n v="6.3244439759671131E-2"/>
    <n v="1"/>
    <x v="186"/>
    <n v="1.9863669003101126E-5"/>
  </r>
  <r>
    <x v="0"/>
    <x v="4"/>
    <x v="1"/>
    <x v="2"/>
    <n v="223983167.86609241"/>
    <n v="8.5249999999999992E-2"/>
    <x v="37"/>
    <x v="2"/>
    <n v="5"/>
    <n v="5"/>
    <n v="0.10540739959945188"/>
    <n v="1"/>
    <x v="187"/>
    <n v="3.310611500516854E-5"/>
  </r>
  <r>
    <x v="0"/>
    <x v="4"/>
    <x v="1"/>
    <x v="3"/>
    <n v="223983167.86609241"/>
    <n v="8.5249999999999992E-2"/>
    <x v="37"/>
    <x v="3"/>
    <n v="7"/>
    <n v="7"/>
    <n v="0.14757035943923263"/>
    <n v="1"/>
    <x v="188"/>
    <n v="4.6348561007235964E-5"/>
  </r>
  <r>
    <x v="0"/>
    <x v="4"/>
    <x v="1"/>
    <x v="4"/>
    <n v="223983167.86609241"/>
    <n v="8.5249999999999992E-2"/>
    <x v="37"/>
    <x v="4"/>
    <n v="32.770000000000003"/>
    <n v="31.435000000000002"/>
    <n v="0.66269632128175404"/>
    <n v="1"/>
    <x v="189"/>
    <n v="2.0813814503749465E-4"/>
  </r>
  <r>
    <x v="0"/>
    <x v="4"/>
    <x v="2"/>
    <x v="0"/>
    <n v="223983167.86609241"/>
    <n v="0.23774999999999999"/>
    <x v="38"/>
    <x v="0"/>
    <n v="1"/>
    <n v="1"/>
    <n v="2.1081479919890376E-2"/>
    <n v="1"/>
    <x v="190"/>
    <n v="1.8465639513146795E-5"/>
  </r>
  <r>
    <x v="0"/>
    <x v="4"/>
    <x v="2"/>
    <x v="1"/>
    <n v="223983167.86609241"/>
    <n v="0.23774999999999999"/>
    <x v="38"/>
    <x v="1"/>
    <n v="3"/>
    <n v="3"/>
    <n v="6.3244439759671131E-2"/>
    <n v="1"/>
    <x v="191"/>
    <n v="5.539691853944038E-5"/>
  </r>
  <r>
    <x v="0"/>
    <x v="4"/>
    <x v="2"/>
    <x v="2"/>
    <n v="223983167.86609241"/>
    <n v="0.23774999999999999"/>
    <x v="38"/>
    <x v="2"/>
    <n v="5"/>
    <n v="5"/>
    <n v="0.10540739959945188"/>
    <n v="1"/>
    <x v="192"/>
    <n v="9.2328197565733969E-5"/>
  </r>
  <r>
    <x v="0"/>
    <x v="4"/>
    <x v="2"/>
    <x v="3"/>
    <n v="223983167.86609241"/>
    <n v="0.23774999999999999"/>
    <x v="38"/>
    <x v="3"/>
    <n v="7"/>
    <n v="7"/>
    <n v="0.14757035943923263"/>
    <n v="1"/>
    <x v="193"/>
    <n v="1.2925947659202757E-4"/>
  </r>
  <r>
    <x v="0"/>
    <x v="4"/>
    <x v="2"/>
    <x v="4"/>
    <n v="223983167.86609241"/>
    <n v="0.23774999999999999"/>
    <x v="38"/>
    <x v="4"/>
    <n v="32.770000000000003"/>
    <n v="31.435000000000002"/>
    <n v="0.66269632128175404"/>
    <n v="1"/>
    <x v="194"/>
    <n v="5.8046737809576952E-4"/>
  </r>
  <r>
    <x v="0"/>
    <x v="4"/>
    <x v="3"/>
    <x v="0"/>
    <n v="223983167.86609241"/>
    <n v="3.6750000000000005E-2"/>
    <x v="39"/>
    <x v="0"/>
    <n v="1"/>
    <n v="1"/>
    <n v="2.1081479919890376E-2"/>
    <n v="1"/>
    <x v="195"/>
    <n v="2.8543102086567607E-6"/>
  </r>
  <r>
    <x v="0"/>
    <x v="4"/>
    <x v="3"/>
    <x v="1"/>
    <n v="223983167.86609241"/>
    <n v="3.6750000000000005E-2"/>
    <x v="39"/>
    <x v="1"/>
    <n v="3"/>
    <n v="3"/>
    <n v="6.3244439759671131E-2"/>
    <n v="1"/>
    <x v="196"/>
    <n v="8.5629306259702816E-6"/>
  </r>
  <r>
    <x v="0"/>
    <x v="4"/>
    <x v="3"/>
    <x v="2"/>
    <n v="223983167.86609241"/>
    <n v="3.6750000000000005E-2"/>
    <x v="39"/>
    <x v="2"/>
    <n v="5"/>
    <n v="5"/>
    <n v="0.10540739959945188"/>
    <n v="1"/>
    <x v="197"/>
    <n v="1.4271551043283802E-5"/>
  </r>
  <r>
    <x v="0"/>
    <x v="4"/>
    <x v="3"/>
    <x v="3"/>
    <n v="223983167.86609241"/>
    <n v="3.6750000000000005E-2"/>
    <x v="39"/>
    <x v="3"/>
    <n v="7"/>
    <n v="7"/>
    <n v="0.14757035943923263"/>
    <n v="1"/>
    <x v="198"/>
    <n v="1.9980171460597323E-5"/>
  </r>
  <r>
    <x v="0"/>
    <x v="4"/>
    <x v="3"/>
    <x v="4"/>
    <n v="223983167.86609241"/>
    <n v="3.6750000000000005E-2"/>
    <x v="39"/>
    <x v="4"/>
    <n v="32.770000000000003"/>
    <n v="31.435000000000002"/>
    <n v="0.66269632128175404"/>
    <n v="1"/>
    <x v="199"/>
    <n v="8.9725241409125287E-5"/>
  </r>
  <r>
    <x v="0"/>
    <x v="4"/>
    <x v="4"/>
    <x v="0"/>
    <n v="223983167.86609241"/>
    <n v="7.4500000000000011E-2"/>
    <x v="40"/>
    <x v="0"/>
    <n v="1"/>
    <n v="1"/>
    <n v="2.1081479919890376E-2"/>
    <n v="1"/>
    <x v="200"/>
    <n v="5.7862887223109843E-6"/>
  </r>
  <r>
    <x v="0"/>
    <x v="4"/>
    <x v="4"/>
    <x v="1"/>
    <n v="223983167.86609241"/>
    <n v="7.4500000000000011E-2"/>
    <x v="40"/>
    <x v="1"/>
    <n v="3"/>
    <n v="3"/>
    <n v="6.3244439759671131E-2"/>
    <n v="1"/>
    <x v="201"/>
    <n v="1.7358866166932953E-5"/>
  </r>
  <r>
    <x v="0"/>
    <x v="4"/>
    <x v="4"/>
    <x v="2"/>
    <n v="223983167.86609241"/>
    <n v="7.4500000000000011E-2"/>
    <x v="40"/>
    <x v="2"/>
    <n v="5"/>
    <n v="5"/>
    <n v="0.10540739959945188"/>
    <n v="1"/>
    <x v="202"/>
    <n v="2.8931443611554918E-5"/>
  </r>
  <r>
    <x v="0"/>
    <x v="4"/>
    <x v="4"/>
    <x v="3"/>
    <n v="223983167.86609241"/>
    <n v="7.4500000000000011E-2"/>
    <x v="40"/>
    <x v="3"/>
    <n v="7"/>
    <n v="7"/>
    <n v="0.14757035943923263"/>
    <n v="1"/>
    <x v="203"/>
    <n v="4.0504021056176893E-5"/>
  </r>
  <r>
    <x v="0"/>
    <x v="4"/>
    <x v="4"/>
    <x v="4"/>
    <n v="223983167.86609241"/>
    <n v="7.4500000000000011E-2"/>
    <x v="40"/>
    <x v="4"/>
    <n v="32.770000000000003"/>
    <n v="31.435000000000002"/>
    <n v="0.66269632128175404"/>
    <n v="1"/>
    <x v="204"/>
    <n v="1.8189198598584581E-4"/>
  </r>
  <r>
    <x v="0"/>
    <x v="4"/>
    <x v="5"/>
    <x v="0"/>
    <n v="223983167.86609241"/>
    <n v="0.19524999999999998"/>
    <x v="41"/>
    <x v="0"/>
    <n v="1"/>
    <n v="1"/>
    <n v="2.1081479919890376E-2"/>
    <n v="1"/>
    <x v="205"/>
    <n v="1.516473655075462E-5"/>
  </r>
  <r>
    <x v="0"/>
    <x v="4"/>
    <x v="5"/>
    <x v="1"/>
    <n v="223983167.86609241"/>
    <n v="0.19524999999999998"/>
    <x v="41"/>
    <x v="1"/>
    <n v="3"/>
    <n v="3"/>
    <n v="6.3244439759671131E-2"/>
    <n v="1"/>
    <x v="206"/>
    <n v="4.5494209652263861E-5"/>
  </r>
  <r>
    <x v="0"/>
    <x v="4"/>
    <x v="5"/>
    <x v="2"/>
    <n v="223983167.86609241"/>
    <n v="0.19524999999999998"/>
    <x v="41"/>
    <x v="2"/>
    <n v="5"/>
    <n v="5"/>
    <n v="0.10540739959945188"/>
    <n v="1"/>
    <x v="207"/>
    <n v="7.582368275377311E-5"/>
  </r>
  <r>
    <x v="0"/>
    <x v="4"/>
    <x v="5"/>
    <x v="3"/>
    <n v="223983167.86609241"/>
    <n v="0.19524999999999998"/>
    <x v="41"/>
    <x v="3"/>
    <n v="7"/>
    <n v="7"/>
    <n v="0.14757035943923263"/>
    <n v="1"/>
    <x v="208"/>
    <n v="1.0615315585528235E-4"/>
  </r>
  <r>
    <x v="0"/>
    <x v="4"/>
    <x v="5"/>
    <x v="4"/>
    <n v="223983167.86609241"/>
    <n v="0.19524999999999998"/>
    <x v="41"/>
    <x v="4"/>
    <n v="32.770000000000003"/>
    <n v="31.435000000000002"/>
    <n v="0.66269632128175404"/>
    <n v="1"/>
    <x v="209"/>
    <n v="4.7670349347297156E-4"/>
  </r>
  <r>
    <x v="0"/>
    <x v="4"/>
    <x v="6"/>
    <x v="0"/>
    <n v="223983167.86609241"/>
    <n v="4.4499999999999991E-2"/>
    <x v="42"/>
    <x v="0"/>
    <n v="1"/>
    <n v="1"/>
    <n v="2.1081479919890376E-2"/>
    <n v="1"/>
    <x v="210"/>
    <n v="3.456239572387097E-6"/>
  </r>
  <r>
    <x v="0"/>
    <x v="4"/>
    <x v="6"/>
    <x v="1"/>
    <n v="223983167.86609241"/>
    <n v="4.4499999999999991E-2"/>
    <x v="42"/>
    <x v="1"/>
    <n v="3"/>
    <n v="3"/>
    <n v="6.3244439759671131E-2"/>
    <n v="1"/>
    <x v="211"/>
    <n v="1.0368718717161291E-5"/>
  </r>
  <r>
    <x v="0"/>
    <x v="4"/>
    <x v="6"/>
    <x v="2"/>
    <n v="223983167.86609241"/>
    <n v="4.4499999999999991E-2"/>
    <x v="42"/>
    <x v="2"/>
    <n v="5"/>
    <n v="5"/>
    <n v="0.10540739959945188"/>
    <n v="1"/>
    <x v="212"/>
    <n v="1.7281197861935481E-5"/>
  </r>
  <r>
    <x v="0"/>
    <x v="4"/>
    <x v="6"/>
    <x v="3"/>
    <n v="223983167.86609241"/>
    <n v="4.4499999999999991E-2"/>
    <x v="42"/>
    <x v="3"/>
    <n v="7"/>
    <n v="7"/>
    <n v="0.14757035943923263"/>
    <n v="1"/>
    <x v="213"/>
    <n v="2.4193677006709679E-5"/>
  </r>
  <r>
    <x v="0"/>
    <x v="4"/>
    <x v="6"/>
    <x v="4"/>
    <n v="223983167.86609241"/>
    <n v="4.4499999999999991E-2"/>
    <x v="42"/>
    <x v="4"/>
    <n v="32.770000000000003"/>
    <n v="31.435000000000002"/>
    <n v="0.66269632128175404"/>
    <n v="1"/>
    <x v="214"/>
    <n v="1.0864689095798841E-4"/>
  </r>
  <r>
    <x v="0"/>
    <x v="4"/>
    <x v="7"/>
    <x v="0"/>
    <n v="223983167.86609241"/>
    <n v="8.5500000000000007E-2"/>
    <x v="43"/>
    <x v="0"/>
    <n v="1"/>
    <n v="1"/>
    <n v="2.1081479919890376E-2"/>
    <n v="1"/>
    <x v="215"/>
    <n v="6.6406400772830742E-6"/>
  </r>
  <r>
    <x v="0"/>
    <x v="4"/>
    <x v="7"/>
    <x v="1"/>
    <n v="223983167.86609241"/>
    <n v="8.5500000000000007E-2"/>
    <x v="43"/>
    <x v="1"/>
    <n v="3"/>
    <n v="3"/>
    <n v="6.3244439759671131E-2"/>
    <n v="1"/>
    <x v="216"/>
    <n v="1.9921920231849226E-5"/>
  </r>
  <r>
    <x v="0"/>
    <x v="4"/>
    <x v="7"/>
    <x v="2"/>
    <n v="223983167.86609241"/>
    <n v="8.5500000000000007E-2"/>
    <x v="43"/>
    <x v="2"/>
    <n v="5"/>
    <n v="5"/>
    <n v="0.10540739959945188"/>
    <n v="1"/>
    <x v="217"/>
    <n v="3.3203200386415374E-5"/>
  </r>
  <r>
    <x v="0"/>
    <x v="4"/>
    <x v="7"/>
    <x v="3"/>
    <n v="223983167.86609241"/>
    <n v="8.5500000000000007E-2"/>
    <x v="43"/>
    <x v="3"/>
    <n v="7"/>
    <n v="7"/>
    <n v="0.14757035943923263"/>
    <n v="1"/>
    <x v="218"/>
    <n v="4.6484480540981516E-5"/>
  </r>
  <r>
    <x v="0"/>
    <x v="4"/>
    <x v="7"/>
    <x v="4"/>
    <n v="223983167.86609241"/>
    <n v="8.5500000000000007E-2"/>
    <x v="43"/>
    <x v="4"/>
    <n v="32.770000000000003"/>
    <n v="31.435000000000002"/>
    <n v="0.66269632128175404"/>
    <n v="1"/>
    <x v="219"/>
    <n v="2.0874852082939348E-4"/>
  </r>
  <r>
    <x v="0"/>
    <x v="4"/>
    <x v="8"/>
    <x v="0"/>
    <n v="223983167.86609241"/>
    <n v="6.4000000000000001E-2"/>
    <x v="44"/>
    <x v="0"/>
    <n v="1"/>
    <n v="1"/>
    <n v="2.1081479919890376E-2"/>
    <n v="1"/>
    <x v="220"/>
    <n v="4.9707715198376229E-6"/>
  </r>
  <r>
    <x v="0"/>
    <x v="4"/>
    <x v="8"/>
    <x v="1"/>
    <n v="223983167.86609241"/>
    <n v="6.4000000000000001E-2"/>
    <x v="44"/>
    <x v="1"/>
    <n v="3"/>
    <n v="3"/>
    <n v="6.3244439759671131E-2"/>
    <n v="1"/>
    <x v="221"/>
    <n v="1.4912314559512869E-5"/>
  </r>
  <r>
    <x v="0"/>
    <x v="4"/>
    <x v="8"/>
    <x v="2"/>
    <n v="223983167.86609241"/>
    <n v="6.4000000000000001E-2"/>
    <x v="44"/>
    <x v="2"/>
    <n v="5"/>
    <n v="5"/>
    <n v="0.10540739959945188"/>
    <n v="1"/>
    <x v="222"/>
    <n v="2.485385759918811E-5"/>
  </r>
  <r>
    <x v="0"/>
    <x v="4"/>
    <x v="8"/>
    <x v="3"/>
    <n v="223983167.86609241"/>
    <n v="6.4000000000000001E-2"/>
    <x v="44"/>
    <x v="3"/>
    <n v="7"/>
    <n v="7"/>
    <n v="0.14757035943923263"/>
    <n v="1"/>
    <x v="223"/>
    <n v="3.4795400638863361E-5"/>
  </r>
  <r>
    <x v="0"/>
    <x v="4"/>
    <x v="8"/>
    <x v="4"/>
    <n v="223983167.86609241"/>
    <n v="6.4000000000000001E-2"/>
    <x v="44"/>
    <x v="4"/>
    <n v="32.770000000000003"/>
    <n v="31.435000000000002"/>
    <n v="0.66269632128175404"/>
    <n v="1"/>
    <x v="224"/>
    <n v="1.5625620272609572E-4"/>
  </r>
  <r>
    <x v="0"/>
    <x v="5"/>
    <x v="0"/>
    <x v="0"/>
    <n v="2755466733.4071422"/>
    <n v="0.28824999999999995"/>
    <x v="45"/>
    <x v="0"/>
    <n v="1"/>
    <n v="1"/>
    <n v="2.1081479919890376E-2"/>
    <n v="1"/>
    <x v="225"/>
    <n v="2.7541838846929247E-4"/>
  </r>
  <r>
    <x v="0"/>
    <x v="5"/>
    <x v="0"/>
    <x v="1"/>
    <n v="2755466733.4071422"/>
    <n v="0.28824999999999995"/>
    <x v="45"/>
    <x v="1"/>
    <n v="3"/>
    <n v="3"/>
    <n v="6.3244439759671131E-2"/>
    <n v="1"/>
    <x v="226"/>
    <n v="8.2625516540787741E-4"/>
  </r>
  <r>
    <x v="0"/>
    <x v="5"/>
    <x v="0"/>
    <x v="2"/>
    <n v="2755466733.4071422"/>
    <n v="0.28824999999999995"/>
    <x v="45"/>
    <x v="2"/>
    <n v="5"/>
    <n v="5"/>
    <n v="0.10540739959945188"/>
    <n v="1"/>
    <x v="227"/>
    <n v="1.3770919423464624E-3"/>
  </r>
  <r>
    <x v="0"/>
    <x v="5"/>
    <x v="0"/>
    <x v="3"/>
    <n v="2755466733.4071422"/>
    <n v="0.28824999999999995"/>
    <x v="45"/>
    <x v="3"/>
    <n v="7"/>
    <n v="7"/>
    <n v="0.14757035943923263"/>
    <n v="1"/>
    <x v="228"/>
    <n v="1.9279287192850471E-3"/>
  </r>
  <r>
    <x v="0"/>
    <x v="5"/>
    <x v="0"/>
    <x v="4"/>
    <n v="2755466733.4071422"/>
    <n v="0.28824999999999995"/>
    <x v="45"/>
    <x v="4"/>
    <n v="32.770000000000003"/>
    <n v="31.435000000000002"/>
    <n v="0.66269632128175404"/>
    <n v="1"/>
    <x v="229"/>
    <n v="8.6577770415322101E-3"/>
  </r>
  <r>
    <x v="0"/>
    <x v="5"/>
    <x v="1"/>
    <x v="0"/>
    <n v="2755466733.4071422"/>
    <n v="0.12437499999999999"/>
    <x v="46"/>
    <x v="0"/>
    <n v="1"/>
    <n v="1"/>
    <n v="2.1081479919890376E-2"/>
    <n v="1"/>
    <x v="230"/>
    <n v="1.1883837663787771E-4"/>
  </r>
  <r>
    <x v="0"/>
    <x v="5"/>
    <x v="1"/>
    <x v="1"/>
    <n v="2755466733.4071422"/>
    <n v="0.12437499999999999"/>
    <x v="46"/>
    <x v="1"/>
    <n v="3"/>
    <n v="3"/>
    <n v="6.3244439759671131E-2"/>
    <n v="1"/>
    <x v="231"/>
    <n v="3.5651512991363319E-4"/>
  </r>
  <r>
    <x v="0"/>
    <x v="5"/>
    <x v="1"/>
    <x v="2"/>
    <n v="2755466733.4071422"/>
    <n v="0.12437499999999999"/>
    <x v="46"/>
    <x v="2"/>
    <n v="5"/>
    <n v="5"/>
    <n v="0.10540739959945188"/>
    <n v="1"/>
    <x v="232"/>
    <n v="5.9419188318938848E-4"/>
  </r>
  <r>
    <x v="0"/>
    <x v="5"/>
    <x v="1"/>
    <x v="3"/>
    <n v="2755466733.4071422"/>
    <n v="0.12437499999999999"/>
    <x v="46"/>
    <x v="3"/>
    <n v="7"/>
    <n v="7"/>
    <n v="0.14757035943923263"/>
    <n v="1"/>
    <x v="233"/>
    <n v="8.3186863646514397E-4"/>
  </r>
  <r>
    <x v="0"/>
    <x v="5"/>
    <x v="1"/>
    <x v="4"/>
    <n v="2755466733.4071422"/>
    <n v="0.12437499999999999"/>
    <x v="46"/>
    <x v="4"/>
    <n v="32.770000000000003"/>
    <n v="31.435000000000002"/>
    <n v="0.66269632128175404"/>
    <n v="1"/>
    <x v="234"/>
    <n v="3.7356843696116863E-3"/>
  </r>
  <r>
    <x v="0"/>
    <x v="5"/>
    <x v="2"/>
    <x v="0"/>
    <n v="2755466733.4071422"/>
    <n v="0.18625"/>
    <x v="47"/>
    <x v="0"/>
    <n v="1"/>
    <n v="1"/>
    <n v="2.1081479919890376E-2"/>
    <n v="1"/>
    <x v="235"/>
    <n v="1.7795897607079177E-4"/>
  </r>
  <r>
    <x v="0"/>
    <x v="5"/>
    <x v="2"/>
    <x v="1"/>
    <n v="2755466733.4071422"/>
    <n v="0.18625"/>
    <x v="47"/>
    <x v="1"/>
    <n v="3"/>
    <n v="3"/>
    <n v="6.3244439759671131E-2"/>
    <n v="1"/>
    <x v="236"/>
    <n v="5.3387692821237531E-4"/>
  </r>
  <r>
    <x v="0"/>
    <x v="5"/>
    <x v="2"/>
    <x v="2"/>
    <n v="2755466733.4071422"/>
    <n v="0.18625"/>
    <x v="47"/>
    <x v="2"/>
    <n v="5"/>
    <n v="5"/>
    <n v="0.10540739959945188"/>
    <n v="1"/>
    <x v="237"/>
    <n v="8.8979488035395885E-4"/>
  </r>
  <r>
    <x v="0"/>
    <x v="5"/>
    <x v="2"/>
    <x v="3"/>
    <n v="2755466733.4071422"/>
    <n v="0.18625"/>
    <x v="47"/>
    <x v="3"/>
    <n v="7"/>
    <n v="7"/>
    <n v="0.14757035943923263"/>
    <n v="1"/>
    <x v="238"/>
    <n v="1.2457128324955423E-3"/>
  </r>
  <r>
    <x v="0"/>
    <x v="5"/>
    <x v="2"/>
    <x v="4"/>
    <n v="2755466733.4071422"/>
    <n v="0.18625"/>
    <x v="47"/>
    <x v="4"/>
    <n v="32.770000000000003"/>
    <n v="31.435000000000002"/>
    <n v="0.66269632128175404"/>
    <n v="1"/>
    <x v="239"/>
    <n v="5.5941404127853407E-3"/>
  </r>
  <r>
    <x v="0"/>
    <x v="5"/>
    <x v="3"/>
    <x v="0"/>
    <n v="2755466733.4071422"/>
    <n v="1.7000000000000001E-2"/>
    <x v="48"/>
    <x v="0"/>
    <n v="1"/>
    <n v="1"/>
    <n v="2.1081479919890376E-2"/>
    <n v="1"/>
    <x v="240"/>
    <n v="1.6243235399750125E-5"/>
  </r>
  <r>
    <x v="0"/>
    <x v="5"/>
    <x v="3"/>
    <x v="1"/>
    <n v="2755466733.4071422"/>
    <n v="1.7000000000000001E-2"/>
    <x v="48"/>
    <x v="1"/>
    <n v="3"/>
    <n v="3"/>
    <n v="6.3244439759671131E-2"/>
    <n v="1"/>
    <x v="241"/>
    <n v="4.8729706199250371E-5"/>
  </r>
  <r>
    <x v="0"/>
    <x v="5"/>
    <x v="3"/>
    <x v="2"/>
    <n v="2755466733.4071422"/>
    <n v="1.7000000000000001E-2"/>
    <x v="48"/>
    <x v="2"/>
    <n v="5"/>
    <n v="5"/>
    <n v="0.10540739959945188"/>
    <n v="1"/>
    <x v="242"/>
    <n v="8.1216176998750607E-5"/>
  </r>
  <r>
    <x v="0"/>
    <x v="5"/>
    <x v="3"/>
    <x v="3"/>
    <n v="2755466733.4071422"/>
    <n v="1.7000000000000001E-2"/>
    <x v="48"/>
    <x v="3"/>
    <n v="7"/>
    <n v="7"/>
    <n v="0.14757035943923263"/>
    <n v="1"/>
    <x v="243"/>
    <n v="1.1370264779825086E-4"/>
  </r>
  <r>
    <x v="0"/>
    <x v="5"/>
    <x v="3"/>
    <x v="4"/>
    <n v="2755466733.4071422"/>
    <n v="1.7000000000000001E-2"/>
    <x v="48"/>
    <x v="4"/>
    <n v="32.770000000000003"/>
    <n v="31.435000000000002"/>
    <n v="0.66269632128175404"/>
    <n v="1"/>
    <x v="244"/>
    <n v="5.106061047911452E-4"/>
  </r>
  <r>
    <x v="0"/>
    <x v="5"/>
    <x v="4"/>
    <x v="0"/>
    <n v="2755466733.4071422"/>
    <n v="0.10375000000000002"/>
    <x v="49"/>
    <x v="0"/>
    <n v="1"/>
    <n v="1"/>
    <n v="2.1081479919890376E-2"/>
    <n v="1"/>
    <x v="245"/>
    <n v="9.9131510160239747E-5"/>
  </r>
  <r>
    <x v="0"/>
    <x v="5"/>
    <x v="4"/>
    <x v="1"/>
    <n v="2755466733.4071422"/>
    <n v="0.10375000000000002"/>
    <x v="49"/>
    <x v="1"/>
    <n v="3"/>
    <n v="3"/>
    <n v="6.3244439759671131E-2"/>
    <n v="1"/>
    <x v="246"/>
    <n v="2.9739453048071928E-4"/>
  </r>
  <r>
    <x v="0"/>
    <x v="5"/>
    <x v="4"/>
    <x v="2"/>
    <n v="2755466733.4071422"/>
    <n v="0.10375000000000002"/>
    <x v="49"/>
    <x v="2"/>
    <n v="5"/>
    <n v="5"/>
    <n v="0.10540739959945188"/>
    <n v="1"/>
    <x v="247"/>
    <n v="4.9565755080119864E-4"/>
  </r>
  <r>
    <x v="0"/>
    <x v="5"/>
    <x v="4"/>
    <x v="3"/>
    <n v="2755466733.4071422"/>
    <n v="0.10375000000000002"/>
    <x v="49"/>
    <x v="3"/>
    <n v="7"/>
    <n v="7"/>
    <n v="0.14757035943923263"/>
    <n v="1"/>
    <x v="248"/>
    <n v="6.9392057112167816E-4"/>
  </r>
  <r>
    <x v="0"/>
    <x v="5"/>
    <x v="4"/>
    <x v="4"/>
    <n v="2755466733.4071422"/>
    <n v="0.10375000000000002"/>
    <x v="49"/>
    <x v="4"/>
    <n v="32.770000000000003"/>
    <n v="31.435000000000002"/>
    <n v="0.66269632128175404"/>
    <n v="1"/>
    <x v="249"/>
    <n v="3.1161990218871367E-3"/>
  </r>
  <r>
    <x v="0"/>
    <x v="5"/>
    <x v="5"/>
    <x v="0"/>
    <n v="2755466733.4071422"/>
    <n v="7.0250000000000007E-2"/>
    <x v="50"/>
    <x v="0"/>
    <n v="1"/>
    <n v="1"/>
    <n v="2.1081479919890376E-2"/>
    <n v="1"/>
    <x v="250"/>
    <n v="6.7122781578379191E-5"/>
  </r>
  <r>
    <x v="0"/>
    <x v="5"/>
    <x v="5"/>
    <x v="1"/>
    <n v="2755466733.4071422"/>
    <n v="7.0250000000000007E-2"/>
    <x v="50"/>
    <x v="1"/>
    <n v="3"/>
    <n v="3"/>
    <n v="6.3244439759671131E-2"/>
    <n v="1"/>
    <x v="251"/>
    <n v="2.0136834473513757E-4"/>
  </r>
  <r>
    <x v="0"/>
    <x v="5"/>
    <x v="5"/>
    <x v="2"/>
    <n v="2755466733.4071422"/>
    <n v="7.0250000000000007E-2"/>
    <x v="50"/>
    <x v="2"/>
    <n v="5"/>
    <n v="5"/>
    <n v="0.10540739959945188"/>
    <n v="1"/>
    <x v="252"/>
    <n v="3.356139078918959E-4"/>
  </r>
  <r>
    <x v="0"/>
    <x v="5"/>
    <x v="5"/>
    <x v="3"/>
    <n v="2755466733.4071422"/>
    <n v="7.0250000000000007E-2"/>
    <x v="50"/>
    <x v="3"/>
    <n v="7"/>
    <n v="7"/>
    <n v="0.14757035943923263"/>
    <n v="1"/>
    <x v="253"/>
    <n v="4.6985947104865428E-4"/>
  </r>
  <r>
    <x v="0"/>
    <x v="5"/>
    <x v="5"/>
    <x v="4"/>
    <n v="2755466733.4071422"/>
    <n v="7.0250000000000007E-2"/>
    <x v="50"/>
    <x v="4"/>
    <n v="32.770000000000003"/>
    <n v="31.435000000000002"/>
    <n v="0.66269632128175404"/>
    <n v="1"/>
    <x v="254"/>
    <n v="2.1100046389163499E-3"/>
  </r>
  <r>
    <x v="0"/>
    <x v="5"/>
    <x v="6"/>
    <x v="0"/>
    <n v="2755466733.4071422"/>
    <n v="9.6374999999999988E-2"/>
    <x v="51"/>
    <x v="0"/>
    <n v="1"/>
    <n v="1"/>
    <n v="2.1081479919890376E-2"/>
    <n v="1"/>
    <x v="255"/>
    <n v="9.2084812450053991E-5"/>
  </r>
  <r>
    <x v="0"/>
    <x v="5"/>
    <x v="6"/>
    <x v="1"/>
    <n v="2755466733.4071422"/>
    <n v="9.6374999999999988E-2"/>
    <x v="51"/>
    <x v="1"/>
    <n v="3"/>
    <n v="3"/>
    <n v="6.3244439759671131E-2"/>
    <n v="1"/>
    <x v="256"/>
    <n v="2.7625443735016192E-4"/>
  </r>
  <r>
    <x v="0"/>
    <x v="5"/>
    <x v="6"/>
    <x v="2"/>
    <n v="2755466733.4071422"/>
    <n v="9.6374999999999988E-2"/>
    <x v="51"/>
    <x v="2"/>
    <n v="5"/>
    <n v="5"/>
    <n v="0.10540739959945188"/>
    <n v="1"/>
    <x v="257"/>
    <n v="4.604240622502699E-4"/>
  </r>
  <r>
    <x v="0"/>
    <x v="5"/>
    <x v="6"/>
    <x v="3"/>
    <n v="2755466733.4071422"/>
    <n v="9.6374999999999988E-2"/>
    <x v="51"/>
    <x v="3"/>
    <n v="7"/>
    <n v="7"/>
    <n v="0.14757035943923263"/>
    <n v="1"/>
    <x v="258"/>
    <n v="6.4459368715037799E-4"/>
  </r>
  <r>
    <x v="0"/>
    <x v="5"/>
    <x v="6"/>
    <x v="4"/>
    <n v="2755466733.4071422"/>
    <n v="9.6374999999999988E-2"/>
    <x v="51"/>
    <x v="4"/>
    <n v="32.770000000000003"/>
    <n v="31.435000000000002"/>
    <n v="0.66269632128175404"/>
    <n v="1"/>
    <x v="259"/>
    <n v="2.8946860793674476E-3"/>
  </r>
  <r>
    <x v="0"/>
    <x v="5"/>
    <x v="7"/>
    <x v="0"/>
    <n v="2755466733.4071422"/>
    <n v="2.2499999999999999E-2"/>
    <x v="52"/>
    <x v="0"/>
    <n v="1"/>
    <n v="1"/>
    <n v="2.1081479919890376E-2"/>
    <n v="1"/>
    <x v="260"/>
    <n v="2.1498399793786926E-5"/>
  </r>
  <r>
    <x v="0"/>
    <x v="5"/>
    <x v="7"/>
    <x v="1"/>
    <n v="2755466733.4071422"/>
    <n v="2.2499999999999999E-2"/>
    <x v="52"/>
    <x v="1"/>
    <n v="3"/>
    <n v="3"/>
    <n v="6.3244439759671131E-2"/>
    <n v="1"/>
    <x v="261"/>
    <n v="6.4495199381360771E-5"/>
  </r>
  <r>
    <x v="0"/>
    <x v="5"/>
    <x v="7"/>
    <x v="2"/>
    <n v="2755466733.4071422"/>
    <n v="2.2499999999999999E-2"/>
    <x v="52"/>
    <x v="2"/>
    <n v="5"/>
    <n v="5"/>
    <n v="0.10540739959945188"/>
    <n v="1"/>
    <x v="262"/>
    <n v="1.0749199896893462E-4"/>
  </r>
  <r>
    <x v="0"/>
    <x v="5"/>
    <x v="7"/>
    <x v="3"/>
    <n v="2755466733.4071422"/>
    <n v="2.2499999999999999E-2"/>
    <x v="52"/>
    <x v="3"/>
    <n v="7"/>
    <n v="7"/>
    <n v="0.14757035943923263"/>
    <n v="1"/>
    <x v="263"/>
    <n v="1.5048879855650849E-4"/>
  </r>
  <r>
    <x v="0"/>
    <x v="5"/>
    <x v="7"/>
    <x v="4"/>
    <n v="2755466733.4071422"/>
    <n v="2.2499999999999999E-2"/>
    <x v="52"/>
    <x v="4"/>
    <n v="32.770000000000003"/>
    <n v="31.435000000000002"/>
    <n v="0.66269632128175404"/>
    <n v="1"/>
    <x v="264"/>
    <n v="6.7580219751769196E-4"/>
  </r>
  <r>
    <x v="0"/>
    <x v="5"/>
    <x v="8"/>
    <x v="0"/>
    <n v="2755466733.4071422"/>
    <n v="9.1250000000000012E-2"/>
    <x v="53"/>
    <x v="0"/>
    <n v="1"/>
    <n v="1"/>
    <n v="2.1081479919890376E-2"/>
    <n v="1"/>
    <x v="265"/>
    <n v="8.7187954719246982E-5"/>
  </r>
  <r>
    <x v="0"/>
    <x v="5"/>
    <x v="8"/>
    <x v="1"/>
    <n v="2755466733.4071422"/>
    <n v="9.1250000000000012E-2"/>
    <x v="53"/>
    <x v="1"/>
    <n v="3"/>
    <n v="3"/>
    <n v="6.3244439759671131E-2"/>
    <n v="1"/>
    <x v="266"/>
    <n v="2.6156386415774095E-4"/>
  </r>
  <r>
    <x v="0"/>
    <x v="5"/>
    <x v="8"/>
    <x v="2"/>
    <n v="2755466733.4071422"/>
    <n v="9.1250000000000012E-2"/>
    <x v="53"/>
    <x v="2"/>
    <n v="5"/>
    <n v="5"/>
    <n v="0.10540739959945188"/>
    <n v="1"/>
    <x v="267"/>
    <n v="4.3593977359623486E-4"/>
  </r>
  <r>
    <x v="0"/>
    <x v="5"/>
    <x v="8"/>
    <x v="3"/>
    <n v="2755466733.4071422"/>
    <n v="9.1250000000000012E-2"/>
    <x v="53"/>
    <x v="3"/>
    <n v="7"/>
    <n v="7"/>
    <n v="0.14757035943923263"/>
    <n v="1"/>
    <x v="268"/>
    <n v="6.1031568303472887E-4"/>
  </r>
  <r>
    <x v="0"/>
    <x v="5"/>
    <x v="8"/>
    <x v="4"/>
    <n v="2755466733.4071422"/>
    <n v="9.1250000000000012E-2"/>
    <x v="53"/>
    <x v="4"/>
    <n v="32.770000000000003"/>
    <n v="31.435000000000002"/>
    <n v="0.66269632128175404"/>
    <n v="1"/>
    <x v="269"/>
    <n v="2.7407533565995293E-3"/>
  </r>
  <r>
    <x v="0"/>
    <x v="6"/>
    <x v="0"/>
    <x v="0"/>
    <n v="0"/>
    <n v="0.28824999999999995"/>
    <x v="54"/>
    <x v="0"/>
    <n v="1"/>
    <n v="1"/>
    <n v="2.1081479919890376E-2"/>
    <n v="1"/>
    <x v="270"/>
    <n v="0"/>
  </r>
  <r>
    <x v="0"/>
    <x v="6"/>
    <x v="0"/>
    <x v="1"/>
    <n v="0"/>
    <n v="0.28824999999999995"/>
    <x v="54"/>
    <x v="1"/>
    <n v="3"/>
    <n v="3"/>
    <n v="6.3244439759671131E-2"/>
    <n v="1"/>
    <x v="270"/>
    <n v="0"/>
  </r>
  <r>
    <x v="0"/>
    <x v="6"/>
    <x v="0"/>
    <x v="2"/>
    <n v="0"/>
    <n v="0.28824999999999995"/>
    <x v="54"/>
    <x v="2"/>
    <n v="5"/>
    <n v="5"/>
    <n v="0.10540739959945188"/>
    <n v="1"/>
    <x v="270"/>
    <n v="0"/>
  </r>
  <r>
    <x v="0"/>
    <x v="6"/>
    <x v="0"/>
    <x v="3"/>
    <n v="0"/>
    <n v="0.28824999999999995"/>
    <x v="54"/>
    <x v="3"/>
    <n v="7"/>
    <n v="7"/>
    <n v="0.14757035943923263"/>
    <n v="1"/>
    <x v="270"/>
    <n v="0"/>
  </r>
  <r>
    <x v="0"/>
    <x v="6"/>
    <x v="0"/>
    <x v="4"/>
    <n v="0"/>
    <n v="0.28824999999999995"/>
    <x v="54"/>
    <x v="4"/>
    <n v="32.770000000000003"/>
    <n v="31.435000000000002"/>
    <n v="0.66269632128175404"/>
    <n v="1"/>
    <x v="270"/>
    <n v="0"/>
  </r>
  <r>
    <x v="0"/>
    <x v="6"/>
    <x v="1"/>
    <x v="0"/>
    <n v="0"/>
    <n v="0.12437499999999999"/>
    <x v="54"/>
    <x v="0"/>
    <n v="1"/>
    <n v="1"/>
    <n v="2.1081479919890376E-2"/>
    <n v="1"/>
    <x v="270"/>
    <n v="0"/>
  </r>
  <r>
    <x v="0"/>
    <x v="6"/>
    <x v="1"/>
    <x v="1"/>
    <n v="0"/>
    <n v="0.12437499999999999"/>
    <x v="54"/>
    <x v="1"/>
    <n v="3"/>
    <n v="3"/>
    <n v="6.3244439759671131E-2"/>
    <n v="1"/>
    <x v="270"/>
    <n v="0"/>
  </r>
  <r>
    <x v="0"/>
    <x v="6"/>
    <x v="1"/>
    <x v="2"/>
    <n v="0"/>
    <n v="0.12437499999999999"/>
    <x v="54"/>
    <x v="2"/>
    <n v="5"/>
    <n v="5"/>
    <n v="0.10540739959945188"/>
    <n v="1"/>
    <x v="270"/>
    <n v="0"/>
  </r>
  <r>
    <x v="0"/>
    <x v="6"/>
    <x v="1"/>
    <x v="3"/>
    <n v="0"/>
    <n v="0.12437499999999999"/>
    <x v="54"/>
    <x v="3"/>
    <n v="7"/>
    <n v="7"/>
    <n v="0.14757035943923263"/>
    <n v="1"/>
    <x v="270"/>
    <n v="0"/>
  </r>
  <r>
    <x v="0"/>
    <x v="6"/>
    <x v="1"/>
    <x v="4"/>
    <n v="0"/>
    <n v="0.12437499999999999"/>
    <x v="54"/>
    <x v="4"/>
    <n v="32.770000000000003"/>
    <n v="31.435000000000002"/>
    <n v="0.66269632128175404"/>
    <n v="1"/>
    <x v="270"/>
    <n v="0"/>
  </r>
  <r>
    <x v="0"/>
    <x v="6"/>
    <x v="2"/>
    <x v="0"/>
    <n v="0"/>
    <n v="0.18625"/>
    <x v="54"/>
    <x v="0"/>
    <n v="1"/>
    <n v="1"/>
    <n v="2.1081479919890376E-2"/>
    <n v="1"/>
    <x v="270"/>
    <n v="0"/>
  </r>
  <r>
    <x v="0"/>
    <x v="6"/>
    <x v="2"/>
    <x v="1"/>
    <n v="0"/>
    <n v="0.18625"/>
    <x v="54"/>
    <x v="1"/>
    <n v="3"/>
    <n v="3"/>
    <n v="6.3244439759671131E-2"/>
    <n v="1"/>
    <x v="270"/>
    <n v="0"/>
  </r>
  <r>
    <x v="0"/>
    <x v="6"/>
    <x v="2"/>
    <x v="2"/>
    <n v="0"/>
    <n v="0.18625"/>
    <x v="54"/>
    <x v="2"/>
    <n v="5"/>
    <n v="5"/>
    <n v="0.10540739959945188"/>
    <n v="1"/>
    <x v="270"/>
    <n v="0"/>
  </r>
  <r>
    <x v="0"/>
    <x v="6"/>
    <x v="2"/>
    <x v="3"/>
    <n v="0"/>
    <n v="0.18625"/>
    <x v="54"/>
    <x v="3"/>
    <n v="7"/>
    <n v="7"/>
    <n v="0.14757035943923263"/>
    <n v="1"/>
    <x v="270"/>
    <n v="0"/>
  </r>
  <r>
    <x v="0"/>
    <x v="6"/>
    <x v="2"/>
    <x v="4"/>
    <n v="0"/>
    <n v="0.18625"/>
    <x v="54"/>
    <x v="4"/>
    <n v="32.770000000000003"/>
    <n v="31.435000000000002"/>
    <n v="0.66269632128175404"/>
    <n v="1"/>
    <x v="270"/>
    <n v="0"/>
  </r>
  <r>
    <x v="0"/>
    <x v="6"/>
    <x v="3"/>
    <x v="0"/>
    <n v="0"/>
    <n v="1.7000000000000001E-2"/>
    <x v="54"/>
    <x v="0"/>
    <n v="1"/>
    <n v="1"/>
    <n v="2.1081479919890376E-2"/>
    <n v="1"/>
    <x v="270"/>
    <n v="0"/>
  </r>
  <r>
    <x v="0"/>
    <x v="6"/>
    <x v="3"/>
    <x v="1"/>
    <n v="0"/>
    <n v="1.7000000000000001E-2"/>
    <x v="54"/>
    <x v="1"/>
    <n v="3"/>
    <n v="3"/>
    <n v="6.3244439759671131E-2"/>
    <n v="1"/>
    <x v="270"/>
    <n v="0"/>
  </r>
  <r>
    <x v="0"/>
    <x v="6"/>
    <x v="3"/>
    <x v="2"/>
    <n v="0"/>
    <n v="1.7000000000000001E-2"/>
    <x v="54"/>
    <x v="2"/>
    <n v="5"/>
    <n v="5"/>
    <n v="0.10540739959945188"/>
    <n v="1"/>
    <x v="270"/>
    <n v="0"/>
  </r>
  <r>
    <x v="0"/>
    <x v="6"/>
    <x v="3"/>
    <x v="3"/>
    <n v="0"/>
    <n v="1.7000000000000001E-2"/>
    <x v="54"/>
    <x v="3"/>
    <n v="7"/>
    <n v="7"/>
    <n v="0.14757035943923263"/>
    <n v="1"/>
    <x v="270"/>
    <n v="0"/>
  </r>
  <r>
    <x v="0"/>
    <x v="6"/>
    <x v="3"/>
    <x v="4"/>
    <n v="0"/>
    <n v="1.7000000000000001E-2"/>
    <x v="54"/>
    <x v="4"/>
    <n v="32.770000000000003"/>
    <n v="31.435000000000002"/>
    <n v="0.66269632128175404"/>
    <n v="1"/>
    <x v="270"/>
    <n v="0"/>
  </r>
  <r>
    <x v="0"/>
    <x v="6"/>
    <x v="4"/>
    <x v="0"/>
    <n v="0"/>
    <n v="0.10375000000000002"/>
    <x v="54"/>
    <x v="0"/>
    <n v="1"/>
    <n v="1"/>
    <n v="2.1081479919890376E-2"/>
    <n v="1"/>
    <x v="270"/>
    <n v="0"/>
  </r>
  <r>
    <x v="0"/>
    <x v="6"/>
    <x v="4"/>
    <x v="1"/>
    <n v="0"/>
    <n v="0.10375000000000002"/>
    <x v="54"/>
    <x v="1"/>
    <n v="3"/>
    <n v="3"/>
    <n v="6.3244439759671131E-2"/>
    <n v="1"/>
    <x v="270"/>
    <n v="0"/>
  </r>
  <r>
    <x v="0"/>
    <x v="6"/>
    <x v="4"/>
    <x v="2"/>
    <n v="0"/>
    <n v="0.10375000000000002"/>
    <x v="54"/>
    <x v="2"/>
    <n v="5"/>
    <n v="5"/>
    <n v="0.10540739959945188"/>
    <n v="1"/>
    <x v="270"/>
    <n v="0"/>
  </r>
  <r>
    <x v="0"/>
    <x v="6"/>
    <x v="4"/>
    <x v="3"/>
    <n v="0"/>
    <n v="0.10375000000000002"/>
    <x v="54"/>
    <x v="3"/>
    <n v="7"/>
    <n v="7"/>
    <n v="0.14757035943923263"/>
    <n v="1"/>
    <x v="270"/>
    <n v="0"/>
  </r>
  <r>
    <x v="0"/>
    <x v="6"/>
    <x v="4"/>
    <x v="4"/>
    <n v="0"/>
    <n v="0.10375000000000002"/>
    <x v="54"/>
    <x v="4"/>
    <n v="32.770000000000003"/>
    <n v="31.435000000000002"/>
    <n v="0.66269632128175404"/>
    <n v="1"/>
    <x v="270"/>
    <n v="0"/>
  </r>
  <r>
    <x v="0"/>
    <x v="6"/>
    <x v="5"/>
    <x v="0"/>
    <n v="0"/>
    <n v="7.0250000000000007E-2"/>
    <x v="54"/>
    <x v="0"/>
    <n v="1"/>
    <n v="1"/>
    <n v="2.1081479919890376E-2"/>
    <n v="1"/>
    <x v="270"/>
    <n v="0"/>
  </r>
  <r>
    <x v="0"/>
    <x v="6"/>
    <x v="5"/>
    <x v="1"/>
    <n v="0"/>
    <n v="7.0250000000000007E-2"/>
    <x v="54"/>
    <x v="1"/>
    <n v="3"/>
    <n v="3"/>
    <n v="6.3244439759671131E-2"/>
    <n v="1"/>
    <x v="270"/>
    <n v="0"/>
  </r>
  <r>
    <x v="0"/>
    <x v="6"/>
    <x v="5"/>
    <x v="2"/>
    <n v="0"/>
    <n v="7.0250000000000007E-2"/>
    <x v="54"/>
    <x v="2"/>
    <n v="5"/>
    <n v="5"/>
    <n v="0.10540739959945188"/>
    <n v="1"/>
    <x v="270"/>
    <n v="0"/>
  </r>
  <r>
    <x v="0"/>
    <x v="6"/>
    <x v="5"/>
    <x v="3"/>
    <n v="0"/>
    <n v="7.0250000000000007E-2"/>
    <x v="54"/>
    <x v="3"/>
    <n v="7"/>
    <n v="7"/>
    <n v="0.14757035943923263"/>
    <n v="1"/>
    <x v="270"/>
    <n v="0"/>
  </r>
  <r>
    <x v="0"/>
    <x v="6"/>
    <x v="5"/>
    <x v="4"/>
    <n v="0"/>
    <n v="7.0250000000000007E-2"/>
    <x v="54"/>
    <x v="4"/>
    <n v="32.770000000000003"/>
    <n v="31.435000000000002"/>
    <n v="0.66269632128175404"/>
    <n v="1"/>
    <x v="270"/>
    <n v="0"/>
  </r>
  <r>
    <x v="0"/>
    <x v="6"/>
    <x v="6"/>
    <x v="0"/>
    <n v="0"/>
    <n v="9.6374999999999988E-2"/>
    <x v="54"/>
    <x v="0"/>
    <n v="1"/>
    <n v="1"/>
    <n v="2.1081479919890376E-2"/>
    <n v="1"/>
    <x v="270"/>
    <n v="0"/>
  </r>
  <r>
    <x v="0"/>
    <x v="6"/>
    <x v="6"/>
    <x v="1"/>
    <n v="0"/>
    <n v="9.6374999999999988E-2"/>
    <x v="54"/>
    <x v="1"/>
    <n v="3"/>
    <n v="3"/>
    <n v="6.3244439759671131E-2"/>
    <n v="1"/>
    <x v="270"/>
    <n v="0"/>
  </r>
  <r>
    <x v="0"/>
    <x v="6"/>
    <x v="6"/>
    <x v="2"/>
    <n v="0"/>
    <n v="9.6374999999999988E-2"/>
    <x v="54"/>
    <x v="2"/>
    <n v="5"/>
    <n v="5"/>
    <n v="0.10540739959945188"/>
    <n v="1"/>
    <x v="270"/>
    <n v="0"/>
  </r>
  <r>
    <x v="0"/>
    <x v="6"/>
    <x v="6"/>
    <x v="3"/>
    <n v="0"/>
    <n v="9.6374999999999988E-2"/>
    <x v="54"/>
    <x v="3"/>
    <n v="7"/>
    <n v="7"/>
    <n v="0.14757035943923263"/>
    <n v="1"/>
    <x v="270"/>
    <n v="0"/>
  </r>
  <r>
    <x v="0"/>
    <x v="6"/>
    <x v="6"/>
    <x v="4"/>
    <n v="0"/>
    <n v="9.6374999999999988E-2"/>
    <x v="54"/>
    <x v="4"/>
    <n v="32.770000000000003"/>
    <n v="31.435000000000002"/>
    <n v="0.66269632128175404"/>
    <n v="1"/>
    <x v="270"/>
    <n v="0"/>
  </r>
  <r>
    <x v="0"/>
    <x v="6"/>
    <x v="7"/>
    <x v="0"/>
    <n v="0"/>
    <n v="2.2499999999999999E-2"/>
    <x v="54"/>
    <x v="0"/>
    <n v="1"/>
    <n v="1"/>
    <n v="2.1081479919890376E-2"/>
    <n v="1"/>
    <x v="270"/>
    <n v="0"/>
  </r>
  <r>
    <x v="0"/>
    <x v="6"/>
    <x v="7"/>
    <x v="1"/>
    <n v="0"/>
    <n v="2.2499999999999999E-2"/>
    <x v="54"/>
    <x v="1"/>
    <n v="3"/>
    <n v="3"/>
    <n v="6.3244439759671131E-2"/>
    <n v="1"/>
    <x v="270"/>
    <n v="0"/>
  </r>
  <r>
    <x v="0"/>
    <x v="6"/>
    <x v="7"/>
    <x v="2"/>
    <n v="0"/>
    <n v="2.2499999999999999E-2"/>
    <x v="54"/>
    <x v="2"/>
    <n v="5"/>
    <n v="5"/>
    <n v="0.10540739959945188"/>
    <n v="1"/>
    <x v="270"/>
    <n v="0"/>
  </r>
  <r>
    <x v="0"/>
    <x v="6"/>
    <x v="7"/>
    <x v="3"/>
    <n v="0"/>
    <n v="2.2499999999999999E-2"/>
    <x v="54"/>
    <x v="3"/>
    <n v="7"/>
    <n v="7"/>
    <n v="0.14757035943923263"/>
    <n v="1"/>
    <x v="270"/>
    <n v="0"/>
  </r>
  <r>
    <x v="0"/>
    <x v="6"/>
    <x v="7"/>
    <x v="4"/>
    <n v="0"/>
    <n v="2.2499999999999999E-2"/>
    <x v="54"/>
    <x v="4"/>
    <n v="32.770000000000003"/>
    <n v="31.435000000000002"/>
    <n v="0.66269632128175404"/>
    <n v="1"/>
    <x v="270"/>
    <n v="0"/>
  </r>
  <r>
    <x v="0"/>
    <x v="6"/>
    <x v="8"/>
    <x v="0"/>
    <n v="0"/>
    <n v="9.1250000000000012E-2"/>
    <x v="54"/>
    <x v="0"/>
    <n v="1"/>
    <n v="1"/>
    <n v="2.1081479919890376E-2"/>
    <n v="1"/>
    <x v="270"/>
    <n v="0"/>
  </r>
  <r>
    <x v="0"/>
    <x v="6"/>
    <x v="8"/>
    <x v="1"/>
    <n v="0"/>
    <n v="9.1250000000000012E-2"/>
    <x v="54"/>
    <x v="1"/>
    <n v="3"/>
    <n v="3"/>
    <n v="6.3244439759671131E-2"/>
    <n v="1"/>
    <x v="270"/>
    <n v="0"/>
  </r>
  <r>
    <x v="0"/>
    <x v="6"/>
    <x v="8"/>
    <x v="2"/>
    <n v="0"/>
    <n v="9.1250000000000012E-2"/>
    <x v="54"/>
    <x v="2"/>
    <n v="5"/>
    <n v="5"/>
    <n v="0.10540739959945188"/>
    <n v="1"/>
    <x v="270"/>
    <n v="0"/>
  </r>
  <r>
    <x v="0"/>
    <x v="6"/>
    <x v="8"/>
    <x v="3"/>
    <n v="0"/>
    <n v="9.1250000000000012E-2"/>
    <x v="54"/>
    <x v="3"/>
    <n v="7"/>
    <n v="7"/>
    <n v="0.14757035943923263"/>
    <n v="1"/>
    <x v="270"/>
    <n v="0"/>
  </r>
  <r>
    <x v="0"/>
    <x v="6"/>
    <x v="8"/>
    <x v="4"/>
    <n v="0"/>
    <n v="9.1250000000000012E-2"/>
    <x v="54"/>
    <x v="4"/>
    <n v="32.770000000000003"/>
    <n v="31.435000000000002"/>
    <n v="0.66269632128175404"/>
    <n v="1"/>
    <x v="270"/>
    <n v="0"/>
  </r>
  <r>
    <x v="0"/>
    <x v="7"/>
    <x v="0"/>
    <x v="0"/>
    <n v="5875413924.046442"/>
    <n v="0.52124999999999999"/>
    <x v="55"/>
    <x v="0"/>
    <n v="1"/>
    <n v="1"/>
    <n v="2.1081479919890376E-2"/>
    <n v="1"/>
    <x v="271"/>
    <n v="1.0619717910025194E-3"/>
  </r>
  <r>
    <x v="0"/>
    <x v="7"/>
    <x v="0"/>
    <x v="1"/>
    <n v="5875413924.046442"/>
    <n v="0.52124999999999999"/>
    <x v="55"/>
    <x v="1"/>
    <n v="3"/>
    <n v="3"/>
    <n v="6.3244439759671131E-2"/>
    <n v="1"/>
    <x v="272"/>
    <n v="3.1859153730075585E-3"/>
  </r>
  <r>
    <x v="0"/>
    <x v="7"/>
    <x v="0"/>
    <x v="2"/>
    <n v="5875413924.046442"/>
    <n v="0.52124999999999999"/>
    <x v="55"/>
    <x v="2"/>
    <n v="5"/>
    <n v="5"/>
    <n v="0.10540739959945188"/>
    <n v="1"/>
    <x v="273"/>
    <n v="5.3098589550125974E-3"/>
  </r>
  <r>
    <x v="0"/>
    <x v="7"/>
    <x v="0"/>
    <x v="3"/>
    <n v="5875413924.046442"/>
    <n v="0.52124999999999999"/>
    <x v="55"/>
    <x v="3"/>
    <n v="7"/>
    <n v="7"/>
    <n v="0.14757035943923263"/>
    <n v="1"/>
    <x v="274"/>
    <n v="7.4338025370176359E-3"/>
  </r>
  <r>
    <x v="0"/>
    <x v="7"/>
    <x v="0"/>
    <x v="4"/>
    <n v="5875413924.046442"/>
    <n v="0.52124999999999999"/>
    <x v="55"/>
    <x v="4"/>
    <n v="32.770000000000003"/>
    <n v="31.435000000000002"/>
    <n v="0.66269632128175404"/>
    <n v="1"/>
    <x v="275"/>
    <n v="3.3383083250164203E-2"/>
  </r>
  <r>
    <x v="0"/>
    <x v="7"/>
    <x v="1"/>
    <x v="0"/>
    <n v="5875413924.046442"/>
    <n v="1.7250000000000001E-2"/>
    <x v="56"/>
    <x v="0"/>
    <n v="1"/>
    <n v="1"/>
    <n v="2.1081479919890376E-2"/>
    <n v="1"/>
    <x v="276"/>
    <n v="3.5144390205838772E-5"/>
  </r>
  <r>
    <x v="0"/>
    <x v="7"/>
    <x v="1"/>
    <x v="1"/>
    <n v="5875413924.046442"/>
    <n v="1.7250000000000001E-2"/>
    <x v="56"/>
    <x v="1"/>
    <n v="3"/>
    <n v="3"/>
    <n v="6.3244439759671131E-2"/>
    <n v="1"/>
    <x v="277"/>
    <n v="1.0543317061751634E-4"/>
  </r>
  <r>
    <x v="0"/>
    <x v="7"/>
    <x v="1"/>
    <x v="2"/>
    <n v="5875413924.046442"/>
    <n v="1.7250000000000001E-2"/>
    <x v="56"/>
    <x v="2"/>
    <n v="5"/>
    <n v="5"/>
    <n v="0.10540739959945188"/>
    <n v="1"/>
    <x v="278"/>
    <n v="1.7572195102919387E-4"/>
  </r>
  <r>
    <x v="0"/>
    <x v="7"/>
    <x v="1"/>
    <x v="3"/>
    <n v="5875413924.046442"/>
    <n v="1.7250000000000001E-2"/>
    <x v="56"/>
    <x v="3"/>
    <n v="7"/>
    <n v="7"/>
    <n v="0.14757035943923263"/>
    <n v="1"/>
    <x v="279"/>
    <n v="2.4601073144087142E-4"/>
  </r>
  <r>
    <x v="0"/>
    <x v="7"/>
    <x v="1"/>
    <x v="4"/>
    <n v="5875413924.046442"/>
    <n v="1.7250000000000001E-2"/>
    <x v="56"/>
    <x v="4"/>
    <n v="32.770000000000003"/>
    <n v="31.435000000000002"/>
    <n v="0.66269632128175404"/>
    <n v="1"/>
    <x v="280"/>
    <n v="1.104763906120542E-3"/>
  </r>
  <r>
    <x v="0"/>
    <x v="7"/>
    <x v="2"/>
    <x v="0"/>
    <n v="5875413924.046442"/>
    <n v="9.5499999999999988E-2"/>
    <x v="57"/>
    <x v="0"/>
    <n v="1"/>
    <n v="1"/>
    <n v="2.1081479919890376E-2"/>
    <n v="1"/>
    <x v="281"/>
    <n v="1.9456749360333928E-4"/>
  </r>
  <r>
    <x v="0"/>
    <x v="7"/>
    <x v="2"/>
    <x v="1"/>
    <n v="5875413924.046442"/>
    <n v="9.5499999999999988E-2"/>
    <x v="57"/>
    <x v="1"/>
    <n v="3"/>
    <n v="3"/>
    <n v="6.3244439759671131E-2"/>
    <n v="1"/>
    <x v="282"/>
    <n v="5.8370248081001785E-4"/>
  </r>
  <r>
    <x v="0"/>
    <x v="7"/>
    <x v="2"/>
    <x v="2"/>
    <n v="5875413924.046442"/>
    <n v="9.5499999999999988E-2"/>
    <x v="57"/>
    <x v="2"/>
    <n v="5"/>
    <n v="5"/>
    <n v="0.10540739959945188"/>
    <n v="1"/>
    <x v="283"/>
    <n v="9.7283746801669641E-4"/>
  </r>
  <r>
    <x v="0"/>
    <x v="7"/>
    <x v="2"/>
    <x v="3"/>
    <n v="5875413924.046442"/>
    <n v="9.5499999999999988E-2"/>
    <x v="57"/>
    <x v="3"/>
    <n v="7"/>
    <n v="7"/>
    <n v="0.14757035943923263"/>
    <n v="1"/>
    <x v="284"/>
    <n v="1.361972455223375E-3"/>
  </r>
  <r>
    <x v="0"/>
    <x v="7"/>
    <x v="2"/>
    <x v="4"/>
    <n v="5875413924.046442"/>
    <n v="9.5499999999999988E-2"/>
    <x v="57"/>
    <x v="4"/>
    <n v="32.770000000000003"/>
    <n v="31.435000000000002"/>
    <n v="0.66269632128175404"/>
    <n v="1"/>
    <x v="285"/>
    <n v="6.1162291614209711E-3"/>
  </r>
  <r>
    <x v="0"/>
    <x v="7"/>
    <x v="3"/>
    <x v="0"/>
    <n v="5875413924.046442"/>
    <n v="3.3750000000000002E-2"/>
    <x v="58"/>
    <x v="0"/>
    <n v="1"/>
    <n v="1"/>
    <n v="2.1081479919890376E-2"/>
    <n v="1"/>
    <x v="286"/>
    <n v="6.8760763446206304E-5"/>
  </r>
  <r>
    <x v="0"/>
    <x v="7"/>
    <x v="3"/>
    <x v="1"/>
    <n v="5875413924.046442"/>
    <n v="3.3750000000000002E-2"/>
    <x v="58"/>
    <x v="1"/>
    <n v="3"/>
    <n v="3"/>
    <n v="6.3244439759671131E-2"/>
    <n v="1"/>
    <x v="287"/>
    <n v="2.0628229033861891E-4"/>
  </r>
  <r>
    <x v="0"/>
    <x v="7"/>
    <x v="3"/>
    <x v="2"/>
    <n v="5875413924.046442"/>
    <n v="3.3750000000000002E-2"/>
    <x v="58"/>
    <x v="2"/>
    <n v="5"/>
    <n v="5"/>
    <n v="0.10540739959945188"/>
    <n v="1"/>
    <x v="288"/>
    <n v="3.4380381723103149E-4"/>
  </r>
  <r>
    <x v="0"/>
    <x v="7"/>
    <x v="3"/>
    <x v="3"/>
    <n v="5875413924.046442"/>
    <n v="3.3750000000000002E-2"/>
    <x v="58"/>
    <x v="3"/>
    <n v="7"/>
    <n v="7"/>
    <n v="0.14757035943923263"/>
    <n v="1"/>
    <x v="289"/>
    <n v="4.813253441234441E-4"/>
  </r>
  <r>
    <x v="0"/>
    <x v="7"/>
    <x v="3"/>
    <x v="4"/>
    <n v="5875413924.046442"/>
    <n v="3.3750000000000002E-2"/>
    <x v="58"/>
    <x v="4"/>
    <n v="32.770000000000003"/>
    <n v="31.435000000000002"/>
    <n v="0.66269632128175404"/>
    <n v="1"/>
    <x v="290"/>
    <n v="2.161494598931495E-3"/>
  </r>
  <r>
    <x v="0"/>
    <x v="7"/>
    <x v="4"/>
    <x v="0"/>
    <n v="5875413924.046442"/>
    <n v="6.6500000000000004E-2"/>
    <x v="59"/>
    <x v="0"/>
    <n v="1"/>
    <n v="1"/>
    <n v="2.1081479919890376E-2"/>
    <n v="1"/>
    <x v="291"/>
    <n v="1.3548417093845093E-4"/>
  </r>
  <r>
    <x v="0"/>
    <x v="7"/>
    <x v="4"/>
    <x v="1"/>
    <n v="5875413924.046442"/>
    <n v="6.6500000000000004E-2"/>
    <x v="59"/>
    <x v="1"/>
    <n v="3"/>
    <n v="3"/>
    <n v="6.3244439759671131E-2"/>
    <n v="1"/>
    <x v="292"/>
    <n v="4.0645251281535281E-4"/>
  </r>
  <r>
    <x v="0"/>
    <x v="7"/>
    <x v="4"/>
    <x v="2"/>
    <n v="5875413924.046442"/>
    <n v="6.6500000000000004E-2"/>
    <x v="59"/>
    <x v="2"/>
    <n v="5"/>
    <n v="5"/>
    <n v="0.10540739959945188"/>
    <n v="1"/>
    <x v="293"/>
    <n v="6.7742085469225466E-4"/>
  </r>
  <r>
    <x v="0"/>
    <x v="7"/>
    <x v="4"/>
    <x v="3"/>
    <n v="5875413924.046442"/>
    <n v="6.6500000000000004E-2"/>
    <x v="59"/>
    <x v="3"/>
    <n v="7"/>
    <n v="7"/>
    <n v="0.14757035943923263"/>
    <n v="1"/>
    <x v="294"/>
    <n v="9.4838919656915657E-4"/>
  </r>
  <r>
    <x v="0"/>
    <x v="7"/>
    <x v="4"/>
    <x v="4"/>
    <n v="5875413924.046442"/>
    <n v="6.6500000000000004E-2"/>
    <x v="59"/>
    <x v="4"/>
    <n v="32.770000000000003"/>
    <n v="31.435000000000002"/>
    <n v="0.66269632128175404"/>
    <n v="1"/>
    <x v="295"/>
    <n v="4.2589449134502059E-3"/>
  </r>
  <r>
    <x v="0"/>
    <x v="7"/>
    <x v="5"/>
    <x v="0"/>
    <n v="5875413924.046442"/>
    <n v="6.8500000000000005E-2"/>
    <x v="60"/>
    <x v="0"/>
    <n v="1"/>
    <n v="1"/>
    <n v="2.1081479919890376E-2"/>
    <n v="1"/>
    <x v="296"/>
    <n v="1.3955888284637429E-4"/>
  </r>
  <r>
    <x v="0"/>
    <x v="7"/>
    <x v="5"/>
    <x v="1"/>
    <n v="5875413924.046442"/>
    <n v="6.8500000000000005E-2"/>
    <x v="60"/>
    <x v="1"/>
    <n v="3"/>
    <n v="3"/>
    <n v="6.3244439759671131E-2"/>
    <n v="1"/>
    <x v="297"/>
    <n v="4.1867664853912284E-4"/>
  </r>
  <r>
    <x v="0"/>
    <x v="7"/>
    <x v="5"/>
    <x v="2"/>
    <n v="5875413924.046442"/>
    <n v="6.8500000000000005E-2"/>
    <x v="60"/>
    <x v="2"/>
    <n v="5"/>
    <n v="5"/>
    <n v="0.10540739959945188"/>
    <n v="1"/>
    <x v="298"/>
    <n v="6.9779441423187131E-4"/>
  </r>
  <r>
    <x v="0"/>
    <x v="7"/>
    <x v="5"/>
    <x v="3"/>
    <n v="5875413924.046442"/>
    <n v="6.8500000000000005E-2"/>
    <x v="60"/>
    <x v="3"/>
    <n v="7"/>
    <n v="7"/>
    <n v="0.14757035943923263"/>
    <n v="1"/>
    <x v="299"/>
    <n v="9.7691217992461983E-4"/>
  </r>
  <r>
    <x v="0"/>
    <x v="7"/>
    <x v="5"/>
    <x v="4"/>
    <n v="5875413924.046442"/>
    <n v="6.8500000000000005E-2"/>
    <x v="60"/>
    <x v="4"/>
    <n v="32.770000000000003"/>
    <n v="31.435000000000002"/>
    <n v="0.66269632128175404"/>
    <n v="1"/>
    <x v="300"/>
    <n v="4.387033482275776E-3"/>
  </r>
  <r>
    <x v="0"/>
    <x v="7"/>
    <x v="6"/>
    <x v="0"/>
    <n v="5875413924.046442"/>
    <n v="8.8250000000000009E-2"/>
    <x v="61"/>
    <x v="0"/>
    <n v="1"/>
    <n v="1"/>
    <n v="2.1081479919890376E-2"/>
    <n v="1"/>
    <x v="301"/>
    <n v="1.7979666293711723E-4"/>
  </r>
  <r>
    <x v="0"/>
    <x v="7"/>
    <x v="6"/>
    <x v="1"/>
    <n v="5875413924.046442"/>
    <n v="8.8250000000000009E-2"/>
    <x v="61"/>
    <x v="1"/>
    <n v="3"/>
    <n v="3"/>
    <n v="6.3244439759671131E-2"/>
    <n v="1"/>
    <x v="302"/>
    <n v="5.3938998881135174E-4"/>
  </r>
  <r>
    <x v="0"/>
    <x v="7"/>
    <x v="6"/>
    <x v="2"/>
    <n v="5875413924.046442"/>
    <n v="8.8250000000000009E-2"/>
    <x v="61"/>
    <x v="2"/>
    <n v="5"/>
    <n v="5"/>
    <n v="0.10540739959945188"/>
    <n v="1"/>
    <x v="303"/>
    <n v="8.9898331468558608E-4"/>
  </r>
  <r>
    <x v="0"/>
    <x v="7"/>
    <x v="6"/>
    <x v="3"/>
    <n v="5875413924.046442"/>
    <n v="8.8250000000000009E-2"/>
    <x v="61"/>
    <x v="3"/>
    <n v="7"/>
    <n v="7"/>
    <n v="0.14757035943923263"/>
    <n v="1"/>
    <x v="304"/>
    <n v="1.2585766405598206E-3"/>
  </r>
  <r>
    <x v="0"/>
    <x v="7"/>
    <x v="6"/>
    <x v="4"/>
    <n v="5875413924.046442"/>
    <n v="8.8250000000000009E-2"/>
    <x v="61"/>
    <x v="4"/>
    <n v="32.770000000000003"/>
    <n v="31.435000000000002"/>
    <n v="0.66269632128175404"/>
    <n v="1"/>
    <x v="305"/>
    <n v="5.6519080994282813E-3"/>
  </r>
  <r>
    <x v="0"/>
    <x v="7"/>
    <x v="7"/>
    <x v="0"/>
    <n v="5875413924.046442"/>
    <n v="4.8249999999999994E-2"/>
    <x v="62"/>
    <x v="0"/>
    <n v="1"/>
    <n v="1"/>
    <n v="2.1081479919890376E-2"/>
    <n v="1"/>
    <x v="306"/>
    <n v="9.8302424778650468E-5"/>
  </r>
  <r>
    <x v="0"/>
    <x v="7"/>
    <x v="7"/>
    <x v="1"/>
    <n v="5875413924.046442"/>
    <n v="4.8249999999999994E-2"/>
    <x v="62"/>
    <x v="1"/>
    <n v="3"/>
    <n v="3"/>
    <n v="6.3244439759671131E-2"/>
    <n v="1"/>
    <x v="307"/>
    <n v="2.9490727433595143E-4"/>
  </r>
  <r>
    <x v="0"/>
    <x v="7"/>
    <x v="7"/>
    <x v="2"/>
    <n v="5875413924.046442"/>
    <n v="4.8249999999999994E-2"/>
    <x v="62"/>
    <x v="2"/>
    <n v="5"/>
    <n v="5"/>
    <n v="0.10540739959945188"/>
    <n v="1"/>
    <x v="308"/>
    <n v="4.9151212389325226E-4"/>
  </r>
  <r>
    <x v="0"/>
    <x v="7"/>
    <x v="7"/>
    <x v="3"/>
    <n v="5875413924.046442"/>
    <n v="4.8249999999999994E-2"/>
    <x v="62"/>
    <x v="3"/>
    <n v="7"/>
    <n v="7"/>
    <n v="0.14757035943923263"/>
    <n v="1"/>
    <x v="309"/>
    <n v="6.8811697345055325E-4"/>
  </r>
  <r>
    <x v="0"/>
    <x v="7"/>
    <x v="7"/>
    <x v="4"/>
    <n v="5875413924.046442"/>
    <n v="4.8249999999999994E-2"/>
    <x v="62"/>
    <x v="4"/>
    <n v="32.770000000000003"/>
    <n v="31.435000000000002"/>
    <n v="0.66269632128175404"/>
    <n v="1"/>
    <x v="310"/>
    <n v="3.0901367229168781E-3"/>
  </r>
  <r>
    <x v="0"/>
    <x v="7"/>
    <x v="8"/>
    <x v="0"/>
    <n v="5875413924.046442"/>
    <n v="6.0749999999999998E-2"/>
    <x v="63"/>
    <x v="0"/>
    <n v="1"/>
    <n v="1"/>
    <n v="2.1081479919890376E-2"/>
    <n v="1"/>
    <x v="311"/>
    <n v="1.2376937420317133E-4"/>
  </r>
  <r>
    <x v="0"/>
    <x v="7"/>
    <x v="8"/>
    <x v="1"/>
    <n v="5875413924.046442"/>
    <n v="6.0749999999999998E-2"/>
    <x v="63"/>
    <x v="1"/>
    <n v="3"/>
    <n v="3"/>
    <n v="6.3244439759671131E-2"/>
    <n v="1"/>
    <x v="312"/>
    <n v="3.71308122609514E-4"/>
  </r>
  <r>
    <x v="0"/>
    <x v="7"/>
    <x v="8"/>
    <x v="2"/>
    <n v="5875413924.046442"/>
    <n v="6.0749999999999998E-2"/>
    <x v="63"/>
    <x v="2"/>
    <n v="5"/>
    <n v="5"/>
    <n v="0.10540739959945188"/>
    <n v="1"/>
    <x v="313"/>
    <n v="6.188468710158566E-4"/>
  </r>
  <r>
    <x v="0"/>
    <x v="7"/>
    <x v="8"/>
    <x v="3"/>
    <n v="5875413924.046442"/>
    <n v="6.0749999999999998E-2"/>
    <x v="63"/>
    <x v="3"/>
    <n v="7"/>
    <n v="7"/>
    <n v="0.14757035943923263"/>
    <n v="1"/>
    <x v="314"/>
    <n v="8.663856194221993E-4"/>
  </r>
  <r>
    <x v="0"/>
    <x v="7"/>
    <x v="8"/>
    <x v="4"/>
    <n v="5875413924.046442"/>
    <n v="6.0749999999999998E-2"/>
    <x v="63"/>
    <x v="4"/>
    <n v="32.770000000000003"/>
    <n v="31.435000000000002"/>
    <n v="0.66269632128175404"/>
    <n v="1"/>
    <x v="315"/>
    <n v="3.8906902780766915E-3"/>
  </r>
  <r>
    <x v="1"/>
    <x v="0"/>
    <x v="0"/>
    <x v="0"/>
    <n v="37448909302.314651"/>
    <n v="0.24349999999999997"/>
    <x v="64"/>
    <x v="0"/>
    <n v="1"/>
    <n v="1"/>
    <n v="2.0300446609825416E-2"/>
    <n v="1"/>
    <x v="316"/>
    <n v="3.5759536521437511E-3"/>
  </r>
  <r>
    <x v="1"/>
    <x v="0"/>
    <x v="0"/>
    <x v="1"/>
    <n v="37448909302.314651"/>
    <n v="0.24349999999999997"/>
    <x v="64"/>
    <x v="1"/>
    <n v="3"/>
    <n v="3"/>
    <n v="6.0901339829476243E-2"/>
    <n v="1"/>
    <x v="317"/>
    <n v="1.0727860956431252E-2"/>
  </r>
  <r>
    <x v="1"/>
    <x v="0"/>
    <x v="0"/>
    <x v="2"/>
    <n v="37448909302.314651"/>
    <n v="0.24349999999999997"/>
    <x v="64"/>
    <x v="2"/>
    <n v="5"/>
    <n v="5"/>
    <n v="0.10150223304912707"/>
    <n v="1"/>
    <x v="318"/>
    <n v="1.7879768260718753E-2"/>
  </r>
  <r>
    <x v="1"/>
    <x v="0"/>
    <x v="0"/>
    <x v="3"/>
    <n v="37448909302.314651"/>
    <n v="0.24349999999999997"/>
    <x v="64"/>
    <x v="3"/>
    <n v="7"/>
    <n v="7"/>
    <n v="0.14210312626877789"/>
    <n v="1"/>
    <x v="319"/>
    <n v="2.5031675565006253E-2"/>
  </r>
  <r>
    <x v="1"/>
    <x v="0"/>
    <x v="0"/>
    <x v="4"/>
    <n v="37448909302.314651"/>
    <n v="0.24349999999999997"/>
    <x v="64"/>
    <x v="5"/>
    <n v="34.770000000000003"/>
    <n v="33.260000000000005"/>
    <n v="0.67519285424279341"/>
    <n v="1"/>
    <x v="320"/>
    <n v="0.11893621847030117"/>
  </r>
  <r>
    <x v="1"/>
    <x v="0"/>
    <x v="1"/>
    <x v="0"/>
    <n v="37448909302.314651"/>
    <n v="3.5499999999999997E-2"/>
    <x v="65"/>
    <x v="0"/>
    <n v="1"/>
    <n v="1"/>
    <n v="2.0300446609825416E-2"/>
    <n v="1"/>
    <x v="321"/>
    <n v="5.213402655076106E-4"/>
  </r>
  <r>
    <x v="1"/>
    <x v="0"/>
    <x v="1"/>
    <x v="1"/>
    <n v="37448909302.314651"/>
    <n v="3.5499999999999997E-2"/>
    <x v="65"/>
    <x v="1"/>
    <n v="3"/>
    <n v="3"/>
    <n v="6.0901339829476243E-2"/>
    <n v="1"/>
    <x v="322"/>
    <n v="1.5640207965228316E-3"/>
  </r>
  <r>
    <x v="1"/>
    <x v="0"/>
    <x v="1"/>
    <x v="2"/>
    <n v="37448909302.314651"/>
    <n v="3.5499999999999997E-2"/>
    <x v="65"/>
    <x v="2"/>
    <n v="5"/>
    <n v="5"/>
    <n v="0.10150223304912707"/>
    <n v="1"/>
    <x v="323"/>
    <n v="2.606701327538053E-3"/>
  </r>
  <r>
    <x v="1"/>
    <x v="0"/>
    <x v="1"/>
    <x v="3"/>
    <n v="37448909302.314651"/>
    <n v="3.5499999999999997E-2"/>
    <x v="65"/>
    <x v="3"/>
    <n v="7"/>
    <n v="7"/>
    <n v="0.14210312626877789"/>
    <n v="1"/>
    <x v="324"/>
    <n v="3.6493818585532733E-3"/>
  </r>
  <r>
    <x v="1"/>
    <x v="0"/>
    <x v="1"/>
    <x v="4"/>
    <n v="37448909302.314651"/>
    <n v="3.5499999999999997E-2"/>
    <x v="65"/>
    <x v="5"/>
    <n v="34.770000000000003"/>
    <n v="33.260000000000005"/>
    <n v="0.67519285424279341"/>
    <n v="1"/>
    <x v="325"/>
    <n v="1.7339777230783129E-2"/>
  </r>
  <r>
    <x v="1"/>
    <x v="0"/>
    <x v="2"/>
    <x v="0"/>
    <n v="37448909302.314651"/>
    <n v="0.23275000000000001"/>
    <x v="66"/>
    <x v="0"/>
    <n v="1"/>
    <n v="1"/>
    <n v="2.0300446609825416E-2"/>
    <n v="1"/>
    <x v="326"/>
    <n v="3.4180830083632777E-3"/>
  </r>
  <r>
    <x v="1"/>
    <x v="0"/>
    <x v="2"/>
    <x v="1"/>
    <n v="37448909302.314651"/>
    <n v="0.23275000000000001"/>
    <x v="66"/>
    <x v="1"/>
    <n v="3"/>
    <n v="3"/>
    <n v="6.0901339829476243E-2"/>
    <n v="1"/>
    <x v="327"/>
    <n v="1.0254249025089833E-2"/>
  </r>
  <r>
    <x v="1"/>
    <x v="0"/>
    <x v="2"/>
    <x v="2"/>
    <n v="37448909302.314651"/>
    <n v="0.23275000000000001"/>
    <x v="66"/>
    <x v="2"/>
    <n v="5"/>
    <n v="5"/>
    <n v="0.10150223304912707"/>
    <n v="1"/>
    <x v="328"/>
    <n v="1.7090415041816388E-2"/>
  </r>
  <r>
    <x v="1"/>
    <x v="0"/>
    <x v="2"/>
    <x v="3"/>
    <n v="37448909302.314651"/>
    <n v="0.23275000000000001"/>
    <x v="66"/>
    <x v="3"/>
    <n v="7"/>
    <n v="7"/>
    <n v="0.14210312626877789"/>
    <n v="1"/>
    <x v="329"/>
    <n v="2.392658105854294E-2"/>
  </r>
  <r>
    <x v="1"/>
    <x v="0"/>
    <x v="2"/>
    <x v="4"/>
    <n v="37448909302.314651"/>
    <n v="0.23275000000000001"/>
    <x v="66"/>
    <x v="5"/>
    <n v="34.770000000000003"/>
    <n v="33.260000000000005"/>
    <n v="0.67519285424279341"/>
    <n v="1"/>
    <x v="330"/>
    <n v="0.11368544085816262"/>
  </r>
  <r>
    <x v="1"/>
    <x v="0"/>
    <x v="3"/>
    <x v="0"/>
    <n v="37448909302.314651"/>
    <n v="1.3500000000000002E-2"/>
    <x v="67"/>
    <x v="0"/>
    <n v="1"/>
    <n v="1"/>
    <n v="2.0300446609825416E-2"/>
    <n v="1"/>
    <x v="331"/>
    <n v="1.9825615730571108E-4"/>
  </r>
  <r>
    <x v="1"/>
    <x v="0"/>
    <x v="3"/>
    <x v="1"/>
    <n v="37448909302.314651"/>
    <n v="1.3500000000000002E-2"/>
    <x v="67"/>
    <x v="1"/>
    <n v="3"/>
    <n v="3"/>
    <n v="6.0901339829476243E-2"/>
    <n v="1"/>
    <x v="332"/>
    <n v="5.9476847191713327E-4"/>
  </r>
  <r>
    <x v="1"/>
    <x v="0"/>
    <x v="3"/>
    <x v="2"/>
    <n v="37448909302.314651"/>
    <n v="1.3500000000000002E-2"/>
    <x v="67"/>
    <x v="2"/>
    <n v="5"/>
    <n v="5"/>
    <n v="0.10150223304912707"/>
    <n v="1"/>
    <x v="333"/>
    <n v="9.9128078652855538E-4"/>
  </r>
  <r>
    <x v="1"/>
    <x v="0"/>
    <x v="3"/>
    <x v="3"/>
    <n v="37448909302.314651"/>
    <n v="1.3500000000000002E-2"/>
    <x v="67"/>
    <x v="3"/>
    <n v="7"/>
    <n v="7"/>
    <n v="0.14210312626877789"/>
    <n v="1"/>
    <x v="334"/>
    <n v="1.3877931011399775E-3"/>
  </r>
  <r>
    <x v="1"/>
    <x v="0"/>
    <x v="3"/>
    <x v="4"/>
    <n v="37448909302.314651"/>
    <n v="1.3500000000000002E-2"/>
    <x v="67"/>
    <x v="5"/>
    <n v="34.770000000000003"/>
    <n v="33.260000000000005"/>
    <n v="0.67519285424279341"/>
    <n v="1"/>
    <x v="335"/>
    <n v="6.5939997919879523E-3"/>
  </r>
  <r>
    <x v="1"/>
    <x v="0"/>
    <x v="4"/>
    <x v="0"/>
    <n v="37448909302.314651"/>
    <n v="0.1125"/>
    <x v="68"/>
    <x v="0"/>
    <n v="1"/>
    <n v="1"/>
    <n v="2.0300446609825416E-2"/>
    <n v="1"/>
    <x v="336"/>
    <n v="1.652134644214259E-3"/>
  </r>
  <r>
    <x v="1"/>
    <x v="0"/>
    <x v="4"/>
    <x v="1"/>
    <n v="37448909302.314651"/>
    <n v="0.1125"/>
    <x v="68"/>
    <x v="1"/>
    <n v="3"/>
    <n v="3"/>
    <n v="6.0901339829476243E-2"/>
    <n v="1"/>
    <x v="337"/>
    <n v="4.9564039326427762E-3"/>
  </r>
  <r>
    <x v="1"/>
    <x v="0"/>
    <x v="4"/>
    <x v="2"/>
    <n v="37448909302.314651"/>
    <n v="0.1125"/>
    <x v="68"/>
    <x v="2"/>
    <n v="5"/>
    <n v="5"/>
    <n v="0.10150223304912707"/>
    <n v="1"/>
    <x v="338"/>
    <n v="8.2606732210712946E-3"/>
  </r>
  <r>
    <x v="1"/>
    <x v="0"/>
    <x v="4"/>
    <x v="3"/>
    <n v="37448909302.314651"/>
    <n v="0.1125"/>
    <x v="68"/>
    <x v="3"/>
    <n v="7"/>
    <n v="7"/>
    <n v="0.14210312626877789"/>
    <n v="1"/>
    <x v="339"/>
    <n v="1.1564942509499812E-2"/>
  </r>
  <r>
    <x v="1"/>
    <x v="0"/>
    <x v="4"/>
    <x v="4"/>
    <n v="37448909302.314651"/>
    <n v="0.1125"/>
    <x v="68"/>
    <x v="5"/>
    <n v="34.770000000000003"/>
    <n v="33.260000000000005"/>
    <n v="0.67519285424279341"/>
    <n v="1"/>
    <x v="340"/>
    <n v="5.4949998266566262E-2"/>
  </r>
  <r>
    <x v="1"/>
    <x v="0"/>
    <x v="5"/>
    <x v="0"/>
    <n v="37448909302.314651"/>
    <n v="7.8750000000000001E-2"/>
    <x v="69"/>
    <x v="0"/>
    <n v="1"/>
    <n v="1"/>
    <n v="2.0300446609825416E-2"/>
    <n v="1"/>
    <x v="341"/>
    <n v="1.1564942509499812E-3"/>
  </r>
  <r>
    <x v="1"/>
    <x v="0"/>
    <x v="5"/>
    <x v="1"/>
    <n v="37448909302.314651"/>
    <n v="7.8750000000000001E-2"/>
    <x v="69"/>
    <x v="1"/>
    <n v="3"/>
    <n v="3"/>
    <n v="6.0901339829476243E-2"/>
    <n v="1"/>
    <x v="342"/>
    <n v="3.4694827528499433E-3"/>
  </r>
  <r>
    <x v="1"/>
    <x v="0"/>
    <x v="5"/>
    <x v="2"/>
    <n v="37448909302.314651"/>
    <n v="7.8750000000000001E-2"/>
    <x v="69"/>
    <x v="2"/>
    <n v="5"/>
    <n v="5"/>
    <n v="0.10150223304912707"/>
    <n v="1"/>
    <x v="343"/>
    <n v="5.782471254749906E-3"/>
  </r>
  <r>
    <x v="1"/>
    <x v="0"/>
    <x v="5"/>
    <x v="3"/>
    <n v="37448909302.314651"/>
    <n v="7.8750000000000001E-2"/>
    <x v="69"/>
    <x v="3"/>
    <n v="7"/>
    <n v="7"/>
    <n v="0.14210312626877789"/>
    <n v="1"/>
    <x v="344"/>
    <n v="8.0954597566498671E-3"/>
  </r>
  <r>
    <x v="1"/>
    <x v="0"/>
    <x v="5"/>
    <x v="4"/>
    <n v="37448909302.314651"/>
    <n v="7.8750000000000001E-2"/>
    <x v="69"/>
    <x v="5"/>
    <n v="34.770000000000003"/>
    <n v="33.260000000000005"/>
    <n v="0.67519285424279341"/>
    <n v="1"/>
    <x v="345"/>
    <n v="3.8464998786596379E-2"/>
  </r>
  <r>
    <x v="1"/>
    <x v="0"/>
    <x v="6"/>
    <x v="0"/>
    <n v="37448909302.314651"/>
    <n v="6.7250000000000004E-2"/>
    <x v="70"/>
    <x v="0"/>
    <n v="1"/>
    <n v="1"/>
    <n v="2.0300446609825416E-2"/>
    <n v="1"/>
    <x v="346"/>
    <n v="9.876093762080792E-4"/>
  </r>
  <r>
    <x v="1"/>
    <x v="0"/>
    <x v="6"/>
    <x v="1"/>
    <n v="37448909302.314651"/>
    <n v="6.7250000000000004E-2"/>
    <x v="70"/>
    <x v="1"/>
    <n v="3"/>
    <n v="3"/>
    <n v="6.0901339829476243E-2"/>
    <n v="1"/>
    <x v="347"/>
    <n v="2.9628281286242374E-3"/>
  </r>
  <r>
    <x v="1"/>
    <x v="0"/>
    <x v="6"/>
    <x v="2"/>
    <n v="37448909302.314651"/>
    <n v="6.7250000000000004E-2"/>
    <x v="70"/>
    <x v="2"/>
    <n v="5"/>
    <n v="5"/>
    <n v="0.10150223304912707"/>
    <n v="1"/>
    <x v="348"/>
    <n v="4.9380468810403958E-3"/>
  </r>
  <r>
    <x v="1"/>
    <x v="0"/>
    <x v="6"/>
    <x v="3"/>
    <n v="37448909302.314651"/>
    <n v="6.7250000000000004E-2"/>
    <x v="70"/>
    <x v="3"/>
    <n v="7"/>
    <n v="7"/>
    <n v="0.14210312626877789"/>
    <n v="1"/>
    <x v="349"/>
    <n v="6.9132656334565537E-3"/>
  </r>
  <r>
    <x v="1"/>
    <x v="0"/>
    <x v="6"/>
    <x v="4"/>
    <n v="37448909302.314651"/>
    <n v="6.7250000000000004E-2"/>
    <x v="70"/>
    <x v="5"/>
    <n v="34.770000000000003"/>
    <n v="33.260000000000005"/>
    <n v="0.67519285424279341"/>
    <n v="1"/>
    <x v="350"/>
    <n v="3.2847887852680717E-2"/>
  </r>
  <r>
    <x v="1"/>
    <x v="0"/>
    <x v="7"/>
    <x v="0"/>
    <n v="37448909302.314651"/>
    <n v="0.18149999999999999"/>
    <x v="71"/>
    <x v="0"/>
    <n v="1"/>
    <n v="1"/>
    <n v="2.0300446609825416E-2"/>
    <n v="1"/>
    <x v="351"/>
    <n v="2.665443892665671E-3"/>
  </r>
  <r>
    <x v="1"/>
    <x v="0"/>
    <x v="7"/>
    <x v="1"/>
    <n v="37448909302.314651"/>
    <n v="0.18149999999999999"/>
    <x v="71"/>
    <x v="1"/>
    <n v="3"/>
    <n v="3"/>
    <n v="6.0901339829476243E-2"/>
    <n v="1"/>
    <x v="352"/>
    <n v="7.9963316779970116E-3"/>
  </r>
  <r>
    <x v="1"/>
    <x v="0"/>
    <x v="7"/>
    <x v="2"/>
    <n v="37448909302.314651"/>
    <n v="0.18149999999999999"/>
    <x v="71"/>
    <x v="2"/>
    <n v="5"/>
    <n v="5"/>
    <n v="0.10150223304912707"/>
    <n v="1"/>
    <x v="353"/>
    <n v="1.3327219463328353E-2"/>
  </r>
  <r>
    <x v="1"/>
    <x v="0"/>
    <x v="7"/>
    <x v="3"/>
    <n v="37448909302.314651"/>
    <n v="0.18149999999999999"/>
    <x v="71"/>
    <x v="3"/>
    <n v="7"/>
    <n v="7"/>
    <n v="0.14210312626877789"/>
    <n v="1"/>
    <x v="354"/>
    <n v="1.8658107248659694E-2"/>
  </r>
  <r>
    <x v="1"/>
    <x v="0"/>
    <x v="7"/>
    <x v="4"/>
    <n v="37448909302.314651"/>
    <n v="0.18149999999999999"/>
    <x v="71"/>
    <x v="5"/>
    <n v="34.770000000000003"/>
    <n v="33.260000000000005"/>
    <n v="0.67519285424279341"/>
    <n v="1"/>
    <x v="355"/>
    <n v="8.8652663870060211E-2"/>
  </r>
  <r>
    <x v="1"/>
    <x v="0"/>
    <x v="8"/>
    <x v="0"/>
    <n v="37448909302.314651"/>
    <n v="3.4750000000000003E-2"/>
    <x v="72"/>
    <x v="0"/>
    <n v="1"/>
    <n v="1"/>
    <n v="2.0300446609825416E-2"/>
    <n v="1"/>
    <x v="356"/>
    <n v="5.1032603454618229E-4"/>
  </r>
  <r>
    <x v="1"/>
    <x v="0"/>
    <x v="8"/>
    <x v="1"/>
    <n v="37448909302.314651"/>
    <n v="3.4750000000000003E-2"/>
    <x v="72"/>
    <x v="1"/>
    <n v="3"/>
    <n v="3"/>
    <n v="6.0901339829476243E-2"/>
    <n v="1"/>
    <x v="357"/>
    <n v="1.5309781036385464E-3"/>
  </r>
  <r>
    <x v="1"/>
    <x v="0"/>
    <x v="8"/>
    <x v="2"/>
    <n v="37448909302.314651"/>
    <n v="3.4750000000000003E-2"/>
    <x v="72"/>
    <x v="2"/>
    <n v="5"/>
    <n v="5"/>
    <n v="0.10150223304912707"/>
    <n v="1"/>
    <x v="358"/>
    <n v="2.5516301727309112E-3"/>
  </r>
  <r>
    <x v="1"/>
    <x v="0"/>
    <x v="8"/>
    <x v="3"/>
    <n v="37448909302.314651"/>
    <n v="3.4750000000000003E-2"/>
    <x v="72"/>
    <x v="3"/>
    <n v="7"/>
    <n v="7"/>
    <n v="0.14210312626877789"/>
    <n v="1"/>
    <x v="359"/>
    <n v="3.5722822418232749E-3"/>
  </r>
  <r>
    <x v="1"/>
    <x v="0"/>
    <x v="8"/>
    <x v="4"/>
    <n v="37448909302.314651"/>
    <n v="3.4750000000000003E-2"/>
    <x v="72"/>
    <x v="5"/>
    <n v="34.770000000000003"/>
    <n v="33.260000000000005"/>
    <n v="0.67519285424279341"/>
    <n v="1"/>
    <x v="360"/>
    <n v="1.6973443909006024E-2"/>
  </r>
  <r>
    <x v="1"/>
    <x v="1"/>
    <x v="0"/>
    <x v="0"/>
    <n v="6545814439.711257"/>
    <n v="0.24349999999999997"/>
    <x v="73"/>
    <x v="0"/>
    <n v="1"/>
    <n v="1"/>
    <n v="2.0300446609825416E-2"/>
    <n v="1"/>
    <x v="361"/>
    <n v="6.2505235767958643E-4"/>
  </r>
  <r>
    <x v="1"/>
    <x v="1"/>
    <x v="0"/>
    <x v="1"/>
    <n v="6545814439.711257"/>
    <n v="0.24349999999999997"/>
    <x v="73"/>
    <x v="1"/>
    <n v="3"/>
    <n v="3"/>
    <n v="6.0901339829476243E-2"/>
    <n v="1"/>
    <x v="362"/>
    <n v="1.8751570730387594E-3"/>
  </r>
  <r>
    <x v="1"/>
    <x v="1"/>
    <x v="0"/>
    <x v="2"/>
    <n v="6545814439.711257"/>
    <n v="0.24349999999999997"/>
    <x v="73"/>
    <x v="2"/>
    <n v="5"/>
    <n v="5"/>
    <n v="0.10150223304912707"/>
    <n v="1"/>
    <x v="363"/>
    <n v="3.1252617883979323E-3"/>
  </r>
  <r>
    <x v="1"/>
    <x v="1"/>
    <x v="0"/>
    <x v="3"/>
    <n v="6545814439.711257"/>
    <n v="0.24349999999999997"/>
    <x v="73"/>
    <x v="3"/>
    <n v="7"/>
    <n v="7"/>
    <n v="0.14210312626877789"/>
    <n v="1"/>
    <x v="364"/>
    <n v="4.3753665037571049E-3"/>
  </r>
  <r>
    <x v="1"/>
    <x v="1"/>
    <x v="0"/>
    <x v="4"/>
    <n v="6545814439.711257"/>
    <n v="0.24349999999999997"/>
    <x v="73"/>
    <x v="5"/>
    <n v="34.770000000000003"/>
    <n v="33.260000000000005"/>
    <n v="0.67519285424279341"/>
    <n v="1"/>
    <x v="365"/>
    <n v="2.0789241416423049E-2"/>
  </r>
  <r>
    <x v="1"/>
    <x v="1"/>
    <x v="1"/>
    <x v="0"/>
    <n v="6545814439.711257"/>
    <n v="3.5499999999999997E-2"/>
    <x v="74"/>
    <x v="0"/>
    <n v="1"/>
    <n v="1"/>
    <n v="2.0300446609825416E-2"/>
    <n v="1"/>
    <x v="366"/>
    <n v="9.112672976437505E-5"/>
  </r>
  <r>
    <x v="1"/>
    <x v="1"/>
    <x v="1"/>
    <x v="1"/>
    <n v="6545814439.711257"/>
    <n v="3.5499999999999997E-2"/>
    <x v="74"/>
    <x v="1"/>
    <n v="3"/>
    <n v="3"/>
    <n v="6.0901339829476243E-2"/>
    <n v="1"/>
    <x v="367"/>
    <n v="2.7338018929312511E-4"/>
  </r>
  <r>
    <x v="1"/>
    <x v="1"/>
    <x v="1"/>
    <x v="2"/>
    <n v="6545814439.711257"/>
    <n v="3.5499999999999997E-2"/>
    <x v="74"/>
    <x v="2"/>
    <n v="5"/>
    <n v="5"/>
    <n v="0.10150223304912707"/>
    <n v="1"/>
    <x v="368"/>
    <n v="4.5563364882187518E-4"/>
  </r>
  <r>
    <x v="1"/>
    <x v="1"/>
    <x v="1"/>
    <x v="3"/>
    <n v="6545814439.711257"/>
    <n v="3.5499999999999997E-2"/>
    <x v="74"/>
    <x v="3"/>
    <n v="7"/>
    <n v="7"/>
    <n v="0.14210312626877789"/>
    <n v="1"/>
    <x v="369"/>
    <n v="6.378871083506252E-4"/>
  </r>
  <r>
    <x v="1"/>
    <x v="1"/>
    <x v="1"/>
    <x v="4"/>
    <n v="6545814439.711257"/>
    <n v="3.5499999999999997E-2"/>
    <x v="74"/>
    <x v="5"/>
    <n v="34.770000000000003"/>
    <n v="33.260000000000005"/>
    <n v="0.67519285424279341"/>
    <n v="1"/>
    <x v="370"/>
    <n v="3.0308750319631142E-3"/>
  </r>
  <r>
    <x v="1"/>
    <x v="1"/>
    <x v="2"/>
    <x v="0"/>
    <n v="6545814439.711257"/>
    <n v="0.23275000000000001"/>
    <x v="75"/>
    <x v="0"/>
    <n v="1"/>
    <n v="1"/>
    <n v="2.0300446609825416E-2"/>
    <n v="1"/>
    <x v="371"/>
    <n v="5.9745764373685334E-4"/>
  </r>
  <r>
    <x v="1"/>
    <x v="1"/>
    <x v="2"/>
    <x v="1"/>
    <n v="6545814439.711257"/>
    <n v="0.23275000000000001"/>
    <x v="75"/>
    <x v="1"/>
    <n v="3"/>
    <n v="3"/>
    <n v="6.0901339829476243E-2"/>
    <n v="1"/>
    <x v="372"/>
    <n v="1.7923729312105598E-3"/>
  </r>
  <r>
    <x v="1"/>
    <x v="1"/>
    <x v="2"/>
    <x v="2"/>
    <n v="6545814439.711257"/>
    <n v="0.23275000000000001"/>
    <x v="75"/>
    <x v="2"/>
    <n v="5"/>
    <n v="5"/>
    <n v="0.10150223304912707"/>
    <n v="1"/>
    <x v="373"/>
    <n v="2.9872882186842663E-3"/>
  </r>
  <r>
    <x v="1"/>
    <x v="1"/>
    <x v="2"/>
    <x v="3"/>
    <n v="6545814439.711257"/>
    <n v="0.23275000000000001"/>
    <x v="75"/>
    <x v="3"/>
    <n v="7"/>
    <n v="7"/>
    <n v="0.14210312626877789"/>
    <n v="1"/>
    <x v="374"/>
    <n v="4.182203506157973E-3"/>
  </r>
  <r>
    <x v="1"/>
    <x v="1"/>
    <x v="2"/>
    <x v="4"/>
    <n v="6545814439.711257"/>
    <n v="0.23275000000000001"/>
    <x v="75"/>
    <x v="5"/>
    <n v="34.770000000000003"/>
    <n v="33.260000000000005"/>
    <n v="0.67519285424279341"/>
    <n v="1"/>
    <x v="375"/>
    <n v="1.9871441230687743E-2"/>
  </r>
  <r>
    <x v="1"/>
    <x v="1"/>
    <x v="3"/>
    <x v="0"/>
    <n v="6545814439.711257"/>
    <n v="1.3500000000000002E-2"/>
    <x v="76"/>
    <x v="0"/>
    <n v="1"/>
    <n v="1"/>
    <n v="2.0300446609825416E-2"/>
    <n v="1"/>
    <x v="376"/>
    <n v="3.4653826811804598E-5"/>
  </r>
  <r>
    <x v="1"/>
    <x v="1"/>
    <x v="3"/>
    <x v="1"/>
    <n v="6545814439.711257"/>
    <n v="1.3500000000000002E-2"/>
    <x v="76"/>
    <x v="1"/>
    <n v="3"/>
    <n v="3"/>
    <n v="6.0901339829476243E-2"/>
    <n v="1"/>
    <x v="377"/>
    <n v="1.0396148043541379E-4"/>
  </r>
  <r>
    <x v="1"/>
    <x v="1"/>
    <x v="3"/>
    <x v="2"/>
    <n v="6545814439.711257"/>
    <n v="1.3500000000000002E-2"/>
    <x v="76"/>
    <x v="2"/>
    <n v="5"/>
    <n v="5"/>
    <n v="0.10150223304912707"/>
    <n v="1"/>
    <x v="378"/>
    <n v="1.7326913405902295E-4"/>
  </r>
  <r>
    <x v="1"/>
    <x v="1"/>
    <x v="3"/>
    <x v="3"/>
    <n v="6545814439.711257"/>
    <n v="1.3500000000000002E-2"/>
    <x v="76"/>
    <x v="3"/>
    <n v="7"/>
    <n v="7"/>
    <n v="0.14210312626877789"/>
    <n v="1"/>
    <x v="379"/>
    <n v="2.4257678768263211E-4"/>
  </r>
  <r>
    <x v="1"/>
    <x v="1"/>
    <x v="3"/>
    <x v="4"/>
    <n v="6545814439.711257"/>
    <n v="1.3500000000000002E-2"/>
    <x v="76"/>
    <x v="5"/>
    <n v="34.770000000000003"/>
    <n v="33.260000000000005"/>
    <n v="0.67519285424279341"/>
    <n v="1"/>
    <x v="380"/>
    <n v="1.1525862797606209E-3"/>
  </r>
  <r>
    <x v="1"/>
    <x v="1"/>
    <x v="4"/>
    <x v="0"/>
    <n v="6545814439.711257"/>
    <n v="0.1125"/>
    <x v="77"/>
    <x v="0"/>
    <n v="1"/>
    <n v="1"/>
    <n v="2.0300446609825416E-2"/>
    <n v="1"/>
    <x v="381"/>
    <n v="2.8878189009837158E-4"/>
  </r>
  <r>
    <x v="1"/>
    <x v="1"/>
    <x v="4"/>
    <x v="1"/>
    <n v="6545814439.711257"/>
    <n v="0.1125"/>
    <x v="77"/>
    <x v="1"/>
    <n v="3"/>
    <n v="3"/>
    <n v="6.0901339829476243E-2"/>
    <n v="1"/>
    <x v="382"/>
    <n v="8.6634567029511469E-4"/>
  </r>
  <r>
    <x v="1"/>
    <x v="1"/>
    <x v="4"/>
    <x v="2"/>
    <n v="6545814439.711257"/>
    <n v="0.1125"/>
    <x v="77"/>
    <x v="2"/>
    <n v="5"/>
    <n v="5"/>
    <n v="0.10150223304912707"/>
    <n v="1"/>
    <x v="383"/>
    <n v="1.4439094504918582E-3"/>
  </r>
  <r>
    <x v="1"/>
    <x v="1"/>
    <x v="4"/>
    <x v="3"/>
    <n v="6545814439.711257"/>
    <n v="0.1125"/>
    <x v="77"/>
    <x v="3"/>
    <n v="7"/>
    <n v="7"/>
    <n v="0.14210312626877789"/>
    <n v="1"/>
    <x v="384"/>
    <n v="2.0214732306886008E-3"/>
  </r>
  <r>
    <x v="1"/>
    <x v="1"/>
    <x v="4"/>
    <x v="4"/>
    <n v="6545814439.711257"/>
    <n v="0.1125"/>
    <x v="77"/>
    <x v="5"/>
    <n v="34.770000000000003"/>
    <n v="33.260000000000005"/>
    <n v="0.67519285424279341"/>
    <n v="1"/>
    <x v="385"/>
    <n v="9.6048856646718406E-3"/>
  </r>
  <r>
    <x v="1"/>
    <x v="1"/>
    <x v="5"/>
    <x v="0"/>
    <n v="6545814439.711257"/>
    <n v="7.8750000000000001E-2"/>
    <x v="78"/>
    <x v="0"/>
    <n v="1"/>
    <n v="1"/>
    <n v="2.0300446609825416E-2"/>
    <n v="1"/>
    <x v="386"/>
    <n v="2.0214732306886014E-4"/>
  </r>
  <r>
    <x v="1"/>
    <x v="1"/>
    <x v="5"/>
    <x v="1"/>
    <n v="6545814439.711257"/>
    <n v="7.8750000000000001E-2"/>
    <x v="78"/>
    <x v="1"/>
    <n v="3"/>
    <n v="3"/>
    <n v="6.0901339829476243E-2"/>
    <n v="1"/>
    <x v="387"/>
    <n v="6.0644196920658032E-4"/>
  </r>
  <r>
    <x v="1"/>
    <x v="1"/>
    <x v="5"/>
    <x v="2"/>
    <n v="6545814439.711257"/>
    <n v="7.8750000000000001E-2"/>
    <x v="78"/>
    <x v="2"/>
    <n v="5"/>
    <n v="5"/>
    <n v="0.10150223304912707"/>
    <n v="1"/>
    <x v="388"/>
    <n v="1.0107366153443006E-3"/>
  </r>
  <r>
    <x v="1"/>
    <x v="1"/>
    <x v="5"/>
    <x v="3"/>
    <n v="6545814439.711257"/>
    <n v="7.8750000000000001E-2"/>
    <x v="78"/>
    <x v="3"/>
    <n v="7"/>
    <n v="7"/>
    <n v="0.14210312626877789"/>
    <n v="1"/>
    <x v="389"/>
    <n v="1.4150312614820207E-3"/>
  </r>
  <r>
    <x v="1"/>
    <x v="1"/>
    <x v="5"/>
    <x v="4"/>
    <n v="6545814439.711257"/>
    <n v="7.8750000000000001E-2"/>
    <x v="78"/>
    <x v="5"/>
    <n v="34.770000000000003"/>
    <n v="33.260000000000005"/>
    <n v="0.67519285424279341"/>
    <n v="1"/>
    <x v="390"/>
    <n v="6.7234199652702886E-3"/>
  </r>
  <r>
    <x v="1"/>
    <x v="1"/>
    <x v="6"/>
    <x v="0"/>
    <n v="6545814439.711257"/>
    <n v="6.7250000000000004E-2"/>
    <x v="79"/>
    <x v="0"/>
    <n v="1"/>
    <n v="1"/>
    <n v="2.0300446609825416E-2"/>
    <n v="1"/>
    <x v="391"/>
    <n v="1.7262739652547103E-4"/>
  </r>
  <r>
    <x v="1"/>
    <x v="1"/>
    <x v="6"/>
    <x v="1"/>
    <n v="6545814439.711257"/>
    <n v="6.7250000000000004E-2"/>
    <x v="79"/>
    <x v="1"/>
    <n v="3"/>
    <n v="3"/>
    <n v="6.0901339829476243E-2"/>
    <n v="1"/>
    <x v="392"/>
    <n v="5.1788218957641305E-4"/>
  </r>
  <r>
    <x v="1"/>
    <x v="1"/>
    <x v="6"/>
    <x v="2"/>
    <n v="6545814439.711257"/>
    <n v="6.7250000000000004E-2"/>
    <x v="79"/>
    <x v="2"/>
    <n v="5"/>
    <n v="5"/>
    <n v="0.10150223304912707"/>
    <n v="1"/>
    <x v="393"/>
    <n v="8.6313698262735505E-4"/>
  </r>
  <r>
    <x v="1"/>
    <x v="1"/>
    <x v="6"/>
    <x v="3"/>
    <n v="6545814439.711257"/>
    <n v="6.7250000000000004E-2"/>
    <x v="79"/>
    <x v="3"/>
    <n v="7"/>
    <n v="7"/>
    <n v="0.14210312626877789"/>
    <n v="1"/>
    <x v="394"/>
    <n v="1.2083917756782971E-3"/>
  </r>
  <r>
    <x v="1"/>
    <x v="1"/>
    <x v="6"/>
    <x v="4"/>
    <n v="6545814439.711257"/>
    <n v="6.7250000000000004E-2"/>
    <x v="79"/>
    <x v="5"/>
    <n v="34.770000000000003"/>
    <n v="33.260000000000005"/>
    <n v="0.67519285424279341"/>
    <n v="1"/>
    <x v="395"/>
    <n v="5.7415872084371671E-3"/>
  </r>
  <r>
    <x v="1"/>
    <x v="1"/>
    <x v="7"/>
    <x v="0"/>
    <n v="6545814439.711257"/>
    <n v="0.18149999999999999"/>
    <x v="80"/>
    <x v="0"/>
    <n v="1"/>
    <n v="1"/>
    <n v="2.0300446609825416E-2"/>
    <n v="1"/>
    <x v="396"/>
    <n v="4.6590144935870618E-4"/>
  </r>
  <r>
    <x v="1"/>
    <x v="1"/>
    <x v="7"/>
    <x v="1"/>
    <n v="6545814439.711257"/>
    <n v="0.18149999999999999"/>
    <x v="80"/>
    <x v="1"/>
    <n v="3"/>
    <n v="3"/>
    <n v="6.0901339829476243E-2"/>
    <n v="1"/>
    <x v="397"/>
    <n v="1.3977043480761183E-3"/>
  </r>
  <r>
    <x v="1"/>
    <x v="1"/>
    <x v="7"/>
    <x v="2"/>
    <n v="6545814439.711257"/>
    <n v="0.18149999999999999"/>
    <x v="80"/>
    <x v="2"/>
    <n v="5"/>
    <n v="5"/>
    <n v="0.10150223304912707"/>
    <n v="1"/>
    <x v="398"/>
    <n v="2.3295072467935307E-3"/>
  </r>
  <r>
    <x v="1"/>
    <x v="1"/>
    <x v="7"/>
    <x v="3"/>
    <n v="6545814439.711257"/>
    <n v="0.18149999999999999"/>
    <x v="80"/>
    <x v="3"/>
    <n v="7"/>
    <n v="7"/>
    <n v="0.14210312626877789"/>
    <n v="1"/>
    <x v="399"/>
    <n v="3.2613101455109426E-3"/>
  </r>
  <r>
    <x v="1"/>
    <x v="1"/>
    <x v="7"/>
    <x v="4"/>
    <n v="6545814439.711257"/>
    <n v="0.18149999999999999"/>
    <x v="80"/>
    <x v="5"/>
    <n v="34.770000000000003"/>
    <n v="33.260000000000005"/>
    <n v="0.67519285424279341"/>
    <n v="1"/>
    <x v="400"/>
    <n v="1.549588220567057E-2"/>
  </r>
  <r>
    <x v="1"/>
    <x v="1"/>
    <x v="8"/>
    <x v="0"/>
    <n v="6545814439.711257"/>
    <n v="3.4750000000000003E-2"/>
    <x v="81"/>
    <x v="0"/>
    <n v="1"/>
    <n v="1"/>
    <n v="2.0300446609825416E-2"/>
    <n v="1"/>
    <x v="401"/>
    <n v="8.9201517163719254E-5"/>
  </r>
  <r>
    <x v="1"/>
    <x v="1"/>
    <x v="8"/>
    <x v="1"/>
    <n v="6545814439.711257"/>
    <n v="3.4750000000000003E-2"/>
    <x v="81"/>
    <x v="1"/>
    <n v="3"/>
    <n v="3"/>
    <n v="6.0901339829476243E-2"/>
    <n v="1"/>
    <x v="402"/>
    <n v="2.6760455149115771E-4"/>
  </r>
  <r>
    <x v="1"/>
    <x v="1"/>
    <x v="8"/>
    <x v="2"/>
    <n v="6545814439.711257"/>
    <n v="3.4750000000000003E-2"/>
    <x v="81"/>
    <x v="2"/>
    <n v="5"/>
    <n v="5"/>
    <n v="0.10150223304912707"/>
    <n v="1"/>
    <x v="403"/>
    <n v="4.4600758581859622E-4"/>
  </r>
  <r>
    <x v="1"/>
    <x v="1"/>
    <x v="8"/>
    <x v="3"/>
    <n v="6545814439.711257"/>
    <n v="3.4750000000000003E-2"/>
    <x v="81"/>
    <x v="3"/>
    <n v="7"/>
    <n v="7"/>
    <n v="0.14210312626877789"/>
    <n v="1"/>
    <x v="404"/>
    <n v="6.2441062014603462E-4"/>
  </r>
  <r>
    <x v="1"/>
    <x v="1"/>
    <x v="8"/>
    <x v="4"/>
    <n v="6545814439.711257"/>
    <n v="3.4750000000000003E-2"/>
    <x v="81"/>
    <x v="5"/>
    <n v="34.770000000000003"/>
    <n v="33.260000000000005"/>
    <n v="0.67519285424279341"/>
    <n v="1"/>
    <x v="405"/>
    <n v="2.9668424608653024E-3"/>
  </r>
  <r>
    <x v="1"/>
    <x v="2"/>
    <x v="0"/>
    <x v="0"/>
    <n v="122861193.40584016"/>
    <n v="0.17649999999999999"/>
    <x v="82"/>
    <x v="0"/>
    <n v="1"/>
    <n v="1"/>
    <n v="2.0300446609825416E-2"/>
    <n v="1"/>
    <x v="406"/>
    <n v="8.5038028202440821E-6"/>
  </r>
  <r>
    <x v="1"/>
    <x v="2"/>
    <x v="0"/>
    <x v="1"/>
    <n v="122861193.40584016"/>
    <n v="0.17649999999999999"/>
    <x v="82"/>
    <x v="1"/>
    <n v="3"/>
    <n v="3"/>
    <n v="6.0901339829476243E-2"/>
    <n v="1"/>
    <x v="407"/>
    <n v="2.5511408460732245E-5"/>
  </r>
  <r>
    <x v="1"/>
    <x v="2"/>
    <x v="0"/>
    <x v="2"/>
    <n v="122861193.40584016"/>
    <n v="0.17649999999999999"/>
    <x v="82"/>
    <x v="2"/>
    <n v="5"/>
    <n v="5"/>
    <n v="0.10150223304912707"/>
    <n v="1"/>
    <x v="408"/>
    <n v="4.2519014101220406E-5"/>
  </r>
  <r>
    <x v="1"/>
    <x v="2"/>
    <x v="0"/>
    <x v="3"/>
    <n v="122861193.40584016"/>
    <n v="0.17649999999999999"/>
    <x v="82"/>
    <x v="3"/>
    <n v="7"/>
    <n v="7"/>
    <n v="0.14210312626877789"/>
    <n v="1"/>
    <x v="409"/>
    <n v="5.9526619741708553E-5"/>
  </r>
  <r>
    <x v="1"/>
    <x v="2"/>
    <x v="0"/>
    <x v="4"/>
    <n v="122861193.40584016"/>
    <n v="0.17649999999999999"/>
    <x v="82"/>
    <x v="5"/>
    <n v="34.770000000000003"/>
    <n v="33.260000000000005"/>
    <n v="0.67519285424279341"/>
    <n v="1"/>
    <x v="410"/>
    <n v="2.828364818013182E-4"/>
  </r>
  <r>
    <x v="1"/>
    <x v="2"/>
    <x v="1"/>
    <x v="0"/>
    <n v="122861193.40584016"/>
    <n v="8.5249999999999992E-2"/>
    <x v="83"/>
    <x v="0"/>
    <n v="1"/>
    <n v="1"/>
    <n v="2.0300446609825416E-2"/>
    <n v="1"/>
    <x v="411"/>
    <n v="4.1073608522708656E-6"/>
  </r>
  <r>
    <x v="1"/>
    <x v="2"/>
    <x v="1"/>
    <x v="1"/>
    <n v="122861193.40584016"/>
    <n v="8.5249999999999992E-2"/>
    <x v="83"/>
    <x v="1"/>
    <n v="3"/>
    <n v="3"/>
    <n v="6.0901339829476243E-2"/>
    <n v="1"/>
    <x v="412"/>
    <n v="1.2322082556812598E-5"/>
  </r>
  <r>
    <x v="1"/>
    <x v="2"/>
    <x v="1"/>
    <x v="2"/>
    <n v="122861193.40584016"/>
    <n v="8.5249999999999992E-2"/>
    <x v="83"/>
    <x v="2"/>
    <n v="5"/>
    <n v="5"/>
    <n v="0.10150223304912707"/>
    <n v="1"/>
    <x v="413"/>
    <n v="2.0536804261354331E-5"/>
  </r>
  <r>
    <x v="1"/>
    <x v="2"/>
    <x v="1"/>
    <x v="3"/>
    <n v="122861193.40584016"/>
    <n v="8.5249999999999992E-2"/>
    <x v="83"/>
    <x v="3"/>
    <n v="7"/>
    <n v="7"/>
    <n v="0.14210312626877789"/>
    <n v="1"/>
    <x v="414"/>
    <n v="2.8751525965896057E-5"/>
  </r>
  <r>
    <x v="1"/>
    <x v="2"/>
    <x v="1"/>
    <x v="4"/>
    <n v="122861193.40584016"/>
    <n v="8.5249999999999992E-2"/>
    <x v="83"/>
    <x v="5"/>
    <n v="34.770000000000003"/>
    <n v="33.260000000000005"/>
    <n v="0.67519285424279341"/>
    <n v="1"/>
    <x v="415"/>
    <n v="1.3661082194652902E-4"/>
  </r>
  <r>
    <x v="1"/>
    <x v="2"/>
    <x v="2"/>
    <x v="0"/>
    <n v="122861193.40584016"/>
    <n v="0.23774999999999999"/>
    <x v="84"/>
    <x v="0"/>
    <n v="1"/>
    <n v="1"/>
    <n v="2.0300446609825416E-2"/>
    <n v="1"/>
    <x v="416"/>
    <n v="1.1454839209705555E-5"/>
  </r>
  <r>
    <x v="1"/>
    <x v="2"/>
    <x v="2"/>
    <x v="1"/>
    <n v="122861193.40584016"/>
    <n v="0.23774999999999999"/>
    <x v="84"/>
    <x v="1"/>
    <n v="3"/>
    <n v="3"/>
    <n v="6.0901339829476243E-2"/>
    <n v="1"/>
    <x v="417"/>
    <n v="3.4364517629116658E-5"/>
  </r>
  <r>
    <x v="1"/>
    <x v="2"/>
    <x v="2"/>
    <x v="2"/>
    <n v="122861193.40584016"/>
    <n v="0.23774999999999999"/>
    <x v="84"/>
    <x v="2"/>
    <n v="5"/>
    <n v="5"/>
    <n v="0.10150223304912707"/>
    <n v="1"/>
    <x v="418"/>
    <n v="5.7274196048527768E-5"/>
  </r>
  <r>
    <x v="1"/>
    <x v="2"/>
    <x v="2"/>
    <x v="3"/>
    <n v="122861193.40584016"/>
    <n v="0.23774999999999999"/>
    <x v="84"/>
    <x v="3"/>
    <n v="7"/>
    <n v="7"/>
    <n v="0.14210312626877789"/>
    <n v="1"/>
    <x v="419"/>
    <n v="8.0183874467938871E-5"/>
  </r>
  <r>
    <x v="1"/>
    <x v="2"/>
    <x v="2"/>
    <x v="4"/>
    <n v="122861193.40584016"/>
    <n v="0.23774999999999999"/>
    <x v="84"/>
    <x v="5"/>
    <n v="34.770000000000003"/>
    <n v="33.260000000000005"/>
    <n v="0.67519285424279341"/>
    <n v="1"/>
    <x v="420"/>
    <n v="3.8098795211480681E-4"/>
  </r>
  <r>
    <x v="1"/>
    <x v="2"/>
    <x v="3"/>
    <x v="0"/>
    <n v="122861193.40584016"/>
    <n v="3.6750000000000005E-2"/>
    <x v="85"/>
    <x v="0"/>
    <n v="1"/>
    <n v="1"/>
    <n v="2.0300446609825416E-2"/>
    <n v="1"/>
    <x v="421"/>
    <n v="1.7706218336768841E-6"/>
  </r>
  <r>
    <x v="1"/>
    <x v="2"/>
    <x v="3"/>
    <x v="1"/>
    <n v="122861193.40584016"/>
    <n v="3.6750000000000005E-2"/>
    <x v="85"/>
    <x v="1"/>
    <n v="3"/>
    <n v="3"/>
    <n v="6.0901339829476243E-2"/>
    <n v="1"/>
    <x v="422"/>
    <n v="5.3118655010306516E-6"/>
  </r>
  <r>
    <x v="1"/>
    <x v="2"/>
    <x v="3"/>
    <x v="2"/>
    <n v="122861193.40584016"/>
    <n v="3.6750000000000005E-2"/>
    <x v="85"/>
    <x v="2"/>
    <n v="5"/>
    <n v="5"/>
    <n v="0.10150223304912707"/>
    <n v="1"/>
    <x v="423"/>
    <n v="8.8531091683844202E-6"/>
  </r>
  <r>
    <x v="1"/>
    <x v="2"/>
    <x v="3"/>
    <x v="3"/>
    <n v="122861193.40584016"/>
    <n v="3.6750000000000005E-2"/>
    <x v="85"/>
    <x v="3"/>
    <n v="7"/>
    <n v="7"/>
    <n v="0.14210312626877789"/>
    <n v="1"/>
    <x v="424"/>
    <n v="1.2394352835738186E-5"/>
  </r>
  <r>
    <x v="1"/>
    <x v="2"/>
    <x v="3"/>
    <x v="4"/>
    <n v="122861193.40584016"/>
    <n v="3.6750000000000005E-2"/>
    <x v="85"/>
    <x v="5"/>
    <n v="34.770000000000003"/>
    <n v="33.260000000000005"/>
    <n v="0.67519285424279341"/>
    <n v="1"/>
    <x v="425"/>
    <n v="5.8890882188093166E-5"/>
  </r>
  <r>
    <x v="1"/>
    <x v="2"/>
    <x v="4"/>
    <x v="0"/>
    <n v="122861193.40584016"/>
    <n v="7.4500000000000011E-2"/>
    <x v="86"/>
    <x v="0"/>
    <n v="1"/>
    <n v="1"/>
    <n v="2.0300446609825416E-2"/>
    <n v="1"/>
    <x v="426"/>
    <n v="3.5894238533041593E-6"/>
  </r>
  <r>
    <x v="1"/>
    <x v="2"/>
    <x v="4"/>
    <x v="1"/>
    <n v="122861193.40584016"/>
    <n v="7.4500000000000011E-2"/>
    <x v="86"/>
    <x v="1"/>
    <n v="3"/>
    <n v="3"/>
    <n v="6.0901339829476243E-2"/>
    <n v="1"/>
    <x v="427"/>
    <n v="1.0768271559912479E-5"/>
  </r>
  <r>
    <x v="1"/>
    <x v="2"/>
    <x v="4"/>
    <x v="2"/>
    <n v="122861193.40584016"/>
    <n v="7.4500000000000011E-2"/>
    <x v="86"/>
    <x v="2"/>
    <n v="5"/>
    <n v="5"/>
    <n v="0.10150223304912707"/>
    <n v="1"/>
    <x v="428"/>
    <n v="1.7947119266520796E-5"/>
  </r>
  <r>
    <x v="1"/>
    <x v="2"/>
    <x v="4"/>
    <x v="3"/>
    <n v="122861193.40584016"/>
    <n v="7.4500000000000011E-2"/>
    <x v="86"/>
    <x v="3"/>
    <n v="7"/>
    <n v="7"/>
    <n v="0.14210312626877789"/>
    <n v="1"/>
    <x v="429"/>
    <n v="2.5125966973129109E-5"/>
  </r>
  <r>
    <x v="1"/>
    <x v="2"/>
    <x v="4"/>
    <x v="4"/>
    <n v="122861193.40584016"/>
    <n v="7.4500000000000011E-2"/>
    <x v="86"/>
    <x v="5"/>
    <n v="34.770000000000003"/>
    <n v="33.260000000000005"/>
    <n v="0.67519285424279341"/>
    <n v="1"/>
    <x v="430"/>
    <n v="1.1938423736089635E-4"/>
  </r>
  <r>
    <x v="1"/>
    <x v="2"/>
    <x v="5"/>
    <x v="0"/>
    <n v="122861193.40584016"/>
    <n v="0.19524999999999998"/>
    <x v="87"/>
    <x v="0"/>
    <n v="1"/>
    <n v="1"/>
    <n v="2.0300446609825416E-2"/>
    <n v="1"/>
    <x v="431"/>
    <n v="9.4071813068139191E-6"/>
  </r>
  <r>
    <x v="1"/>
    <x v="2"/>
    <x v="5"/>
    <x v="1"/>
    <n v="122861193.40584016"/>
    <n v="0.19524999999999998"/>
    <x v="87"/>
    <x v="1"/>
    <n v="3"/>
    <n v="3"/>
    <n v="6.0901339829476243E-2"/>
    <n v="1"/>
    <x v="432"/>
    <n v="2.8221543920441754E-5"/>
  </r>
  <r>
    <x v="1"/>
    <x v="2"/>
    <x v="5"/>
    <x v="2"/>
    <n v="122861193.40584016"/>
    <n v="0.19524999999999998"/>
    <x v="87"/>
    <x v="2"/>
    <n v="5"/>
    <n v="5"/>
    <n v="0.10150223304912707"/>
    <n v="1"/>
    <x v="433"/>
    <n v="4.7035906534069592E-5"/>
  </r>
  <r>
    <x v="1"/>
    <x v="2"/>
    <x v="5"/>
    <x v="3"/>
    <n v="122861193.40584016"/>
    <n v="0.19524999999999998"/>
    <x v="87"/>
    <x v="3"/>
    <n v="7"/>
    <n v="7"/>
    <n v="0.14210312626877789"/>
    <n v="1"/>
    <x v="434"/>
    <n v="6.5850269147697417E-5"/>
  </r>
  <r>
    <x v="1"/>
    <x v="2"/>
    <x v="5"/>
    <x v="4"/>
    <n v="122861193.40584016"/>
    <n v="0.19524999999999998"/>
    <x v="87"/>
    <x v="5"/>
    <n v="34.770000000000003"/>
    <n v="33.260000000000005"/>
    <n v="0.67519285424279341"/>
    <n v="1"/>
    <x v="435"/>
    <n v="3.12882850264631E-4"/>
  </r>
  <r>
    <x v="1"/>
    <x v="2"/>
    <x v="6"/>
    <x v="0"/>
    <n v="122861193.40584016"/>
    <n v="4.4499999999999991E-2"/>
    <x v="88"/>
    <x v="0"/>
    <n v="1"/>
    <n v="1"/>
    <n v="2.0300446609825416E-2"/>
    <n v="1"/>
    <x v="436"/>
    <n v="2.1440182747924168E-6"/>
  </r>
  <r>
    <x v="1"/>
    <x v="2"/>
    <x v="6"/>
    <x v="1"/>
    <n v="122861193.40584016"/>
    <n v="4.4499999999999991E-2"/>
    <x v="88"/>
    <x v="1"/>
    <n v="3"/>
    <n v="3"/>
    <n v="6.0901339829476243E-2"/>
    <n v="1"/>
    <x v="437"/>
    <n v="6.4320548243772492E-6"/>
  </r>
  <r>
    <x v="1"/>
    <x v="2"/>
    <x v="6"/>
    <x v="2"/>
    <n v="122861193.40584016"/>
    <n v="4.4499999999999991E-2"/>
    <x v="88"/>
    <x v="2"/>
    <n v="5"/>
    <n v="5"/>
    <n v="0.10150223304912707"/>
    <n v="1"/>
    <x v="438"/>
    <n v="1.0720091373962081E-5"/>
  </r>
  <r>
    <x v="1"/>
    <x v="2"/>
    <x v="6"/>
    <x v="3"/>
    <n v="122861193.40584016"/>
    <n v="4.4499999999999991E-2"/>
    <x v="88"/>
    <x v="3"/>
    <n v="7"/>
    <n v="7"/>
    <n v="0.14210312626877789"/>
    <n v="1"/>
    <x v="439"/>
    <n v="1.5008127923546914E-5"/>
  </r>
  <r>
    <x v="1"/>
    <x v="2"/>
    <x v="6"/>
    <x v="4"/>
    <n v="122861193.40584016"/>
    <n v="4.4499999999999991E-2"/>
    <x v="88"/>
    <x v="5"/>
    <n v="34.770000000000003"/>
    <n v="33.260000000000005"/>
    <n v="0.67519285424279341"/>
    <n v="1"/>
    <x v="440"/>
    <n v="7.1310047819595783E-5"/>
  </r>
  <r>
    <x v="1"/>
    <x v="2"/>
    <x v="7"/>
    <x v="0"/>
    <n v="122861193.40584016"/>
    <n v="8.5500000000000007E-2"/>
    <x v="89"/>
    <x v="0"/>
    <n v="1"/>
    <n v="1"/>
    <n v="2.0300446609825416E-2"/>
    <n v="1"/>
    <x v="441"/>
    <n v="4.1194058987584654E-6"/>
  </r>
  <r>
    <x v="1"/>
    <x v="2"/>
    <x v="7"/>
    <x v="1"/>
    <n v="122861193.40584016"/>
    <n v="8.5500000000000007E-2"/>
    <x v="89"/>
    <x v="1"/>
    <n v="3"/>
    <n v="3"/>
    <n v="6.0901339829476243E-2"/>
    <n v="1"/>
    <x v="442"/>
    <n v="1.2358217696275394E-5"/>
  </r>
  <r>
    <x v="1"/>
    <x v="2"/>
    <x v="7"/>
    <x v="2"/>
    <n v="122861193.40584016"/>
    <n v="8.5500000000000007E-2"/>
    <x v="89"/>
    <x v="2"/>
    <n v="5"/>
    <n v="5"/>
    <n v="0.10150223304912707"/>
    <n v="1"/>
    <x v="443"/>
    <n v="2.0597029493792323E-5"/>
  </r>
  <r>
    <x v="1"/>
    <x v="2"/>
    <x v="7"/>
    <x v="3"/>
    <n v="122861193.40584016"/>
    <n v="8.5500000000000007E-2"/>
    <x v="89"/>
    <x v="3"/>
    <n v="7"/>
    <n v="7"/>
    <n v="0.14210312626877789"/>
    <n v="1"/>
    <x v="444"/>
    <n v="2.8835841291309252E-5"/>
  </r>
  <r>
    <x v="1"/>
    <x v="2"/>
    <x v="7"/>
    <x v="4"/>
    <n v="122861193.40584016"/>
    <n v="8.5500000000000007E-2"/>
    <x v="89"/>
    <x v="5"/>
    <n v="34.770000000000003"/>
    <n v="33.260000000000005"/>
    <n v="0.67519285424279341"/>
    <n v="1"/>
    <x v="445"/>
    <n v="1.3701144019270657E-4"/>
  </r>
  <r>
    <x v="1"/>
    <x v="2"/>
    <x v="8"/>
    <x v="0"/>
    <n v="122861193.40584016"/>
    <n v="6.4000000000000001E-2"/>
    <x v="90"/>
    <x v="0"/>
    <n v="1"/>
    <n v="1"/>
    <n v="2.0300446609825416E-2"/>
    <n v="1"/>
    <x v="446"/>
    <n v="3.0835319008250494E-6"/>
  </r>
  <r>
    <x v="1"/>
    <x v="2"/>
    <x v="8"/>
    <x v="1"/>
    <n v="122861193.40584016"/>
    <n v="6.4000000000000001E-2"/>
    <x v="90"/>
    <x v="1"/>
    <n v="3"/>
    <n v="3"/>
    <n v="6.0901339829476243E-2"/>
    <n v="1"/>
    <x v="447"/>
    <n v="9.2505957024751489E-6"/>
  </r>
  <r>
    <x v="1"/>
    <x v="2"/>
    <x v="8"/>
    <x v="2"/>
    <n v="122861193.40584016"/>
    <n v="6.4000000000000001E-2"/>
    <x v="90"/>
    <x v="2"/>
    <n v="5"/>
    <n v="5"/>
    <n v="0.10150223304912707"/>
    <n v="1"/>
    <x v="448"/>
    <n v="1.5417659504125246E-5"/>
  </r>
  <r>
    <x v="1"/>
    <x v="2"/>
    <x v="8"/>
    <x v="3"/>
    <n v="122861193.40584016"/>
    <n v="6.4000000000000001E-2"/>
    <x v="90"/>
    <x v="3"/>
    <n v="7"/>
    <n v="7"/>
    <n v="0.14210312626877789"/>
    <n v="1"/>
    <x v="449"/>
    <n v="2.1584723305775346E-5"/>
  </r>
  <r>
    <x v="1"/>
    <x v="2"/>
    <x v="8"/>
    <x v="4"/>
    <n v="122861193.40584016"/>
    <n v="6.4000000000000001E-2"/>
    <x v="90"/>
    <x v="5"/>
    <n v="34.770000000000003"/>
    <n v="33.260000000000005"/>
    <n v="0.67519285424279341"/>
    <n v="1"/>
    <x v="450"/>
    <n v="1.0255827102144116E-4"/>
  </r>
  <r>
    <x v="1"/>
    <x v="3"/>
    <x v="0"/>
    <x v="0"/>
    <n v="2137899500.4216602"/>
    <n v="0.28824999999999995"/>
    <x v="91"/>
    <x v="0"/>
    <n v="1"/>
    <n v="1"/>
    <n v="2.0300446609825416E-2"/>
    <n v="1"/>
    <x v="451"/>
    <n v="2.4166310103450125E-4"/>
  </r>
  <r>
    <x v="1"/>
    <x v="3"/>
    <x v="0"/>
    <x v="1"/>
    <n v="2137899500.4216602"/>
    <n v="0.28824999999999995"/>
    <x v="91"/>
    <x v="1"/>
    <n v="3"/>
    <n v="3"/>
    <n v="6.0901339829476243E-2"/>
    <n v="1"/>
    <x v="452"/>
    <n v="7.2498930310350377E-4"/>
  </r>
  <r>
    <x v="1"/>
    <x v="3"/>
    <x v="0"/>
    <x v="2"/>
    <n v="2137899500.4216602"/>
    <n v="0.28824999999999995"/>
    <x v="91"/>
    <x v="2"/>
    <n v="5"/>
    <n v="5"/>
    <n v="0.10150223304912707"/>
    <n v="1"/>
    <x v="453"/>
    <n v="1.2083155051725062E-3"/>
  </r>
  <r>
    <x v="1"/>
    <x v="3"/>
    <x v="0"/>
    <x v="3"/>
    <n v="2137899500.4216602"/>
    <n v="0.28824999999999995"/>
    <x v="91"/>
    <x v="3"/>
    <n v="7"/>
    <n v="7"/>
    <n v="0.14210312626877789"/>
    <n v="1"/>
    <x v="454"/>
    <n v="1.6916417072415084E-3"/>
  </r>
  <r>
    <x v="1"/>
    <x v="3"/>
    <x v="0"/>
    <x v="4"/>
    <n v="2137899500.4216602"/>
    <n v="0.28824999999999995"/>
    <x v="91"/>
    <x v="5"/>
    <n v="34.770000000000003"/>
    <n v="33.260000000000005"/>
    <n v="0.67519285424279341"/>
    <n v="1"/>
    <x v="455"/>
    <n v="8.0377147404075127E-3"/>
  </r>
  <r>
    <x v="1"/>
    <x v="3"/>
    <x v="1"/>
    <x v="0"/>
    <n v="2137899500.4216602"/>
    <n v="0.12437499999999999"/>
    <x v="92"/>
    <x v="0"/>
    <n v="1"/>
    <n v="1"/>
    <n v="2.0300446609825416E-2"/>
    <n v="1"/>
    <x v="456"/>
    <n v="1.042735409927705E-4"/>
  </r>
  <r>
    <x v="1"/>
    <x v="3"/>
    <x v="1"/>
    <x v="1"/>
    <n v="2137899500.4216602"/>
    <n v="0.12437499999999999"/>
    <x v="92"/>
    <x v="1"/>
    <n v="3"/>
    <n v="3"/>
    <n v="6.0901339829476243E-2"/>
    <n v="1"/>
    <x v="457"/>
    <n v="3.1282062297831146E-4"/>
  </r>
  <r>
    <x v="1"/>
    <x v="3"/>
    <x v="1"/>
    <x v="2"/>
    <n v="2137899500.4216602"/>
    <n v="0.12437499999999999"/>
    <x v="92"/>
    <x v="2"/>
    <n v="5"/>
    <n v="5"/>
    <n v="0.10150223304912707"/>
    <n v="1"/>
    <x v="458"/>
    <n v="5.2136770496385239E-4"/>
  </r>
  <r>
    <x v="1"/>
    <x v="3"/>
    <x v="1"/>
    <x v="3"/>
    <n v="2137899500.4216602"/>
    <n v="0.12437499999999999"/>
    <x v="92"/>
    <x v="3"/>
    <n v="7"/>
    <n v="7"/>
    <n v="0.14210312626877789"/>
    <n v="1"/>
    <x v="459"/>
    <n v="7.2991478694939336E-4"/>
  </r>
  <r>
    <x v="1"/>
    <x v="3"/>
    <x v="1"/>
    <x v="4"/>
    <n v="2137899500.4216602"/>
    <n v="0.12437499999999999"/>
    <x v="92"/>
    <x v="5"/>
    <n v="34.770000000000003"/>
    <n v="33.260000000000005"/>
    <n v="0.67519285424279341"/>
    <n v="1"/>
    <x v="460"/>
    <n v="3.4681379734195468E-3"/>
  </r>
  <r>
    <x v="1"/>
    <x v="3"/>
    <x v="2"/>
    <x v="0"/>
    <n v="2137899500.4216602"/>
    <n v="0.18625"/>
    <x v="93"/>
    <x v="0"/>
    <n v="1"/>
    <n v="1"/>
    <n v="2.0300446609825416E-2"/>
    <n v="1"/>
    <x v="461"/>
    <n v="1.5614831766756589E-4"/>
  </r>
  <r>
    <x v="1"/>
    <x v="3"/>
    <x v="2"/>
    <x v="1"/>
    <n v="2137899500.4216602"/>
    <n v="0.18625"/>
    <x v="93"/>
    <x v="1"/>
    <n v="3"/>
    <n v="3"/>
    <n v="6.0901339829476243E-2"/>
    <n v="1"/>
    <x v="462"/>
    <n v="4.6844495300269758E-4"/>
  </r>
  <r>
    <x v="1"/>
    <x v="3"/>
    <x v="2"/>
    <x v="2"/>
    <n v="2137899500.4216602"/>
    <n v="0.18625"/>
    <x v="93"/>
    <x v="2"/>
    <n v="5"/>
    <n v="5"/>
    <n v="0.10150223304912707"/>
    <n v="1"/>
    <x v="463"/>
    <n v="7.8074158833782946E-4"/>
  </r>
  <r>
    <x v="1"/>
    <x v="3"/>
    <x v="2"/>
    <x v="3"/>
    <n v="2137899500.4216602"/>
    <n v="0.18625"/>
    <x v="93"/>
    <x v="3"/>
    <n v="7"/>
    <n v="7"/>
    <n v="0.14210312626877789"/>
    <n v="1"/>
    <x v="464"/>
    <n v="1.093038223672961E-3"/>
  </r>
  <r>
    <x v="1"/>
    <x v="3"/>
    <x v="2"/>
    <x v="4"/>
    <n v="2137899500.4216602"/>
    <n v="0.18625"/>
    <x v="93"/>
    <x v="5"/>
    <n v="34.770000000000003"/>
    <n v="33.260000000000005"/>
    <n v="0.67519285424279341"/>
    <n v="1"/>
    <x v="465"/>
    <n v="5.1934930456232417E-3"/>
  </r>
  <r>
    <x v="1"/>
    <x v="3"/>
    <x v="3"/>
    <x v="0"/>
    <n v="2137899500.4216602"/>
    <n v="1.7000000000000001E-2"/>
    <x v="94"/>
    <x v="0"/>
    <n v="1"/>
    <n v="1"/>
    <n v="2.0300446609825416E-2"/>
    <n v="1"/>
    <x v="466"/>
    <n v="1.4252463894489237E-5"/>
  </r>
  <r>
    <x v="1"/>
    <x v="3"/>
    <x v="3"/>
    <x v="1"/>
    <n v="2137899500.4216602"/>
    <n v="1.7000000000000001E-2"/>
    <x v="94"/>
    <x v="1"/>
    <n v="3"/>
    <n v="3"/>
    <n v="6.0901339829476243E-2"/>
    <n v="1"/>
    <x v="467"/>
    <n v="4.2757391683467707E-5"/>
  </r>
  <r>
    <x v="1"/>
    <x v="3"/>
    <x v="3"/>
    <x v="2"/>
    <n v="2137899500.4216602"/>
    <n v="1.7000000000000001E-2"/>
    <x v="94"/>
    <x v="2"/>
    <n v="5"/>
    <n v="5"/>
    <n v="0.10150223304912707"/>
    <n v="1"/>
    <x v="468"/>
    <n v="7.1262319472446174E-5"/>
  </r>
  <r>
    <x v="1"/>
    <x v="3"/>
    <x v="3"/>
    <x v="3"/>
    <n v="2137899500.4216602"/>
    <n v="1.7000000000000001E-2"/>
    <x v="94"/>
    <x v="3"/>
    <n v="7"/>
    <n v="7"/>
    <n v="0.14210312626877789"/>
    <n v="1"/>
    <x v="469"/>
    <n v="9.9767247261424642E-5"/>
  </r>
  <r>
    <x v="1"/>
    <x v="3"/>
    <x v="3"/>
    <x v="4"/>
    <n v="2137899500.4216602"/>
    <n v="1.7000000000000001E-2"/>
    <x v="94"/>
    <x v="5"/>
    <n v="34.770000000000003"/>
    <n v="33.260000000000005"/>
    <n v="0.67519285424279341"/>
    <n v="1"/>
    <x v="470"/>
    <n v="4.7403694913071207E-4"/>
  </r>
  <r>
    <x v="1"/>
    <x v="3"/>
    <x v="4"/>
    <x v="0"/>
    <n v="2137899500.4216602"/>
    <n v="0.10375000000000002"/>
    <x v="95"/>
    <x v="0"/>
    <n v="1"/>
    <n v="1"/>
    <n v="2.0300446609825416E-2"/>
    <n v="1"/>
    <x v="471"/>
    <n v="8.6981948767838747E-5"/>
  </r>
  <r>
    <x v="1"/>
    <x v="3"/>
    <x v="4"/>
    <x v="1"/>
    <n v="2137899500.4216602"/>
    <n v="0.10375000000000002"/>
    <x v="95"/>
    <x v="1"/>
    <n v="3"/>
    <n v="3"/>
    <n v="6.0901339829476243E-2"/>
    <n v="1"/>
    <x v="472"/>
    <n v="2.609458463035162E-4"/>
  </r>
  <r>
    <x v="1"/>
    <x v="3"/>
    <x v="4"/>
    <x v="2"/>
    <n v="2137899500.4216602"/>
    <n v="0.10375000000000002"/>
    <x v="95"/>
    <x v="2"/>
    <n v="5"/>
    <n v="5"/>
    <n v="0.10150223304912707"/>
    <n v="1"/>
    <x v="473"/>
    <n v="4.3490974383919367E-4"/>
  </r>
  <r>
    <x v="1"/>
    <x v="3"/>
    <x v="4"/>
    <x v="3"/>
    <n v="2137899500.4216602"/>
    <n v="0.10375000000000002"/>
    <x v="95"/>
    <x v="3"/>
    <n v="7"/>
    <n v="7"/>
    <n v="0.14210312626877789"/>
    <n v="1"/>
    <x v="474"/>
    <n v="6.0887364137487108E-4"/>
  </r>
  <r>
    <x v="1"/>
    <x v="3"/>
    <x v="4"/>
    <x v="4"/>
    <n v="2137899500.4216602"/>
    <n v="0.10375000000000002"/>
    <x v="95"/>
    <x v="5"/>
    <n v="34.770000000000003"/>
    <n v="33.260000000000005"/>
    <n v="0.67519285424279341"/>
    <n v="1"/>
    <x v="475"/>
    <n v="2.8930196160183168E-3"/>
  </r>
  <r>
    <x v="1"/>
    <x v="3"/>
    <x v="5"/>
    <x v="0"/>
    <n v="2137899500.4216602"/>
    <n v="7.0250000000000007E-2"/>
    <x v="96"/>
    <x v="0"/>
    <n v="1"/>
    <n v="1"/>
    <n v="2.0300446609825416E-2"/>
    <n v="1"/>
    <x v="476"/>
    <n v="5.8896211093404048E-5"/>
  </r>
  <r>
    <x v="1"/>
    <x v="3"/>
    <x v="5"/>
    <x v="1"/>
    <n v="2137899500.4216602"/>
    <n v="7.0250000000000007E-2"/>
    <x v="96"/>
    <x v="1"/>
    <n v="3"/>
    <n v="3"/>
    <n v="6.0901339829476243E-2"/>
    <n v="1"/>
    <x v="477"/>
    <n v="1.7668863328021214E-4"/>
  </r>
  <r>
    <x v="1"/>
    <x v="3"/>
    <x v="5"/>
    <x v="2"/>
    <n v="2137899500.4216602"/>
    <n v="7.0250000000000007E-2"/>
    <x v="96"/>
    <x v="2"/>
    <n v="5"/>
    <n v="5"/>
    <n v="0.10150223304912707"/>
    <n v="1"/>
    <x v="478"/>
    <n v="2.9448105546702022E-4"/>
  </r>
  <r>
    <x v="1"/>
    <x v="3"/>
    <x v="5"/>
    <x v="3"/>
    <n v="2137899500.4216602"/>
    <n v="7.0250000000000007E-2"/>
    <x v="96"/>
    <x v="3"/>
    <n v="7"/>
    <n v="7"/>
    <n v="0.14210312626877789"/>
    <n v="1"/>
    <x v="479"/>
    <n v="4.1227347765382828E-4"/>
  </r>
  <r>
    <x v="1"/>
    <x v="3"/>
    <x v="5"/>
    <x v="4"/>
    <n v="2137899500.4216602"/>
    <n v="7.0250000000000007E-2"/>
    <x v="96"/>
    <x v="5"/>
    <n v="34.770000000000003"/>
    <n v="33.260000000000005"/>
    <n v="0.67519285424279341"/>
    <n v="1"/>
    <x v="480"/>
    <n v="1.958887980966619E-3"/>
  </r>
  <r>
    <x v="1"/>
    <x v="3"/>
    <x v="6"/>
    <x v="0"/>
    <n v="2137899500.4216602"/>
    <n v="9.6374999999999988E-2"/>
    <x v="97"/>
    <x v="0"/>
    <n v="1"/>
    <n v="1"/>
    <n v="2.0300446609825416E-2"/>
    <n v="1"/>
    <x v="481"/>
    <n v="8.079889457831764E-5"/>
  </r>
  <r>
    <x v="1"/>
    <x v="3"/>
    <x v="6"/>
    <x v="1"/>
    <n v="2137899500.4216602"/>
    <n v="9.6374999999999988E-2"/>
    <x v="97"/>
    <x v="1"/>
    <n v="3"/>
    <n v="3"/>
    <n v="6.0901339829476243E-2"/>
    <n v="1"/>
    <x v="482"/>
    <n v="2.4239668373495288E-4"/>
  </r>
  <r>
    <x v="1"/>
    <x v="3"/>
    <x v="6"/>
    <x v="2"/>
    <n v="2137899500.4216602"/>
    <n v="9.6374999999999988E-2"/>
    <x v="97"/>
    <x v="2"/>
    <n v="5"/>
    <n v="5"/>
    <n v="0.10150223304912707"/>
    <n v="1"/>
    <x v="483"/>
    <n v="4.0399447289158816E-4"/>
  </r>
  <r>
    <x v="1"/>
    <x v="3"/>
    <x v="6"/>
    <x v="3"/>
    <n v="2137899500.4216602"/>
    <n v="9.6374999999999988E-2"/>
    <x v="97"/>
    <x v="3"/>
    <n v="7"/>
    <n v="7"/>
    <n v="0.14210312626877789"/>
    <n v="1"/>
    <x v="484"/>
    <n v="5.6559226204822336E-4"/>
  </r>
  <r>
    <x v="1"/>
    <x v="3"/>
    <x v="6"/>
    <x v="4"/>
    <n v="2137899500.4216602"/>
    <n v="9.6374999999999988E-2"/>
    <x v="97"/>
    <x v="5"/>
    <n v="34.770000000000003"/>
    <n v="33.260000000000005"/>
    <n v="0.67519285424279341"/>
    <n v="1"/>
    <x v="485"/>
    <n v="2.6873712336748451E-3"/>
  </r>
  <r>
    <x v="1"/>
    <x v="3"/>
    <x v="7"/>
    <x v="0"/>
    <n v="2137899500.4216602"/>
    <n v="2.2499999999999999E-2"/>
    <x v="98"/>
    <x v="0"/>
    <n v="1"/>
    <n v="1"/>
    <n v="2.0300446609825416E-2"/>
    <n v="1"/>
    <x v="486"/>
    <n v="1.8863555154471044E-5"/>
  </r>
  <r>
    <x v="1"/>
    <x v="3"/>
    <x v="7"/>
    <x v="1"/>
    <n v="2137899500.4216602"/>
    <n v="2.2499999999999999E-2"/>
    <x v="98"/>
    <x v="1"/>
    <n v="3"/>
    <n v="3"/>
    <n v="6.0901339829476243E-2"/>
    <n v="1"/>
    <x v="487"/>
    <n v="5.6590665463413139E-5"/>
  </r>
  <r>
    <x v="1"/>
    <x v="3"/>
    <x v="7"/>
    <x v="2"/>
    <n v="2137899500.4216602"/>
    <n v="2.2499999999999999E-2"/>
    <x v="98"/>
    <x v="2"/>
    <n v="5"/>
    <n v="5"/>
    <n v="0.10150223304912707"/>
    <n v="1"/>
    <x v="488"/>
    <n v="9.4317775772355235E-5"/>
  </r>
  <r>
    <x v="1"/>
    <x v="3"/>
    <x v="7"/>
    <x v="3"/>
    <n v="2137899500.4216602"/>
    <n v="2.2499999999999999E-2"/>
    <x v="98"/>
    <x v="3"/>
    <n v="7"/>
    <n v="7"/>
    <n v="0.14210312626877789"/>
    <n v="1"/>
    <x v="489"/>
    <n v="1.3204488608129731E-4"/>
  </r>
  <r>
    <x v="1"/>
    <x v="3"/>
    <x v="7"/>
    <x v="4"/>
    <n v="2137899500.4216602"/>
    <n v="2.2499999999999999E-2"/>
    <x v="98"/>
    <x v="5"/>
    <n v="34.770000000000003"/>
    <n v="33.260000000000005"/>
    <n v="0.67519285424279341"/>
    <n v="1"/>
    <x v="490"/>
    <n v="6.2740184443770702E-4"/>
  </r>
  <r>
    <x v="1"/>
    <x v="3"/>
    <x v="8"/>
    <x v="0"/>
    <n v="2137899500.4216602"/>
    <n v="9.1250000000000012E-2"/>
    <x v="99"/>
    <x v="0"/>
    <n v="1"/>
    <n v="1"/>
    <n v="2.0300446609825416E-2"/>
    <n v="1"/>
    <x v="491"/>
    <n v="7.6502195904243708E-5"/>
  </r>
  <r>
    <x v="1"/>
    <x v="3"/>
    <x v="8"/>
    <x v="1"/>
    <n v="2137899500.4216602"/>
    <n v="9.1250000000000012E-2"/>
    <x v="99"/>
    <x v="1"/>
    <n v="3"/>
    <n v="3"/>
    <n v="6.0901339829476243E-2"/>
    <n v="1"/>
    <x v="492"/>
    <n v="2.2950658771273108E-4"/>
  </r>
  <r>
    <x v="1"/>
    <x v="3"/>
    <x v="8"/>
    <x v="2"/>
    <n v="2137899500.4216602"/>
    <n v="9.1250000000000012E-2"/>
    <x v="99"/>
    <x v="2"/>
    <n v="5"/>
    <n v="5"/>
    <n v="0.10150223304912707"/>
    <n v="1"/>
    <x v="493"/>
    <n v="3.825109795212185E-4"/>
  </r>
  <r>
    <x v="1"/>
    <x v="3"/>
    <x v="8"/>
    <x v="3"/>
    <n v="2137899500.4216602"/>
    <n v="9.1250000000000012E-2"/>
    <x v="99"/>
    <x v="3"/>
    <n v="7"/>
    <n v="7"/>
    <n v="0.14210312626877789"/>
    <n v="1"/>
    <x v="494"/>
    <n v="5.3551537132970578E-4"/>
  </r>
  <r>
    <x v="1"/>
    <x v="3"/>
    <x v="8"/>
    <x v="4"/>
    <n v="2137899500.4216602"/>
    <n v="9.1250000000000012E-2"/>
    <x v="99"/>
    <x v="5"/>
    <n v="34.770000000000003"/>
    <n v="33.260000000000005"/>
    <n v="0.67519285424279341"/>
    <n v="1"/>
    <x v="495"/>
    <n v="2.5444630357751457E-3"/>
  </r>
  <r>
    <x v="1"/>
    <x v="4"/>
    <x v="0"/>
    <x v="0"/>
    <n v="168685623.35438263"/>
    <n v="0.17649999999999999"/>
    <x v="100"/>
    <x v="0"/>
    <n v="1"/>
    <n v="1"/>
    <n v="2.0300446609825416E-2"/>
    <n v="1"/>
    <x v="496"/>
    <n v="1.1675527803781228E-5"/>
  </r>
  <r>
    <x v="1"/>
    <x v="4"/>
    <x v="0"/>
    <x v="1"/>
    <n v="168685623.35438263"/>
    <n v="0.17649999999999999"/>
    <x v="100"/>
    <x v="1"/>
    <n v="3"/>
    <n v="3"/>
    <n v="6.0901339829476243E-2"/>
    <n v="1"/>
    <x v="497"/>
    <n v="3.502658341134369E-5"/>
  </r>
  <r>
    <x v="1"/>
    <x v="4"/>
    <x v="0"/>
    <x v="2"/>
    <n v="168685623.35438263"/>
    <n v="0.17649999999999999"/>
    <x v="100"/>
    <x v="2"/>
    <n v="5"/>
    <n v="5"/>
    <n v="0.10150223304912707"/>
    <n v="1"/>
    <x v="498"/>
    <n v="5.837763901890615E-5"/>
  </r>
  <r>
    <x v="1"/>
    <x v="4"/>
    <x v="0"/>
    <x v="3"/>
    <n v="168685623.35438263"/>
    <n v="0.17649999999999999"/>
    <x v="100"/>
    <x v="3"/>
    <n v="7"/>
    <n v="7"/>
    <n v="0.14210312626877789"/>
    <n v="1"/>
    <x v="499"/>
    <n v="8.1728694626468596E-5"/>
  </r>
  <r>
    <x v="1"/>
    <x v="4"/>
    <x v="0"/>
    <x v="4"/>
    <n v="168685623.35438263"/>
    <n v="0.17649999999999999"/>
    <x v="100"/>
    <x v="5"/>
    <n v="34.770000000000003"/>
    <n v="33.260000000000005"/>
    <n v="0.67519285424279341"/>
    <n v="1"/>
    <x v="500"/>
    <n v="3.8832805475376371E-4"/>
  </r>
  <r>
    <x v="1"/>
    <x v="4"/>
    <x v="1"/>
    <x v="0"/>
    <n v="168685623.35438263"/>
    <n v="8.5249999999999992E-2"/>
    <x v="101"/>
    <x v="0"/>
    <n v="1"/>
    <n v="1"/>
    <n v="2.0300446609825416E-2"/>
    <n v="1"/>
    <x v="501"/>
    <n v="5.6393130043759188E-6"/>
  </r>
  <r>
    <x v="1"/>
    <x v="4"/>
    <x v="1"/>
    <x v="1"/>
    <n v="168685623.35438263"/>
    <n v="8.5249999999999992E-2"/>
    <x v="101"/>
    <x v="1"/>
    <n v="3"/>
    <n v="3"/>
    <n v="6.0901339829476243E-2"/>
    <n v="1"/>
    <x v="502"/>
    <n v="1.6917939013127757E-5"/>
  </r>
  <r>
    <x v="1"/>
    <x v="4"/>
    <x v="1"/>
    <x v="2"/>
    <n v="168685623.35438263"/>
    <n v="8.5249999999999992E-2"/>
    <x v="101"/>
    <x v="2"/>
    <n v="5"/>
    <n v="5"/>
    <n v="0.10150223304912707"/>
    <n v="1"/>
    <x v="503"/>
    <n v="2.8196565021879594E-5"/>
  </r>
  <r>
    <x v="1"/>
    <x v="4"/>
    <x v="1"/>
    <x v="3"/>
    <n v="168685623.35438263"/>
    <n v="8.5249999999999992E-2"/>
    <x v="101"/>
    <x v="3"/>
    <n v="7"/>
    <n v="7"/>
    <n v="0.14210312626877789"/>
    <n v="1"/>
    <x v="504"/>
    <n v="3.9475191030631428E-5"/>
  </r>
  <r>
    <x v="1"/>
    <x v="4"/>
    <x v="1"/>
    <x v="4"/>
    <n v="168685623.35438263"/>
    <n v="8.5249999999999992E-2"/>
    <x v="101"/>
    <x v="5"/>
    <n v="34.770000000000003"/>
    <n v="33.260000000000005"/>
    <n v="0.67519285424279341"/>
    <n v="1"/>
    <x v="505"/>
    <n v="1.8756355052554309E-4"/>
  </r>
  <r>
    <x v="1"/>
    <x v="4"/>
    <x v="2"/>
    <x v="0"/>
    <n v="168685623.35438263"/>
    <n v="0.23774999999999999"/>
    <x v="102"/>
    <x v="0"/>
    <n v="1"/>
    <n v="1"/>
    <n v="2.0300446609825416E-2"/>
    <n v="1"/>
    <x v="506"/>
    <n v="1.572723362803959E-5"/>
  </r>
  <r>
    <x v="1"/>
    <x v="4"/>
    <x v="2"/>
    <x v="1"/>
    <n v="168685623.35438263"/>
    <n v="0.23774999999999999"/>
    <x v="102"/>
    <x v="1"/>
    <n v="3"/>
    <n v="3"/>
    <n v="6.0901339829476243E-2"/>
    <n v="1"/>
    <x v="507"/>
    <n v="4.7181700884118763E-5"/>
  </r>
  <r>
    <x v="1"/>
    <x v="4"/>
    <x v="2"/>
    <x v="2"/>
    <n v="168685623.35438263"/>
    <n v="0.23774999999999999"/>
    <x v="102"/>
    <x v="2"/>
    <n v="5"/>
    <n v="5"/>
    <n v="0.10150223304912707"/>
    <n v="1"/>
    <x v="508"/>
    <n v="7.8636168140197943E-5"/>
  </r>
  <r>
    <x v="1"/>
    <x v="4"/>
    <x v="2"/>
    <x v="3"/>
    <n v="168685623.35438263"/>
    <n v="0.23774999999999999"/>
    <x v="102"/>
    <x v="3"/>
    <n v="7"/>
    <n v="7"/>
    <n v="0.14210312626877789"/>
    <n v="1"/>
    <x v="509"/>
    <n v="1.1009063539627711E-4"/>
  </r>
  <r>
    <x v="1"/>
    <x v="4"/>
    <x v="2"/>
    <x v="4"/>
    <n v="168685623.35438263"/>
    <n v="0.23774999999999999"/>
    <x v="102"/>
    <x v="5"/>
    <n v="34.770000000000003"/>
    <n v="33.260000000000005"/>
    <n v="0.67519285424279341"/>
    <n v="1"/>
    <x v="510"/>
    <n v="5.2308779046859682E-4"/>
  </r>
  <r>
    <x v="1"/>
    <x v="4"/>
    <x v="3"/>
    <x v="0"/>
    <n v="168685623.35438263"/>
    <n v="3.6750000000000005E-2"/>
    <x v="103"/>
    <x v="0"/>
    <n v="1"/>
    <n v="1"/>
    <n v="2.0300446609825416E-2"/>
    <n v="1"/>
    <x v="511"/>
    <n v="2.4310234945550158E-6"/>
  </r>
  <r>
    <x v="1"/>
    <x v="4"/>
    <x v="3"/>
    <x v="1"/>
    <n v="168685623.35438263"/>
    <n v="3.6750000000000005E-2"/>
    <x v="103"/>
    <x v="1"/>
    <n v="3"/>
    <n v="3"/>
    <n v="6.0901339829476243E-2"/>
    <n v="1"/>
    <x v="512"/>
    <n v="7.2930704836650474E-6"/>
  </r>
  <r>
    <x v="1"/>
    <x v="4"/>
    <x v="3"/>
    <x v="2"/>
    <n v="168685623.35438263"/>
    <n v="3.6750000000000005E-2"/>
    <x v="103"/>
    <x v="2"/>
    <n v="5"/>
    <n v="5"/>
    <n v="0.10150223304912707"/>
    <n v="1"/>
    <x v="513"/>
    <n v="1.215511747277508E-5"/>
  </r>
  <r>
    <x v="1"/>
    <x v="4"/>
    <x v="3"/>
    <x v="3"/>
    <n v="168685623.35438263"/>
    <n v="3.6750000000000005E-2"/>
    <x v="103"/>
    <x v="3"/>
    <n v="7"/>
    <n v="7"/>
    <n v="0.14210312626877789"/>
    <n v="1"/>
    <x v="514"/>
    <n v="1.701716446188511E-5"/>
  </r>
  <r>
    <x v="1"/>
    <x v="4"/>
    <x v="3"/>
    <x v="4"/>
    <n v="168685623.35438263"/>
    <n v="3.6750000000000005E-2"/>
    <x v="103"/>
    <x v="5"/>
    <n v="34.770000000000003"/>
    <n v="33.260000000000005"/>
    <n v="0.67519285424279341"/>
    <n v="1"/>
    <x v="515"/>
    <n v="8.0855841428899834E-5"/>
  </r>
  <r>
    <x v="1"/>
    <x v="4"/>
    <x v="4"/>
    <x v="0"/>
    <n v="168685623.35438263"/>
    <n v="7.4500000000000011E-2"/>
    <x v="104"/>
    <x v="0"/>
    <n v="1"/>
    <n v="1"/>
    <n v="2.0300446609825416E-2"/>
    <n v="1"/>
    <x v="516"/>
    <n v="4.928197288281597E-6"/>
  </r>
  <r>
    <x v="1"/>
    <x v="4"/>
    <x v="4"/>
    <x v="1"/>
    <n v="168685623.35438263"/>
    <n v="7.4500000000000011E-2"/>
    <x v="104"/>
    <x v="1"/>
    <n v="3"/>
    <n v="3"/>
    <n v="6.0901339829476243E-2"/>
    <n v="1"/>
    <x v="517"/>
    <n v="1.4784591864844791E-5"/>
  </r>
  <r>
    <x v="1"/>
    <x v="4"/>
    <x v="4"/>
    <x v="2"/>
    <n v="168685623.35438263"/>
    <n v="7.4500000000000011E-2"/>
    <x v="104"/>
    <x v="2"/>
    <n v="5"/>
    <n v="5"/>
    <n v="0.10150223304912707"/>
    <n v="1"/>
    <x v="518"/>
    <n v="2.4640986441407983E-5"/>
  </r>
  <r>
    <x v="1"/>
    <x v="4"/>
    <x v="4"/>
    <x v="3"/>
    <n v="168685623.35438263"/>
    <n v="7.4500000000000011E-2"/>
    <x v="104"/>
    <x v="3"/>
    <n v="7"/>
    <n v="7"/>
    <n v="0.14210312626877789"/>
    <n v="1"/>
    <x v="519"/>
    <n v="3.4497381017971174E-5"/>
  </r>
  <r>
    <x v="1"/>
    <x v="4"/>
    <x v="4"/>
    <x v="4"/>
    <n v="168685623.35438263"/>
    <n v="7.4500000000000011E-2"/>
    <x v="104"/>
    <x v="5"/>
    <n v="34.770000000000003"/>
    <n v="33.260000000000005"/>
    <n v="0.67519285424279341"/>
    <n v="1"/>
    <x v="520"/>
    <n v="1.6391184180824592E-4"/>
  </r>
  <r>
    <x v="1"/>
    <x v="4"/>
    <x v="5"/>
    <x v="0"/>
    <n v="168685623.35438263"/>
    <n v="0.19524999999999998"/>
    <x v="105"/>
    <x v="0"/>
    <n v="1"/>
    <n v="1"/>
    <n v="2.0300446609825416E-2"/>
    <n v="1"/>
    <x v="521"/>
    <n v="1.2915845913248073E-5"/>
  </r>
  <r>
    <x v="1"/>
    <x v="4"/>
    <x v="5"/>
    <x v="1"/>
    <n v="168685623.35438263"/>
    <n v="0.19524999999999998"/>
    <x v="105"/>
    <x v="1"/>
    <n v="3"/>
    <n v="3"/>
    <n v="6.0901339829476243E-2"/>
    <n v="1"/>
    <x v="522"/>
    <n v="3.8747537739744219E-5"/>
  </r>
  <r>
    <x v="1"/>
    <x v="4"/>
    <x v="5"/>
    <x v="2"/>
    <n v="168685623.35438263"/>
    <n v="0.19524999999999998"/>
    <x v="105"/>
    <x v="2"/>
    <n v="5"/>
    <n v="5"/>
    <n v="0.10150223304912707"/>
    <n v="1"/>
    <x v="523"/>
    <n v="6.4579229566240359E-5"/>
  </r>
  <r>
    <x v="1"/>
    <x v="4"/>
    <x v="5"/>
    <x v="3"/>
    <n v="168685623.35438263"/>
    <n v="0.19524999999999998"/>
    <x v="105"/>
    <x v="3"/>
    <n v="7"/>
    <n v="7"/>
    <n v="0.14210312626877789"/>
    <n v="1"/>
    <x v="524"/>
    <n v="9.0410921392736505E-5"/>
  </r>
  <r>
    <x v="1"/>
    <x v="4"/>
    <x v="5"/>
    <x v="4"/>
    <n v="168685623.35438263"/>
    <n v="0.19524999999999998"/>
    <x v="105"/>
    <x v="5"/>
    <n v="34.770000000000003"/>
    <n v="33.260000000000005"/>
    <n v="0.67519285424279341"/>
    <n v="1"/>
    <x v="525"/>
    <n v="4.2958103507463103E-4"/>
  </r>
  <r>
    <x v="1"/>
    <x v="4"/>
    <x v="6"/>
    <x v="0"/>
    <n v="168685623.35438263"/>
    <n v="4.4499999999999991E-2"/>
    <x v="106"/>
    <x v="0"/>
    <n v="1"/>
    <n v="1"/>
    <n v="2.0300446609825416E-2"/>
    <n v="1"/>
    <x v="526"/>
    <n v="2.9436883131346437E-6"/>
  </r>
  <r>
    <x v="1"/>
    <x v="4"/>
    <x v="6"/>
    <x v="1"/>
    <n v="168685623.35438263"/>
    <n v="4.4499999999999991E-2"/>
    <x v="106"/>
    <x v="1"/>
    <n v="3"/>
    <n v="3"/>
    <n v="6.0901339829476243E-2"/>
    <n v="1"/>
    <x v="527"/>
    <n v="8.8310649394039305E-6"/>
  </r>
  <r>
    <x v="1"/>
    <x v="4"/>
    <x v="6"/>
    <x v="2"/>
    <n v="168685623.35438263"/>
    <n v="4.4499999999999991E-2"/>
    <x v="106"/>
    <x v="2"/>
    <n v="5"/>
    <n v="5"/>
    <n v="0.10150223304912707"/>
    <n v="1"/>
    <x v="528"/>
    <n v="1.471844156567322E-5"/>
  </r>
  <r>
    <x v="1"/>
    <x v="4"/>
    <x v="6"/>
    <x v="3"/>
    <n v="168685623.35438263"/>
    <n v="4.4499999999999991E-2"/>
    <x v="106"/>
    <x v="3"/>
    <n v="7"/>
    <n v="7"/>
    <n v="0.14210312626877789"/>
    <n v="1"/>
    <x v="529"/>
    <n v="2.0605818191942505E-5"/>
  </r>
  <r>
    <x v="1"/>
    <x v="4"/>
    <x v="6"/>
    <x v="4"/>
    <n v="168685623.35438263"/>
    <n v="4.4499999999999991E-2"/>
    <x v="106"/>
    <x v="5"/>
    <n v="34.770000000000003"/>
    <n v="33.260000000000005"/>
    <n v="0.67519285424279341"/>
    <n v="1"/>
    <x v="530"/>
    <n v="9.790707329485827E-5"/>
  </r>
  <r>
    <x v="1"/>
    <x v="4"/>
    <x v="7"/>
    <x v="0"/>
    <n v="168685623.35438263"/>
    <n v="8.5500000000000007E-2"/>
    <x v="107"/>
    <x v="0"/>
    <n v="1"/>
    <n v="1"/>
    <n v="2.0300446609825416E-2"/>
    <n v="1"/>
    <x v="531"/>
    <n v="5.6558505791688119E-6"/>
  </r>
  <r>
    <x v="1"/>
    <x v="4"/>
    <x v="7"/>
    <x v="1"/>
    <n v="168685623.35438263"/>
    <n v="8.5500000000000007E-2"/>
    <x v="107"/>
    <x v="1"/>
    <n v="3"/>
    <n v="3"/>
    <n v="6.0901339829476243E-2"/>
    <n v="1"/>
    <x v="532"/>
    <n v="1.6967551737506433E-5"/>
  </r>
  <r>
    <x v="1"/>
    <x v="4"/>
    <x v="7"/>
    <x v="2"/>
    <n v="168685623.35438263"/>
    <n v="8.5500000000000007E-2"/>
    <x v="107"/>
    <x v="2"/>
    <n v="5"/>
    <n v="5"/>
    <n v="0.10150223304912707"/>
    <n v="1"/>
    <x v="533"/>
    <n v="2.8279252895844055E-5"/>
  </r>
  <r>
    <x v="1"/>
    <x v="4"/>
    <x v="7"/>
    <x v="3"/>
    <n v="168685623.35438263"/>
    <n v="8.5500000000000007E-2"/>
    <x v="107"/>
    <x v="3"/>
    <n v="7"/>
    <n v="7"/>
    <n v="0.14210312626877789"/>
    <n v="1"/>
    <x v="534"/>
    <n v="3.9590954054181677E-5"/>
  </r>
  <r>
    <x v="1"/>
    <x v="4"/>
    <x v="7"/>
    <x v="4"/>
    <n v="168685623.35438263"/>
    <n v="8.5500000000000007E-2"/>
    <x v="107"/>
    <x v="5"/>
    <n v="34.770000000000003"/>
    <n v="33.260000000000005"/>
    <n v="0.67519285424279341"/>
    <n v="1"/>
    <x v="535"/>
    <n v="1.8811359026315469E-4"/>
  </r>
  <r>
    <x v="1"/>
    <x v="4"/>
    <x v="8"/>
    <x v="0"/>
    <n v="168685623.35438263"/>
    <n v="6.4000000000000001E-2"/>
    <x v="108"/>
    <x v="0"/>
    <n v="1"/>
    <n v="1"/>
    <n v="2.0300446609825416E-2"/>
    <n v="1"/>
    <x v="536"/>
    <n v="4.233619146980163E-6"/>
  </r>
  <r>
    <x v="1"/>
    <x v="4"/>
    <x v="8"/>
    <x v="1"/>
    <n v="168685623.35438263"/>
    <n v="6.4000000000000001E-2"/>
    <x v="108"/>
    <x v="1"/>
    <n v="3"/>
    <n v="3"/>
    <n v="6.0901339829476243E-2"/>
    <n v="1"/>
    <x v="537"/>
    <n v="1.270085744094049E-5"/>
  </r>
  <r>
    <x v="1"/>
    <x v="4"/>
    <x v="8"/>
    <x v="2"/>
    <n v="168685623.35438263"/>
    <n v="6.4000000000000001E-2"/>
    <x v="108"/>
    <x v="2"/>
    <n v="5"/>
    <n v="5"/>
    <n v="0.10150223304912707"/>
    <n v="1"/>
    <x v="538"/>
    <n v="2.1168095734900816E-5"/>
  </r>
  <r>
    <x v="1"/>
    <x v="4"/>
    <x v="8"/>
    <x v="3"/>
    <n v="168685623.35438263"/>
    <n v="6.4000000000000001E-2"/>
    <x v="108"/>
    <x v="3"/>
    <n v="7"/>
    <n v="7"/>
    <n v="0.14210312626877789"/>
    <n v="1"/>
    <x v="539"/>
    <n v="2.9635334028861137E-5"/>
  </r>
  <r>
    <x v="1"/>
    <x v="4"/>
    <x v="8"/>
    <x v="4"/>
    <n v="168685623.35438263"/>
    <n v="6.4000000000000001E-2"/>
    <x v="108"/>
    <x v="5"/>
    <n v="34.770000000000003"/>
    <n v="33.260000000000005"/>
    <n v="0.67519285424279341"/>
    <n v="1"/>
    <x v="540"/>
    <n v="1.4081017282856022E-4"/>
  </r>
  <r>
    <x v="1"/>
    <x v="5"/>
    <x v="0"/>
    <x v="0"/>
    <n v="2097797422.3808711"/>
    <n v="0.28824999999999995"/>
    <x v="109"/>
    <x v="0"/>
    <n v="1"/>
    <n v="1"/>
    <n v="2.0300446609825416E-2"/>
    <n v="1"/>
    <x v="541"/>
    <n v="2.3713005701846905E-4"/>
  </r>
  <r>
    <x v="1"/>
    <x v="5"/>
    <x v="0"/>
    <x v="1"/>
    <n v="2097797422.3808711"/>
    <n v="0.28824999999999995"/>
    <x v="109"/>
    <x v="1"/>
    <n v="3"/>
    <n v="3"/>
    <n v="6.0901339829476243E-2"/>
    <n v="1"/>
    <x v="542"/>
    <n v="7.1139017105540715E-4"/>
  </r>
  <r>
    <x v="1"/>
    <x v="5"/>
    <x v="0"/>
    <x v="2"/>
    <n v="2097797422.3808711"/>
    <n v="0.28824999999999995"/>
    <x v="109"/>
    <x v="2"/>
    <n v="5"/>
    <n v="5"/>
    <n v="0.10150223304912707"/>
    <n v="1"/>
    <x v="543"/>
    <n v="1.1856502850923452E-3"/>
  </r>
  <r>
    <x v="1"/>
    <x v="5"/>
    <x v="0"/>
    <x v="3"/>
    <n v="2097797422.3808711"/>
    <n v="0.28824999999999995"/>
    <x v="109"/>
    <x v="3"/>
    <n v="7"/>
    <n v="7"/>
    <n v="0.14210312626877789"/>
    <n v="1"/>
    <x v="544"/>
    <n v="1.6599103991292833E-3"/>
  </r>
  <r>
    <x v="1"/>
    <x v="5"/>
    <x v="0"/>
    <x v="4"/>
    <n v="2097797422.3808711"/>
    <n v="0.28824999999999995"/>
    <x v="109"/>
    <x v="5"/>
    <n v="34.770000000000003"/>
    <n v="33.260000000000005"/>
    <n v="0.67519285424279341"/>
    <n v="1"/>
    <x v="545"/>
    <n v="7.8869456964342811E-3"/>
  </r>
  <r>
    <x v="1"/>
    <x v="5"/>
    <x v="1"/>
    <x v="0"/>
    <n v="2097797422.3808711"/>
    <n v="0.12437499999999999"/>
    <x v="110"/>
    <x v="0"/>
    <n v="1"/>
    <n v="1"/>
    <n v="2.0300446609825416E-2"/>
    <n v="1"/>
    <x v="546"/>
    <n v="1.0231760916451721E-4"/>
  </r>
  <r>
    <x v="1"/>
    <x v="5"/>
    <x v="1"/>
    <x v="1"/>
    <n v="2097797422.3808711"/>
    <n v="0.12437499999999999"/>
    <x v="110"/>
    <x v="1"/>
    <n v="3"/>
    <n v="3"/>
    <n v="6.0901339829476243E-2"/>
    <n v="1"/>
    <x v="547"/>
    <n v="3.0695282749355164E-4"/>
  </r>
  <r>
    <x v="1"/>
    <x v="5"/>
    <x v="1"/>
    <x v="2"/>
    <n v="2097797422.3808711"/>
    <n v="0.12437499999999999"/>
    <x v="110"/>
    <x v="2"/>
    <n v="5"/>
    <n v="5"/>
    <n v="0.10150223304912707"/>
    <n v="1"/>
    <x v="548"/>
    <n v="5.1158804582258606E-4"/>
  </r>
  <r>
    <x v="1"/>
    <x v="5"/>
    <x v="1"/>
    <x v="3"/>
    <n v="2097797422.3808711"/>
    <n v="0.12437499999999999"/>
    <x v="110"/>
    <x v="3"/>
    <n v="7"/>
    <n v="7"/>
    <n v="0.14210312626877789"/>
    <n v="1"/>
    <x v="549"/>
    <n v="7.1622326415162038E-4"/>
  </r>
  <r>
    <x v="1"/>
    <x v="5"/>
    <x v="1"/>
    <x v="4"/>
    <n v="2097797422.3808711"/>
    <n v="0.12437499999999999"/>
    <x v="110"/>
    <x v="5"/>
    <n v="34.770000000000003"/>
    <n v="33.260000000000005"/>
    <n v="0.67519285424279341"/>
    <n v="1"/>
    <x v="550"/>
    <n v="3.403083680811843E-3"/>
  </r>
  <r>
    <x v="1"/>
    <x v="5"/>
    <x v="2"/>
    <x v="0"/>
    <n v="2097797422.3808711"/>
    <n v="0.18625"/>
    <x v="111"/>
    <x v="0"/>
    <n v="1"/>
    <n v="1"/>
    <n v="2.0300446609825416E-2"/>
    <n v="1"/>
    <x v="551"/>
    <n v="1.532193343267645E-4"/>
  </r>
  <r>
    <x v="1"/>
    <x v="5"/>
    <x v="2"/>
    <x v="1"/>
    <n v="2097797422.3808711"/>
    <n v="0.18625"/>
    <x v="111"/>
    <x v="1"/>
    <n v="3"/>
    <n v="3"/>
    <n v="6.0901339829476243E-2"/>
    <n v="1"/>
    <x v="552"/>
    <n v="4.5965800298029353E-4"/>
  </r>
  <r>
    <x v="1"/>
    <x v="5"/>
    <x v="2"/>
    <x v="2"/>
    <n v="2097797422.3808711"/>
    <n v="0.18625"/>
    <x v="111"/>
    <x v="2"/>
    <n v="5"/>
    <n v="5"/>
    <n v="0.10150223304912707"/>
    <n v="1"/>
    <x v="553"/>
    <n v="7.6609667163382242E-4"/>
  </r>
  <r>
    <x v="1"/>
    <x v="5"/>
    <x v="2"/>
    <x v="3"/>
    <n v="2097797422.3808711"/>
    <n v="0.18625"/>
    <x v="111"/>
    <x v="3"/>
    <n v="7"/>
    <n v="7"/>
    <n v="0.14210312626877789"/>
    <n v="1"/>
    <x v="554"/>
    <n v="1.0725353402873514E-3"/>
  </r>
  <r>
    <x v="1"/>
    <x v="5"/>
    <x v="2"/>
    <x v="4"/>
    <n v="2097797422.3808711"/>
    <n v="0.18625"/>
    <x v="111"/>
    <x v="5"/>
    <n v="34.770000000000003"/>
    <n v="33.260000000000005"/>
    <n v="0.67519285424279341"/>
    <n v="1"/>
    <x v="555"/>
    <n v="5.0960750597081883E-3"/>
  </r>
  <r>
    <x v="1"/>
    <x v="5"/>
    <x v="3"/>
    <x v="0"/>
    <n v="2097797422.3808711"/>
    <n v="1.7000000000000001E-2"/>
    <x v="112"/>
    <x v="0"/>
    <n v="1"/>
    <n v="1"/>
    <n v="2.0300446609825416E-2"/>
    <n v="1"/>
    <x v="556"/>
    <n v="1.3985120448617432E-5"/>
  </r>
  <r>
    <x v="1"/>
    <x v="5"/>
    <x v="3"/>
    <x v="1"/>
    <n v="2097797422.3808711"/>
    <n v="1.7000000000000001E-2"/>
    <x v="112"/>
    <x v="1"/>
    <n v="3"/>
    <n v="3"/>
    <n v="6.0901339829476243E-2"/>
    <n v="1"/>
    <x v="557"/>
    <n v="4.1955361345852288E-5"/>
  </r>
  <r>
    <x v="1"/>
    <x v="5"/>
    <x v="3"/>
    <x v="2"/>
    <n v="2097797422.3808711"/>
    <n v="1.7000000000000001E-2"/>
    <x v="112"/>
    <x v="2"/>
    <n v="5"/>
    <n v="5"/>
    <n v="0.10150223304912707"/>
    <n v="1"/>
    <x v="558"/>
    <n v="6.9925602243087152E-5"/>
  </r>
  <r>
    <x v="1"/>
    <x v="5"/>
    <x v="3"/>
    <x v="3"/>
    <n v="2097797422.3808711"/>
    <n v="1.7000000000000001E-2"/>
    <x v="112"/>
    <x v="3"/>
    <n v="7"/>
    <n v="7"/>
    <n v="0.14210312626877789"/>
    <n v="1"/>
    <x v="559"/>
    <n v="9.7895843140322002E-5"/>
  </r>
  <r>
    <x v="1"/>
    <x v="5"/>
    <x v="3"/>
    <x v="4"/>
    <n v="2097797422.3808711"/>
    <n v="1.7000000000000001E-2"/>
    <x v="112"/>
    <x v="5"/>
    <n v="34.770000000000003"/>
    <n v="33.260000000000005"/>
    <n v="0.67519285424279341"/>
    <n v="1"/>
    <x v="560"/>
    <n v="4.6514510612101582E-4"/>
  </r>
  <r>
    <x v="1"/>
    <x v="5"/>
    <x v="4"/>
    <x v="0"/>
    <n v="2097797422.3808711"/>
    <n v="0.10375000000000002"/>
    <x v="113"/>
    <x v="0"/>
    <n v="1"/>
    <n v="1"/>
    <n v="2.0300446609825416E-2"/>
    <n v="1"/>
    <x v="561"/>
    <n v="8.5350367443768176E-5"/>
  </r>
  <r>
    <x v="1"/>
    <x v="5"/>
    <x v="4"/>
    <x v="1"/>
    <n v="2097797422.3808711"/>
    <n v="0.10375000000000002"/>
    <x v="113"/>
    <x v="1"/>
    <n v="3"/>
    <n v="3"/>
    <n v="6.0901339829476243E-2"/>
    <n v="1"/>
    <x v="562"/>
    <n v="2.5605110233130449E-4"/>
  </r>
  <r>
    <x v="1"/>
    <x v="5"/>
    <x v="4"/>
    <x v="2"/>
    <n v="2097797422.3808711"/>
    <n v="0.10375000000000002"/>
    <x v="113"/>
    <x v="2"/>
    <n v="5"/>
    <n v="5"/>
    <n v="0.10150223304912707"/>
    <n v="1"/>
    <x v="563"/>
    <n v="4.2675183721884081E-4"/>
  </r>
  <r>
    <x v="1"/>
    <x v="5"/>
    <x v="4"/>
    <x v="3"/>
    <n v="2097797422.3808711"/>
    <n v="0.10375000000000002"/>
    <x v="113"/>
    <x v="3"/>
    <n v="7"/>
    <n v="7"/>
    <n v="0.14210312626877789"/>
    <n v="1"/>
    <x v="564"/>
    <n v="5.9745257210637708E-4"/>
  </r>
  <r>
    <x v="1"/>
    <x v="5"/>
    <x v="4"/>
    <x v="4"/>
    <n v="2097797422.3808711"/>
    <n v="0.10375000000000002"/>
    <x v="113"/>
    <x v="5"/>
    <n v="34.770000000000003"/>
    <n v="33.260000000000005"/>
    <n v="0.67519285424279341"/>
    <n v="1"/>
    <x v="565"/>
    <n v="2.8387532211797298E-3"/>
  </r>
  <r>
    <x v="1"/>
    <x v="5"/>
    <x v="5"/>
    <x v="0"/>
    <n v="2097797422.3808711"/>
    <n v="7.0250000000000007E-2"/>
    <x v="114"/>
    <x v="0"/>
    <n v="1"/>
    <n v="1"/>
    <n v="2.0300446609825416E-2"/>
    <n v="1"/>
    <x v="566"/>
    <n v="5.779145361855145E-5"/>
  </r>
  <r>
    <x v="1"/>
    <x v="5"/>
    <x v="5"/>
    <x v="1"/>
    <n v="2097797422.3808711"/>
    <n v="7.0250000000000007E-2"/>
    <x v="114"/>
    <x v="1"/>
    <n v="3"/>
    <n v="3"/>
    <n v="6.0901339829476243E-2"/>
    <n v="1"/>
    <x v="567"/>
    <n v="1.7337436085565434E-4"/>
  </r>
  <r>
    <x v="1"/>
    <x v="5"/>
    <x v="5"/>
    <x v="2"/>
    <n v="2097797422.3808711"/>
    <n v="7.0250000000000007E-2"/>
    <x v="114"/>
    <x v="2"/>
    <n v="5"/>
    <n v="5"/>
    <n v="0.10150223304912707"/>
    <n v="1"/>
    <x v="568"/>
    <n v="2.889572680927572E-4"/>
  </r>
  <r>
    <x v="1"/>
    <x v="5"/>
    <x v="5"/>
    <x v="3"/>
    <n v="2097797422.3808711"/>
    <n v="7.0250000000000007E-2"/>
    <x v="114"/>
    <x v="3"/>
    <n v="7"/>
    <n v="7"/>
    <n v="0.14210312626877789"/>
    <n v="1"/>
    <x v="569"/>
    <n v="4.0454017532986006E-4"/>
  </r>
  <r>
    <x v="1"/>
    <x v="5"/>
    <x v="5"/>
    <x v="4"/>
    <n v="2097797422.3808711"/>
    <n v="7.0250000000000007E-2"/>
    <x v="114"/>
    <x v="5"/>
    <n v="34.770000000000003"/>
    <n v="33.260000000000005"/>
    <n v="0.67519285424279341"/>
    <n v="1"/>
    <x v="570"/>
    <n v="1.9221437473530213E-3"/>
  </r>
  <r>
    <x v="1"/>
    <x v="5"/>
    <x v="6"/>
    <x v="0"/>
    <n v="2097797422.3808711"/>
    <n v="9.6374999999999988E-2"/>
    <x v="115"/>
    <x v="0"/>
    <n v="1"/>
    <n v="1"/>
    <n v="2.0300446609825416E-2"/>
    <n v="1"/>
    <x v="571"/>
    <n v="7.9283293131500281E-5"/>
  </r>
  <r>
    <x v="1"/>
    <x v="5"/>
    <x v="6"/>
    <x v="1"/>
    <n v="2097797422.3808711"/>
    <n v="9.6374999999999988E-2"/>
    <x v="115"/>
    <x v="1"/>
    <n v="3"/>
    <n v="3"/>
    <n v="6.0901339829476243E-2"/>
    <n v="1"/>
    <x v="572"/>
    <n v="2.3784987939450081E-4"/>
  </r>
  <r>
    <x v="1"/>
    <x v="5"/>
    <x v="6"/>
    <x v="2"/>
    <n v="2097797422.3808711"/>
    <n v="9.6374999999999988E-2"/>
    <x v="115"/>
    <x v="2"/>
    <n v="5"/>
    <n v="5"/>
    <n v="0.10150223304912707"/>
    <n v="1"/>
    <x v="573"/>
    <n v="3.9641646565750135E-4"/>
  </r>
  <r>
    <x v="1"/>
    <x v="5"/>
    <x v="6"/>
    <x v="3"/>
    <n v="2097797422.3808711"/>
    <n v="9.6374999999999988E-2"/>
    <x v="115"/>
    <x v="3"/>
    <n v="7"/>
    <n v="7"/>
    <n v="0.14210312626877789"/>
    <n v="1"/>
    <x v="574"/>
    <n v="5.5498305192050186E-4"/>
  </r>
  <r>
    <x v="1"/>
    <x v="5"/>
    <x v="6"/>
    <x v="4"/>
    <n v="2097797422.3808711"/>
    <n v="9.6374999999999988E-2"/>
    <x v="115"/>
    <x v="5"/>
    <n v="34.770000000000003"/>
    <n v="33.260000000000005"/>
    <n v="0.67519285424279341"/>
    <n v="1"/>
    <x v="575"/>
    <n v="2.6369623295536995E-3"/>
  </r>
  <r>
    <x v="1"/>
    <x v="5"/>
    <x v="7"/>
    <x v="0"/>
    <n v="2097797422.3808711"/>
    <n v="2.2499999999999999E-2"/>
    <x v="116"/>
    <x v="0"/>
    <n v="1"/>
    <n v="1"/>
    <n v="2.0300446609825416E-2"/>
    <n v="1"/>
    <x v="576"/>
    <n v="1.8509718240817185E-5"/>
  </r>
  <r>
    <x v="1"/>
    <x v="5"/>
    <x v="7"/>
    <x v="1"/>
    <n v="2097797422.3808711"/>
    <n v="2.2499999999999999E-2"/>
    <x v="116"/>
    <x v="1"/>
    <n v="3"/>
    <n v="3"/>
    <n v="6.0901339829476243E-2"/>
    <n v="1"/>
    <x v="577"/>
    <n v="5.5529154722451549E-5"/>
  </r>
  <r>
    <x v="1"/>
    <x v="5"/>
    <x v="7"/>
    <x v="2"/>
    <n v="2097797422.3808711"/>
    <n v="2.2499999999999999E-2"/>
    <x v="116"/>
    <x v="2"/>
    <n v="5"/>
    <n v="5"/>
    <n v="0.10150223304912707"/>
    <n v="1"/>
    <x v="578"/>
    <n v="9.2548591204085926E-5"/>
  </r>
  <r>
    <x v="1"/>
    <x v="5"/>
    <x v="7"/>
    <x v="3"/>
    <n v="2097797422.3808711"/>
    <n v="2.2499999999999999E-2"/>
    <x v="116"/>
    <x v="3"/>
    <n v="7"/>
    <n v="7"/>
    <n v="0.14210312626877789"/>
    <n v="1"/>
    <x v="579"/>
    <n v="1.295680276857203E-4"/>
  </r>
  <r>
    <x v="1"/>
    <x v="5"/>
    <x v="7"/>
    <x v="4"/>
    <n v="2097797422.3808711"/>
    <n v="2.2499999999999999E-2"/>
    <x v="116"/>
    <x v="5"/>
    <n v="34.770000000000003"/>
    <n v="33.260000000000005"/>
    <n v="0.67519285424279341"/>
    <n v="1"/>
    <x v="580"/>
    <n v="6.1563322868957973E-4"/>
  </r>
  <r>
    <x v="1"/>
    <x v="5"/>
    <x v="8"/>
    <x v="0"/>
    <n v="2097797422.3808711"/>
    <n v="9.1250000000000012E-2"/>
    <x v="117"/>
    <x v="0"/>
    <n v="1"/>
    <n v="1"/>
    <n v="2.0300446609825416E-2"/>
    <n v="1"/>
    <x v="581"/>
    <n v="7.5067190643314155E-5"/>
  </r>
  <r>
    <x v="1"/>
    <x v="5"/>
    <x v="8"/>
    <x v="1"/>
    <n v="2097797422.3808711"/>
    <n v="9.1250000000000012E-2"/>
    <x v="117"/>
    <x v="1"/>
    <n v="3"/>
    <n v="3"/>
    <n v="6.0901339829476243E-2"/>
    <n v="1"/>
    <x v="582"/>
    <n v="2.2520157192994247E-4"/>
  </r>
  <r>
    <x v="1"/>
    <x v="5"/>
    <x v="8"/>
    <x v="2"/>
    <n v="2097797422.3808711"/>
    <n v="9.1250000000000012E-2"/>
    <x v="117"/>
    <x v="2"/>
    <n v="5"/>
    <n v="5"/>
    <n v="0.10150223304912707"/>
    <n v="1"/>
    <x v="583"/>
    <n v="3.7533595321657075E-4"/>
  </r>
  <r>
    <x v="1"/>
    <x v="5"/>
    <x v="8"/>
    <x v="3"/>
    <n v="2097797422.3808711"/>
    <n v="9.1250000000000012E-2"/>
    <x v="117"/>
    <x v="3"/>
    <n v="7"/>
    <n v="7"/>
    <n v="0.14210312626877789"/>
    <n v="1"/>
    <x v="584"/>
    <n v="5.2547033450319901E-4"/>
  </r>
  <r>
    <x v="1"/>
    <x v="5"/>
    <x v="8"/>
    <x v="4"/>
    <n v="2097797422.3808711"/>
    <n v="9.1250000000000012E-2"/>
    <x v="117"/>
    <x v="5"/>
    <n v="34.770000000000003"/>
    <n v="33.260000000000005"/>
    <n v="0.67519285424279341"/>
    <n v="1"/>
    <x v="585"/>
    <n v="2.4967347607966293E-3"/>
  </r>
  <r>
    <x v="1"/>
    <x v="6"/>
    <x v="0"/>
    <x v="0"/>
    <n v="200431253.53778797"/>
    <n v="0.28824999999999995"/>
    <x v="118"/>
    <x v="0"/>
    <n v="1"/>
    <n v="1"/>
    <n v="2.0300446609825416E-2"/>
    <n v="1"/>
    <x v="586"/>
    <n v="2.2656274658664235E-5"/>
  </r>
  <r>
    <x v="1"/>
    <x v="6"/>
    <x v="0"/>
    <x v="1"/>
    <n v="200431253.53778797"/>
    <n v="0.28824999999999995"/>
    <x v="118"/>
    <x v="1"/>
    <n v="3"/>
    <n v="3"/>
    <n v="6.0901339829476243E-2"/>
    <n v="1"/>
    <x v="587"/>
    <n v="6.7968823975992712E-5"/>
  </r>
  <r>
    <x v="1"/>
    <x v="6"/>
    <x v="0"/>
    <x v="2"/>
    <n v="200431253.53778797"/>
    <n v="0.28824999999999995"/>
    <x v="118"/>
    <x v="2"/>
    <n v="5"/>
    <n v="5"/>
    <n v="0.10150223304912707"/>
    <n v="1"/>
    <x v="588"/>
    <n v="1.132813732933212E-4"/>
  </r>
  <r>
    <x v="1"/>
    <x v="6"/>
    <x v="0"/>
    <x v="3"/>
    <n v="200431253.53778797"/>
    <n v="0.28824999999999995"/>
    <x v="118"/>
    <x v="3"/>
    <n v="7"/>
    <n v="7"/>
    <n v="0.14210312626877789"/>
    <n v="1"/>
    <x v="589"/>
    <n v="1.5859392261064964E-4"/>
  </r>
  <r>
    <x v="1"/>
    <x v="6"/>
    <x v="0"/>
    <x v="4"/>
    <n v="200431253.53778797"/>
    <n v="0.28824999999999995"/>
    <x v="118"/>
    <x v="5"/>
    <n v="34.770000000000003"/>
    <n v="33.260000000000005"/>
    <n v="0.67519285424279341"/>
    <n v="1"/>
    <x v="590"/>
    <n v="7.5354769514717271E-4"/>
  </r>
  <r>
    <x v="1"/>
    <x v="6"/>
    <x v="1"/>
    <x v="0"/>
    <n v="200431253.53778797"/>
    <n v="0.12437499999999999"/>
    <x v="119"/>
    <x v="0"/>
    <n v="1"/>
    <n v="1"/>
    <n v="2.0300446609825416E-2"/>
    <n v="1"/>
    <x v="591"/>
    <n v="9.7757993431790622E-6"/>
  </r>
  <r>
    <x v="1"/>
    <x v="6"/>
    <x v="1"/>
    <x v="1"/>
    <n v="200431253.53778797"/>
    <n v="0.12437499999999999"/>
    <x v="119"/>
    <x v="1"/>
    <n v="3"/>
    <n v="3"/>
    <n v="6.0901339829476243E-2"/>
    <n v="1"/>
    <x v="592"/>
    <n v="2.9327398029537185E-5"/>
  </r>
  <r>
    <x v="1"/>
    <x v="6"/>
    <x v="1"/>
    <x v="2"/>
    <n v="200431253.53778797"/>
    <n v="0.12437499999999999"/>
    <x v="119"/>
    <x v="2"/>
    <n v="5"/>
    <n v="5"/>
    <n v="0.10150223304912707"/>
    <n v="1"/>
    <x v="593"/>
    <n v="4.8878996715895306E-5"/>
  </r>
  <r>
    <x v="1"/>
    <x v="6"/>
    <x v="1"/>
    <x v="3"/>
    <n v="200431253.53778797"/>
    <n v="0.12437499999999999"/>
    <x v="119"/>
    <x v="3"/>
    <n v="7"/>
    <n v="7"/>
    <n v="0.14210312626877789"/>
    <n v="1"/>
    <x v="594"/>
    <n v="6.8430595402253427E-5"/>
  </r>
  <r>
    <x v="1"/>
    <x v="6"/>
    <x v="1"/>
    <x v="4"/>
    <n v="200431253.53778797"/>
    <n v="0.12437499999999999"/>
    <x v="119"/>
    <x v="5"/>
    <n v="34.770000000000003"/>
    <n v="33.260000000000005"/>
    <n v="0.67519285424279341"/>
    <n v="1"/>
    <x v="595"/>
    <n v="3.2514308615413565E-4"/>
  </r>
  <r>
    <x v="1"/>
    <x v="6"/>
    <x v="2"/>
    <x v="0"/>
    <n v="200431253.53778797"/>
    <n v="0.18625"/>
    <x v="120"/>
    <x v="0"/>
    <n v="1"/>
    <n v="1"/>
    <n v="2.0300446609825416E-2"/>
    <n v="1"/>
    <x v="596"/>
    <n v="1.463913670486111E-5"/>
  </r>
  <r>
    <x v="1"/>
    <x v="6"/>
    <x v="2"/>
    <x v="1"/>
    <n v="200431253.53778797"/>
    <n v="0.18625"/>
    <x v="120"/>
    <x v="1"/>
    <n v="3"/>
    <n v="3"/>
    <n v="6.0901339829476243E-2"/>
    <n v="1"/>
    <x v="597"/>
    <n v="4.3917410114583325E-5"/>
  </r>
  <r>
    <x v="1"/>
    <x v="6"/>
    <x v="2"/>
    <x v="2"/>
    <n v="200431253.53778797"/>
    <n v="0.18625"/>
    <x v="120"/>
    <x v="2"/>
    <n v="5"/>
    <n v="5"/>
    <n v="0.10150223304912707"/>
    <n v="1"/>
    <x v="598"/>
    <n v="7.3195683524305549E-5"/>
  </r>
  <r>
    <x v="1"/>
    <x v="6"/>
    <x v="2"/>
    <x v="3"/>
    <n v="200431253.53778797"/>
    <n v="0.18625"/>
    <x v="120"/>
    <x v="3"/>
    <n v="7"/>
    <n v="7"/>
    <n v="0.14210312626877789"/>
    <n v="1"/>
    <x v="599"/>
    <n v="1.0247395693402775E-4"/>
  </r>
  <r>
    <x v="1"/>
    <x v="6"/>
    <x v="2"/>
    <x v="4"/>
    <n v="200431253.53778797"/>
    <n v="0.18625"/>
    <x v="120"/>
    <x v="5"/>
    <n v="34.770000000000003"/>
    <n v="33.260000000000005"/>
    <n v="0.67519285424279341"/>
    <n v="1"/>
    <x v="600"/>
    <n v="4.8689768680368057E-4"/>
  </r>
  <r>
    <x v="1"/>
    <x v="6"/>
    <x v="3"/>
    <x v="0"/>
    <n v="200431253.53778797"/>
    <n v="1.7000000000000001E-2"/>
    <x v="121"/>
    <x v="0"/>
    <n v="1"/>
    <n v="1"/>
    <n v="2.0300446609825416E-2"/>
    <n v="1"/>
    <x v="601"/>
    <n v="1.3361896589671888E-6"/>
  </r>
  <r>
    <x v="1"/>
    <x v="6"/>
    <x v="3"/>
    <x v="1"/>
    <n v="200431253.53778797"/>
    <n v="1.7000000000000001E-2"/>
    <x v="121"/>
    <x v="1"/>
    <n v="3"/>
    <n v="3"/>
    <n v="6.0901339829476243E-2"/>
    <n v="1"/>
    <x v="602"/>
    <n v="4.0085689769015659E-6"/>
  </r>
  <r>
    <x v="1"/>
    <x v="6"/>
    <x v="3"/>
    <x v="2"/>
    <n v="200431253.53778797"/>
    <n v="1.7000000000000001E-2"/>
    <x v="121"/>
    <x v="2"/>
    <n v="5"/>
    <n v="5"/>
    <n v="0.10150223304912707"/>
    <n v="1"/>
    <x v="603"/>
    <n v="6.6809482948359435E-6"/>
  </r>
  <r>
    <x v="1"/>
    <x v="6"/>
    <x v="3"/>
    <x v="3"/>
    <n v="200431253.53778797"/>
    <n v="1.7000000000000001E-2"/>
    <x v="121"/>
    <x v="3"/>
    <n v="7"/>
    <n v="7"/>
    <n v="0.14210312626877789"/>
    <n v="1"/>
    <x v="604"/>
    <n v="9.3533276127703202E-6"/>
  </r>
  <r>
    <x v="1"/>
    <x v="6"/>
    <x v="3"/>
    <x v="4"/>
    <n v="200431253.53778797"/>
    <n v="1.7000000000000001E-2"/>
    <x v="121"/>
    <x v="5"/>
    <n v="34.770000000000003"/>
    <n v="33.260000000000005"/>
    <n v="0.67519285424279341"/>
    <n v="1"/>
    <x v="605"/>
    <n v="4.4441668057248698E-5"/>
  </r>
  <r>
    <x v="1"/>
    <x v="6"/>
    <x v="4"/>
    <x v="0"/>
    <n v="200431253.53778797"/>
    <n v="0.10375000000000002"/>
    <x v="122"/>
    <x v="0"/>
    <n v="1"/>
    <n v="1"/>
    <n v="2.0300446609825416E-2"/>
    <n v="1"/>
    <x v="606"/>
    <n v="8.1546868892850497E-6"/>
  </r>
  <r>
    <x v="1"/>
    <x v="6"/>
    <x v="4"/>
    <x v="1"/>
    <n v="200431253.53778797"/>
    <n v="0.10375000000000002"/>
    <x v="122"/>
    <x v="1"/>
    <n v="3"/>
    <n v="3"/>
    <n v="6.0901339829476243E-2"/>
    <n v="1"/>
    <x v="607"/>
    <n v="2.4464060667855147E-5"/>
  </r>
  <r>
    <x v="1"/>
    <x v="6"/>
    <x v="4"/>
    <x v="2"/>
    <n v="200431253.53778797"/>
    <n v="0.10375000000000002"/>
    <x v="122"/>
    <x v="2"/>
    <n v="5"/>
    <n v="5"/>
    <n v="0.10150223304912707"/>
    <n v="1"/>
    <x v="608"/>
    <n v="4.077343444642525E-5"/>
  </r>
  <r>
    <x v="1"/>
    <x v="6"/>
    <x v="4"/>
    <x v="3"/>
    <n v="200431253.53778797"/>
    <n v="0.10375000000000002"/>
    <x v="122"/>
    <x v="3"/>
    <n v="7"/>
    <n v="7"/>
    <n v="0.14210312626877789"/>
    <n v="1"/>
    <x v="609"/>
    <n v="5.7082808224995333E-5"/>
  </r>
  <r>
    <x v="1"/>
    <x v="6"/>
    <x v="4"/>
    <x v="4"/>
    <n v="200431253.53778797"/>
    <n v="0.10375000000000002"/>
    <x v="122"/>
    <x v="5"/>
    <n v="34.770000000000003"/>
    <n v="33.260000000000005"/>
    <n v="0.67519285424279341"/>
    <n v="1"/>
    <x v="610"/>
    <n v="2.7122488593762077E-4"/>
  </r>
  <r>
    <x v="1"/>
    <x v="6"/>
    <x v="5"/>
    <x v="0"/>
    <n v="200431253.53778797"/>
    <n v="7.0250000000000007E-2"/>
    <x v="123"/>
    <x v="0"/>
    <n v="1"/>
    <n v="1"/>
    <n v="2.0300446609825416E-2"/>
    <n v="1"/>
    <x v="611"/>
    <n v="5.5216072672026475E-6"/>
  </r>
  <r>
    <x v="1"/>
    <x v="6"/>
    <x v="5"/>
    <x v="1"/>
    <n v="200431253.53778797"/>
    <n v="7.0250000000000007E-2"/>
    <x v="123"/>
    <x v="1"/>
    <n v="3"/>
    <n v="3"/>
    <n v="6.0901339829476243E-2"/>
    <n v="1"/>
    <x v="612"/>
    <n v="1.6564821801607944E-5"/>
  </r>
  <r>
    <x v="1"/>
    <x v="6"/>
    <x v="5"/>
    <x v="2"/>
    <n v="200431253.53778797"/>
    <n v="7.0250000000000007E-2"/>
    <x v="123"/>
    <x v="2"/>
    <n v="5"/>
    <n v="5"/>
    <n v="0.10150223304912707"/>
    <n v="1"/>
    <x v="613"/>
    <n v="2.7608036336013239E-5"/>
  </r>
  <r>
    <x v="1"/>
    <x v="6"/>
    <x v="5"/>
    <x v="3"/>
    <n v="200431253.53778797"/>
    <n v="7.0250000000000007E-2"/>
    <x v="123"/>
    <x v="3"/>
    <n v="7"/>
    <n v="7"/>
    <n v="0.14210312626877789"/>
    <n v="1"/>
    <x v="614"/>
    <n v="3.8651250870418528E-5"/>
  </r>
  <r>
    <x v="1"/>
    <x v="6"/>
    <x v="5"/>
    <x v="4"/>
    <n v="200431253.53778797"/>
    <n v="7.0250000000000007E-2"/>
    <x v="123"/>
    <x v="5"/>
    <n v="34.770000000000003"/>
    <n v="33.260000000000005"/>
    <n v="0.67519285424279341"/>
    <n v="1"/>
    <x v="615"/>
    <n v="1.8364865770716007E-4"/>
  </r>
  <r>
    <x v="1"/>
    <x v="6"/>
    <x v="6"/>
    <x v="0"/>
    <n v="200431253.53778797"/>
    <n v="9.6374999999999988E-2"/>
    <x v="124"/>
    <x v="0"/>
    <n v="1"/>
    <n v="1"/>
    <n v="2.0300446609825416E-2"/>
    <n v="1"/>
    <x v="616"/>
    <n v="7.5750163754683992E-6"/>
  </r>
  <r>
    <x v="1"/>
    <x v="6"/>
    <x v="6"/>
    <x v="1"/>
    <n v="200431253.53778797"/>
    <n v="9.6374999999999988E-2"/>
    <x v="124"/>
    <x v="1"/>
    <n v="3"/>
    <n v="3"/>
    <n v="6.0901339829476243E-2"/>
    <n v="1"/>
    <x v="617"/>
    <n v="2.2725049126405197E-5"/>
  </r>
  <r>
    <x v="1"/>
    <x v="6"/>
    <x v="6"/>
    <x v="2"/>
    <n v="200431253.53778797"/>
    <n v="9.6374999999999988E-2"/>
    <x v="124"/>
    <x v="2"/>
    <n v="5"/>
    <n v="5"/>
    <n v="0.10150223304912707"/>
    <n v="1"/>
    <x v="618"/>
    <n v="3.7875081877341996E-5"/>
  </r>
  <r>
    <x v="1"/>
    <x v="6"/>
    <x v="6"/>
    <x v="3"/>
    <n v="200431253.53778797"/>
    <n v="9.6374999999999988E-2"/>
    <x v="124"/>
    <x v="3"/>
    <n v="7"/>
    <n v="7"/>
    <n v="0.14210312626877789"/>
    <n v="1"/>
    <x v="619"/>
    <n v="5.3025114628278787E-5"/>
  </r>
  <r>
    <x v="1"/>
    <x v="6"/>
    <x v="6"/>
    <x v="4"/>
    <n v="200431253.53778797"/>
    <n v="9.6374999999999988E-2"/>
    <x v="124"/>
    <x v="5"/>
    <n v="34.770000000000003"/>
    <n v="33.260000000000005"/>
    <n v="0.67519285424279341"/>
    <n v="1"/>
    <x v="620"/>
    <n v="2.5194504464807902E-4"/>
  </r>
  <r>
    <x v="1"/>
    <x v="6"/>
    <x v="7"/>
    <x v="0"/>
    <n v="200431253.53778797"/>
    <n v="2.2499999999999999E-2"/>
    <x v="125"/>
    <x v="0"/>
    <n v="1"/>
    <n v="1"/>
    <n v="2.0300446609825416E-2"/>
    <n v="1"/>
    <x v="621"/>
    <n v="1.7684863133389257E-6"/>
  </r>
  <r>
    <x v="1"/>
    <x v="6"/>
    <x v="7"/>
    <x v="1"/>
    <n v="200431253.53778797"/>
    <n v="2.2499999999999999E-2"/>
    <x v="125"/>
    <x v="1"/>
    <n v="3"/>
    <n v="3"/>
    <n v="6.0901339829476243E-2"/>
    <n v="1"/>
    <x v="622"/>
    <n v="5.3054589400167772E-6"/>
  </r>
  <r>
    <x v="1"/>
    <x v="6"/>
    <x v="7"/>
    <x v="2"/>
    <n v="200431253.53778797"/>
    <n v="2.2499999999999999E-2"/>
    <x v="125"/>
    <x v="2"/>
    <n v="5"/>
    <n v="5"/>
    <n v="0.10150223304912707"/>
    <n v="1"/>
    <x v="623"/>
    <n v="8.8424315666946286E-6"/>
  </r>
  <r>
    <x v="1"/>
    <x v="6"/>
    <x v="7"/>
    <x v="3"/>
    <n v="200431253.53778797"/>
    <n v="2.2499999999999999E-2"/>
    <x v="125"/>
    <x v="3"/>
    <n v="7"/>
    <n v="7"/>
    <n v="0.14210312626877789"/>
    <n v="1"/>
    <x v="624"/>
    <n v="1.2379404193372478E-5"/>
  </r>
  <r>
    <x v="1"/>
    <x v="6"/>
    <x v="7"/>
    <x v="4"/>
    <n v="200431253.53778797"/>
    <n v="2.2499999999999999E-2"/>
    <x v="125"/>
    <x v="5"/>
    <n v="34.770000000000003"/>
    <n v="33.260000000000005"/>
    <n v="0.67519285424279341"/>
    <n v="1"/>
    <x v="625"/>
    <n v="5.8819854781652673E-5"/>
  </r>
  <r>
    <x v="1"/>
    <x v="6"/>
    <x v="8"/>
    <x v="0"/>
    <n v="200431253.53778797"/>
    <n v="9.1250000000000012E-2"/>
    <x v="126"/>
    <x v="0"/>
    <n v="1"/>
    <n v="1"/>
    <n v="2.0300446609825416E-2"/>
    <n v="1"/>
    <x v="626"/>
    <n v="7.1721944929856453E-6"/>
  </r>
  <r>
    <x v="1"/>
    <x v="6"/>
    <x v="8"/>
    <x v="1"/>
    <n v="200431253.53778797"/>
    <n v="9.1250000000000012E-2"/>
    <x v="126"/>
    <x v="1"/>
    <n v="3"/>
    <n v="3"/>
    <n v="6.0901339829476243E-2"/>
    <n v="1"/>
    <x v="627"/>
    <n v="2.1516583478956938E-5"/>
  </r>
  <r>
    <x v="1"/>
    <x v="6"/>
    <x v="8"/>
    <x v="2"/>
    <n v="200431253.53778797"/>
    <n v="9.1250000000000012E-2"/>
    <x v="126"/>
    <x v="2"/>
    <n v="5"/>
    <n v="5"/>
    <n v="0.10150223304912707"/>
    <n v="1"/>
    <x v="628"/>
    <n v="3.5860972464928231E-5"/>
  </r>
  <r>
    <x v="1"/>
    <x v="6"/>
    <x v="8"/>
    <x v="3"/>
    <n v="200431253.53778797"/>
    <n v="9.1250000000000012E-2"/>
    <x v="126"/>
    <x v="3"/>
    <n v="7"/>
    <n v="7"/>
    <n v="0.14210312626877789"/>
    <n v="1"/>
    <x v="629"/>
    <n v="5.0205361450899516E-5"/>
  </r>
  <r>
    <x v="1"/>
    <x v="6"/>
    <x v="8"/>
    <x v="4"/>
    <n v="200431253.53778797"/>
    <n v="9.1250000000000012E-2"/>
    <x v="126"/>
    <x v="5"/>
    <n v="34.770000000000003"/>
    <n v="33.260000000000005"/>
    <n v="0.67519285424279341"/>
    <n v="1"/>
    <x v="630"/>
    <n v="2.3854718883670263E-4"/>
  </r>
  <r>
    <x v="1"/>
    <x v="7"/>
    <x v="0"/>
    <x v="0"/>
    <n v="3044464508.67207"/>
    <n v="0.52124999999999999"/>
    <x v="127"/>
    <x v="0"/>
    <n v="1"/>
    <n v="1"/>
    <n v="2.0300446609825416E-2"/>
    <n v="1"/>
    <x v="631"/>
    <n v="6.2231565443663479E-4"/>
  </r>
  <r>
    <x v="1"/>
    <x v="7"/>
    <x v="0"/>
    <x v="1"/>
    <n v="3044464508.67207"/>
    <n v="0.52124999999999999"/>
    <x v="127"/>
    <x v="1"/>
    <n v="3"/>
    <n v="3"/>
    <n v="6.0901339829476243E-2"/>
    <n v="1"/>
    <x v="632"/>
    <n v="1.8669469633099045E-3"/>
  </r>
  <r>
    <x v="1"/>
    <x v="7"/>
    <x v="0"/>
    <x v="2"/>
    <n v="3044464508.67207"/>
    <n v="0.52124999999999999"/>
    <x v="127"/>
    <x v="2"/>
    <n v="5"/>
    <n v="5"/>
    <n v="0.10150223304912707"/>
    <n v="1"/>
    <x v="633"/>
    <n v="3.1115782721831738E-3"/>
  </r>
  <r>
    <x v="1"/>
    <x v="7"/>
    <x v="0"/>
    <x v="3"/>
    <n v="3044464508.67207"/>
    <n v="0.52124999999999999"/>
    <x v="127"/>
    <x v="3"/>
    <n v="7"/>
    <n v="7"/>
    <n v="0.14210312626877789"/>
    <n v="1"/>
    <x v="634"/>
    <n v="4.3562095810564432E-3"/>
  </r>
  <r>
    <x v="1"/>
    <x v="7"/>
    <x v="0"/>
    <x v="4"/>
    <n v="3044464508.67207"/>
    <n v="0.52124999999999999"/>
    <x v="127"/>
    <x v="5"/>
    <n v="34.770000000000003"/>
    <n v="33.260000000000005"/>
    <n v="0.67519285424279341"/>
    <n v="1"/>
    <x v="635"/>
    <n v="2.0698218666562476E-2"/>
  </r>
  <r>
    <x v="1"/>
    <x v="7"/>
    <x v="1"/>
    <x v="0"/>
    <n v="3044464508.67207"/>
    <n v="1.7250000000000001E-2"/>
    <x v="128"/>
    <x v="0"/>
    <n v="1"/>
    <n v="1"/>
    <n v="2.0300446609825416E-2"/>
    <n v="1"/>
    <x v="636"/>
    <n v="2.0594618779917414E-5"/>
  </r>
  <r>
    <x v="1"/>
    <x v="7"/>
    <x v="1"/>
    <x v="1"/>
    <n v="3044464508.67207"/>
    <n v="1.7250000000000001E-2"/>
    <x v="128"/>
    <x v="1"/>
    <n v="3"/>
    <n v="3"/>
    <n v="6.0901339829476243E-2"/>
    <n v="1"/>
    <x v="637"/>
    <n v="6.1783856339752243E-5"/>
  </r>
  <r>
    <x v="1"/>
    <x v="7"/>
    <x v="1"/>
    <x v="2"/>
    <n v="3044464508.67207"/>
    <n v="1.7250000000000001E-2"/>
    <x v="128"/>
    <x v="2"/>
    <n v="5"/>
    <n v="5"/>
    <n v="0.10150223304912707"/>
    <n v="1"/>
    <x v="638"/>
    <n v="1.0297309389958706E-4"/>
  </r>
  <r>
    <x v="1"/>
    <x v="7"/>
    <x v="1"/>
    <x v="3"/>
    <n v="3044464508.67207"/>
    <n v="1.7250000000000001E-2"/>
    <x v="128"/>
    <x v="3"/>
    <n v="7"/>
    <n v="7"/>
    <n v="0.14210312626877789"/>
    <n v="1"/>
    <x v="639"/>
    <n v="1.4416233145942187E-4"/>
  </r>
  <r>
    <x v="1"/>
    <x v="7"/>
    <x v="1"/>
    <x v="4"/>
    <n v="3044464508.67207"/>
    <n v="1.7250000000000001E-2"/>
    <x v="128"/>
    <x v="5"/>
    <n v="34.770000000000003"/>
    <n v="33.260000000000005"/>
    <n v="0.67519285424279341"/>
    <n v="1"/>
    <x v="640"/>
    <n v="6.8497702062005322E-4"/>
  </r>
  <r>
    <x v="1"/>
    <x v="7"/>
    <x v="2"/>
    <x v="0"/>
    <n v="3044464508.67207"/>
    <n v="9.5499999999999988E-2"/>
    <x v="129"/>
    <x v="0"/>
    <n v="1"/>
    <n v="1"/>
    <n v="2.0300446609825416E-2"/>
    <n v="1"/>
    <x v="641"/>
    <n v="1.1401658512939783E-4"/>
  </r>
  <r>
    <x v="1"/>
    <x v="7"/>
    <x v="2"/>
    <x v="1"/>
    <n v="3044464508.67207"/>
    <n v="9.5499999999999988E-2"/>
    <x v="129"/>
    <x v="1"/>
    <n v="3"/>
    <n v="3"/>
    <n v="6.0901339829476243E-2"/>
    <n v="1"/>
    <x v="642"/>
    <n v="3.4204975538819343E-4"/>
  </r>
  <r>
    <x v="1"/>
    <x v="7"/>
    <x v="2"/>
    <x v="2"/>
    <n v="3044464508.67207"/>
    <n v="9.5499999999999988E-2"/>
    <x v="129"/>
    <x v="2"/>
    <n v="5"/>
    <n v="5"/>
    <n v="0.10150223304912707"/>
    <n v="1"/>
    <x v="643"/>
    <n v="5.7008292564698915E-4"/>
  </r>
  <r>
    <x v="1"/>
    <x v="7"/>
    <x v="2"/>
    <x v="3"/>
    <n v="3044464508.67207"/>
    <n v="9.5499999999999988E-2"/>
    <x v="129"/>
    <x v="3"/>
    <n v="7"/>
    <n v="7"/>
    <n v="0.14210312626877789"/>
    <n v="1"/>
    <x v="644"/>
    <n v="7.981160959057847E-4"/>
  </r>
  <r>
    <x v="1"/>
    <x v="7"/>
    <x v="2"/>
    <x v="4"/>
    <n v="3044464508.67207"/>
    <n v="9.5499999999999988E-2"/>
    <x v="129"/>
    <x v="5"/>
    <n v="34.770000000000003"/>
    <n v="33.260000000000005"/>
    <n v="0.67519285424279341"/>
    <n v="1"/>
    <x v="645"/>
    <n v="3.7921916214037725E-3"/>
  </r>
  <r>
    <x v="1"/>
    <x v="7"/>
    <x v="3"/>
    <x v="0"/>
    <n v="3044464508.67207"/>
    <n v="3.3750000000000002E-2"/>
    <x v="130"/>
    <x v="0"/>
    <n v="1"/>
    <n v="1"/>
    <n v="2.0300446609825416E-2"/>
    <n v="1"/>
    <x v="646"/>
    <n v="4.0293819352012326E-5"/>
  </r>
  <r>
    <x v="1"/>
    <x v="7"/>
    <x v="3"/>
    <x v="1"/>
    <n v="3044464508.67207"/>
    <n v="3.3750000000000002E-2"/>
    <x v="130"/>
    <x v="1"/>
    <n v="3"/>
    <n v="3"/>
    <n v="6.0901339829476243E-2"/>
    <n v="1"/>
    <x v="647"/>
    <n v="1.2088145805603699E-4"/>
  </r>
  <r>
    <x v="1"/>
    <x v="7"/>
    <x v="3"/>
    <x v="2"/>
    <n v="3044464508.67207"/>
    <n v="3.3750000000000002E-2"/>
    <x v="130"/>
    <x v="2"/>
    <n v="5"/>
    <n v="5"/>
    <n v="0.10150223304912707"/>
    <n v="1"/>
    <x v="648"/>
    <n v="2.0146909676006162E-4"/>
  </r>
  <r>
    <x v="1"/>
    <x v="7"/>
    <x v="3"/>
    <x v="3"/>
    <n v="3044464508.67207"/>
    <n v="3.3750000000000002E-2"/>
    <x v="130"/>
    <x v="3"/>
    <n v="7"/>
    <n v="7"/>
    <n v="0.14210312626877789"/>
    <n v="1"/>
    <x v="649"/>
    <n v="2.8205673546408626E-4"/>
  </r>
  <r>
    <x v="1"/>
    <x v="7"/>
    <x v="3"/>
    <x v="4"/>
    <n v="3044464508.67207"/>
    <n v="3.3750000000000002E-2"/>
    <x v="130"/>
    <x v="5"/>
    <n v="34.770000000000003"/>
    <n v="33.260000000000005"/>
    <n v="0.67519285424279341"/>
    <n v="1"/>
    <x v="650"/>
    <n v="1.3401724316479304E-3"/>
  </r>
  <r>
    <x v="1"/>
    <x v="7"/>
    <x v="4"/>
    <x v="0"/>
    <n v="3044464508.67207"/>
    <n v="6.6500000000000004E-2"/>
    <x v="131"/>
    <x v="0"/>
    <n v="1"/>
    <n v="1"/>
    <n v="2.0300446609825416E-2"/>
    <n v="1"/>
    <x v="651"/>
    <n v="7.9393747760261334E-5"/>
  </r>
  <r>
    <x v="1"/>
    <x v="7"/>
    <x v="4"/>
    <x v="1"/>
    <n v="3044464508.67207"/>
    <n v="6.6500000000000004E-2"/>
    <x v="131"/>
    <x v="1"/>
    <n v="3"/>
    <n v="3"/>
    <n v="6.0901339829476243E-2"/>
    <n v="1"/>
    <x v="652"/>
    <n v="2.3818124328078399E-4"/>
  </r>
  <r>
    <x v="1"/>
    <x v="7"/>
    <x v="4"/>
    <x v="2"/>
    <n v="3044464508.67207"/>
    <n v="6.6500000000000004E-2"/>
    <x v="131"/>
    <x v="2"/>
    <n v="5"/>
    <n v="5"/>
    <n v="0.10150223304912707"/>
    <n v="1"/>
    <x v="653"/>
    <n v="3.9696873880130668E-4"/>
  </r>
  <r>
    <x v="1"/>
    <x v="7"/>
    <x v="4"/>
    <x v="3"/>
    <n v="3044464508.67207"/>
    <n v="6.6500000000000004E-2"/>
    <x v="131"/>
    <x v="3"/>
    <n v="7"/>
    <n v="7"/>
    <n v="0.14210312626877789"/>
    <n v="1"/>
    <x v="654"/>
    <n v="5.5575623432182922E-4"/>
  </r>
  <r>
    <x v="1"/>
    <x v="7"/>
    <x v="4"/>
    <x v="4"/>
    <n v="3044464508.67207"/>
    <n v="6.6500000000000004E-2"/>
    <x v="131"/>
    <x v="5"/>
    <n v="34.770000000000003"/>
    <n v="33.260000000000005"/>
    <n v="0.67519285424279341"/>
    <n v="1"/>
    <x v="655"/>
    <n v="2.6406360505062923E-3"/>
  </r>
  <r>
    <x v="1"/>
    <x v="7"/>
    <x v="5"/>
    <x v="0"/>
    <n v="3044464508.67207"/>
    <n v="6.8500000000000005E-2"/>
    <x v="132"/>
    <x v="0"/>
    <n v="1"/>
    <n v="1"/>
    <n v="2.0300446609825416E-2"/>
    <n v="1"/>
    <x v="656"/>
    <n v="8.1781529647787998E-5"/>
  </r>
  <r>
    <x v="1"/>
    <x v="7"/>
    <x v="5"/>
    <x v="1"/>
    <n v="3044464508.67207"/>
    <n v="6.8500000000000005E-2"/>
    <x v="132"/>
    <x v="1"/>
    <n v="3"/>
    <n v="3"/>
    <n v="6.0901339829476243E-2"/>
    <n v="1"/>
    <x v="657"/>
    <n v="2.4534458894336395E-4"/>
  </r>
  <r>
    <x v="1"/>
    <x v="7"/>
    <x v="5"/>
    <x v="2"/>
    <n v="3044464508.67207"/>
    <n v="6.8500000000000005E-2"/>
    <x v="132"/>
    <x v="2"/>
    <n v="5"/>
    <n v="5"/>
    <n v="0.10150223304912707"/>
    <n v="1"/>
    <x v="658"/>
    <n v="4.0890764823893998E-4"/>
  </r>
  <r>
    <x v="1"/>
    <x v="7"/>
    <x v="5"/>
    <x v="3"/>
    <n v="3044464508.67207"/>
    <n v="6.8500000000000005E-2"/>
    <x v="132"/>
    <x v="3"/>
    <n v="7"/>
    <n v="7"/>
    <n v="0.14210312626877789"/>
    <n v="1"/>
    <x v="659"/>
    <n v="5.7247070753451584E-4"/>
  </r>
  <r>
    <x v="1"/>
    <x v="7"/>
    <x v="5"/>
    <x v="4"/>
    <n v="3044464508.67207"/>
    <n v="6.8500000000000005E-2"/>
    <x v="132"/>
    <x v="5"/>
    <n v="34.770000000000003"/>
    <n v="33.260000000000005"/>
    <n v="0.67519285424279341"/>
    <n v="1"/>
    <x v="660"/>
    <n v="2.720053676085429E-3"/>
  </r>
  <r>
    <x v="1"/>
    <x v="7"/>
    <x v="6"/>
    <x v="0"/>
    <n v="3044464508.67207"/>
    <n v="8.8250000000000009E-2"/>
    <x v="133"/>
    <x v="0"/>
    <n v="1"/>
    <n v="1"/>
    <n v="2.0300446609825416E-2"/>
    <n v="1"/>
    <x v="661"/>
    <n v="1.0536087578711374E-4"/>
  </r>
  <r>
    <x v="1"/>
    <x v="7"/>
    <x v="6"/>
    <x v="1"/>
    <n v="3044464508.67207"/>
    <n v="8.8250000000000009E-2"/>
    <x v="133"/>
    <x v="1"/>
    <n v="3"/>
    <n v="3"/>
    <n v="6.0901339829476243E-2"/>
    <n v="1"/>
    <x v="662"/>
    <n v="3.1608262736134124E-4"/>
  </r>
  <r>
    <x v="1"/>
    <x v="7"/>
    <x v="6"/>
    <x v="2"/>
    <n v="3044464508.67207"/>
    <n v="8.8250000000000009E-2"/>
    <x v="133"/>
    <x v="2"/>
    <n v="5"/>
    <n v="5"/>
    <n v="0.10150223304912707"/>
    <n v="1"/>
    <x v="663"/>
    <n v="5.2680437893556865E-4"/>
  </r>
  <r>
    <x v="1"/>
    <x v="7"/>
    <x v="6"/>
    <x v="3"/>
    <n v="3044464508.67207"/>
    <n v="8.8250000000000009E-2"/>
    <x v="133"/>
    <x v="3"/>
    <n v="7"/>
    <n v="7"/>
    <n v="0.14210312626877789"/>
    <n v="1"/>
    <x v="664"/>
    <n v="7.3752613050979607E-4"/>
  </r>
  <r>
    <x v="1"/>
    <x v="7"/>
    <x v="6"/>
    <x v="4"/>
    <n v="3044464508.67207"/>
    <n v="8.8250000000000009E-2"/>
    <x v="133"/>
    <x v="5"/>
    <n v="34.770000000000003"/>
    <n v="33.260000000000005"/>
    <n v="0.67519285424279341"/>
    <n v="1"/>
    <x v="665"/>
    <n v="3.5043027286794036E-3"/>
  </r>
  <r>
    <x v="1"/>
    <x v="7"/>
    <x v="7"/>
    <x v="0"/>
    <n v="3044464508.67207"/>
    <n v="4.8249999999999994E-2"/>
    <x v="134"/>
    <x v="0"/>
    <n v="1"/>
    <n v="1"/>
    <n v="2.0300446609825416E-2"/>
    <n v="1"/>
    <x v="666"/>
    <n v="5.7605238036580581E-5"/>
  </r>
  <r>
    <x v="1"/>
    <x v="7"/>
    <x v="7"/>
    <x v="1"/>
    <n v="3044464508.67207"/>
    <n v="4.8249999999999994E-2"/>
    <x v="134"/>
    <x v="1"/>
    <n v="3"/>
    <n v="3"/>
    <n v="6.0901339829476243E-2"/>
    <n v="1"/>
    <x v="667"/>
    <n v="1.7281571410974171E-4"/>
  </r>
  <r>
    <x v="1"/>
    <x v="7"/>
    <x v="7"/>
    <x v="2"/>
    <n v="3044464508.67207"/>
    <n v="4.8249999999999994E-2"/>
    <x v="134"/>
    <x v="2"/>
    <n v="5"/>
    <n v="5"/>
    <n v="0.10150223304912707"/>
    <n v="1"/>
    <x v="668"/>
    <n v="2.8802619018290288E-4"/>
  </r>
  <r>
    <x v="1"/>
    <x v="7"/>
    <x v="7"/>
    <x v="3"/>
    <n v="3044464508.67207"/>
    <n v="4.8249999999999994E-2"/>
    <x v="134"/>
    <x v="3"/>
    <n v="7"/>
    <n v="7"/>
    <n v="0.14210312626877789"/>
    <n v="1"/>
    <x v="669"/>
    <n v="4.0323666625606395E-4"/>
  </r>
  <r>
    <x v="1"/>
    <x v="7"/>
    <x v="7"/>
    <x v="4"/>
    <n v="3044464508.67207"/>
    <n v="4.8249999999999994E-2"/>
    <x v="134"/>
    <x v="5"/>
    <n v="34.770000000000003"/>
    <n v="33.260000000000005"/>
    <n v="0.67519285424279341"/>
    <n v="1"/>
    <x v="670"/>
    <n v="1.9159502170966703E-3"/>
  </r>
  <r>
    <x v="1"/>
    <x v="7"/>
    <x v="8"/>
    <x v="0"/>
    <n v="3044464508.67207"/>
    <n v="6.0749999999999998E-2"/>
    <x v="135"/>
    <x v="0"/>
    <n v="1"/>
    <n v="1"/>
    <n v="2.0300446609825416E-2"/>
    <n v="1"/>
    <x v="671"/>
    <n v="7.2528874833622191E-5"/>
  </r>
  <r>
    <x v="1"/>
    <x v="7"/>
    <x v="8"/>
    <x v="1"/>
    <n v="3044464508.67207"/>
    <n v="6.0749999999999998E-2"/>
    <x v="135"/>
    <x v="1"/>
    <n v="3"/>
    <n v="3"/>
    <n v="6.0901339829476243E-2"/>
    <n v="1"/>
    <x v="672"/>
    <n v="2.1758662450086657E-4"/>
  </r>
  <r>
    <x v="1"/>
    <x v="7"/>
    <x v="8"/>
    <x v="2"/>
    <n v="3044464508.67207"/>
    <n v="6.0749999999999998E-2"/>
    <x v="135"/>
    <x v="2"/>
    <n v="5"/>
    <n v="5"/>
    <n v="0.10150223304912707"/>
    <n v="1"/>
    <x v="673"/>
    <n v="3.6264437416811101E-4"/>
  </r>
  <r>
    <x v="1"/>
    <x v="7"/>
    <x v="8"/>
    <x v="3"/>
    <n v="3044464508.67207"/>
    <n v="6.0749999999999998E-2"/>
    <x v="135"/>
    <x v="3"/>
    <n v="7"/>
    <n v="7"/>
    <n v="0.14210312626877789"/>
    <n v="1"/>
    <x v="674"/>
    <n v="5.0770212383535534E-4"/>
  </r>
  <r>
    <x v="1"/>
    <x v="7"/>
    <x v="8"/>
    <x v="4"/>
    <n v="3044464508.67207"/>
    <n v="6.0749999999999998E-2"/>
    <x v="135"/>
    <x v="5"/>
    <n v="34.770000000000003"/>
    <n v="33.260000000000005"/>
    <n v="0.67519285424279341"/>
    <n v="1"/>
    <x v="675"/>
    <n v="2.4123103769662746E-3"/>
  </r>
  <r>
    <x v="2"/>
    <x v="0"/>
    <x v="0"/>
    <x v="0"/>
    <n v="40897858608.807022"/>
    <n v="0.24349999999999997"/>
    <x v="136"/>
    <x v="0"/>
    <n v="1"/>
    <n v="1"/>
    <n v="1.8980734554427257E-2"/>
    <n v="1"/>
    <x v="676"/>
    <n v="3.3625345676967194E-3"/>
  </r>
  <r>
    <x v="2"/>
    <x v="0"/>
    <x v="0"/>
    <x v="1"/>
    <n v="40897858608.807022"/>
    <n v="0.24349999999999997"/>
    <x v="136"/>
    <x v="1"/>
    <n v="3"/>
    <n v="3"/>
    <n v="5.6942203663281767E-2"/>
    <n v="1"/>
    <x v="677"/>
    <n v="1.0087603703090156E-2"/>
  </r>
  <r>
    <x v="2"/>
    <x v="0"/>
    <x v="0"/>
    <x v="2"/>
    <n v="40897858608.807022"/>
    <n v="0.24349999999999997"/>
    <x v="136"/>
    <x v="2"/>
    <n v="5"/>
    <n v="5"/>
    <n v="9.490367277213628E-2"/>
    <n v="1"/>
    <x v="678"/>
    <n v="1.6812672838483596E-2"/>
  </r>
  <r>
    <x v="2"/>
    <x v="0"/>
    <x v="0"/>
    <x v="3"/>
    <n v="40897858608.807022"/>
    <n v="0.24349999999999997"/>
    <x v="136"/>
    <x v="3"/>
    <n v="7"/>
    <n v="7"/>
    <n v="0.1328651418809908"/>
    <n v="1"/>
    <x v="679"/>
    <n v="2.3537741973877035E-2"/>
  </r>
  <r>
    <x v="2"/>
    <x v="0"/>
    <x v="0"/>
    <x v="4"/>
    <n v="40897858608.807022"/>
    <n v="0.24349999999999997"/>
    <x v="136"/>
    <x v="6"/>
    <n v="38.15"/>
    <n v="36.685000000000002"/>
    <n v="0.69630824712916395"/>
    <n v="1"/>
    <x v="680"/>
    <n v="0.12335458061595415"/>
  </r>
  <r>
    <x v="2"/>
    <x v="0"/>
    <x v="1"/>
    <x v="0"/>
    <n v="40897858608.807022"/>
    <n v="3.5499999999999997E-2"/>
    <x v="137"/>
    <x v="0"/>
    <n v="1"/>
    <n v="1"/>
    <n v="1.8980734554427257E-2"/>
    <n v="1"/>
    <x v="681"/>
    <n v="4.9022577886338205E-4"/>
  </r>
  <r>
    <x v="2"/>
    <x v="0"/>
    <x v="1"/>
    <x v="1"/>
    <n v="40897858608.807022"/>
    <n v="3.5499999999999997E-2"/>
    <x v="137"/>
    <x v="1"/>
    <n v="3"/>
    <n v="3"/>
    <n v="5.6942203663281767E-2"/>
    <n v="1"/>
    <x v="682"/>
    <n v="1.4706773365901463E-3"/>
  </r>
  <r>
    <x v="2"/>
    <x v="0"/>
    <x v="1"/>
    <x v="2"/>
    <n v="40897858608.807022"/>
    <n v="3.5499999999999997E-2"/>
    <x v="137"/>
    <x v="2"/>
    <n v="5"/>
    <n v="5"/>
    <n v="9.490367277213628E-2"/>
    <n v="1"/>
    <x v="683"/>
    <n v="2.4511288943169104E-3"/>
  </r>
  <r>
    <x v="2"/>
    <x v="0"/>
    <x v="1"/>
    <x v="3"/>
    <n v="40897858608.807022"/>
    <n v="3.5499999999999997E-2"/>
    <x v="137"/>
    <x v="3"/>
    <n v="7"/>
    <n v="7"/>
    <n v="0.1328651418809908"/>
    <n v="1"/>
    <x v="684"/>
    <n v="3.4315804520436751E-3"/>
  </r>
  <r>
    <x v="2"/>
    <x v="0"/>
    <x v="1"/>
    <x v="4"/>
    <n v="40897858608.807022"/>
    <n v="3.5499999999999997E-2"/>
    <x v="137"/>
    <x v="6"/>
    <n v="38.15"/>
    <n v="36.685000000000002"/>
    <n v="0.69630824712916395"/>
    <n v="1"/>
    <x v="685"/>
    <n v="1.7983932697603174E-2"/>
  </r>
  <r>
    <x v="2"/>
    <x v="0"/>
    <x v="2"/>
    <x v="0"/>
    <n v="40897858608.807022"/>
    <n v="0.23275000000000001"/>
    <x v="138"/>
    <x v="0"/>
    <n v="1"/>
    <n v="1"/>
    <n v="1.8980734554427257E-2"/>
    <n v="1"/>
    <x v="686"/>
    <n v="3.2140859163507663E-3"/>
  </r>
  <r>
    <x v="2"/>
    <x v="0"/>
    <x v="2"/>
    <x v="1"/>
    <n v="40897858608.807022"/>
    <n v="0.23275000000000001"/>
    <x v="138"/>
    <x v="1"/>
    <n v="3"/>
    <n v="3"/>
    <n v="5.6942203663281767E-2"/>
    <n v="1"/>
    <x v="687"/>
    <n v="9.6422577490522989E-3"/>
  </r>
  <r>
    <x v="2"/>
    <x v="0"/>
    <x v="2"/>
    <x v="2"/>
    <n v="40897858608.807022"/>
    <n v="0.23275000000000001"/>
    <x v="138"/>
    <x v="2"/>
    <n v="5"/>
    <n v="5"/>
    <n v="9.490367277213628E-2"/>
    <n v="1"/>
    <x v="688"/>
    <n v="1.607042958175383E-2"/>
  </r>
  <r>
    <x v="2"/>
    <x v="0"/>
    <x v="2"/>
    <x v="3"/>
    <n v="40897858608.807022"/>
    <n v="0.23275000000000001"/>
    <x v="138"/>
    <x v="3"/>
    <n v="7"/>
    <n v="7"/>
    <n v="0.1328651418809908"/>
    <n v="1"/>
    <x v="689"/>
    <n v="2.2498601414455362E-2"/>
  </r>
  <r>
    <x v="2"/>
    <x v="0"/>
    <x v="2"/>
    <x v="4"/>
    <n v="40897858608.807022"/>
    <n v="0.23275000000000001"/>
    <x v="138"/>
    <x v="6"/>
    <n v="38.15"/>
    <n v="36.685000000000002"/>
    <n v="0.69630824712916395"/>
    <n v="1"/>
    <x v="690"/>
    <n v="0.11790874184132785"/>
  </r>
  <r>
    <x v="2"/>
    <x v="0"/>
    <x v="3"/>
    <x v="0"/>
    <n v="40897858608.807022"/>
    <n v="1.3500000000000002E-2"/>
    <x v="139"/>
    <x v="0"/>
    <n v="1"/>
    <n v="1"/>
    <n v="1.8980734554427257E-2"/>
    <n v="1"/>
    <x v="691"/>
    <n v="1.8642388773677915E-4"/>
  </r>
  <r>
    <x v="2"/>
    <x v="0"/>
    <x v="3"/>
    <x v="1"/>
    <n v="40897858608.807022"/>
    <n v="1.3500000000000002E-2"/>
    <x v="139"/>
    <x v="1"/>
    <n v="3"/>
    <n v="3"/>
    <n v="5.6942203663281767E-2"/>
    <n v="1"/>
    <x v="692"/>
    <n v="5.5927166321033742E-4"/>
  </r>
  <r>
    <x v="2"/>
    <x v="0"/>
    <x v="3"/>
    <x v="2"/>
    <n v="40897858608.807022"/>
    <n v="1.3500000000000002E-2"/>
    <x v="139"/>
    <x v="2"/>
    <n v="5"/>
    <n v="5"/>
    <n v="9.490367277213628E-2"/>
    <n v="1"/>
    <x v="693"/>
    <n v="9.3211943868389566E-4"/>
  </r>
  <r>
    <x v="2"/>
    <x v="0"/>
    <x v="3"/>
    <x v="3"/>
    <n v="40897858608.807022"/>
    <n v="1.3500000000000002E-2"/>
    <x v="139"/>
    <x v="3"/>
    <n v="7"/>
    <n v="7"/>
    <n v="0.1328651418809908"/>
    <n v="1"/>
    <x v="694"/>
    <n v="1.3049672141574541E-3"/>
  </r>
  <r>
    <x v="2"/>
    <x v="0"/>
    <x v="3"/>
    <x v="4"/>
    <n v="40897858608.807022"/>
    <n v="1.3500000000000002E-2"/>
    <x v="139"/>
    <x v="6"/>
    <n v="38.15"/>
    <n v="36.685000000000002"/>
    <n v="0.69630824712916395"/>
    <n v="1"/>
    <x v="695"/>
    <n v="6.838960321623744E-3"/>
  </r>
  <r>
    <x v="2"/>
    <x v="0"/>
    <x v="4"/>
    <x v="0"/>
    <n v="40897858608.807022"/>
    <n v="0.1125"/>
    <x v="140"/>
    <x v="0"/>
    <n v="1"/>
    <n v="1"/>
    <n v="1.8980734554427257E-2"/>
    <n v="1"/>
    <x v="696"/>
    <n v="1.5535323978064929E-3"/>
  </r>
  <r>
    <x v="2"/>
    <x v="0"/>
    <x v="4"/>
    <x v="1"/>
    <n v="40897858608.807022"/>
    <n v="0.1125"/>
    <x v="140"/>
    <x v="1"/>
    <n v="3"/>
    <n v="3"/>
    <n v="5.6942203663281767E-2"/>
    <n v="1"/>
    <x v="697"/>
    <n v="4.6605971934194782E-3"/>
  </r>
  <r>
    <x v="2"/>
    <x v="0"/>
    <x v="4"/>
    <x v="2"/>
    <n v="40897858608.807022"/>
    <n v="0.1125"/>
    <x v="140"/>
    <x v="2"/>
    <n v="5"/>
    <n v="5"/>
    <n v="9.490367277213628E-2"/>
    <n v="1"/>
    <x v="698"/>
    <n v="7.7676619890324639E-3"/>
  </r>
  <r>
    <x v="2"/>
    <x v="0"/>
    <x v="4"/>
    <x v="3"/>
    <n v="40897858608.807022"/>
    <n v="0.1125"/>
    <x v="140"/>
    <x v="3"/>
    <n v="7"/>
    <n v="7"/>
    <n v="0.1328651418809908"/>
    <n v="1"/>
    <x v="699"/>
    <n v="1.0874726784645451E-2"/>
  </r>
  <r>
    <x v="2"/>
    <x v="0"/>
    <x v="4"/>
    <x v="4"/>
    <n v="40897858608.807022"/>
    <n v="0.1125"/>
    <x v="140"/>
    <x v="6"/>
    <n v="38.15"/>
    <n v="36.685000000000002"/>
    <n v="0.69630824712916395"/>
    <n v="1"/>
    <x v="700"/>
    <n v="5.6991336013531187E-2"/>
  </r>
  <r>
    <x v="2"/>
    <x v="0"/>
    <x v="5"/>
    <x v="0"/>
    <n v="40897858608.807022"/>
    <n v="7.8750000000000001E-2"/>
    <x v="141"/>
    <x v="0"/>
    <n v="1"/>
    <n v="1"/>
    <n v="1.8980734554427257E-2"/>
    <n v="1"/>
    <x v="701"/>
    <n v="1.0874726784645449E-3"/>
  </r>
  <r>
    <x v="2"/>
    <x v="0"/>
    <x v="5"/>
    <x v="1"/>
    <n v="40897858608.807022"/>
    <n v="7.8750000000000001E-2"/>
    <x v="141"/>
    <x v="1"/>
    <n v="3"/>
    <n v="3"/>
    <n v="5.6942203663281767E-2"/>
    <n v="1"/>
    <x v="702"/>
    <n v="3.2624180353936346E-3"/>
  </r>
  <r>
    <x v="2"/>
    <x v="0"/>
    <x v="5"/>
    <x v="2"/>
    <n v="40897858608.807022"/>
    <n v="7.8750000000000001E-2"/>
    <x v="141"/>
    <x v="2"/>
    <n v="5"/>
    <n v="5"/>
    <n v="9.490367277213628E-2"/>
    <n v="1"/>
    <x v="703"/>
    <n v="5.4373633923227244E-3"/>
  </r>
  <r>
    <x v="2"/>
    <x v="0"/>
    <x v="5"/>
    <x v="3"/>
    <n v="40897858608.807022"/>
    <n v="7.8750000000000001E-2"/>
    <x v="141"/>
    <x v="3"/>
    <n v="7"/>
    <n v="7"/>
    <n v="0.1328651418809908"/>
    <n v="1"/>
    <x v="704"/>
    <n v="7.6123087492518142E-3"/>
  </r>
  <r>
    <x v="2"/>
    <x v="0"/>
    <x v="5"/>
    <x v="4"/>
    <n v="40897858608.807022"/>
    <n v="7.8750000000000001E-2"/>
    <x v="141"/>
    <x v="6"/>
    <n v="38.15"/>
    <n v="36.685000000000002"/>
    <n v="0.69630824712916395"/>
    <n v="1"/>
    <x v="705"/>
    <n v="3.9893935209471827E-2"/>
  </r>
  <r>
    <x v="2"/>
    <x v="0"/>
    <x v="6"/>
    <x v="0"/>
    <n v="40897858608.807022"/>
    <n v="6.7250000000000004E-2"/>
    <x v="142"/>
    <x v="0"/>
    <n v="1"/>
    <n v="1"/>
    <n v="1.8980734554427257E-2"/>
    <n v="1"/>
    <x v="706"/>
    <n v="9.2866714446654787E-4"/>
  </r>
  <r>
    <x v="2"/>
    <x v="0"/>
    <x v="6"/>
    <x v="1"/>
    <n v="40897858608.807022"/>
    <n v="6.7250000000000004E-2"/>
    <x v="142"/>
    <x v="1"/>
    <n v="3"/>
    <n v="3"/>
    <n v="5.6942203663281767E-2"/>
    <n v="1"/>
    <x v="707"/>
    <n v="2.7860014333996432E-3"/>
  </r>
  <r>
    <x v="2"/>
    <x v="0"/>
    <x v="6"/>
    <x v="2"/>
    <n v="40897858608.807022"/>
    <n v="6.7250000000000004E-2"/>
    <x v="142"/>
    <x v="2"/>
    <n v="5"/>
    <n v="5"/>
    <n v="9.490367277213628E-2"/>
    <n v="1"/>
    <x v="708"/>
    <n v="4.6433357223327389E-3"/>
  </r>
  <r>
    <x v="2"/>
    <x v="0"/>
    <x v="6"/>
    <x v="3"/>
    <n v="40897858608.807022"/>
    <n v="6.7250000000000004E-2"/>
    <x v="142"/>
    <x v="3"/>
    <n v="7"/>
    <n v="7"/>
    <n v="0.1328651418809908"/>
    <n v="1"/>
    <x v="709"/>
    <n v="6.5006700112658347E-3"/>
  </r>
  <r>
    <x v="2"/>
    <x v="0"/>
    <x v="6"/>
    <x v="4"/>
    <n v="40897858608.807022"/>
    <n v="6.7250000000000004E-2"/>
    <x v="142"/>
    <x v="6"/>
    <n v="38.15"/>
    <n v="36.685000000000002"/>
    <n v="0.69630824712916395"/>
    <n v="1"/>
    <x v="710"/>
    <n v="3.4068154194755305E-2"/>
  </r>
  <r>
    <x v="2"/>
    <x v="0"/>
    <x v="7"/>
    <x v="0"/>
    <n v="40897858608.807022"/>
    <n v="0.18149999999999999"/>
    <x v="143"/>
    <x v="0"/>
    <n v="1"/>
    <n v="1"/>
    <n v="1.8980734554427257E-2"/>
    <n v="1"/>
    <x v="711"/>
    <n v="2.5063656017944749E-3"/>
  </r>
  <r>
    <x v="2"/>
    <x v="0"/>
    <x v="7"/>
    <x v="1"/>
    <n v="40897858608.807022"/>
    <n v="0.18149999999999999"/>
    <x v="143"/>
    <x v="1"/>
    <n v="3"/>
    <n v="3"/>
    <n v="5.6942203663281767E-2"/>
    <n v="1"/>
    <x v="712"/>
    <n v="7.5190968053834243E-3"/>
  </r>
  <r>
    <x v="2"/>
    <x v="0"/>
    <x v="7"/>
    <x v="2"/>
    <n v="40897858608.807022"/>
    <n v="0.18149999999999999"/>
    <x v="143"/>
    <x v="2"/>
    <n v="5"/>
    <n v="5"/>
    <n v="9.490367277213628E-2"/>
    <n v="1"/>
    <x v="713"/>
    <n v="1.2531828008972373E-2"/>
  </r>
  <r>
    <x v="2"/>
    <x v="0"/>
    <x v="7"/>
    <x v="3"/>
    <n v="40897858608.807022"/>
    <n v="0.18149999999999999"/>
    <x v="143"/>
    <x v="3"/>
    <n v="7"/>
    <n v="7"/>
    <n v="0.1328651418809908"/>
    <n v="1"/>
    <x v="714"/>
    <n v="1.7544559212561324E-2"/>
  </r>
  <r>
    <x v="2"/>
    <x v="0"/>
    <x v="7"/>
    <x v="4"/>
    <n v="40897858608.807022"/>
    <n v="0.18149999999999999"/>
    <x v="143"/>
    <x v="6"/>
    <n v="38.15"/>
    <n v="36.685000000000002"/>
    <n v="0.69630824712916395"/>
    <n v="1"/>
    <x v="715"/>
    <n v="9.194602210183031E-2"/>
  </r>
  <r>
    <x v="2"/>
    <x v="0"/>
    <x v="8"/>
    <x v="0"/>
    <n v="40897858608.807022"/>
    <n v="3.4750000000000003E-2"/>
    <x v="144"/>
    <x v="0"/>
    <n v="1"/>
    <n v="1"/>
    <n v="1.8980734554427257E-2"/>
    <n v="1"/>
    <x v="716"/>
    <n v="4.7986889621133891E-4"/>
  </r>
  <r>
    <x v="2"/>
    <x v="0"/>
    <x v="8"/>
    <x v="1"/>
    <n v="40897858608.807022"/>
    <n v="3.4750000000000003E-2"/>
    <x v="144"/>
    <x v="1"/>
    <n v="3"/>
    <n v="3"/>
    <n v="5.6942203663281767E-2"/>
    <n v="1"/>
    <x v="717"/>
    <n v="1.4396066886340167E-3"/>
  </r>
  <r>
    <x v="2"/>
    <x v="0"/>
    <x v="8"/>
    <x v="2"/>
    <n v="40897858608.807022"/>
    <n v="3.4750000000000003E-2"/>
    <x v="144"/>
    <x v="2"/>
    <n v="5"/>
    <n v="5"/>
    <n v="9.490367277213628E-2"/>
    <n v="1"/>
    <x v="718"/>
    <n v="2.3993444810566948E-3"/>
  </r>
  <r>
    <x v="2"/>
    <x v="0"/>
    <x v="8"/>
    <x v="3"/>
    <n v="40897858608.807022"/>
    <n v="3.4750000000000003E-2"/>
    <x v="144"/>
    <x v="3"/>
    <n v="7"/>
    <n v="7"/>
    <n v="0.1328651418809908"/>
    <n v="1"/>
    <x v="719"/>
    <n v="3.3590822734793726E-3"/>
  </r>
  <r>
    <x v="2"/>
    <x v="0"/>
    <x v="8"/>
    <x v="4"/>
    <n v="40897858608.807022"/>
    <n v="3.4750000000000003E-2"/>
    <x v="144"/>
    <x v="6"/>
    <n v="38.15"/>
    <n v="36.685000000000002"/>
    <n v="0.69630824712916395"/>
    <n v="1"/>
    <x v="720"/>
    <n v="1.7603990457512972E-2"/>
  </r>
  <r>
    <x v="2"/>
    <x v="1"/>
    <x v="0"/>
    <x v="0"/>
    <n v="6533218281.3236027"/>
    <n v="0.24349999999999997"/>
    <x v="145"/>
    <x v="0"/>
    <n v="1"/>
    <n v="1"/>
    <n v="1.8980734554427257E-2"/>
    <n v="1"/>
    <x v="721"/>
    <n v="5.3714725065160491E-4"/>
  </r>
  <r>
    <x v="2"/>
    <x v="1"/>
    <x v="0"/>
    <x v="1"/>
    <n v="6533218281.3236027"/>
    <n v="0.24349999999999997"/>
    <x v="145"/>
    <x v="1"/>
    <n v="3"/>
    <n v="3"/>
    <n v="5.6942203663281767E-2"/>
    <n v="1"/>
    <x v="722"/>
    <n v="1.6114417519548147E-3"/>
  </r>
  <r>
    <x v="2"/>
    <x v="1"/>
    <x v="0"/>
    <x v="2"/>
    <n v="6533218281.3236027"/>
    <n v="0.24349999999999997"/>
    <x v="145"/>
    <x v="2"/>
    <n v="5"/>
    <n v="5"/>
    <n v="9.490367277213628E-2"/>
    <n v="1"/>
    <x v="723"/>
    <n v="2.6857362532580246E-3"/>
  </r>
  <r>
    <x v="2"/>
    <x v="1"/>
    <x v="0"/>
    <x v="3"/>
    <n v="6533218281.3236027"/>
    <n v="0.24349999999999997"/>
    <x v="145"/>
    <x v="3"/>
    <n v="7"/>
    <n v="7"/>
    <n v="0.1328651418809908"/>
    <n v="1"/>
    <x v="724"/>
    <n v="3.7600307545612344E-3"/>
  </r>
  <r>
    <x v="2"/>
    <x v="1"/>
    <x v="0"/>
    <x v="4"/>
    <n v="6533218281.3236027"/>
    <n v="0.24349999999999997"/>
    <x v="145"/>
    <x v="6"/>
    <n v="38.15"/>
    <n v="36.685000000000002"/>
    <n v="0.69630824712916395"/>
    <n v="1"/>
    <x v="725"/>
    <n v="1.9705246890154127E-2"/>
  </r>
  <r>
    <x v="2"/>
    <x v="1"/>
    <x v="1"/>
    <x v="0"/>
    <n v="6533218281.3236027"/>
    <n v="3.5499999999999997E-2"/>
    <x v="146"/>
    <x v="0"/>
    <n v="1"/>
    <n v="1"/>
    <n v="1.8980734554427257E-2"/>
    <n v="1"/>
    <x v="726"/>
    <n v="7.8310995474874652E-5"/>
  </r>
  <r>
    <x v="2"/>
    <x v="1"/>
    <x v="1"/>
    <x v="1"/>
    <n v="6533218281.3236027"/>
    <n v="3.5499999999999997E-2"/>
    <x v="146"/>
    <x v="1"/>
    <n v="3"/>
    <n v="3"/>
    <n v="5.6942203663281767E-2"/>
    <n v="1"/>
    <x v="727"/>
    <n v="2.3493298642462393E-4"/>
  </r>
  <r>
    <x v="2"/>
    <x v="1"/>
    <x v="1"/>
    <x v="2"/>
    <n v="6533218281.3236027"/>
    <n v="3.5499999999999997E-2"/>
    <x v="146"/>
    <x v="2"/>
    <n v="5"/>
    <n v="5"/>
    <n v="9.490367277213628E-2"/>
    <n v="1"/>
    <x v="728"/>
    <n v="3.9155497737437318E-4"/>
  </r>
  <r>
    <x v="2"/>
    <x v="1"/>
    <x v="1"/>
    <x v="3"/>
    <n v="6533218281.3236027"/>
    <n v="3.5499999999999997E-2"/>
    <x v="146"/>
    <x v="3"/>
    <n v="7"/>
    <n v="7"/>
    <n v="0.1328651418809908"/>
    <n v="1"/>
    <x v="729"/>
    <n v="5.4817696832412254E-4"/>
  </r>
  <r>
    <x v="2"/>
    <x v="1"/>
    <x v="1"/>
    <x v="4"/>
    <n v="6533218281.3236027"/>
    <n v="3.5499999999999997E-2"/>
    <x v="146"/>
    <x v="6"/>
    <n v="38.15"/>
    <n v="36.685000000000002"/>
    <n v="0.69630824712916395"/>
    <n v="1"/>
    <x v="730"/>
    <n v="2.8728388689957768E-3"/>
  </r>
  <r>
    <x v="2"/>
    <x v="1"/>
    <x v="2"/>
    <x v="0"/>
    <n v="6533218281.3236027"/>
    <n v="0.23275000000000001"/>
    <x v="147"/>
    <x v="0"/>
    <n v="1"/>
    <n v="1"/>
    <n v="1.8980734554427257E-2"/>
    <n v="1"/>
    <x v="731"/>
    <n v="5.1343335765569227E-4"/>
  </r>
  <r>
    <x v="2"/>
    <x v="1"/>
    <x v="2"/>
    <x v="1"/>
    <n v="6533218281.3236027"/>
    <n v="0.23275000000000001"/>
    <x v="147"/>
    <x v="1"/>
    <n v="3"/>
    <n v="3"/>
    <n v="5.6942203663281767E-2"/>
    <n v="1"/>
    <x v="732"/>
    <n v="1.5403000729670767E-3"/>
  </r>
  <r>
    <x v="2"/>
    <x v="1"/>
    <x v="2"/>
    <x v="2"/>
    <n v="6533218281.3236027"/>
    <n v="0.23275000000000001"/>
    <x v="147"/>
    <x v="2"/>
    <n v="5"/>
    <n v="5"/>
    <n v="9.490367277213628E-2"/>
    <n v="1"/>
    <x v="733"/>
    <n v="2.5671667882784617E-3"/>
  </r>
  <r>
    <x v="2"/>
    <x v="1"/>
    <x v="2"/>
    <x v="3"/>
    <n v="6533218281.3236027"/>
    <n v="0.23275000000000001"/>
    <x v="147"/>
    <x v="3"/>
    <n v="7"/>
    <n v="7"/>
    <n v="0.1328651418809908"/>
    <n v="1"/>
    <x v="734"/>
    <n v="3.594033503589846E-3"/>
  </r>
  <r>
    <x v="2"/>
    <x v="1"/>
    <x v="2"/>
    <x v="4"/>
    <n v="6533218281.3236027"/>
    <n v="0.23275000000000001"/>
    <x v="147"/>
    <x v="6"/>
    <n v="38.15"/>
    <n v="36.685000000000002"/>
    <n v="0.69630824712916395"/>
    <n v="1"/>
    <x v="735"/>
    <n v="1.8835302725599072E-2"/>
  </r>
  <r>
    <x v="2"/>
    <x v="1"/>
    <x v="3"/>
    <x v="0"/>
    <n v="6533218281.3236027"/>
    <n v="1.3500000000000002E-2"/>
    <x v="148"/>
    <x v="0"/>
    <n v="1"/>
    <n v="1"/>
    <n v="1.8980734554427257E-2"/>
    <n v="1"/>
    <x v="736"/>
    <n v="2.9780237715797401E-5"/>
  </r>
  <r>
    <x v="2"/>
    <x v="1"/>
    <x v="3"/>
    <x v="1"/>
    <n v="6533218281.3236027"/>
    <n v="1.3500000000000002E-2"/>
    <x v="148"/>
    <x v="1"/>
    <n v="3"/>
    <n v="3"/>
    <n v="5.6942203663281767E-2"/>
    <n v="1"/>
    <x v="737"/>
    <n v="8.9340713147392209E-5"/>
  </r>
  <r>
    <x v="2"/>
    <x v="1"/>
    <x v="3"/>
    <x v="2"/>
    <n v="6533218281.3236027"/>
    <n v="1.3500000000000002E-2"/>
    <x v="148"/>
    <x v="2"/>
    <n v="5"/>
    <n v="5"/>
    <n v="9.490367277213628E-2"/>
    <n v="1"/>
    <x v="738"/>
    <n v="1.4890118857898701E-4"/>
  </r>
  <r>
    <x v="2"/>
    <x v="1"/>
    <x v="3"/>
    <x v="3"/>
    <n v="6533218281.3236027"/>
    <n v="1.3500000000000002E-2"/>
    <x v="148"/>
    <x v="3"/>
    <n v="7"/>
    <n v="7"/>
    <n v="0.1328651418809908"/>
    <n v="1"/>
    <x v="739"/>
    <n v="2.0846166401058185E-4"/>
  </r>
  <r>
    <x v="2"/>
    <x v="1"/>
    <x v="3"/>
    <x v="4"/>
    <n v="6533218281.3236027"/>
    <n v="1.3500000000000002E-2"/>
    <x v="148"/>
    <x v="6"/>
    <n v="38.15"/>
    <n v="36.685000000000002"/>
    <n v="0.69630824712916395"/>
    <n v="1"/>
    <x v="740"/>
    <n v="1.0924880206040278E-3"/>
  </r>
  <r>
    <x v="2"/>
    <x v="1"/>
    <x v="4"/>
    <x v="0"/>
    <n v="6533218281.3236027"/>
    <n v="0.1125"/>
    <x v="149"/>
    <x v="0"/>
    <n v="1"/>
    <n v="1"/>
    <n v="1.8980734554427257E-2"/>
    <n v="1"/>
    <x v="741"/>
    <n v="2.4816864763164503E-4"/>
  </r>
  <r>
    <x v="2"/>
    <x v="1"/>
    <x v="4"/>
    <x v="1"/>
    <n v="6533218281.3236027"/>
    <n v="0.1125"/>
    <x v="149"/>
    <x v="1"/>
    <n v="3"/>
    <n v="3"/>
    <n v="5.6942203663281767E-2"/>
    <n v="1"/>
    <x v="742"/>
    <n v="7.44505942894935E-4"/>
  </r>
  <r>
    <x v="2"/>
    <x v="1"/>
    <x v="4"/>
    <x v="2"/>
    <n v="6533218281.3236027"/>
    <n v="0.1125"/>
    <x v="149"/>
    <x v="2"/>
    <n v="5"/>
    <n v="5"/>
    <n v="9.490367277213628E-2"/>
    <n v="1"/>
    <x v="743"/>
    <n v="1.2408432381582251E-3"/>
  </r>
  <r>
    <x v="2"/>
    <x v="1"/>
    <x v="4"/>
    <x v="3"/>
    <n v="6533218281.3236027"/>
    <n v="0.1125"/>
    <x v="149"/>
    <x v="3"/>
    <n v="7"/>
    <n v="7"/>
    <n v="0.1328651418809908"/>
    <n v="1"/>
    <x v="744"/>
    <n v="1.7371805334215151E-3"/>
  </r>
  <r>
    <x v="2"/>
    <x v="1"/>
    <x v="4"/>
    <x v="4"/>
    <n v="6533218281.3236027"/>
    <n v="0.1125"/>
    <x v="149"/>
    <x v="6"/>
    <n v="38.15"/>
    <n v="36.685000000000002"/>
    <n v="0.69630824712916395"/>
    <n v="1"/>
    <x v="745"/>
    <n v="9.1040668383668977E-3"/>
  </r>
  <r>
    <x v="2"/>
    <x v="1"/>
    <x v="5"/>
    <x v="0"/>
    <n v="6533218281.3236027"/>
    <n v="7.8750000000000001E-2"/>
    <x v="150"/>
    <x v="0"/>
    <n v="1"/>
    <n v="1"/>
    <n v="1.8980734554427257E-2"/>
    <n v="1"/>
    <x v="746"/>
    <n v="1.737180533421515E-4"/>
  </r>
  <r>
    <x v="2"/>
    <x v="1"/>
    <x v="5"/>
    <x v="1"/>
    <n v="6533218281.3236027"/>
    <n v="7.8750000000000001E-2"/>
    <x v="150"/>
    <x v="1"/>
    <n v="3"/>
    <n v="3"/>
    <n v="5.6942203663281767E-2"/>
    <n v="1"/>
    <x v="747"/>
    <n v="5.2115416002645445E-4"/>
  </r>
  <r>
    <x v="2"/>
    <x v="1"/>
    <x v="5"/>
    <x v="2"/>
    <n v="6533218281.3236027"/>
    <n v="7.8750000000000001E-2"/>
    <x v="150"/>
    <x v="2"/>
    <n v="5"/>
    <n v="5"/>
    <n v="9.490367277213628E-2"/>
    <n v="1"/>
    <x v="748"/>
    <n v="8.6859026671075757E-4"/>
  </r>
  <r>
    <x v="2"/>
    <x v="1"/>
    <x v="5"/>
    <x v="3"/>
    <n v="6533218281.3236027"/>
    <n v="7.8750000000000001E-2"/>
    <x v="150"/>
    <x v="3"/>
    <n v="7"/>
    <n v="7"/>
    <n v="0.1328651418809908"/>
    <n v="1"/>
    <x v="749"/>
    <n v="1.2160263733950606E-3"/>
  </r>
  <r>
    <x v="2"/>
    <x v="1"/>
    <x v="5"/>
    <x v="4"/>
    <n v="6533218281.3236027"/>
    <n v="7.8750000000000001E-2"/>
    <x v="150"/>
    <x v="6"/>
    <n v="38.15"/>
    <n v="36.685000000000002"/>
    <n v="0.69630824712916395"/>
    <n v="1"/>
    <x v="750"/>
    <n v="6.3728467868568285E-3"/>
  </r>
  <r>
    <x v="2"/>
    <x v="1"/>
    <x v="6"/>
    <x v="0"/>
    <n v="6533218281.3236027"/>
    <n v="6.7250000000000004E-2"/>
    <x v="151"/>
    <x v="0"/>
    <n v="1"/>
    <n v="1"/>
    <n v="1.8980734554427257E-2"/>
    <n v="1"/>
    <x v="751"/>
    <n v="1.4834970269536114E-4"/>
  </r>
  <r>
    <x v="2"/>
    <x v="1"/>
    <x v="6"/>
    <x v="1"/>
    <n v="6533218281.3236027"/>
    <n v="6.7250000000000004E-2"/>
    <x v="151"/>
    <x v="1"/>
    <n v="3"/>
    <n v="3"/>
    <n v="5.6942203663281767E-2"/>
    <n v="1"/>
    <x v="752"/>
    <n v="4.4504910808608342E-4"/>
  </r>
  <r>
    <x v="2"/>
    <x v="1"/>
    <x v="6"/>
    <x v="2"/>
    <n v="6533218281.3236027"/>
    <n v="6.7250000000000004E-2"/>
    <x v="151"/>
    <x v="2"/>
    <n v="5"/>
    <n v="5"/>
    <n v="9.490367277213628E-2"/>
    <n v="1"/>
    <x v="753"/>
    <n v="7.4174851347680575E-4"/>
  </r>
  <r>
    <x v="2"/>
    <x v="1"/>
    <x v="6"/>
    <x v="3"/>
    <n v="6533218281.3236027"/>
    <n v="6.7250000000000004E-2"/>
    <x v="151"/>
    <x v="3"/>
    <n v="7"/>
    <n v="7"/>
    <n v="0.1328651418809908"/>
    <n v="1"/>
    <x v="754"/>
    <n v="1.0384479188675279E-3"/>
  </r>
  <r>
    <x v="2"/>
    <x v="1"/>
    <x v="6"/>
    <x v="4"/>
    <n v="6533218281.3236027"/>
    <n v="6.7250000000000004E-2"/>
    <x v="151"/>
    <x v="6"/>
    <n v="38.15"/>
    <n v="36.685000000000002"/>
    <n v="0.69630824712916395"/>
    <n v="1"/>
    <x v="755"/>
    <n v="5.4422088433793234E-3"/>
  </r>
  <r>
    <x v="2"/>
    <x v="1"/>
    <x v="7"/>
    <x v="0"/>
    <n v="6533218281.3236027"/>
    <n v="0.18149999999999999"/>
    <x v="152"/>
    <x v="0"/>
    <n v="1"/>
    <n v="1"/>
    <n v="1.8980734554427257E-2"/>
    <n v="1"/>
    <x v="756"/>
    <n v="4.0037875151238727E-4"/>
  </r>
  <r>
    <x v="2"/>
    <x v="1"/>
    <x v="7"/>
    <x v="1"/>
    <n v="6533218281.3236027"/>
    <n v="0.18149999999999999"/>
    <x v="152"/>
    <x v="1"/>
    <n v="3"/>
    <n v="3"/>
    <n v="5.6942203663281767E-2"/>
    <n v="1"/>
    <x v="757"/>
    <n v="1.2011362545371615E-3"/>
  </r>
  <r>
    <x v="2"/>
    <x v="1"/>
    <x v="7"/>
    <x v="2"/>
    <n v="6533218281.3236027"/>
    <n v="0.18149999999999999"/>
    <x v="152"/>
    <x v="2"/>
    <n v="5"/>
    <n v="5"/>
    <n v="9.490367277213628E-2"/>
    <n v="1"/>
    <x v="758"/>
    <n v="2.0018937575619362E-3"/>
  </r>
  <r>
    <x v="2"/>
    <x v="1"/>
    <x v="7"/>
    <x v="3"/>
    <n v="6533218281.3236027"/>
    <n v="0.18149999999999999"/>
    <x v="152"/>
    <x v="3"/>
    <n v="7"/>
    <n v="7"/>
    <n v="0.1328651418809908"/>
    <n v="1"/>
    <x v="759"/>
    <n v="2.8026512605867113E-3"/>
  </r>
  <r>
    <x v="2"/>
    <x v="1"/>
    <x v="7"/>
    <x v="4"/>
    <n v="6533218281.3236027"/>
    <n v="0.18149999999999999"/>
    <x v="152"/>
    <x v="6"/>
    <n v="38.15"/>
    <n v="36.685000000000002"/>
    <n v="0.69630824712916395"/>
    <n v="1"/>
    <x v="760"/>
    <n v="1.4687894499231928E-2"/>
  </r>
  <r>
    <x v="2"/>
    <x v="1"/>
    <x v="8"/>
    <x v="0"/>
    <n v="6533218281.3236027"/>
    <n v="3.4750000000000003E-2"/>
    <x v="153"/>
    <x v="0"/>
    <n v="1"/>
    <n v="1"/>
    <n v="1.8980734554427257E-2"/>
    <n v="1"/>
    <x v="761"/>
    <n v="7.6656537823997027E-5"/>
  </r>
  <r>
    <x v="2"/>
    <x v="1"/>
    <x v="8"/>
    <x v="1"/>
    <n v="6533218281.3236027"/>
    <n v="3.4750000000000003E-2"/>
    <x v="153"/>
    <x v="1"/>
    <n v="3"/>
    <n v="3"/>
    <n v="5.6942203663281767E-2"/>
    <n v="1"/>
    <x v="762"/>
    <n v="2.2996961347199107E-4"/>
  </r>
  <r>
    <x v="2"/>
    <x v="1"/>
    <x v="8"/>
    <x v="2"/>
    <n v="6533218281.3236027"/>
    <n v="3.4750000000000003E-2"/>
    <x v="153"/>
    <x v="2"/>
    <n v="5"/>
    <n v="5"/>
    <n v="9.490367277213628E-2"/>
    <n v="1"/>
    <x v="763"/>
    <n v="3.8328268911998518E-4"/>
  </r>
  <r>
    <x v="2"/>
    <x v="1"/>
    <x v="8"/>
    <x v="3"/>
    <n v="6533218281.3236027"/>
    <n v="3.4750000000000003E-2"/>
    <x v="153"/>
    <x v="3"/>
    <n v="7"/>
    <n v="7"/>
    <n v="0.1328651418809908"/>
    <n v="1"/>
    <x v="764"/>
    <n v="5.3659576476797926E-4"/>
  </r>
  <r>
    <x v="2"/>
    <x v="1"/>
    <x v="8"/>
    <x v="4"/>
    <n v="6533218281.3236027"/>
    <n v="3.4750000000000003E-2"/>
    <x v="153"/>
    <x v="6"/>
    <n v="38.15"/>
    <n v="36.685000000000002"/>
    <n v="0.69630824712916395"/>
    <n v="1"/>
    <x v="765"/>
    <n v="2.812145090073331E-3"/>
  </r>
  <r>
    <x v="2"/>
    <x v="2"/>
    <x v="0"/>
    <x v="0"/>
    <n v="157166834.45463219"/>
    <n v="0.17649999999999999"/>
    <x v="154"/>
    <x v="0"/>
    <n v="1"/>
    <n v="1"/>
    <n v="1.8980734554427257E-2"/>
    <n v="1"/>
    <x v="766"/>
    <n v="9.3664029750104093E-6"/>
  </r>
  <r>
    <x v="2"/>
    <x v="2"/>
    <x v="0"/>
    <x v="1"/>
    <n v="157166834.45463219"/>
    <n v="0.17649999999999999"/>
    <x v="154"/>
    <x v="1"/>
    <n v="3"/>
    <n v="3"/>
    <n v="5.6942203663281767E-2"/>
    <n v="1"/>
    <x v="767"/>
    <n v="2.8099208925031226E-5"/>
  </r>
  <r>
    <x v="2"/>
    <x v="2"/>
    <x v="0"/>
    <x v="2"/>
    <n v="157166834.45463219"/>
    <n v="0.17649999999999999"/>
    <x v="154"/>
    <x v="2"/>
    <n v="5"/>
    <n v="5"/>
    <n v="9.490367277213628E-2"/>
    <n v="1"/>
    <x v="768"/>
    <n v="4.6832014875052052E-5"/>
  </r>
  <r>
    <x v="2"/>
    <x v="2"/>
    <x v="0"/>
    <x v="3"/>
    <n v="157166834.45463219"/>
    <n v="0.17649999999999999"/>
    <x v="154"/>
    <x v="3"/>
    <n v="7"/>
    <n v="7"/>
    <n v="0.1328651418809908"/>
    <n v="1"/>
    <x v="769"/>
    <n v="6.556482082507288E-5"/>
  </r>
  <r>
    <x v="2"/>
    <x v="2"/>
    <x v="0"/>
    <x v="4"/>
    <n v="157166834.45463219"/>
    <n v="0.17649999999999999"/>
    <x v="154"/>
    <x v="6"/>
    <n v="38.15"/>
    <n v="36.685000000000002"/>
    <n v="0.69630824712916395"/>
    <n v="1"/>
    <x v="770"/>
    <n v="3.4360649313825689E-4"/>
  </r>
  <r>
    <x v="2"/>
    <x v="2"/>
    <x v="1"/>
    <x v="0"/>
    <n v="157166834.45463219"/>
    <n v="8.5249999999999992E-2"/>
    <x v="155"/>
    <x v="0"/>
    <n v="1"/>
    <n v="1"/>
    <n v="1.8980734554427257E-2"/>
    <n v="1"/>
    <x v="771"/>
    <n v="4.5239991706495044E-6"/>
  </r>
  <r>
    <x v="2"/>
    <x v="2"/>
    <x v="1"/>
    <x v="1"/>
    <n v="157166834.45463219"/>
    <n v="8.5249999999999992E-2"/>
    <x v="155"/>
    <x v="1"/>
    <n v="3"/>
    <n v="3"/>
    <n v="5.6942203663281767E-2"/>
    <n v="1"/>
    <x v="772"/>
    <n v="1.3571997511948511E-5"/>
  </r>
  <r>
    <x v="2"/>
    <x v="2"/>
    <x v="1"/>
    <x v="2"/>
    <n v="157166834.45463219"/>
    <n v="8.5249999999999992E-2"/>
    <x v="155"/>
    <x v="2"/>
    <n v="5"/>
    <n v="5"/>
    <n v="9.490367277213628E-2"/>
    <n v="1"/>
    <x v="773"/>
    <n v="2.2619995853247519E-5"/>
  </r>
  <r>
    <x v="2"/>
    <x v="2"/>
    <x v="1"/>
    <x v="3"/>
    <n v="157166834.45463219"/>
    <n v="8.5249999999999992E-2"/>
    <x v="155"/>
    <x v="3"/>
    <n v="7"/>
    <n v="7"/>
    <n v="0.1328651418809908"/>
    <n v="1"/>
    <x v="774"/>
    <n v="3.1667994194546527E-5"/>
  </r>
  <r>
    <x v="2"/>
    <x v="2"/>
    <x v="1"/>
    <x v="4"/>
    <n v="157166834.45463219"/>
    <n v="8.5249999999999992E-2"/>
    <x v="155"/>
    <x v="6"/>
    <n v="38.15"/>
    <n v="36.685000000000002"/>
    <n v="0.69630824712916395"/>
    <n v="1"/>
    <x v="775"/>
    <n v="1.6596290957527704E-4"/>
  </r>
  <r>
    <x v="2"/>
    <x v="2"/>
    <x v="2"/>
    <x v="0"/>
    <n v="157166834.45463219"/>
    <n v="0.23774999999999999"/>
    <x v="156"/>
    <x v="0"/>
    <n v="1"/>
    <n v="1"/>
    <n v="1.8980734554427257E-2"/>
    <n v="1"/>
    <x v="776"/>
    <n v="1.2616783610814304E-5"/>
  </r>
  <r>
    <x v="2"/>
    <x v="2"/>
    <x v="2"/>
    <x v="1"/>
    <n v="157166834.45463219"/>
    <n v="0.23774999999999999"/>
    <x v="156"/>
    <x v="1"/>
    <n v="3"/>
    <n v="3"/>
    <n v="5.6942203663281767E-2"/>
    <n v="1"/>
    <x v="777"/>
    <n v="3.7850350832442909E-5"/>
  </r>
  <r>
    <x v="2"/>
    <x v="2"/>
    <x v="2"/>
    <x v="2"/>
    <n v="157166834.45463219"/>
    <n v="0.23774999999999999"/>
    <x v="156"/>
    <x v="2"/>
    <n v="5"/>
    <n v="5"/>
    <n v="9.490367277213628E-2"/>
    <n v="1"/>
    <x v="778"/>
    <n v="6.3083918054071531E-5"/>
  </r>
  <r>
    <x v="2"/>
    <x v="2"/>
    <x v="2"/>
    <x v="3"/>
    <n v="157166834.45463219"/>
    <n v="0.23774999999999999"/>
    <x v="156"/>
    <x v="3"/>
    <n v="7"/>
    <n v="7"/>
    <n v="0.1328651418809908"/>
    <n v="1"/>
    <x v="779"/>
    <n v="8.8317485275700146E-5"/>
  </r>
  <r>
    <x v="2"/>
    <x v="2"/>
    <x v="2"/>
    <x v="4"/>
    <n v="157166834.45463219"/>
    <n v="0.23774999999999999"/>
    <x v="156"/>
    <x v="6"/>
    <n v="38.15"/>
    <n v="36.685000000000002"/>
    <n v="0.69630824712916395"/>
    <n v="1"/>
    <x v="780"/>
    <n v="4.6284670676272283E-4"/>
  </r>
  <r>
    <x v="2"/>
    <x v="2"/>
    <x v="3"/>
    <x v="0"/>
    <n v="157166834.45463219"/>
    <n v="3.6750000000000005E-2"/>
    <x v="157"/>
    <x v="0"/>
    <n v="1"/>
    <n v="1"/>
    <n v="1.8980734554427257E-2"/>
    <n v="1"/>
    <x v="781"/>
    <n v="1.9502283814823377E-6"/>
  </r>
  <r>
    <x v="2"/>
    <x v="2"/>
    <x v="3"/>
    <x v="1"/>
    <n v="157166834.45463219"/>
    <n v="3.6750000000000005E-2"/>
    <x v="157"/>
    <x v="1"/>
    <n v="3"/>
    <n v="3"/>
    <n v="5.6942203663281767E-2"/>
    <n v="1"/>
    <x v="782"/>
    <n v="5.8506851444470124E-6"/>
  </r>
  <r>
    <x v="2"/>
    <x v="2"/>
    <x v="3"/>
    <x v="2"/>
    <n v="157166834.45463219"/>
    <n v="3.6750000000000005E-2"/>
    <x v="157"/>
    <x v="2"/>
    <n v="5"/>
    <n v="5"/>
    <n v="9.490367277213628E-2"/>
    <n v="1"/>
    <x v="783"/>
    <n v="9.7511419074116896E-6"/>
  </r>
  <r>
    <x v="2"/>
    <x v="2"/>
    <x v="3"/>
    <x v="3"/>
    <n v="157166834.45463219"/>
    <n v="3.6750000000000005E-2"/>
    <x v="157"/>
    <x v="3"/>
    <n v="7"/>
    <n v="7"/>
    <n v="0.1328651418809908"/>
    <n v="1"/>
    <x v="784"/>
    <n v="1.3651598670376365E-5"/>
  </r>
  <r>
    <x v="2"/>
    <x v="2"/>
    <x v="3"/>
    <x v="4"/>
    <n v="157166834.45463219"/>
    <n v="3.6750000000000005E-2"/>
    <x v="157"/>
    <x v="6"/>
    <n v="38.15"/>
    <n v="36.685000000000002"/>
    <n v="0.69630824712916395"/>
    <n v="1"/>
    <x v="785"/>
    <n v="7.1544128174679561E-5"/>
  </r>
  <r>
    <x v="2"/>
    <x v="2"/>
    <x v="4"/>
    <x v="0"/>
    <n v="157166834.45463219"/>
    <n v="7.4500000000000011E-2"/>
    <x v="158"/>
    <x v="0"/>
    <n v="1"/>
    <n v="1"/>
    <n v="1.8980734554427257E-2"/>
    <n v="1"/>
    <x v="786"/>
    <n v="3.9535242019165764E-6"/>
  </r>
  <r>
    <x v="2"/>
    <x v="2"/>
    <x v="4"/>
    <x v="1"/>
    <n v="157166834.45463219"/>
    <n v="7.4500000000000011E-2"/>
    <x v="158"/>
    <x v="1"/>
    <n v="3"/>
    <n v="3"/>
    <n v="5.6942203663281767E-2"/>
    <n v="1"/>
    <x v="787"/>
    <n v="1.1860572605749728E-5"/>
  </r>
  <r>
    <x v="2"/>
    <x v="2"/>
    <x v="4"/>
    <x v="2"/>
    <n v="157166834.45463219"/>
    <n v="7.4500000000000011E-2"/>
    <x v="158"/>
    <x v="2"/>
    <n v="5"/>
    <n v="5"/>
    <n v="9.490367277213628E-2"/>
    <n v="1"/>
    <x v="788"/>
    <n v="1.9767621009582881E-5"/>
  </r>
  <r>
    <x v="2"/>
    <x v="2"/>
    <x v="4"/>
    <x v="3"/>
    <n v="157166834.45463219"/>
    <n v="7.4500000000000011E-2"/>
    <x v="158"/>
    <x v="3"/>
    <n v="7"/>
    <n v="7"/>
    <n v="0.1328651418809908"/>
    <n v="1"/>
    <x v="789"/>
    <n v="2.7674669413416032E-5"/>
  </r>
  <r>
    <x v="2"/>
    <x v="2"/>
    <x v="4"/>
    <x v="4"/>
    <n v="157166834.45463219"/>
    <n v="7.4500000000000011E-2"/>
    <x v="158"/>
    <x v="6"/>
    <n v="38.15"/>
    <n v="36.685000000000002"/>
    <n v="0.69630824712916395"/>
    <n v="1"/>
    <x v="790"/>
    <n v="1.4503503534730962E-4"/>
  </r>
  <r>
    <x v="2"/>
    <x v="2"/>
    <x v="5"/>
    <x v="0"/>
    <n v="157166834.45463219"/>
    <n v="0.19524999999999998"/>
    <x v="159"/>
    <x v="0"/>
    <n v="1"/>
    <n v="1"/>
    <n v="1.8980734554427257E-2"/>
    <n v="1"/>
    <x v="791"/>
    <n v="1.0361417455358541E-5"/>
  </r>
  <r>
    <x v="2"/>
    <x v="2"/>
    <x v="5"/>
    <x v="1"/>
    <n v="157166834.45463219"/>
    <n v="0.19524999999999998"/>
    <x v="159"/>
    <x v="1"/>
    <n v="3"/>
    <n v="3"/>
    <n v="5.6942203663281767E-2"/>
    <n v="1"/>
    <x v="792"/>
    <n v="3.1084252366075624E-5"/>
  </r>
  <r>
    <x v="2"/>
    <x v="2"/>
    <x v="5"/>
    <x v="2"/>
    <n v="157166834.45463219"/>
    <n v="0.19524999999999998"/>
    <x v="159"/>
    <x v="2"/>
    <n v="5"/>
    <n v="5"/>
    <n v="9.490367277213628E-2"/>
    <n v="1"/>
    <x v="793"/>
    <n v="5.18070872767927E-5"/>
  </r>
  <r>
    <x v="2"/>
    <x v="2"/>
    <x v="5"/>
    <x v="3"/>
    <n v="157166834.45463219"/>
    <n v="0.19524999999999998"/>
    <x v="159"/>
    <x v="3"/>
    <n v="7"/>
    <n v="7"/>
    <n v="0.1328651418809908"/>
    <n v="1"/>
    <x v="794"/>
    <n v="7.2529922187509796E-5"/>
  </r>
  <r>
    <x v="2"/>
    <x v="2"/>
    <x v="5"/>
    <x v="4"/>
    <n v="157166834.45463219"/>
    <n v="0.19524999999999998"/>
    <x v="159"/>
    <x v="6"/>
    <n v="38.15"/>
    <n v="36.685000000000002"/>
    <n v="0.69630824712916395"/>
    <n v="1"/>
    <x v="795"/>
    <n v="3.8010859934982816E-4"/>
  </r>
  <r>
    <x v="2"/>
    <x v="2"/>
    <x v="6"/>
    <x v="0"/>
    <n v="157166834.45463219"/>
    <n v="4.4499999999999991E-2"/>
    <x v="160"/>
    <x v="0"/>
    <n v="1"/>
    <n v="1"/>
    <n v="1.8980734554427257E-2"/>
    <n v="1"/>
    <x v="796"/>
    <n v="2.3615010333595651E-6"/>
  </r>
  <r>
    <x v="2"/>
    <x v="2"/>
    <x v="6"/>
    <x v="1"/>
    <n v="157166834.45463219"/>
    <n v="4.4499999999999991E-2"/>
    <x v="160"/>
    <x v="1"/>
    <n v="3"/>
    <n v="3"/>
    <n v="5.6942203663281767E-2"/>
    <n v="1"/>
    <x v="797"/>
    <n v="7.0845031000786948E-6"/>
  </r>
  <r>
    <x v="2"/>
    <x v="2"/>
    <x v="6"/>
    <x v="2"/>
    <n v="157166834.45463219"/>
    <n v="4.4499999999999991E-2"/>
    <x v="160"/>
    <x v="2"/>
    <n v="5"/>
    <n v="5"/>
    <n v="9.490367277213628E-2"/>
    <n v="1"/>
    <x v="798"/>
    <n v="1.1807505166797823E-5"/>
  </r>
  <r>
    <x v="2"/>
    <x v="2"/>
    <x v="6"/>
    <x v="3"/>
    <n v="157166834.45463219"/>
    <n v="4.4499999999999991E-2"/>
    <x v="160"/>
    <x v="3"/>
    <n v="7"/>
    <n v="7"/>
    <n v="0.1328651418809908"/>
    <n v="1"/>
    <x v="799"/>
    <n v="1.6530507233516954E-5"/>
  </r>
  <r>
    <x v="2"/>
    <x v="2"/>
    <x v="6"/>
    <x v="4"/>
    <n v="157166834.45463219"/>
    <n v="4.4499999999999991E-2"/>
    <x v="160"/>
    <x v="6"/>
    <n v="38.15"/>
    <n v="36.685000000000002"/>
    <n v="0.69630824712916395"/>
    <n v="1"/>
    <x v="800"/>
    <n v="8.6631665408795655E-5"/>
  </r>
  <r>
    <x v="2"/>
    <x v="2"/>
    <x v="7"/>
    <x v="0"/>
    <n v="157166834.45463219"/>
    <n v="8.5500000000000007E-2"/>
    <x v="161"/>
    <x v="0"/>
    <n v="1"/>
    <n v="1"/>
    <n v="1.8980734554427257E-2"/>
    <n v="1"/>
    <x v="801"/>
    <n v="4.5372660303874798E-6"/>
  </r>
  <r>
    <x v="2"/>
    <x v="2"/>
    <x v="7"/>
    <x v="1"/>
    <n v="157166834.45463219"/>
    <n v="8.5500000000000007E-2"/>
    <x v="161"/>
    <x v="1"/>
    <n v="3"/>
    <n v="3"/>
    <n v="5.6942203663281767E-2"/>
    <n v="1"/>
    <x v="802"/>
    <n v="1.361179809116244E-5"/>
  </r>
  <r>
    <x v="2"/>
    <x v="2"/>
    <x v="7"/>
    <x v="2"/>
    <n v="157166834.45463219"/>
    <n v="8.5500000000000007E-2"/>
    <x v="161"/>
    <x v="2"/>
    <n v="5"/>
    <n v="5"/>
    <n v="9.490367277213628E-2"/>
    <n v="1"/>
    <x v="803"/>
    <n v="2.2686330151937398E-5"/>
  </r>
  <r>
    <x v="2"/>
    <x v="2"/>
    <x v="7"/>
    <x v="3"/>
    <n v="157166834.45463219"/>
    <n v="8.5500000000000007E-2"/>
    <x v="161"/>
    <x v="3"/>
    <n v="7"/>
    <n v="7"/>
    <n v="0.1328651418809908"/>
    <n v="1"/>
    <x v="804"/>
    <n v="3.1760862212712361E-5"/>
  </r>
  <r>
    <x v="2"/>
    <x v="2"/>
    <x v="7"/>
    <x v="4"/>
    <n v="157166834.45463219"/>
    <n v="8.5500000000000007E-2"/>
    <x v="161"/>
    <x v="6"/>
    <n v="38.15"/>
    <n v="36.685000000000002"/>
    <n v="0.69630824712916395"/>
    <n v="1"/>
    <x v="805"/>
    <n v="1.664496043247647E-4"/>
  </r>
  <r>
    <x v="2"/>
    <x v="2"/>
    <x v="8"/>
    <x v="0"/>
    <n v="157166834.45463219"/>
    <n v="6.4000000000000001E-2"/>
    <x v="162"/>
    <x v="0"/>
    <n v="1"/>
    <n v="1"/>
    <n v="1.8980734554427257E-2"/>
    <n v="1"/>
    <x v="806"/>
    <n v="3.3963160929216217E-6"/>
  </r>
  <r>
    <x v="2"/>
    <x v="2"/>
    <x v="8"/>
    <x v="1"/>
    <n v="157166834.45463219"/>
    <n v="6.4000000000000001E-2"/>
    <x v="162"/>
    <x v="1"/>
    <n v="3"/>
    <n v="3"/>
    <n v="5.6942203663281767E-2"/>
    <n v="1"/>
    <x v="807"/>
    <n v="1.0188948278764865E-5"/>
  </r>
  <r>
    <x v="2"/>
    <x v="2"/>
    <x v="8"/>
    <x v="2"/>
    <n v="157166834.45463219"/>
    <n v="6.4000000000000001E-2"/>
    <x v="162"/>
    <x v="2"/>
    <n v="5"/>
    <n v="5"/>
    <n v="9.490367277213628E-2"/>
    <n v="1"/>
    <x v="808"/>
    <n v="1.6981580464608111E-5"/>
  </r>
  <r>
    <x v="2"/>
    <x v="2"/>
    <x v="8"/>
    <x v="3"/>
    <n v="157166834.45463219"/>
    <n v="6.4000000000000001E-2"/>
    <x v="162"/>
    <x v="3"/>
    <n v="7"/>
    <n v="7"/>
    <n v="0.1328651418809908"/>
    <n v="1"/>
    <x v="809"/>
    <n v="2.3774212650451352E-5"/>
  </r>
  <r>
    <x v="2"/>
    <x v="2"/>
    <x v="8"/>
    <x v="4"/>
    <n v="157166834.45463219"/>
    <n v="6.4000000000000001E-2"/>
    <x v="162"/>
    <x v="6"/>
    <n v="38.15"/>
    <n v="36.685000000000002"/>
    <n v="0.69630824712916395"/>
    <n v="1"/>
    <x v="810"/>
    <n v="1.2459385586882971E-4"/>
  </r>
  <r>
    <x v="2"/>
    <x v="3"/>
    <x v="0"/>
    <x v="0"/>
    <n v="2719981114.5358052"/>
    <n v="0.28824999999999995"/>
    <x v="163"/>
    <x v="0"/>
    <n v="1"/>
    <n v="1"/>
    <n v="1.8980734554427257E-2"/>
    <n v="1"/>
    <x v="811"/>
    <n v="2.6472955375824207E-4"/>
  </r>
  <r>
    <x v="2"/>
    <x v="3"/>
    <x v="0"/>
    <x v="1"/>
    <n v="2719981114.5358052"/>
    <n v="0.28824999999999995"/>
    <x v="163"/>
    <x v="1"/>
    <n v="3"/>
    <n v="3"/>
    <n v="5.6942203663281767E-2"/>
    <n v="1"/>
    <x v="812"/>
    <n v="7.941886612747262E-4"/>
  </r>
  <r>
    <x v="2"/>
    <x v="3"/>
    <x v="0"/>
    <x v="2"/>
    <n v="2719981114.5358052"/>
    <n v="0.28824999999999995"/>
    <x v="163"/>
    <x v="2"/>
    <n v="5"/>
    <n v="5"/>
    <n v="9.490367277213628E-2"/>
    <n v="1"/>
    <x v="813"/>
    <n v="1.3236477687912102E-3"/>
  </r>
  <r>
    <x v="2"/>
    <x v="3"/>
    <x v="0"/>
    <x v="3"/>
    <n v="2719981114.5358052"/>
    <n v="0.28824999999999995"/>
    <x v="163"/>
    <x v="3"/>
    <n v="7"/>
    <n v="7"/>
    <n v="0.1328651418809908"/>
    <n v="1"/>
    <x v="814"/>
    <n v="1.8531068763076946E-3"/>
  </r>
  <r>
    <x v="2"/>
    <x v="3"/>
    <x v="0"/>
    <x v="4"/>
    <n v="2719981114.5358052"/>
    <n v="0.28824999999999995"/>
    <x v="163"/>
    <x v="6"/>
    <n v="38.15"/>
    <n v="36.685000000000002"/>
    <n v="0.69630824712916395"/>
    <n v="1"/>
    <x v="815"/>
    <n v="9.7116036796211103E-3"/>
  </r>
  <r>
    <x v="2"/>
    <x v="3"/>
    <x v="1"/>
    <x v="0"/>
    <n v="2719981114.5358052"/>
    <n v="0.12437499999999999"/>
    <x v="164"/>
    <x v="0"/>
    <n v="1"/>
    <n v="1"/>
    <n v="1.8980734554427257E-2"/>
    <n v="1"/>
    <x v="816"/>
    <n v="1.1422632523393358E-4"/>
  </r>
  <r>
    <x v="2"/>
    <x v="3"/>
    <x v="1"/>
    <x v="1"/>
    <n v="2719981114.5358052"/>
    <n v="0.12437499999999999"/>
    <x v="164"/>
    <x v="1"/>
    <n v="3"/>
    <n v="3"/>
    <n v="5.6942203663281767E-2"/>
    <n v="1"/>
    <x v="817"/>
    <n v="3.4267897570180073E-4"/>
  </r>
  <r>
    <x v="2"/>
    <x v="3"/>
    <x v="1"/>
    <x v="2"/>
    <n v="2719981114.5358052"/>
    <n v="0.12437499999999999"/>
    <x v="164"/>
    <x v="2"/>
    <n v="5"/>
    <n v="5"/>
    <n v="9.490367277213628E-2"/>
    <n v="1"/>
    <x v="818"/>
    <n v="5.7113162616966788E-4"/>
  </r>
  <r>
    <x v="2"/>
    <x v="3"/>
    <x v="1"/>
    <x v="3"/>
    <n v="2719981114.5358052"/>
    <n v="0.12437499999999999"/>
    <x v="164"/>
    <x v="3"/>
    <n v="7"/>
    <n v="7"/>
    <n v="0.1328651418809908"/>
    <n v="1"/>
    <x v="819"/>
    <n v="7.9958427663753503E-4"/>
  </r>
  <r>
    <x v="2"/>
    <x v="3"/>
    <x v="1"/>
    <x v="4"/>
    <n v="2719981114.5358052"/>
    <n v="0.12437499999999999"/>
    <x v="164"/>
    <x v="6"/>
    <n v="38.15"/>
    <n v="36.685000000000002"/>
    <n v="0.69630824712916395"/>
    <n v="1"/>
    <x v="820"/>
    <n v="4.190392741206854E-3"/>
  </r>
  <r>
    <x v="2"/>
    <x v="3"/>
    <x v="2"/>
    <x v="0"/>
    <n v="2719981114.5358052"/>
    <n v="0.18625"/>
    <x v="165"/>
    <x v="0"/>
    <n v="1"/>
    <n v="1"/>
    <n v="1.8980734554427257E-2"/>
    <n v="1"/>
    <x v="821"/>
    <n v="1.7105248703372971E-4"/>
  </r>
  <r>
    <x v="2"/>
    <x v="3"/>
    <x v="2"/>
    <x v="1"/>
    <n v="2719981114.5358052"/>
    <n v="0.18625"/>
    <x v="165"/>
    <x v="1"/>
    <n v="3"/>
    <n v="3"/>
    <n v="5.6942203663281767E-2"/>
    <n v="1"/>
    <x v="822"/>
    <n v="5.1315746110118911E-4"/>
  </r>
  <r>
    <x v="2"/>
    <x v="3"/>
    <x v="2"/>
    <x v="2"/>
    <n v="2719981114.5358052"/>
    <n v="0.18625"/>
    <x v="165"/>
    <x v="2"/>
    <n v="5"/>
    <n v="5"/>
    <n v="9.490367277213628E-2"/>
    <n v="1"/>
    <x v="823"/>
    <n v="8.5526243516864859E-4"/>
  </r>
  <r>
    <x v="2"/>
    <x v="3"/>
    <x v="2"/>
    <x v="3"/>
    <n v="2719981114.5358052"/>
    <n v="0.18625"/>
    <x v="165"/>
    <x v="3"/>
    <n v="7"/>
    <n v="7"/>
    <n v="0.1328651418809908"/>
    <n v="1"/>
    <x v="824"/>
    <n v="1.1973674092361081E-3"/>
  </r>
  <r>
    <x v="2"/>
    <x v="3"/>
    <x v="2"/>
    <x v="4"/>
    <n v="2719981114.5358052"/>
    <n v="0.18625"/>
    <x v="165"/>
    <x v="6"/>
    <n v="38.15"/>
    <n v="36.685000000000002"/>
    <n v="0.69630824712916395"/>
    <n v="1"/>
    <x v="825"/>
    <n v="6.2750604868323755E-3"/>
  </r>
  <r>
    <x v="2"/>
    <x v="3"/>
    <x v="3"/>
    <x v="0"/>
    <n v="2719981114.5358052"/>
    <n v="1.7000000000000001E-2"/>
    <x v="166"/>
    <x v="0"/>
    <n v="1"/>
    <n v="1"/>
    <n v="1.8980734554427257E-2"/>
    <n v="1"/>
    <x v="826"/>
    <n v="1.5612844454085399E-5"/>
  </r>
  <r>
    <x v="2"/>
    <x v="3"/>
    <x v="3"/>
    <x v="1"/>
    <n v="2719981114.5358052"/>
    <n v="1.7000000000000001E-2"/>
    <x v="166"/>
    <x v="1"/>
    <n v="3"/>
    <n v="3"/>
    <n v="5.6942203663281767E-2"/>
    <n v="1"/>
    <x v="827"/>
    <n v="4.683853336225619E-5"/>
  </r>
  <r>
    <x v="2"/>
    <x v="3"/>
    <x v="3"/>
    <x v="2"/>
    <n v="2719981114.5358052"/>
    <n v="1.7000000000000001E-2"/>
    <x v="166"/>
    <x v="2"/>
    <n v="5"/>
    <n v="5"/>
    <n v="9.490367277213628E-2"/>
    <n v="1"/>
    <x v="828"/>
    <n v="7.8064222270426989E-5"/>
  </r>
  <r>
    <x v="2"/>
    <x v="3"/>
    <x v="3"/>
    <x v="3"/>
    <n v="2719981114.5358052"/>
    <n v="1.7000000000000001E-2"/>
    <x v="166"/>
    <x v="3"/>
    <n v="7"/>
    <n v="7"/>
    <n v="0.1328651418809908"/>
    <n v="1"/>
    <x v="829"/>
    <n v="1.0928991117859779E-4"/>
  </r>
  <r>
    <x v="2"/>
    <x v="3"/>
    <x v="3"/>
    <x v="4"/>
    <n v="2719981114.5358052"/>
    <n v="1.7000000000000001E-2"/>
    <x v="166"/>
    <x v="6"/>
    <n v="38.15"/>
    <n v="36.685000000000002"/>
    <n v="0.69630824712916395"/>
    <n v="1"/>
    <x v="830"/>
    <n v="5.7275719879812284E-4"/>
  </r>
  <r>
    <x v="2"/>
    <x v="3"/>
    <x v="4"/>
    <x v="0"/>
    <n v="2719981114.5358052"/>
    <n v="0.10375000000000002"/>
    <x v="167"/>
    <x v="0"/>
    <n v="1"/>
    <n v="1"/>
    <n v="1.8980734554427257E-2"/>
    <n v="1"/>
    <x v="831"/>
    <n v="9.5284271300668255E-5"/>
  </r>
  <r>
    <x v="2"/>
    <x v="3"/>
    <x v="4"/>
    <x v="1"/>
    <n v="2719981114.5358052"/>
    <n v="0.10375000000000002"/>
    <x v="167"/>
    <x v="1"/>
    <n v="3"/>
    <n v="3"/>
    <n v="5.6942203663281767E-2"/>
    <n v="1"/>
    <x v="832"/>
    <n v="2.8585281390200473E-4"/>
  </r>
  <r>
    <x v="2"/>
    <x v="3"/>
    <x v="4"/>
    <x v="2"/>
    <n v="2719981114.5358052"/>
    <n v="0.10375000000000002"/>
    <x v="167"/>
    <x v="2"/>
    <n v="5"/>
    <n v="5"/>
    <n v="9.490367277213628E-2"/>
    <n v="1"/>
    <x v="833"/>
    <n v="4.7642135650334121E-4"/>
  </r>
  <r>
    <x v="2"/>
    <x v="3"/>
    <x v="4"/>
    <x v="3"/>
    <n v="2719981114.5358052"/>
    <n v="0.10375000000000002"/>
    <x v="167"/>
    <x v="3"/>
    <n v="7"/>
    <n v="7"/>
    <n v="0.1328651418809908"/>
    <n v="1"/>
    <x v="834"/>
    <n v="6.6698989910467786E-4"/>
  </r>
  <r>
    <x v="2"/>
    <x v="3"/>
    <x v="4"/>
    <x v="4"/>
    <n v="2719981114.5358052"/>
    <n v="0.10375000000000002"/>
    <x v="167"/>
    <x v="6"/>
    <n v="38.15"/>
    <n v="36.685000000000002"/>
    <n v="0.69630824712916395"/>
    <n v="1"/>
    <x v="835"/>
    <n v="3.4955034926650152E-3"/>
  </r>
  <r>
    <x v="2"/>
    <x v="3"/>
    <x v="5"/>
    <x v="0"/>
    <n v="2719981114.5358052"/>
    <n v="7.0250000000000007E-2"/>
    <x v="168"/>
    <x v="0"/>
    <n v="1"/>
    <n v="1"/>
    <n v="1.8980734554427257E-2"/>
    <n v="1"/>
    <x v="836"/>
    <n v="6.4517783699970553E-5"/>
  </r>
  <r>
    <x v="2"/>
    <x v="3"/>
    <x v="5"/>
    <x v="1"/>
    <n v="2719981114.5358052"/>
    <n v="7.0250000000000007E-2"/>
    <x v="168"/>
    <x v="1"/>
    <n v="3"/>
    <n v="3"/>
    <n v="5.6942203663281767E-2"/>
    <n v="1"/>
    <x v="837"/>
    <n v="1.9355335109991163E-4"/>
  </r>
  <r>
    <x v="2"/>
    <x v="3"/>
    <x v="5"/>
    <x v="2"/>
    <n v="2719981114.5358052"/>
    <n v="7.0250000000000007E-2"/>
    <x v="168"/>
    <x v="2"/>
    <n v="5"/>
    <n v="5"/>
    <n v="9.490367277213628E-2"/>
    <n v="1"/>
    <x v="838"/>
    <n v="3.2258891849985274E-4"/>
  </r>
  <r>
    <x v="2"/>
    <x v="3"/>
    <x v="5"/>
    <x v="3"/>
    <n v="2719981114.5358052"/>
    <n v="7.0250000000000007E-2"/>
    <x v="168"/>
    <x v="3"/>
    <n v="7"/>
    <n v="7"/>
    <n v="0.1328651418809908"/>
    <n v="1"/>
    <x v="839"/>
    <n v="4.5162448589979384E-4"/>
  </r>
  <r>
    <x v="2"/>
    <x v="3"/>
    <x v="5"/>
    <x v="4"/>
    <n v="2719981114.5358052"/>
    <n v="7.0250000000000007E-2"/>
    <x v="168"/>
    <x v="6"/>
    <n v="38.15"/>
    <n v="36.685000000000002"/>
    <n v="0.69630824712916395"/>
    <n v="1"/>
    <x v="840"/>
    <n v="2.3668348950334197E-3"/>
  </r>
  <r>
    <x v="2"/>
    <x v="3"/>
    <x v="6"/>
    <x v="0"/>
    <n v="2719981114.5358052"/>
    <n v="9.6374999999999988E-2"/>
    <x v="169"/>
    <x v="0"/>
    <n v="1"/>
    <n v="1"/>
    <n v="1.8980734554427257E-2"/>
    <n v="1"/>
    <x v="841"/>
    <n v="8.851105201543999E-5"/>
  </r>
  <r>
    <x v="2"/>
    <x v="3"/>
    <x v="6"/>
    <x v="1"/>
    <n v="2719981114.5358052"/>
    <n v="9.6374999999999988E-2"/>
    <x v="169"/>
    <x v="1"/>
    <n v="3"/>
    <n v="3"/>
    <n v="5.6942203663281767E-2"/>
    <n v="1"/>
    <x v="842"/>
    <n v="2.6553315604631994E-4"/>
  </r>
  <r>
    <x v="2"/>
    <x v="3"/>
    <x v="6"/>
    <x v="2"/>
    <n v="2719981114.5358052"/>
    <n v="9.6374999999999988E-2"/>
    <x v="169"/>
    <x v="2"/>
    <n v="5"/>
    <n v="5"/>
    <n v="9.490367277213628E-2"/>
    <n v="1"/>
    <x v="843"/>
    <n v="4.4255526007719998E-4"/>
  </r>
  <r>
    <x v="2"/>
    <x v="3"/>
    <x v="6"/>
    <x v="3"/>
    <n v="2719981114.5358052"/>
    <n v="9.6374999999999988E-2"/>
    <x v="169"/>
    <x v="3"/>
    <n v="7"/>
    <n v="7"/>
    <n v="0.1328651418809908"/>
    <n v="1"/>
    <x v="844"/>
    <n v="6.1957736410808001E-4"/>
  </r>
  <r>
    <x v="2"/>
    <x v="3"/>
    <x v="6"/>
    <x v="4"/>
    <n v="2719981114.5358052"/>
    <n v="9.6374999999999988E-2"/>
    <x v="169"/>
    <x v="6"/>
    <n v="38.15"/>
    <n v="36.685000000000002"/>
    <n v="0.69630824712916395"/>
    <n v="1"/>
    <x v="845"/>
    <n v="3.2470279431864165E-3"/>
  </r>
  <r>
    <x v="2"/>
    <x v="3"/>
    <x v="7"/>
    <x v="0"/>
    <n v="2719981114.5358052"/>
    <n v="2.2499999999999999E-2"/>
    <x v="170"/>
    <x v="0"/>
    <n v="1"/>
    <n v="1"/>
    <n v="1.8980734554427257E-2"/>
    <n v="1"/>
    <x v="846"/>
    <n v="2.0664058836289496E-5"/>
  </r>
  <r>
    <x v="2"/>
    <x v="3"/>
    <x v="7"/>
    <x v="1"/>
    <n v="2719981114.5358052"/>
    <n v="2.2499999999999999E-2"/>
    <x v="170"/>
    <x v="1"/>
    <n v="3"/>
    <n v="3"/>
    <n v="5.6942203663281767E-2"/>
    <n v="1"/>
    <x v="847"/>
    <n v="6.1992176508868487E-5"/>
  </r>
  <r>
    <x v="2"/>
    <x v="3"/>
    <x v="7"/>
    <x v="2"/>
    <n v="2719981114.5358052"/>
    <n v="2.2499999999999999E-2"/>
    <x v="170"/>
    <x v="2"/>
    <n v="5"/>
    <n v="5"/>
    <n v="9.490367277213628E-2"/>
    <n v="1"/>
    <x v="848"/>
    <n v="1.0332029418144748E-4"/>
  </r>
  <r>
    <x v="2"/>
    <x v="3"/>
    <x v="7"/>
    <x v="3"/>
    <n v="2719981114.5358052"/>
    <n v="2.2499999999999999E-2"/>
    <x v="170"/>
    <x v="3"/>
    <n v="7"/>
    <n v="7"/>
    <n v="0.1328651418809908"/>
    <n v="1"/>
    <x v="849"/>
    <n v="1.4464841185402648E-4"/>
  </r>
  <r>
    <x v="2"/>
    <x v="3"/>
    <x v="7"/>
    <x v="4"/>
    <n v="2719981114.5358052"/>
    <n v="2.2499999999999999E-2"/>
    <x v="170"/>
    <x v="6"/>
    <n v="38.15"/>
    <n v="36.685000000000002"/>
    <n v="0.69630824712916395"/>
    <n v="1"/>
    <x v="850"/>
    <n v="7.5806099840928013E-4"/>
  </r>
  <r>
    <x v="2"/>
    <x v="3"/>
    <x v="8"/>
    <x v="0"/>
    <n v="2719981114.5358052"/>
    <n v="9.1250000000000012E-2"/>
    <x v="171"/>
    <x v="0"/>
    <n v="1"/>
    <n v="1"/>
    <n v="1.8980734554427257E-2"/>
    <n v="1"/>
    <x v="851"/>
    <n v="8.3804238613840749E-5"/>
  </r>
  <r>
    <x v="2"/>
    <x v="3"/>
    <x v="8"/>
    <x v="1"/>
    <n v="2719981114.5358052"/>
    <n v="9.1250000000000012E-2"/>
    <x v="171"/>
    <x v="1"/>
    <n v="3"/>
    <n v="3"/>
    <n v="5.6942203663281767E-2"/>
    <n v="1"/>
    <x v="852"/>
    <n v="2.5141271584152225E-4"/>
  </r>
  <r>
    <x v="2"/>
    <x v="3"/>
    <x v="8"/>
    <x v="2"/>
    <n v="2719981114.5358052"/>
    <n v="9.1250000000000012E-2"/>
    <x v="171"/>
    <x v="2"/>
    <n v="5"/>
    <n v="5"/>
    <n v="9.490367277213628E-2"/>
    <n v="1"/>
    <x v="853"/>
    <n v="4.1902119306920369E-4"/>
  </r>
  <r>
    <x v="2"/>
    <x v="3"/>
    <x v="8"/>
    <x v="3"/>
    <n v="2719981114.5358052"/>
    <n v="9.1250000000000012E-2"/>
    <x v="171"/>
    <x v="3"/>
    <n v="7"/>
    <n v="7"/>
    <n v="0.1328651418809908"/>
    <n v="1"/>
    <x v="854"/>
    <n v="5.8662967029688524E-4"/>
  </r>
  <r>
    <x v="2"/>
    <x v="3"/>
    <x v="8"/>
    <x v="4"/>
    <n v="2719981114.5358052"/>
    <n v="9.1250000000000012E-2"/>
    <x v="171"/>
    <x v="6"/>
    <n v="38.15"/>
    <n v="36.685000000000002"/>
    <n v="0.69630824712916395"/>
    <n v="1"/>
    <x v="855"/>
    <n v="3.0743584935487476E-3"/>
  </r>
  <r>
    <x v="2"/>
    <x v="4"/>
    <x v="0"/>
    <x v="0"/>
    <n v="145514747.73957029"/>
    <n v="0.17649999999999999"/>
    <x v="172"/>
    <x v="0"/>
    <n v="1"/>
    <n v="1"/>
    <n v="1.8980734554427257E-2"/>
    <n v="1"/>
    <x v="856"/>
    <n v="8.6719934957348129E-6"/>
  </r>
  <r>
    <x v="2"/>
    <x v="4"/>
    <x v="0"/>
    <x v="1"/>
    <n v="145514747.73957029"/>
    <n v="0.17649999999999999"/>
    <x v="172"/>
    <x v="1"/>
    <n v="3"/>
    <n v="3"/>
    <n v="5.6942203663281767E-2"/>
    <n v="1"/>
    <x v="857"/>
    <n v="2.6015980487204439E-5"/>
  </r>
  <r>
    <x v="2"/>
    <x v="4"/>
    <x v="0"/>
    <x v="2"/>
    <n v="145514747.73957029"/>
    <n v="0.17649999999999999"/>
    <x v="172"/>
    <x v="2"/>
    <n v="5"/>
    <n v="5"/>
    <n v="9.490367277213628E-2"/>
    <n v="1"/>
    <x v="858"/>
    <n v="4.3359967478674061E-5"/>
  </r>
  <r>
    <x v="2"/>
    <x v="4"/>
    <x v="0"/>
    <x v="3"/>
    <n v="145514747.73957029"/>
    <n v="0.17649999999999999"/>
    <x v="172"/>
    <x v="3"/>
    <n v="7"/>
    <n v="7"/>
    <n v="0.1328651418809908"/>
    <n v="1"/>
    <x v="859"/>
    <n v="6.0703954470143694E-5"/>
  </r>
  <r>
    <x v="2"/>
    <x v="4"/>
    <x v="0"/>
    <x v="4"/>
    <n v="145514747.73957029"/>
    <n v="0.17649999999999999"/>
    <x v="172"/>
    <x v="6"/>
    <n v="38.15"/>
    <n v="36.685000000000002"/>
    <n v="0.69630824712916395"/>
    <n v="1"/>
    <x v="860"/>
    <n v="3.1813208139103161E-4"/>
  </r>
  <r>
    <x v="2"/>
    <x v="4"/>
    <x v="1"/>
    <x v="0"/>
    <n v="145514747.73957029"/>
    <n v="8.5249999999999992E-2"/>
    <x v="173"/>
    <x v="0"/>
    <n v="1"/>
    <n v="1"/>
    <n v="1.8980734554427257E-2"/>
    <n v="1"/>
    <x v="861"/>
    <n v="4.1885974249937272E-6"/>
  </r>
  <r>
    <x v="2"/>
    <x v="4"/>
    <x v="1"/>
    <x v="1"/>
    <n v="145514747.73957029"/>
    <n v="8.5249999999999992E-2"/>
    <x v="173"/>
    <x v="1"/>
    <n v="3"/>
    <n v="3"/>
    <n v="5.6942203663281767E-2"/>
    <n v="1"/>
    <x v="862"/>
    <n v="1.256579227498118E-5"/>
  </r>
  <r>
    <x v="2"/>
    <x v="4"/>
    <x v="1"/>
    <x v="2"/>
    <n v="145514747.73957029"/>
    <n v="8.5249999999999992E-2"/>
    <x v="173"/>
    <x v="2"/>
    <n v="5"/>
    <n v="5"/>
    <n v="9.490367277213628E-2"/>
    <n v="1"/>
    <x v="863"/>
    <n v="2.0942987124968636E-5"/>
  </r>
  <r>
    <x v="2"/>
    <x v="4"/>
    <x v="1"/>
    <x v="3"/>
    <n v="145514747.73957029"/>
    <n v="8.5249999999999992E-2"/>
    <x v="173"/>
    <x v="3"/>
    <n v="7"/>
    <n v="7"/>
    <n v="0.1328651418809908"/>
    <n v="1"/>
    <x v="864"/>
    <n v="2.932018197495609E-5"/>
  </r>
  <r>
    <x v="2"/>
    <x v="4"/>
    <x v="1"/>
    <x v="4"/>
    <n v="145514747.73957029"/>
    <n v="8.5249999999999992E-2"/>
    <x v="173"/>
    <x v="6"/>
    <n v="38.15"/>
    <n v="36.685000000000002"/>
    <n v="0.69630824712916395"/>
    <n v="1"/>
    <x v="865"/>
    <n v="1.5365869653589486E-4"/>
  </r>
  <r>
    <x v="2"/>
    <x v="4"/>
    <x v="2"/>
    <x v="0"/>
    <n v="145514747.73957029"/>
    <n v="0.23774999999999999"/>
    <x v="174"/>
    <x v="0"/>
    <n v="1"/>
    <n v="1"/>
    <n v="1.8980734554427257E-2"/>
    <n v="1"/>
    <x v="866"/>
    <n v="1.1681396337739104E-5"/>
  </r>
  <r>
    <x v="2"/>
    <x v="4"/>
    <x v="2"/>
    <x v="1"/>
    <n v="145514747.73957029"/>
    <n v="0.23774999999999999"/>
    <x v="174"/>
    <x v="1"/>
    <n v="3"/>
    <n v="3"/>
    <n v="5.6942203663281767E-2"/>
    <n v="1"/>
    <x v="867"/>
    <n v="3.5044189013217308E-5"/>
  </r>
  <r>
    <x v="2"/>
    <x v="4"/>
    <x v="2"/>
    <x v="2"/>
    <n v="145514747.73957029"/>
    <n v="0.23774999999999999"/>
    <x v="174"/>
    <x v="2"/>
    <n v="5"/>
    <n v="5"/>
    <n v="9.490367277213628E-2"/>
    <n v="1"/>
    <x v="868"/>
    <n v="5.8406981688695513E-5"/>
  </r>
  <r>
    <x v="2"/>
    <x v="4"/>
    <x v="2"/>
    <x v="3"/>
    <n v="145514747.73957029"/>
    <n v="0.23774999999999999"/>
    <x v="174"/>
    <x v="3"/>
    <n v="7"/>
    <n v="7"/>
    <n v="0.1328651418809908"/>
    <n v="1"/>
    <x v="869"/>
    <n v="8.1769774364173731E-5"/>
  </r>
  <r>
    <x v="2"/>
    <x v="4"/>
    <x v="2"/>
    <x v="4"/>
    <n v="145514747.73957029"/>
    <n v="0.23774999999999999"/>
    <x v="174"/>
    <x v="6"/>
    <n v="38.15"/>
    <n v="36.685000000000002"/>
    <n v="0.69630824712916395"/>
    <n v="1"/>
    <x v="870"/>
    <n v="4.2853202464995907E-4"/>
  </r>
  <r>
    <x v="2"/>
    <x v="4"/>
    <x v="3"/>
    <x v="0"/>
    <n v="145514747.73957029"/>
    <n v="3.6750000000000005E-2"/>
    <x v="175"/>
    <x v="0"/>
    <n v="1"/>
    <n v="1"/>
    <n v="1.8980734554427257E-2"/>
    <n v="1"/>
    <x v="871"/>
    <n v="1.8056417052025748E-6"/>
  </r>
  <r>
    <x v="2"/>
    <x v="4"/>
    <x v="3"/>
    <x v="1"/>
    <n v="145514747.73957029"/>
    <n v="3.6750000000000005E-2"/>
    <x v="175"/>
    <x v="1"/>
    <n v="3"/>
    <n v="3"/>
    <n v="5.6942203663281767E-2"/>
    <n v="1"/>
    <x v="872"/>
    <n v="5.4169251156077236E-6"/>
  </r>
  <r>
    <x v="2"/>
    <x v="4"/>
    <x v="3"/>
    <x v="2"/>
    <n v="145514747.73957029"/>
    <n v="3.6750000000000005E-2"/>
    <x v="175"/>
    <x v="2"/>
    <n v="5"/>
    <n v="5"/>
    <n v="9.490367277213628E-2"/>
    <n v="1"/>
    <x v="873"/>
    <n v="9.0282085260128741E-6"/>
  </r>
  <r>
    <x v="2"/>
    <x v="4"/>
    <x v="3"/>
    <x v="3"/>
    <n v="145514747.73957029"/>
    <n v="3.6750000000000005E-2"/>
    <x v="175"/>
    <x v="3"/>
    <n v="7"/>
    <n v="7"/>
    <n v="0.1328651418809908"/>
    <n v="1"/>
    <x v="874"/>
    <n v="1.2639491936418024E-5"/>
  </r>
  <r>
    <x v="2"/>
    <x v="4"/>
    <x v="3"/>
    <x v="4"/>
    <n v="145514747.73957029"/>
    <n v="3.6750000000000005E-2"/>
    <x v="175"/>
    <x v="6"/>
    <n v="38.15"/>
    <n v="36.685000000000002"/>
    <n v="0.69630824712916395"/>
    <n v="1"/>
    <x v="875"/>
    <n v="6.6239965955356461E-5"/>
  </r>
  <r>
    <x v="2"/>
    <x v="4"/>
    <x v="4"/>
    <x v="0"/>
    <n v="145514747.73957029"/>
    <n v="7.4500000000000011E-2"/>
    <x v="176"/>
    <x v="0"/>
    <n v="1"/>
    <n v="1"/>
    <n v="1.8980734554427257E-2"/>
    <n v="1"/>
    <x v="876"/>
    <n v="3.6604165180297094E-6"/>
  </r>
  <r>
    <x v="2"/>
    <x v="4"/>
    <x v="4"/>
    <x v="1"/>
    <n v="145514747.73957029"/>
    <n v="7.4500000000000011E-2"/>
    <x v="176"/>
    <x v="1"/>
    <n v="3"/>
    <n v="3"/>
    <n v="5.6942203663281767E-2"/>
    <n v="1"/>
    <x v="877"/>
    <n v="1.0981249554089128E-5"/>
  </r>
  <r>
    <x v="2"/>
    <x v="4"/>
    <x v="4"/>
    <x v="2"/>
    <n v="145514747.73957029"/>
    <n v="7.4500000000000011E-2"/>
    <x v="176"/>
    <x v="2"/>
    <n v="5"/>
    <n v="5"/>
    <n v="9.490367277213628E-2"/>
    <n v="1"/>
    <x v="878"/>
    <n v="1.8302082590148545E-5"/>
  </r>
  <r>
    <x v="2"/>
    <x v="4"/>
    <x v="4"/>
    <x v="3"/>
    <n v="145514747.73957029"/>
    <n v="7.4500000000000011E-2"/>
    <x v="176"/>
    <x v="3"/>
    <n v="7"/>
    <n v="7"/>
    <n v="0.1328651418809908"/>
    <n v="1"/>
    <x v="879"/>
    <n v="2.5622915626207967E-5"/>
  </r>
  <r>
    <x v="2"/>
    <x v="4"/>
    <x v="4"/>
    <x v="4"/>
    <n v="145514747.73957029"/>
    <n v="7.4500000000000011E-2"/>
    <x v="176"/>
    <x v="6"/>
    <n v="38.15"/>
    <n v="36.685000000000002"/>
    <n v="0.69630824712916395"/>
    <n v="1"/>
    <x v="880"/>
    <n v="1.3428237996391989E-4"/>
  </r>
  <r>
    <x v="2"/>
    <x v="4"/>
    <x v="5"/>
    <x v="0"/>
    <n v="145514747.73957029"/>
    <n v="0.19524999999999998"/>
    <x v="177"/>
    <x v="0"/>
    <n v="1"/>
    <n v="1"/>
    <n v="1.8980734554427257E-2"/>
    <n v="1"/>
    <x v="881"/>
    <n v="9.5932392636953104E-6"/>
  </r>
  <r>
    <x v="2"/>
    <x v="4"/>
    <x v="5"/>
    <x v="1"/>
    <n v="145514747.73957029"/>
    <n v="0.19524999999999998"/>
    <x v="177"/>
    <x v="1"/>
    <n v="3"/>
    <n v="3"/>
    <n v="5.6942203663281767E-2"/>
    <n v="1"/>
    <x v="882"/>
    <n v="2.8779717791085928E-5"/>
  </r>
  <r>
    <x v="2"/>
    <x v="4"/>
    <x v="5"/>
    <x v="2"/>
    <n v="145514747.73957029"/>
    <n v="0.19524999999999998"/>
    <x v="177"/>
    <x v="2"/>
    <n v="5"/>
    <n v="5"/>
    <n v="9.490367277213628E-2"/>
    <n v="1"/>
    <x v="883"/>
    <n v="4.7966196318476552E-5"/>
  </r>
  <r>
    <x v="2"/>
    <x v="4"/>
    <x v="5"/>
    <x v="3"/>
    <n v="145514747.73957029"/>
    <n v="0.19524999999999998"/>
    <x v="177"/>
    <x v="3"/>
    <n v="7"/>
    <n v="7"/>
    <n v="0.1328651418809908"/>
    <n v="1"/>
    <x v="884"/>
    <n v="6.7152674845867173E-5"/>
  </r>
  <r>
    <x v="2"/>
    <x v="4"/>
    <x v="5"/>
    <x v="4"/>
    <n v="145514747.73957029"/>
    <n v="0.19524999999999998"/>
    <x v="177"/>
    <x v="6"/>
    <n v="38.15"/>
    <n v="36.685000000000002"/>
    <n v="0.69630824712916395"/>
    <n v="1"/>
    <x v="885"/>
    <n v="3.5192798238866253E-4"/>
  </r>
  <r>
    <x v="2"/>
    <x v="4"/>
    <x v="6"/>
    <x v="0"/>
    <n v="145514747.73957029"/>
    <n v="4.4499999999999991E-2"/>
    <x v="178"/>
    <x v="0"/>
    <n v="1"/>
    <n v="1"/>
    <n v="1.8980734554427257E-2"/>
    <n v="1"/>
    <x v="886"/>
    <n v="2.1864232892929129E-6"/>
  </r>
  <r>
    <x v="2"/>
    <x v="4"/>
    <x v="6"/>
    <x v="1"/>
    <n v="145514747.73957029"/>
    <n v="4.4499999999999991E-2"/>
    <x v="178"/>
    <x v="1"/>
    <n v="3"/>
    <n v="3"/>
    <n v="5.6942203663281767E-2"/>
    <n v="1"/>
    <x v="887"/>
    <n v="6.5592698678787383E-6"/>
  </r>
  <r>
    <x v="2"/>
    <x v="4"/>
    <x v="6"/>
    <x v="2"/>
    <n v="145514747.73957029"/>
    <n v="4.4499999999999991E-2"/>
    <x v="178"/>
    <x v="2"/>
    <n v="5"/>
    <n v="5"/>
    <n v="9.490367277213628E-2"/>
    <n v="1"/>
    <x v="888"/>
    <n v="1.0932116446464563E-5"/>
  </r>
  <r>
    <x v="2"/>
    <x v="4"/>
    <x v="6"/>
    <x v="3"/>
    <n v="145514747.73957029"/>
    <n v="4.4499999999999991E-2"/>
    <x v="178"/>
    <x v="3"/>
    <n v="7"/>
    <n v="7"/>
    <n v="0.1328651418809908"/>
    <n v="1"/>
    <x v="889"/>
    <n v="1.5304963025050392E-5"/>
  </r>
  <r>
    <x v="2"/>
    <x v="4"/>
    <x v="6"/>
    <x v="4"/>
    <n v="145514747.73957029"/>
    <n v="4.4499999999999991E-2"/>
    <x v="178"/>
    <x v="6"/>
    <n v="38.15"/>
    <n v="36.685000000000002"/>
    <n v="0.69630824712916395"/>
    <n v="1"/>
    <x v="890"/>
    <n v="8.0208938367710522E-5"/>
  </r>
  <r>
    <x v="2"/>
    <x v="4"/>
    <x v="7"/>
    <x v="0"/>
    <n v="145514747.73957029"/>
    <n v="8.5500000000000007E-2"/>
    <x v="179"/>
    <x v="0"/>
    <n v="1"/>
    <n v="1"/>
    <n v="1.8980734554427257E-2"/>
    <n v="1"/>
    <x v="891"/>
    <n v="4.2008807018998675E-6"/>
  </r>
  <r>
    <x v="2"/>
    <x v="4"/>
    <x v="7"/>
    <x v="1"/>
    <n v="145514747.73957029"/>
    <n v="8.5500000000000007E-2"/>
    <x v="179"/>
    <x v="1"/>
    <n v="3"/>
    <n v="3"/>
    <n v="5.6942203663281767E-2"/>
    <n v="1"/>
    <x v="892"/>
    <n v="1.2602642105699602E-5"/>
  </r>
  <r>
    <x v="2"/>
    <x v="4"/>
    <x v="7"/>
    <x v="2"/>
    <n v="145514747.73957029"/>
    <n v="8.5500000000000007E-2"/>
    <x v="179"/>
    <x v="2"/>
    <n v="5"/>
    <n v="5"/>
    <n v="9.490367277213628E-2"/>
    <n v="1"/>
    <x v="893"/>
    <n v="2.1004403509499337E-5"/>
  </r>
  <r>
    <x v="2"/>
    <x v="4"/>
    <x v="7"/>
    <x v="3"/>
    <n v="145514747.73957029"/>
    <n v="8.5500000000000007E-2"/>
    <x v="179"/>
    <x v="3"/>
    <n v="7"/>
    <n v="7"/>
    <n v="0.1328651418809908"/>
    <n v="1"/>
    <x v="894"/>
    <n v="2.940616491329907E-5"/>
  </r>
  <r>
    <x v="2"/>
    <x v="4"/>
    <x v="7"/>
    <x v="4"/>
    <n v="145514747.73957029"/>
    <n v="8.5500000000000007E-2"/>
    <x v="179"/>
    <x v="6"/>
    <n v="38.15"/>
    <n v="36.685000000000002"/>
    <n v="0.69630824712916395"/>
    <n v="1"/>
    <x v="895"/>
    <n v="1.5410930854919665E-4"/>
  </r>
  <r>
    <x v="2"/>
    <x v="4"/>
    <x v="8"/>
    <x v="0"/>
    <n v="145514747.73957029"/>
    <n v="6.4000000000000001E-2"/>
    <x v="180"/>
    <x v="0"/>
    <n v="1"/>
    <n v="1"/>
    <n v="1.8980734554427257E-2"/>
    <n v="1"/>
    <x v="896"/>
    <n v="3.1445188879718311E-6"/>
  </r>
  <r>
    <x v="2"/>
    <x v="4"/>
    <x v="8"/>
    <x v="1"/>
    <n v="145514747.73957029"/>
    <n v="6.4000000000000001E-2"/>
    <x v="180"/>
    <x v="1"/>
    <n v="3"/>
    <n v="3"/>
    <n v="5.6942203663281767E-2"/>
    <n v="1"/>
    <x v="897"/>
    <n v="9.4335566639154933E-6"/>
  </r>
  <r>
    <x v="2"/>
    <x v="4"/>
    <x v="8"/>
    <x v="2"/>
    <n v="145514747.73957029"/>
    <n v="6.4000000000000001E-2"/>
    <x v="180"/>
    <x v="2"/>
    <n v="5"/>
    <n v="5"/>
    <n v="9.490367277213628E-2"/>
    <n v="1"/>
    <x v="898"/>
    <n v="1.5722594439859152E-5"/>
  </r>
  <r>
    <x v="2"/>
    <x v="4"/>
    <x v="8"/>
    <x v="3"/>
    <n v="145514747.73957029"/>
    <n v="6.4000000000000001E-2"/>
    <x v="180"/>
    <x v="3"/>
    <n v="7"/>
    <n v="7"/>
    <n v="0.1328651418809908"/>
    <n v="1"/>
    <x v="899"/>
    <n v="2.2011632215802814E-5"/>
  </r>
  <r>
    <x v="2"/>
    <x v="4"/>
    <x v="8"/>
    <x v="4"/>
    <n v="145514747.73957029"/>
    <n v="6.4000000000000001E-2"/>
    <x v="180"/>
    <x v="6"/>
    <n v="38.15"/>
    <n v="36.685000000000002"/>
    <n v="0.69630824712916395"/>
    <n v="1"/>
    <x v="900"/>
    <n v="1.1535667540524662E-4"/>
  </r>
  <r>
    <x v="2"/>
    <x v="5"/>
    <x v="0"/>
    <x v="0"/>
    <n v="2141662556.5333641"/>
    <n v="0.28824999999999995"/>
    <x v="181"/>
    <x v="0"/>
    <n v="1"/>
    <n v="1"/>
    <n v="1.8980734554427257E-2"/>
    <n v="1"/>
    <x v="901"/>
    <n v="2.0844312846950464E-4"/>
  </r>
  <r>
    <x v="2"/>
    <x v="5"/>
    <x v="0"/>
    <x v="1"/>
    <n v="2141662556.5333641"/>
    <n v="0.28824999999999995"/>
    <x v="181"/>
    <x v="1"/>
    <n v="3"/>
    <n v="3"/>
    <n v="5.6942203663281767E-2"/>
    <n v="1"/>
    <x v="902"/>
    <n v="6.253293854085139E-4"/>
  </r>
  <r>
    <x v="2"/>
    <x v="5"/>
    <x v="0"/>
    <x v="2"/>
    <n v="2141662556.5333641"/>
    <n v="0.28824999999999995"/>
    <x v="181"/>
    <x v="2"/>
    <n v="5"/>
    <n v="5"/>
    <n v="9.490367277213628E-2"/>
    <n v="1"/>
    <x v="903"/>
    <n v="1.0422156423475232E-3"/>
  </r>
  <r>
    <x v="2"/>
    <x v="5"/>
    <x v="0"/>
    <x v="3"/>
    <n v="2141662556.5333641"/>
    <n v="0.28824999999999995"/>
    <x v="181"/>
    <x v="3"/>
    <n v="7"/>
    <n v="7"/>
    <n v="0.1328651418809908"/>
    <n v="1"/>
    <x v="904"/>
    <n v="1.4591018992865324E-3"/>
  </r>
  <r>
    <x v="2"/>
    <x v="5"/>
    <x v="0"/>
    <x v="4"/>
    <n v="2141662556.5333641"/>
    <n v="0.28824999999999995"/>
    <x v="181"/>
    <x v="6"/>
    <n v="38.15"/>
    <n v="36.685000000000002"/>
    <n v="0.69630824712916395"/>
    <n v="1"/>
    <x v="905"/>
    <n v="7.646736167903778E-3"/>
  </r>
  <r>
    <x v="2"/>
    <x v="5"/>
    <x v="1"/>
    <x v="0"/>
    <n v="2141662556.5333641"/>
    <n v="0.12437499999999999"/>
    <x v="182"/>
    <x v="0"/>
    <n v="1"/>
    <n v="1"/>
    <n v="1.8980734554427257E-2"/>
    <n v="1"/>
    <x v="906"/>
    <n v="8.993968466051915E-5"/>
  </r>
  <r>
    <x v="2"/>
    <x v="5"/>
    <x v="1"/>
    <x v="1"/>
    <n v="2141662556.5333641"/>
    <n v="0.12437499999999999"/>
    <x v="182"/>
    <x v="1"/>
    <n v="3"/>
    <n v="3"/>
    <n v="5.6942203663281767E-2"/>
    <n v="1"/>
    <x v="907"/>
    <n v="2.6981905398155742E-4"/>
  </r>
  <r>
    <x v="2"/>
    <x v="5"/>
    <x v="1"/>
    <x v="2"/>
    <n v="2141662556.5333641"/>
    <n v="0.12437499999999999"/>
    <x v="182"/>
    <x v="2"/>
    <n v="5"/>
    <n v="5"/>
    <n v="9.490367277213628E-2"/>
    <n v="1"/>
    <x v="908"/>
    <n v="4.4969842330259572E-4"/>
  </r>
  <r>
    <x v="2"/>
    <x v="5"/>
    <x v="1"/>
    <x v="3"/>
    <n v="2141662556.5333641"/>
    <n v="0.12437499999999999"/>
    <x v="182"/>
    <x v="3"/>
    <n v="7"/>
    <n v="7"/>
    <n v="0.1328651418809908"/>
    <n v="1"/>
    <x v="909"/>
    <n v="6.2957779262363402E-4"/>
  </r>
  <r>
    <x v="2"/>
    <x v="5"/>
    <x v="1"/>
    <x v="4"/>
    <n v="2141662556.5333641"/>
    <n v="0.12437499999999999"/>
    <x v="182"/>
    <x v="6"/>
    <n v="38.15"/>
    <n v="36.685000000000002"/>
    <n v="0.69630824712916395"/>
    <n v="1"/>
    <x v="910"/>
    <n v="3.299437331771145E-3"/>
  </r>
  <r>
    <x v="2"/>
    <x v="5"/>
    <x v="2"/>
    <x v="0"/>
    <n v="2141662556.5333641"/>
    <n v="0.18625"/>
    <x v="183"/>
    <x v="0"/>
    <n v="1"/>
    <n v="1"/>
    <n v="1.8980734554427257E-2"/>
    <n v="1"/>
    <x v="911"/>
    <n v="1.3468354788359152E-4"/>
  </r>
  <r>
    <x v="2"/>
    <x v="5"/>
    <x v="2"/>
    <x v="1"/>
    <n v="2141662556.5333641"/>
    <n v="0.18625"/>
    <x v="183"/>
    <x v="1"/>
    <n v="3"/>
    <n v="3"/>
    <n v="5.6942203663281767E-2"/>
    <n v="1"/>
    <x v="912"/>
    <n v="4.0405064365077448E-4"/>
  </r>
  <r>
    <x v="2"/>
    <x v="5"/>
    <x v="2"/>
    <x v="2"/>
    <n v="2141662556.5333641"/>
    <n v="0.18625"/>
    <x v="183"/>
    <x v="2"/>
    <n v="5"/>
    <n v="5"/>
    <n v="9.490367277213628E-2"/>
    <n v="1"/>
    <x v="913"/>
    <n v="6.7341773941795757E-4"/>
  </r>
  <r>
    <x v="2"/>
    <x v="5"/>
    <x v="2"/>
    <x v="3"/>
    <n v="2141662556.5333641"/>
    <n v="0.18625"/>
    <x v="183"/>
    <x v="3"/>
    <n v="7"/>
    <n v="7"/>
    <n v="0.1328651418809908"/>
    <n v="1"/>
    <x v="914"/>
    <n v="9.4278483518514045E-4"/>
  </r>
  <r>
    <x v="2"/>
    <x v="5"/>
    <x v="2"/>
    <x v="4"/>
    <n v="2141662556.5333641"/>
    <n v="0.18625"/>
    <x v="183"/>
    <x v="6"/>
    <n v="38.15"/>
    <n v="36.685000000000002"/>
    <n v="0.69630824712916395"/>
    <n v="1"/>
    <x v="915"/>
    <n v="4.9408659541095544E-3"/>
  </r>
  <r>
    <x v="2"/>
    <x v="5"/>
    <x v="3"/>
    <x v="0"/>
    <n v="2141662556.5333641"/>
    <n v="1.7000000000000001E-2"/>
    <x v="184"/>
    <x v="0"/>
    <n v="1"/>
    <n v="1"/>
    <n v="1.8980734554427257E-2"/>
    <n v="1"/>
    <x v="916"/>
    <n v="1.2293263430985534E-5"/>
  </r>
  <r>
    <x v="2"/>
    <x v="5"/>
    <x v="3"/>
    <x v="1"/>
    <n v="2141662556.5333641"/>
    <n v="1.7000000000000001E-2"/>
    <x v="184"/>
    <x v="1"/>
    <n v="3"/>
    <n v="3"/>
    <n v="5.6942203663281767E-2"/>
    <n v="1"/>
    <x v="917"/>
    <n v="3.6879790292956602E-5"/>
  </r>
  <r>
    <x v="2"/>
    <x v="5"/>
    <x v="3"/>
    <x v="2"/>
    <n v="2141662556.5333641"/>
    <n v="1.7000000000000001E-2"/>
    <x v="184"/>
    <x v="2"/>
    <n v="5"/>
    <n v="5"/>
    <n v="9.490367277213628E-2"/>
    <n v="1"/>
    <x v="918"/>
    <n v="6.1466317154927657E-5"/>
  </r>
  <r>
    <x v="2"/>
    <x v="5"/>
    <x v="3"/>
    <x v="3"/>
    <n v="2141662556.5333641"/>
    <n v="1.7000000000000001E-2"/>
    <x v="184"/>
    <x v="3"/>
    <n v="7"/>
    <n v="7"/>
    <n v="0.1328651418809908"/>
    <n v="1"/>
    <x v="919"/>
    <n v="8.6052844016898752E-5"/>
  </r>
  <r>
    <x v="2"/>
    <x v="5"/>
    <x v="3"/>
    <x v="4"/>
    <n v="2141662556.5333641"/>
    <n v="1.7000000000000001E-2"/>
    <x v="184"/>
    <x v="6"/>
    <n v="38.15"/>
    <n v="36.685000000000002"/>
    <n v="0.69630824712916395"/>
    <n v="1"/>
    <x v="920"/>
    <n v="4.5097836896570428E-4"/>
  </r>
  <r>
    <x v="2"/>
    <x v="5"/>
    <x v="4"/>
    <x v="0"/>
    <n v="2141662556.5333641"/>
    <n v="0.10375000000000002"/>
    <x v="185"/>
    <x v="0"/>
    <n v="1"/>
    <n v="1"/>
    <n v="1.8980734554427257E-2"/>
    <n v="1"/>
    <x v="921"/>
    <n v="7.5025063586161721E-5"/>
  </r>
  <r>
    <x v="2"/>
    <x v="5"/>
    <x v="4"/>
    <x v="1"/>
    <n v="2141662556.5333641"/>
    <n v="0.10375000000000002"/>
    <x v="185"/>
    <x v="1"/>
    <n v="3"/>
    <n v="3"/>
    <n v="5.6942203663281767E-2"/>
    <n v="1"/>
    <x v="922"/>
    <n v="2.2507519075848516E-4"/>
  </r>
  <r>
    <x v="2"/>
    <x v="5"/>
    <x v="4"/>
    <x v="2"/>
    <n v="2141662556.5333641"/>
    <n v="0.10375000000000002"/>
    <x v="185"/>
    <x v="2"/>
    <n v="5"/>
    <n v="5"/>
    <n v="9.490367277213628E-2"/>
    <n v="1"/>
    <x v="923"/>
    <n v="3.751253179308086E-4"/>
  </r>
  <r>
    <x v="2"/>
    <x v="5"/>
    <x v="4"/>
    <x v="3"/>
    <n v="2141662556.5333641"/>
    <n v="0.10375000000000002"/>
    <x v="185"/>
    <x v="3"/>
    <n v="7"/>
    <n v="7"/>
    <n v="0.1328651418809908"/>
    <n v="1"/>
    <x v="924"/>
    <n v="5.251754451031321E-4"/>
  </r>
  <r>
    <x v="2"/>
    <x v="5"/>
    <x v="4"/>
    <x v="4"/>
    <n v="2141662556.5333641"/>
    <n v="0.10375000000000002"/>
    <x v="185"/>
    <x v="6"/>
    <n v="38.15"/>
    <n v="36.685000000000002"/>
    <n v="0.69630824712916395"/>
    <n v="1"/>
    <x v="925"/>
    <n v="2.7522944576583428E-3"/>
  </r>
  <r>
    <x v="2"/>
    <x v="5"/>
    <x v="5"/>
    <x v="0"/>
    <n v="2141662556.5333641"/>
    <n v="7.0250000000000007E-2"/>
    <x v="186"/>
    <x v="0"/>
    <n v="1"/>
    <n v="1"/>
    <n v="1.8980734554427257E-2"/>
    <n v="1"/>
    <x v="926"/>
    <n v="5.080010329569022E-5"/>
  </r>
  <r>
    <x v="2"/>
    <x v="5"/>
    <x v="5"/>
    <x v="1"/>
    <n v="2141662556.5333641"/>
    <n v="7.0250000000000007E-2"/>
    <x v="186"/>
    <x v="1"/>
    <n v="3"/>
    <n v="3"/>
    <n v="5.6942203663281767E-2"/>
    <n v="1"/>
    <x v="927"/>
    <n v="1.5240030988707064E-4"/>
  </r>
  <r>
    <x v="2"/>
    <x v="5"/>
    <x v="5"/>
    <x v="2"/>
    <n v="2141662556.5333641"/>
    <n v="7.0250000000000007E-2"/>
    <x v="186"/>
    <x v="2"/>
    <n v="5"/>
    <n v="5"/>
    <n v="9.490367277213628E-2"/>
    <n v="1"/>
    <x v="928"/>
    <n v="2.5400051647845109E-4"/>
  </r>
  <r>
    <x v="2"/>
    <x v="5"/>
    <x v="5"/>
    <x v="3"/>
    <n v="2141662556.5333641"/>
    <n v="7.0250000000000007E-2"/>
    <x v="186"/>
    <x v="3"/>
    <n v="7"/>
    <n v="7"/>
    <n v="0.1328651418809908"/>
    <n v="1"/>
    <x v="929"/>
    <n v="3.5560072306983152E-4"/>
  </r>
  <r>
    <x v="2"/>
    <x v="5"/>
    <x v="5"/>
    <x v="4"/>
    <n v="2141662556.5333641"/>
    <n v="7.0250000000000007E-2"/>
    <x v="186"/>
    <x v="6"/>
    <n v="38.15"/>
    <n v="36.685000000000002"/>
    <n v="0.69630824712916395"/>
    <n v="1"/>
    <x v="930"/>
    <n v="1.863601789402396E-3"/>
  </r>
  <r>
    <x v="2"/>
    <x v="5"/>
    <x v="6"/>
    <x v="0"/>
    <n v="2141662556.5333641"/>
    <n v="9.6374999999999988E-2"/>
    <x v="187"/>
    <x v="0"/>
    <n v="1"/>
    <n v="1"/>
    <n v="1.8980734554427257E-2"/>
    <n v="1"/>
    <x v="931"/>
    <n v="6.9691956656542972E-5"/>
  </r>
  <r>
    <x v="2"/>
    <x v="5"/>
    <x v="6"/>
    <x v="1"/>
    <n v="2141662556.5333641"/>
    <n v="9.6374999999999988E-2"/>
    <x v="187"/>
    <x v="1"/>
    <n v="3"/>
    <n v="3"/>
    <n v="5.6942203663281767E-2"/>
    <n v="1"/>
    <x v="932"/>
    <n v="2.0907586996962892E-4"/>
  </r>
  <r>
    <x v="2"/>
    <x v="5"/>
    <x v="6"/>
    <x v="2"/>
    <n v="2141662556.5333641"/>
    <n v="9.6374999999999988E-2"/>
    <x v="187"/>
    <x v="2"/>
    <n v="5"/>
    <n v="5"/>
    <n v="9.490367277213628E-2"/>
    <n v="1"/>
    <x v="933"/>
    <n v="3.4845978328271486E-4"/>
  </r>
  <r>
    <x v="2"/>
    <x v="5"/>
    <x v="6"/>
    <x v="3"/>
    <n v="2141662556.5333641"/>
    <n v="9.6374999999999988E-2"/>
    <x v="187"/>
    <x v="3"/>
    <n v="7"/>
    <n v="7"/>
    <n v="0.1328651418809908"/>
    <n v="1"/>
    <x v="934"/>
    <n v="4.8784369659580086E-4"/>
  </r>
  <r>
    <x v="2"/>
    <x v="5"/>
    <x v="6"/>
    <x v="4"/>
    <n v="2141662556.5333641"/>
    <n v="9.6374999999999988E-2"/>
    <x v="187"/>
    <x v="6"/>
    <n v="38.15"/>
    <n v="36.685000000000002"/>
    <n v="0.69630824712916395"/>
    <n v="1"/>
    <x v="935"/>
    <n v="2.5566494299452793E-3"/>
  </r>
  <r>
    <x v="2"/>
    <x v="5"/>
    <x v="7"/>
    <x v="0"/>
    <n v="2141662556.5333641"/>
    <n v="2.2499999999999999E-2"/>
    <x v="188"/>
    <x v="0"/>
    <n v="1"/>
    <n v="1"/>
    <n v="1.8980734554427257E-2"/>
    <n v="1"/>
    <x v="936"/>
    <n v="1.6270495717480853E-5"/>
  </r>
  <r>
    <x v="2"/>
    <x v="5"/>
    <x v="7"/>
    <x v="1"/>
    <n v="2141662556.5333641"/>
    <n v="2.2499999999999999E-2"/>
    <x v="188"/>
    <x v="1"/>
    <n v="3"/>
    <n v="3"/>
    <n v="5.6942203663281767E-2"/>
    <n v="1"/>
    <x v="937"/>
    <n v="4.8811487152442555E-5"/>
  </r>
  <r>
    <x v="2"/>
    <x v="5"/>
    <x v="7"/>
    <x v="2"/>
    <n v="2141662556.5333641"/>
    <n v="2.2499999999999999E-2"/>
    <x v="188"/>
    <x v="2"/>
    <n v="5"/>
    <n v="5"/>
    <n v="9.490367277213628E-2"/>
    <n v="1"/>
    <x v="938"/>
    <n v="8.1352478587404261E-5"/>
  </r>
  <r>
    <x v="2"/>
    <x v="5"/>
    <x v="7"/>
    <x v="3"/>
    <n v="2141662556.5333641"/>
    <n v="2.2499999999999999E-2"/>
    <x v="188"/>
    <x v="3"/>
    <n v="7"/>
    <n v="7"/>
    <n v="0.1328651418809908"/>
    <n v="1"/>
    <x v="939"/>
    <n v="1.1389347002236597E-4"/>
  </r>
  <r>
    <x v="2"/>
    <x v="5"/>
    <x v="7"/>
    <x v="4"/>
    <n v="2141662556.5333641"/>
    <n v="2.2499999999999999E-2"/>
    <x v="188"/>
    <x v="6"/>
    <n v="38.15"/>
    <n v="36.685000000000002"/>
    <n v="0.69630824712916395"/>
    <n v="1"/>
    <x v="940"/>
    <n v="5.9688313539578506E-4"/>
  </r>
  <r>
    <x v="2"/>
    <x v="5"/>
    <x v="8"/>
    <x v="0"/>
    <n v="2141662556.5333641"/>
    <n v="9.1250000000000012E-2"/>
    <x v="189"/>
    <x v="0"/>
    <n v="1"/>
    <n v="1"/>
    <n v="1.8980734554427257E-2"/>
    <n v="1"/>
    <x v="941"/>
    <n v="6.5985899298672354E-5"/>
  </r>
  <r>
    <x v="2"/>
    <x v="5"/>
    <x v="8"/>
    <x v="1"/>
    <n v="2141662556.5333641"/>
    <n v="9.1250000000000012E-2"/>
    <x v="189"/>
    <x v="1"/>
    <n v="3"/>
    <n v="3"/>
    <n v="5.6942203663281767E-2"/>
    <n v="1"/>
    <x v="942"/>
    <n v="1.9795769789601706E-4"/>
  </r>
  <r>
    <x v="2"/>
    <x v="5"/>
    <x v="8"/>
    <x v="2"/>
    <n v="2141662556.5333641"/>
    <n v="9.1250000000000012E-2"/>
    <x v="189"/>
    <x v="2"/>
    <n v="5"/>
    <n v="5"/>
    <n v="9.490367277213628E-2"/>
    <n v="1"/>
    <x v="943"/>
    <n v="3.2992949649336174E-4"/>
  </r>
  <r>
    <x v="2"/>
    <x v="5"/>
    <x v="8"/>
    <x v="3"/>
    <n v="2141662556.5333641"/>
    <n v="9.1250000000000012E-2"/>
    <x v="189"/>
    <x v="3"/>
    <n v="7"/>
    <n v="7"/>
    <n v="0.1328651418809908"/>
    <n v="1"/>
    <x v="944"/>
    <n v="4.6190129509070656E-4"/>
  </r>
  <r>
    <x v="2"/>
    <x v="5"/>
    <x v="8"/>
    <x v="4"/>
    <n v="2141662556.5333641"/>
    <n v="9.1250000000000012E-2"/>
    <x v="189"/>
    <x v="6"/>
    <n v="38.15"/>
    <n v="36.685000000000002"/>
    <n v="0.69630824712916395"/>
    <n v="1"/>
    <x v="945"/>
    <n v="2.4206927157717959E-3"/>
  </r>
  <r>
    <x v="2"/>
    <x v="6"/>
    <x v="0"/>
    <x v="0"/>
    <n v="175307461.32720459"/>
    <n v="0.28824999999999995"/>
    <x v="190"/>
    <x v="0"/>
    <n v="1"/>
    <n v="1"/>
    <n v="1.8980734554427257E-2"/>
    <n v="1"/>
    <x v="946"/>
    <n v="1.7062275086994992E-5"/>
  </r>
  <r>
    <x v="2"/>
    <x v="6"/>
    <x v="0"/>
    <x v="1"/>
    <n v="175307461.32720459"/>
    <n v="0.28824999999999995"/>
    <x v="190"/>
    <x v="1"/>
    <n v="3"/>
    <n v="3"/>
    <n v="5.6942203663281767E-2"/>
    <n v="1"/>
    <x v="947"/>
    <n v="5.1186825260984977E-5"/>
  </r>
  <r>
    <x v="2"/>
    <x v="6"/>
    <x v="0"/>
    <x v="2"/>
    <n v="175307461.32720459"/>
    <n v="0.28824999999999995"/>
    <x v="190"/>
    <x v="2"/>
    <n v="5"/>
    <n v="5"/>
    <n v="9.490367277213628E-2"/>
    <n v="1"/>
    <x v="948"/>
    <n v="8.5311375434974975E-5"/>
  </r>
  <r>
    <x v="2"/>
    <x v="6"/>
    <x v="0"/>
    <x v="3"/>
    <n v="175307461.32720459"/>
    <n v="0.28824999999999995"/>
    <x v="190"/>
    <x v="3"/>
    <n v="7"/>
    <n v="7"/>
    <n v="0.1328651418809908"/>
    <n v="1"/>
    <x v="949"/>
    <n v="1.1943592560896495E-4"/>
  </r>
  <r>
    <x v="2"/>
    <x v="6"/>
    <x v="0"/>
    <x v="4"/>
    <n v="175307461.32720459"/>
    <n v="0.28824999999999995"/>
    <x v="190"/>
    <x v="6"/>
    <n v="38.15"/>
    <n v="36.685000000000002"/>
    <n v="0.69630824712916395"/>
    <n v="1"/>
    <x v="950"/>
    <n v="6.2592956156641132E-4"/>
  </r>
  <r>
    <x v="2"/>
    <x v="6"/>
    <x v="1"/>
    <x v="0"/>
    <n v="175307461.32720459"/>
    <n v="0.12437499999999999"/>
    <x v="191"/>
    <x v="0"/>
    <n v="1"/>
    <n v="1"/>
    <n v="1.8980734554427257E-2"/>
    <n v="1"/>
    <x v="951"/>
    <n v="7.3620831359757249E-6"/>
  </r>
  <r>
    <x v="2"/>
    <x v="6"/>
    <x v="1"/>
    <x v="1"/>
    <n v="175307461.32720459"/>
    <n v="0.12437499999999999"/>
    <x v="191"/>
    <x v="1"/>
    <n v="3"/>
    <n v="3"/>
    <n v="5.6942203663281767E-2"/>
    <n v="1"/>
    <x v="952"/>
    <n v="2.2086249407927174E-5"/>
  </r>
  <r>
    <x v="2"/>
    <x v="6"/>
    <x v="1"/>
    <x v="2"/>
    <n v="175307461.32720459"/>
    <n v="0.12437499999999999"/>
    <x v="191"/>
    <x v="2"/>
    <n v="5"/>
    <n v="5"/>
    <n v="9.490367277213628E-2"/>
    <n v="1"/>
    <x v="953"/>
    <n v="3.6810415679878622E-5"/>
  </r>
  <r>
    <x v="2"/>
    <x v="6"/>
    <x v="1"/>
    <x v="3"/>
    <n v="175307461.32720459"/>
    <n v="0.12437499999999999"/>
    <x v="191"/>
    <x v="3"/>
    <n v="7"/>
    <n v="7"/>
    <n v="0.1328651418809908"/>
    <n v="1"/>
    <x v="954"/>
    <n v="5.1534581951830073E-5"/>
  </r>
  <r>
    <x v="2"/>
    <x v="6"/>
    <x v="1"/>
    <x v="4"/>
    <n v="175307461.32720459"/>
    <n v="0.12437499999999999"/>
    <x v="191"/>
    <x v="6"/>
    <n v="38.15"/>
    <n v="36.685000000000002"/>
    <n v="0.69630824712916395"/>
    <n v="1"/>
    <x v="955"/>
    <n v="2.7007801984326948E-4"/>
  </r>
  <r>
    <x v="2"/>
    <x v="6"/>
    <x v="2"/>
    <x v="0"/>
    <n v="175307461.32720459"/>
    <n v="0.18625"/>
    <x v="192"/>
    <x v="0"/>
    <n v="1"/>
    <n v="1"/>
    <n v="1.8980734554427257E-2"/>
    <n v="1"/>
    <x v="956"/>
    <n v="1.1024627007642041E-5"/>
  </r>
  <r>
    <x v="2"/>
    <x v="6"/>
    <x v="2"/>
    <x v="1"/>
    <n v="175307461.32720459"/>
    <n v="0.18625"/>
    <x v="192"/>
    <x v="1"/>
    <n v="3"/>
    <n v="3"/>
    <n v="5.6942203663281767E-2"/>
    <n v="1"/>
    <x v="957"/>
    <n v="3.3073881022926122E-5"/>
  </r>
  <r>
    <x v="2"/>
    <x v="6"/>
    <x v="2"/>
    <x v="2"/>
    <n v="175307461.32720459"/>
    <n v="0.18625"/>
    <x v="192"/>
    <x v="2"/>
    <n v="5"/>
    <n v="5"/>
    <n v="9.490367277213628E-2"/>
    <n v="1"/>
    <x v="958"/>
    <n v="5.5123135038210208E-5"/>
  </r>
  <r>
    <x v="2"/>
    <x v="6"/>
    <x v="2"/>
    <x v="3"/>
    <n v="175307461.32720459"/>
    <n v="0.18625"/>
    <x v="192"/>
    <x v="3"/>
    <n v="7"/>
    <n v="7"/>
    <n v="0.1328651418809908"/>
    <n v="1"/>
    <x v="959"/>
    <n v="7.7172389053494281E-5"/>
  </r>
  <r>
    <x v="2"/>
    <x v="6"/>
    <x v="2"/>
    <x v="4"/>
    <n v="175307461.32720459"/>
    <n v="0.18625"/>
    <x v="192"/>
    <x v="6"/>
    <n v="38.15"/>
    <n v="36.685000000000002"/>
    <n v="0.69630824712916395"/>
    <n v="1"/>
    <x v="960"/>
    <n v="4.0443844177534831E-4"/>
  </r>
  <r>
    <x v="2"/>
    <x v="6"/>
    <x v="3"/>
    <x v="0"/>
    <n v="175307461.32720459"/>
    <n v="1.7000000000000001E-2"/>
    <x v="193"/>
    <x v="0"/>
    <n v="1"/>
    <n v="1"/>
    <n v="1.8980734554427257E-2"/>
    <n v="1"/>
    <x v="961"/>
    <n v="1.0062746798921594E-6"/>
  </r>
  <r>
    <x v="2"/>
    <x v="6"/>
    <x v="3"/>
    <x v="1"/>
    <n v="175307461.32720459"/>
    <n v="1.7000000000000001E-2"/>
    <x v="193"/>
    <x v="1"/>
    <n v="3"/>
    <n v="3"/>
    <n v="5.6942203663281767E-2"/>
    <n v="1"/>
    <x v="962"/>
    <n v="3.0188240396764781E-6"/>
  </r>
  <r>
    <x v="2"/>
    <x v="6"/>
    <x v="3"/>
    <x v="2"/>
    <n v="175307461.32720459"/>
    <n v="1.7000000000000001E-2"/>
    <x v="193"/>
    <x v="2"/>
    <n v="5"/>
    <n v="5"/>
    <n v="9.490367277213628E-2"/>
    <n v="1"/>
    <x v="963"/>
    <n v="5.0313733994607965E-6"/>
  </r>
  <r>
    <x v="2"/>
    <x v="6"/>
    <x v="3"/>
    <x v="3"/>
    <n v="175307461.32720459"/>
    <n v="1.7000000000000001E-2"/>
    <x v="193"/>
    <x v="3"/>
    <n v="7"/>
    <n v="7"/>
    <n v="0.1328651418809908"/>
    <n v="1"/>
    <x v="964"/>
    <n v="7.0439227592451158E-6"/>
  </r>
  <r>
    <x v="2"/>
    <x v="6"/>
    <x v="3"/>
    <x v="4"/>
    <n v="175307461.32720459"/>
    <n v="1.7000000000000001E-2"/>
    <x v="193"/>
    <x v="6"/>
    <n v="38.15"/>
    <n v="36.685000000000002"/>
    <n v="0.69630824712916395"/>
    <n v="1"/>
    <x v="965"/>
    <n v="3.6915186631843872E-5"/>
  </r>
  <r>
    <x v="2"/>
    <x v="6"/>
    <x v="4"/>
    <x v="0"/>
    <n v="175307461.32720459"/>
    <n v="0.10375000000000002"/>
    <x v="194"/>
    <x v="0"/>
    <n v="1"/>
    <n v="1"/>
    <n v="1.8980734554427257E-2"/>
    <n v="1"/>
    <x v="966"/>
    <n v="6.1412351787536214E-6"/>
  </r>
  <r>
    <x v="2"/>
    <x v="6"/>
    <x v="4"/>
    <x v="1"/>
    <n v="175307461.32720459"/>
    <n v="0.10375000000000002"/>
    <x v="194"/>
    <x v="1"/>
    <n v="3"/>
    <n v="3"/>
    <n v="5.6942203663281767E-2"/>
    <n v="1"/>
    <x v="967"/>
    <n v="1.842370553626086E-5"/>
  </r>
  <r>
    <x v="2"/>
    <x v="6"/>
    <x v="4"/>
    <x v="2"/>
    <n v="175307461.32720459"/>
    <n v="0.10375000000000002"/>
    <x v="194"/>
    <x v="2"/>
    <n v="5"/>
    <n v="5"/>
    <n v="9.490367277213628E-2"/>
    <n v="1"/>
    <x v="968"/>
    <n v="3.0706175893768104E-5"/>
  </r>
  <r>
    <x v="2"/>
    <x v="6"/>
    <x v="4"/>
    <x v="3"/>
    <n v="175307461.32720459"/>
    <n v="0.10375000000000002"/>
    <x v="194"/>
    <x v="3"/>
    <n v="7"/>
    <n v="7"/>
    <n v="0.1328651418809908"/>
    <n v="1"/>
    <x v="969"/>
    <n v="4.2988646251275349E-5"/>
  </r>
  <r>
    <x v="2"/>
    <x v="6"/>
    <x v="4"/>
    <x v="4"/>
    <n v="175307461.32720459"/>
    <n v="0.10375000000000002"/>
    <x v="194"/>
    <x v="6"/>
    <n v="38.15"/>
    <n v="36.685000000000002"/>
    <n v="0.69630824712916395"/>
    <n v="1"/>
    <x v="970"/>
    <n v="2.252912125325766E-4"/>
  </r>
  <r>
    <x v="2"/>
    <x v="6"/>
    <x v="5"/>
    <x v="0"/>
    <n v="175307461.32720459"/>
    <n v="7.0250000000000007E-2"/>
    <x v="195"/>
    <x v="0"/>
    <n v="1"/>
    <n v="1"/>
    <n v="1.8980734554427257E-2"/>
    <n v="1"/>
    <x v="971"/>
    <n v="4.1582821330837766E-6"/>
  </r>
  <r>
    <x v="2"/>
    <x v="6"/>
    <x v="5"/>
    <x v="1"/>
    <n v="175307461.32720459"/>
    <n v="7.0250000000000007E-2"/>
    <x v="195"/>
    <x v="1"/>
    <n v="3"/>
    <n v="3"/>
    <n v="5.6942203663281767E-2"/>
    <n v="1"/>
    <x v="972"/>
    <n v="1.2474846399251328E-5"/>
  </r>
  <r>
    <x v="2"/>
    <x v="6"/>
    <x v="5"/>
    <x v="2"/>
    <n v="175307461.32720459"/>
    <n v="7.0250000000000007E-2"/>
    <x v="195"/>
    <x v="2"/>
    <n v="5"/>
    <n v="5"/>
    <n v="9.490367277213628E-2"/>
    <n v="1"/>
    <x v="973"/>
    <n v="2.0791410665418885E-5"/>
  </r>
  <r>
    <x v="2"/>
    <x v="6"/>
    <x v="5"/>
    <x v="3"/>
    <n v="175307461.32720459"/>
    <n v="7.0250000000000007E-2"/>
    <x v="195"/>
    <x v="3"/>
    <n v="7"/>
    <n v="7"/>
    <n v="0.1328651418809908"/>
    <n v="1"/>
    <x v="974"/>
    <n v="2.9107974931586438E-5"/>
  </r>
  <r>
    <x v="2"/>
    <x v="6"/>
    <x v="5"/>
    <x v="4"/>
    <n v="175307461.32720459"/>
    <n v="7.0250000000000007E-2"/>
    <x v="195"/>
    <x v="6"/>
    <n v="38.15"/>
    <n v="36.685000000000002"/>
    <n v="0.69630824712916395"/>
    <n v="1"/>
    <x v="975"/>
    <n v="1.5254658005217834E-4"/>
  </r>
  <r>
    <x v="2"/>
    <x v="6"/>
    <x v="6"/>
    <x v="0"/>
    <n v="175307461.32720459"/>
    <n v="9.6374999999999988E-2"/>
    <x v="196"/>
    <x v="0"/>
    <n v="1"/>
    <n v="1"/>
    <n v="1.8980734554427257E-2"/>
    <n v="1"/>
    <x v="976"/>
    <n v="5.7046895455651093E-6"/>
  </r>
  <r>
    <x v="2"/>
    <x v="6"/>
    <x v="6"/>
    <x v="1"/>
    <n v="175307461.32720459"/>
    <n v="9.6374999999999988E-2"/>
    <x v="196"/>
    <x v="1"/>
    <n v="3"/>
    <n v="3"/>
    <n v="5.6942203663281767E-2"/>
    <n v="1"/>
    <x v="977"/>
    <n v="1.7114068636695325E-5"/>
  </r>
  <r>
    <x v="2"/>
    <x v="6"/>
    <x v="6"/>
    <x v="2"/>
    <n v="175307461.32720459"/>
    <n v="9.6374999999999988E-2"/>
    <x v="196"/>
    <x v="2"/>
    <n v="5"/>
    <n v="5"/>
    <n v="9.490367277213628E-2"/>
    <n v="1"/>
    <x v="978"/>
    <n v="2.8523447727825542E-5"/>
  </r>
  <r>
    <x v="2"/>
    <x v="6"/>
    <x v="6"/>
    <x v="3"/>
    <n v="175307461.32720459"/>
    <n v="9.6374999999999988E-2"/>
    <x v="196"/>
    <x v="3"/>
    <n v="7"/>
    <n v="7"/>
    <n v="0.1328651418809908"/>
    <n v="1"/>
    <x v="979"/>
    <n v="3.9932826818955759E-5"/>
  </r>
  <r>
    <x v="2"/>
    <x v="6"/>
    <x v="6"/>
    <x v="4"/>
    <n v="175307461.32720459"/>
    <n v="9.6374999999999988E-2"/>
    <x v="196"/>
    <x v="6"/>
    <n v="38.15"/>
    <n v="36.685000000000002"/>
    <n v="0.69630824712916395"/>
    <n v="1"/>
    <x v="980"/>
    <n v="2.0927653597905603E-4"/>
  </r>
  <r>
    <x v="2"/>
    <x v="6"/>
    <x v="7"/>
    <x v="0"/>
    <n v="175307461.32720459"/>
    <n v="2.2499999999999999E-2"/>
    <x v="197"/>
    <x v="0"/>
    <n v="1"/>
    <n v="1"/>
    <n v="1.8980734554427257E-2"/>
    <n v="1"/>
    <x v="981"/>
    <n v="1.3318341351513874E-6"/>
  </r>
  <r>
    <x v="2"/>
    <x v="6"/>
    <x v="7"/>
    <x v="1"/>
    <n v="175307461.32720459"/>
    <n v="2.2499999999999999E-2"/>
    <x v="197"/>
    <x v="1"/>
    <n v="3"/>
    <n v="3"/>
    <n v="5.6942203663281767E-2"/>
    <n v="1"/>
    <x v="982"/>
    <n v="3.9955024054541624E-6"/>
  </r>
  <r>
    <x v="2"/>
    <x v="6"/>
    <x v="7"/>
    <x v="2"/>
    <n v="175307461.32720459"/>
    <n v="2.2499999999999999E-2"/>
    <x v="197"/>
    <x v="2"/>
    <n v="5"/>
    <n v="5"/>
    <n v="9.490367277213628E-2"/>
    <n v="1"/>
    <x v="983"/>
    <n v="6.6591706757569368E-6"/>
  </r>
  <r>
    <x v="2"/>
    <x v="6"/>
    <x v="7"/>
    <x v="3"/>
    <n v="175307461.32720459"/>
    <n v="2.2499999999999999E-2"/>
    <x v="197"/>
    <x v="3"/>
    <n v="7"/>
    <n v="7"/>
    <n v="0.1328651418809908"/>
    <n v="1"/>
    <x v="984"/>
    <n v="9.322838946059712E-6"/>
  </r>
  <r>
    <x v="2"/>
    <x v="6"/>
    <x v="7"/>
    <x v="4"/>
    <n v="175307461.32720459"/>
    <n v="2.2499999999999999E-2"/>
    <x v="197"/>
    <x v="6"/>
    <n v="38.15"/>
    <n v="36.685000000000002"/>
    <n v="0.69630824712916395"/>
    <n v="1"/>
    <x v="985"/>
    <n v="4.885833524802865E-5"/>
  </r>
  <r>
    <x v="2"/>
    <x v="6"/>
    <x v="8"/>
    <x v="0"/>
    <n v="175307461.32720459"/>
    <n v="9.1250000000000012E-2"/>
    <x v="198"/>
    <x v="0"/>
    <n v="1"/>
    <n v="1"/>
    <n v="1.8980734554427257E-2"/>
    <n v="1"/>
    <x v="986"/>
    <n v="5.4013273258917387E-6"/>
  </r>
  <r>
    <x v="2"/>
    <x v="6"/>
    <x v="8"/>
    <x v="1"/>
    <n v="175307461.32720459"/>
    <n v="9.1250000000000012E-2"/>
    <x v="198"/>
    <x v="1"/>
    <n v="3"/>
    <n v="3"/>
    <n v="5.6942203663281767E-2"/>
    <n v="1"/>
    <x v="987"/>
    <n v="1.6203981977675214E-5"/>
  </r>
  <r>
    <x v="2"/>
    <x v="6"/>
    <x v="8"/>
    <x v="2"/>
    <n v="175307461.32720459"/>
    <n v="9.1250000000000012E-2"/>
    <x v="198"/>
    <x v="2"/>
    <n v="5"/>
    <n v="5"/>
    <n v="9.490367277213628E-2"/>
    <n v="1"/>
    <x v="988"/>
    <n v="2.7006636629458689E-5"/>
  </r>
  <r>
    <x v="2"/>
    <x v="6"/>
    <x v="8"/>
    <x v="3"/>
    <n v="175307461.32720459"/>
    <n v="9.1250000000000012E-2"/>
    <x v="198"/>
    <x v="3"/>
    <n v="7"/>
    <n v="7"/>
    <n v="0.1328651418809908"/>
    <n v="1"/>
    <x v="989"/>
    <n v="3.7809291281242172E-5"/>
  </r>
  <r>
    <x v="2"/>
    <x v="6"/>
    <x v="8"/>
    <x v="4"/>
    <n v="175307461.32720459"/>
    <n v="9.1250000000000012E-2"/>
    <x v="198"/>
    <x v="6"/>
    <n v="38.15"/>
    <n v="36.685000000000002"/>
    <n v="0.69630824712916395"/>
    <n v="1"/>
    <x v="990"/>
    <n v="1.9814769295033841E-4"/>
  </r>
  <r>
    <x v="2"/>
    <x v="7"/>
    <x v="0"/>
    <x v="0"/>
    <n v="3443459091.9606371"/>
    <n v="0.52124999999999999"/>
    <x v="199"/>
    <x v="0"/>
    <n v="1"/>
    <n v="1"/>
    <n v="1.8980734554427257E-2"/>
    <n v="1"/>
    <x v="991"/>
    <n v="6.0604966976885333E-4"/>
  </r>
  <r>
    <x v="2"/>
    <x v="7"/>
    <x v="0"/>
    <x v="1"/>
    <n v="3443459091.9606371"/>
    <n v="0.52124999999999999"/>
    <x v="199"/>
    <x v="1"/>
    <n v="3"/>
    <n v="3"/>
    <n v="5.6942203663281767E-2"/>
    <n v="1"/>
    <x v="992"/>
    <n v="1.8181490093065601E-3"/>
  </r>
  <r>
    <x v="2"/>
    <x v="7"/>
    <x v="0"/>
    <x v="2"/>
    <n v="3443459091.9606371"/>
    <n v="0.52124999999999999"/>
    <x v="199"/>
    <x v="2"/>
    <n v="5"/>
    <n v="5"/>
    <n v="9.490367277213628E-2"/>
    <n v="1"/>
    <x v="993"/>
    <n v="3.0302483488442666E-3"/>
  </r>
  <r>
    <x v="2"/>
    <x v="7"/>
    <x v="0"/>
    <x v="3"/>
    <n v="3443459091.9606371"/>
    <n v="0.52124999999999999"/>
    <x v="199"/>
    <x v="3"/>
    <n v="7"/>
    <n v="7"/>
    <n v="0.1328651418809908"/>
    <n v="1"/>
    <x v="994"/>
    <n v="4.2423476883819734E-3"/>
  </r>
  <r>
    <x v="2"/>
    <x v="7"/>
    <x v="0"/>
    <x v="4"/>
    <n v="3443459091.9606371"/>
    <n v="0.52124999999999999"/>
    <x v="199"/>
    <x v="6"/>
    <n v="38.15"/>
    <n v="36.685000000000002"/>
    <n v="0.69630824712916395"/>
    <n v="1"/>
    <x v="995"/>
    <n v="2.2232932135470385E-2"/>
  </r>
  <r>
    <x v="2"/>
    <x v="7"/>
    <x v="1"/>
    <x v="0"/>
    <n v="3443459091.9606371"/>
    <n v="1.7250000000000001E-2"/>
    <x v="200"/>
    <x v="0"/>
    <n v="1"/>
    <n v="1"/>
    <n v="1.8980734554427257E-2"/>
    <n v="1"/>
    <x v="996"/>
    <n v="2.0056320006739033E-5"/>
  </r>
  <r>
    <x v="2"/>
    <x v="7"/>
    <x v="1"/>
    <x v="1"/>
    <n v="3443459091.9606371"/>
    <n v="1.7250000000000001E-2"/>
    <x v="200"/>
    <x v="1"/>
    <n v="3"/>
    <n v="3"/>
    <n v="5.6942203663281767E-2"/>
    <n v="1"/>
    <x v="997"/>
    <n v="6.0168960020217094E-5"/>
  </r>
  <r>
    <x v="2"/>
    <x v="7"/>
    <x v="1"/>
    <x v="2"/>
    <n v="3443459091.9606371"/>
    <n v="1.7250000000000001E-2"/>
    <x v="200"/>
    <x v="2"/>
    <n v="5"/>
    <n v="5"/>
    <n v="9.490367277213628E-2"/>
    <n v="1"/>
    <x v="998"/>
    <n v="1.0028160003369517E-4"/>
  </r>
  <r>
    <x v="2"/>
    <x v="7"/>
    <x v="1"/>
    <x v="3"/>
    <n v="3443459091.9606371"/>
    <n v="1.7250000000000001E-2"/>
    <x v="200"/>
    <x v="3"/>
    <n v="7"/>
    <n v="7"/>
    <n v="0.1328651418809908"/>
    <n v="1"/>
    <x v="999"/>
    <n v="1.4039424004717323E-4"/>
  </r>
  <r>
    <x v="2"/>
    <x v="7"/>
    <x v="1"/>
    <x v="4"/>
    <n v="3443459091.9606371"/>
    <n v="1.7250000000000001E-2"/>
    <x v="200"/>
    <x v="6"/>
    <n v="38.15"/>
    <n v="36.685000000000002"/>
    <n v="0.69630824712916395"/>
    <n v="1"/>
    <x v="1000"/>
    <n v="7.3576609944722151E-4"/>
  </r>
  <r>
    <x v="2"/>
    <x v="7"/>
    <x v="2"/>
    <x v="0"/>
    <n v="3443459091.9606371"/>
    <n v="9.5499999999999988E-2"/>
    <x v="201"/>
    <x v="0"/>
    <n v="1"/>
    <n v="1"/>
    <n v="1.8980734554427257E-2"/>
    <n v="1"/>
    <x v="1001"/>
    <n v="1.1103643829817839E-4"/>
  </r>
  <r>
    <x v="2"/>
    <x v="7"/>
    <x v="2"/>
    <x v="1"/>
    <n v="3443459091.9606371"/>
    <n v="9.5499999999999988E-2"/>
    <x v="201"/>
    <x v="1"/>
    <n v="3"/>
    <n v="3"/>
    <n v="5.6942203663281767E-2"/>
    <n v="1"/>
    <x v="1002"/>
    <n v="3.331093148945352E-4"/>
  </r>
  <r>
    <x v="2"/>
    <x v="7"/>
    <x v="2"/>
    <x v="2"/>
    <n v="3443459091.9606371"/>
    <n v="9.5499999999999988E-2"/>
    <x v="201"/>
    <x v="2"/>
    <n v="5"/>
    <n v="5"/>
    <n v="9.490367277213628E-2"/>
    <n v="1"/>
    <x v="1003"/>
    <n v="5.5518219149089203E-4"/>
  </r>
  <r>
    <x v="2"/>
    <x v="7"/>
    <x v="2"/>
    <x v="3"/>
    <n v="3443459091.9606371"/>
    <n v="9.5499999999999988E-2"/>
    <x v="201"/>
    <x v="3"/>
    <n v="7"/>
    <n v="7"/>
    <n v="0.1328651418809908"/>
    <n v="1"/>
    <x v="1004"/>
    <n v="7.7725506808724875E-4"/>
  </r>
  <r>
    <x v="2"/>
    <x v="7"/>
    <x v="2"/>
    <x v="4"/>
    <n v="3443459091.9606371"/>
    <n v="9.5499999999999988E-2"/>
    <x v="201"/>
    <x v="6"/>
    <n v="38.15"/>
    <n v="36.685000000000002"/>
    <n v="0.69630824712916395"/>
    <n v="1"/>
    <x v="1005"/>
    <n v="4.0733717389686746E-3"/>
  </r>
  <r>
    <x v="2"/>
    <x v="7"/>
    <x v="3"/>
    <x v="0"/>
    <n v="3443459091.9606371"/>
    <n v="3.3750000000000002E-2"/>
    <x v="202"/>
    <x v="0"/>
    <n v="1"/>
    <n v="1"/>
    <n v="1.8980734554427257E-2"/>
    <n v="1"/>
    <x v="1006"/>
    <n v="3.9240626100141584E-5"/>
  </r>
  <r>
    <x v="2"/>
    <x v="7"/>
    <x v="3"/>
    <x v="1"/>
    <n v="3443459091.9606371"/>
    <n v="3.3750000000000002E-2"/>
    <x v="202"/>
    <x v="1"/>
    <n v="3"/>
    <n v="3"/>
    <n v="5.6942203663281767E-2"/>
    <n v="1"/>
    <x v="1007"/>
    <n v="1.1772187830042475E-4"/>
  </r>
  <r>
    <x v="2"/>
    <x v="7"/>
    <x v="3"/>
    <x v="2"/>
    <n v="3443459091.9606371"/>
    <n v="3.3750000000000002E-2"/>
    <x v="202"/>
    <x v="2"/>
    <n v="5"/>
    <n v="5"/>
    <n v="9.490367277213628E-2"/>
    <n v="1"/>
    <x v="1008"/>
    <n v="1.9620313050070791E-4"/>
  </r>
  <r>
    <x v="2"/>
    <x v="7"/>
    <x v="3"/>
    <x v="3"/>
    <n v="3443459091.9606371"/>
    <n v="3.3750000000000002E-2"/>
    <x v="202"/>
    <x v="3"/>
    <n v="7"/>
    <n v="7"/>
    <n v="0.1328651418809908"/>
    <n v="1"/>
    <x v="1009"/>
    <n v="2.746843827009911E-4"/>
  </r>
  <r>
    <x v="2"/>
    <x v="7"/>
    <x v="3"/>
    <x v="4"/>
    <n v="3443459091.9606371"/>
    <n v="3.3750000000000002E-2"/>
    <x v="202"/>
    <x v="6"/>
    <n v="38.15"/>
    <n v="36.685000000000002"/>
    <n v="0.69630824712916395"/>
    <n v="1"/>
    <x v="1010"/>
    <n v="1.4395423684836941E-3"/>
  </r>
  <r>
    <x v="2"/>
    <x v="7"/>
    <x v="4"/>
    <x v="0"/>
    <n v="3443459091.9606371"/>
    <n v="6.6500000000000004E-2"/>
    <x v="203"/>
    <x v="0"/>
    <n v="1"/>
    <n v="1"/>
    <n v="1.8980734554427257E-2"/>
    <n v="1"/>
    <x v="1011"/>
    <n v="7.7318566982501185E-5"/>
  </r>
  <r>
    <x v="2"/>
    <x v="7"/>
    <x v="4"/>
    <x v="1"/>
    <n v="3443459091.9606371"/>
    <n v="6.6500000000000004E-2"/>
    <x v="203"/>
    <x v="1"/>
    <n v="3"/>
    <n v="3"/>
    <n v="5.6942203663281767E-2"/>
    <n v="1"/>
    <x v="1012"/>
    <n v="2.3195570094750357E-4"/>
  </r>
  <r>
    <x v="2"/>
    <x v="7"/>
    <x v="4"/>
    <x v="2"/>
    <n v="3443459091.9606371"/>
    <n v="6.6500000000000004E-2"/>
    <x v="203"/>
    <x v="2"/>
    <n v="5"/>
    <n v="5"/>
    <n v="9.490367277213628E-2"/>
    <n v="1"/>
    <x v="1013"/>
    <n v="3.8659283491250599E-4"/>
  </r>
  <r>
    <x v="2"/>
    <x v="7"/>
    <x v="4"/>
    <x v="3"/>
    <n v="3443459091.9606371"/>
    <n v="6.6500000000000004E-2"/>
    <x v="203"/>
    <x v="3"/>
    <n v="7"/>
    <n v="7"/>
    <n v="0.1328651418809908"/>
    <n v="1"/>
    <x v="1014"/>
    <n v="5.4122996887750845E-4"/>
  </r>
  <r>
    <x v="2"/>
    <x v="7"/>
    <x v="4"/>
    <x v="4"/>
    <n v="3443459091.9606371"/>
    <n v="6.6500000000000004E-2"/>
    <x v="203"/>
    <x v="6"/>
    <n v="38.15"/>
    <n v="36.685000000000002"/>
    <n v="0.69630824712916395"/>
    <n v="1"/>
    <x v="1015"/>
    <n v="2.8364316297530565E-3"/>
  </r>
  <r>
    <x v="2"/>
    <x v="7"/>
    <x v="5"/>
    <x v="0"/>
    <n v="3443459091.9606371"/>
    <n v="6.8500000000000005E-2"/>
    <x v="204"/>
    <x v="0"/>
    <n v="1"/>
    <n v="1"/>
    <n v="1.8980734554427257E-2"/>
    <n v="1"/>
    <x v="1016"/>
    <n v="7.9643937418065138E-5"/>
  </r>
  <r>
    <x v="2"/>
    <x v="7"/>
    <x v="5"/>
    <x v="1"/>
    <n v="3443459091.9606371"/>
    <n v="6.8500000000000005E-2"/>
    <x v="204"/>
    <x v="1"/>
    <n v="3"/>
    <n v="3"/>
    <n v="5.6942203663281767E-2"/>
    <n v="1"/>
    <x v="1017"/>
    <n v="2.3893181225419542E-4"/>
  </r>
  <r>
    <x v="2"/>
    <x v="7"/>
    <x v="5"/>
    <x v="2"/>
    <n v="3443459091.9606371"/>
    <n v="6.8500000000000005E-2"/>
    <x v="204"/>
    <x v="2"/>
    <n v="5"/>
    <n v="5"/>
    <n v="9.490367277213628E-2"/>
    <n v="1"/>
    <x v="1018"/>
    <n v="3.9821968709032567E-4"/>
  </r>
  <r>
    <x v="2"/>
    <x v="7"/>
    <x v="5"/>
    <x v="3"/>
    <n v="3443459091.9606371"/>
    <n v="6.8500000000000005E-2"/>
    <x v="204"/>
    <x v="3"/>
    <n v="7"/>
    <n v="7"/>
    <n v="0.1328651418809908"/>
    <n v="1"/>
    <x v="1019"/>
    <n v="5.5750756192645605E-4"/>
  </r>
  <r>
    <x v="2"/>
    <x v="7"/>
    <x v="5"/>
    <x v="4"/>
    <n v="3443459091.9606371"/>
    <n v="6.8500000000000005E-2"/>
    <x v="204"/>
    <x v="6"/>
    <n v="38.15"/>
    <n v="36.685000000000002"/>
    <n v="0.69630824712916395"/>
    <n v="1"/>
    <x v="1020"/>
    <n v="2.92173784418172E-3"/>
  </r>
  <r>
    <x v="2"/>
    <x v="7"/>
    <x v="6"/>
    <x v="0"/>
    <n v="3443459091.9606371"/>
    <n v="8.8250000000000009E-2"/>
    <x v="205"/>
    <x v="0"/>
    <n v="1"/>
    <n v="1"/>
    <n v="1.8980734554427257E-2"/>
    <n v="1"/>
    <x v="1021"/>
    <n v="1.0260697046925911E-4"/>
  </r>
  <r>
    <x v="2"/>
    <x v="7"/>
    <x v="6"/>
    <x v="1"/>
    <n v="3443459091.9606371"/>
    <n v="8.8250000000000009E-2"/>
    <x v="205"/>
    <x v="1"/>
    <n v="3"/>
    <n v="3"/>
    <n v="5.6942203663281767E-2"/>
    <n v="1"/>
    <x v="1022"/>
    <n v="3.0782091140777736E-4"/>
  </r>
  <r>
    <x v="2"/>
    <x v="7"/>
    <x v="6"/>
    <x v="2"/>
    <n v="3443459091.9606371"/>
    <n v="8.8250000000000009E-2"/>
    <x v="205"/>
    <x v="2"/>
    <n v="5"/>
    <n v="5"/>
    <n v="9.490367277213628E-2"/>
    <n v="1"/>
    <x v="1023"/>
    <n v="5.1303485234629553E-4"/>
  </r>
  <r>
    <x v="2"/>
    <x v="7"/>
    <x v="6"/>
    <x v="3"/>
    <n v="3443459091.9606371"/>
    <n v="8.8250000000000009E-2"/>
    <x v="205"/>
    <x v="3"/>
    <n v="7"/>
    <n v="7"/>
    <n v="0.1328651418809908"/>
    <n v="1"/>
    <x v="1024"/>
    <n v="7.1824879328481381E-4"/>
  </r>
  <r>
    <x v="2"/>
    <x v="7"/>
    <x v="6"/>
    <x v="4"/>
    <n v="3443459091.9606371"/>
    <n v="8.8250000000000009E-2"/>
    <x v="205"/>
    <x v="6"/>
    <n v="38.15"/>
    <n v="36.685000000000002"/>
    <n v="0.69630824712916395"/>
    <n v="1"/>
    <x v="1025"/>
    <n v="3.7641367116647709E-3"/>
  </r>
  <r>
    <x v="2"/>
    <x v="7"/>
    <x v="7"/>
    <x v="0"/>
    <n v="3443459091.9606371"/>
    <n v="4.8249999999999994E-2"/>
    <x v="206"/>
    <x v="0"/>
    <n v="1"/>
    <n v="1"/>
    <n v="1.8980734554427257E-2"/>
    <n v="1"/>
    <x v="1026"/>
    <n v="5.609956175798018E-5"/>
  </r>
  <r>
    <x v="2"/>
    <x v="7"/>
    <x v="7"/>
    <x v="1"/>
    <n v="3443459091.9606371"/>
    <n v="4.8249999999999994E-2"/>
    <x v="206"/>
    <x v="1"/>
    <n v="3"/>
    <n v="3"/>
    <n v="5.6942203663281767E-2"/>
    <n v="1"/>
    <x v="1027"/>
    <n v="1.6829868527394053E-4"/>
  </r>
  <r>
    <x v="2"/>
    <x v="7"/>
    <x v="7"/>
    <x v="2"/>
    <n v="3443459091.9606371"/>
    <n v="4.8249999999999994E-2"/>
    <x v="206"/>
    <x v="2"/>
    <n v="5"/>
    <n v="5"/>
    <n v="9.490367277213628E-2"/>
    <n v="1"/>
    <x v="1028"/>
    <n v="2.8049780878990088E-4"/>
  </r>
  <r>
    <x v="2"/>
    <x v="7"/>
    <x v="7"/>
    <x v="3"/>
    <n v="3443459091.9606371"/>
    <n v="4.8249999999999994E-2"/>
    <x v="206"/>
    <x v="3"/>
    <n v="7"/>
    <n v="7"/>
    <n v="0.1328651418809908"/>
    <n v="1"/>
    <x v="1029"/>
    <n v="3.9269693230586125E-4"/>
  </r>
  <r>
    <x v="2"/>
    <x v="7"/>
    <x v="7"/>
    <x v="4"/>
    <n v="3443459091.9606371"/>
    <n v="4.8249999999999994E-2"/>
    <x v="206"/>
    <x v="6"/>
    <n v="38.15"/>
    <n v="36.685000000000002"/>
    <n v="0.69630824712916395"/>
    <n v="1"/>
    <x v="1030"/>
    <n v="2.0580124230915029E-3"/>
  </r>
  <r>
    <x v="2"/>
    <x v="7"/>
    <x v="8"/>
    <x v="0"/>
    <n v="3443459091.9606371"/>
    <n v="6.0749999999999998E-2"/>
    <x v="207"/>
    <x v="0"/>
    <n v="1"/>
    <n v="1"/>
    <n v="1.8980734554427257E-2"/>
    <n v="1"/>
    <x v="1031"/>
    <n v="7.0633126980254842E-5"/>
  </r>
  <r>
    <x v="2"/>
    <x v="7"/>
    <x v="8"/>
    <x v="1"/>
    <n v="3443459091.9606371"/>
    <n v="6.0749999999999998E-2"/>
    <x v="207"/>
    <x v="1"/>
    <n v="3"/>
    <n v="3"/>
    <n v="5.6942203663281767E-2"/>
    <n v="1"/>
    <x v="1032"/>
    <n v="2.1189938094076454E-4"/>
  </r>
  <r>
    <x v="2"/>
    <x v="7"/>
    <x v="8"/>
    <x v="2"/>
    <n v="3443459091.9606371"/>
    <n v="6.0749999999999998E-2"/>
    <x v="207"/>
    <x v="2"/>
    <n v="5"/>
    <n v="5"/>
    <n v="9.490367277213628E-2"/>
    <n v="1"/>
    <x v="1033"/>
    <n v="3.5316563490127425E-4"/>
  </r>
  <r>
    <x v="2"/>
    <x v="7"/>
    <x v="8"/>
    <x v="3"/>
    <n v="3443459091.9606371"/>
    <n v="6.0749999999999998E-2"/>
    <x v="207"/>
    <x v="3"/>
    <n v="7"/>
    <n v="7"/>
    <n v="0.1328651418809908"/>
    <n v="1"/>
    <x v="1034"/>
    <n v="4.9443188886178402E-4"/>
  </r>
  <r>
    <x v="2"/>
    <x v="7"/>
    <x v="8"/>
    <x v="4"/>
    <n v="3443459091.9606371"/>
    <n v="6.0749999999999998E-2"/>
    <x v="207"/>
    <x v="6"/>
    <n v="38.15"/>
    <n v="36.685000000000002"/>
    <n v="0.69630824712916395"/>
    <n v="1"/>
    <x v="1035"/>
    <n v="2.5911762632706494E-3"/>
  </r>
  <r>
    <x v="3"/>
    <x v="0"/>
    <x v="0"/>
    <x v="0"/>
    <n v="41379942945.20134"/>
    <n v="0.25243932949712289"/>
    <x v="208"/>
    <x v="0"/>
    <n v="1"/>
    <n v="1"/>
    <n v="1.763046544428773E-2"/>
    <n v="1"/>
    <x v="1036"/>
    <n v="3.1826328153346213E-3"/>
  </r>
  <r>
    <x v="3"/>
    <x v="0"/>
    <x v="0"/>
    <x v="1"/>
    <n v="41379942945.20134"/>
    <n v="0.25243932949712289"/>
    <x v="208"/>
    <x v="1"/>
    <n v="3"/>
    <n v="3"/>
    <n v="5.2891396332863189E-2"/>
    <n v="1"/>
    <x v="1037"/>
    <n v="9.5478984460038632E-3"/>
  </r>
  <r>
    <x v="3"/>
    <x v="0"/>
    <x v="0"/>
    <x v="2"/>
    <n v="41379942945.20134"/>
    <n v="0.25243932949712289"/>
    <x v="208"/>
    <x v="2"/>
    <n v="5"/>
    <n v="5"/>
    <n v="8.8152327221438648E-2"/>
    <n v="1"/>
    <x v="1038"/>
    <n v="1.5913164076673106E-2"/>
  </r>
  <r>
    <x v="3"/>
    <x v="0"/>
    <x v="0"/>
    <x v="3"/>
    <n v="41379942945.20134"/>
    <n v="0.25243932949712289"/>
    <x v="208"/>
    <x v="3"/>
    <n v="7"/>
    <n v="7"/>
    <n v="0.12341325811001411"/>
    <n v="1"/>
    <x v="1039"/>
    <n v="2.227842970734235E-2"/>
  </r>
  <r>
    <x v="3"/>
    <x v="0"/>
    <x v="0"/>
    <x v="4"/>
    <n v="41379942945.20134"/>
    <n v="0.25243932949712289"/>
    <x v="208"/>
    <x v="7"/>
    <n v="42.45"/>
    <n v="40.72"/>
    <n v="0.71791255289139633"/>
    <n v="1"/>
    <x v="1040"/>
    <n v="0.12959680824042577"/>
  </r>
  <r>
    <x v="3"/>
    <x v="0"/>
    <x v="1"/>
    <x v="0"/>
    <n v="41379942945.20134"/>
    <n v="3.1523642732049037E-2"/>
    <x v="209"/>
    <x v="0"/>
    <n v="1"/>
    <n v="1"/>
    <n v="1.763046544428773E-2"/>
    <n v="1"/>
    <x v="1041"/>
    <n v="3.9743482134010129E-4"/>
  </r>
  <r>
    <x v="3"/>
    <x v="0"/>
    <x v="1"/>
    <x v="1"/>
    <n v="41379942945.20134"/>
    <n v="3.1523642732049037E-2"/>
    <x v="209"/>
    <x v="1"/>
    <n v="3"/>
    <n v="3"/>
    <n v="5.2891396332863189E-2"/>
    <n v="1"/>
    <x v="1042"/>
    <n v="1.1923044640203041E-3"/>
  </r>
  <r>
    <x v="3"/>
    <x v="0"/>
    <x v="1"/>
    <x v="2"/>
    <n v="41379942945.20134"/>
    <n v="3.1523642732049037E-2"/>
    <x v="209"/>
    <x v="2"/>
    <n v="5"/>
    <n v="5"/>
    <n v="8.8152327221438648E-2"/>
    <n v="1"/>
    <x v="1043"/>
    <n v="1.9871741067005065E-3"/>
  </r>
  <r>
    <x v="3"/>
    <x v="0"/>
    <x v="1"/>
    <x v="3"/>
    <n v="41379942945.20134"/>
    <n v="3.1523642732049037E-2"/>
    <x v="209"/>
    <x v="3"/>
    <n v="7"/>
    <n v="7"/>
    <n v="0.12341325811001411"/>
    <n v="1"/>
    <x v="1044"/>
    <n v="2.7820437493807095E-3"/>
  </r>
  <r>
    <x v="3"/>
    <x v="0"/>
    <x v="1"/>
    <x v="4"/>
    <n v="41379942945.20134"/>
    <n v="3.1523642732049037E-2"/>
    <x v="209"/>
    <x v="7"/>
    <n v="42.45"/>
    <n v="40.72"/>
    <n v="0.71791255289139633"/>
    <n v="1"/>
    <x v="1045"/>
    <n v="1.6183545924968925E-2"/>
  </r>
  <r>
    <x v="3"/>
    <x v="0"/>
    <x v="2"/>
    <x v="0"/>
    <n v="41379942945.20134"/>
    <n v="0.2416812609457093"/>
    <x v="210"/>
    <x v="0"/>
    <n v="1"/>
    <n v="1"/>
    <n v="1.763046544428773E-2"/>
    <n v="1"/>
    <x v="1046"/>
    <n v="3.0470002969407773E-3"/>
  </r>
  <r>
    <x v="3"/>
    <x v="0"/>
    <x v="2"/>
    <x v="1"/>
    <n v="41379942945.20134"/>
    <n v="0.2416812609457093"/>
    <x v="210"/>
    <x v="1"/>
    <n v="3"/>
    <n v="3"/>
    <n v="5.2891396332863189E-2"/>
    <n v="1"/>
    <x v="1047"/>
    <n v="9.1410008908223307E-3"/>
  </r>
  <r>
    <x v="3"/>
    <x v="0"/>
    <x v="2"/>
    <x v="2"/>
    <n v="41379942945.20134"/>
    <n v="0.2416812609457093"/>
    <x v="210"/>
    <x v="2"/>
    <n v="5"/>
    <n v="5"/>
    <n v="8.8152327221438648E-2"/>
    <n v="1"/>
    <x v="1048"/>
    <n v="1.5235001484703884E-2"/>
  </r>
  <r>
    <x v="3"/>
    <x v="0"/>
    <x v="2"/>
    <x v="3"/>
    <n v="41379942945.20134"/>
    <n v="0.2416812609457093"/>
    <x v="210"/>
    <x v="3"/>
    <n v="7"/>
    <n v="7"/>
    <n v="0.12341325811001411"/>
    <n v="1"/>
    <x v="1049"/>
    <n v="2.132900207858544E-2"/>
  </r>
  <r>
    <x v="3"/>
    <x v="0"/>
    <x v="2"/>
    <x v="4"/>
    <n v="41379942945.20134"/>
    <n v="0.2416812609457093"/>
    <x v="210"/>
    <x v="7"/>
    <n v="42.45"/>
    <n v="40.72"/>
    <n v="0.71791255289139633"/>
    <n v="1"/>
    <x v="1050"/>
    <n v="0.12407385209142845"/>
  </r>
  <r>
    <x v="3"/>
    <x v="0"/>
    <x v="3"/>
    <x v="0"/>
    <n v="41379942945.20134"/>
    <n v="1.3009757317988493E-2"/>
    <x v="211"/>
    <x v="0"/>
    <n v="1"/>
    <n v="1"/>
    <n v="1.763046544428773E-2"/>
    <n v="1"/>
    <x v="1051"/>
    <n v="1.6402071991813711E-4"/>
  </r>
  <r>
    <x v="3"/>
    <x v="0"/>
    <x v="3"/>
    <x v="1"/>
    <n v="41379942945.20134"/>
    <n v="1.3009757317988493E-2"/>
    <x v="211"/>
    <x v="1"/>
    <n v="3"/>
    <n v="3"/>
    <n v="5.2891396332863189E-2"/>
    <n v="1"/>
    <x v="1052"/>
    <n v="4.9206215975441123E-4"/>
  </r>
  <r>
    <x v="3"/>
    <x v="0"/>
    <x v="3"/>
    <x v="2"/>
    <n v="41379942945.20134"/>
    <n v="1.3009757317988493E-2"/>
    <x v="211"/>
    <x v="2"/>
    <n v="5"/>
    <n v="5"/>
    <n v="8.8152327221438648E-2"/>
    <n v="1"/>
    <x v="1053"/>
    <n v="8.2010359959068546E-4"/>
  </r>
  <r>
    <x v="3"/>
    <x v="0"/>
    <x v="3"/>
    <x v="3"/>
    <n v="41379942945.20134"/>
    <n v="1.3009757317988493E-2"/>
    <x v="211"/>
    <x v="3"/>
    <n v="7"/>
    <n v="7"/>
    <n v="0.12341325811001411"/>
    <n v="1"/>
    <x v="1054"/>
    <n v="1.1481450394269595E-3"/>
  </r>
  <r>
    <x v="3"/>
    <x v="0"/>
    <x v="3"/>
    <x v="4"/>
    <n v="41379942945.20134"/>
    <n v="1.3009757317988493E-2"/>
    <x v="211"/>
    <x v="7"/>
    <n v="42.45"/>
    <n v="40.72"/>
    <n v="0.71791255289139633"/>
    <n v="1"/>
    <x v="1055"/>
    <n v="6.6789237150665422E-3"/>
  </r>
  <r>
    <x v="3"/>
    <x v="0"/>
    <x v="4"/>
    <x v="0"/>
    <n v="41379942945.20134"/>
    <n v="0.11508631473605202"/>
    <x v="212"/>
    <x v="0"/>
    <n v="1"/>
    <n v="1"/>
    <n v="1.763046544428773E-2"/>
    <n v="1"/>
    <x v="1056"/>
    <n v="1.4509525223527508E-3"/>
  </r>
  <r>
    <x v="3"/>
    <x v="0"/>
    <x v="4"/>
    <x v="1"/>
    <n v="41379942945.20134"/>
    <n v="0.11508631473605202"/>
    <x v="212"/>
    <x v="1"/>
    <n v="3"/>
    <n v="3"/>
    <n v="5.2891396332863189E-2"/>
    <n v="1"/>
    <x v="1057"/>
    <n v="4.3528575670582527E-3"/>
  </r>
  <r>
    <x v="3"/>
    <x v="0"/>
    <x v="4"/>
    <x v="2"/>
    <n v="41379942945.20134"/>
    <n v="0.11508631473605202"/>
    <x v="212"/>
    <x v="2"/>
    <n v="5"/>
    <n v="5"/>
    <n v="8.8152327221438648E-2"/>
    <n v="1"/>
    <x v="1058"/>
    <n v="7.2547626117637548E-3"/>
  </r>
  <r>
    <x v="3"/>
    <x v="0"/>
    <x v="4"/>
    <x v="3"/>
    <n v="41379942945.20134"/>
    <n v="0.11508631473605202"/>
    <x v="212"/>
    <x v="3"/>
    <n v="7"/>
    <n v="7"/>
    <n v="0.12341325811001411"/>
    <n v="1"/>
    <x v="1059"/>
    <n v="1.0156667656469255E-2"/>
  </r>
  <r>
    <x v="3"/>
    <x v="0"/>
    <x v="4"/>
    <x v="4"/>
    <n v="41379942945.20134"/>
    <n v="0.11508631473605202"/>
    <x v="212"/>
    <x v="7"/>
    <n v="42.45"/>
    <n v="40.72"/>
    <n v="0.71791255289139633"/>
    <n v="1"/>
    <x v="1060"/>
    <n v="5.9082786710204012E-2"/>
  </r>
  <r>
    <x v="3"/>
    <x v="0"/>
    <x v="5"/>
    <x v="0"/>
    <n v="41379942945.20134"/>
    <n v="8.3812859644733548E-2"/>
    <x v="213"/>
    <x v="0"/>
    <n v="1"/>
    <n v="1"/>
    <n v="1.763046544428773E-2"/>
    <n v="1"/>
    <x v="1061"/>
    <n v="1.0566719456264599E-3"/>
  </r>
  <r>
    <x v="3"/>
    <x v="0"/>
    <x v="5"/>
    <x v="1"/>
    <n v="41379942945.20134"/>
    <n v="8.3812859644733548E-2"/>
    <x v="213"/>
    <x v="1"/>
    <n v="3"/>
    <n v="3"/>
    <n v="5.2891396332863189E-2"/>
    <n v="1"/>
    <x v="1062"/>
    <n v="3.1700158368793796E-3"/>
  </r>
  <r>
    <x v="3"/>
    <x v="0"/>
    <x v="5"/>
    <x v="2"/>
    <n v="41379942945.20134"/>
    <n v="8.3812859644733548E-2"/>
    <x v="213"/>
    <x v="2"/>
    <n v="5"/>
    <n v="5"/>
    <n v="8.8152327221438648E-2"/>
    <n v="1"/>
    <x v="1063"/>
    <n v="5.2833597281322997E-3"/>
  </r>
  <r>
    <x v="3"/>
    <x v="0"/>
    <x v="5"/>
    <x v="3"/>
    <n v="41379942945.20134"/>
    <n v="8.3812859644733548E-2"/>
    <x v="213"/>
    <x v="3"/>
    <n v="7"/>
    <n v="7"/>
    <n v="0.12341325811001411"/>
    <n v="1"/>
    <x v="1064"/>
    <n v="7.3967036193852195E-3"/>
  </r>
  <r>
    <x v="3"/>
    <x v="0"/>
    <x v="5"/>
    <x v="4"/>
    <n v="41379942945.20134"/>
    <n v="8.3812859644733548E-2"/>
    <x v="213"/>
    <x v="7"/>
    <n v="42.45"/>
    <n v="40.72"/>
    <n v="0.71791255289139633"/>
    <n v="1"/>
    <x v="1065"/>
    <n v="4.3027681625909447E-2"/>
  </r>
  <r>
    <x v="3"/>
    <x v="0"/>
    <x v="6"/>
    <x v="0"/>
    <n v="41379942945.20134"/>
    <n v="5.4791093319989992E-2"/>
    <x v="214"/>
    <x v="0"/>
    <n v="1"/>
    <n v="1"/>
    <n v="1.763046544428773E-2"/>
    <n v="1"/>
    <x v="1066"/>
    <n v="6.9077957042446188E-4"/>
  </r>
  <r>
    <x v="3"/>
    <x v="0"/>
    <x v="6"/>
    <x v="1"/>
    <n v="41379942945.20134"/>
    <n v="5.4791093319989992E-2"/>
    <x v="214"/>
    <x v="1"/>
    <n v="3"/>
    <n v="3"/>
    <n v="5.2891396332863189E-2"/>
    <n v="1"/>
    <x v="1067"/>
    <n v="2.0723387112733856E-3"/>
  </r>
  <r>
    <x v="3"/>
    <x v="0"/>
    <x v="6"/>
    <x v="2"/>
    <n v="41379942945.20134"/>
    <n v="5.4791093319989992E-2"/>
    <x v="214"/>
    <x v="2"/>
    <n v="5"/>
    <n v="5"/>
    <n v="8.8152327221438648E-2"/>
    <n v="1"/>
    <x v="1068"/>
    <n v="3.4538978521223094E-3"/>
  </r>
  <r>
    <x v="3"/>
    <x v="0"/>
    <x v="6"/>
    <x v="3"/>
    <n v="41379942945.20134"/>
    <n v="5.4791093319989992E-2"/>
    <x v="214"/>
    <x v="3"/>
    <n v="7"/>
    <n v="7"/>
    <n v="0.12341325811001411"/>
    <n v="1"/>
    <x v="1069"/>
    <n v="4.8354569929712331E-3"/>
  </r>
  <r>
    <x v="3"/>
    <x v="0"/>
    <x v="6"/>
    <x v="4"/>
    <n v="41379942945.20134"/>
    <n v="5.4791093319989992E-2"/>
    <x v="214"/>
    <x v="7"/>
    <n v="42.45"/>
    <n v="40.72"/>
    <n v="0.71791255289139633"/>
    <n v="1"/>
    <x v="1070"/>
    <n v="2.8128544107684086E-2"/>
  </r>
  <r>
    <x v="3"/>
    <x v="0"/>
    <x v="7"/>
    <x v="0"/>
    <n v="41379942945.20134"/>
    <n v="0.16062046534901178"/>
    <x v="215"/>
    <x v="0"/>
    <n v="1"/>
    <n v="1"/>
    <n v="1.763046544428773E-2"/>
    <n v="1"/>
    <x v="1071"/>
    <n v="2.0250250420662309E-3"/>
  </r>
  <r>
    <x v="3"/>
    <x v="0"/>
    <x v="7"/>
    <x v="1"/>
    <n v="41379942945.20134"/>
    <n v="0.16062046534901178"/>
    <x v="215"/>
    <x v="1"/>
    <n v="3"/>
    <n v="3"/>
    <n v="5.2891396332863189E-2"/>
    <n v="1"/>
    <x v="1072"/>
    <n v="6.0750751261986922E-3"/>
  </r>
  <r>
    <x v="3"/>
    <x v="0"/>
    <x v="7"/>
    <x v="2"/>
    <n v="41379942945.20134"/>
    <n v="0.16062046534901178"/>
    <x v="215"/>
    <x v="2"/>
    <n v="5"/>
    <n v="5"/>
    <n v="8.8152327221438648E-2"/>
    <n v="1"/>
    <x v="1073"/>
    <n v="1.0125125210331156E-2"/>
  </r>
  <r>
    <x v="3"/>
    <x v="0"/>
    <x v="7"/>
    <x v="3"/>
    <n v="41379942945.20134"/>
    <n v="0.16062046534901178"/>
    <x v="215"/>
    <x v="3"/>
    <n v="7"/>
    <n v="7"/>
    <n v="0.12341325811001411"/>
    <n v="1"/>
    <x v="1074"/>
    <n v="1.4175175294463615E-2"/>
  </r>
  <r>
    <x v="3"/>
    <x v="0"/>
    <x v="7"/>
    <x v="4"/>
    <n v="41379942945.20134"/>
    <n v="0.16062046534901178"/>
    <x v="215"/>
    <x v="7"/>
    <n v="42.45"/>
    <n v="40.72"/>
    <n v="0.71791255289139633"/>
    <n v="1"/>
    <x v="1075"/>
    <n v="8.2459019712936912E-2"/>
  </r>
  <r>
    <x v="3"/>
    <x v="0"/>
    <x v="8"/>
    <x v="0"/>
    <n v="41379942945.20134"/>
    <n v="4.7035276457343012E-2"/>
    <x v="216"/>
    <x v="0"/>
    <n v="1"/>
    <n v="1"/>
    <n v="1.763046544428773E-2"/>
    <n v="1"/>
    <x v="1076"/>
    <n v="5.9299798739634183E-4"/>
  </r>
  <r>
    <x v="3"/>
    <x v="0"/>
    <x v="8"/>
    <x v="1"/>
    <n v="41379942945.20134"/>
    <n v="4.7035276457343012E-2"/>
    <x v="216"/>
    <x v="1"/>
    <n v="3"/>
    <n v="3"/>
    <n v="5.2891396332863189E-2"/>
    <n v="1"/>
    <x v="1077"/>
    <n v="1.7789939621890253E-3"/>
  </r>
  <r>
    <x v="3"/>
    <x v="0"/>
    <x v="8"/>
    <x v="2"/>
    <n v="41379942945.20134"/>
    <n v="4.7035276457343012E-2"/>
    <x v="216"/>
    <x v="2"/>
    <n v="5"/>
    <n v="5"/>
    <n v="8.8152327221438648E-2"/>
    <n v="1"/>
    <x v="1078"/>
    <n v="2.9649899369817091E-3"/>
  </r>
  <r>
    <x v="3"/>
    <x v="0"/>
    <x v="8"/>
    <x v="3"/>
    <n v="41379942945.20134"/>
    <n v="4.7035276457343012E-2"/>
    <x v="216"/>
    <x v="3"/>
    <n v="7"/>
    <n v="7"/>
    <n v="0.12341325811001411"/>
    <n v="1"/>
    <x v="1079"/>
    <n v="4.1509859117743924E-3"/>
  </r>
  <r>
    <x v="3"/>
    <x v="0"/>
    <x v="8"/>
    <x v="4"/>
    <n v="41379942945.20134"/>
    <n v="4.7035276457343012E-2"/>
    <x v="216"/>
    <x v="7"/>
    <n v="42.45"/>
    <n v="40.72"/>
    <n v="0.71791255289139633"/>
    <n v="1"/>
    <x v="1080"/>
    <n v="2.4146878046779039E-2"/>
  </r>
  <r>
    <x v="3"/>
    <x v="1"/>
    <x v="0"/>
    <x v="0"/>
    <n v="6799367587.5175657"/>
    <n v="0.25243932949712289"/>
    <x v="217"/>
    <x v="0"/>
    <n v="1"/>
    <n v="1"/>
    <n v="1.763046544428773E-2"/>
    <n v="1"/>
    <x v="1081"/>
    <n v="5.2295602331335481E-4"/>
  </r>
  <r>
    <x v="3"/>
    <x v="1"/>
    <x v="0"/>
    <x v="1"/>
    <n v="6799367587.5175657"/>
    <n v="0.25243932949712289"/>
    <x v="217"/>
    <x v="1"/>
    <n v="3"/>
    <n v="3"/>
    <n v="5.2891396332863189E-2"/>
    <n v="1"/>
    <x v="1082"/>
    <n v="1.5688680699400645E-3"/>
  </r>
  <r>
    <x v="3"/>
    <x v="1"/>
    <x v="0"/>
    <x v="2"/>
    <n v="6799367587.5175657"/>
    <n v="0.25243932949712289"/>
    <x v="217"/>
    <x v="2"/>
    <n v="5"/>
    <n v="5"/>
    <n v="8.8152327221438648E-2"/>
    <n v="1"/>
    <x v="1083"/>
    <n v="2.6147801165667742E-3"/>
  </r>
  <r>
    <x v="3"/>
    <x v="1"/>
    <x v="0"/>
    <x v="3"/>
    <n v="6799367587.5175657"/>
    <n v="0.25243932949712289"/>
    <x v="217"/>
    <x v="3"/>
    <n v="7"/>
    <n v="7"/>
    <n v="0.12341325811001411"/>
    <n v="1"/>
    <x v="1084"/>
    <n v="3.6606921631934836E-3"/>
  </r>
  <r>
    <x v="3"/>
    <x v="1"/>
    <x v="0"/>
    <x v="4"/>
    <n v="6799367587.5175657"/>
    <n v="0.25243932949712289"/>
    <x v="217"/>
    <x v="7"/>
    <n v="42.45"/>
    <n v="40.72"/>
    <n v="0.71791255289139633"/>
    <n v="1"/>
    <x v="1085"/>
    <n v="2.1294769269319808E-2"/>
  </r>
  <r>
    <x v="3"/>
    <x v="1"/>
    <x v="1"/>
    <x v="0"/>
    <n v="6799367587.5175657"/>
    <n v="3.1523642732049037E-2"/>
    <x v="218"/>
    <x v="0"/>
    <n v="1"/>
    <n v="1"/>
    <n v="1.763046544428773E-2"/>
    <n v="1"/>
    <x v="1086"/>
    <n v="6.5304716489080966E-5"/>
  </r>
  <r>
    <x v="3"/>
    <x v="1"/>
    <x v="1"/>
    <x v="1"/>
    <n v="6799367587.5175657"/>
    <n v="3.1523642732049037E-2"/>
    <x v="218"/>
    <x v="1"/>
    <n v="3"/>
    <n v="3"/>
    <n v="5.2891396332863189E-2"/>
    <n v="1"/>
    <x v="1087"/>
    <n v="1.9591414946724291E-4"/>
  </r>
  <r>
    <x v="3"/>
    <x v="1"/>
    <x v="1"/>
    <x v="2"/>
    <n v="6799367587.5175657"/>
    <n v="3.1523642732049037E-2"/>
    <x v="218"/>
    <x v="2"/>
    <n v="5"/>
    <n v="5"/>
    <n v="8.8152327221438648E-2"/>
    <n v="1"/>
    <x v="1088"/>
    <n v="3.2652358244540484E-4"/>
  </r>
  <r>
    <x v="3"/>
    <x v="1"/>
    <x v="1"/>
    <x v="3"/>
    <n v="6799367587.5175657"/>
    <n v="3.1523642732049037E-2"/>
    <x v="218"/>
    <x v="3"/>
    <n v="7"/>
    <n v="7"/>
    <n v="0.12341325811001411"/>
    <n v="1"/>
    <x v="1089"/>
    <n v="4.5713301542356675E-4"/>
  </r>
  <r>
    <x v="3"/>
    <x v="1"/>
    <x v="1"/>
    <x v="4"/>
    <n v="6799367587.5175657"/>
    <n v="3.1523642732049037E-2"/>
    <x v="218"/>
    <x v="7"/>
    <n v="42.45"/>
    <n v="40.72"/>
    <n v="0.71791255289139633"/>
    <n v="1"/>
    <x v="1090"/>
    <n v="2.6592080554353765E-3"/>
  </r>
  <r>
    <x v="3"/>
    <x v="1"/>
    <x v="2"/>
    <x v="0"/>
    <n v="6799367587.5175657"/>
    <n v="0.2416812609457093"/>
    <x v="219"/>
    <x v="0"/>
    <n v="1"/>
    <n v="1"/>
    <n v="1.763046544428773E-2"/>
    <n v="1"/>
    <x v="1091"/>
    <n v="5.0066949308295405E-4"/>
  </r>
  <r>
    <x v="3"/>
    <x v="1"/>
    <x v="2"/>
    <x v="1"/>
    <n v="6799367587.5175657"/>
    <n v="0.2416812609457093"/>
    <x v="219"/>
    <x v="1"/>
    <n v="3"/>
    <n v="3"/>
    <n v="5.2891396332863189E-2"/>
    <n v="1"/>
    <x v="1092"/>
    <n v="1.5020084792488622E-3"/>
  </r>
  <r>
    <x v="3"/>
    <x v="1"/>
    <x v="2"/>
    <x v="2"/>
    <n v="6799367587.5175657"/>
    <n v="0.2416812609457093"/>
    <x v="219"/>
    <x v="2"/>
    <n v="5"/>
    <n v="5"/>
    <n v="8.8152327221438648E-2"/>
    <n v="1"/>
    <x v="1093"/>
    <n v="2.5033474654147705E-3"/>
  </r>
  <r>
    <x v="3"/>
    <x v="1"/>
    <x v="2"/>
    <x v="3"/>
    <n v="6799367587.5175657"/>
    <n v="0.2416812609457093"/>
    <x v="219"/>
    <x v="3"/>
    <n v="7"/>
    <n v="7"/>
    <n v="0.12341325811001411"/>
    <n v="1"/>
    <x v="1094"/>
    <n v="3.5046864515806786E-3"/>
  </r>
  <r>
    <x v="3"/>
    <x v="1"/>
    <x v="2"/>
    <x v="4"/>
    <n v="6799367587.5175657"/>
    <n v="0.2416812609457093"/>
    <x v="219"/>
    <x v="7"/>
    <n v="42.45"/>
    <n v="40.72"/>
    <n v="0.71791255289139633"/>
    <n v="1"/>
    <x v="1095"/>
    <n v="2.0387261758337889E-2"/>
  </r>
  <r>
    <x v="3"/>
    <x v="1"/>
    <x v="3"/>
    <x v="0"/>
    <n v="6799367587.5175657"/>
    <n v="1.3009757317988493E-2"/>
    <x v="220"/>
    <x v="0"/>
    <n v="1"/>
    <n v="1"/>
    <n v="1.763046544428773E-2"/>
    <n v="1"/>
    <x v="1096"/>
    <n v="2.695115283676358E-5"/>
  </r>
  <r>
    <x v="3"/>
    <x v="1"/>
    <x v="3"/>
    <x v="1"/>
    <n v="6799367587.5175657"/>
    <n v="1.3009757317988493E-2"/>
    <x v="220"/>
    <x v="1"/>
    <n v="3"/>
    <n v="3"/>
    <n v="5.2891396332863189E-2"/>
    <n v="1"/>
    <x v="1097"/>
    <n v="8.0853458510290736E-5"/>
  </r>
  <r>
    <x v="3"/>
    <x v="1"/>
    <x v="3"/>
    <x v="2"/>
    <n v="6799367587.5175657"/>
    <n v="1.3009757317988493E-2"/>
    <x v="220"/>
    <x v="2"/>
    <n v="5"/>
    <n v="5"/>
    <n v="8.8152327221438648E-2"/>
    <n v="1"/>
    <x v="1098"/>
    <n v="1.3475576418381792E-4"/>
  </r>
  <r>
    <x v="3"/>
    <x v="1"/>
    <x v="3"/>
    <x v="3"/>
    <n v="6799367587.5175657"/>
    <n v="1.3009757317988493E-2"/>
    <x v="220"/>
    <x v="3"/>
    <n v="7"/>
    <n v="7"/>
    <n v="0.12341325811001411"/>
    <n v="1"/>
    <x v="1099"/>
    <n v="1.8865806985734506E-4"/>
  </r>
  <r>
    <x v="3"/>
    <x v="1"/>
    <x v="3"/>
    <x v="4"/>
    <n v="6799367587.5175657"/>
    <n v="1.3009757317988493E-2"/>
    <x v="220"/>
    <x v="7"/>
    <n v="42.45"/>
    <n v="40.72"/>
    <n v="0.71791255289139633"/>
    <n v="1"/>
    <x v="1100"/>
    <n v="1.097450943513013E-3"/>
  </r>
  <r>
    <x v="3"/>
    <x v="1"/>
    <x v="4"/>
    <x v="0"/>
    <n v="6799367587.5175657"/>
    <n v="0.11508631473605202"/>
    <x v="221"/>
    <x v="0"/>
    <n v="1"/>
    <n v="1"/>
    <n v="1.763046544428773E-2"/>
    <n v="1"/>
    <x v="1101"/>
    <n v="2.3841404432521621E-4"/>
  </r>
  <r>
    <x v="3"/>
    <x v="1"/>
    <x v="4"/>
    <x v="1"/>
    <n v="6799367587.5175657"/>
    <n v="0.11508631473605202"/>
    <x v="221"/>
    <x v="1"/>
    <n v="3"/>
    <n v="3"/>
    <n v="5.2891396332863189E-2"/>
    <n v="1"/>
    <x v="1102"/>
    <n v="7.1524213297564866E-4"/>
  </r>
  <r>
    <x v="3"/>
    <x v="1"/>
    <x v="4"/>
    <x v="2"/>
    <n v="6799367587.5175657"/>
    <n v="0.11508631473605202"/>
    <x v="221"/>
    <x v="2"/>
    <n v="5"/>
    <n v="5"/>
    <n v="8.8152327221438648E-2"/>
    <n v="1"/>
    <x v="1103"/>
    <n v="1.1920702216260809E-3"/>
  </r>
  <r>
    <x v="3"/>
    <x v="1"/>
    <x v="4"/>
    <x v="3"/>
    <n v="6799367587.5175657"/>
    <n v="0.11508631473605202"/>
    <x v="221"/>
    <x v="3"/>
    <n v="7"/>
    <n v="7"/>
    <n v="0.12341325811001411"/>
    <n v="1"/>
    <x v="1104"/>
    <n v="1.6688983102765133E-3"/>
  </r>
  <r>
    <x v="3"/>
    <x v="1"/>
    <x v="4"/>
    <x v="4"/>
    <n v="6799367587.5175657"/>
    <n v="0.11508631473605202"/>
    <x v="221"/>
    <x v="7"/>
    <n v="42.45"/>
    <n v="40.72"/>
    <n v="0.71791255289139633"/>
    <n v="1"/>
    <x v="1105"/>
    <n v="9.708219884922804E-3"/>
  </r>
  <r>
    <x v="3"/>
    <x v="1"/>
    <x v="5"/>
    <x v="0"/>
    <n v="6799367587.5175657"/>
    <n v="8.3812859644733548E-2"/>
    <x v="222"/>
    <x v="0"/>
    <n v="1"/>
    <n v="1"/>
    <n v="1.763046544428773E-2"/>
    <n v="1"/>
    <x v="1106"/>
    <n v="1.7362761923684226E-4"/>
  </r>
  <r>
    <x v="3"/>
    <x v="1"/>
    <x v="5"/>
    <x v="1"/>
    <n v="6799367587.5175657"/>
    <n v="8.3812859644733548E-2"/>
    <x v="222"/>
    <x v="1"/>
    <n v="3"/>
    <n v="3"/>
    <n v="5.2891396332863189E-2"/>
    <n v="1"/>
    <x v="1107"/>
    <n v="5.208828577105267E-4"/>
  </r>
  <r>
    <x v="3"/>
    <x v="1"/>
    <x v="5"/>
    <x v="2"/>
    <n v="6799367587.5175657"/>
    <n v="8.3812859644733548E-2"/>
    <x v="222"/>
    <x v="2"/>
    <n v="5"/>
    <n v="5"/>
    <n v="8.8152327221438648E-2"/>
    <n v="1"/>
    <x v="1108"/>
    <n v="8.6813809618421116E-4"/>
  </r>
  <r>
    <x v="3"/>
    <x v="1"/>
    <x v="5"/>
    <x v="3"/>
    <n v="6799367587.5175657"/>
    <n v="8.3812859644733548E-2"/>
    <x v="222"/>
    <x v="3"/>
    <n v="7"/>
    <n v="7"/>
    <n v="0.12341325811001411"/>
    <n v="1"/>
    <x v="1109"/>
    <n v="1.2153933346578957E-3"/>
  </r>
  <r>
    <x v="3"/>
    <x v="1"/>
    <x v="5"/>
    <x v="4"/>
    <n v="6799367587.5175657"/>
    <n v="8.3812859644733548E-2"/>
    <x v="222"/>
    <x v="7"/>
    <n v="42.45"/>
    <n v="40.72"/>
    <n v="0.71791255289139633"/>
    <n v="1"/>
    <x v="1110"/>
    <n v="7.0701166553242163E-3"/>
  </r>
  <r>
    <x v="3"/>
    <x v="1"/>
    <x v="6"/>
    <x v="0"/>
    <n v="6799367587.5175657"/>
    <n v="5.4791093319989992E-2"/>
    <x v="223"/>
    <x v="0"/>
    <n v="1"/>
    <n v="1"/>
    <n v="1.763046544428773E-2"/>
    <n v="1"/>
    <x v="1111"/>
    <n v="1.135058167548312E-4"/>
  </r>
  <r>
    <x v="3"/>
    <x v="1"/>
    <x v="6"/>
    <x v="1"/>
    <n v="6799367587.5175657"/>
    <n v="5.4791093319989992E-2"/>
    <x v="223"/>
    <x v="1"/>
    <n v="3"/>
    <n v="3"/>
    <n v="5.2891396332863189E-2"/>
    <n v="1"/>
    <x v="1112"/>
    <n v="3.4051745026449358E-4"/>
  </r>
  <r>
    <x v="3"/>
    <x v="1"/>
    <x v="6"/>
    <x v="2"/>
    <n v="6799367587.5175657"/>
    <n v="5.4791093319989992E-2"/>
    <x v="223"/>
    <x v="2"/>
    <n v="5"/>
    <n v="5"/>
    <n v="8.8152327221438648E-2"/>
    <n v="1"/>
    <x v="1113"/>
    <n v="5.6752908377415601E-4"/>
  </r>
  <r>
    <x v="3"/>
    <x v="1"/>
    <x v="6"/>
    <x v="3"/>
    <n v="6799367587.5175657"/>
    <n v="5.4791093319989992E-2"/>
    <x v="223"/>
    <x v="3"/>
    <n v="7"/>
    <n v="7"/>
    <n v="0.12341325811001411"/>
    <n v="1"/>
    <x v="1114"/>
    <n v="7.9454071728381843E-4"/>
  </r>
  <r>
    <x v="3"/>
    <x v="1"/>
    <x v="6"/>
    <x v="4"/>
    <n v="6799367587.5175657"/>
    <n v="5.4791093319989992E-2"/>
    <x v="223"/>
    <x v="7"/>
    <n v="42.45"/>
    <n v="40.72"/>
    <n v="0.71791255289139633"/>
    <n v="1"/>
    <x v="1115"/>
    <n v="4.6219568582567261E-3"/>
  </r>
  <r>
    <x v="3"/>
    <x v="1"/>
    <x v="7"/>
    <x v="0"/>
    <n v="6799367587.5175657"/>
    <n v="0.16062046534901178"/>
    <x v="224"/>
    <x v="0"/>
    <n v="1"/>
    <n v="1"/>
    <n v="1.763046544428773E-2"/>
    <n v="1"/>
    <x v="1116"/>
    <n v="3.3274307925388881E-4"/>
  </r>
  <r>
    <x v="3"/>
    <x v="1"/>
    <x v="7"/>
    <x v="1"/>
    <n v="6799367587.5175657"/>
    <n v="0.16062046534901178"/>
    <x v="224"/>
    <x v="1"/>
    <n v="3"/>
    <n v="3"/>
    <n v="5.2891396332863189E-2"/>
    <n v="1"/>
    <x v="1117"/>
    <n v="9.9822923776166626E-4"/>
  </r>
  <r>
    <x v="3"/>
    <x v="1"/>
    <x v="7"/>
    <x v="2"/>
    <n v="6799367587.5175657"/>
    <n v="0.16062046534901178"/>
    <x v="224"/>
    <x v="2"/>
    <n v="5"/>
    <n v="5"/>
    <n v="8.8152327221438648E-2"/>
    <n v="1"/>
    <x v="1118"/>
    <n v="1.663715396269444E-3"/>
  </r>
  <r>
    <x v="3"/>
    <x v="1"/>
    <x v="7"/>
    <x v="3"/>
    <n v="6799367587.5175657"/>
    <n v="0.16062046534901178"/>
    <x v="224"/>
    <x v="3"/>
    <n v="7"/>
    <n v="7"/>
    <n v="0.12341325811001411"/>
    <n v="1"/>
    <x v="1119"/>
    <n v="2.3292015547772219E-3"/>
  </r>
  <r>
    <x v="3"/>
    <x v="1"/>
    <x v="7"/>
    <x v="4"/>
    <n v="6799367587.5175657"/>
    <n v="0.16062046534901178"/>
    <x v="224"/>
    <x v="7"/>
    <n v="42.45"/>
    <n v="40.72"/>
    <n v="0.71791255289139633"/>
    <n v="1"/>
    <x v="1120"/>
    <n v="1.3549298187218351E-2"/>
  </r>
  <r>
    <x v="3"/>
    <x v="1"/>
    <x v="8"/>
    <x v="0"/>
    <n v="6799367587.5175657"/>
    <n v="4.7035276457343012E-2"/>
    <x v="225"/>
    <x v="0"/>
    <n v="1"/>
    <n v="1"/>
    <n v="1.763046544428773E-2"/>
    <n v="1"/>
    <x v="1121"/>
    <n v="9.7438783332914468E-5"/>
  </r>
  <r>
    <x v="3"/>
    <x v="1"/>
    <x v="8"/>
    <x v="1"/>
    <n v="6799367587.5175657"/>
    <n v="4.7035276457343012E-2"/>
    <x v="225"/>
    <x v="1"/>
    <n v="3"/>
    <n v="3"/>
    <n v="5.2891396332863189E-2"/>
    <n v="1"/>
    <x v="1122"/>
    <n v="2.923163499987434E-4"/>
  </r>
  <r>
    <x v="3"/>
    <x v="1"/>
    <x v="8"/>
    <x v="2"/>
    <n v="6799367587.5175657"/>
    <n v="4.7035276457343012E-2"/>
    <x v="225"/>
    <x v="2"/>
    <n v="5"/>
    <n v="5"/>
    <n v="8.8152327221438648E-2"/>
    <n v="1"/>
    <x v="1123"/>
    <n v="4.871939166645724E-4"/>
  </r>
  <r>
    <x v="3"/>
    <x v="1"/>
    <x v="8"/>
    <x v="3"/>
    <n v="6799367587.5175657"/>
    <n v="4.7035276457343012E-2"/>
    <x v="225"/>
    <x v="3"/>
    <n v="7"/>
    <n v="7"/>
    <n v="0.12341325811001411"/>
    <n v="1"/>
    <x v="1124"/>
    <n v="6.8207148333040122E-4"/>
  </r>
  <r>
    <x v="3"/>
    <x v="1"/>
    <x v="8"/>
    <x v="4"/>
    <n v="6799367587.5175657"/>
    <n v="4.7035276457343012E-2"/>
    <x v="225"/>
    <x v="7"/>
    <n v="42.45"/>
    <n v="40.72"/>
    <n v="0.71791255289139633"/>
    <n v="1"/>
    <x v="1125"/>
    <n v="3.9677072573162768E-3"/>
  </r>
  <r>
    <x v="3"/>
    <x v="2"/>
    <x v="0"/>
    <x v="0"/>
    <n v="198715758.57007572"/>
    <n v="0.15625"/>
    <x v="226"/>
    <x v="0"/>
    <n v="1"/>
    <n v="1"/>
    <n v="1.763046544428773E-2"/>
    <n v="1"/>
    <x v="1126"/>
    <n v="9.46001806652693E-6"/>
  </r>
  <r>
    <x v="3"/>
    <x v="2"/>
    <x v="0"/>
    <x v="1"/>
    <n v="198715758.57007572"/>
    <n v="0.15625"/>
    <x v="226"/>
    <x v="1"/>
    <n v="3"/>
    <n v="3"/>
    <n v="5.2891396332863189E-2"/>
    <n v="1"/>
    <x v="1127"/>
    <n v="2.8380054199580794E-5"/>
  </r>
  <r>
    <x v="3"/>
    <x v="2"/>
    <x v="0"/>
    <x v="2"/>
    <n v="198715758.57007572"/>
    <n v="0.15625"/>
    <x v="226"/>
    <x v="2"/>
    <n v="5"/>
    <n v="5"/>
    <n v="8.8152327221438648E-2"/>
    <n v="1"/>
    <x v="1128"/>
    <n v="4.7300090332634654E-5"/>
  </r>
  <r>
    <x v="3"/>
    <x v="2"/>
    <x v="0"/>
    <x v="3"/>
    <n v="198715758.57007572"/>
    <n v="0.15625"/>
    <x v="226"/>
    <x v="3"/>
    <n v="7"/>
    <n v="7"/>
    <n v="0.12341325811001411"/>
    <n v="1"/>
    <x v="1129"/>
    <n v="6.6220126465688507E-5"/>
  </r>
  <r>
    <x v="3"/>
    <x v="2"/>
    <x v="0"/>
    <x v="4"/>
    <n v="198715758.57007572"/>
    <n v="0.15625"/>
    <x v="226"/>
    <x v="7"/>
    <n v="42.45"/>
    <n v="40.72"/>
    <n v="0.71791255289139633"/>
    <n v="1"/>
    <x v="1130"/>
    <n v="3.8521193566897659E-4"/>
  </r>
  <r>
    <x v="3"/>
    <x v="2"/>
    <x v="1"/>
    <x v="0"/>
    <n v="198715758.57007572"/>
    <n v="0.10225000000000001"/>
    <x v="227"/>
    <x v="0"/>
    <n v="1"/>
    <n v="1"/>
    <n v="1.763046544428773E-2"/>
    <n v="1"/>
    <x v="1131"/>
    <n v="6.1906358227352231E-6"/>
  </r>
  <r>
    <x v="3"/>
    <x v="2"/>
    <x v="1"/>
    <x v="1"/>
    <n v="198715758.57007572"/>
    <n v="0.10225000000000001"/>
    <x v="227"/>
    <x v="1"/>
    <n v="3"/>
    <n v="3"/>
    <n v="5.2891396332863189E-2"/>
    <n v="1"/>
    <x v="1132"/>
    <n v="1.8571907468205668E-5"/>
  </r>
  <r>
    <x v="3"/>
    <x v="2"/>
    <x v="1"/>
    <x v="2"/>
    <n v="198715758.57007572"/>
    <n v="0.10225000000000001"/>
    <x v="227"/>
    <x v="2"/>
    <n v="5"/>
    <n v="5"/>
    <n v="8.8152327221438648E-2"/>
    <n v="1"/>
    <x v="1133"/>
    <n v="3.0953179113676121E-5"/>
  </r>
  <r>
    <x v="3"/>
    <x v="2"/>
    <x v="1"/>
    <x v="3"/>
    <n v="198715758.57007572"/>
    <n v="0.10225000000000001"/>
    <x v="227"/>
    <x v="3"/>
    <n v="7"/>
    <n v="7"/>
    <n v="0.12341325811001411"/>
    <n v="1"/>
    <x v="1134"/>
    <n v="4.3334450759146563E-5"/>
  </r>
  <r>
    <x v="3"/>
    <x v="2"/>
    <x v="1"/>
    <x v="4"/>
    <n v="198715758.57007572"/>
    <n v="0.10225000000000001"/>
    <x v="227"/>
    <x v="7"/>
    <n v="42.45"/>
    <n v="40.72"/>
    <n v="0.71791255289139633"/>
    <n v="1"/>
    <x v="1135"/>
    <n v="2.5208269070177831E-4"/>
  </r>
  <r>
    <x v="3"/>
    <x v="2"/>
    <x v="2"/>
    <x v="0"/>
    <n v="198715758.57007572"/>
    <n v="0.24750000000000003"/>
    <x v="228"/>
    <x v="0"/>
    <n v="1"/>
    <n v="1"/>
    <n v="1.763046544428773E-2"/>
    <n v="1"/>
    <x v="1136"/>
    <n v="1.4984668617378657E-5"/>
  </r>
  <r>
    <x v="3"/>
    <x v="2"/>
    <x v="2"/>
    <x v="1"/>
    <n v="198715758.57007572"/>
    <n v="0.24750000000000003"/>
    <x v="228"/>
    <x v="1"/>
    <n v="3"/>
    <n v="3"/>
    <n v="5.2891396332863189E-2"/>
    <n v="1"/>
    <x v="1137"/>
    <n v="4.4954005852135979E-5"/>
  </r>
  <r>
    <x v="3"/>
    <x v="2"/>
    <x v="2"/>
    <x v="2"/>
    <n v="198715758.57007572"/>
    <n v="0.24750000000000003"/>
    <x v="228"/>
    <x v="2"/>
    <n v="5"/>
    <n v="5"/>
    <n v="8.8152327221438648E-2"/>
    <n v="1"/>
    <x v="1138"/>
    <n v="7.4923343086893301E-5"/>
  </r>
  <r>
    <x v="3"/>
    <x v="2"/>
    <x v="2"/>
    <x v="3"/>
    <n v="198715758.57007572"/>
    <n v="0.24750000000000003"/>
    <x v="228"/>
    <x v="3"/>
    <n v="7"/>
    <n v="7"/>
    <n v="0.12341325811001411"/>
    <n v="1"/>
    <x v="1139"/>
    <n v="1.048926803216506E-4"/>
  </r>
  <r>
    <x v="3"/>
    <x v="2"/>
    <x v="2"/>
    <x v="4"/>
    <n v="198715758.57007572"/>
    <n v="0.24750000000000003"/>
    <x v="228"/>
    <x v="7"/>
    <n v="42.45"/>
    <n v="40.72"/>
    <n v="0.71791255289139633"/>
    <n v="1"/>
    <x v="1140"/>
    <n v="6.101757060996589E-4"/>
  </r>
  <r>
    <x v="3"/>
    <x v="2"/>
    <x v="3"/>
    <x v="0"/>
    <n v="198715758.57007572"/>
    <n v="3.5000000000000003E-2"/>
    <x v="229"/>
    <x v="0"/>
    <n v="1"/>
    <n v="1"/>
    <n v="1.763046544428773E-2"/>
    <n v="1"/>
    <x v="1141"/>
    <n v="2.1190440469020323E-6"/>
  </r>
  <r>
    <x v="3"/>
    <x v="2"/>
    <x v="3"/>
    <x v="1"/>
    <n v="198715758.57007572"/>
    <n v="3.5000000000000003E-2"/>
    <x v="229"/>
    <x v="1"/>
    <n v="3"/>
    <n v="3"/>
    <n v="5.2891396332863189E-2"/>
    <n v="1"/>
    <x v="1142"/>
    <n v="6.3571321407060975E-6"/>
  </r>
  <r>
    <x v="3"/>
    <x v="2"/>
    <x v="3"/>
    <x v="2"/>
    <n v="198715758.57007572"/>
    <n v="3.5000000000000003E-2"/>
    <x v="229"/>
    <x v="2"/>
    <n v="5"/>
    <n v="5"/>
    <n v="8.8152327221438648E-2"/>
    <n v="1"/>
    <x v="1143"/>
    <n v="1.0595220234510161E-5"/>
  </r>
  <r>
    <x v="3"/>
    <x v="2"/>
    <x v="3"/>
    <x v="3"/>
    <n v="198715758.57007572"/>
    <n v="3.5000000000000003E-2"/>
    <x v="229"/>
    <x v="3"/>
    <n v="7"/>
    <n v="7"/>
    <n v="0.12341325811001411"/>
    <n v="1"/>
    <x v="1144"/>
    <n v="1.4833308328314227E-5"/>
  </r>
  <r>
    <x v="3"/>
    <x v="2"/>
    <x v="3"/>
    <x v="4"/>
    <n v="198715758.57007572"/>
    <n v="3.5000000000000003E-2"/>
    <x v="229"/>
    <x v="7"/>
    <n v="42.45"/>
    <n v="40.72"/>
    <n v="0.71791255289139633"/>
    <n v="1"/>
    <x v="1145"/>
    <n v="8.6287473589850762E-5"/>
  </r>
  <r>
    <x v="3"/>
    <x v="2"/>
    <x v="4"/>
    <x v="0"/>
    <n v="198715758.57007572"/>
    <n v="9.2499999999999999E-2"/>
    <x v="230"/>
    <x v="0"/>
    <n v="1"/>
    <n v="1"/>
    <n v="1.763046544428773E-2"/>
    <n v="1"/>
    <x v="1146"/>
    <n v="5.6003306953839427E-6"/>
  </r>
  <r>
    <x v="3"/>
    <x v="2"/>
    <x v="4"/>
    <x v="1"/>
    <n v="198715758.57007572"/>
    <n v="9.2499999999999999E-2"/>
    <x v="230"/>
    <x v="1"/>
    <n v="3"/>
    <n v="3"/>
    <n v="5.2891396332863189E-2"/>
    <n v="1"/>
    <x v="1147"/>
    <n v="1.6800992086151828E-5"/>
  </r>
  <r>
    <x v="3"/>
    <x v="2"/>
    <x v="4"/>
    <x v="2"/>
    <n v="198715758.57007572"/>
    <n v="9.2499999999999999E-2"/>
    <x v="230"/>
    <x v="2"/>
    <n v="5"/>
    <n v="5"/>
    <n v="8.8152327221438648E-2"/>
    <n v="1"/>
    <x v="1148"/>
    <n v="2.8001653476919714E-5"/>
  </r>
  <r>
    <x v="3"/>
    <x v="2"/>
    <x v="4"/>
    <x v="3"/>
    <n v="198715758.57007572"/>
    <n v="9.2499999999999999E-2"/>
    <x v="230"/>
    <x v="3"/>
    <n v="7"/>
    <n v="7"/>
    <n v="0.12341325811001411"/>
    <n v="1"/>
    <x v="1149"/>
    <n v="3.9202314867687602E-5"/>
  </r>
  <r>
    <x v="3"/>
    <x v="2"/>
    <x v="4"/>
    <x v="4"/>
    <n v="198715758.57007572"/>
    <n v="9.2499999999999999E-2"/>
    <x v="230"/>
    <x v="7"/>
    <n v="42.45"/>
    <n v="40.72"/>
    <n v="0.71791255289139633"/>
    <n v="1"/>
    <x v="1150"/>
    <n v="2.2804546591603415E-4"/>
  </r>
  <r>
    <x v="3"/>
    <x v="2"/>
    <x v="5"/>
    <x v="0"/>
    <n v="198715758.57007572"/>
    <n v="0.17100000000000001"/>
    <x v="231"/>
    <x v="0"/>
    <n v="1"/>
    <n v="1"/>
    <n v="1.763046544428773E-2"/>
    <n v="1"/>
    <x v="1151"/>
    <n v="1.0353043772007073E-5"/>
  </r>
  <r>
    <x v="3"/>
    <x v="2"/>
    <x v="5"/>
    <x v="1"/>
    <n v="198715758.57007572"/>
    <n v="0.17100000000000001"/>
    <x v="231"/>
    <x v="1"/>
    <n v="3"/>
    <n v="3"/>
    <n v="5.2891396332863189E-2"/>
    <n v="1"/>
    <x v="1152"/>
    <n v="3.1059131316021223E-5"/>
  </r>
  <r>
    <x v="3"/>
    <x v="2"/>
    <x v="5"/>
    <x v="2"/>
    <n v="198715758.57007572"/>
    <n v="0.17100000000000001"/>
    <x v="231"/>
    <x v="2"/>
    <n v="5"/>
    <n v="5"/>
    <n v="8.8152327221438648E-2"/>
    <n v="1"/>
    <x v="1153"/>
    <n v="5.176521886003537E-5"/>
  </r>
  <r>
    <x v="3"/>
    <x v="2"/>
    <x v="5"/>
    <x v="3"/>
    <n v="198715758.57007572"/>
    <n v="0.17100000000000001"/>
    <x v="231"/>
    <x v="3"/>
    <n v="7"/>
    <n v="7"/>
    <n v="0.12341325811001411"/>
    <n v="1"/>
    <x v="1154"/>
    <n v="7.2471306404049517E-5"/>
  </r>
  <r>
    <x v="3"/>
    <x v="2"/>
    <x v="5"/>
    <x v="4"/>
    <n v="198715758.57007572"/>
    <n v="0.17100000000000001"/>
    <x v="231"/>
    <x v="7"/>
    <n v="42.45"/>
    <n v="40.72"/>
    <n v="0.71791255289139633"/>
    <n v="1"/>
    <x v="1155"/>
    <n v="4.2157594239612803E-4"/>
  </r>
  <r>
    <x v="3"/>
    <x v="2"/>
    <x v="6"/>
    <x v="0"/>
    <n v="198715758.57007572"/>
    <n v="3.6249999999999998E-2"/>
    <x v="232"/>
    <x v="0"/>
    <n v="1"/>
    <n v="1"/>
    <n v="1.763046544428773E-2"/>
    <n v="1"/>
    <x v="1156"/>
    <n v="2.1947241914342477E-6"/>
  </r>
  <r>
    <x v="3"/>
    <x v="2"/>
    <x v="6"/>
    <x v="1"/>
    <n v="198715758.57007572"/>
    <n v="3.6249999999999998E-2"/>
    <x v="232"/>
    <x v="1"/>
    <n v="3"/>
    <n v="3"/>
    <n v="5.2891396332863189E-2"/>
    <n v="1"/>
    <x v="1157"/>
    <n v="6.5841725743027434E-6"/>
  </r>
  <r>
    <x v="3"/>
    <x v="2"/>
    <x v="6"/>
    <x v="2"/>
    <n v="198715758.57007572"/>
    <n v="3.6249999999999998E-2"/>
    <x v="232"/>
    <x v="2"/>
    <n v="5"/>
    <n v="5"/>
    <n v="8.8152327221438648E-2"/>
    <n v="1"/>
    <x v="1158"/>
    <n v="1.0973620957171238E-5"/>
  </r>
  <r>
    <x v="3"/>
    <x v="2"/>
    <x v="6"/>
    <x v="3"/>
    <n v="198715758.57007572"/>
    <n v="3.6249999999999998E-2"/>
    <x v="232"/>
    <x v="3"/>
    <n v="7"/>
    <n v="7"/>
    <n v="0.12341325811001411"/>
    <n v="1"/>
    <x v="1159"/>
    <n v="1.5363069340039734E-5"/>
  </r>
  <r>
    <x v="3"/>
    <x v="2"/>
    <x v="6"/>
    <x v="4"/>
    <n v="198715758.57007572"/>
    <n v="3.6249999999999998E-2"/>
    <x v="232"/>
    <x v="7"/>
    <n v="42.45"/>
    <n v="40.72"/>
    <n v="0.71791255289139633"/>
    <n v="1"/>
    <x v="1160"/>
    <n v="8.936916907520256E-5"/>
  </r>
  <r>
    <x v="3"/>
    <x v="2"/>
    <x v="7"/>
    <x v="0"/>
    <n v="198715758.57007572"/>
    <n v="9.1249999999999998E-2"/>
    <x v="233"/>
    <x v="0"/>
    <n v="1"/>
    <n v="1"/>
    <n v="1.763046544428773E-2"/>
    <n v="1"/>
    <x v="1161"/>
    <n v="5.5246505508517274E-6"/>
  </r>
  <r>
    <x v="3"/>
    <x v="2"/>
    <x v="7"/>
    <x v="1"/>
    <n v="198715758.57007572"/>
    <n v="9.1249999999999998E-2"/>
    <x v="233"/>
    <x v="1"/>
    <n v="3"/>
    <n v="3"/>
    <n v="5.2891396332863189E-2"/>
    <n v="1"/>
    <x v="1162"/>
    <n v="1.6573951652555182E-5"/>
  </r>
  <r>
    <x v="3"/>
    <x v="2"/>
    <x v="7"/>
    <x v="2"/>
    <n v="198715758.57007572"/>
    <n v="9.1249999999999998E-2"/>
    <x v="233"/>
    <x v="2"/>
    <n v="5"/>
    <n v="5"/>
    <n v="8.8152327221438648E-2"/>
    <n v="1"/>
    <x v="1163"/>
    <n v="2.7623252754258637E-5"/>
  </r>
  <r>
    <x v="3"/>
    <x v="2"/>
    <x v="7"/>
    <x v="3"/>
    <n v="198715758.57007572"/>
    <n v="9.1249999999999998E-2"/>
    <x v="233"/>
    <x v="3"/>
    <n v="7"/>
    <n v="7"/>
    <n v="0.12341325811001411"/>
    <n v="1"/>
    <x v="1164"/>
    <n v="3.8672553855962095E-5"/>
  </r>
  <r>
    <x v="3"/>
    <x v="2"/>
    <x v="7"/>
    <x v="4"/>
    <n v="198715758.57007572"/>
    <n v="9.1249999999999998E-2"/>
    <x v="233"/>
    <x v="7"/>
    <n v="42.45"/>
    <n v="40.72"/>
    <n v="0.71791255289139633"/>
    <n v="1"/>
    <x v="1165"/>
    <n v="2.2496377043068234E-4"/>
  </r>
  <r>
    <x v="3"/>
    <x v="2"/>
    <x v="8"/>
    <x v="0"/>
    <n v="198715758.57007572"/>
    <n v="6.8249999999999991E-2"/>
    <x v="234"/>
    <x v="0"/>
    <n v="1"/>
    <n v="1"/>
    <n v="1.763046544428773E-2"/>
    <n v="1"/>
    <x v="1166"/>
    <n v="4.1321358914589628E-6"/>
  </r>
  <r>
    <x v="3"/>
    <x v="2"/>
    <x v="8"/>
    <x v="1"/>
    <n v="198715758.57007572"/>
    <n v="6.8249999999999991E-2"/>
    <x v="234"/>
    <x v="1"/>
    <n v="3"/>
    <n v="3"/>
    <n v="5.2891396332863189E-2"/>
    <n v="1"/>
    <x v="1167"/>
    <n v="1.2396407674376887E-5"/>
  </r>
  <r>
    <x v="3"/>
    <x v="2"/>
    <x v="8"/>
    <x v="2"/>
    <n v="198715758.57007572"/>
    <n v="6.8249999999999991E-2"/>
    <x v="234"/>
    <x v="2"/>
    <n v="5"/>
    <n v="5"/>
    <n v="8.8152327221438648E-2"/>
    <n v="1"/>
    <x v="1168"/>
    <n v="2.0660679457294815E-5"/>
  </r>
  <r>
    <x v="3"/>
    <x v="2"/>
    <x v="8"/>
    <x v="3"/>
    <n v="198715758.57007572"/>
    <n v="6.8249999999999991E-2"/>
    <x v="234"/>
    <x v="3"/>
    <n v="7"/>
    <n v="7"/>
    <n v="0.12341325811001411"/>
    <n v="1"/>
    <x v="1169"/>
    <n v="2.8924951240212738E-5"/>
  </r>
  <r>
    <x v="3"/>
    <x v="2"/>
    <x v="8"/>
    <x v="4"/>
    <n v="198715758.57007572"/>
    <n v="6.8249999999999991E-2"/>
    <x v="234"/>
    <x v="7"/>
    <n v="42.45"/>
    <n v="40.72"/>
    <n v="0.71791255289139633"/>
    <n v="1"/>
    <x v="1170"/>
    <n v="1.6826057350020896E-4"/>
  </r>
  <r>
    <x v="3"/>
    <x v="3"/>
    <x v="0"/>
    <x v="0"/>
    <n v="3059690963.0623112"/>
    <n v="0.2525"/>
    <x v="235"/>
    <x v="0"/>
    <n v="1"/>
    <n v="1"/>
    <n v="1.763046544428773E-2"/>
    <n v="1"/>
    <x v="1171"/>
    <n v="2.3538488797714558E-4"/>
  </r>
  <r>
    <x v="3"/>
    <x v="3"/>
    <x v="0"/>
    <x v="1"/>
    <n v="3059690963.0623112"/>
    <n v="0.2525"/>
    <x v="235"/>
    <x v="1"/>
    <n v="3"/>
    <n v="3"/>
    <n v="5.2891396332863189E-2"/>
    <n v="1"/>
    <x v="1172"/>
    <n v="7.061546639314367E-4"/>
  </r>
  <r>
    <x v="3"/>
    <x v="3"/>
    <x v="0"/>
    <x v="2"/>
    <n v="3059690963.0623112"/>
    <n v="0.2525"/>
    <x v="235"/>
    <x v="2"/>
    <n v="5"/>
    <n v="5"/>
    <n v="8.8152327221438648E-2"/>
    <n v="1"/>
    <x v="1173"/>
    <n v="1.1769244398857277E-3"/>
  </r>
  <r>
    <x v="3"/>
    <x v="3"/>
    <x v="0"/>
    <x v="3"/>
    <n v="3059690963.0623112"/>
    <n v="0.2525"/>
    <x v="235"/>
    <x v="3"/>
    <n v="7"/>
    <n v="7"/>
    <n v="0.12341325811001411"/>
    <n v="1"/>
    <x v="1174"/>
    <n v="1.6476942158400189E-3"/>
  </r>
  <r>
    <x v="3"/>
    <x v="3"/>
    <x v="0"/>
    <x v="4"/>
    <n v="3059690963.0623112"/>
    <n v="0.2525"/>
    <x v="235"/>
    <x v="7"/>
    <n v="42.45"/>
    <n v="40.72"/>
    <n v="0.71791255289139633"/>
    <n v="1"/>
    <x v="1175"/>
    <n v="9.5848726384293679E-3"/>
  </r>
  <r>
    <x v="3"/>
    <x v="3"/>
    <x v="1"/>
    <x v="0"/>
    <n v="3059690963.0623112"/>
    <n v="0.11775000000000002"/>
    <x v="236"/>
    <x v="0"/>
    <n v="1"/>
    <n v="1"/>
    <n v="1.763046544428773E-2"/>
    <n v="1"/>
    <x v="1176"/>
    <n v="1.0976859627449066E-4"/>
  </r>
  <r>
    <x v="3"/>
    <x v="3"/>
    <x v="1"/>
    <x v="1"/>
    <n v="3059690963.0623112"/>
    <n v="0.11775000000000002"/>
    <x v="236"/>
    <x v="1"/>
    <n v="3"/>
    <n v="3"/>
    <n v="5.2891396332863189E-2"/>
    <n v="1"/>
    <x v="1177"/>
    <n v="3.2930578882347199E-4"/>
  </r>
  <r>
    <x v="3"/>
    <x v="3"/>
    <x v="1"/>
    <x v="2"/>
    <n v="3059690963.0623112"/>
    <n v="0.11775000000000002"/>
    <x v="236"/>
    <x v="2"/>
    <n v="5"/>
    <n v="5"/>
    <n v="8.8152327221438648E-2"/>
    <n v="1"/>
    <x v="1178"/>
    <n v="5.4884298137245337E-4"/>
  </r>
  <r>
    <x v="3"/>
    <x v="3"/>
    <x v="1"/>
    <x v="3"/>
    <n v="3059690963.0623112"/>
    <n v="0.11775000000000002"/>
    <x v="236"/>
    <x v="3"/>
    <n v="7"/>
    <n v="7"/>
    <n v="0.12341325811001411"/>
    <n v="1"/>
    <x v="1179"/>
    <n v="7.6838017392143459E-4"/>
  </r>
  <r>
    <x v="3"/>
    <x v="3"/>
    <x v="1"/>
    <x v="4"/>
    <n v="3059690963.0623112"/>
    <n v="0.11775000000000002"/>
    <x v="236"/>
    <x v="7"/>
    <n v="42.45"/>
    <n v="40.72"/>
    <n v="0.71791255289139633"/>
    <n v="1"/>
    <x v="1180"/>
    <n v="4.4697772402972598E-3"/>
  </r>
  <r>
    <x v="3"/>
    <x v="3"/>
    <x v="2"/>
    <x v="0"/>
    <n v="3059690963.0623112"/>
    <n v="0.25125000000000003"/>
    <x v="237"/>
    <x v="0"/>
    <n v="1"/>
    <n v="1"/>
    <n v="1.763046544428773E-2"/>
    <n v="1"/>
    <x v="1181"/>
    <n v="2.3421961625448641E-4"/>
  </r>
  <r>
    <x v="3"/>
    <x v="3"/>
    <x v="2"/>
    <x v="1"/>
    <n v="3059690963.0623112"/>
    <n v="0.25125000000000003"/>
    <x v="237"/>
    <x v="1"/>
    <n v="3"/>
    <n v="3"/>
    <n v="5.2891396332863189E-2"/>
    <n v="1"/>
    <x v="1182"/>
    <n v="7.0265884876345936E-4"/>
  </r>
  <r>
    <x v="3"/>
    <x v="3"/>
    <x v="2"/>
    <x v="2"/>
    <n v="3059690963.0623112"/>
    <n v="0.25125000000000003"/>
    <x v="237"/>
    <x v="2"/>
    <n v="5"/>
    <n v="5"/>
    <n v="8.8152327221438648E-2"/>
    <n v="1"/>
    <x v="1183"/>
    <n v="1.1710980812724321E-3"/>
  </r>
  <r>
    <x v="3"/>
    <x v="3"/>
    <x v="2"/>
    <x v="3"/>
    <n v="3059690963.0623112"/>
    <n v="0.25125000000000003"/>
    <x v="237"/>
    <x v="3"/>
    <n v="7"/>
    <n v="7"/>
    <n v="0.12341325811001411"/>
    <n v="1"/>
    <x v="1184"/>
    <n v="1.6395373137814051E-3"/>
  </r>
  <r>
    <x v="3"/>
    <x v="3"/>
    <x v="2"/>
    <x v="4"/>
    <n v="3059690963.0623112"/>
    <n v="0.25125000000000003"/>
    <x v="237"/>
    <x v="7"/>
    <n v="42.45"/>
    <n v="40.72"/>
    <n v="0.71791255289139633"/>
    <n v="1"/>
    <x v="1185"/>
    <n v="9.5374227738826856E-3"/>
  </r>
  <r>
    <x v="3"/>
    <x v="3"/>
    <x v="3"/>
    <x v="0"/>
    <n v="3059690963.0623112"/>
    <n v="2.3250000000000003E-2"/>
    <x v="238"/>
    <x v="0"/>
    <n v="1"/>
    <n v="1"/>
    <n v="1.763046544428773E-2"/>
    <n v="1"/>
    <x v="1186"/>
    <n v="2.1674054041459936E-5"/>
  </r>
  <r>
    <x v="3"/>
    <x v="3"/>
    <x v="3"/>
    <x v="1"/>
    <n v="3059690963.0623112"/>
    <n v="2.3250000000000003E-2"/>
    <x v="238"/>
    <x v="1"/>
    <n v="3"/>
    <n v="3"/>
    <n v="5.2891396332863189E-2"/>
    <n v="1"/>
    <x v="1187"/>
    <n v="6.5022162124379814E-5"/>
  </r>
  <r>
    <x v="3"/>
    <x v="3"/>
    <x v="3"/>
    <x v="2"/>
    <n v="3059690963.0623112"/>
    <n v="2.3250000000000003E-2"/>
    <x v="238"/>
    <x v="2"/>
    <n v="5"/>
    <n v="5"/>
    <n v="8.8152327221438648E-2"/>
    <n v="1"/>
    <x v="1188"/>
    <n v="1.0837027020729969E-4"/>
  </r>
  <r>
    <x v="3"/>
    <x v="3"/>
    <x v="3"/>
    <x v="3"/>
    <n v="3059690963.0623112"/>
    <n v="2.3250000000000003E-2"/>
    <x v="238"/>
    <x v="3"/>
    <n v="7"/>
    <n v="7"/>
    <n v="0.12341325811001411"/>
    <n v="1"/>
    <x v="1189"/>
    <n v="1.5171837829021958E-4"/>
  </r>
  <r>
    <x v="3"/>
    <x v="3"/>
    <x v="3"/>
    <x v="4"/>
    <n v="3059690963.0623112"/>
    <n v="2.3250000000000003E-2"/>
    <x v="238"/>
    <x v="7"/>
    <n v="42.45"/>
    <n v="40.72"/>
    <n v="0.71791255289139633"/>
    <n v="1"/>
    <x v="1190"/>
    <n v="8.8256748056824862E-4"/>
  </r>
  <r>
    <x v="3"/>
    <x v="3"/>
    <x v="4"/>
    <x v="0"/>
    <n v="3059690963.0623112"/>
    <n v="0.11150000000000002"/>
    <x v="239"/>
    <x v="0"/>
    <n v="1"/>
    <n v="1"/>
    <n v="1.763046544428773E-2"/>
    <n v="1"/>
    <x v="1191"/>
    <n v="1.0394223766119498E-4"/>
  </r>
  <r>
    <x v="3"/>
    <x v="3"/>
    <x v="4"/>
    <x v="1"/>
    <n v="3059690963.0623112"/>
    <n v="0.11150000000000002"/>
    <x v="239"/>
    <x v="1"/>
    <n v="3"/>
    <n v="3"/>
    <n v="5.2891396332863189E-2"/>
    <n v="1"/>
    <x v="1192"/>
    <n v="3.118267129835849E-4"/>
  </r>
  <r>
    <x v="3"/>
    <x v="3"/>
    <x v="4"/>
    <x v="2"/>
    <n v="3059690963.0623112"/>
    <n v="0.11150000000000002"/>
    <x v="239"/>
    <x v="2"/>
    <n v="5"/>
    <n v="5"/>
    <n v="8.8152327221438648E-2"/>
    <n v="1"/>
    <x v="1193"/>
    <n v="5.1971118830597483E-4"/>
  </r>
  <r>
    <x v="3"/>
    <x v="3"/>
    <x v="4"/>
    <x v="3"/>
    <n v="3059690963.0623112"/>
    <n v="0.11150000000000002"/>
    <x v="239"/>
    <x v="3"/>
    <n v="7"/>
    <n v="7"/>
    <n v="0.12341325811001411"/>
    <n v="1"/>
    <x v="1194"/>
    <n v="7.2759566362836487E-4"/>
  </r>
  <r>
    <x v="3"/>
    <x v="3"/>
    <x v="4"/>
    <x v="4"/>
    <n v="3059690963.0623112"/>
    <n v="0.11150000000000002"/>
    <x v="239"/>
    <x v="7"/>
    <n v="42.45"/>
    <n v="40.72"/>
    <n v="0.71791255289139633"/>
    <n v="1"/>
    <x v="1195"/>
    <n v="4.2325279175638589E-3"/>
  </r>
  <r>
    <x v="3"/>
    <x v="3"/>
    <x v="5"/>
    <x v="0"/>
    <n v="3059690963.0623112"/>
    <n v="7.5249999999999997E-2"/>
    <x v="240"/>
    <x v="0"/>
    <n v="1"/>
    <n v="1"/>
    <n v="1.763046544428773E-2"/>
    <n v="1"/>
    <x v="1196"/>
    <n v="7.0149357704080002E-5"/>
  </r>
  <r>
    <x v="3"/>
    <x v="3"/>
    <x v="5"/>
    <x v="1"/>
    <n v="3059690963.0623112"/>
    <n v="7.5249999999999997E-2"/>
    <x v="240"/>
    <x v="1"/>
    <n v="3"/>
    <n v="3"/>
    <n v="5.2891396332863189E-2"/>
    <n v="1"/>
    <x v="1197"/>
    <n v="2.1044807311223999E-4"/>
  </r>
  <r>
    <x v="3"/>
    <x v="3"/>
    <x v="5"/>
    <x v="2"/>
    <n v="3059690963.0623112"/>
    <n v="7.5249999999999997E-2"/>
    <x v="240"/>
    <x v="2"/>
    <n v="5"/>
    <n v="5"/>
    <n v="8.8152327221438648E-2"/>
    <n v="1"/>
    <x v="1198"/>
    <n v="3.507467885204E-4"/>
  </r>
  <r>
    <x v="3"/>
    <x v="3"/>
    <x v="5"/>
    <x v="3"/>
    <n v="3059690963.0623112"/>
    <n v="7.5249999999999997E-2"/>
    <x v="240"/>
    <x v="3"/>
    <n v="7"/>
    <n v="7"/>
    <n v="0.12341325811001411"/>
    <n v="1"/>
    <x v="1199"/>
    <n v="4.9104550392855997E-4"/>
  </r>
  <r>
    <x v="3"/>
    <x v="3"/>
    <x v="5"/>
    <x v="4"/>
    <n v="3059690963.0623112"/>
    <n v="7.5249999999999997E-2"/>
    <x v="240"/>
    <x v="7"/>
    <n v="42.45"/>
    <n v="40.72"/>
    <n v="0.71791255289139633"/>
    <n v="1"/>
    <x v="1200"/>
    <n v="2.8564818457101379E-3"/>
  </r>
  <r>
    <x v="3"/>
    <x v="3"/>
    <x v="6"/>
    <x v="0"/>
    <n v="3059690963.0623112"/>
    <n v="8.0749999999999988E-2"/>
    <x v="241"/>
    <x v="0"/>
    <n v="1"/>
    <n v="1"/>
    <n v="1.763046544428773E-2"/>
    <n v="1"/>
    <x v="1201"/>
    <n v="7.527655328378019E-5"/>
  </r>
  <r>
    <x v="3"/>
    <x v="3"/>
    <x v="6"/>
    <x v="1"/>
    <n v="3059690963.0623112"/>
    <n v="8.0749999999999988E-2"/>
    <x v="241"/>
    <x v="1"/>
    <n v="3"/>
    <n v="3"/>
    <n v="5.2891396332863189E-2"/>
    <n v="1"/>
    <x v="1202"/>
    <n v="2.258296598513406E-4"/>
  </r>
  <r>
    <x v="3"/>
    <x v="3"/>
    <x v="6"/>
    <x v="2"/>
    <n v="3059690963.0623112"/>
    <n v="8.0749999999999988E-2"/>
    <x v="241"/>
    <x v="2"/>
    <n v="5"/>
    <n v="5"/>
    <n v="8.8152327221438648E-2"/>
    <n v="1"/>
    <x v="1203"/>
    <n v="3.7638276641890103E-4"/>
  </r>
  <r>
    <x v="3"/>
    <x v="3"/>
    <x v="6"/>
    <x v="3"/>
    <n v="3059690963.0623112"/>
    <n v="8.0749999999999988E-2"/>
    <x v="241"/>
    <x v="3"/>
    <n v="7"/>
    <n v="7"/>
    <n v="0.12341325811001411"/>
    <n v="1"/>
    <x v="1204"/>
    <n v="5.2693587298646141E-4"/>
  </r>
  <r>
    <x v="3"/>
    <x v="3"/>
    <x v="6"/>
    <x v="4"/>
    <n v="3059690963.0623112"/>
    <n v="8.0749999999999988E-2"/>
    <x v="241"/>
    <x v="7"/>
    <n v="42.45"/>
    <n v="40.72"/>
    <n v="0.71791255289139633"/>
    <n v="1"/>
    <x v="1205"/>
    <n v="3.0652612497155296E-3"/>
  </r>
  <r>
    <x v="3"/>
    <x v="3"/>
    <x v="7"/>
    <x v="0"/>
    <n v="3059690963.0623112"/>
    <n v="3.0250000000000003E-2"/>
    <x v="242"/>
    <x v="0"/>
    <n v="1"/>
    <n v="1"/>
    <n v="1.763046544428773E-2"/>
    <n v="1"/>
    <x v="1206"/>
    <n v="2.8199575688351105E-5"/>
  </r>
  <r>
    <x v="3"/>
    <x v="3"/>
    <x v="7"/>
    <x v="1"/>
    <n v="3059690963.0623112"/>
    <n v="3.0250000000000003E-2"/>
    <x v="242"/>
    <x v="1"/>
    <n v="3"/>
    <n v="3"/>
    <n v="5.2891396332863189E-2"/>
    <n v="1"/>
    <x v="1207"/>
    <n v="8.459872706505331E-5"/>
  </r>
  <r>
    <x v="3"/>
    <x v="3"/>
    <x v="7"/>
    <x v="2"/>
    <n v="3059690963.0623112"/>
    <n v="3.0250000000000003E-2"/>
    <x v="242"/>
    <x v="2"/>
    <n v="5"/>
    <n v="5"/>
    <n v="8.8152327221438648E-2"/>
    <n v="1"/>
    <x v="1208"/>
    <n v="1.4099787844175553E-4"/>
  </r>
  <r>
    <x v="3"/>
    <x v="3"/>
    <x v="7"/>
    <x v="3"/>
    <n v="3059690963.0623112"/>
    <n v="3.0250000000000003E-2"/>
    <x v="242"/>
    <x v="3"/>
    <n v="7"/>
    <n v="7"/>
    <n v="0.12341325811001411"/>
    <n v="1"/>
    <x v="1209"/>
    <n v="1.9739702981845771E-4"/>
  </r>
  <r>
    <x v="3"/>
    <x v="3"/>
    <x v="7"/>
    <x v="4"/>
    <n v="3059690963.0623112"/>
    <n v="3.0250000000000003E-2"/>
    <x v="242"/>
    <x v="7"/>
    <n v="42.45"/>
    <n v="40.72"/>
    <n v="0.71791255289139633"/>
    <n v="1"/>
    <x v="1210"/>
    <n v="1.1482867220296569E-3"/>
  </r>
  <r>
    <x v="3"/>
    <x v="3"/>
    <x v="8"/>
    <x v="0"/>
    <n v="3059690963.0623112"/>
    <n v="5.7500000000000009E-2"/>
    <x v="243"/>
    <x v="0"/>
    <n v="1"/>
    <n v="1"/>
    <n v="1.763046544428773E-2"/>
    <n v="1"/>
    <x v="1211"/>
    <n v="5.3602499242320281E-5"/>
  </r>
  <r>
    <x v="3"/>
    <x v="3"/>
    <x v="8"/>
    <x v="1"/>
    <n v="3059690963.0623112"/>
    <n v="5.7500000000000009E-2"/>
    <x v="243"/>
    <x v="1"/>
    <n v="3"/>
    <n v="3"/>
    <n v="5.2891396332863189E-2"/>
    <n v="1"/>
    <x v="1212"/>
    <n v="1.6080749772696086E-4"/>
  </r>
  <r>
    <x v="3"/>
    <x v="3"/>
    <x v="8"/>
    <x v="2"/>
    <n v="3059690963.0623112"/>
    <n v="5.7500000000000009E-2"/>
    <x v="243"/>
    <x v="2"/>
    <n v="5"/>
    <n v="5"/>
    <n v="8.8152327221438648E-2"/>
    <n v="1"/>
    <x v="1213"/>
    <n v="2.6801249621160141E-4"/>
  </r>
  <r>
    <x v="3"/>
    <x v="3"/>
    <x v="8"/>
    <x v="3"/>
    <n v="3059690963.0623112"/>
    <n v="5.7500000000000009E-2"/>
    <x v="243"/>
    <x v="3"/>
    <n v="7"/>
    <n v="7"/>
    <n v="0.12341325811001411"/>
    <n v="1"/>
    <x v="1214"/>
    <n v="3.7521749469624199E-4"/>
  </r>
  <r>
    <x v="3"/>
    <x v="3"/>
    <x v="8"/>
    <x v="4"/>
    <n v="3059690963.0623112"/>
    <n v="5.7500000000000009E-2"/>
    <x v="243"/>
    <x v="7"/>
    <n v="42.45"/>
    <n v="40.72"/>
    <n v="0.71791255289139633"/>
    <n v="1"/>
    <x v="1215"/>
    <n v="2.1826937691472818E-3"/>
  </r>
  <r>
    <x v="3"/>
    <x v="4"/>
    <x v="0"/>
    <x v="0"/>
    <n v="199728407.91332668"/>
    <n v="0.15625"/>
    <x v="244"/>
    <x v="0"/>
    <n v="1"/>
    <n v="1"/>
    <n v="1.763046544428773E-2"/>
    <n v="1"/>
    <x v="1216"/>
    <n v="9.5082260252270596E-6"/>
  </r>
  <r>
    <x v="3"/>
    <x v="4"/>
    <x v="0"/>
    <x v="1"/>
    <n v="199728407.91332668"/>
    <n v="0.15625"/>
    <x v="244"/>
    <x v="1"/>
    <n v="3"/>
    <n v="3"/>
    <n v="5.2891396332863189E-2"/>
    <n v="1"/>
    <x v="1217"/>
    <n v="2.8524678075681172E-5"/>
  </r>
  <r>
    <x v="3"/>
    <x v="4"/>
    <x v="0"/>
    <x v="2"/>
    <n v="199728407.91332668"/>
    <n v="0.15625"/>
    <x v="244"/>
    <x v="2"/>
    <n v="5"/>
    <n v="5"/>
    <n v="8.8152327221438648E-2"/>
    <n v="1"/>
    <x v="1218"/>
    <n v="4.7541130126135295E-5"/>
  </r>
  <r>
    <x v="3"/>
    <x v="4"/>
    <x v="0"/>
    <x v="3"/>
    <n v="199728407.91332668"/>
    <n v="0.15625"/>
    <x v="244"/>
    <x v="3"/>
    <n v="7"/>
    <n v="7"/>
    <n v="0.12341325811001411"/>
    <n v="1"/>
    <x v="1219"/>
    <n v="6.6557582176589414E-5"/>
  </r>
  <r>
    <x v="3"/>
    <x v="4"/>
    <x v="0"/>
    <x v="4"/>
    <n v="199728407.91332668"/>
    <n v="0.15625"/>
    <x v="244"/>
    <x v="7"/>
    <n v="42.45"/>
    <n v="40.72"/>
    <n v="0.71791255289139633"/>
    <n v="1"/>
    <x v="1220"/>
    <n v="3.871749637472458E-4"/>
  </r>
  <r>
    <x v="3"/>
    <x v="4"/>
    <x v="1"/>
    <x v="0"/>
    <n v="199728407.91332668"/>
    <n v="0.10225000000000001"/>
    <x v="245"/>
    <x v="0"/>
    <n v="1"/>
    <n v="1"/>
    <n v="1.763046544428773E-2"/>
    <n v="1"/>
    <x v="1221"/>
    <n v="6.2221831109085879E-6"/>
  </r>
  <r>
    <x v="3"/>
    <x v="4"/>
    <x v="1"/>
    <x v="1"/>
    <n v="199728407.91332668"/>
    <n v="0.10225000000000001"/>
    <x v="245"/>
    <x v="1"/>
    <n v="3"/>
    <n v="3"/>
    <n v="5.2891396332863189E-2"/>
    <n v="1"/>
    <x v="1222"/>
    <n v="1.8666549332725762E-5"/>
  </r>
  <r>
    <x v="3"/>
    <x v="4"/>
    <x v="1"/>
    <x v="2"/>
    <n v="199728407.91332668"/>
    <n v="0.10225000000000001"/>
    <x v="245"/>
    <x v="2"/>
    <n v="5"/>
    <n v="5"/>
    <n v="8.8152327221438648E-2"/>
    <n v="1"/>
    <x v="1223"/>
    <n v="3.1110915554542938E-5"/>
  </r>
  <r>
    <x v="3"/>
    <x v="4"/>
    <x v="1"/>
    <x v="3"/>
    <n v="199728407.91332668"/>
    <n v="0.10225000000000001"/>
    <x v="245"/>
    <x v="3"/>
    <n v="7"/>
    <n v="7"/>
    <n v="0.12341325811001411"/>
    <n v="1"/>
    <x v="1224"/>
    <n v="4.355528177636011E-5"/>
  </r>
  <r>
    <x v="3"/>
    <x v="4"/>
    <x v="1"/>
    <x v="4"/>
    <n v="199728407.91332668"/>
    <n v="0.10225000000000001"/>
    <x v="245"/>
    <x v="7"/>
    <n v="42.45"/>
    <n v="40.72"/>
    <n v="0.71791255289139633"/>
    <n v="1"/>
    <x v="1225"/>
    <n v="2.533672962761977E-4"/>
  </r>
  <r>
    <x v="3"/>
    <x v="4"/>
    <x v="2"/>
    <x v="0"/>
    <n v="199728407.91332668"/>
    <n v="0.24750000000000003"/>
    <x v="246"/>
    <x v="0"/>
    <n v="1"/>
    <n v="1"/>
    <n v="1.763046544428773E-2"/>
    <n v="1"/>
    <x v="1226"/>
    <n v="1.5061030023959661E-5"/>
  </r>
  <r>
    <x v="3"/>
    <x v="4"/>
    <x v="2"/>
    <x v="1"/>
    <n v="199728407.91332668"/>
    <n v="0.24750000000000003"/>
    <x v="246"/>
    <x v="1"/>
    <n v="3"/>
    <n v="3"/>
    <n v="5.2891396332863189E-2"/>
    <n v="1"/>
    <x v="1227"/>
    <n v="4.5183090071878983E-5"/>
  </r>
  <r>
    <x v="3"/>
    <x v="4"/>
    <x v="2"/>
    <x v="2"/>
    <n v="199728407.91332668"/>
    <n v="0.24750000000000003"/>
    <x v="246"/>
    <x v="2"/>
    <n v="5"/>
    <n v="5"/>
    <n v="8.8152327221438648E-2"/>
    <n v="1"/>
    <x v="1228"/>
    <n v="7.5305150119798304E-5"/>
  </r>
  <r>
    <x v="3"/>
    <x v="4"/>
    <x v="2"/>
    <x v="3"/>
    <n v="199728407.91332668"/>
    <n v="0.24750000000000003"/>
    <x v="246"/>
    <x v="3"/>
    <n v="7"/>
    <n v="7"/>
    <n v="0.12341325811001411"/>
    <n v="1"/>
    <x v="1229"/>
    <n v="1.0542721016771764E-4"/>
  </r>
  <r>
    <x v="3"/>
    <x v="4"/>
    <x v="2"/>
    <x v="4"/>
    <n v="199728407.91332668"/>
    <n v="0.24750000000000003"/>
    <x v="246"/>
    <x v="7"/>
    <n v="42.45"/>
    <n v="40.72"/>
    <n v="0.71791255289139633"/>
    <n v="1"/>
    <x v="1230"/>
    <n v="6.1328514257563737E-4"/>
  </r>
  <r>
    <x v="3"/>
    <x v="4"/>
    <x v="3"/>
    <x v="0"/>
    <n v="199728407.91332668"/>
    <n v="3.5000000000000003E-2"/>
    <x v="247"/>
    <x v="0"/>
    <n v="1"/>
    <n v="1"/>
    <n v="1.763046544428773E-2"/>
    <n v="1"/>
    <x v="1231"/>
    <n v="2.1298426296508613E-6"/>
  </r>
  <r>
    <x v="3"/>
    <x v="4"/>
    <x v="3"/>
    <x v="1"/>
    <n v="199728407.91332668"/>
    <n v="3.5000000000000003E-2"/>
    <x v="247"/>
    <x v="1"/>
    <n v="3"/>
    <n v="3"/>
    <n v="5.2891396332863189E-2"/>
    <n v="1"/>
    <x v="1232"/>
    <n v="6.3895278889525842E-6"/>
  </r>
  <r>
    <x v="3"/>
    <x v="4"/>
    <x v="3"/>
    <x v="2"/>
    <n v="199728407.91332668"/>
    <n v="3.5000000000000003E-2"/>
    <x v="247"/>
    <x v="2"/>
    <n v="5"/>
    <n v="5"/>
    <n v="8.8152327221438648E-2"/>
    <n v="1"/>
    <x v="1233"/>
    <n v="1.0649213148254305E-5"/>
  </r>
  <r>
    <x v="3"/>
    <x v="4"/>
    <x v="3"/>
    <x v="3"/>
    <n v="199728407.91332668"/>
    <n v="3.5000000000000003E-2"/>
    <x v="247"/>
    <x v="3"/>
    <n v="7"/>
    <n v="7"/>
    <n v="0.12341325811001411"/>
    <n v="1"/>
    <x v="1234"/>
    <n v="1.4908898407556028E-5"/>
  </r>
  <r>
    <x v="3"/>
    <x v="4"/>
    <x v="3"/>
    <x v="4"/>
    <n v="199728407.91332668"/>
    <n v="3.5000000000000003E-2"/>
    <x v="247"/>
    <x v="7"/>
    <n v="42.45"/>
    <n v="40.72"/>
    <n v="0.71791255289139633"/>
    <n v="1"/>
    <x v="1235"/>
    <n v="8.6727191879383067E-5"/>
  </r>
  <r>
    <x v="3"/>
    <x v="4"/>
    <x v="4"/>
    <x v="0"/>
    <n v="199728407.91332668"/>
    <n v="9.2499999999999999E-2"/>
    <x v="248"/>
    <x v="0"/>
    <n v="1"/>
    <n v="1"/>
    <n v="1.763046544428773E-2"/>
    <n v="1"/>
    <x v="1236"/>
    <n v="5.6288698069344183E-6"/>
  </r>
  <r>
    <x v="3"/>
    <x v="4"/>
    <x v="4"/>
    <x v="1"/>
    <n v="199728407.91332668"/>
    <n v="9.2499999999999999E-2"/>
    <x v="248"/>
    <x v="1"/>
    <n v="3"/>
    <n v="3"/>
    <n v="5.2891396332863189E-2"/>
    <n v="1"/>
    <x v="1237"/>
    <n v="1.6886609420803258E-5"/>
  </r>
  <r>
    <x v="3"/>
    <x v="4"/>
    <x v="4"/>
    <x v="2"/>
    <n v="199728407.91332668"/>
    <n v="9.2499999999999999E-2"/>
    <x v="248"/>
    <x v="2"/>
    <n v="5"/>
    <n v="5"/>
    <n v="8.8152327221438648E-2"/>
    <n v="1"/>
    <x v="1238"/>
    <n v="2.8144349034672096E-5"/>
  </r>
  <r>
    <x v="3"/>
    <x v="4"/>
    <x v="4"/>
    <x v="3"/>
    <n v="199728407.91332668"/>
    <n v="9.2499999999999999E-2"/>
    <x v="248"/>
    <x v="3"/>
    <n v="7"/>
    <n v="7"/>
    <n v="0.12341325811001411"/>
    <n v="1"/>
    <x v="1239"/>
    <n v="3.9402088648540934E-5"/>
  </r>
  <r>
    <x v="3"/>
    <x v="4"/>
    <x v="4"/>
    <x v="4"/>
    <n v="199728407.91332668"/>
    <n v="9.2499999999999999E-2"/>
    <x v="248"/>
    <x v="7"/>
    <n v="42.45"/>
    <n v="40.72"/>
    <n v="0.71791255289139633"/>
    <n v="1"/>
    <x v="1240"/>
    <n v="2.2920757853836952E-4"/>
  </r>
  <r>
    <x v="3"/>
    <x v="4"/>
    <x v="5"/>
    <x v="0"/>
    <n v="199728407.91332668"/>
    <n v="0.17100000000000001"/>
    <x v="249"/>
    <x v="0"/>
    <n v="1"/>
    <n v="1"/>
    <n v="1.763046544428773E-2"/>
    <n v="1"/>
    <x v="1241"/>
    <n v="1.0405802562008492E-5"/>
  </r>
  <r>
    <x v="3"/>
    <x v="4"/>
    <x v="5"/>
    <x v="1"/>
    <n v="199728407.91332668"/>
    <n v="0.17100000000000001"/>
    <x v="249"/>
    <x v="1"/>
    <n v="3"/>
    <n v="3"/>
    <n v="5.2891396332863189E-2"/>
    <n v="1"/>
    <x v="1242"/>
    <n v="3.1217407686025478E-5"/>
  </r>
  <r>
    <x v="3"/>
    <x v="4"/>
    <x v="5"/>
    <x v="2"/>
    <n v="199728407.91332668"/>
    <n v="0.17100000000000001"/>
    <x v="249"/>
    <x v="2"/>
    <n v="5"/>
    <n v="5"/>
    <n v="8.8152327221438648E-2"/>
    <n v="1"/>
    <x v="1243"/>
    <n v="5.2029012810042462E-5"/>
  </r>
  <r>
    <x v="3"/>
    <x v="4"/>
    <x v="5"/>
    <x v="3"/>
    <n v="199728407.91332668"/>
    <n v="0.17100000000000001"/>
    <x v="249"/>
    <x v="3"/>
    <n v="7"/>
    <n v="7"/>
    <n v="0.12341325811001411"/>
    <n v="1"/>
    <x v="1244"/>
    <n v="7.2840617934059445E-5"/>
  </r>
  <r>
    <x v="3"/>
    <x v="4"/>
    <x v="5"/>
    <x v="4"/>
    <n v="199728407.91332668"/>
    <n v="0.17100000000000001"/>
    <x v="249"/>
    <x v="7"/>
    <n v="42.45"/>
    <n v="40.72"/>
    <n v="0.71791255289139633"/>
    <n v="1"/>
    <x v="1245"/>
    <n v="4.2372428032498582E-4"/>
  </r>
  <r>
    <x v="3"/>
    <x v="4"/>
    <x v="6"/>
    <x v="0"/>
    <n v="199728407.91332668"/>
    <n v="3.6249999999999998E-2"/>
    <x v="250"/>
    <x v="0"/>
    <n v="1"/>
    <n v="1"/>
    <n v="1.763046544428773E-2"/>
    <n v="1"/>
    <x v="1246"/>
    <n v="2.2059084378526775E-6"/>
  </r>
  <r>
    <x v="3"/>
    <x v="4"/>
    <x v="6"/>
    <x v="1"/>
    <n v="199728407.91332668"/>
    <n v="3.6249999999999998E-2"/>
    <x v="250"/>
    <x v="1"/>
    <n v="3"/>
    <n v="3"/>
    <n v="5.2891396332863189E-2"/>
    <n v="1"/>
    <x v="1247"/>
    <n v="6.6177253135580321E-6"/>
  </r>
  <r>
    <x v="3"/>
    <x v="4"/>
    <x v="6"/>
    <x v="2"/>
    <n v="199728407.91332668"/>
    <n v="3.6249999999999998E-2"/>
    <x v="250"/>
    <x v="2"/>
    <n v="5"/>
    <n v="5"/>
    <n v="8.8152327221438648E-2"/>
    <n v="1"/>
    <x v="1248"/>
    <n v="1.1029542189263386E-5"/>
  </r>
  <r>
    <x v="3"/>
    <x v="4"/>
    <x v="6"/>
    <x v="3"/>
    <n v="199728407.91332668"/>
    <n v="3.6249999999999998E-2"/>
    <x v="250"/>
    <x v="3"/>
    <n v="7"/>
    <n v="7"/>
    <n v="0.12341325811001411"/>
    <n v="1"/>
    <x v="1249"/>
    <n v="1.544135906496874E-5"/>
  </r>
  <r>
    <x v="3"/>
    <x v="4"/>
    <x v="6"/>
    <x v="4"/>
    <n v="199728407.91332668"/>
    <n v="3.6249999999999998E-2"/>
    <x v="250"/>
    <x v="7"/>
    <n v="42.45"/>
    <n v="40.72"/>
    <n v="0.71791255289139633"/>
    <n v="1"/>
    <x v="1250"/>
    <n v="8.9824591589361021E-5"/>
  </r>
  <r>
    <x v="3"/>
    <x v="4"/>
    <x v="7"/>
    <x v="0"/>
    <n v="199728407.91332668"/>
    <n v="9.1249999999999998E-2"/>
    <x v="251"/>
    <x v="0"/>
    <n v="1"/>
    <n v="1"/>
    <n v="1.763046544428773E-2"/>
    <n v="1"/>
    <x v="1251"/>
    <n v="5.5528039987326021E-6"/>
  </r>
  <r>
    <x v="3"/>
    <x v="4"/>
    <x v="7"/>
    <x v="1"/>
    <n v="199728407.91332668"/>
    <n v="9.1249999999999998E-2"/>
    <x v="251"/>
    <x v="1"/>
    <n v="3"/>
    <n v="3"/>
    <n v="5.2891396332863189E-2"/>
    <n v="1"/>
    <x v="1252"/>
    <n v="1.6658411996197807E-5"/>
  </r>
  <r>
    <x v="3"/>
    <x v="4"/>
    <x v="7"/>
    <x v="2"/>
    <n v="199728407.91332668"/>
    <n v="9.1249999999999998E-2"/>
    <x v="251"/>
    <x v="2"/>
    <n v="5"/>
    <n v="5"/>
    <n v="8.8152327221438648E-2"/>
    <n v="1"/>
    <x v="1253"/>
    <n v="2.7764019993663006E-5"/>
  </r>
  <r>
    <x v="3"/>
    <x v="4"/>
    <x v="7"/>
    <x v="3"/>
    <n v="199728407.91332668"/>
    <n v="9.1249999999999998E-2"/>
    <x v="251"/>
    <x v="3"/>
    <n v="7"/>
    <n v="7"/>
    <n v="0.12341325811001411"/>
    <n v="1"/>
    <x v="1254"/>
    <n v="3.8869627991128219E-5"/>
  </r>
  <r>
    <x v="3"/>
    <x v="4"/>
    <x v="7"/>
    <x v="4"/>
    <n v="199728407.91332668"/>
    <n v="9.1249999999999998E-2"/>
    <x v="251"/>
    <x v="7"/>
    <n v="42.45"/>
    <n v="40.72"/>
    <n v="0.71791255289139633"/>
    <n v="1"/>
    <x v="1255"/>
    <n v="2.2611017882839154E-4"/>
  </r>
  <r>
    <x v="3"/>
    <x v="4"/>
    <x v="8"/>
    <x v="0"/>
    <n v="199728407.91332668"/>
    <n v="6.8249999999999991E-2"/>
    <x v="252"/>
    <x v="0"/>
    <n v="1"/>
    <n v="1"/>
    <n v="1.763046544428773E-2"/>
    <n v="1"/>
    <x v="1256"/>
    <n v="4.1531931278191779E-6"/>
  </r>
  <r>
    <x v="3"/>
    <x v="4"/>
    <x v="8"/>
    <x v="1"/>
    <n v="199728407.91332668"/>
    <n v="6.8249999999999991E-2"/>
    <x v="252"/>
    <x v="1"/>
    <n v="3"/>
    <n v="3"/>
    <n v="5.2891396332863189E-2"/>
    <n v="1"/>
    <x v="1257"/>
    <n v="1.2459579383457535E-5"/>
  </r>
  <r>
    <x v="3"/>
    <x v="4"/>
    <x v="8"/>
    <x v="2"/>
    <n v="199728407.91332668"/>
    <n v="6.8249999999999991E-2"/>
    <x v="252"/>
    <x v="2"/>
    <n v="5"/>
    <n v="5"/>
    <n v="8.8152327221438648E-2"/>
    <n v="1"/>
    <x v="1258"/>
    <n v="2.0765965639095891E-5"/>
  </r>
  <r>
    <x v="3"/>
    <x v="4"/>
    <x v="8"/>
    <x v="3"/>
    <n v="199728407.91332668"/>
    <n v="6.8249999999999991E-2"/>
    <x v="252"/>
    <x v="3"/>
    <n v="7"/>
    <n v="7"/>
    <n v="0.12341325811001411"/>
    <n v="1"/>
    <x v="1259"/>
    <n v="2.9072351894734247E-5"/>
  </r>
  <r>
    <x v="3"/>
    <x v="4"/>
    <x v="8"/>
    <x v="4"/>
    <n v="199728407.91332668"/>
    <n v="6.8249999999999991E-2"/>
    <x v="252"/>
    <x v="7"/>
    <n v="42.45"/>
    <n v="40.72"/>
    <n v="0.71791255289139633"/>
    <n v="1"/>
    <x v="1260"/>
    <n v="1.6911802416479693E-4"/>
  </r>
  <r>
    <x v="3"/>
    <x v="5"/>
    <x v="0"/>
    <x v="0"/>
    <n v="2709659549.1139545"/>
    <n v="0.2525"/>
    <x v="253"/>
    <x v="0"/>
    <n v="1"/>
    <n v="1"/>
    <n v="1.763046544428773E-2"/>
    <n v="1"/>
    <x v="1261"/>
    <n v="2.0845664386511496E-4"/>
  </r>
  <r>
    <x v="3"/>
    <x v="5"/>
    <x v="0"/>
    <x v="1"/>
    <n v="2709659549.1139545"/>
    <n v="0.2525"/>
    <x v="253"/>
    <x v="1"/>
    <n v="3"/>
    <n v="3"/>
    <n v="5.2891396332863189E-2"/>
    <n v="1"/>
    <x v="1262"/>
    <n v="6.2536993159534489E-4"/>
  </r>
  <r>
    <x v="3"/>
    <x v="5"/>
    <x v="0"/>
    <x v="2"/>
    <n v="2709659549.1139545"/>
    <n v="0.2525"/>
    <x v="253"/>
    <x v="2"/>
    <n v="5"/>
    <n v="5"/>
    <n v="8.8152327221438648E-2"/>
    <n v="1"/>
    <x v="1263"/>
    <n v="1.0422832193255748E-3"/>
  </r>
  <r>
    <x v="3"/>
    <x v="5"/>
    <x v="0"/>
    <x v="3"/>
    <n v="2709659549.1139545"/>
    <n v="0.2525"/>
    <x v="253"/>
    <x v="3"/>
    <n v="7"/>
    <n v="7"/>
    <n v="0.12341325811001411"/>
    <n v="1"/>
    <x v="1264"/>
    <n v="1.4591965070558047E-3"/>
  </r>
  <r>
    <x v="3"/>
    <x v="5"/>
    <x v="0"/>
    <x v="4"/>
    <n v="2709659549.1139545"/>
    <n v="0.2525"/>
    <x v="253"/>
    <x v="7"/>
    <n v="42.45"/>
    <n v="40.72"/>
    <n v="0.71791255289139633"/>
    <n v="1"/>
    <x v="1265"/>
    <n v="8.4883545381874807E-3"/>
  </r>
  <r>
    <x v="3"/>
    <x v="5"/>
    <x v="1"/>
    <x v="0"/>
    <n v="2709659549.1139545"/>
    <n v="0.11775000000000002"/>
    <x v="254"/>
    <x v="0"/>
    <n v="1"/>
    <n v="1"/>
    <n v="1.763046544428773E-2"/>
    <n v="1"/>
    <x v="1266"/>
    <n v="9.7210969564820953E-5"/>
  </r>
  <r>
    <x v="3"/>
    <x v="5"/>
    <x v="1"/>
    <x v="1"/>
    <n v="2709659549.1139545"/>
    <n v="0.11775000000000002"/>
    <x v="254"/>
    <x v="1"/>
    <n v="3"/>
    <n v="3"/>
    <n v="5.2891396332863189E-2"/>
    <n v="1"/>
    <x v="1267"/>
    <n v="2.9163290869446289E-4"/>
  </r>
  <r>
    <x v="3"/>
    <x v="5"/>
    <x v="1"/>
    <x v="2"/>
    <n v="2709659549.1139545"/>
    <n v="0.11775000000000002"/>
    <x v="254"/>
    <x v="2"/>
    <n v="5"/>
    <n v="5"/>
    <n v="8.8152327221438648E-2"/>
    <n v="1"/>
    <x v="1268"/>
    <n v="4.8605484782410485E-4"/>
  </r>
  <r>
    <x v="3"/>
    <x v="5"/>
    <x v="1"/>
    <x v="3"/>
    <n v="2709659549.1139545"/>
    <n v="0.11775000000000002"/>
    <x v="254"/>
    <x v="3"/>
    <n v="7"/>
    <n v="7"/>
    <n v="0.12341325811001411"/>
    <n v="1"/>
    <x v="1269"/>
    <n v="6.804767869537467E-4"/>
  </r>
  <r>
    <x v="3"/>
    <x v="5"/>
    <x v="1"/>
    <x v="4"/>
    <n v="2709659549.1139545"/>
    <n v="0.11775000000000002"/>
    <x v="254"/>
    <x v="7"/>
    <n v="42.45"/>
    <n v="40.72"/>
    <n v="0.71791255289139633"/>
    <n v="1"/>
    <x v="1270"/>
    <n v="3.9584306806795099E-3"/>
  </r>
  <r>
    <x v="3"/>
    <x v="5"/>
    <x v="2"/>
    <x v="0"/>
    <n v="2709659549.1139545"/>
    <n v="0.25125000000000003"/>
    <x v="255"/>
    <x v="0"/>
    <n v="1"/>
    <n v="1"/>
    <n v="1.763046544428773E-2"/>
    <n v="1"/>
    <x v="1271"/>
    <n v="2.0742468028162435E-4"/>
  </r>
  <r>
    <x v="3"/>
    <x v="5"/>
    <x v="2"/>
    <x v="1"/>
    <n v="2709659549.1139545"/>
    <n v="0.25125000000000003"/>
    <x v="255"/>
    <x v="1"/>
    <n v="3"/>
    <n v="3"/>
    <n v="5.2891396332863189E-2"/>
    <n v="1"/>
    <x v="1272"/>
    <n v="6.2227404084487308E-4"/>
  </r>
  <r>
    <x v="3"/>
    <x v="5"/>
    <x v="2"/>
    <x v="2"/>
    <n v="2709659549.1139545"/>
    <n v="0.25125000000000003"/>
    <x v="255"/>
    <x v="2"/>
    <n v="5"/>
    <n v="5"/>
    <n v="8.8152327221438648E-2"/>
    <n v="1"/>
    <x v="1273"/>
    <n v="1.0371234014081218E-3"/>
  </r>
  <r>
    <x v="3"/>
    <x v="5"/>
    <x v="2"/>
    <x v="3"/>
    <n v="2709659549.1139545"/>
    <n v="0.25125000000000003"/>
    <x v="255"/>
    <x v="3"/>
    <n v="7"/>
    <n v="7"/>
    <n v="0.12341325811001411"/>
    <n v="1"/>
    <x v="1274"/>
    <n v="1.4519727619713705E-3"/>
  </r>
  <r>
    <x v="3"/>
    <x v="5"/>
    <x v="2"/>
    <x v="4"/>
    <n v="2709659549.1139545"/>
    <n v="0.25125000000000003"/>
    <x v="255"/>
    <x v="7"/>
    <n v="42.45"/>
    <n v="40.72"/>
    <n v="0.71791255289139633"/>
    <n v="1"/>
    <x v="1275"/>
    <n v="8.4463329810677435E-3"/>
  </r>
  <r>
    <x v="3"/>
    <x v="5"/>
    <x v="3"/>
    <x v="0"/>
    <n v="2709659549.1139545"/>
    <n v="2.3250000000000003E-2"/>
    <x v="256"/>
    <x v="0"/>
    <n v="1"/>
    <n v="1"/>
    <n v="1.763046544428773E-2"/>
    <n v="1"/>
    <x v="1276"/>
    <n v="1.9194522652926434E-5"/>
  </r>
  <r>
    <x v="3"/>
    <x v="5"/>
    <x v="3"/>
    <x v="1"/>
    <n v="2709659549.1139545"/>
    <n v="2.3250000000000003E-2"/>
    <x v="256"/>
    <x v="1"/>
    <n v="3"/>
    <n v="3"/>
    <n v="5.2891396332863189E-2"/>
    <n v="1"/>
    <x v="1277"/>
    <n v="5.7583567958779292E-5"/>
  </r>
  <r>
    <x v="3"/>
    <x v="5"/>
    <x v="3"/>
    <x v="2"/>
    <n v="2709659549.1139545"/>
    <n v="2.3250000000000003E-2"/>
    <x v="256"/>
    <x v="2"/>
    <n v="5"/>
    <n v="5"/>
    <n v="8.8152327221438648E-2"/>
    <n v="1"/>
    <x v="1278"/>
    <n v="9.5972613264632174E-5"/>
  </r>
  <r>
    <x v="3"/>
    <x v="5"/>
    <x v="3"/>
    <x v="3"/>
    <n v="2709659549.1139545"/>
    <n v="2.3250000000000003E-2"/>
    <x v="256"/>
    <x v="3"/>
    <n v="7"/>
    <n v="7"/>
    <n v="0.12341325811001411"/>
    <n v="1"/>
    <x v="1279"/>
    <n v="1.3436165857048503E-4"/>
  </r>
  <r>
    <x v="3"/>
    <x v="5"/>
    <x v="3"/>
    <x v="4"/>
    <n v="2709659549.1139545"/>
    <n v="2.3250000000000003E-2"/>
    <x v="256"/>
    <x v="7"/>
    <n v="42.45"/>
    <n v="40.72"/>
    <n v="0.71791255289139633"/>
    <n v="1"/>
    <x v="1280"/>
    <n v="7.8160096242716436E-4"/>
  </r>
  <r>
    <x v="3"/>
    <x v="5"/>
    <x v="4"/>
    <x v="0"/>
    <n v="2709659549.1139545"/>
    <n v="0.11150000000000002"/>
    <x v="257"/>
    <x v="0"/>
    <n v="1"/>
    <n v="1"/>
    <n v="1.763046544428773E-2"/>
    <n v="1"/>
    <x v="1281"/>
    <n v="9.2051151647367613E-5"/>
  </r>
  <r>
    <x v="3"/>
    <x v="5"/>
    <x v="4"/>
    <x v="1"/>
    <n v="2709659549.1139545"/>
    <n v="0.11150000000000002"/>
    <x v="257"/>
    <x v="1"/>
    <n v="3"/>
    <n v="3"/>
    <n v="5.2891396332863189E-2"/>
    <n v="1"/>
    <x v="1282"/>
    <n v="2.7615345494210283E-4"/>
  </r>
  <r>
    <x v="3"/>
    <x v="5"/>
    <x v="4"/>
    <x v="2"/>
    <n v="2709659549.1139545"/>
    <n v="0.11150000000000002"/>
    <x v="257"/>
    <x v="2"/>
    <n v="5"/>
    <n v="5"/>
    <n v="8.8152327221438648E-2"/>
    <n v="1"/>
    <x v="1283"/>
    <n v="4.6025575823683808E-4"/>
  </r>
  <r>
    <x v="3"/>
    <x v="5"/>
    <x v="4"/>
    <x v="3"/>
    <n v="2709659549.1139545"/>
    <n v="0.11150000000000002"/>
    <x v="257"/>
    <x v="3"/>
    <n v="7"/>
    <n v="7"/>
    <n v="0.12341325811001411"/>
    <n v="1"/>
    <x v="1284"/>
    <n v="6.4435806153157328E-4"/>
  </r>
  <r>
    <x v="3"/>
    <x v="5"/>
    <x v="4"/>
    <x v="4"/>
    <n v="2709659549.1139545"/>
    <n v="0.11150000000000002"/>
    <x v="257"/>
    <x v="7"/>
    <n v="42.45"/>
    <n v="40.72"/>
    <n v="0.71791255289139633"/>
    <n v="1"/>
    <x v="1285"/>
    <n v="3.7483228950808086E-3"/>
  </r>
  <r>
    <x v="3"/>
    <x v="5"/>
    <x v="5"/>
    <x v="0"/>
    <n v="2709659549.1139545"/>
    <n v="7.5249999999999997E-2"/>
    <x v="258"/>
    <x v="0"/>
    <n v="1"/>
    <n v="1"/>
    <n v="1.763046544428773E-2"/>
    <n v="1"/>
    <x v="1286"/>
    <n v="6.2124207726138228E-5"/>
  </r>
  <r>
    <x v="3"/>
    <x v="5"/>
    <x v="5"/>
    <x v="1"/>
    <n v="2709659549.1139545"/>
    <n v="7.5249999999999997E-2"/>
    <x v="258"/>
    <x v="1"/>
    <n v="3"/>
    <n v="3"/>
    <n v="5.2891396332863189E-2"/>
    <n v="1"/>
    <x v="1287"/>
    <n v="1.8637262317841468E-4"/>
  </r>
  <r>
    <x v="3"/>
    <x v="5"/>
    <x v="5"/>
    <x v="2"/>
    <n v="2709659549.1139545"/>
    <n v="7.5249999999999997E-2"/>
    <x v="258"/>
    <x v="2"/>
    <n v="5"/>
    <n v="5"/>
    <n v="8.8152327221438648E-2"/>
    <n v="1"/>
    <x v="1288"/>
    <n v="3.1062103863069111E-4"/>
  </r>
  <r>
    <x v="3"/>
    <x v="5"/>
    <x v="5"/>
    <x v="3"/>
    <n v="2709659549.1139545"/>
    <n v="7.5249999999999997E-2"/>
    <x v="258"/>
    <x v="3"/>
    <n v="7"/>
    <n v="7"/>
    <n v="0.12341325811001411"/>
    <n v="1"/>
    <x v="1289"/>
    <n v="4.3486945408296757E-4"/>
  </r>
  <r>
    <x v="3"/>
    <x v="5"/>
    <x v="5"/>
    <x v="4"/>
    <n v="2709659549.1139545"/>
    <n v="7.5249999999999997E-2"/>
    <x v="258"/>
    <x v="7"/>
    <n v="42.45"/>
    <n v="40.72"/>
    <n v="0.71791255289139633"/>
    <n v="1"/>
    <x v="1290"/>
    <n v="2.5296977386083485E-3"/>
  </r>
  <r>
    <x v="3"/>
    <x v="5"/>
    <x v="6"/>
    <x v="0"/>
    <n v="2709659549.1139545"/>
    <n v="8.0749999999999988E-2"/>
    <x v="259"/>
    <x v="0"/>
    <n v="1"/>
    <n v="1"/>
    <n v="1.763046544428773E-2"/>
    <n v="1"/>
    <x v="1291"/>
    <n v="6.6664847493497158E-5"/>
  </r>
  <r>
    <x v="3"/>
    <x v="5"/>
    <x v="6"/>
    <x v="1"/>
    <n v="2709659549.1139545"/>
    <n v="8.0749999999999988E-2"/>
    <x v="259"/>
    <x v="1"/>
    <n v="3"/>
    <n v="3"/>
    <n v="5.2891396332863189E-2"/>
    <n v="1"/>
    <x v="1292"/>
    <n v="1.9999454248049149E-4"/>
  </r>
  <r>
    <x v="3"/>
    <x v="5"/>
    <x v="6"/>
    <x v="2"/>
    <n v="2709659549.1139545"/>
    <n v="8.0749999999999988E-2"/>
    <x v="259"/>
    <x v="2"/>
    <n v="5"/>
    <n v="5"/>
    <n v="8.8152327221438648E-2"/>
    <n v="1"/>
    <x v="1293"/>
    <n v="3.333242374674858E-4"/>
  </r>
  <r>
    <x v="3"/>
    <x v="5"/>
    <x v="6"/>
    <x v="3"/>
    <n v="2709659549.1139545"/>
    <n v="8.0749999999999988E-2"/>
    <x v="259"/>
    <x v="3"/>
    <n v="7"/>
    <n v="7"/>
    <n v="0.12341325811001411"/>
    <n v="1"/>
    <x v="1294"/>
    <n v="4.6665393245448014E-4"/>
  </r>
  <r>
    <x v="3"/>
    <x v="5"/>
    <x v="6"/>
    <x v="4"/>
    <n v="2709659549.1139545"/>
    <n v="8.0749999999999988E-2"/>
    <x v="259"/>
    <x v="7"/>
    <n v="42.45"/>
    <n v="40.72"/>
    <n v="0.71791255289139633"/>
    <n v="1"/>
    <x v="1295"/>
    <n v="2.714592589935204E-3"/>
  </r>
  <r>
    <x v="3"/>
    <x v="5"/>
    <x v="7"/>
    <x v="0"/>
    <n v="2709659549.1139545"/>
    <n v="3.0250000000000003E-2"/>
    <x v="260"/>
    <x v="0"/>
    <n v="1"/>
    <n v="1"/>
    <n v="1.763046544428773E-2"/>
    <n v="1"/>
    <x v="1296"/>
    <n v="2.4973518720474173E-5"/>
  </r>
  <r>
    <x v="3"/>
    <x v="5"/>
    <x v="7"/>
    <x v="1"/>
    <n v="2709659549.1139545"/>
    <n v="3.0250000000000003E-2"/>
    <x v="260"/>
    <x v="1"/>
    <n v="3"/>
    <n v="3"/>
    <n v="5.2891396332863189E-2"/>
    <n v="1"/>
    <x v="1297"/>
    <n v="7.4920556161422533E-5"/>
  </r>
  <r>
    <x v="3"/>
    <x v="5"/>
    <x v="7"/>
    <x v="2"/>
    <n v="2709659549.1139545"/>
    <n v="3.0250000000000003E-2"/>
    <x v="260"/>
    <x v="2"/>
    <n v="5"/>
    <n v="5"/>
    <n v="8.8152327221438648E-2"/>
    <n v="1"/>
    <x v="1298"/>
    <n v="1.2486759360237087E-4"/>
  </r>
  <r>
    <x v="3"/>
    <x v="5"/>
    <x v="7"/>
    <x v="3"/>
    <n v="2709659549.1139545"/>
    <n v="3.0250000000000003E-2"/>
    <x v="260"/>
    <x v="3"/>
    <n v="7"/>
    <n v="7"/>
    <n v="0.12341325811001411"/>
    <n v="1"/>
    <x v="1299"/>
    <n v="1.7481463104331921E-4"/>
  </r>
  <r>
    <x v="3"/>
    <x v="5"/>
    <x v="7"/>
    <x v="4"/>
    <n v="2709659549.1139545"/>
    <n v="3.0250000000000003E-2"/>
    <x v="260"/>
    <x v="7"/>
    <n v="42.45"/>
    <n v="40.72"/>
    <n v="0.71791255289139633"/>
    <n v="1"/>
    <x v="1300"/>
    <n v="1.0169216822977084E-3"/>
  </r>
  <r>
    <x v="3"/>
    <x v="5"/>
    <x v="8"/>
    <x v="0"/>
    <n v="2709659549.1139545"/>
    <n v="5.7500000000000009E-2"/>
    <x v="261"/>
    <x v="0"/>
    <n v="1"/>
    <n v="1"/>
    <n v="1.763046544428773E-2"/>
    <n v="1"/>
    <x v="1301"/>
    <n v="4.7470324840570754E-5"/>
  </r>
  <r>
    <x v="3"/>
    <x v="5"/>
    <x v="8"/>
    <x v="1"/>
    <n v="2709659549.1139545"/>
    <n v="5.7500000000000009E-2"/>
    <x v="261"/>
    <x v="1"/>
    <n v="3"/>
    <n v="3"/>
    <n v="5.2891396332863189E-2"/>
    <n v="1"/>
    <x v="1302"/>
    <n v="1.4241097452171226E-4"/>
  </r>
  <r>
    <x v="3"/>
    <x v="5"/>
    <x v="8"/>
    <x v="2"/>
    <n v="2709659549.1139545"/>
    <n v="5.7500000000000009E-2"/>
    <x v="261"/>
    <x v="2"/>
    <n v="5"/>
    <n v="5"/>
    <n v="8.8152327221438648E-2"/>
    <n v="1"/>
    <x v="1303"/>
    <n v="2.3735162420285375E-4"/>
  </r>
  <r>
    <x v="3"/>
    <x v="5"/>
    <x v="8"/>
    <x v="3"/>
    <n v="2709659549.1139545"/>
    <n v="5.7500000000000009E-2"/>
    <x v="261"/>
    <x v="3"/>
    <n v="7"/>
    <n v="7"/>
    <n v="0.12341325811001411"/>
    <n v="1"/>
    <x v="1304"/>
    <n v="3.3229227388399522E-4"/>
  </r>
  <r>
    <x v="3"/>
    <x v="5"/>
    <x v="8"/>
    <x v="4"/>
    <n v="2709659549.1139545"/>
    <n v="5.7500000000000009E-2"/>
    <x v="261"/>
    <x v="7"/>
    <n v="42.45"/>
    <n v="40.72"/>
    <n v="0.71791255289139633"/>
    <n v="1"/>
    <x v="1305"/>
    <n v="1.932991627508041E-3"/>
  </r>
  <r>
    <x v="3"/>
    <x v="6"/>
    <x v="0"/>
    <x v="0"/>
    <n v="179885559.24640933"/>
    <n v="0.2525"/>
    <x v="262"/>
    <x v="0"/>
    <n v="1"/>
    <n v="1"/>
    <n v="1.763046544428773E-2"/>
    <n v="1"/>
    <x v="1306"/>
    <n v="1.3838764346822672E-5"/>
  </r>
  <r>
    <x v="3"/>
    <x v="6"/>
    <x v="0"/>
    <x v="1"/>
    <n v="179885559.24640933"/>
    <n v="0.2525"/>
    <x v="262"/>
    <x v="1"/>
    <n v="3"/>
    <n v="3"/>
    <n v="5.2891396332863189E-2"/>
    <n v="1"/>
    <x v="1307"/>
    <n v="4.1516293040468017E-5"/>
  </r>
  <r>
    <x v="3"/>
    <x v="6"/>
    <x v="0"/>
    <x v="2"/>
    <n v="179885559.24640933"/>
    <n v="0.2525"/>
    <x v="262"/>
    <x v="2"/>
    <n v="5"/>
    <n v="5"/>
    <n v="8.8152327221438648E-2"/>
    <n v="1"/>
    <x v="1308"/>
    <n v="6.9193821734113358E-5"/>
  </r>
  <r>
    <x v="3"/>
    <x v="6"/>
    <x v="0"/>
    <x v="3"/>
    <n v="179885559.24640933"/>
    <n v="0.2525"/>
    <x v="262"/>
    <x v="3"/>
    <n v="7"/>
    <n v="7"/>
    <n v="0.12341325811001411"/>
    <n v="1"/>
    <x v="1309"/>
    <n v="9.6871350427758698E-5"/>
  </r>
  <r>
    <x v="3"/>
    <x v="6"/>
    <x v="0"/>
    <x v="4"/>
    <n v="179885559.24640933"/>
    <n v="0.2525"/>
    <x v="262"/>
    <x v="7"/>
    <n v="42.45"/>
    <n v="40.72"/>
    <n v="0.71791255289139633"/>
    <n v="1"/>
    <x v="1310"/>
    <n v="5.6351448420261917E-4"/>
  </r>
  <r>
    <x v="3"/>
    <x v="6"/>
    <x v="1"/>
    <x v="0"/>
    <n v="179885559.24640933"/>
    <n v="0.11775000000000002"/>
    <x v="263"/>
    <x v="0"/>
    <n v="1"/>
    <n v="1"/>
    <n v="1.763046544428773E-2"/>
    <n v="1"/>
    <x v="1311"/>
    <n v="6.4535227795578998E-6"/>
  </r>
  <r>
    <x v="3"/>
    <x v="6"/>
    <x v="1"/>
    <x v="1"/>
    <n v="179885559.24640933"/>
    <n v="0.11775000000000002"/>
    <x v="263"/>
    <x v="1"/>
    <n v="3"/>
    <n v="3"/>
    <n v="5.2891396332863189E-2"/>
    <n v="1"/>
    <x v="1312"/>
    <n v="1.9360568338673698E-5"/>
  </r>
  <r>
    <x v="3"/>
    <x v="6"/>
    <x v="1"/>
    <x v="2"/>
    <n v="179885559.24640933"/>
    <n v="0.11775000000000002"/>
    <x v="263"/>
    <x v="2"/>
    <n v="5"/>
    <n v="5"/>
    <n v="8.8152327221438648E-2"/>
    <n v="1"/>
    <x v="1313"/>
    <n v="3.2267613897789497E-5"/>
  </r>
  <r>
    <x v="3"/>
    <x v="6"/>
    <x v="1"/>
    <x v="3"/>
    <n v="179885559.24640933"/>
    <n v="0.11775000000000002"/>
    <x v="263"/>
    <x v="3"/>
    <n v="7"/>
    <n v="7"/>
    <n v="0.12341325811001411"/>
    <n v="1"/>
    <x v="1314"/>
    <n v="4.51746594569053E-5"/>
  </r>
  <r>
    <x v="3"/>
    <x v="6"/>
    <x v="1"/>
    <x v="4"/>
    <n v="179885559.24640933"/>
    <n v="0.11775000000000002"/>
    <x v="263"/>
    <x v="7"/>
    <n v="42.45"/>
    <n v="40.72"/>
    <n v="0.71791255289139633"/>
    <n v="1"/>
    <x v="1315"/>
    <n v="2.6278744758359768E-4"/>
  </r>
  <r>
    <x v="3"/>
    <x v="6"/>
    <x v="2"/>
    <x v="0"/>
    <n v="179885559.24640933"/>
    <n v="0.25125000000000003"/>
    <x v="264"/>
    <x v="0"/>
    <n v="1"/>
    <n v="1"/>
    <n v="1.763046544428773E-2"/>
    <n v="1"/>
    <x v="1316"/>
    <n v="1.3770255612432462E-5"/>
  </r>
  <r>
    <x v="3"/>
    <x v="6"/>
    <x v="2"/>
    <x v="1"/>
    <n v="179885559.24640933"/>
    <n v="0.25125000000000003"/>
    <x v="264"/>
    <x v="1"/>
    <n v="3"/>
    <n v="3"/>
    <n v="5.2891396332863189E-2"/>
    <n v="1"/>
    <x v="1317"/>
    <n v="4.1310766837297392E-5"/>
  </r>
  <r>
    <x v="3"/>
    <x v="6"/>
    <x v="2"/>
    <x v="2"/>
    <n v="179885559.24640933"/>
    <n v="0.25125000000000003"/>
    <x v="264"/>
    <x v="2"/>
    <n v="5"/>
    <n v="5"/>
    <n v="8.8152327221438648E-2"/>
    <n v="1"/>
    <x v="1318"/>
    <n v="6.8851278062162307E-5"/>
  </r>
  <r>
    <x v="3"/>
    <x v="6"/>
    <x v="2"/>
    <x v="3"/>
    <n v="179885559.24640933"/>
    <n v="0.25125000000000003"/>
    <x v="264"/>
    <x v="3"/>
    <n v="7"/>
    <n v="7"/>
    <n v="0.12341325811001411"/>
    <n v="1"/>
    <x v="1319"/>
    <n v="9.6391789287027249E-5"/>
  </r>
  <r>
    <x v="3"/>
    <x v="6"/>
    <x v="2"/>
    <x v="4"/>
    <n v="179885559.24640933"/>
    <n v="0.25125000000000003"/>
    <x v="264"/>
    <x v="7"/>
    <n v="42.45"/>
    <n v="40.72"/>
    <n v="0.71791255289139633"/>
    <n v="1"/>
    <x v="1320"/>
    <n v="5.6072480853824988E-4"/>
  </r>
  <r>
    <x v="3"/>
    <x v="6"/>
    <x v="3"/>
    <x v="0"/>
    <n v="179885559.24640933"/>
    <n v="2.3250000000000003E-2"/>
    <x v="265"/>
    <x v="0"/>
    <n v="1"/>
    <n v="1"/>
    <n v="1.763046544428773E-2"/>
    <n v="1"/>
    <x v="1321"/>
    <n v="1.2742624596579294E-6"/>
  </r>
  <r>
    <x v="3"/>
    <x v="6"/>
    <x v="3"/>
    <x v="1"/>
    <n v="179885559.24640933"/>
    <n v="2.3250000000000003E-2"/>
    <x v="265"/>
    <x v="1"/>
    <n v="3"/>
    <n v="3"/>
    <n v="5.2891396332863189E-2"/>
    <n v="1"/>
    <x v="1322"/>
    <n v="3.8227873789737878E-6"/>
  </r>
  <r>
    <x v="3"/>
    <x v="6"/>
    <x v="3"/>
    <x v="2"/>
    <n v="179885559.24640933"/>
    <n v="2.3250000000000003E-2"/>
    <x v="265"/>
    <x v="2"/>
    <n v="5"/>
    <n v="5"/>
    <n v="8.8152327221438648E-2"/>
    <n v="1"/>
    <x v="1323"/>
    <n v="6.371312298289647E-6"/>
  </r>
  <r>
    <x v="3"/>
    <x v="6"/>
    <x v="3"/>
    <x v="3"/>
    <n v="179885559.24640933"/>
    <n v="2.3250000000000003E-2"/>
    <x v="265"/>
    <x v="3"/>
    <n v="7"/>
    <n v="7"/>
    <n v="0.12341325811001411"/>
    <n v="1"/>
    <x v="1324"/>
    <n v="8.9198372176055052E-6"/>
  </r>
  <r>
    <x v="3"/>
    <x v="6"/>
    <x v="3"/>
    <x v="4"/>
    <n v="179885559.24640933"/>
    <n v="2.3250000000000003E-2"/>
    <x v="265"/>
    <x v="7"/>
    <n v="42.45"/>
    <n v="40.72"/>
    <n v="0.71791255289139633"/>
    <n v="1"/>
    <x v="1325"/>
    <n v="5.1887967357270879E-5"/>
  </r>
  <r>
    <x v="3"/>
    <x v="6"/>
    <x v="4"/>
    <x v="0"/>
    <n v="179885559.24640933"/>
    <n v="0.11150000000000002"/>
    <x v="266"/>
    <x v="0"/>
    <n v="1"/>
    <n v="1"/>
    <n v="1.763046544428773E-2"/>
    <n v="1"/>
    <x v="1326"/>
    <n v="6.1109791076068442E-6"/>
  </r>
  <r>
    <x v="3"/>
    <x v="6"/>
    <x v="4"/>
    <x v="1"/>
    <n v="179885559.24640933"/>
    <n v="0.11150000000000002"/>
    <x v="266"/>
    <x v="1"/>
    <n v="3"/>
    <n v="3"/>
    <n v="5.2891396332863189E-2"/>
    <n v="1"/>
    <x v="1327"/>
    <n v="1.8332937322820533E-5"/>
  </r>
  <r>
    <x v="3"/>
    <x v="6"/>
    <x v="4"/>
    <x v="2"/>
    <n v="179885559.24640933"/>
    <n v="0.11150000000000002"/>
    <x v="266"/>
    <x v="2"/>
    <n v="5"/>
    <n v="5"/>
    <n v="8.8152327221438648E-2"/>
    <n v="1"/>
    <x v="1328"/>
    <n v="3.0554895538034224E-5"/>
  </r>
  <r>
    <x v="3"/>
    <x v="6"/>
    <x v="4"/>
    <x v="3"/>
    <n v="179885559.24640933"/>
    <n v="0.11150000000000002"/>
    <x v="266"/>
    <x v="3"/>
    <n v="7"/>
    <n v="7"/>
    <n v="0.12341325811001411"/>
    <n v="1"/>
    <x v="1329"/>
    <n v="4.2776853753247913E-5"/>
  </r>
  <r>
    <x v="3"/>
    <x v="6"/>
    <x v="4"/>
    <x v="4"/>
    <n v="179885559.24640933"/>
    <n v="0.11150000000000002"/>
    <x v="266"/>
    <x v="7"/>
    <n v="42.45"/>
    <n v="40.72"/>
    <n v="0.71791255289139633"/>
    <n v="1"/>
    <x v="1330"/>
    <n v="2.4883906926175073E-4"/>
  </r>
  <r>
    <x v="3"/>
    <x v="6"/>
    <x v="5"/>
    <x v="0"/>
    <n v="179885559.24640933"/>
    <n v="7.5249999999999997E-2"/>
    <x v="267"/>
    <x v="0"/>
    <n v="1"/>
    <n v="1"/>
    <n v="1.763046544428773E-2"/>
    <n v="1"/>
    <x v="1331"/>
    <n v="4.1242258102907175E-6"/>
  </r>
  <r>
    <x v="3"/>
    <x v="6"/>
    <x v="5"/>
    <x v="1"/>
    <n v="179885559.24640933"/>
    <n v="7.5249999999999997E-2"/>
    <x v="267"/>
    <x v="1"/>
    <n v="3"/>
    <n v="3"/>
    <n v="5.2891396332863189E-2"/>
    <n v="1"/>
    <x v="1332"/>
    <n v="1.2372677430872152E-5"/>
  </r>
  <r>
    <x v="3"/>
    <x v="6"/>
    <x v="5"/>
    <x v="2"/>
    <n v="179885559.24640933"/>
    <n v="7.5249999999999997E-2"/>
    <x v="267"/>
    <x v="2"/>
    <n v="5"/>
    <n v="5"/>
    <n v="8.8152327221438648E-2"/>
    <n v="1"/>
    <x v="1333"/>
    <n v="2.0621129051453586E-5"/>
  </r>
  <r>
    <x v="3"/>
    <x v="6"/>
    <x v="5"/>
    <x v="3"/>
    <n v="179885559.24640933"/>
    <n v="7.5249999999999997E-2"/>
    <x v="267"/>
    <x v="3"/>
    <n v="7"/>
    <n v="7"/>
    <n v="0.12341325811001411"/>
    <n v="1"/>
    <x v="1334"/>
    <n v="2.886958067203502E-5"/>
  </r>
  <r>
    <x v="3"/>
    <x v="6"/>
    <x v="5"/>
    <x v="4"/>
    <n v="179885559.24640933"/>
    <n v="7.5249999999999997E-2"/>
    <x v="267"/>
    <x v="7"/>
    <n v="42.45"/>
    <n v="40.72"/>
    <n v="0.71791255289139633"/>
    <n v="1"/>
    <x v="1335"/>
    <n v="1.67938474995038E-4"/>
  </r>
  <r>
    <x v="3"/>
    <x v="6"/>
    <x v="6"/>
    <x v="0"/>
    <n v="179885559.24640933"/>
    <n v="8.0749999999999988E-2"/>
    <x v="268"/>
    <x v="0"/>
    <n v="1"/>
    <n v="1"/>
    <n v="1.763046544428773E-2"/>
    <n v="1"/>
    <x v="1336"/>
    <n v="4.4256642416076462E-6"/>
  </r>
  <r>
    <x v="3"/>
    <x v="6"/>
    <x v="6"/>
    <x v="1"/>
    <n v="179885559.24640933"/>
    <n v="8.0749999999999988E-2"/>
    <x v="268"/>
    <x v="1"/>
    <n v="3"/>
    <n v="3"/>
    <n v="5.2891396332863189E-2"/>
    <n v="1"/>
    <x v="1337"/>
    <n v="1.3276992724822939E-5"/>
  </r>
  <r>
    <x v="3"/>
    <x v="6"/>
    <x v="6"/>
    <x v="2"/>
    <n v="179885559.24640933"/>
    <n v="8.0749999999999988E-2"/>
    <x v="268"/>
    <x v="2"/>
    <n v="5"/>
    <n v="5"/>
    <n v="8.8152327221438648E-2"/>
    <n v="1"/>
    <x v="1338"/>
    <n v="2.2128321208038228E-5"/>
  </r>
  <r>
    <x v="3"/>
    <x v="6"/>
    <x v="6"/>
    <x v="3"/>
    <n v="179885559.24640933"/>
    <n v="8.0749999999999988E-2"/>
    <x v="268"/>
    <x v="3"/>
    <n v="7"/>
    <n v="7"/>
    <n v="0.12341325811001411"/>
    <n v="1"/>
    <x v="1339"/>
    <n v="3.0979649691253523E-5"/>
  </r>
  <r>
    <x v="3"/>
    <x v="6"/>
    <x v="6"/>
    <x v="4"/>
    <n v="179885559.24640933"/>
    <n v="8.0749999999999988E-2"/>
    <x v="268"/>
    <x v="7"/>
    <n v="42.45"/>
    <n v="40.72"/>
    <n v="0.71791255289139633"/>
    <n v="1"/>
    <x v="1340"/>
    <n v="1.8021304791826333E-4"/>
  </r>
  <r>
    <x v="3"/>
    <x v="6"/>
    <x v="7"/>
    <x v="0"/>
    <n v="179885559.24640933"/>
    <n v="3.0250000000000003E-2"/>
    <x v="269"/>
    <x v="0"/>
    <n v="1"/>
    <n v="1"/>
    <n v="1.763046544428773E-2"/>
    <n v="1"/>
    <x v="1341"/>
    <n v="1.6579113722431124E-6"/>
  </r>
  <r>
    <x v="3"/>
    <x v="6"/>
    <x v="7"/>
    <x v="1"/>
    <n v="179885559.24640933"/>
    <n v="3.0250000000000003E-2"/>
    <x v="269"/>
    <x v="1"/>
    <n v="3"/>
    <n v="3"/>
    <n v="5.2891396332863189E-2"/>
    <n v="1"/>
    <x v="1342"/>
    <n v="4.9737341167293369E-6"/>
  </r>
  <r>
    <x v="3"/>
    <x v="6"/>
    <x v="7"/>
    <x v="2"/>
    <n v="179885559.24640933"/>
    <n v="3.0250000000000003E-2"/>
    <x v="269"/>
    <x v="2"/>
    <n v="5"/>
    <n v="5"/>
    <n v="8.8152327221438648E-2"/>
    <n v="1"/>
    <x v="1343"/>
    <n v="8.2895568612155609E-6"/>
  </r>
  <r>
    <x v="3"/>
    <x v="6"/>
    <x v="7"/>
    <x v="3"/>
    <n v="179885559.24640933"/>
    <n v="3.0250000000000003E-2"/>
    <x v="269"/>
    <x v="3"/>
    <n v="7"/>
    <n v="7"/>
    <n v="0.12341325811001411"/>
    <n v="1"/>
    <x v="1344"/>
    <n v="1.1605379605701788E-5"/>
  </r>
  <r>
    <x v="3"/>
    <x v="6"/>
    <x v="7"/>
    <x v="4"/>
    <n v="179885559.24640933"/>
    <n v="3.0250000000000003E-2"/>
    <x v="269"/>
    <x v="7"/>
    <n v="42.45"/>
    <n v="40.72"/>
    <n v="0.71791255289139633"/>
    <n v="1"/>
    <x v="1345"/>
    <n v="6.7510151077739534E-5"/>
  </r>
  <r>
    <x v="3"/>
    <x v="6"/>
    <x v="8"/>
    <x v="0"/>
    <n v="179885559.24640933"/>
    <n v="5.7500000000000009E-2"/>
    <x v="270"/>
    <x v="0"/>
    <n v="1"/>
    <n v="1"/>
    <n v="1.763046544428773E-2"/>
    <n v="1"/>
    <x v="1346"/>
    <n v="3.1514017819497179E-6"/>
  </r>
  <r>
    <x v="3"/>
    <x v="6"/>
    <x v="8"/>
    <x v="1"/>
    <n v="179885559.24640933"/>
    <n v="5.7500000000000009E-2"/>
    <x v="270"/>
    <x v="1"/>
    <n v="3"/>
    <n v="3"/>
    <n v="5.2891396332863189E-2"/>
    <n v="1"/>
    <x v="1347"/>
    <n v="9.4542053458491533E-6"/>
  </r>
  <r>
    <x v="3"/>
    <x v="6"/>
    <x v="8"/>
    <x v="2"/>
    <n v="179885559.24640933"/>
    <n v="5.7500000000000009E-2"/>
    <x v="270"/>
    <x v="2"/>
    <n v="5"/>
    <n v="5"/>
    <n v="8.8152327221438648E-2"/>
    <n v="1"/>
    <x v="1348"/>
    <n v="1.5757008909748588E-5"/>
  </r>
  <r>
    <x v="3"/>
    <x v="6"/>
    <x v="8"/>
    <x v="3"/>
    <n v="179885559.24640933"/>
    <n v="5.7500000000000009E-2"/>
    <x v="270"/>
    <x v="3"/>
    <n v="7"/>
    <n v="7"/>
    <n v="0.12341325811001411"/>
    <n v="1"/>
    <x v="1349"/>
    <n v="2.2059812473648028E-5"/>
  </r>
  <r>
    <x v="3"/>
    <x v="6"/>
    <x v="8"/>
    <x v="4"/>
    <n v="179885559.24640933"/>
    <n v="5.7500000000000009E-2"/>
    <x v="270"/>
    <x v="7"/>
    <n v="42.45"/>
    <n v="40.72"/>
    <n v="0.71791255289139633"/>
    <n v="1"/>
    <x v="1350"/>
    <n v="1.2832508056099252E-4"/>
  </r>
  <r>
    <x v="3"/>
    <x v="7"/>
    <x v="0"/>
    <x v="0"/>
    <n v="3334832249.6264081"/>
    <n v="0.50875000000000004"/>
    <x v="271"/>
    <x v="0"/>
    <n v="1"/>
    <n v="1"/>
    <n v="1.763046544428773E-2"/>
    <n v="1"/>
    <x v="1351"/>
    <n v="5.1691370378782384E-4"/>
  </r>
  <r>
    <x v="3"/>
    <x v="7"/>
    <x v="0"/>
    <x v="1"/>
    <n v="3334832249.6264081"/>
    <n v="0.50875000000000004"/>
    <x v="271"/>
    <x v="1"/>
    <n v="3"/>
    <n v="3"/>
    <n v="5.2891396332863189E-2"/>
    <n v="1"/>
    <x v="1352"/>
    <n v="1.5507411113634716E-3"/>
  </r>
  <r>
    <x v="3"/>
    <x v="7"/>
    <x v="0"/>
    <x v="2"/>
    <n v="3334832249.6264081"/>
    <n v="0.50875000000000004"/>
    <x v="271"/>
    <x v="2"/>
    <n v="5"/>
    <n v="5"/>
    <n v="8.8152327221438648E-2"/>
    <n v="1"/>
    <x v="1353"/>
    <n v="2.5845685189391193E-3"/>
  </r>
  <r>
    <x v="3"/>
    <x v="7"/>
    <x v="0"/>
    <x v="3"/>
    <n v="3334832249.6264081"/>
    <n v="0.50875000000000004"/>
    <x v="271"/>
    <x v="3"/>
    <n v="7"/>
    <n v="7"/>
    <n v="0.12341325811001411"/>
    <n v="1"/>
    <x v="1354"/>
    <n v="3.6183959265147672E-3"/>
  </r>
  <r>
    <x v="3"/>
    <x v="7"/>
    <x v="0"/>
    <x v="4"/>
    <n v="3334832249.6264081"/>
    <n v="0.50875000000000004"/>
    <x v="271"/>
    <x v="7"/>
    <n v="42.45"/>
    <n v="40.72"/>
    <n v="0.71791255289139633"/>
    <n v="1"/>
    <x v="1355"/>
    <n v="2.1048726018240187E-2"/>
  </r>
  <r>
    <x v="3"/>
    <x v="7"/>
    <x v="1"/>
    <x v="0"/>
    <n v="3334832249.6264081"/>
    <n v="3.7499999999999999E-3"/>
    <x v="272"/>
    <x v="0"/>
    <n v="1"/>
    <n v="1"/>
    <n v="1.763046544428773E-2"/>
    <n v="1"/>
    <x v="1356"/>
    <n v="3.8101747207947699E-6"/>
  </r>
  <r>
    <x v="3"/>
    <x v="7"/>
    <x v="1"/>
    <x v="1"/>
    <n v="3334832249.6264081"/>
    <n v="3.7499999999999999E-3"/>
    <x v="272"/>
    <x v="1"/>
    <n v="3"/>
    <n v="3"/>
    <n v="5.2891396332863189E-2"/>
    <n v="1"/>
    <x v="1357"/>
    <n v="1.1430524162384309E-5"/>
  </r>
  <r>
    <x v="3"/>
    <x v="7"/>
    <x v="1"/>
    <x v="2"/>
    <n v="3334832249.6264081"/>
    <n v="3.7499999999999999E-3"/>
    <x v="272"/>
    <x v="2"/>
    <n v="5"/>
    <n v="5"/>
    <n v="8.8152327221438648E-2"/>
    <n v="1"/>
    <x v="1358"/>
    <n v="1.9050873603973848E-5"/>
  </r>
  <r>
    <x v="3"/>
    <x v="7"/>
    <x v="1"/>
    <x v="3"/>
    <n v="3334832249.6264081"/>
    <n v="3.7499999999999999E-3"/>
    <x v="272"/>
    <x v="3"/>
    <n v="7"/>
    <n v="7"/>
    <n v="0.12341325811001411"/>
    <n v="1"/>
    <x v="1359"/>
    <n v="2.6671223045563389E-5"/>
  </r>
  <r>
    <x v="3"/>
    <x v="7"/>
    <x v="1"/>
    <x v="4"/>
    <n v="3334832249.6264081"/>
    <n v="3.7499999999999999E-3"/>
    <x v="272"/>
    <x v="7"/>
    <n v="42.45"/>
    <n v="40.72"/>
    <n v="0.71791255289139633"/>
    <n v="1"/>
    <x v="1360"/>
    <n v="1.5515031463076302E-4"/>
  </r>
  <r>
    <x v="3"/>
    <x v="7"/>
    <x v="2"/>
    <x v="0"/>
    <n v="3334832249.6264081"/>
    <n v="0.11475000000000002"/>
    <x v="273"/>
    <x v="0"/>
    <n v="1"/>
    <n v="1"/>
    <n v="1.763046544428773E-2"/>
    <n v="1"/>
    <x v="1361"/>
    <n v="1.1659134645631998E-4"/>
  </r>
  <r>
    <x v="3"/>
    <x v="7"/>
    <x v="2"/>
    <x v="1"/>
    <n v="3334832249.6264081"/>
    <n v="0.11475000000000002"/>
    <x v="273"/>
    <x v="1"/>
    <n v="3"/>
    <n v="3"/>
    <n v="5.2891396332863189E-2"/>
    <n v="1"/>
    <x v="1362"/>
    <n v="3.4977403936895993E-4"/>
  </r>
  <r>
    <x v="3"/>
    <x v="7"/>
    <x v="2"/>
    <x v="2"/>
    <n v="3334832249.6264081"/>
    <n v="0.11475000000000002"/>
    <x v="273"/>
    <x v="2"/>
    <n v="5"/>
    <n v="5"/>
    <n v="8.8152327221438648E-2"/>
    <n v="1"/>
    <x v="1363"/>
    <n v="5.8295673228159987E-4"/>
  </r>
  <r>
    <x v="3"/>
    <x v="7"/>
    <x v="2"/>
    <x v="3"/>
    <n v="3334832249.6264081"/>
    <n v="0.11475000000000002"/>
    <x v="273"/>
    <x v="3"/>
    <n v="7"/>
    <n v="7"/>
    <n v="0.12341325811001411"/>
    <n v="1"/>
    <x v="1364"/>
    <n v="8.1613942519423975E-4"/>
  </r>
  <r>
    <x v="3"/>
    <x v="7"/>
    <x v="2"/>
    <x v="4"/>
    <n v="3334832249.6264081"/>
    <n v="0.11475000000000002"/>
    <x v="273"/>
    <x v="7"/>
    <n v="42.45"/>
    <n v="40.72"/>
    <n v="0.71791255289139633"/>
    <n v="1"/>
    <x v="1365"/>
    <n v="4.74759962770135E-3"/>
  </r>
  <r>
    <x v="3"/>
    <x v="7"/>
    <x v="3"/>
    <x v="0"/>
    <n v="3334832249.6264081"/>
    <n v="3.8249999999999999E-2"/>
    <x v="274"/>
    <x v="0"/>
    <n v="1"/>
    <n v="1"/>
    <n v="1.763046544428773E-2"/>
    <n v="1"/>
    <x v="1366"/>
    <n v="3.8863782152106656E-5"/>
  </r>
  <r>
    <x v="3"/>
    <x v="7"/>
    <x v="3"/>
    <x v="1"/>
    <n v="3334832249.6264081"/>
    <n v="3.8249999999999999E-2"/>
    <x v="274"/>
    <x v="1"/>
    <n v="3"/>
    <n v="3"/>
    <n v="5.2891396332863189E-2"/>
    <n v="1"/>
    <x v="1367"/>
    <n v="1.1659134645631995E-4"/>
  </r>
  <r>
    <x v="3"/>
    <x v="7"/>
    <x v="3"/>
    <x v="2"/>
    <n v="3334832249.6264081"/>
    <n v="3.8249999999999999E-2"/>
    <x v="274"/>
    <x v="2"/>
    <n v="5"/>
    <n v="5"/>
    <n v="8.8152327221438648E-2"/>
    <n v="1"/>
    <x v="1368"/>
    <n v="1.9431891076053328E-4"/>
  </r>
  <r>
    <x v="3"/>
    <x v="7"/>
    <x v="3"/>
    <x v="3"/>
    <n v="3334832249.6264081"/>
    <n v="3.8249999999999999E-2"/>
    <x v="274"/>
    <x v="3"/>
    <n v="7"/>
    <n v="7"/>
    <n v="0.12341325811001411"/>
    <n v="1"/>
    <x v="1369"/>
    <n v="2.7204647506474662E-4"/>
  </r>
  <r>
    <x v="3"/>
    <x v="7"/>
    <x v="3"/>
    <x v="4"/>
    <n v="3334832249.6264081"/>
    <n v="3.8249999999999999E-2"/>
    <x v="274"/>
    <x v="7"/>
    <n v="42.45"/>
    <n v="40.72"/>
    <n v="0.71791255289139633"/>
    <n v="1"/>
    <x v="1370"/>
    <n v="1.582533209233783E-3"/>
  </r>
  <r>
    <x v="3"/>
    <x v="7"/>
    <x v="4"/>
    <x v="0"/>
    <n v="3334832249.6264081"/>
    <n v="7.3249999999999996E-2"/>
    <x v="275"/>
    <x v="0"/>
    <n v="1"/>
    <n v="1"/>
    <n v="1.763046544428773E-2"/>
    <n v="1"/>
    <x v="1371"/>
    <n v="7.4425412879524494E-5"/>
  </r>
  <r>
    <x v="3"/>
    <x v="7"/>
    <x v="4"/>
    <x v="1"/>
    <n v="3334832249.6264081"/>
    <n v="7.3249999999999996E-2"/>
    <x v="275"/>
    <x v="1"/>
    <n v="3"/>
    <n v="3"/>
    <n v="5.2891396332863189E-2"/>
    <n v="1"/>
    <x v="1372"/>
    <n v="2.2327623863857351E-4"/>
  </r>
  <r>
    <x v="3"/>
    <x v="7"/>
    <x v="4"/>
    <x v="2"/>
    <n v="3334832249.6264081"/>
    <n v="7.3249999999999996E-2"/>
    <x v="275"/>
    <x v="2"/>
    <n v="5"/>
    <n v="5"/>
    <n v="8.8152327221438648E-2"/>
    <n v="1"/>
    <x v="1373"/>
    <n v="3.7212706439762253E-4"/>
  </r>
  <r>
    <x v="3"/>
    <x v="7"/>
    <x v="4"/>
    <x v="3"/>
    <n v="3334832249.6264081"/>
    <n v="7.3249999999999996E-2"/>
    <x v="275"/>
    <x v="3"/>
    <n v="7"/>
    <n v="7"/>
    <n v="0.12341325811001411"/>
    <n v="1"/>
    <x v="1374"/>
    <n v="5.2097789015667151E-4"/>
  </r>
  <r>
    <x v="3"/>
    <x v="7"/>
    <x v="4"/>
    <x v="4"/>
    <n v="3334832249.6264081"/>
    <n v="7.3249999999999996E-2"/>
    <x v="275"/>
    <x v="7"/>
    <n v="42.45"/>
    <n v="40.72"/>
    <n v="0.71791255289139633"/>
    <n v="1"/>
    <x v="1375"/>
    <n v="3.0306028124542379E-3"/>
  </r>
  <r>
    <x v="3"/>
    <x v="7"/>
    <x v="5"/>
    <x v="0"/>
    <n v="3334832249.6264081"/>
    <n v="0.10125000000000001"/>
    <x v="276"/>
    <x v="0"/>
    <n v="1"/>
    <n v="1"/>
    <n v="1.763046544428773E-2"/>
    <n v="1"/>
    <x v="1376"/>
    <n v="1.0287471746145879E-4"/>
  </r>
  <r>
    <x v="3"/>
    <x v="7"/>
    <x v="5"/>
    <x v="1"/>
    <n v="3334832249.6264081"/>
    <n v="0.10125000000000001"/>
    <x v="276"/>
    <x v="1"/>
    <n v="3"/>
    <n v="3"/>
    <n v="5.2891396332863189E-2"/>
    <n v="1"/>
    <x v="1377"/>
    <n v="3.086241523843764E-4"/>
  </r>
  <r>
    <x v="3"/>
    <x v="7"/>
    <x v="5"/>
    <x v="2"/>
    <n v="3334832249.6264081"/>
    <n v="0.10125000000000001"/>
    <x v="276"/>
    <x v="2"/>
    <n v="5"/>
    <n v="5"/>
    <n v="8.8152327221438648E-2"/>
    <n v="1"/>
    <x v="1378"/>
    <n v="5.1437358730729399E-4"/>
  </r>
  <r>
    <x v="3"/>
    <x v="7"/>
    <x v="5"/>
    <x v="3"/>
    <n v="3334832249.6264081"/>
    <n v="0.10125000000000001"/>
    <x v="276"/>
    <x v="3"/>
    <n v="7"/>
    <n v="7"/>
    <n v="0.12341325811001411"/>
    <n v="1"/>
    <x v="1379"/>
    <n v="7.2012302223021152E-4"/>
  </r>
  <r>
    <x v="3"/>
    <x v="7"/>
    <x v="5"/>
    <x v="4"/>
    <n v="3334832249.6264081"/>
    <n v="0.10125000000000001"/>
    <x v="276"/>
    <x v="7"/>
    <n v="42.45"/>
    <n v="40.72"/>
    <n v="0.71791255289139633"/>
    <n v="1"/>
    <x v="1380"/>
    <n v="4.1890584950306023E-3"/>
  </r>
  <r>
    <x v="3"/>
    <x v="7"/>
    <x v="6"/>
    <x v="0"/>
    <n v="3334832249.6264081"/>
    <n v="5.9249999999999997E-2"/>
    <x v="277"/>
    <x v="0"/>
    <n v="1"/>
    <n v="1"/>
    <n v="1.763046544428773E-2"/>
    <n v="1"/>
    <x v="1381"/>
    <n v="6.0200760588557366E-5"/>
  </r>
  <r>
    <x v="3"/>
    <x v="7"/>
    <x v="6"/>
    <x v="1"/>
    <n v="3334832249.6264081"/>
    <n v="5.9249999999999997E-2"/>
    <x v="277"/>
    <x v="1"/>
    <n v="3"/>
    <n v="3"/>
    <n v="5.2891396332863189E-2"/>
    <n v="1"/>
    <x v="1382"/>
    <n v="1.806022817656721E-4"/>
  </r>
  <r>
    <x v="3"/>
    <x v="7"/>
    <x v="6"/>
    <x v="2"/>
    <n v="3334832249.6264081"/>
    <n v="5.9249999999999997E-2"/>
    <x v="277"/>
    <x v="2"/>
    <n v="5"/>
    <n v="5"/>
    <n v="8.8152327221438648E-2"/>
    <n v="1"/>
    <x v="1383"/>
    <n v="3.0100380294278679E-4"/>
  </r>
  <r>
    <x v="3"/>
    <x v="7"/>
    <x v="6"/>
    <x v="3"/>
    <n v="3334832249.6264081"/>
    <n v="5.9249999999999997E-2"/>
    <x v="277"/>
    <x v="3"/>
    <n v="7"/>
    <n v="7"/>
    <n v="0.12341325811001411"/>
    <n v="1"/>
    <x v="1384"/>
    <n v="4.2140532411990162E-4"/>
  </r>
  <r>
    <x v="3"/>
    <x v="7"/>
    <x v="6"/>
    <x v="4"/>
    <n v="3334832249.6264081"/>
    <n v="5.9249999999999997E-2"/>
    <x v="277"/>
    <x v="7"/>
    <n v="42.45"/>
    <n v="40.72"/>
    <n v="0.71791255289139633"/>
    <n v="1"/>
    <x v="1385"/>
    <n v="2.4513749711660561E-3"/>
  </r>
  <r>
    <x v="3"/>
    <x v="7"/>
    <x v="7"/>
    <x v="0"/>
    <n v="3334832249.6264081"/>
    <n v="4.9500000000000002E-2"/>
    <x v="278"/>
    <x v="0"/>
    <n v="1"/>
    <n v="1"/>
    <n v="1.763046544428773E-2"/>
    <n v="1"/>
    <x v="1386"/>
    <n v="5.0294306314490974E-5"/>
  </r>
  <r>
    <x v="3"/>
    <x v="7"/>
    <x v="7"/>
    <x v="1"/>
    <n v="3334832249.6264081"/>
    <n v="4.9500000000000002E-2"/>
    <x v="278"/>
    <x v="1"/>
    <n v="3"/>
    <n v="3"/>
    <n v="5.2891396332863189E-2"/>
    <n v="1"/>
    <x v="1387"/>
    <n v="1.5088291894347291E-4"/>
  </r>
  <r>
    <x v="3"/>
    <x v="7"/>
    <x v="7"/>
    <x v="2"/>
    <n v="3334832249.6264081"/>
    <n v="4.9500000000000002E-2"/>
    <x v="278"/>
    <x v="2"/>
    <n v="5"/>
    <n v="5"/>
    <n v="8.8152327221438648E-2"/>
    <n v="1"/>
    <x v="1388"/>
    <n v="2.5147153157245486E-4"/>
  </r>
  <r>
    <x v="3"/>
    <x v="7"/>
    <x v="7"/>
    <x v="3"/>
    <n v="3334832249.6264081"/>
    <n v="4.9500000000000002E-2"/>
    <x v="278"/>
    <x v="3"/>
    <n v="7"/>
    <n v="7"/>
    <n v="0.12341325811001411"/>
    <n v="1"/>
    <x v="1389"/>
    <n v="3.5206014420143678E-4"/>
  </r>
  <r>
    <x v="3"/>
    <x v="7"/>
    <x v="7"/>
    <x v="4"/>
    <n v="3334832249.6264081"/>
    <n v="4.9500000000000002E-2"/>
    <x v="278"/>
    <x v="7"/>
    <n v="42.45"/>
    <n v="40.72"/>
    <n v="0.71791255289139633"/>
    <n v="1"/>
    <x v="1390"/>
    <n v="2.0479841531260722E-3"/>
  </r>
  <r>
    <x v="3"/>
    <x v="7"/>
    <x v="8"/>
    <x v="0"/>
    <n v="3334832249.6264081"/>
    <n v="5.2499999999999991E-2"/>
    <x v="279"/>
    <x v="0"/>
    <n v="1"/>
    <n v="1"/>
    <n v="1.763046544428773E-2"/>
    <n v="1"/>
    <x v="1391"/>
    <n v="5.3342446091126778E-5"/>
  </r>
  <r>
    <x v="3"/>
    <x v="7"/>
    <x v="8"/>
    <x v="1"/>
    <n v="3334832249.6264081"/>
    <n v="5.2499999999999991E-2"/>
    <x v="279"/>
    <x v="1"/>
    <n v="3"/>
    <n v="3"/>
    <n v="5.2891396332863189E-2"/>
    <n v="1"/>
    <x v="1392"/>
    <n v="1.6002733827338034E-4"/>
  </r>
  <r>
    <x v="3"/>
    <x v="7"/>
    <x v="8"/>
    <x v="2"/>
    <n v="3334832249.6264081"/>
    <n v="5.2499999999999991E-2"/>
    <x v="279"/>
    <x v="2"/>
    <n v="5"/>
    <n v="5"/>
    <n v="8.8152327221438648E-2"/>
    <n v="1"/>
    <x v="1393"/>
    <n v="2.6671223045563386E-4"/>
  </r>
  <r>
    <x v="3"/>
    <x v="7"/>
    <x v="8"/>
    <x v="3"/>
    <n v="3334832249.6264081"/>
    <n v="5.2499999999999991E-2"/>
    <x v="279"/>
    <x v="3"/>
    <n v="7"/>
    <n v="7"/>
    <n v="0.12341325811001411"/>
    <n v="1"/>
    <x v="1394"/>
    <n v="3.733971226378874E-4"/>
  </r>
  <r>
    <x v="3"/>
    <x v="7"/>
    <x v="8"/>
    <x v="4"/>
    <n v="3334832249.6264081"/>
    <n v="5.2499999999999991E-2"/>
    <x v="279"/>
    <x v="7"/>
    <n v="42.45"/>
    <n v="40.72"/>
    <n v="0.71791255289139633"/>
    <n v="1"/>
    <x v="1395"/>
    <n v="2.1721044048306822E-3"/>
  </r>
  <r>
    <x v="4"/>
    <x v="0"/>
    <x v="0"/>
    <x v="0"/>
    <n v="47547076180.316536"/>
    <n v="0.28750000000000003"/>
    <x v="280"/>
    <x v="0"/>
    <n v="1"/>
    <n v="1"/>
    <n v="1.7176228100309172E-2"/>
    <n v="1"/>
    <x v="1396"/>
    <n v="3.7258047677442702E-3"/>
  </r>
  <r>
    <x v="4"/>
    <x v="0"/>
    <x v="0"/>
    <x v="1"/>
    <n v="47547076180.316536"/>
    <n v="0.28750000000000003"/>
    <x v="280"/>
    <x v="1"/>
    <n v="3"/>
    <n v="3"/>
    <n v="5.1528684300927517E-2"/>
    <n v="1"/>
    <x v="1397"/>
    <n v="1.117741430323281E-2"/>
  </r>
  <r>
    <x v="4"/>
    <x v="0"/>
    <x v="0"/>
    <x v="2"/>
    <n v="47547076180.316536"/>
    <n v="0.28750000000000003"/>
    <x v="280"/>
    <x v="2"/>
    <n v="5"/>
    <n v="5"/>
    <n v="8.5881140501545869E-2"/>
    <n v="1"/>
    <x v="1398"/>
    <n v="1.8629023838721354E-2"/>
  </r>
  <r>
    <x v="4"/>
    <x v="0"/>
    <x v="0"/>
    <x v="3"/>
    <n v="47547076180.316536"/>
    <n v="0.28750000000000003"/>
    <x v="280"/>
    <x v="3"/>
    <n v="7"/>
    <n v="7"/>
    <n v="0.12023359670216421"/>
    <n v="1"/>
    <x v="1399"/>
    <n v="2.6080633374209891E-2"/>
  </r>
  <r>
    <x v="4"/>
    <x v="0"/>
    <x v="0"/>
    <x v="4"/>
    <n v="47547076180.316536"/>
    <n v="0.28750000000000003"/>
    <x v="280"/>
    <x v="8"/>
    <n v="43.24"/>
    <n v="42.22"/>
    <n v="0.72518035039505324"/>
    <n v="1"/>
    <x v="1400"/>
    <n v="0.15730347729416311"/>
  </r>
  <r>
    <x v="4"/>
    <x v="0"/>
    <x v="1"/>
    <x v="0"/>
    <n v="47547076180.316536"/>
    <n v="2.6000000000000002E-2"/>
    <x v="281"/>
    <x v="0"/>
    <n v="1"/>
    <n v="1"/>
    <n v="1.7176228100309172E-2"/>
    <n v="1"/>
    <x v="1401"/>
    <n v="3.3694234421339489E-4"/>
  </r>
  <r>
    <x v="4"/>
    <x v="0"/>
    <x v="1"/>
    <x v="1"/>
    <n v="47547076180.316536"/>
    <n v="2.6000000000000002E-2"/>
    <x v="281"/>
    <x v="1"/>
    <n v="3"/>
    <n v="3"/>
    <n v="5.1528684300927517E-2"/>
    <n v="1"/>
    <x v="1402"/>
    <n v="1.0108270326401846E-3"/>
  </r>
  <r>
    <x v="4"/>
    <x v="0"/>
    <x v="1"/>
    <x v="2"/>
    <n v="47547076180.316536"/>
    <n v="2.6000000000000002E-2"/>
    <x v="281"/>
    <x v="2"/>
    <n v="5"/>
    <n v="5"/>
    <n v="8.5881140501545869E-2"/>
    <n v="1"/>
    <x v="1403"/>
    <n v="1.6847117210669743E-3"/>
  </r>
  <r>
    <x v="4"/>
    <x v="0"/>
    <x v="1"/>
    <x v="3"/>
    <n v="47547076180.316536"/>
    <n v="2.6000000000000002E-2"/>
    <x v="281"/>
    <x v="3"/>
    <n v="7"/>
    <n v="7"/>
    <n v="0.12023359670216421"/>
    <n v="1"/>
    <x v="1404"/>
    <n v="2.3585964094937641E-3"/>
  </r>
  <r>
    <x v="4"/>
    <x v="0"/>
    <x v="1"/>
    <x v="4"/>
    <n v="47547076180.316536"/>
    <n v="2.6000000000000002E-2"/>
    <x v="281"/>
    <x v="8"/>
    <n v="43.24"/>
    <n v="42.22"/>
    <n v="0.72518035039505324"/>
    <n v="1"/>
    <x v="1405"/>
    <n v="1.4225705772689532E-2"/>
  </r>
  <r>
    <x v="4"/>
    <x v="0"/>
    <x v="2"/>
    <x v="0"/>
    <n v="47547076180.316536"/>
    <n v="0.2235"/>
    <x v="282"/>
    <x v="0"/>
    <n v="1"/>
    <n v="1"/>
    <n v="1.7176228100309172E-2"/>
    <n v="1"/>
    <x v="1406"/>
    <n v="2.8964082281420674E-3"/>
  </r>
  <r>
    <x v="4"/>
    <x v="0"/>
    <x v="2"/>
    <x v="1"/>
    <n v="47547076180.316536"/>
    <n v="0.2235"/>
    <x v="282"/>
    <x v="1"/>
    <n v="3"/>
    <n v="3"/>
    <n v="5.1528684300927517E-2"/>
    <n v="1"/>
    <x v="1407"/>
    <n v="8.6892246844262038E-3"/>
  </r>
  <r>
    <x v="4"/>
    <x v="0"/>
    <x v="2"/>
    <x v="2"/>
    <n v="47547076180.316536"/>
    <n v="0.2235"/>
    <x v="282"/>
    <x v="2"/>
    <n v="5"/>
    <n v="5"/>
    <n v="8.5881140501545869E-2"/>
    <n v="1"/>
    <x v="1408"/>
    <n v="1.4482041140710339E-2"/>
  </r>
  <r>
    <x v="4"/>
    <x v="0"/>
    <x v="2"/>
    <x v="3"/>
    <n v="47547076180.316536"/>
    <n v="0.2235"/>
    <x v="282"/>
    <x v="3"/>
    <n v="7"/>
    <n v="7"/>
    <n v="0.12023359670216421"/>
    <n v="1"/>
    <x v="1409"/>
    <n v="2.0274857596994472E-2"/>
  </r>
  <r>
    <x v="4"/>
    <x v="0"/>
    <x v="2"/>
    <x v="4"/>
    <n v="47547076180.316536"/>
    <n v="0.2235"/>
    <x v="282"/>
    <x v="8"/>
    <n v="43.24"/>
    <n v="42.22"/>
    <n v="0.72518035039505324"/>
    <n v="1"/>
    <x v="1410"/>
    <n v="0.12228635539215808"/>
  </r>
  <r>
    <x v="4"/>
    <x v="0"/>
    <x v="3"/>
    <x v="0"/>
    <n v="47547076180.316536"/>
    <n v="1.7000000000000001E-2"/>
    <x v="283"/>
    <x v="0"/>
    <n v="1"/>
    <n v="1"/>
    <n v="1.7176228100309172E-2"/>
    <n v="1"/>
    <x v="1411"/>
    <n v="2.2030845583183512E-4"/>
  </r>
  <r>
    <x v="4"/>
    <x v="0"/>
    <x v="3"/>
    <x v="1"/>
    <n v="47547076180.316536"/>
    <n v="1.7000000000000001E-2"/>
    <x v="283"/>
    <x v="1"/>
    <n v="3"/>
    <n v="3"/>
    <n v="5.1528684300927517E-2"/>
    <n v="1"/>
    <x v="1412"/>
    <n v="6.609253674955053E-4"/>
  </r>
  <r>
    <x v="4"/>
    <x v="0"/>
    <x v="3"/>
    <x v="2"/>
    <n v="47547076180.316536"/>
    <n v="1.7000000000000001E-2"/>
    <x v="283"/>
    <x v="2"/>
    <n v="5"/>
    <n v="5"/>
    <n v="8.5881140501545869E-2"/>
    <n v="1"/>
    <x v="1413"/>
    <n v="1.1015422791591757E-3"/>
  </r>
  <r>
    <x v="4"/>
    <x v="0"/>
    <x v="3"/>
    <x v="3"/>
    <n v="47547076180.316536"/>
    <n v="1.7000000000000001E-2"/>
    <x v="283"/>
    <x v="3"/>
    <n v="7"/>
    <n v="7"/>
    <n v="0.12023359670216421"/>
    <n v="1"/>
    <x v="1414"/>
    <n v="1.5421591908228458E-3"/>
  </r>
  <r>
    <x v="4"/>
    <x v="0"/>
    <x v="3"/>
    <x v="4"/>
    <n v="47547076180.316536"/>
    <n v="1.7000000000000001E-2"/>
    <x v="283"/>
    <x v="8"/>
    <n v="43.24"/>
    <n v="42.22"/>
    <n v="0.72518035039505324"/>
    <n v="1"/>
    <x v="1415"/>
    <n v="9.3014230052200775E-3"/>
  </r>
  <r>
    <x v="4"/>
    <x v="0"/>
    <x v="4"/>
    <x v="0"/>
    <n v="47547076180.316536"/>
    <n v="9.425E-2"/>
    <x v="284"/>
    <x v="0"/>
    <n v="1"/>
    <n v="1"/>
    <n v="1.7176228100309172E-2"/>
    <n v="1"/>
    <x v="1416"/>
    <n v="1.2214159977735565E-3"/>
  </r>
  <r>
    <x v="4"/>
    <x v="0"/>
    <x v="4"/>
    <x v="1"/>
    <n v="47547076180.316536"/>
    <n v="9.425E-2"/>
    <x v="284"/>
    <x v="1"/>
    <n v="3"/>
    <n v="3"/>
    <n v="5.1528684300927517E-2"/>
    <n v="1"/>
    <x v="1417"/>
    <n v="3.6642479933206695E-3"/>
  </r>
  <r>
    <x v="4"/>
    <x v="0"/>
    <x v="4"/>
    <x v="2"/>
    <n v="47547076180.316536"/>
    <n v="9.425E-2"/>
    <x v="284"/>
    <x v="2"/>
    <n v="5"/>
    <n v="5"/>
    <n v="8.5881140501545869E-2"/>
    <n v="1"/>
    <x v="1418"/>
    <n v="6.1070799888677824E-3"/>
  </r>
  <r>
    <x v="4"/>
    <x v="0"/>
    <x v="4"/>
    <x v="3"/>
    <n v="47547076180.316536"/>
    <n v="9.425E-2"/>
    <x v="284"/>
    <x v="3"/>
    <n v="7"/>
    <n v="7"/>
    <n v="0.12023359670216421"/>
    <n v="1"/>
    <x v="1419"/>
    <n v="8.5499119844148954E-3"/>
  </r>
  <r>
    <x v="4"/>
    <x v="0"/>
    <x v="4"/>
    <x v="4"/>
    <n v="47547076180.316536"/>
    <n v="9.425E-2"/>
    <x v="284"/>
    <x v="8"/>
    <n v="43.24"/>
    <n v="42.22"/>
    <n v="0.72518035039505324"/>
    <n v="1"/>
    <x v="1420"/>
    <n v="5.1568183425999552E-2"/>
  </r>
  <r>
    <x v="4"/>
    <x v="0"/>
    <x v="5"/>
    <x v="0"/>
    <n v="47547076180.316536"/>
    <n v="7.5000000000000011E-2"/>
    <x v="285"/>
    <x v="0"/>
    <n v="1"/>
    <n v="1"/>
    <n v="1.7176228100309172E-2"/>
    <n v="1"/>
    <x v="1421"/>
    <n v="9.7194906984633146E-4"/>
  </r>
  <r>
    <x v="4"/>
    <x v="0"/>
    <x v="5"/>
    <x v="1"/>
    <n v="47547076180.316536"/>
    <n v="7.5000000000000011E-2"/>
    <x v="285"/>
    <x v="1"/>
    <n v="3"/>
    <n v="3"/>
    <n v="5.1528684300927517E-2"/>
    <n v="1"/>
    <x v="1422"/>
    <n v="2.9158472095389943E-3"/>
  </r>
  <r>
    <x v="4"/>
    <x v="0"/>
    <x v="5"/>
    <x v="2"/>
    <n v="47547076180.316536"/>
    <n v="7.5000000000000011E-2"/>
    <x v="285"/>
    <x v="2"/>
    <n v="5"/>
    <n v="5"/>
    <n v="8.5881140501545869E-2"/>
    <n v="1"/>
    <x v="1423"/>
    <n v="4.8597453492316579E-3"/>
  </r>
  <r>
    <x v="4"/>
    <x v="0"/>
    <x v="5"/>
    <x v="3"/>
    <n v="47547076180.316536"/>
    <n v="7.5000000000000011E-2"/>
    <x v="285"/>
    <x v="3"/>
    <n v="7"/>
    <n v="7"/>
    <n v="0.12023359670216421"/>
    <n v="1"/>
    <x v="1424"/>
    <n v="6.803643488924321E-3"/>
  </r>
  <r>
    <x v="4"/>
    <x v="0"/>
    <x v="5"/>
    <x v="4"/>
    <n v="47547076180.316536"/>
    <n v="7.5000000000000011E-2"/>
    <x v="285"/>
    <x v="8"/>
    <n v="43.24"/>
    <n v="42.22"/>
    <n v="0.72518035039505324"/>
    <n v="1"/>
    <x v="1425"/>
    <n v="4.1035689728912118E-2"/>
  </r>
  <r>
    <x v="4"/>
    <x v="0"/>
    <x v="6"/>
    <x v="0"/>
    <n v="47547076180.316536"/>
    <n v="5.9249999999999997E-2"/>
    <x v="286"/>
    <x v="0"/>
    <n v="1"/>
    <n v="1"/>
    <n v="1.7176228100309172E-2"/>
    <n v="1"/>
    <x v="1426"/>
    <n v="7.6783976517860167E-4"/>
  </r>
  <r>
    <x v="4"/>
    <x v="0"/>
    <x v="6"/>
    <x v="1"/>
    <n v="47547076180.316536"/>
    <n v="5.9249999999999997E-2"/>
    <x v="286"/>
    <x v="1"/>
    <n v="3"/>
    <n v="3"/>
    <n v="5.1528684300927517E-2"/>
    <n v="1"/>
    <x v="1427"/>
    <n v="2.303519295535805E-3"/>
  </r>
  <r>
    <x v="4"/>
    <x v="0"/>
    <x v="6"/>
    <x v="2"/>
    <n v="47547076180.316536"/>
    <n v="5.9249999999999997E-2"/>
    <x v="286"/>
    <x v="2"/>
    <n v="5"/>
    <n v="5"/>
    <n v="8.5881140501545869E-2"/>
    <n v="1"/>
    <x v="1428"/>
    <n v="3.8391988258930088E-3"/>
  </r>
  <r>
    <x v="4"/>
    <x v="0"/>
    <x v="6"/>
    <x v="3"/>
    <n v="47547076180.316536"/>
    <n v="5.9249999999999997E-2"/>
    <x v="286"/>
    <x v="3"/>
    <n v="7"/>
    <n v="7"/>
    <n v="0.12023359670216421"/>
    <n v="1"/>
    <x v="1429"/>
    <n v="5.3748783562502112E-3"/>
  </r>
  <r>
    <x v="4"/>
    <x v="0"/>
    <x v="6"/>
    <x v="4"/>
    <n v="47547076180.316536"/>
    <n v="5.9249999999999997E-2"/>
    <x v="286"/>
    <x v="8"/>
    <n v="43.24"/>
    <n v="42.22"/>
    <n v="0.72518035039505324"/>
    <n v="1"/>
    <x v="1430"/>
    <n v="3.2418194885840558E-2"/>
  </r>
  <r>
    <x v="4"/>
    <x v="0"/>
    <x v="7"/>
    <x v="0"/>
    <n v="47547076180.316536"/>
    <n v="0.183"/>
    <x v="287"/>
    <x v="0"/>
    <n v="1"/>
    <n v="1"/>
    <n v="1.7176228100309172E-2"/>
    <n v="1"/>
    <x v="1431"/>
    <n v="2.3715557304250486E-3"/>
  </r>
  <r>
    <x v="4"/>
    <x v="0"/>
    <x v="7"/>
    <x v="1"/>
    <n v="47547076180.316536"/>
    <n v="0.183"/>
    <x v="287"/>
    <x v="1"/>
    <n v="3"/>
    <n v="3"/>
    <n v="5.1528684300927517E-2"/>
    <n v="1"/>
    <x v="1432"/>
    <n v="7.1146671912751458E-3"/>
  </r>
  <r>
    <x v="4"/>
    <x v="0"/>
    <x v="7"/>
    <x v="2"/>
    <n v="47547076180.316536"/>
    <n v="0.183"/>
    <x v="287"/>
    <x v="2"/>
    <n v="5"/>
    <n v="5"/>
    <n v="8.5881140501545869E-2"/>
    <n v="1"/>
    <x v="1433"/>
    <n v="1.1857778652125244E-2"/>
  </r>
  <r>
    <x v="4"/>
    <x v="0"/>
    <x v="7"/>
    <x v="3"/>
    <n v="47547076180.316536"/>
    <n v="0.183"/>
    <x v="287"/>
    <x v="3"/>
    <n v="7"/>
    <n v="7"/>
    <n v="0.12023359670216421"/>
    <n v="1"/>
    <x v="1434"/>
    <n v="1.6600890112975341E-2"/>
  </r>
  <r>
    <x v="4"/>
    <x v="0"/>
    <x v="7"/>
    <x v="4"/>
    <n v="47547076180.316536"/>
    <n v="0.183"/>
    <x v="287"/>
    <x v="8"/>
    <n v="43.24"/>
    <n v="42.22"/>
    <n v="0.72518035039505324"/>
    <n v="1"/>
    <x v="1435"/>
    <n v="0.10012708293854554"/>
  </r>
  <r>
    <x v="4"/>
    <x v="0"/>
    <x v="8"/>
    <x v="0"/>
    <n v="47547076180.316536"/>
    <n v="3.4500000000000003E-2"/>
    <x v="288"/>
    <x v="0"/>
    <n v="1"/>
    <n v="1"/>
    <n v="1.7176228100309172E-2"/>
    <n v="1"/>
    <x v="1436"/>
    <n v="4.4709657212931242E-4"/>
  </r>
  <r>
    <x v="4"/>
    <x v="0"/>
    <x v="8"/>
    <x v="1"/>
    <n v="47547076180.316536"/>
    <n v="3.4500000000000003E-2"/>
    <x v="288"/>
    <x v="1"/>
    <n v="3"/>
    <n v="3"/>
    <n v="5.1528684300927517E-2"/>
    <n v="1"/>
    <x v="1437"/>
    <n v="1.3412897163879373E-3"/>
  </r>
  <r>
    <x v="4"/>
    <x v="0"/>
    <x v="8"/>
    <x v="2"/>
    <n v="47547076180.316536"/>
    <n v="3.4500000000000003E-2"/>
    <x v="288"/>
    <x v="2"/>
    <n v="5"/>
    <n v="5"/>
    <n v="8.5881140501545869E-2"/>
    <n v="1"/>
    <x v="1438"/>
    <n v="2.2354828606465623E-3"/>
  </r>
  <r>
    <x v="4"/>
    <x v="0"/>
    <x v="8"/>
    <x v="3"/>
    <n v="47547076180.316536"/>
    <n v="3.4500000000000003E-2"/>
    <x v="288"/>
    <x v="3"/>
    <n v="7"/>
    <n v="7"/>
    <n v="0.12023359670216421"/>
    <n v="1"/>
    <x v="1439"/>
    <n v="3.129676004905187E-3"/>
  </r>
  <r>
    <x v="4"/>
    <x v="0"/>
    <x v="8"/>
    <x v="4"/>
    <n v="47547076180.316536"/>
    <n v="3.4500000000000003E-2"/>
    <x v="288"/>
    <x v="8"/>
    <n v="43.24"/>
    <n v="42.22"/>
    <n v="0.72518035039505324"/>
    <n v="1"/>
    <x v="1440"/>
    <n v="1.8876417275299571E-2"/>
  </r>
  <r>
    <x v="4"/>
    <x v="1"/>
    <x v="0"/>
    <x v="0"/>
    <n v="6373422709.3424673"/>
    <n v="0.28750000000000003"/>
    <x v="289"/>
    <x v="0"/>
    <n v="1"/>
    <n v="1"/>
    <n v="1.7176228100309172E-2"/>
    <n v="1"/>
    <x v="1441"/>
    <n v="4.9942353189633474E-4"/>
  </r>
  <r>
    <x v="4"/>
    <x v="1"/>
    <x v="0"/>
    <x v="1"/>
    <n v="6373422709.3424673"/>
    <n v="0.28750000000000003"/>
    <x v="289"/>
    <x v="1"/>
    <n v="3"/>
    <n v="3"/>
    <n v="5.1528684300927517E-2"/>
    <n v="1"/>
    <x v="1442"/>
    <n v="1.4982705956890041E-3"/>
  </r>
  <r>
    <x v="4"/>
    <x v="1"/>
    <x v="0"/>
    <x v="2"/>
    <n v="6373422709.3424673"/>
    <n v="0.28750000000000003"/>
    <x v="289"/>
    <x v="2"/>
    <n v="5"/>
    <n v="5"/>
    <n v="8.5881140501545869E-2"/>
    <n v="1"/>
    <x v="1443"/>
    <n v="2.4971176594816734E-3"/>
  </r>
  <r>
    <x v="4"/>
    <x v="1"/>
    <x v="0"/>
    <x v="3"/>
    <n v="6373422709.3424673"/>
    <n v="0.28750000000000003"/>
    <x v="289"/>
    <x v="3"/>
    <n v="7"/>
    <n v="7"/>
    <n v="0.12023359670216421"/>
    <n v="1"/>
    <x v="1444"/>
    <n v="3.495964723274343E-3"/>
  </r>
  <r>
    <x v="4"/>
    <x v="1"/>
    <x v="0"/>
    <x v="4"/>
    <n v="6373422709.3424673"/>
    <n v="0.28750000000000003"/>
    <x v="289"/>
    <x v="8"/>
    <n v="43.24"/>
    <n v="42.22"/>
    <n v="0.72518035039505324"/>
    <n v="1"/>
    <x v="1445"/>
    <n v="2.1085661516663249E-2"/>
  </r>
  <r>
    <x v="4"/>
    <x v="1"/>
    <x v="1"/>
    <x v="0"/>
    <n v="6373422709.3424673"/>
    <n v="2.6000000000000002E-2"/>
    <x v="290"/>
    <x v="0"/>
    <n v="1"/>
    <n v="1"/>
    <n v="1.7176228100309172E-2"/>
    <n v="1"/>
    <x v="1446"/>
    <n v="4.5165258536712003E-5"/>
  </r>
  <r>
    <x v="4"/>
    <x v="1"/>
    <x v="1"/>
    <x v="1"/>
    <n v="6373422709.3424673"/>
    <n v="2.6000000000000002E-2"/>
    <x v="290"/>
    <x v="1"/>
    <n v="3"/>
    <n v="3"/>
    <n v="5.1528684300927517E-2"/>
    <n v="1"/>
    <x v="1447"/>
    <n v="1.35495775610136E-4"/>
  </r>
  <r>
    <x v="4"/>
    <x v="1"/>
    <x v="1"/>
    <x v="2"/>
    <n v="6373422709.3424673"/>
    <n v="2.6000000000000002E-2"/>
    <x v="290"/>
    <x v="2"/>
    <n v="5"/>
    <n v="5"/>
    <n v="8.5881140501545869E-2"/>
    <n v="1"/>
    <x v="1448"/>
    <n v="2.2582629268356002E-4"/>
  </r>
  <r>
    <x v="4"/>
    <x v="1"/>
    <x v="1"/>
    <x v="3"/>
    <n v="6373422709.3424673"/>
    <n v="2.6000000000000002E-2"/>
    <x v="290"/>
    <x v="3"/>
    <n v="7"/>
    <n v="7"/>
    <n v="0.12023359670216421"/>
    <n v="1"/>
    <x v="1449"/>
    <n v="3.1615680975698407E-4"/>
  </r>
  <r>
    <x v="4"/>
    <x v="1"/>
    <x v="1"/>
    <x v="4"/>
    <n v="6373422709.3424673"/>
    <n v="2.6000000000000002E-2"/>
    <x v="290"/>
    <x v="8"/>
    <n v="43.24"/>
    <n v="42.22"/>
    <n v="0.72518035039505324"/>
    <n v="1"/>
    <x v="1450"/>
    <n v="1.9068772154199809E-3"/>
  </r>
  <r>
    <x v="4"/>
    <x v="1"/>
    <x v="2"/>
    <x v="0"/>
    <n v="6373422709.3424673"/>
    <n v="0.2235"/>
    <x v="291"/>
    <x v="0"/>
    <n v="1"/>
    <n v="1"/>
    <n v="1.7176228100309172E-2"/>
    <n v="1"/>
    <x v="1451"/>
    <n v="3.8824751088288963E-4"/>
  </r>
  <r>
    <x v="4"/>
    <x v="1"/>
    <x v="2"/>
    <x v="1"/>
    <n v="6373422709.3424673"/>
    <n v="0.2235"/>
    <x v="291"/>
    <x v="1"/>
    <n v="3"/>
    <n v="3"/>
    <n v="5.1528684300927517E-2"/>
    <n v="1"/>
    <x v="1452"/>
    <n v="1.164742532648669E-3"/>
  </r>
  <r>
    <x v="4"/>
    <x v="1"/>
    <x v="2"/>
    <x v="2"/>
    <n v="6373422709.3424673"/>
    <n v="0.2235"/>
    <x v="291"/>
    <x v="2"/>
    <n v="5"/>
    <n v="5"/>
    <n v="8.5881140501545869E-2"/>
    <n v="1"/>
    <x v="1453"/>
    <n v="1.9412375544144485E-3"/>
  </r>
  <r>
    <x v="4"/>
    <x v="1"/>
    <x v="2"/>
    <x v="3"/>
    <n v="6373422709.3424673"/>
    <n v="0.2235"/>
    <x v="291"/>
    <x v="3"/>
    <n v="7"/>
    <n v="7"/>
    <n v="0.12023359670216421"/>
    <n v="1"/>
    <x v="1454"/>
    <n v="2.7177325761802277E-3"/>
  </r>
  <r>
    <x v="4"/>
    <x v="1"/>
    <x v="2"/>
    <x v="4"/>
    <n v="6373422709.3424673"/>
    <n v="0.2235"/>
    <x v="291"/>
    <x v="8"/>
    <n v="43.24"/>
    <n v="42.22"/>
    <n v="0.72518035039505324"/>
    <n v="1"/>
    <x v="1455"/>
    <n v="1.6391809909475603E-2"/>
  </r>
  <r>
    <x v="4"/>
    <x v="1"/>
    <x v="3"/>
    <x v="0"/>
    <n v="6373422709.3424673"/>
    <n v="1.7000000000000001E-2"/>
    <x v="292"/>
    <x v="0"/>
    <n v="1"/>
    <n v="1"/>
    <n v="1.7176228100309172E-2"/>
    <n v="1"/>
    <x v="1456"/>
    <n v="2.953113058169631E-5"/>
  </r>
  <r>
    <x v="4"/>
    <x v="1"/>
    <x v="3"/>
    <x v="1"/>
    <n v="6373422709.3424673"/>
    <n v="1.7000000000000001E-2"/>
    <x v="292"/>
    <x v="1"/>
    <n v="3"/>
    <n v="3"/>
    <n v="5.1528684300927517E-2"/>
    <n v="1"/>
    <x v="1457"/>
    <n v="8.859339174508892E-5"/>
  </r>
  <r>
    <x v="4"/>
    <x v="1"/>
    <x v="3"/>
    <x v="2"/>
    <n v="6373422709.3424673"/>
    <n v="1.7000000000000001E-2"/>
    <x v="292"/>
    <x v="2"/>
    <n v="5"/>
    <n v="5"/>
    <n v="8.5881140501545869E-2"/>
    <n v="1"/>
    <x v="1458"/>
    <n v="1.4765565290848155E-4"/>
  </r>
  <r>
    <x v="4"/>
    <x v="1"/>
    <x v="3"/>
    <x v="3"/>
    <n v="6373422709.3424673"/>
    <n v="1.7000000000000001E-2"/>
    <x v="292"/>
    <x v="3"/>
    <n v="7"/>
    <n v="7"/>
    <n v="0.12023359670216421"/>
    <n v="1"/>
    <x v="1459"/>
    <n v="2.0671791407187416E-4"/>
  </r>
  <r>
    <x v="4"/>
    <x v="1"/>
    <x v="3"/>
    <x v="4"/>
    <n v="6373422709.3424673"/>
    <n v="1.7000000000000001E-2"/>
    <x v="292"/>
    <x v="8"/>
    <n v="43.24"/>
    <n v="42.22"/>
    <n v="0.72518035039505324"/>
    <n v="1"/>
    <x v="1460"/>
    <n v="1.2468043331592181E-3"/>
  </r>
  <r>
    <x v="4"/>
    <x v="1"/>
    <x v="4"/>
    <x v="0"/>
    <n v="6373422709.3424673"/>
    <n v="9.425E-2"/>
    <x v="293"/>
    <x v="0"/>
    <n v="1"/>
    <n v="1"/>
    <n v="1.7176228100309172E-2"/>
    <n v="1"/>
    <x v="1461"/>
    <n v="1.6372406219558101E-4"/>
  </r>
  <r>
    <x v="4"/>
    <x v="1"/>
    <x v="4"/>
    <x v="1"/>
    <n v="6373422709.3424673"/>
    <n v="9.425E-2"/>
    <x v="293"/>
    <x v="1"/>
    <n v="3"/>
    <n v="3"/>
    <n v="5.1528684300927517E-2"/>
    <n v="1"/>
    <x v="1462"/>
    <n v="4.9117218658674302E-4"/>
  </r>
  <r>
    <x v="4"/>
    <x v="1"/>
    <x v="4"/>
    <x v="2"/>
    <n v="6373422709.3424673"/>
    <n v="9.425E-2"/>
    <x v="293"/>
    <x v="2"/>
    <n v="5"/>
    <n v="5"/>
    <n v="8.5881140501545869E-2"/>
    <n v="1"/>
    <x v="1463"/>
    <n v="8.1862031097790504E-4"/>
  </r>
  <r>
    <x v="4"/>
    <x v="1"/>
    <x v="4"/>
    <x v="3"/>
    <n v="6373422709.3424673"/>
    <n v="9.425E-2"/>
    <x v="293"/>
    <x v="3"/>
    <n v="7"/>
    <n v="7"/>
    <n v="0.12023359670216421"/>
    <n v="1"/>
    <x v="1464"/>
    <n v="1.1460684353690671E-3"/>
  </r>
  <r>
    <x v="4"/>
    <x v="1"/>
    <x v="4"/>
    <x v="4"/>
    <n v="6373422709.3424673"/>
    <n v="9.425E-2"/>
    <x v="293"/>
    <x v="8"/>
    <n v="43.24"/>
    <n v="42.22"/>
    <n v="0.72518035039505324"/>
    <n v="1"/>
    <x v="1465"/>
    <n v="6.9124299058974294E-3"/>
  </r>
  <r>
    <x v="4"/>
    <x v="1"/>
    <x v="5"/>
    <x v="0"/>
    <n v="6373422709.3424673"/>
    <n v="7.5000000000000011E-2"/>
    <x v="294"/>
    <x v="0"/>
    <n v="1"/>
    <n v="1"/>
    <n v="1.7176228100309172E-2"/>
    <n v="1"/>
    <x v="1466"/>
    <n v="1.302843996251308E-4"/>
  </r>
  <r>
    <x v="4"/>
    <x v="1"/>
    <x v="5"/>
    <x v="1"/>
    <n v="6373422709.3424673"/>
    <n v="7.5000000000000011E-2"/>
    <x v="294"/>
    <x v="1"/>
    <n v="3"/>
    <n v="3"/>
    <n v="5.1528684300927517E-2"/>
    <n v="1"/>
    <x v="1467"/>
    <n v="3.9085319887539242E-4"/>
  </r>
  <r>
    <x v="4"/>
    <x v="1"/>
    <x v="5"/>
    <x v="2"/>
    <n v="6373422709.3424673"/>
    <n v="7.5000000000000011E-2"/>
    <x v="294"/>
    <x v="2"/>
    <n v="5"/>
    <n v="5"/>
    <n v="8.5881140501545869E-2"/>
    <n v="1"/>
    <x v="1468"/>
    <n v="6.5142199812565397E-4"/>
  </r>
  <r>
    <x v="4"/>
    <x v="1"/>
    <x v="5"/>
    <x v="3"/>
    <n v="6373422709.3424673"/>
    <n v="7.5000000000000011E-2"/>
    <x v="294"/>
    <x v="3"/>
    <n v="7"/>
    <n v="7"/>
    <n v="0.12023359670216421"/>
    <n v="1"/>
    <x v="1469"/>
    <n v="9.1199079737591562E-4"/>
  </r>
  <r>
    <x v="4"/>
    <x v="1"/>
    <x v="5"/>
    <x v="4"/>
    <n v="6373422709.3424673"/>
    <n v="7.5000000000000011E-2"/>
    <x v="294"/>
    <x v="8"/>
    <n v="43.24"/>
    <n v="42.22"/>
    <n v="0.72518035039505324"/>
    <n v="1"/>
    <x v="1470"/>
    <n v="5.5006073521730219E-3"/>
  </r>
  <r>
    <x v="4"/>
    <x v="1"/>
    <x v="6"/>
    <x v="0"/>
    <n v="6373422709.3424673"/>
    <n v="5.9249999999999997E-2"/>
    <x v="295"/>
    <x v="0"/>
    <n v="1"/>
    <n v="1"/>
    <n v="1.7176228100309172E-2"/>
    <n v="1"/>
    <x v="1471"/>
    <n v="1.029246757038533E-4"/>
  </r>
  <r>
    <x v="4"/>
    <x v="1"/>
    <x v="6"/>
    <x v="1"/>
    <n v="6373422709.3424673"/>
    <n v="5.9249999999999997E-2"/>
    <x v="295"/>
    <x v="1"/>
    <n v="3"/>
    <n v="3"/>
    <n v="5.1528684300927517E-2"/>
    <n v="1"/>
    <x v="1472"/>
    <n v="3.087740271115599E-4"/>
  </r>
  <r>
    <x v="4"/>
    <x v="1"/>
    <x v="6"/>
    <x v="2"/>
    <n v="6373422709.3424673"/>
    <n v="5.9249999999999997E-2"/>
    <x v="295"/>
    <x v="2"/>
    <n v="5"/>
    <n v="5"/>
    <n v="8.5881140501545869E-2"/>
    <n v="1"/>
    <x v="1473"/>
    <n v="5.1462337851926646E-4"/>
  </r>
  <r>
    <x v="4"/>
    <x v="1"/>
    <x v="6"/>
    <x v="3"/>
    <n v="6373422709.3424673"/>
    <n v="5.9249999999999997E-2"/>
    <x v="295"/>
    <x v="3"/>
    <n v="7"/>
    <n v="7"/>
    <n v="0.12023359670216421"/>
    <n v="1"/>
    <x v="1474"/>
    <n v="7.2047272992697314E-4"/>
  </r>
  <r>
    <x v="4"/>
    <x v="1"/>
    <x v="6"/>
    <x v="4"/>
    <n v="6373422709.3424673"/>
    <n v="5.9249999999999997E-2"/>
    <x v="295"/>
    <x v="8"/>
    <n v="43.24"/>
    <n v="42.22"/>
    <n v="0.72518035039505324"/>
    <n v="1"/>
    <x v="1475"/>
    <n v="4.3454798082166865E-3"/>
  </r>
  <r>
    <x v="4"/>
    <x v="1"/>
    <x v="7"/>
    <x v="0"/>
    <n v="6373422709.3424673"/>
    <n v="0.183"/>
    <x v="296"/>
    <x v="0"/>
    <n v="1"/>
    <n v="1"/>
    <n v="1.7176228100309172E-2"/>
    <n v="1"/>
    <x v="1476"/>
    <n v="3.1789393508531905E-4"/>
  </r>
  <r>
    <x v="4"/>
    <x v="1"/>
    <x v="7"/>
    <x v="1"/>
    <n v="6373422709.3424673"/>
    <n v="0.183"/>
    <x v="296"/>
    <x v="1"/>
    <n v="3"/>
    <n v="3"/>
    <n v="5.1528684300927517E-2"/>
    <n v="1"/>
    <x v="1477"/>
    <n v="9.5368180525595714E-4"/>
  </r>
  <r>
    <x v="4"/>
    <x v="1"/>
    <x v="7"/>
    <x v="2"/>
    <n v="6373422709.3424673"/>
    <n v="0.183"/>
    <x v="296"/>
    <x v="2"/>
    <n v="5"/>
    <n v="5"/>
    <n v="8.5881140501545869E-2"/>
    <n v="1"/>
    <x v="1478"/>
    <n v="1.5894696754265953E-3"/>
  </r>
  <r>
    <x v="4"/>
    <x v="1"/>
    <x v="7"/>
    <x v="3"/>
    <n v="6373422709.3424673"/>
    <n v="0.183"/>
    <x v="296"/>
    <x v="3"/>
    <n v="7"/>
    <n v="7"/>
    <n v="0.12023359670216421"/>
    <n v="1"/>
    <x v="1479"/>
    <n v="2.2252575455972336E-3"/>
  </r>
  <r>
    <x v="4"/>
    <x v="1"/>
    <x v="7"/>
    <x v="4"/>
    <n v="6373422709.3424673"/>
    <n v="0.183"/>
    <x v="296"/>
    <x v="8"/>
    <n v="43.24"/>
    <n v="42.22"/>
    <n v="0.72518035039505324"/>
    <n v="1"/>
    <x v="1480"/>
    <n v="1.3421481939302168E-2"/>
  </r>
  <r>
    <x v="4"/>
    <x v="1"/>
    <x v="8"/>
    <x v="0"/>
    <n v="6373422709.3424673"/>
    <n v="3.4500000000000003E-2"/>
    <x v="297"/>
    <x v="0"/>
    <n v="1"/>
    <n v="1"/>
    <n v="1.7176228100309172E-2"/>
    <n v="1"/>
    <x v="1481"/>
    <n v="5.9930823827560156E-5"/>
  </r>
  <r>
    <x v="4"/>
    <x v="1"/>
    <x v="8"/>
    <x v="1"/>
    <n v="6373422709.3424673"/>
    <n v="3.4500000000000003E-2"/>
    <x v="297"/>
    <x v="1"/>
    <n v="3"/>
    <n v="3"/>
    <n v="5.1528684300927517E-2"/>
    <n v="1"/>
    <x v="1482"/>
    <n v="1.7979247148268047E-4"/>
  </r>
  <r>
    <x v="4"/>
    <x v="1"/>
    <x v="8"/>
    <x v="2"/>
    <n v="6373422709.3424673"/>
    <n v="3.4500000000000003E-2"/>
    <x v="297"/>
    <x v="2"/>
    <n v="5"/>
    <n v="5"/>
    <n v="8.5881140501545869E-2"/>
    <n v="1"/>
    <x v="1483"/>
    <n v="2.9965411913780081E-4"/>
  </r>
  <r>
    <x v="4"/>
    <x v="1"/>
    <x v="8"/>
    <x v="3"/>
    <n v="6373422709.3424673"/>
    <n v="3.4500000000000003E-2"/>
    <x v="297"/>
    <x v="3"/>
    <n v="7"/>
    <n v="7"/>
    <n v="0.12023359670216421"/>
    <n v="1"/>
    <x v="1484"/>
    <n v="4.1951576679292112E-4"/>
  </r>
  <r>
    <x v="4"/>
    <x v="1"/>
    <x v="8"/>
    <x v="4"/>
    <n v="6373422709.3424673"/>
    <n v="3.4500000000000003E-2"/>
    <x v="297"/>
    <x v="8"/>
    <n v="43.24"/>
    <n v="42.22"/>
    <n v="0.72518035039505324"/>
    <n v="1"/>
    <x v="1485"/>
    <n v="2.5302793819995898E-3"/>
  </r>
  <r>
    <x v="4"/>
    <x v="2"/>
    <x v="0"/>
    <x v="0"/>
    <n v="140095535.3435244"/>
    <n v="0.18525"/>
    <x v="298"/>
    <x v="0"/>
    <n v="1"/>
    <n v="1"/>
    <n v="1.7176228100309172E-2"/>
    <n v="1"/>
    <x v="1486"/>
    <n v="7.0736072210500327E-6"/>
  </r>
  <r>
    <x v="4"/>
    <x v="2"/>
    <x v="0"/>
    <x v="1"/>
    <n v="140095535.3435244"/>
    <n v="0.18525"/>
    <x v="298"/>
    <x v="1"/>
    <n v="3"/>
    <n v="3"/>
    <n v="5.1528684300927517E-2"/>
    <n v="1"/>
    <x v="1487"/>
    <n v="2.12208216631501E-5"/>
  </r>
  <r>
    <x v="4"/>
    <x v="2"/>
    <x v="0"/>
    <x v="2"/>
    <n v="140095535.3435244"/>
    <n v="0.18525"/>
    <x v="298"/>
    <x v="2"/>
    <n v="5"/>
    <n v="5"/>
    <n v="8.5881140501545869E-2"/>
    <n v="1"/>
    <x v="1488"/>
    <n v="3.5368036105250162E-5"/>
  </r>
  <r>
    <x v="4"/>
    <x v="2"/>
    <x v="0"/>
    <x v="3"/>
    <n v="140095535.3435244"/>
    <n v="0.18525"/>
    <x v="298"/>
    <x v="3"/>
    <n v="7"/>
    <n v="7"/>
    <n v="0.12023359670216421"/>
    <n v="1"/>
    <x v="1489"/>
    <n v="4.9515250547350231E-5"/>
  </r>
  <r>
    <x v="4"/>
    <x v="2"/>
    <x v="0"/>
    <x v="4"/>
    <n v="140095535.3435244"/>
    <n v="0.18525"/>
    <x v="298"/>
    <x v="8"/>
    <n v="43.24"/>
    <n v="42.22"/>
    <n v="0.72518035039505324"/>
    <n v="1"/>
    <x v="1490"/>
    <n v="2.986476968727324E-4"/>
  </r>
  <r>
    <x v="4"/>
    <x v="2"/>
    <x v="1"/>
    <x v="0"/>
    <n v="140095535.3435244"/>
    <n v="0.10099999999999999"/>
    <x v="299"/>
    <x v="0"/>
    <n v="1"/>
    <n v="1"/>
    <n v="1.7176228100309172E-2"/>
    <n v="1"/>
    <x v="1491"/>
    <n v="3.8565955699112185E-6"/>
  </r>
  <r>
    <x v="4"/>
    <x v="2"/>
    <x v="1"/>
    <x v="1"/>
    <n v="140095535.3435244"/>
    <n v="0.10099999999999999"/>
    <x v="299"/>
    <x v="1"/>
    <n v="3"/>
    <n v="3"/>
    <n v="5.1528684300927517E-2"/>
    <n v="1"/>
    <x v="1492"/>
    <n v="1.1569786709733656E-5"/>
  </r>
  <r>
    <x v="4"/>
    <x v="2"/>
    <x v="1"/>
    <x v="2"/>
    <n v="140095535.3435244"/>
    <n v="0.10099999999999999"/>
    <x v="299"/>
    <x v="2"/>
    <n v="5"/>
    <n v="5"/>
    <n v="8.5881140501545869E-2"/>
    <n v="1"/>
    <x v="1493"/>
    <n v="1.9282977849556094E-5"/>
  </r>
  <r>
    <x v="4"/>
    <x v="2"/>
    <x v="1"/>
    <x v="3"/>
    <n v="140095535.3435244"/>
    <n v="0.10099999999999999"/>
    <x v="299"/>
    <x v="3"/>
    <n v="7"/>
    <n v="7"/>
    <n v="0.12023359670216421"/>
    <n v="1"/>
    <x v="1494"/>
    <n v="2.6996168989378528E-5"/>
  </r>
  <r>
    <x v="4"/>
    <x v="2"/>
    <x v="1"/>
    <x v="4"/>
    <n v="140095535.3435244"/>
    <n v="0.10099999999999999"/>
    <x v="299"/>
    <x v="8"/>
    <n v="43.24"/>
    <n v="42.22"/>
    <n v="0.72518035039505324"/>
    <n v="1"/>
    <x v="1495"/>
    <n v="1.6282546496165166E-4"/>
  </r>
  <r>
    <x v="4"/>
    <x v="2"/>
    <x v="2"/>
    <x v="0"/>
    <n v="140095535.3435244"/>
    <n v="0.24650000000000002"/>
    <x v="300"/>
    <x v="0"/>
    <n v="1"/>
    <n v="1"/>
    <n v="1.7176228100309172E-2"/>
    <n v="1"/>
    <x v="1496"/>
    <n v="9.4123842374565891E-6"/>
  </r>
  <r>
    <x v="4"/>
    <x v="2"/>
    <x v="2"/>
    <x v="1"/>
    <n v="140095535.3435244"/>
    <n v="0.24650000000000002"/>
    <x v="300"/>
    <x v="1"/>
    <n v="3"/>
    <n v="3"/>
    <n v="5.1528684300927517E-2"/>
    <n v="1"/>
    <x v="1497"/>
    <n v="2.8237152712369769E-5"/>
  </r>
  <r>
    <x v="4"/>
    <x v="2"/>
    <x v="2"/>
    <x v="2"/>
    <n v="140095535.3435244"/>
    <n v="0.24650000000000002"/>
    <x v="300"/>
    <x v="2"/>
    <n v="5"/>
    <n v="5"/>
    <n v="8.5881140501545869E-2"/>
    <n v="1"/>
    <x v="1498"/>
    <n v="4.706192118728295E-5"/>
  </r>
  <r>
    <x v="4"/>
    <x v="2"/>
    <x v="2"/>
    <x v="3"/>
    <n v="140095535.3435244"/>
    <n v="0.24650000000000002"/>
    <x v="300"/>
    <x v="3"/>
    <n v="7"/>
    <n v="7"/>
    <n v="0.12023359670216421"/>
    <n v="1"/>
    <x v="1499"/>
    <n v="6.5886689662196125E-5"/>
  </r>
  <r>
    <x v="4"/>
    <x v="2"/>
    <x v="2"/>
    <x v="4"/>
    <n v="140095535.3435244"/>
    <n v="0.24650000000000002"/>
    <x v="300"/>
    <x v="8"/>
    <n v="43.24"/>
    <n v="42.22"/>
    <n v="0.72518035039505324"/>
    <n v="1"/>
    <x v="1500"/>
    <n v="3.9739086250541715E-4"/>
  </r>
  <r>
    <x v="4"/>
    <x v="2"/>
    <x v="3"/>
    <x v="0"/>
    <n v="140095535.3435244"/>
    <n v="3.95E-2"/>
    <x v="301"/>
    <x v="0"/>
    <n v="1"/>
    <n v="1"/>
    <n v="1.7176228100309172E-2"/>
    <n v="1"/>
    <x v="1501"/>
    <n v="1.5082725248662687E-6"/>
  </r>
  <r>
    <x v="4"/>
    <x v="2"/>
    <x v="3"/>
    <x v="1"/>
    <n v="140095535.3435244"/>
    <n v="3.95E-2"/>
    <x v="301"/>
    <x v="1"/>
    <n v="3"/>
    <n v="3"/>
    <n v="5.1528684300927517E-2"/>
    <n v="1"/>
    <x v="1502"/>
    <n v="4.5248175745988064E-6"/>
  </r>
  <r>
    <x v="4"/>
    <x v="2"/>
    <x v="3"/>
    <x v="2"/>
    <n v="140095535.3435244"/>
    <n v="3.95E-2"/>
    <x v="301"/>
    <x v="2"/>
    <n v="5"/>
    <n v="5"/>
    <n v="8.5881140501545869E-2"/>
    <n v="1"/>
    <x v="1503"/>
    <n v="7.5413626243313443E-6"/>
  </r>
  <r>
    <x v="4"/>
    <x v="2"/>
    <x v="3"/>
    <x v="3"/>
    <n v="140095535.3435244"/>
    <n v="3.95E-2"/>
    <x v="301"/>
    <x v="3"/>
    <n v="7"/>
    <n v="7"/>
    <n v="0.12023359670216421"/>
    <n v="1"/>
    <x v="1504"/>
    <n v="1.0557907674063881E-5"/>
  </r>
  <r>
    <x v="4"/>
    <x v="2"/>
    <x v="3"/>
    <x v="4"/>
    <n v="140095535.3435244"/>
    <n v="3.95E-2"/>
    <x v="301"/>
    <x v="8"/>
    <n v="43.24"/>
    <n v="42.22"/>
    <n v="0.72518035039505324"/>
    <n v="1"/>
    <x v="1505"/>
    <n v="6.3679265999853869E-5"/>
  </r>
  <r>
    <x v="4"/>
    <x v="2"/>
    <x v="4"/>
    <x v="0"/>
    <n v="140095535.3435244"/>
    <n v="6.8250000000000005E-2"/>
    <x v="302"/>
    <x v="0"/>
    <n v="1"/>
    <n v="1"/>
    <n v="1.7176228100309172E-2"/>
    <n v="1"/>
    <x v="1506"/>
    <n v="2.6060658182815912E-6"/>
  </r>
  <r>
    <x v="4"/>
    <x v="2"/>
    <x v="4"/>
    <x v="1"/>
    <n v="140095535.3435244"/>
    <n v="6.8250000000000005E-2"/>
    <x v="302"/>
    <x v="1"/>
    <n v="3"/>
    <n v="3"/>
    <n v="5.1528684300927517E-2"/>
    <n v="1"/>
    <x v="1507"/>
    <n v="7.8181974548447725E-6"/>
  </r>
  <r>
    <x v="4"/>
    <x v="2"/>
    <x v="4"/>
    <x v="2"/>
    <n v="140095535.3435244"/>
    <n v="6.8250000000000005E-2"/>
    <x v="302"/>
    <x v="2"/>
    <n v="5"/>
    <n v="5"/>
    <n v="8.5881140501545869E-2"/>
    <n v="1"/>
    <x v="1508"/>
    <n v="1.3030329091407957E-5"/>
  </r>
  <r>
    <x v="4"/>
    <x v="2"/>
    <x v="4"/>
    <x v="3"/>
    <n v="140095535.3435244"/>
    <n v="6.8250000000000005E-2"/>
    <x v="302"/>
    <x v="3"/>
    <n v="7"/>
    <n v="7"/>
    <n v="0.12023359670216421"/>
    <n v="1"/>
    <x v="1509"/>
    <n v="1.8242460727971141E-5"/>
  </r>
  <r>
    <x v="4"/>
    <x v="2"/>
    <x v="4"/>
    <x v="4"/>
    <n v="140095535.3435244"/>
    <n v="6.8250000000000005E-2"/>
    <x v="302"/>
    <x v="8"/>
    <n v="43.24"/>
    <n v="42.22"/>
    <n v="0.72518035039505324"/>
    <n v="1"/>
    <x v="1510"/>
    <n v="1.1002809884784878E-4"/>
  </r>
  <r>
    <x v="4"/>
    <x v="2"/>
    <x v="5"/>
    <x v="0"/>
    <n v="140095535.3435244"/>
    <n v="0.185"/>
    <x v="303"/>
    <x v="0"/>
    <n v="1"/>
    <n v="1"/>
    <n v="1.7176228100309172E-2"/>
    <n v="1"/>
    <x v="1511"/>
    <n v="7.0640611924116374E-6"/>
  </r>
  <r>
    <x v="4"/>
    <x v="2"/>
    <x v="5"/>
    <x v="1"/>
    <n v="140095535.3435244"/>
    <n v="0.185"/>
    <x v="303"/>
    <x v="1"/>
    <n v="3"/>
    <n v="3"/>
    <n v="5.1528684300927517E-2"/>
    <n v="1"/>
    <x v="1512"/>
    <n v="2.1192183577234915E-5"/>
  </r>
  <r>
    <x v="4"/>
    <x v="2"/>
    <x v="5"/>
    <x v="2"/>
    <n v="140095535.3435244"/>
    <n v="0.185"/>
    <x v="303"/>
    <x v="2"/>
    <n v="5"/>
    <n v="5"/>
    <n v="8.5881140501545869E-2"/>
    <n v="1"/>
    <x v="1513"/>
    <n v="3.5320305962058194E-5"/>
  </r>
  <r>
    <x v="4"/>
    <x v="2"/>
    <x v="5"/>
    <x v="3"/>
    <n v="140095535.3435244"/>
    <n v="0.185"/>
    <x v="303"/>
    <x v="3"/>
    <n v="7"/>
    <n v="7"/>
    <n v="0.12023359670216421"/>
    <n v="1"/>
    <x v="1514"/>
    <n v="4.9448428346881468E-5"/>
  </r>
  <r>
    <x v="4"/>
    <x v="2"/>
    <x v="5"/>
    <x v="4"/>
    <n v="140095535.3435244"/>
    <n v="0.185"/>
    <x v="303"/>
    <x v="8"/>
    <n v="43.24"/>
    <n v="42.22"/>
    <n v="0.72518035039505324"/>
    <n v="1"/>
    <x v="1515"/>
    <n v="2.9824466354361938E-4"/>
  </r>
  <r>
    <x v="4"/>
    <x v="2"/>
    <x v="6"/>
    <x v="0"/>
    <n v="140095535.3435244"/>
    <n v="4.2249999999999996E-2"/>
    <x v="304"/>
    <x v="0"/>
    <n v="1"/>
    <n v="1"/>
    <n v="1.7176228100309172E-2"/>
    <n v="1"/>
    <x v="1516"/>
    <n v="1.6132788398886037E-6"/>
  </r>
  <r>
    <x v="4"/>
    <x v="2"/>
    <x v="6"/>
    <x v="1"/>
    <n v="140095535.3435244"/>
    <n v="4.2249999999999996E-2"/>
    <x v="304"/>
    <x v="1"/>
    <n v="3"/>
    <n v="3"/>
    <n v="5.1528684300927517E-2"/>
    <n v="1"/>
    <x v="1517"/>
    <n v="4.8398365196658118E-6"/>
  </r>
  <r>
    <x v="4"/>
    <x v="2"/>
    <x v="6"/>
    <x v="2"/>
    <n v="140095535.3435244"/>
    <n v="4.2249999999999996E-2"/>
    <x v="304"/>
    <x v="2"/>
    <n v="5"/>
    <n v="5"/>
    <n v="8.5881140501545869E-2"/>
    <n v="1"/>
    <x v="1518"/>
    <n v="8.0663941994430196E-6"/>
  </r>
  <r>
    <x v="4"/>
    <x v="2"/>
    <x v="6"/>
    <x v="3"/>
    <n v="140095535.3435244"/>
    <n v="4.2249999999999996E-2"/>
    <x v="304"/>
    <x v="3"/>
    <n v="7"/>
    <n v="7"/>
    <n v="0.12023359670216421"/>
    <n v="1"/>
    <x v="1519"/>
    <n v="1.1292951879220226E-5"/>
  </r>
  <r>
    <x v="4"/>
    <x v="2"/>
    <x v="6"/>
    <x v="4"/>
    <n v="140095535.3435244"/>
    <n v="4.2249999999999996E-2"/>
    <x v="304"/>
    <x v="8"/>
    <n v="43.24"/>
    <n v="42.22"/>
    <n v="0.72518035039505324"/>
    <n v="1"/>
    <x v="1520"/>
    <n v="6.8112632620096852E-5"/>
  </r>
  <r>
    <x v="4"/>
    <x v="2"/>
    <x v="7"/>
    <x v="0"/>
    <n v="140095535.3435244"/>
    <n v="7.5499999999999998E-2"/>
    <x v="305"/>
    <x v="0"/>
    <n v="1"/>
    <n v="1"/>
    <n v="1.7176228100309172E-2"/>
    <n v="1"/>
    <x v="1521"/>
    <n v="2.8829006487950198E-6"/>
  </r>
  <r>
    <x v="4"/>
    <x v="2"/>
    <x v="7"/>
    <x v="1"/>
    <n v="140095535.3435244"/>
    <n v="7.5499999999999998E-2"/>
    <x v="305"/>
    <x v="1"/>
    <n v="3"/>
    <n v="3"/>
    <n v="5.1528684300927517E-2"/>
    <n v="1"/>
    <x v="1522"/>
    <n v="8.6487019463850586E-6"/>
  </r>
  <r>
    <x v="4"/>
    <x v="2"/>
    <x v="7"/>
    <x v="2"/>
    <n v="140095535.3435244"/>
    <n v="7.5499999999999998E-2"/>
    <x v="305"/>
    <x v="2"/>
    <n v="5"/>
    <n v="5"/>
    <n v="8.5881140501545869E-2"/>
    <n v="1"/>
    <x v="1523"/>
    <n v="1.4414503243975102E-5"/>
  </r>
  <r>
    <x v="4"/>
    <x v="2"/>
    <x v="7"/>
    <x v="3"/>
    <n v="140095535.3435244"/>
    <n v="7.5499999999999998E-2"/>
    <x v="305"/>
    <x v="3"/>
    <n v="7"/>
    <n v="7"/>
    <n v="0.12023359670216421"/>
    <n v="1"/>
    <x v="1524"/>
    <n v="2.018030454156514E-5"/>
  </r>
  <r>
    <x v="4"/>
    <x v="2"/>
    <x v="7"/>
    <x v="4"/>
    <n v="140095535.3435244"/>
    <n v="7.5499999999999998E-2"/>
    <x v="305"/>
    <x v="8"/>
    <n v="43.24"/>
    <n v="42.22"/>
    <n v="0.72518035039505324"/>
    <n v="1"/>
    <x v="1525"/>
    <n v="1.2171606539212574E-4"/>
  </r>
  <r>
    <x v="4"/>
    <x v="2"/>
    <x v="8"/>
    <x v="0"/>
    <n v="140095535.3435244"/>
    <n v="5.6749999999999995E-2"/>
    <x v="306"/>
    <x v="0"/>
    <n v="1"/>
    <n v="1"/>
    <n v="1.7176228100309172E-2"/>
    <n v="1"/>
    <x v="1526"/>
    <n v="2.1669485009154619E-6"/>
  </r>
  <r>
    <x v="4"/>
    <x v="2"/>
    <x v="8"/>
    <x v="1"/>
    <n v="140095535.3435244"/>
    <n v="5.6749999999999995E-2"/>
    <x v="306"/>
    <x v="1"/>
    <n v="3"/>
    <n v="3"/>
    <n v="5.1528684300927517E-2"/>
    <n v="1"/>
    <x v="1527"/>
    <n v="6.5008455027463857E-6"/>
  </r>
  <r>
    <x v="4"/>
    <x v="2"/>
    <x v="8"/>
    <x v="2"/>
    <n v="140095535.3435244"/>
    <n v="5.6749999999999995E-2"/>
    <x v="306"/>
    <x v="2"/>
    <n v="5"/>
    <n v="5"/>
    <n v="8.5881140501545869E-2"/>
    <n v="1"/>
    <x v="1528"/>
    <n v="1.083474250457731E-5"/>
  </r>
  <r>
    <x v="4"/>
    <x v="2"/>
    <x v="8"/>
    <x v="3"/>
    <n v="140095535.3435244"/>
    <n v="5.6749999999999995E-2"/>
    <x v="306"/>
    <x v="3"/>
    <n v="7"/>
    <n v="7"/>
    <n v="0.12023359670216421"/>
    <n v="1"/>
    <x v="1529"/>
    <n v="1.5168639506408233E-5"/>
  </r>
  <r>
    <x v="4"/>
    <x v="2"/>
    <x v="8"/>
    <x v="4"/>
    <n v="140095535.3435244"/>
    <n v="5.6749999999999995E-2"/>
    <x v="306"/>
    <x v="8"/>
    <n v="43.24"/>
    <n v="42.22"/>
    <n v="0.72518035039505324"/>
    <n v="1"/>
    <x v="1530"/>
    <n v="9.1488565708650797E-5"/>
  </r>
  <r>
    <x v="4"/>
    <x v="3"/>
    <x v="0"/>
    <x v="0"/>
    <n v="2045228199.2464628"/>
    <n v="0.32174999999999998"/>
    <x v="307"/>
    <x v="0"/>
    <n v="1"/>
    <n v="1"/>
    <n v="1.7176228100309172E-2"/>
    <n v="1"/>
    <x v="1531"/>
    <n v="1.7935717579118426E-4"/>
  </r>
  <r>
    <x v="4"/>
    <x v="3"/>
    <x v="0"/>
    <x v="1"/>
    <n v="2045228199.2464628"/>
    <n v="0.32174999999999998"/>
    <x v="307"/>
    <x v="1"/>
    <n v="3"/>
    <n v="3"/>
    <n v="5.1528684300927517E-2"/>
    <n v="1"/>
    <x v="1532"/>
    <n v="5.380715273735527E-4"/>
  </r>
  <r>
    <x v="4"/>
    <x v="3"/>
    <x v="0"/>
    <x v="2"/>
    <n v="2045228199.2464628"/>
    <n v="0.32174999999999998"/>
    <x v="307"/>
    <x v="2"/>
    <n v="5"/>
    <n v="5"/>
    <n v="8.5881140501545869E-2"/>
    <n v="1"/>
    <x v="1533"/>
    <n v="8.9678587895592127E-4"/>
  </r>
  <r>
    <x v="4"/>
    <x v="3"/>
    <x v="0"/>
    <x v="3"/>
    <n v="2045228199.2464628"/>
    <n v="0.32174999999999998"/>
    <x v="307"/>
    <x v="3"/>
    <n v="7"/>
    <n v="7"/>
    <n v="0.12023359670216421"/>
    <n v="1"/>
    <x v="1534"/>
    <n v="1.2555002305382897E-3"/>
  </r>
  <r>
    <x v="4"/>
    <x v="3"/>
    <x v="0"/>
    <x v="4"/>
    <n v="2045228199.2464628"/>
    <n v="0.32174999999999998"/>
    <x v="307"/>
    <x v="8"/>
    <n v="43.24"/>
    <n v="42.22"/>
    <n v="0.72518035039505324"/>
    <n v="1"/>
    <x v="1535"/>
    <n v="7.5724599619037989E-3"/>
  </r>
  <r>
    <x v="4"/>
    <x v="3"/>
    <x v="1"/>
    <x v="0"/>
    <n v="2045228199.2464628"/>
    <n v="0.1585"/>
    <x v="308"/>
    <x v="0"/>
    <n v="1"/>
    <n v="1"/>
    <n v="1.7176228100309172E-2"/>
    <n v="1"/>
    <x v="1536"/>
    <n v="8.8354661578563174E-5"/>
  </r>
  <r>
    <x v="4"/>
    <x v="3"/>
    <x v="1"/>
    <x v="1"/>
    <n v="2045228199.2464628"/>
    <n v="0.1585"/>
    <x v="308"/>
    <x v="1"/>
    <n v="3"/>
    <n v="3"/>
    <n v="5.1528684300927517E-2"/>
    <n v="1"/>
    <x v="1537"/>
    <n v="2.6506398473568954E-4"/>
  </r>
  <r>
    <x v="4"/>
    <x v="3"/>
    <x v="1"/>
    <x v="2"/>
    <n v="2045228199.2464628"/>
    <n v="0.1585"/>
    <x v="308"/>
    <x v="2"/>
    <n v="5"/>
    <n v="5"/>
    <n v="8.5881140501545869E-2"/>
    <n v="1"/>
    <x v="1538"/>
    <n v="4.4177330789281597E-4"/>
  </r>
  <r>
    <x v="4"/>
    <x v="3"/>
    <x v="1"/>
    <x v="3"/>
    <n v="2045228199.2464628"/>
    <n v="0.1585"/>
    <x v="308"/>
    <x v="3"/>
    <n v="7"/>
    <n v="7"/>
    <n v="0.12023359670216421"/>
    <n v="1"/>
    <x v="1539"/>
    <n v="6.184826310499424E-4"/>
  </r>
  <r>
    <x v="4"/>
    <x v="3"/>
    <x v="1"/>
    <x v="4"/>
    <n v="2045228199.2464628"/>
    <n v="0.1585"/>
    <x v="308"/>
    <x v="8"/>
    <n v="43.24"/>
    <n v="42.22"/>
    <n v="0.72518035039505324"/>
    <n v="1"/>
    <x v="1540"/>
    <n v="3.7303338118469375E-3"/>
  </r>
  <r>
    <x v="4"/>
    <x v="3"/>
    <x v="2"/>
    <x v="0"/>
    <n v="2045228199.2464628"/>
    <n v="0.19150000000000003"/>
    <x v="309"/>
    <x v="0"/>
    <n v="1"/>
    <n v="1"/>
    <n v="1.7176228100309172E-2"/>
    <n v="1"/>
    <x v="1541"/>
    <n v="1.0675026935201798E-4"/>
  </r>
  <r>
    <x v="4"/>
    <x v="3"/>
    <x v="2"/>
    <x v="1"/>
    <n v="2045228199.2464628"/>
    <n v="0.19150000000000003"/>
    <x v="309"/>
    <x v="1"/>
    <n v="3"/>
    <n v="3"/>
    <n v="5.1528684300927517E-2"/>
    <n v="1"/>
    <x v="1542"/>
    <n v="3.2025080805605399E-4"/>
  </r>
  <r>
    <x v="4"/>
    <x v="3"/>
    <x v="2"/>
    <x v="2"/>
    <n v="2045228199.2464628"/>
    <n v="0.19150000000000003"/>
    <x v="309"/>
    <x v="2"/>
    <n v="5"/>
    <n v="5"/>
    <n v="8.5881140501545869E-2"/>
    <n v="1"/>
    <x v="1543"/>
    <n v="5.3375134676009E-4"/>
  </r>
  <r>
    <x v="4"/>
    <x v="3"/>
    <x v="2"/>
    <x v="3"/>
    <n v="2045228199.2464628"/>
    <n v="0.19150000000000003"/>
    <x v="309"/>
    <x v="3"/>
    <n v="7"/>
    <n v="7"/>
    <n v="0.12023359670216421"/>
    <n v="1"/>
    <x v="1544"/>
    <n v="7.4725188546412595E-4"/>
  </r>
  <r>
    <x v="4"/>
    <x v="3"/>
    <x v="2"/>
    <x v="4"/>
    <n v="2045228199.2464628"/>
    <n v="0.19150000000000003"/>
    <x v="309"/>
    <x v="8"/>
    <n v="43.24"/>
    <n v="42.22"/>
    <n v="0.72518035039505324"/>
    <n v="1"/>
    <x v="1545"/>
    <n v="4.5069963720421992E-3"/>
  </r>
  <r>
    <x v="4"/>
    <x v="3"/>
    <x v="3"/>
    <x v="0"/>
    <n v="2045228199.2464628"/>
    <n v="3.4000000000000002E-2"/>
    <x v="310"/>
    <x v="0"/>
    <n v="1"/>
    <n v="1"/>
    <n v="1.7176228100309172E-2"/>
    <n v="1"/>
    <x v="1546"/>
    <n v="1.8953050433256454E-5"/>
  </r>
  <r>
    <x v="4"/>
    <x v="3"/>
    <x v="3"/>
    <x v="1"/>
    <n v="2045228199.2464628"/>
    <n v="3.4000000000000002E-2"/>
    <x v="310"/>
    <x v="1"/>
    <n v="3"/>
    <n v="3"/>
    <n v="5.1528684300927517E-2"/>
    <n v="1"/>
    <x v="1547"/>
    <n v="5.685915129976937E-5"/>
  </r>
  <r>
    <x v="4"/>
    <x v="3"/>
    <x v="3"/>
    <x v="2"/>
    <n v="2045228199.2464628"/>
    <n v="3.4000000000000002E-2"/>
    <x v="310"/>
    <x v="2"/>
    <n v="5"/>
    <n v="5"/>
    <n v="8.5881140501545869E-2"/>
    <n v="1"/>
    <x v="1548"/>
    <n v="9.4765252166282299E-5"/>
  </r>
  <r>
    <x v="4"/>
    <x v="3"/>
    <x v="3"/>
    <x v="3"/>
    <n v="2045228199.2464628"/>
    <n v="3.4000000000000002E-2"/>
    <x v="310"/>
    <x v="3"/>
    <n v="7"/>
    <n v="7"/>
    <n v="0.12023359670216421"/>
    <n v="1"/>
    <x v="1549"/>
    <n v="1.3267135303279519E-4"/>
  </r>
  <r>
    <x v="4"/>
    <x v="3"/>
    <x v="3"/>
    <x v="4"/>
    <n v="2045228199.2464628"/>
    <n v="3.4000000000000002E-2"/>
    <x v="310"/>
    <x v="8"/>
    <n v="43.24"/>
    <n v="42.22"/>
    <n v="0.72518035039505324"/>
    <n v="1"/>
    <x v="1550"/>
    <n v="8.0019778929208763E-4"/>
  </r>
  <r>
    <x v="4"/>
    <x v="3"/>
    <x v="4"/>
    <x v="0"/>
    <n v="2045228199.2464628"/>
    <n v="7.0750000000000007E-2"/>
    <x v="311"/>
    <x v="0"/>
    <n v="1"/>
    <n v="1"/>
    <n v="1.7176228100309172E-2"/>
    <n v="1"/>
    <x v="1551"/>
    <n v="3.9439068180967477E-5"/>
  </r>
  <r>
    <x v="4"/>
    <x v="3"/>
    <x v="4"/>
    <x v="1"/>
    <n v="2045228199.2464628"/>
    <n v="7.0750000000000007E-2"/>
    <x v="311"/>
    <x v="1"/>
    <n v="3"/>
    <n v="3"/>
    <n v="5.1528684300927517E-2"/>
    <n v="1"/>
    <x v="1552"/>
    <n v="1.1831720454290244E-4"/>
  </r>
  <r>
    <x v="4"/>
    <x v="3"/>
    <x v="4"/>
    <x v="2"/>
    <n v="2045228199.2464628"/>
    <n v="7.0750000000000007E-2"/>
    <x v="311"/>
    <x v="2"/>
    <n v="5"/>
    <n v="5"/>
    <n v="8.5881140501545869E-2"/>
    <n v="1"/>
    <x v="1553"/>
    <n v="1.971953409048374E-4"/>
  </r>
  <r>
    <x v="4"/>
    <x v="3"/>
    <x v="4"/>
    <x v="3"/>
    <n v="2045228199.2464628"/>
    <n v="7.0750000000000007E-2"/>
    <x v="311"/>
    <x v="3"/>
    <n v="7"/>
    <n v="7"/>
    <n v="0.12023359670216421"/>
    <n v="1"/>
    <x v="1554"/>
    <n v="2.7607347726677238E-4"/>
  </r>
  <r>
    <x v="4"/>
    <x v="3"/>
    <x v="4"/>
    <x v="4"/>
    <n v="2045228199.2464628"/>
    <n v="7.0750000000000007E-2"/>
    <x v="311"/>
    <x v="8"/>
    <n v="43.24"/>
    <n v="42.22"/>
    <n v="0.72518035039505324"/>
    <n v="1"/>
    <x v="1555"/>
    <n v="1.6651174586004467E-3"/>
  </r>
  <r>
    <x v="4"/>
    <x v="3"/>
    <x v="5"/>
    <x v="0"/>
    <n v="2045228199.2464628"/>
    <n v="9.375E-2"/>
    <x v="312"/>
    <x v="0"/>
    <n v="1"/>
    <n v="1"/>
    <n v="1.7176228100309172E-2"/>
    <n v="1"/>
    <x v="1556"/>
    <n v="5.2260249356405666E-5"/>
  </r>
  <r>
    <x v="4"/>
    <x v="3"/>
    <x v="5"/>
    <x v="1"/>
    <n v="2045228199.2464628"/>
    <n v="9.375E-2"/>
    <x v="312"/>
    <x v="1"/>
    <n v="3"/>
    <n v="3"/>
    <n v="5.1528684300927517E-2"/>
    <n v="1"/>
    <x v="1557"/>
    <n v="1.5678074806921698E-4"/>
  </r>
  <r>
    <x v="4"/>
    <x v="3"/>
    <x v="5"/>
    <x v="2"/>
    <n v="2045228199.2464628"/>
    <n v="9.375E-2"/>
    <x v="312"/>
    <x v="2"/>
    <n v="5"/>
    <n v="5"/>
    <n v="8.5881140501545869E-2"/>
    <n v="1"/>
    <x v="1558"/>
    <n v="2.6130124678202832E-4"/>
  </r>
  <r>
    <x v="4"/>
    <x v="3"/>
    <x v="5"/>
    <x v="3"/>
    <n v="2045228199.2464628"/>
    <n v="9.375E-2"/>
    <x v="312"/>
    <x v="3"/>
    <n v="7"/>
    <n v="7"/>
    <n v="0.12023359670216421"/>
    <n v="1"/>
    <x v="1559"/>
    <n v="3.6582174549483964E-4"/>
  </r>
  <r>
    <x v="4"/>
    <x v="3"/>
    <x v="5"/>
    <x v="4"/>
    <n v="2045228199.2464628"/>
    <n v="9.375E-2"/>
    <x v="312"/>
    <x v="8"/>
    <n v="43.24"/>
    <n v="42.22"/>
    <n v="0.72518035039505324"/>
    <n v="1"/>
    <x v="1560"/>
    <n v="2.2064277278274471E-3"/>
  </r>
  <r>
    <x v="4"/>
    <x v="3"/>
    <x v="6"/>
    <x v="0"/>
    <n v="2045228199.2464628"/>
    <n v="4.5749999999999992E-2"/>
    <x v="313"/>
    <x v="0"/>
    <n v="1"/>
    <n v="1"/>
    <n v="1.7176228100309172E-2"/>
    <n v="1"/>
    <x v="1561"/>
    <n v="2.5503001685925962E-5"/>
  </r>
  <r>
    <x v="4"/>
    <x v="3"/>
    <x v="6"/>
    <x v="1"/>
    <n v="2045228199.2464628"/>
    <n v="4.5749999999999992E-2"/>
    <x v="313"/>
    <x v="1"/>
    <n v="3"/>
    <n v="3"/>
    <n v="5.1528684300927517E-2"/>
    <n v="1"/>
    <x v="1562"/>
    <n v="7.6509005057777882E-5"/>
  </r>
  <r>
    <x v="4"/>
    <x v="3"/>
    <x v="6"/>
    <x v="2"/>
    <n v="2045228199.2464628"/>
    <n v="4.5749999999999992E-2"/>
    <x v="313"/>
    <x v="2"/>
    <n v="5"/>
    <n v="5"/>
    <n v="8.5881140501545869E-2"/>
    <n v="1"/>
    <x v="1563"/>
    <n v="1.275150084296298E-4"/>
  </r>
  <r>
    <x v="4"/>
    <x v="3"/>
    <x v="6"/>
    <x v="3"/>
    <n v="2045228199.2464628"/>
    <n v="4.5749999999999992E-2"/>
    <x v="313"/>
    <x v="3"/>
    <n v="7"/>
    <n v="7"/>
    <n v="0.12023359670216421"/>
    <n v="1"/>
    <x v="1564"/>
    <n v="1.7852101180148173E-4"/>
  </r>
  <r>
    <x v="4"/>
    <x v="3"/>
    <x v="6"/>
    <x v="4"/>
    <n v="2045228199.2464628"/>
    <n v="4.5749999999999992E-2"/>
    <x v="313"/>
    <x v="8"/>
    <n v="43.24"/>
    <n v="42.22"/>
    <n v="0.72518035039505324"/>
    <n v="1"/>
    <x v="1565"/>
    <n v="1.076736731179794E-3"/>
  </r>
  <r>
    <x v="4"/>
    <x v="3"/>
    <x v="7"/>
    <x v="0"/>
    <n v="2045228199.2464628"/>
    <n v="2.8999999999999998E-2"/>
    <x v="314"/>
    <x v="0"/>
    <n v="1"/>
    <n v="1"/>
    <n v="1.7176228100309172E-2"/>
    <n v="1"/>
    <x v="1566"/>
    <n v="1.6165837134248151E-5"/>
  </r>
  <r>
    <x v="4"/>
    <x v="3"/>
    <x v="7"/>
    <x v="1"/>
    <n v="2045228199.2464628"/>
    <n v="2.8999999999999998E-2"/>
    <x v="314"/>
    <x v="1"/>
    <n v="3"/>
    <n v="3"/>
    <n v="5.1528684300927517E-2"/>
    <n v="1"/>
    <x v="1567"/>
    <n v="4.8497511402744445E-5"/>
  </r>
  <r>
    <x v="4"/>
    <x v="3"/>
    <x v="7"/>
    <x v="2"/>
    <n v="2045228199.2464628"/>
    <n v="2.8999999999999998E-2"/>
    <x v="314"/>
    <x v="2"/>
    <n v="5"/>
    <n v="5"/>
    <n v="8.5881140501545869E-2"/>
    <n v="1"/>
    <x v="1568"/>
    <n v="8.082918567124076E-5"/>
  </r>
  <r>
    <x v="4"/>
    <x v="3"/>
    <x v="7"/>
    <x v="3"/>
    <n v="2045228199.2464628"/>
    <n v="2.8999999999999998E-2"/>
    <x v="314"/>
    <x v="3"/>
    <n v="7"/>
    <n v="7"/>
    <n v="0.12023359670216421"/>
    <n v="1"/>
    <x v="1569"/>
    <n v="1.1316085993973706E-4"/>
  </r>
  <r>
    <x v="4"/>
    <x v="3"/>
    <x v="7"/>
    <x v="4"/>
    <n v="2045228199.2464628"/>
    <n v="2.8999999999999998E-2"/>
    <x v="314"/>
    <x v="8"/>
    <n v="43.24"/>
    <n v="42.22"/>
    <n v="0.72518035039505324"/>
    <n v="1"/>
    <x v="1570"/>
    <n v="6.8252164380795688E-4"/>
  </r>
  <r>
    <x v="4"/>
    <x v="3"/>
    <x v="8"/>
    <x v="0"/>
    <n v="2045228199.2464628"/>
    <n v="5.3999999999999992E-2"/>
    <x v="315"/>
    <x v="0"/>
    <n v="1"/>
    <n v="1"/>
    <n v="1.7176228100309172E-2"/>
    <n v="1"/>
    <x v="1571"/>
    <n v="3.0101903629289659E-5"/>
  </r>
  <r>
    <x v="4"/>
    <x v="3"/>
    <x v="8"/>
    <x v="1"/>
    <n v="2045228199.2464628"/>
    <n v="5.3999999999999992E-2"/>
    <x v="315"/>
    <x v="1"/>
    <n v="3"/>
    <n v="3"/>
    <n v="5.1528684300927517E-2"/>
    <n v="1"/>
    <x v="1572"/>
    <n v="9.0305710887868981E-5"/>
  </r>
  <r>
    <x v="4"/>
    <x v="3"/>
    <x v="8"/>
    <x v="2"/>
    <n v="2045228199.2464628"/>
    <n v="5.3999999999999992E-2"/>
    <x v="315"/>
    <x v="2"/>
    <n v="5"/>
    <n v="5"/>
    <n v="8.5881140501545869E-2"/>
    <n v="1"/>
    <x v="1573"/>
    <n v="1.5050951814644831E-4"/>
  </r>
  <r>
    <x v="4"/>
    <x v="3"/>
    <x v="8"/>
    <x v="3"/>
    <n v="2045228199.2464628"/>
    <n v="5.3999999999999992E-2"/>
    <x v="315"/>
    <x v="3"/>
    <n v="7"/>
    <n v="7"/>
    <n v="0.12023359670216421"/>
    <n v="1"/>
    <x v="1574"/>
    <n v="2.1071332540502764E-4"/>
  </r>
  <r>
    <x v="4"/>
    <x v="3"/>
    <x v="8"/>
    <x v="4"/>
    <n v="2045228199.2464628"/>
    <n v="5.3999999999999992E-2"/>
    <x v="315"/>
    <x v="8"/>
    <n v="43.24"/>
    <n v="42.22"/>
    <n v="0.72518035039505324"/>
    <n v="1"/>
    <x v="1575"/>
    <n v="1.2709023712286095E-3"/>
  </r>
  <r>
    <x v="4"/>
    <x v="4"/>
    <x v="0"/>
    <x v="0"/>
    <n v="213602282.25222278"/>
    <n v="0.18525"/>
    <x v="316"/>
    <x v="0"/>
    <n v="1"/>
    <n v="1"/>
    <n v="1.7176228100309172E-2"/>
    <n v="1"/>
    <x v="1576"/>
    <n v="1.0785059227384794E-5"/>
  </r>
  <r>
    <x v="4"/>
    <x v="4"/>
    <x v="0"/>
    <x v="1"/>
    <n v="213602282.25222278"/>
    <n v="0.18525"/>
    <x v="316"/>
    <x v="1"/>
    <n v="3"/>
    <n v="3"/>
    <n v="5.1528684300927517E-2"/>
    <n v="1"/>
    <x v="1577"/>
    <n v="3.2355177682154381E-5"/>
  </r>
  <r>
    <x v="4"/>
    <x v="4"/>
    <x v="0"/>
    <x v="2"/>
    <n v="213602282.25222278"/>
    <n v="0.18525"/>
    <x v="316"/>
    <x v="2"/>
    <n v="5"/>
    <n v="5"/>
    <n v="8.5881140501545869E-2"/>
    <n v="1"/>
    <x v="1578"/>
    <n v="5.3925296136923973E-5"/>
  </r>
  <r>
    <x v="4"/>
    <x v="4"/>
    <x v="0"/>
    <x v="3"/>
    <n v="213602282.25222278"/>
    <n v="0.18525"/>
    <x v="316"/>
    <x v="3"/>
    <n v="7"/>
    <n v="7"/>
    <n v="0.12023359670216421"/>
    <n v="1"/>
    <x v="1579"/>
    <n v="7.5495414591693558E-5"/>
  </r>
  <r>
    <x v="4"/>
    <x v="4"/>
    <x v="0"/>
    <x v="4"/>
    <n v="213602282.25222278"/>
    <n v="0.18525"/>
    <x v="316"/>
    <x v="8"/>
    <n v="43.24"/>
    <n v="42.22"/>
    <n v="0.72518035039505324"/>
    <n v="1"/>
    <x v="1580"/>
    <n v="4.5534520058018599E-4"/>
  </r>
  <r>
    <x v="4"/>
    <x v="4"/>
    <x v="1"/>
    <x v="0"/>
    <n v="213602282.25222278"/>
    <n v="0.10099999999999999"/>
    <x v="317"/>
    <x v="0"/>
    <n v="1"/>
    <n v="1"/>
    <n v="1.7176228100309172E-2"/>
    <n v="1"/>
    <x v="1581"/>
    <n v="5.8801132629736253E-6"/>
  </r>
  <r>
    <x v="4"/>
    <x v="4"/>
    <x v="1"/>
    <x v="1"/>
    <n v="213602282.25222278"/>
    <n v="0.10099999999999999"/>
    <x v="317"/>
    <x v="1"/>
    <n v="3"/>
    <n v="3"/>
    <n v="5.1528684300927517E-2"/>
    <n v="1"/>
    <x v="1582"/>
    <n v="1.7640339788920878E-5"/>
  </r>
  <r>
    <x v="4"/>
    <x v="4"/>
    <x v="1"/>
    <x v="2"/>
    <n v="213602282.25222278"/>
    <n v="0.10099999999999999"/>
    <x v="317"/>
    <x v="2"/>
    <n v="5"/>
    <n v="5"/>
    <n v="8.5881140501545869E-2"/>
    <n v="1"/>
    <x v="1583"/>
    <n v="2.9400566314868128E-5"/>
  </r>
  <r>
    <x v="4"/>
    <x v="4"/>
    <x v="1"/>
    <x v="3"/>
    <n v="213602282.25222278"/>
    <n v="0.10099999999999999"/>
    <x v="317"/>
    <x v="3"/>
    <n v="7"/>
    <n v="7"/>
    <n v="0.12023359670216421"/>
    <n v="1"/>
    <x v="1584"/>
    <n v="4.1160792840815385E-5"/>
  </r>
  <r>
    <x v="4"/>
    <x v="4"/>
    <x v="1"/>
    <x v="4"/>
    <n v="213602282.25222278"/>
    <n v="0.10099999999999999"/>
    <x v="317"/>
    <x v="8"/>
    <n v="43.24"/>
    <n v="42.22"/>
    <n v="0.72518035039505324"/>
    <n v="1"/>
    <x v="1585"/>
    <n v="2.4825838196274643E-4"/>
  </r>
  <r>
    <x v="4"/>
    <x v="4"/>
    <x v="2"/>
    <x v="0"/>
    <n v="213602282.25222278"/>
    <n v="0.24650000000000002"/>
    <x v="318"/>
    <x v="0"/>
    <n v="1"/>
    <n v="1"/>
    <n v="1.7176228100309172E-2"/>
    <n v="1"/>
    <x v="1586"/>
    <n v="1.4350969498247513E-5"/>
  </r>
  <r>
    <x v="4"/>
    <x v="4"/>
    <x v="2"/>
    <x v="1"/>
    <n v="213602282.25222278"/>
    <n v="0.24650000000000002"/>
    <x v="318"/>
    <x v="1"/>
    <n v="3"/>
    <n v="3"/>
    <n v="5.1528684300927517E-2"/>
    <n v="1"/>
    <x v="1587"/>
    <n v="4.3052908494742537E-5"/>
  </r>
  <r>
    <x v="4"/>
    <x v="4"/>
    <x v="2"/>
    <x v="2"/>
    <n v="213602282.25222278"/>
    <n v="0.24650000000000002"/>
    <x v="318"/>
    <x v="2"/>
    <n v="5"/>
    <n v="5"/>
    <n v="8.5881140501545869E-2"/>
    <n v="1"/>
    <x v="1588"/>
    <n v="7.1754847491237566E-5"/>
  </r>
  <r>
    <x v="4"/>
    <x v="4"/>
    <x v="2"/>
    <x v="3"/>
    <n v="213602282.25222278"/>
    <n v="0.24650000000000002"/>
    <x v="318"/>
    <x v="3"/>
    <n v="7"/>
    <n v="7"/>
    <n v="0.12023359670216421"/>
    <n v="1"/>
    <x v="1589"/>
    <n v="1.0045678648773258E-4"/>
  </r>
  <r>
    <x v="4"/>
    <x v="4"/>
    <x v="2"/>
    <x v="4"/>
    <n v="213602282.25222278"/>
    <n v="0.24650000000000002"/>
    <x v="318"/>
    <x v="8"/>
    <n v="43.24"/>
    <n v="42.22"/>
    <n v="0.72518035039505324"/>
    <n v="1"/>
    <x v="1590"/>
    <n v="6.0589793221601E-4"/>
  </r>
  <r>
    <x v="4"/>
    <x v="4"/>
    <x v="3"/>
    <x v="0"/>
    <n v="213602282.25222278"/>
    <n v="3.95E-2"/>
    <x v="319"/>
    <x v="0"/>
    <n v="1"/>
    <n v="1"/>
    <n v="1.7176228100309172E-2"/>
    <n v="1"/>
    <x v="1591"/>
    <n v="2.2996482563114673E-6"/>
  </r>
  <r>
    <x v="4"/>
    <x v="4"/>
    <x v="3"/>
    <x v="1"/>
    <n v="213602282.25222278"/>
    <n v="3.95E-2"/>
    <x v="319"/>
    <x v="1"/>
    <n v="3"/>
    <n v="3"/>
    <n v="5.1528684300927517E-2"/>
    <n v="1"/>
    <x v="1592"/>
    <n v="6.8989447689344026E-6"/>
  </r>
  <r>
    <x v="4"/>
    <x v="4"/>
    <x v="3"/>
    <x v="2"/>
    <n v="213602282.25222278"/>
    <n v="3.95E-2"/>
    <x v="319"/>
    <x v="2"/>
    <n v="5"/>
    <n v="5"/>
    <n v="8.5881140501545869E-2"/>
    <n v="1"/>
    <x v="1593"/>
    <n v="1.1498241281557338E-5"/>
  </r>
  <r>
    <x v="4"/>
    <x v="4"/>
    <x v="3"/>
    <x v="3"/>
    <n v="213602282.25222278"/>
    <n v="3.95E-2"/>
    <x v="319"/>
    <x v="3"/>
    <n v="7"/>
    <n v="7"/>
    <n v="0.12023359670216421"/>
    <n v="1"/>
    <x v="1594"/>
    <n v="1.6097537794180271E-5"/>
  </r>
  <r>
    <x v="4"/>
    <x v="4"/>
    <x v="3"/>
    <x v="4"/>
    <n v="213602282.25222278"/>
    <n v="3.95E-2"/>
    <x v="319"/>
    <x v="8"/>
    <n v="43.24"/>
    <n v="42.22"/>
    <n v="0.72518035039505324"/>
    <n v="1"/>
    <x v="1595"/>
    <n v="9.7091149381470148E-5"/>
  </r>
  <r>
    <x v="4"/>
    <x v="4"/>
    <x v="4"/>
    <x v="0"/>
    <n v="213602282.25222278"/>
    <n v="6.8250000000000005E-2"/>
    <x v="320"/>
    <x v="0"/>
    <n v="1"/>
    <n v="1"/>
    <n v="1.7176228100309172E-2"/>
    <n v="1"/>
    <x v="1596"/>
    <n v="3.9734428732470295E-6"/>
  </r>
  <r>
    <x v="4"/>
    <x v="4"/>
    <x v="4"/>
    <x v="1"/>
    <n v="213602282.25222278"/>
    <n v="6.8250000000000005E-2"/>
    <x v="320"/>
    <x v="1"/>
    <n v="3"/>
    <n v="3"/>
    <n v="5.1528684300927517E-2"/>
    <n v="1"/>
    <x v="1597"/>
    <n v="1.1920328619741087E-5"/>
  </r>
  <r>
    <x v="4"/>
    <x v="4"/>
    <x v="4"/>
    <x v="2"/>
    <n v="213602282.25222278"/>
    <n v="6.8250000000000005E-2"/>
    <x v="320"/>
    <x v="2"/>
    <n v="5"/>
    <n v="5"/>
    <n v="8.5881140501545869E-2"/>
    <n v="1"/>
    <x v="1598"/>
    <n v="1.9867214366235149E-5"/>
  </r>
  <r>
    <x v="4"/>
    <x v="4"/>
    <x v="4"/>
    <x v="3"/>
    <n v="213602282.25222278"/>
    <n v="6.8250000000000005E-2"/>
    <x v="320"/>
    <x v="3"/>
    <n v="7"/>
    <n v="7"/>
    <n v="0.12023359670216421"/>
    <n v="1"/>
    <x v="1599"/>
    <n v="2.7814100112729208E-5"/>
  </r>
  <r>
    <x v="4"/>
    <x v="4"/>
    <x v="4"/>
    <x v="4"/>
    <n v="213602282.25222278"/>
    <n v="6.8250000000000005E-2"/>
    <x v="320"/>
    <x v="8"/>
    <n v="43.24"/>
    <n v="42.22"/>
    <n v="0.72518035039505324"/>
    <n v="1"/>
    <x v="1600"/>
    <n v="1.6775875810848959E-4"/>
  </r>
  <r>
    <x v="4"/>
    <x v="4"/>
    <x v="5"/>
    <x v="0"/>
    <n v="213602282.25222278"/>
    <n v="0.185"/>
    <x v="321"/>
    <x v="0"/>
    <n v="1"/>
    <n v="1"/>
    <n v="1.7176228100309172E-2"/>
    <n v="1"/>
    <x v="1601"/>
    <n v="1.0770504491585353E-5"/>
  </r>
  <r>
    <x v="4"/>
    <x v="4"/>
    <x v="5"/>
    <x v="1"/>
    <n v="213602282.25222278"/>
    <n v="0.185"/>
    <x v="321"/>
    <x v="1"/>
    <n v="3"/>
    <n v="3"/>
    <n v="5.1528684300927517E-2"/>
    <n v="1"/>
    <x v="1602"/>
    <n v="3.2311513474756064E-5"/>
  </r>
  <r>
    <x v="4"/>
    <x v="4"/>
    <x v="5"/>
    <x v="2"/>
    <n v="213602282.25222278"/>
    <n v="0.185"/>
    <x v="321"/>
    <x v="2"/>
    <n v="5"/>
    <n v="5"/>
    <n v="8.5881140501545869E-2"/>
    <n v="1"/>
    <x v="1603"/>
    <n v="5.3852522457926774E-5"/>
  </r>
  <r>
    <x v="4"/>
    <x v="4"/>
    <x v="5"/>
    <x v="3"/>
    <n v="213602282.25222278"/>
    <n v="0.185"/>
    <x v="321"/>
    <x v="3"/>
    <n v="7"/>
    <n v="7"/>
    <n v="0.12023359670216421"/>
    <n v="1"/>
    <x v="1604"/>
    <n v="7.5393531441097483E-5"/>
  </r>
  <r>
    <x v="4"/>
    <x v="4"/>
    <x v="5"/>
    <x v="4"/>
    <n v="213602282.25222278"/>
    <n v="0.185"/>
    <x v="321"/>
    <x v="8"/>
    <n v="43.24"/>
    <n v="42.22"/>
    <n v="0.72518035039505324"/>
    <n v="1"/>
    <x v="1605"/>
    <n v="4.5473069963473364E-4"/>
  </r>
  <r>
    <x v="4"/>
    <x v="4"/>
    <x v="6"/>
    <x v="0"/>
    <n v="213602282.25222278"/>
    <n v="4.2249999999999996E-2"/>
    <x v="322"/>
    <x v="0"/>
    <n v="1"/>
    <n v="1"/>
    <n v="1.7176228100309172E-2"/>
    <n v="1"/>
    <x v="1606"/>
    <n v="2.4597503501053034E-6"/>
  </r>
  <r>
    <x v="4"/>
    <x v="4"/>
    <x v="6"/>
    <x v="1"/>
    <n v="213602282.25222278"/>
    <n v="4.2249999999999996E-2"/>
    <x v="322"/>
    <x v="1"/>
    <n v="3"/>
    <n v="3"/>
    <n v="5.1528684300927517E-2"/>
    <n v="1"/>
    <x v="1607"/>
    <n v="7.3792510503159093E-6"/>
  </r>
  <r>
    <x v="4"/>
    <x v="4"/>
    <x v="6"/>
    <x v="2"/>
    <n v="213602282.25222278"/>
    <n v="4.2249999999999996E-2"/>
    <x v="322"/>
    <x v="2"/>
    <n v="5"/>
    <n v="5"/>
    <n v="8.5881140501545869E-2"/>
    <n v="1"/>
    <x v="1608"/>
    <n v="1.2298751750526519E-5"/>
  </r>
  <r>
    <x v="4"/>
    <x v="4"/>
    <x v="6"/>
    <x v="3"/>
    <n v="213602282.25222278"/>
    <n v="4.2249999999999996E-2"/>
    <x v="322"/>
    <x v="3"/>
    <n v="7"/>
    <n v="7"/>
    <n v="0.12023359670216421"/>
    <n v="1"/>
    <x v="1609"/>
    <n v="1.7218252450737124E-5"/>
  </r>
  <r>
    <x v="4"/>
    <x v="4"/>
    <x v="6"/>
    <x v="4"/>
    <n v="213602282.25222278"/>
    <n v="4.2249999999999996E-2"/>
    <x v="322"/>
    <x v="8"/>
    <n v="43.24"/>
    <n v="42.22"/>
    <n v="0.72518035039505324"/>
    <n v="1"/>
    <x v="1610"/>
    <n v="1.0385065978144591E-4"/>
  </r>
  <r>
    <x v="4"/>
    <x v="4"/>
    <x v="7"/>
    <x v="0"/>
    <n v="213602282.25222278"/>
    <n v="7.5499999999999998E-2"/>
    <x v="323"/>
    <x v="0"/>
    <n v="1"/>
    <n v="1"/>
    <n v="1.7176228100309172E-2"/>
    <n v="1"/>
    <x v="1611"/>
    <n v="4.395530211430779E-6"/>
  </r>
  <r>
    <x v="4"/>
    <x v="4"/>
    <x v="7"/>
    <x v="1"/>
    <n v="213602282.25222278"/>
    <n v="7.5499999999999998E-2"/>
    <x v="323"/>
    <x v="1"/>
    <n v="3"/>
    <n v="3"/>
    <n v="5.1528684300927517E-2"/>
    <n v="1"/>
    <x v="1612"/>
    <n v="1.3186590634292338E-5"/>
  </r>
  <r>
    <x v="4"/>
    <x v="4"/>
    <x v="7"/>
    <x v="2"/>
    <n v="213602282.25222278"/>
    <n v="7.5499999999999998E-2"/>
    <x v="323"/>
    <x v="2"/>
    <n v="5"/>
    <n v="5"/>
    <n v="8.5881140501545869E-2"/>
    <n v="1"/>
    <x v="1613"/>
    <n v="2.1977651057153898E-5"/>
  </r>
  <r>
    <x v="4"/>
    <x v="4"/>
    <x v="7"/>
    <x v="3"/>
    <n v="213602282.25222278"/>
    <n v="7.5499999999999998E-2"/>
    <x v="323"/>
    <x v="3"/>
    <n v="7"/>
    <n v="7"/>
    <n v="0.12023359670216421"/>
    <n v="1"/>
    <x v="1614"/>
    <n v="3.0768711480015461E-5"/>
  </r>
  <r>
    <x v="4"/>
    <x v="4"/>
    <x v="7"/>
    <x v="4"/>
    <n v="213602282.25222278"/>
    <n v="7.5499999999999998E-2"/>
    <x v="323"/>
    <x v="8"/>
    <n v="43.24"/>
    <n v="42.22"/>
    <n v="0.72518035039505324"/>
    <n v="1"/>
    <x v="1615"/>
    <n v="1.8557928552660749E-4"/>
  </r>
  <r>
    <x v="4"/>
    <x v="4"/>
    <x v="8"/>
    <x v="0"/>
    <n v="213602282.25222278"/>
    <n v="5.6749999999999995E-2"/>
    <x v="324"/>
    <x v="0"/>
    <n v="1"/>
    <n v="1"/>
    <n v="1.7176228100309172E-2"/>
    <n v="1"/>
    <x v="1616"/>
    <n v="3.3039250264728042E-6"/>
  </r>
  <r>
    <x v="4"/>
    <x v="4"/>
    <x v="8"/>
    <x v="1"/>
    <n v="213602282.25222278"/>
    <n v="5.6749999999999995E-2"/>
    <x v="324"/>
    <x v="1"/>
    <n v="3"/>
    <n v="3"/>
    <n v="5.1528684300927517E-2"/>
    <n v="1"/>
    <x v="1617"/>
    <n v="9.9117750794184127E-6"/>
  </r>
  <r>
    <x v="4"/>
    <x v="4"/>
    <x v="8"/>
    <x v="2"/>
    <n v="213602282.25222278"/>
    <n v="5.6749999999999995E-2"/>
    <x v="324"/>
    <x v="2"/>
    <n v="5"/>
    <n v="5"/>
    <n v="8.5881140501545869E-2"/>
    <n v="1"/>
    <x v="1618"/>
    <n v="1.6519625132364025E-5"/>
  </r>
  <r>
    <x v="4"/>
    <x v="4"/>
    <x v="8"/>
    <x v="3"/>
    <n v="213602282.25222278"/>
    <n v="5.6749999999999995E-2"/>
    <x v="324"/>
    <x v="3"/>
    <n v="7"/>
    <n v="7"/>
    <n v="0.12023359670216421"/>
    <n v="1"/>
    <x v="1619"/>
    <n v="2.3127475185309633E-5"/>
  </r>
  <r>
    <x v="4"/>
    <x v="4"/>
    <x v="8"/>
    <x v="4"/>
    <n v="213602282.25222278"/>
    <n v="5.6749999999999995E-2"/>
    <x v="324"/>
    <x v="8"/>
    <n v="43.24"/>
    <n v="42.22"/>
    <n v="0.72518035039505324"/>
    <n v="1"/>
    <x v="1620"/>
    <n v="1.3949171461768179E-4"/>
  </r>
  <r>
    <x v="4"/>
    <x v="5"/>
    <x v="0"/>
    <x v="0"/>
    <n v="2074583126.9798479"/>
    <n v="0.32174999999999998"/>
    <x v="325"/>
    <x v="0"/>
    <n v="1"/>
    <n v="1"/>
    <n v="1.7176228100309172E-2"/>
    <n v="1"/>
    <x v="1621"/>
    <n v="1.8193146893644504E-4"/>
  </r>
  <r>
    <x v="4"/>
    <x v="5"/>
    <x v="0"/>
    <x v="1"/>
    <n v="2074583126.9798479"/>
    <n v="0.32174999999999998"/>
    <x v="325"/>
    <x v="1"/>
    <n v="3"/>
    <n v="3"/>
    <n v="5.1528684300927517E-2"/>
    <n v="1"/>
    <x v="1622"/>
    <n v="5.4579440680933508E-4"/>
  </r>
  <r>
    <x v="4"/>
    <x v="5"/>
    <x v="0"/>
    <x v="2"/>
    <n v="2074583126.9798479"/>
    <n v="0.32174999999999998"/>
    <x v="325"/>
    <x v="2"/>
    <n v="5"/>
    <n v="5"/>
    <n v="8.5881140501545869E-2"/>
    <n v="1"/>
    <x v="1623"/>
    <n v="9.0965734468222528E-4"/>
  </r>
  <r>
    <x v="4"/>
    <x v="5"/>
    <x v="0"/>
    <x v="3"/>
    <n v="2074583126.9798479"/>
    <n v="0.32174999999999998"/>
    <x v="325"/>
    <x v="3"/>
    <n v="7"/>
    <n v="7"/>
    <n v="0.12023359670216421"/>
    <n v="1"/>
    <x v="1624"/>
    <n v="1.2735202825551154E-3"/>
  </r>
  <r>
    <x v="4"/>
    <x v="5"/>
    <x v="0"/>
    <x v="4"/>
    <n v="2074583126.9798479"/>
    <n v="0.32174999999999998"/>
    <x v="325"/>
    <x v="8"/>
    <n v="43.24"/>
    <n v="42.22"/>
    <n v="0.72518035039505324"/>
    <n v="1"/>
    <x v="1625"/>
    <n v="7.6811466184967094E-3"/>
  </r>
  <r>
    <x v="4"/>
    <x v="5"/>
    <x v="1"/>
    <x v="0"/>
    <n v="2074583126.9798479"/>
    <n v="0.1585"/>
    <x v="326"/>
    <x v="0"/>
    <n v="1"/>
    <n v="1"/>
    <n v="1.7176228100309172E-2"/>
    <n v="1"/>
    <x v="1626"/>
    <n v="8.9622805987339658E-5"/>
  </r>
  <r>
    <x v="4"/>
    <x v="5"/>
    <x v="1"/>
    <x v="1"/>
    <n v="2074583126.9798479"/>
    <n v="0.1585"/>
    <x v="326"/>
    <x v="1"/>
    <n v="3"/>
    <n v="3"/>
    <n v="5.1528684300927517E-2"/>
    <n v="1"/>
    <x v="1627"/>
    <n v="2.6886841796201901E-4"/>
  </r>
  <r>
    <x v="4"/>
    <x v="5"/>
    <x v="1"/>
    <x v="2"/>
    <n v="2074583126.9798479"/>
    <n v="0.1585"/>
    <x v="326"/>
    <x v="2"/>
    <n v="5"/>
    <n v="5"/>
    <n v="8.5881140501545869E-2"/>
    <n v="1"/>
    <x v="1628"/>
    <n v="4.4811402993669836E-4"/>
  </r>
  <r>
    <x v="4"/>
    <x v="5"/>
    <x v="1"/>
    <x v="3"/>
    <n v="2074583126.9798479"/>
    <n v="0.1585"/>
    <x v="326"/>
    <x v="3"/>
    <n v="7"/>
    <n v="7"/>
    <n v="0.12023359670216421"/>
    <n v="1"/>
    <x v="1629"/>
    <n v="6.2735964191137775E-4"/>
  </r>
  <r>
    <x v="4"/>
    <x v="5"/>
    <x v="1"/>
    <x v="4"/>
    <n v="2074583126.9798479"/>
    <n v="0.1585"/>
    <x v="326"/>
    <x v="8"/>
    <n v="43.24"/>
    <n v="42.22"/>
    <n v="0.72518035039505324"/>
    <n v="1"/>
    <x v="1630"/>
    <n v="3.7838748687854806E-3"/>
  </r>
  <r>
    <x v="4"/>
    <x v="5"/>
    <x v="2"/>
    <x v="0"/>
    <n v="2074583126.9798479"/>
    <n v="0.19150000000000003"/>
    <x v="327"/>
    <x v="0"/>
    <n v="1"/>
    <n v="1"/>
    <n v="1.7176228100309172E-2"/>
    <n v="1"/>
    <x v="1631"/>
    <n v="1.0828244382697507E-4"/>
  </r>
  <r>
    <x v="4"/>
    <x v="5"/>
    <x v="2"/>
    <x v="1"/>
    <n v="2074583126.9798479"/>
    <n v="0.19150000000000003"/>
    <x v="327"/>
    <x v="1"/>
    <n v="3"/>
    <n v="3"/>
    <n v="5.1528684300927517E-2"/>
    <n v="1"/>
    <x v="1632"/>
    <n v="3.2484733148092519E-4"/>
  </r>
  <r>
    <x v="4"/>
    <x v="5"/>
    <x v="2"/>
    <x v="2"/>
    <n v="2074583126.9798479"/>
    <n v="0.19150000000000003"/>
    <x v="327"/>
    <x v="2"/>
    <n v="5"/>
    <n v="5"/>
    <n v="8.5881140501545869E-2"/>
    <n v="1"/>
    <x v="1633"/>
    <n v="5.4141221913487541E-4"/>
  </r>
  <r>
    <x v="4"/>
    <x v="5"/>
    <x v="2"/>
    <x v="3"/>
    <n v="2074583126.9798479"/>
    <n v="0.19150000000000003"/>
    <x v="327"/>
    <x v="3"/>
    <n v="7"/>
    <n v="7"/>
    <n v="0.12023359670216421"/>
    <n v="1"/>
    <x v="1634"/>
    <n v="7.5797710678882546E-4"/>
  </r>
  <r>
    <x v="4"/>
    <x v="5"/>
    <x v="2"/>
    <x v="4"/>
    <n v="2074583126.9798479"/>
    <n v="0.19150000000000003"/>
    <x v="327"/>
    <x v="8"/>
    <n v="43.24"/>
    <n v="42.22"/>
    <n v="0.72518035039505324"/>
    <n v="1"/>
    <x v="1635"/>
    <n v="4.5716847783748866E-3"/>
  </r>
  <r>
    <x v="4"/>
    <x v="5"/>
    <x v="3"/>
    <x v="0"/>
    <n v="2074583126.9798479"/>
    <n v="3.4000000000000002E-2"/>
    <x v="328"/>
    <x v="0"/>
    <n v="1"/>
    <n v="1"/>
    <n v="1.7176228100309172E-2"/>
    <n v="1"/>
    <x v="1636"/>
    <n v="1.9225081410533432E-5"/>
  </r>
  <r>
    <x v="4"/>
    <x v="5"/>
    <x v="3"/>
    <x v="1"/>
    <n v="2074583126.9798479"/>
    <n v="3.4000000000000002E-2"/>
    <x v="328"/>
    <x v="1"/>
    <n v="3"/>
    <n v="3"/>
    <n v="5.1528684300927517E-2"/>
    <n v="1"/>
    <x v="1637"/>
    <n v="5.7675244231600295E-5"/>
  </r>
  <r>
    <x v="4"/>
    <x v="5"/>
    <x v="3"/>
    <x v="2"/>
    <n v="2074583126.9798479"/>
    <n v="3.4000000000000002E-2"/>
    <x v="328"/>
    <x v="2"/>
    <n v="5"/>
    <n v="5"/>
    <n v="8.5881140501545869E-2"/>
    <n v="1"/>
    <x v="1638"/>
    <n v="9.6125407052667172E-5"/>
  </r>
  <r>
    <x v="4"/>
    <x v="5"/>
    <x v="3"/>
    <x v="3"/>
    <n v="2074583126.9798479"/>
    <n v="3.4000000000000002E-2"/>
    <x v="328"/>
    <x v="3"/>
    <n v="7"/>
    <n v="7"/>
    <n v="0.12023359670216421"/>
    <n v="1"/>
    <x v="1639"/>
    <n v="1.3457556987373404E-4"/>
  </r>
  <r>
    <x v="4"/>
    <x v="5"/>
    <x v="3"/>
    <x v="4"/>
    <n v="2074583126.9798479"/>
    <n v="3.4000000000000002E-2"/>
    <x v="328"/>
    <x v="8"/>
    <n v="43.24"/>
    <n v="42.22"/>
    <n v="0.72518035039505324"/>
    <n v="1"/>
    <x v="1640"/>
    <n v="8.1168293715272151E-4"/>
  </r>
  <r>
    <x v="4"/>
    <x v="5"/>
    <x v="4"/>
    <x v="0"/>
    <n v="2074583126.9798479"/>
    <n v="7.0750000000000007E-2"/>
    <x v="329"/>
    <x v="0"/>
    <n v="1"/>
    <n v="1"/>
    <n v="1.7176228100309172E-2"/>
    <n v="1"/>
    <x v="1641"/>
    <n v="4.0005132641036481E-5"/>
  </r>
  <r>
    <x v="4"/>
    <x v="5"/>
    <x v="4"/>
    <x v="1"/>
    <n v="2074583126.9798479"/>
    <n v="7.0750000000000007E-2"/>
    <x v="329"/>
    <x v="1"/>
    <n v="3"/>
    <n v="3"/>
    <n v="5.1528684300927517E-2"/>
    <n v="1"/>
    <x v="1642"/>
    <n v="1.2001539792310943E-4"/>
  </r>
  <r>
    <x v="4"/>
    <x v="5"/>
    <x v="4"/>
    <x v="2"/>
    <n v="2074583126.9798479"/>
    <n v="7.0750000000000007E-2"/>
    <x v="329"/>
    <x v="2"/>
    <n v="5"/>
    <n v="5"/>
    <n v="8.5881140501545869E-2"/>
    <n v="1"/>
    <x v="1643"/>
    <n v="2.0002566320518242E-4"/>
  </r>
  <r>
    <x v="4"/>
    <x v="5"/>
    <x v="4"/>
    <x v="3"/>
    <n v="2074583126.9798479"/>
    <n v="7.0750000000000007E-2"/>
    <x v="329"/>
    <x v="3"/>
    <n v="7"/>
    <n v="7"/>
    <n v="0.12023359670216421"/>
    <n v="1"/>
    <x v="1644"/>
    <n v="2.8003592848725544E-4"/>
  </r>
  <r>
    <x v="4"/>
    <x v="5"/>
    <x v="4"/>
    <x v="4"/>
    <n v="2074583126.9798479"/>
    <n v="7.0750000000000007E-2"/>
    <x v="329"/>
    <x v="8"/>
    <n v="43.24"/>
    <n v="42.22"/>
    <n v="0.72518035039505324"/>
    <n v="1"/>
    <x v="1645"/>
    <n v="1.6890167001045603E-3"/>
  </r>
  <r>
    <x v="4"/>
    <x v="5"/>
    <x v="5"/>
    <x v="0"/>
    <n v="2074583126.9798479"/>
    <n v="9.375E-2"/>
    <x v="330"/>
    <x v="0"/>
    <n v="1"/>
    <n v="1"/>
    <n v="1.7176228100309172E-2"/>
    <n v="1"/>
    <x v="1646"/>
    <n v="5.3010334771691443E-5"/>
  </r>
  <r>
    <x v="4"/>
    <x v="5"/>
    <x v="5"/>
    <x v="1"/>
    <n v="2074583126.9798479"/>
    <n v="9.375E-2"/>
    <x v="330"/>
    <x v="1"/>
    <n v="3"/>
    <n v="3"/>
    <n v="5.1528684300927517E-2"/>
    <n v="1"/>
    <x v="1647"/>
    <n v="1.5903100431507433E-4"/>
  </r>
  <r>
    <x v="4"/>
    <x v="5"/>
    <x v="5"/>
    <x v="2"/>
    <n v="2074583126.9798479"/>
    <n v="9.375E-2"/>
    <x v="330"/>
    <x v="2"/>
    <n v="5"/>
    <n v="5"/>
    <n v="8.5881140501545869E-2"/>
    <n v="1"/>
    <x v="1648"/>
    <n v="2.6505167385845724E-4"/>
  </r>
  <r>
    <x v="4"/>
    <x v="5"/>
    <x v="5"/>
    <x v="3"/>
    <n v="2074583126.9798479"/>
    <n v="9.375E-2"/>
    <x v="330"/>
    <x v="3"/>
    <n v="7"/>
    <n v="7"/>
    <n v="0.12023359670216421"/>
    <n v="1"/>
    <x v="1649"/>
    <n v="3.7107234340184018E-4"/>
  </r>
  <r>
    <x v="4"/>
    <x v="5"/>
    <x v="5"/>
    <x v="4"/>
    <n v="2074583126.9798479"/>
    <n v="9.375E-2"/>
    <x v="330"/>
    <x v="8"/>
    <n v="43.24"/>
    <n v="42.22"/>
    <n v="0.72518035039505324"/>
    <n v="1"/>
    <x v="1650"/>
    <n v="2.238096334060813E-3"/>
  </r>
  <r>
    <x v="4"/>
    <x v="5"/>
    <x v="6"/>
    <x v="0"/>
    <n v="2074583126.9798479"/>
    <n v="4.5749999999999992E-2"/>
    <x v="331"/>
    <x v="0"/>
    <n v="1"/>
    <n v="1"/>
    <n v="1.7176228100309172E-2"/>
    <n v="1"/>
    <x v="1651"/>
    <n v="2.5869043368585418E-5"/>
  </r>
  <r>
    <x v="4"/>
    <x v="5"/>
    <x v="6"/>
    <x v="1"/>
    <n v="2074583126.9798479"/>
    <n v="4.5749999999999992E-2"/>
    <x v="331"/>
    <x v="1"/>
    <n v="3"/>
    <n v="3"/>
    <n v="5.1528684300927517E-2"/>
    <n v="1"/>
    <x v="1652"/>
    <n v="7.7607130105756265E-5"/>
  </r>
  <r>
    <x v="4"/>
    <x v="5"/>
    <x v="6"/>
    <x v="2"/>
    <n v="2074583126.9798479"/>
    <n v="4.5749999999999992E-2"/>
    <x v="331"/>
    <x v="2"/>
    <n v="5"/>
    <n v="5"/>
    <n v="8.5881140501545869E-2"/>
    <n v="1"/>
    <x v="1653"/>
    <n v="1.2934521684292711E-4"/>
  </r>
  <r>
    <x v="4"/>
    <x v="5"/>
    <x v="6"/>
    <x v="3"/>
    <n v="2074583126.9798479"/>
    <n v="4.5749999999999992E-2"/>
    <x v="331"/>
    <x v="3"/>
    <n v="7"/>
    <n v="7"/>
    <n v="0.12023359670216421"/>
    <n v="1"/>
    <x v="1654"/>
    <n v="1.8108330358009792E-4"/>
  </r>
  <r>
    <x v="4"/>
    <x v="5"/>
    <x v="6"/>
    <x v="4"/>
    <n v="2074583126.9798479"/>
    <n v="4.5749999999999992E-2"/>
    <x v="331"/>
    <x v="8"/>
    <n v="43.24"/>
    <n v="42.22"/>
    <n v="0.72518035039505324"/>
    <n v="1"/>
    <x v="1655"/>
    <n v="1.0921910110216764E-3"/>
  </r>
  <r>
    <x v="4"/>
    <x v="5"/>
    <x v="7"/>
    <x v="0"/>
    <n v="2074583126.9798479"/>
    <n v="2.8999999999999998E-2"/>
    <x v="332"/>
    <x v="0"/>
    <n v="1"/>
    <n v="1"/>
    <n v="1.7176228100309172E-2"/>
    <n v="1"/>
    <x v="1656"/>
    <n v="1.6397863556043218E-5"/>
  </r>
  <r>
    <x v="4"/>
    <x v="5"/>
    <x v="7"/>
    <x v="1"/>
    <n v="2074583126.9798479"/>
    <n v="2.8999999999999998E-2"/>
    <x v="332"/>
    <x v="1"/>
    <n v="3"/>
    <n v="3"/>
    <n v="5.1528684300927517E-2"/>
    <n v="1"/>
    <x v="1657"/>
    <n v="4.9193590668129657E-5"/>
  </r>
  <r>
    <x v="4"/>
    <x v="5"/>
    <x v="7"/>
    <x v="2"/>
    <n v="2074583126.9798479"/>
    <n v="2.8999999999999998E-2"/>
    <x v="332"/>
    <x v="2"/>
    <n v="5"/>
    <n v="5"/>
    <n v="8.5881140501545869E-2"/>
    <n v="1"/>
    <x v="1658"/>
    <n v="8.1989317780216099E-5"/>
  </r>
  <r>
    <x v="4"/>
    <x v="5"/>
    <x v="7"/>
    <x v="3"/>
    <n v="2074583126.9798479"/>
    <n v="2.8999999999999998E-2"/>
    <x v="332"/>
    <x v="3"/>
    <n v="7"/>
    <n v="7"/>
    <n v="0.12023359670216421"/>
    <n v="1"/>
    <x v="1659"/>
    <n v="1.1478504489230253E-4"/>
  </r>
  <r>
    <x v="4"/>
    <x v="5"/>
    <x v="7"/>
    <x v="4"/>
    <n v="2074583126.9798479"/>
    <n v="2.8999999999999998E-2"/>
    <x v="332"/>
    <x v="8"/>
    <n v="43.24"/>
    <n v="42.22"/>
    <n v="0.72518035039505324"/>
    <n v="1"/>
    <x v="1660"/>
    <n v="6.923177993361446E-4"/>
  </r>
  <r>
    <x v="4"/>
    <x v="5"/>
    <x v="8"/>
    <x v="0"/>
    <n v="2074583126.9798479"/>
    <n v="5.3999999999999992E-2"/>
    <x v="333"/>
    <x v="0"/>
    <n v="1"/>
    <n v="1"/>
    <n v="1.7176228100309172E-2"/>
    <n v="1"/>
    <x v="1661"/>
    <n v="3.0533952828494274E-5"/>
  </r>
  <r>
    <x v="4"/>
    <x v="5"/>
    <x v="8"/>
    <x v="1"/>
    <n v="2074583126.9798479"/>
    <n v="5.3999999999999992E-2"/>
    <x v="333"/>
    <x v="1"/>
    <n v="3"/>
    <n v="3"/>
    <n v="5.1528684300927517E-2"/>
    <n v="1"/>
    <x v="1662"/>
    <n v="9.1601858485482808E-5"/>
  </r>
  <r>
    <x v="4"/>
    <x v="5"/>
    <x v="8"/>
    <x v="2"/>
    <n v="2074583126.9798479"/>
    <n v="5.3999999999999992E-2"/>
    <x v="333"/>
    <x v="2"/>
    <n v="5"/>
    <n v="5"/>
    <n v="8.5881140501545869E-2"/>
    <n v="1"/>
    <x v="1663"/>
    <n v="1.5266976414247136E-4"/>
  </r>
  <r>
    <x v="4"/>
    <x v="5"/>
    <x v="8"/>
    <x v="3"/>
    <n v="2074583126.9798479"/>
    <n v="5.3999999999999992E-2"/>
    <x v="333"/>
    <x v="3"/>
    <n v="7"/>
    <n v="7"/>
    <n v="0.12023359670216421"/>
    <n v="1"/>
    <x v="1664"/>
    <n v="2.137376697994599E-4"/>
  </r>
  <r>
    <x v="4"/>
    <x v="5"/>
    <x v="8"/>
    <x v="4"/>
    <n v="2074583126.9798479"/>
    <n v="5.3999999999999992E-2"/>
    <x v="333"/>
    <x v="8"/>
    <n v="43.24"/>
    <n v="42.22"/>
    <n v="0.72518035039505324"/>
    <n v="1"/>
    <x v="1665"/>
    <n v="1.2891434884190281E-3"/>
  </r>
  <r>
    <x v="4"/>
    <x v="6"/>
    <x v="0"/>
    <x v="0"/>
    <n v="202659444.47580478"/>
    <n v="0.32174999999999998"/>
    <x v="334"/>
    <x v="0"/>
    <n v="1"/>
    <n v="1"/>
    <n v="1.7176228100309172E-2"/>
    <n v="1"/>
    <x v="1666"/>
    <n v="1.7772308059307391E-5"/>
  </r>
  <r>
    <x v="4"/>
    <x v="6"/>
    <x v="0"/>
    <x v="1"/>
    <n v="202659444.47580478"/>
    <n v="0.32174999999999998"/>
    <x v="334"/>
    <x v="1"/>
    <n v="3"/>
    <n v="3"/>
    <n v="5.1528684300927517E-2"/>
    <n v="1"/>
    <x v="1667"/>
    <n v="5.3316924177922174E-5"/>
  </r>
  <r>
    <x v="4"/>
    <x v="6"/>
    <x v="0"/>
    <x v="2"/>
    <n v="202659444.47580478"/>
    <n v="0.32174999999999998"/>
    <x v="334"/>
    <x v="2"/>
    <n v="5"/>
    <n v="5"/>
    <n v="8.5881140501545869E-2"/>
    <n v="1"/>
    <x v="1668"/>
    <n v="8.8861540296536964E-5"/>
  </r>
  <r>
    <x v="4"/>
    <x v="6"/>
    <x v="0"/>
    <x v="3"/>
    <n v="202659444.47580478"/>
    <n v="0.32174999999999998"/>
    <x v="334"/>
    <x v="3"/>
    <n v="7"/>
    <n v="7"/>
    <n v="0.12023359670216421"/>
    <n v="1"/>
    <x v="1669"/>
    <n v="1.2440615641515175E-4"/>
  </r>
  <r>
    <x v="4"/>
    <x v="6"/>
    <x v="0"/>
    <x v="4"/>
    <n v="202659444.47580478"/>
    <n v="0.32174999999999998"/>
    <x v="334"/>
    <x v="8"/>
    <n v="43.24"/>
    <n v="42.22"/>
    <n v="0.72518035039505324"/>
    <n v="1"/>
    <x v="1670"/>
    <n v="7.5034684626395804E-4"/>
  </r>
  <r>
    <x v="4"/>
    <x v="6"/>
    <x v="1"/>
    <x v="0"/>
    <n v="202659444.47580478"/>
    <n v="0.1585"/>
    <x v="335"/>
    <x v="0"/>
    <n v="1"/>
    <n v="1"/>
    <n v="1.7176228100309172E-2"/>
    <n v="1"/>
    <x v="1671"/>
    <n v="8.7549676065274962E-6"/>
  </r>
  <r>
    <x v="4"/>
    <x v="6"/>
    <x v="1"/>
    <x v="1"/>
    <n v="202659444.47580478"/>
    <n v="0.1585"/>
    <x v="335"/>
    <x v="1"/>
    <n v="3"/>
    <n v="3"/>
    <n v="5.1528684300927517E-2"/>
    <n v="1"/>
    <x v="1672"/>
    <n v="2.6264902819582489E-5"/>
  </r>
  <r>
    <x v="4"/>
    <x v="6"/>
    <x v="1"/>
    <x v="2"/>
    <n v="202659444.47580478"/>
    <n v="0.1585"/>
    <x v="335"/>
    <x v="2"/>
    <n v="5"/>
    <n v="5"/>
    <n v="8.5881140501545869E-2"/>
    <n v="1"/>
    <x v="1673"/>
    <n v="4.3774838032637491E-5"/>
  </r>
  <r>
    <x v="4"/>
    <x v="6"/>
    <x v="1"/>
    <x v="3"/>
    <n v="202659444.47580478"/>
    <n v="0.1585"/>
    <x v="335"/>
    <x v="3"/>
    <n v="7"/>
    <n v="7"/>
    <n v="0.12023359670216421"/>
    <n v="1"/>
    <x v="1674"/>
    <n v="6.1284773245692483E-5"/>
  </r>
  <r>
    <x v="4"/>
    <x v="6"/>
    <x v="1"/>
    <x v="4"/>
    <n v="202659444.47580478"/>
    <n v="0.1585"/>
    <x v="335"/>
    <x v="8"/>
    <n v="43.24"/>
    <n v="42.22"/>
    <n v="0.72518035039505324"/>
    <n v="1"/>
    <x v="1675"/>
    <n v="3.6963473234759091E-4"/>
  </r>
  <r>
    <x v="4"/>
    <x v="6"/>
    <x v="2"/>
    <x v="0"/>
    <n v="202659444.47580478"/>
    <n v="0.19150000000000003"/>
    <x v="336"/>
    <x v="0"/>
    <n v="1"/>
    <n v="1"/>
    <n v="1.7176228100309172E-2"/>
    <n v="1"/>
    <x v="1676"/>
    <n v="1.057776843312313E-5"/>
  </r>
  <r>
    <x v="4"/>
    <x v="6"/>
    <x v="2"/>
    <x v="1"/>
    <n v="202659444.47580478"/>
    <n v="0.19150000000000003"/>
    <x v="336"/>
    <x v="1"/>
    <n v="3"/>
    <n v="3"/>
    <n v="5.1528684300927517E-2"/>
    <n v="1"/>
    <x v="1677"/>
    <n v="3.1733305299369386E-5"/>
  </r>
  <r>
    <x v="4"/>
    <x v="6"/>
    <x v="2"/>
    <x v="2"/>
    <n v="202659444.47580478"/>
    <n v="0.19150000000000003"/>
    <x v="336"/>
    <x v="2"/>
    <n v="5"/>
    <n v="5"/>
    <n v="8.5881140501545869E-2"/>
    <n v="1"/>
    <x v="1678"/>
    <n v="5.2888842165615645E-5"/>
  </r>
  <r>
    <x v="4"/>
    <x v="6"/>
    <x v="2"/>
    <x v="3"/>
    <n v="202659444.47580478"/>
    <n v="0.19150000000000003"/>
    <x v="336"/>
    <x v="3"/>
    <n v="7"/>
    <n v="7"/>
    <n v="0.12023359670216421"/>
    <n v="1"/>
    <x v="1679"/>
    <n v="7.4044379031861898E-5"/>
  </r>
  <r>
    <x v="4"/>
    <x v="6"/>
    <x v="2"/>
    <x v="4"/>
    <n v="202659444.47580478"/>
    <n v="0.19150000000000003"/>
    <x v="336"/>
    <x v="8"/>
    <n v="43.24"/>
    <n v="42.22"/>
    <n v="0.72518035039505324"/>
    <n v="1"/>
    <x v="1680"/>
    <n v="4.4659338324645845E-4"/>
  </r>
  <r>
    <x v="4"/>
    <x v="6"/>
    <x v="3"/>
    <x v="0"/>
    <n v="202659444.47580478"/>
    <n v="3.4000000000000002E-2"/>
    <x v="337"/>
    <x v="0"/>
    <n v="1"/>
    <n v="1"/>
    <n v="1.7176228100309172E-2"/>
    <n v="1"/>
    <x v="1681"/>
    <n v="1.8780372152803464E-6"/>
  </r>
  <r>
    <x v="4"/>
    <x v="6"/>
    <x v="3"/>
    <x v="1"/>
    <n v="202659444.47580478"/>
    <n v="3.4000000000000002E-2"/>
    <x v="337"/>
    <x v="1"/>
    <n v="3"/>
    <n v="3"/>
    <n v="5.1528684300927517E-2"/>
    <n v="1"/>
    <x v="1682"/>
    <n v="5.6341116458410391E-6"/>
  </r>
  <r>
    <x v="4"/>
    <x v="6"/>
    <x v="3"/>
    <x v="2"/>
    <n v="202659444.47580478"/>
    <n v="3.4000000000000002E-2"/>
    <x v="337"/>
    <x v="2"/>
    <n v="5"/>
    <n v="5"/>
    <n v="8.5881140501545869E-2"/>
    <n v="1"/>
    <x v="1683"/>
    <n v="9.3901860764017318E-6"/>
  </r>
  <r>
    <x v="4"/>
    <x v="6"/>
    <x v="3"/>
    <x v="3"/>
    <n v="202659444.47580478"/>
    <n v="3.4000000000000002E-2"/>
    <x v="337"/>
    <x v="3"/>
    <n v="7"/>
    <n v="7"/>
    <n v="0.12023359670216421"/>
    <n v="1"/>
    <x v="1684"/>
    <n v="1.3146260506962425E-5"/>
  </r>
  <r>
    <x v="4"/>
    <x v="6"/>
    <x v="3"/>
    <x v="4"/>
    <n v="202659444.47580478"/>
    <n v="3.4000000000000002E-2"/>
    <x v="337"/>
    <x v="8"/>
    <n v="43.24"/>
    <n v="42.22"/>
    <n v="0.72518035039505324"/>
    <n v="1"/>
    <x v="1685"/>
    <n v="7.929073122913621E-5"/>
  </r>
  <r>
    <x v="4"/>
    <x v="6"/>
    <x v="4"/>
    <x v="0"/>
    <n v="202659444.47580478"/>
    <n v="7.0750000000000007E-2"/>
    <x v="338"/>
    <x v="0"/>
    <n v="1"/>
    <n v="1"/>
    <n v="1.7176228100309172E-2"/>
    <n v="1"/>
    <x v="1686"/>
    <n v="3.9079744994436619E-6"/>
  </r>
  <r>
    <x v="4"/>
    <x v="6"/>
    <x v="4"/>
    <x v="1"/>
    <n v="202659444.47580478"/>
    <n v="7.0750000000000007E-2"/>
    <x v="338"/>
    <x v="1"/>
    <n v="3"/>
    <n v="3"/>
    <n v="5.1528684300927517E-2"/>
    <n v="1"/>
    <x v="1687"/>
    <n v="1.1723923498330987E-5"/>
  </r>
  <r>
    <x v="4"/>
    <x v="6"/>
    <x v="4"/>
    <x v="2"/>
    <n v="202659444.47580478"/>
    <n v="7.0750000000000007E-2"/>
    <x v="338"/>
    <x v="2"/>
    <n v="5"/>
    <n v="5"/>
    <n v="8.5881140501545869E-2"/>
    <n v="1"/>
    <x v="1688"/>
    <n v="1.9539872497218314E-5"/>
  </r>
  <r>
    <x v="4"/>
    <x v="6"/>
    <x v="4"/>
    <x v="3"/>
    <n v="202659444.47580478"/>
    <n v="7.0750000000000007E-2"/>
    <x v="338"/>
    <x v="3"/>
    <n v="7"/>
    <n v="7"/>
    <n v="0.12023359670216421"/>
    <n v="1"/>
    <x v="1689"/>
    <n v="2.7355821496105636E-5"/>
  </r>
  <r>
    <x v="4"/>
    <x v="6"/>
    <x v="4"/>
    <x v="4"/>
    <n v="202659444.47580478"/>
    <n v="7.0750000000000007E-2"/>
    <x v="338"/>
    <x v="8"/>
    <n v="43.24"/>
    <n v="42.22"/>
    <n v="0.72518035039505324"/>
    <n v="1"/>
    <x v="1690"/>
    <n v="1.6499468336651142E-4"/>
  </r>
  <r>
    <x v="4"/>
    <x v="6"/>
    <x v="5"/>
    <x v="0"/>
    <n v="202659444.47580478"/>
    <n v="9.375E-2"/>
    <x v="339"/>
    <x v="0"/>
    <n v="1"/>
    <n v="1"/>
    <n v="1.7176228100309172E-2"/>
    <n v="1"/>
    <x v="1691"/>
    <n v="5.1784114391921307E-6"/>
  </r>
  <r>
    <x v="4"/>
    <x v="6"/>
    <x v="5"/>
    <x v="1"/>
    <n v="202659444.47580478"/>
    <n v="9.375E-2"/>
    <x v="339"/>
    <x v="1"/>
    <n v="3"/>
    <n v="3"/>
    <n v="5.1528684300927517E-2"/>
    <n v="1"/>
    <x v="1692"/>
    <n v="1.5535234317576392E-5"/>
  </r>
  <r>
    <x v="4"/>
    <x v="6"/>
    <x v="5"/>
    <x v="2"/>
    <n v="202659444.47580478"/>
    <n v="9.375E-2"/>
    <x v="339"/>
    <x v="2"/>
    <n v="5"/>
    <n v="5"/>
    <n v="8.5881140501545869E-2"/>
    <n v="1"/>
    <x v="1693"/>
    <n v="2.5892057195960657E-5"/>
  </r>
  <r>
    <x v="4"/>
    <x v="6"/>
    <x v="5"/>
    <x v="3"/>
    <n v="202659444.47580478"/>
    <n v="9.375E-2"/>
    <x v="339"/>
    <x v="3"/>
    <n v="7"/>
    <n v="7"/>
    <n v="0.12023359670216421"/>
    <n v="1"/>
    <x v="1694"/>
    <n v="3.6248880074344918E-5"/>
  </r>
  <r>
    <x v="4"/>
    <x v="6"/>
    <x v="5"/>
    <x v="4"/>
    <n v="202659444.47580478"/>
    <n v="9.375E-2"/>
    <x v="339"/>
    <x v="8"/>
    <n v="43.24"/>
    <n v="42.22"/>
    <n v="0.72518035039505324"/>
    <n v="1"/>
    <x v="1695"/>
    <n v="2.1863253096269175E-4"/>
  </r>
  <r>
    <x v="4"/>
    <x v="6"/>
    <x v="6"/>
    <x v="0"/>
    <n v="202659444.47580478"/>
    <n v="4.5749999999999992E-2"/>
    <x v="340"/>
    <x v="0"/>
    <n v="1"/>
    <n v="1"/>
    <n v="1.7176228100309172E-2"/>
    <n v="1"/>
    <x v="1696"/>
    <n v="2.5270647823257594E-6"/>
  </r>
  <r>
    <x v="4"/>
    <x v="6"/>
    <x v="6"/>
    <x v="1"/>
    <n v="202659444.47580478"/>
    <n v="4.5749999999999992E-2"/>
    <x v="340"/>
    <x v="1"/>
    <n v="3"/>
    <n v="3"/>
    <n v="5.1528684300927517E-2"/>
    <n v="1"/>
    <x v="1697"/>
    <n v="7.5811943469772778E-6"/>
  </r>
  <r>
    <x v="4"/>
    <x v="6"/>
    <x v="6"/>
    <x v="2"/>
    <n v="202659444.47580478"/>
    <n v="4.5749999999999992E-2"/>
    <x v="340"/>
    <x v="2"/>
    <n v="5"/>
    <n v="5"/>
    <n v="8.5881140501545869E-2"/>
    <n v="1"/>
    <x v="1698"/>
    <n v="1.2635323911628798E-5"/>
  </r>
  <r>
    <x v="4"/>
    <x v="6"/>
    <x v="6"/>
    <x v="3"/>
    <n v="202659444.47580478"/>
    <n v="4.5749999999999992E-2"/>
    <x v="340"/>
    <x v="3"/>
    <n v="7"/>
    <n v="7"/>
    <n v="0.12023359670216421"/>
    <n v="1"/>
    <x v="1699"/>
    <n v="1.7689453476280316E-5"/>
  </r>
  <r>
    <x v="4"/>
    <x v="6"/>
    <x v="6"/>
    <x v="4"/>
    <n v="202659444.47580478"/>
    <n v="4.5749999999999992E-2"/>
    <x v="340"/>
    <x v="8"/>
    <n v="43.24"/>
    <n v="42.22"/>
    <n v="0.72518035039505324"/>
    <n v="1"/>
    <x v="1700"/>
    <n v="1.0669267510979355E-4"/>
  </r>
  <r>
    <x v="4"/>
    <x v="6"/>
    <x v="7"/>
    <x v="0"/>
    <n v="202659444.47580478"/>
    <n v="2.8999999999999998E-2"/>
    <x v="341"/>
    <x v="0"/>
    <n v="1"/>
    <n v="1"/>
    <n v="1.7176228100309172E-2"/>
    <n v="1"/>
    <x v="1701"/>
    <n v="1.6018552718567659E-6"/>
  </r>
  <r>
    <x v="4"/>
    <x v="6"/>
    <x v="7"/>
    <x v="1"/>
    <n v="202659444.47580478"/>
    <n v="2.8999999999999998E-2"/>
    <x v="341"/>
    <x v="1"/>
    <n v="3"/>
    <n v="3"/>
    <n v="5.1528684300927517E-2"/>
    <n v="1"/>
    <x v="1702"/>
    <n v="4.8055658155702975E-6"/>
  </r>
  <r>
    <x v="4"/>
    <x v="6"/>
    <x v="7"/>
    <x v="2"/>
    <n v="202659444.47580478"/>
    <n v="2.8999999999999998E-2"/>
    <x v="341"/>
    <x v="2"/>
    <n v="5"/>
    <n v="5"/>
    <n v="8.5881140501545869E-2"/>
    <n v="1"/>
    <x v="1703"/>
    <n v="8.0092763592838298E-6"/>
  </r>
  <r>
    <x v="4"/>
    <x v="6"/>
    <x v="7"/>
    <x v="3"/>
    <n v="202659444.47580478"/>
    <n v="2.8999999999999998E-2"/>
    <x v="341"/>
    <x v="3"/>
    <n v="7"/>
    <n v="7"/>
    <n v="0.12023359670216421"/>
    <n v="1"/>
    <x v="1704"/>
    <n v="1.121298690299736E-5"/>
  </r>
  <r>
    <x v="4"/>
    <x v="6"/>
    <x v="7"/>
    <x v="4"/>
    <n v="202659444.47580478"/>
    <n v="2.8999999999999998E-2"/>
    <x v="341"/>
    <x v="8"/>
    <n v="43.24"/>
    <n v="42.22"/>
    <n v="0.72518035039505324"/>
    <n v="1"/>
    <x v="1705"/>
    <n v="6.7630329577792657E-5"/>
  </r>
  <r>
    <x v="4"/>
    <x v="6"/>
    <x v="8"/>
    <x v="0"/>
    <n v="202659444.47580478"/>
    <n v="5.3999999999999992E-2"/>
    <x v="342"/>
    <x v="0"/>
    <n v="1"/>
    <n v="1"/>
    <n v="1.7176228100309172E-2"/>
    <n v="1"/>
    <x v="1706"/>
    <n v="2.9827649889746665E-6"/>
  </r>
  <r>
    <x v="4"/>
    <x v="6"/>
    <x v="8"/>
    <x v="1"/>
    <n v="202659444.47580478"/>
    <n v="5.3999999999999992E-2"/>
    <x v="342"/>
    <x v="1"/>
    <n v="3"/>
    <n v="3"/>
    <n v="5.1528684300927517E-2"/>
    <n v="1"/>
    <x v="1707"/>
    <n v="8.9482949669240004E-6"/>
  </r>
  <r>
    <x v="4"/>
    <x v="6"/>
    <x v="8"/>
    <x v="2"/>
    <n v="202659444.47580478"/>
    <n v="5.3999999999999992E-2"/>
    <x v="342"/>
    <x v="2"/>
    <n v="5"/>
    <n v="5"/>
    <n v="8.5881140501545869E-2"/>
    <n v="1"/>
    <x v="1708"/>
    <n v="1.4913824944873335E-5"/>
  </r>
  <r>
    <x v="4"/>
    <x v="6"/>
    <x v="8"/>
    <x v="3"/>
    <n v="202659444.47580478"/>
    <n v="5.3999999999999992E-2"/>
    <x v="342"/>
    <x v="3"/>
    <n v="7"/>
    <n v="7"/>
    <n v="0.12023359670216421"/>
    <n v="1"/>
    <x v="1709"/>
    <n v="2.0879354922822666E-5"/>
  </r>
  <r>
    <x v="4"/>
    <x v="6"/>
    <x v="8"/>
    <x v="4"/>
    <n v="202659444.47580478"/>
    <n v="5.3999999999999992E-2"/>
    <x v="342"/>
    <x v="8"/>
    <n v="43.24"/>
    <n v="42.22"/>
    <n v="0.72518035039505324"/>
    <n v="1"/>
    <x v="1710"/>
    <n v="1.2593233783451043E-4"/>
  </r>
  <r>
    <x v="4"/>
    <x v="7"/>
    <x v="0"/>
    <x v="0"/>
    <n v="4212198972.0526061"/>
    <n v="0.57799999999999996"/>
    <x v="343"/>
    <x v="0"/>
    <n v="1"/>
    <n v="1"/>
    <n v="1.7176228100309172E-2"/>
    <n v="1"/>
    <x v="1711"/>
    <n v="6.6358283779181348E-4"/>
  </r>
  <r>
    <x v="4"/>
    <x v="7"/>
    <x v="0"/>
    <x v="1"/>
    <n v="4212198972.0526061"/>
    <n v="0.57799999999999996"/>
    <x v="343"/>
    <x v="1"/>
    <n v="3"/>
    <n v="3"/>
    <n v="5.1528684300927517E-2"/>
    <n v="1"/>
    <x v="1712"/>
    <n v="1.9907485133754408E-3"/>
  </r>
  <r>
    <x v="4"/>
    <x v="7"/>
    <x v="0"/>
    <x v="2"/>
    <n v="4212198972.0526061"/>
    <n v="0.57799999999999996"/>
    <x v="343"/>
    <x v="2"/>
    <n v="5"/>
    <n v="5"/>
    <n v="8.5881140501545869E-2"/>
    <n v="1"/>
    <x v="1713"/>
    <n v="3.3179141889590679E-3"/>
  </r>
  <r>
    <x v="4"/>
    <x v="7"/>
    <x v="0"/>
    <x v="3"/>
    <n v="4212198972.0526061"/>
    <n v="0.57799999999999996"/>
    <x v="343"/>
    <x v="3"/>
    <n v="7"/>
    <n v="7"/>
    <n v="0.12023359670216421"/>
    <n v="1"/>
    <x v="1714"/>
    <n v="4.6450798645426951E-3"/>
  </r>
  <r>
    <x v="4"/>
    <x v="7"/>
    <x v="0"/>
    <x v="4"/>
    <n v="4212198972.0526061"/>
    <n v="0.57799999999999996"/>
    <x v="343"/>
    <x v="8"/>
    <n v="43.24"/>
    <n v="42.22"/>
    <n v="0.72518035039505324"/>
    <n v="1"/>
    <x v="1715"/>
    <n v="2.8016467411570368E-2"/>
  </r>
  <r>
    <x v="4"/>
    <x v="7"/>
    <x v="1"/>
    <x v="0"/>
    <n v="4212198972.0526061"/>
    <n v="1.325E-2"/>
    <x v="344"/>
    <x v="0"/>
    <n v="1"/>
    <n v="1"/>
    <n v="1.7176228100309172E-2"/>
    <n v="1"/>
    <x v="1716"/>
    <n v="1.5211890312701611E-5"/>
  </r>
  <r>
    <x v="4"/>
    <x v="7"/>
    <x v="1"/>
    <x v="1"/>
    <n v="4212198972.0526061"/>
    <n v="1.325E-2"/>
    <x v="344"/>
    <x v="1"/>
    <n v="3"/>
    <n v="3"/>
    <n v="5.1528684300927517E-2"/>
    <n v="1"/>
    <x v="1717"/>
    <n v="4.5635670938104831E-5"/>
  </r>
  <r>
    <x v="4"/>
    <x v="7"/>
    <x v="1"/>
    <x v="2"/>
    <n v="4212198972.0526061"/>
    <n v="1.325E-2"/>
    <x v="344"/>
    <x v="2"/>
    <n v="5"/>
    <n v="5"/>
    <n v="8.5881140501545869E-2"/>
    <n v="1"/>
    <x v="1718"/>
    <n v="7.605945156350806E-5"/>
  </r>
  <r>
    <x v="4"/>
    <x v="7"/>
    <x v="1"/>
    <x v="3"/>
    <n v="4212198972.0526061"/>
    <n v="1.325E-2"/>
    <x v="344"/>
    <x v="3"/>
    <n v="7"/>
    <n v="7"/>
    <n v="0.12023359670216421"/>
    <n v="1"/>
    <x v="1719"/>
    <n v="1.0648323218891128E-4"/>
  </r>
  <r>
    <x v="4"/>
    <x v="7"/>
    <x v="1"/>
    <x v="4"/>
    <n v="4212198972.0526061"/>
    <n v="1.325E-2"/>
    <x v="344"/>
    <x v="8"/>
    <n v="43.24"/>
    <n v="42.22"/>
    <n v="0.72518035039505324"/>
    <n v="1"/>
    <x v="1720"/>
    <n v="6.422460090022619E-4"/>
  </r>
  <r>
    <x v="4"/>
    <x v="7"/>
    <x v="2"/>
    <x v="0"/>
    <n v="4212198972.0526061"/>
    <n v="0.10200000000000001"/>
    <x v="345"/>
    <x v="0"/>
    <n v="1"/>
    <n v="1"/>
    <n v="1.7176228100309172E-2"/>
    <n v="1"/>
    <x v="1721"/>
    <n v="1.1710285372796712E-4"/>
  </r>
  <r>
    <x v="4"/>
    <x v="7"/>
    <x v="2"/>
    <x v="1"/>
    <n v="4212198972.0526061"/>
    <n v="0.10200000000000001"/>
    <x v="345"/>
    <x v="1"/>
    <n v="3"/>
    <n v="3"/>
    <n v="5.1528684300927517E-2"/>
    <n v="1"/>
    <x v="1722"/>
    <n v="3.5130856118390137E-4"/>
  </r>
  <r>
    <x v="4"/>
    <x v="7"/>
    <x v="2"/>
    <x v="2"/>
    <n v="4212198972.0526061"/>
    <n v="0.10200000000000001"/>
    <x v="345"/>
    <x v="2"/>
    <n v="5"/>
    <n v="5"/>
    <n v="8.5881140501545869E-2"/>
    <n v="1"/>
    <x v="1723"/>
    <n v="5.8551426863983572E-4"/>
  </r>
  <r>
    <x v="4"/>
    <x v="7"/>
    <x v="2"/>
    <x v="3"/>
    <n v="4212198972.0526061"/>
    <n v="0.10200000000000001"/>
    <x v="345"/>
    <x v="3"/>
    <n v="7"/>
    <n v="7"/>
    <n v="0.12023359670216421"/>
    <n v="1"/>
    <x v="1724"/>
    <n v="8.1971997609576986E-4"/>
  </r>
  <r>
    <x v="4"/>
    <x v="7"/>
    <x v="2"/>
    <x v="4"/>
    <n v="4212198972.0526061"/>
    <n v="0.10200000000000001"/>
    <x v="345"/>
    <x v="8"/>
    <n v="43.24"/>
    <n v="42.22"/>
    <n v="0.72518035039505324"/>
    <n v="1"/>
    <x v="1725"/>
    <n v="4.9440824843947715E-3"/>
  </r>
  <r>
    <x v="4"/>
    <x v="7"/>
    <x v="3"/>
    <x v="0"/>
    <n v="4212198972.0526061"/>
    <n v="3.4499999999999996E-2"/>
    <x v="346"/>
    <x v="0"/>
    <n v="1"/>
    <n v="1"/>
    <n v="1.7176228100309172E-2"/>
    <n v="1"/>
    <x v="1726"/>
    <n v="3.9608318172694752E-5"/>
  </r>
  <r>
    <x v="4"/>
    <x v="7"/>
    <x v="3"/>
    <x v="1"/>
    <n v="4212198972.0526061"/>
    <n v="3.4499999999999996E-2"/>
    <x v="346"/>
    <x v="1"/>
    <n v="3"/>
    <n v="3"/>
    <n v="5.1528684300927517E-2"/>
    <n v="1"/>
    <x v="1727"/>
    <n v="1.1882495451808426E-4"/>
  </r>
  <r>
    <x v="4"/>
    <x v="7"/>
    <x v="3"/>
    <x v="2"/>
    <n v="4212198972.0526061"/>
    <n v="3.4499999999999996E-2"/>
    <x v="346"/>
    <x v="2"/>
    <n v="5"/>
    <n v="5"/>
    <n v="8.5881140501545869E-2"/>
    <n v="1"/>
    <x v="1728"/>
    <n v="1.9804159086347377E-4"/>
  </r>
  <r>
    <x v="4"/>
    <x v="7"/>
    <x v="3"/>
    <x v="3"/>
    <n v="4212198972.0526061"/>
    <n v="3.4499999999999996E-2"/>
    <x v="346"/>
    <x v="3"/>
    <n v="7"/>
    <n v="7"/>
    <n v="0.12023359670216421"/>
    <n v="1"/>
    <x v="1729"/>
    <n v="2.7725822720886328E-4"/>
  </r>
  <r>
    <x v="4"/>
    <x v="7"/>
    <x v="3"/>
    <x v="4"/>
    <n v="4212198972.0526061"/>
    <n v="3.4499999999999996E-2"/>
    <x v="346"/>
    <x v="8"/>
    <n v="43.24"/>
    <n v="42.22"/>
    <n v="0.72518035039505324"/>
    <n v="1"/>
    <x v="1730"/>
    <n v="1.6722631932511724E-3"/>
  </r>
  <r>
    <x v="4"/>
    <x v="7"/>
    <x v="4"/>
    <x v="0"/>
    <n v="4212198972.0526061"/>
    <n v="2.3749999999999997E-2"/>
    <x v="347"/>
    <x v="0"/>
    <n v="1"/>
    <n v="1"/>
    <n v="1.7176228100309172E-2"/>
    <n v="1"/>
    <x v="1731"/>
    <n v="2.7266595843521749E-5"/>
  </r>
  <r>
    <x v="4"/>
    <x v="7"/>
    <x v="4"/>
    <x v="1"/>
    <n v="4212198972.0526061"/>
    <n v="2.3749999999999997E-2"/>
    <x v="347"/>
    <x v="1"/>
    <n v="3"/>
    <n v="3"/>
    <n v="5.1528684300927517E-2"/>
    <n v="1"/>
    <x v="1732"/>
    <n v="8.179978753056525E-5"/>
  </r>
  <r>
    <x v="4"/>
    <x v="7"/>
    <x v="4"/>
    <x v="2"/>
    <n v="4212198972.0526061"/>
    <n v="2.3749999999999997E-2"/>
    <x v="347"/>
    <x v="2"/>
    <n v="5"/>
    <n v="5"/>
    <n v="8.5881140501545869E-2"/>
    <n v="1"/>
    <x v="1733"/>
    <n v="1.3633297921760874E-4"/>
  </r>
  <r>
    <x v="4"/>
    <x v="7"/>
    <x v="4"/>
    <x v="3"/>
    <n v="4212198972.0526061"/>
    <n v="2.3749999999999997E-2"/>
    <x v="347"/>
    <x v="3"/>
    <n v="7"/>
    <n v="7"/>
    <n v="0.12023359670216421"/>
    <n v="1"/>
    <x v="1734"/>
    <n v="1.9086617090465226E-4"/>
  </r>
  <r>
    <x v="4"/>
    <x v="7"/>
    <x v="4"/>
    <x v="4"/>
    <n v="4212198972.0526061"/>
    <n v="2.3749999999999997E-2"/>
    <x v="347"/>
    <x v="8"/>
    <n v="43.24"/>
    <n v="42.22"/>
    <n v="0.72518035039505324"/>
    <n v="1"/>
    <x v="1735"/>
    <n v="1.1511956765134883E-3"/>
  </r>
  <r>
    <x v="4"/>
    <x v="7"/>
    <x v="5"/>
    <x v="0"/>
    <n v="4212198972.0526061"/>
    <n v="7.2499999999999995E-2"/>
    <x v="348"/>
    <x v="0"/>
    <n v="1"/>
    <n v="1"/>
    <n v="1.7176228100309172E-2"/>
    <n v="1"/>
    <x v="1736"/>
    <n v="8.3234871522329574E-5"/>
  </r>
  <r>
    <x v="4"/>
    <x v="7"/>
    <x v="5"/>
    <x v="1"/>
    <n v="4212198972.0526061"/>
    <n v="7.2499999999999995E-2"/>
    <x v="348"/>
    <x v="1"/>
    <n v="3"/>
    <n v="3"/>
    <n v="5.1528684300927517E-2"/>
    <n v="1"/>
    <x v="1737"/>
    <n v="2.4970461456698867E-4"/>
  </r>
  <r>
    <x v="4"/>
    <x v="7"/>
    <x v="5"/>
    <x v="2"/>
    <n v="4212198972.0526061"/>
    <n v="7.2499999999999995E-2"/>
    <x v="348"/>
    <x v="2"/>
    <n v="5"/>
    <n v="5"/>
    <n v="8.5881140501545869E-2"/>
    <n v="1"/>
    <x v="1738"/>
    <n v="4.1617435761164787E-4"/>
  </r>
  <r>
    <x v="4"/>
    <x v="7"/>
    <x v="5"/>
    <x v="3"/>
    <n v="4212198972.0526061"/>
    <n v="7.2499999999999995E-2"/>
    <x v="348"/>
    <x v="3"/>
    <n v="7"/>
    <n v="7"/>
    <n v="0.12023359670216421"/>
    <n v="1"/>
    <x v="1739"/>
    <n v="5.8264410065630697E-4"/>
  </r>
  <r>
    <x v="4"/>
    <x v="7"/>
    <x v="5"/>
    <x v="4"/>
    <n v="4212198972.0526061"/>
    <n v="7.2499999999999995E-2"/>
    <x v="348"/>
    <x v="8"/>
    <n v="43.24"/>
    <n v="42.22"/>
    <n v="0.72518035039505324"/>
    <n v="1"/>
    <x v="1740"/>
    <n v="3.5141762756727545E-3"/>
  </r>
  <r>
    <x v="4"/>
    <x v="7"/>
    <x v="6"/>
    <x v="0"/>
    <n v="4212198972.0526061"/>
    <n v="7.4999999999999997E-2"/>
    <x v="349"/>
    <x v="0"/>
    <n v="1"/>
    <n v="1"/>
    <n v="1.7176228100309172E-2"/>
    <n v="1"/>
    <x v="1741"/>
    <n v="8.6105039505858169E-5"/>
  </r>
  <r>
    <x v="4"/>
    <x v="7"/>
    <x v="6"/>
    <x v="1"/>
    <n v="4212198972.0526061"/>
    <n v="7.4999999999999997E-2"/>
    <x v="349"/>
    <x v="1"/>
    <n v="3"/>
    <n v="3"/>
    <n v="5.1528684300927517E-2"/>
    <n v="1"/>
    <x v="1742"/>
    <n v="2.5831511851757451E-4"/>
  </r>
  <r>
    <x v="4"/>
    <x v="7"/>
    <x v="6"/>
    <x v="2"/>
    <n v="4212198972.0526061"/>
    <n v="7.4999999999999997E-2"/>
    <x v="349"/>
    <x v="2"/>
    <n v="5"/>
    <n v="5"/>
    <n v="8.5881140501545869E-2"/>
    <n v="1"/>
    <x v="1743"/>
    <n v="4.3052519752929085E-4"/>
  </r>
  <r>
    <x v="4"/>
    <x v="7"/>
    <x v="6"/>
    <x v="3"/>
    <n v="4212198972.0526061"/>
    <n v="7.4999999999999997E-2"/>
    <x v="349"/>
    <x v="3"/>
    <n v="7"/>
    <n v="7"/>
    <n v="0.12023359670216421"/>
    <n v="1"/>
    <x v="1744"/>
    <n v="6.0273527654100718E-4"/>
  </r>
  <r>
    <x v="4"/>
    <x v="7"/>
    <x v="6"/>
    <x v="4"/>
    <n v="4212198972.0526061"/>
    <n v="7.4999999999999997E-2"/>
    <x v="349"/>
    <x v="8"/>
    <n v="43.24"/>
    <n v="42.22"/>
    <n v="0.72518035039505324"/>
    <n v="1"/>
    <x v="1745"/>
    <n v="3.6353547679373317E-3"/>
  </r>
  <r>
    <x v="4"/>
    <x v="7"/>
    <x v="7"/>
    <x v="0"/>
    <n v="4212198972.0526061"/>
    <n v="4.2249999999999996E-2"/>
    <x v="350"/>
    <x v="0"/>
    <n v="1"/>
    <n v="1"/>
    <n v="1.7176228100309172E-2"/>
    <n v="1"/>
    <x v="1746"/>
    <n v="4.8505838921633439E-5"/>
  </r>
  <r>
    <x v="4"/>
    <x v="7"/>
    <x v="7"/>
    <x v="1"/>
    <n v="4212198972.0526061"/>
    <n v="4.2249999999999996E-2"/>
    <x v="350"/>
    <x v="1"/>
    <n v="3"/>
    <n v="3"/>
    <n v="5.1528684300927517E-2"/>
    <n v="1"/>
    <x v="1747"/>
    <n v="1.455175167649003E-4"/>
  </r>
  <r>
    <x v="4"/>
    <x v="7"/>
    <x v="7"/>
    <x v="2"/>
    <n v="4212198972.0526061"/>
    <n v="4.2249999999999996E-2"/>
    <x v="350"/>
    <x v="2"/>
    <n v="5"/>
    <n v="5"/>
    <n v="8.5881140501545869E-2"/>
    <n v="1"/>
    <x v="1748"/>
    <n v="2.4252919460816721E-4"/>
  </r>
  <r>
    <x v="4"/>
    <x v="7"/>
    <x v="7"/>
    <x v="3"/>
    <n v="4212198972.0526061"/>
    <n v="4.2249999999999996E-2"/>
    <x v="350"/>
    <x v="3"/>
    <n v="7"/>
    <n v="7"/>
    <n v="0.12023359670216421"/>
    <n v="1"/>
    <x v="1749"/>
    <n v="3.3954087245143406E-4"/>
  </r>
  <r>
    <x v="4"/>
    <x v="7"/>
    <x v="7"/>
    <x v="4"/>
    <n v="4212198972.0526061"/>
    <n v="4.2249999999999996E-2"/>
    <x v="350"/>
    <x v="8"/>
    <n v="43.24"/>
    <n v="42.22"/>
    <n v="0.72518035039505324"/>
    <n v="1"/>
    <x v="1750"/>
    <n v="2.0479165192713636E-3"/>
  </r>
  <r>
    <x v="4"/>
    <x v="7"/>
    <x v="8"/>
    <x v="0"/>
    <n v="4212198972.0526061"/>
    <n v="5.8749999999999997E-2"/>
    <x v="351"/>
    <x v="0"/>
    <n v="1"/>
    <n v="1"/>
    <n v="1.7176228100309172E-2"/>
    <n v="1"/>
    <x v="1751"/>
    <n v="6.7448947612922235E-5"/>
  </r>
  <r>
    <x v="4"/>
    <x v="7"/>
    <x v="8"/>
    <x v="1"/>
    <n v="4212198972.0526061"/>
    <n v="5.8749999999999997E-2"/>
    <x v="351"/>
    <x v="1"/>
    <n v="3"/>
    <n v="3"/>
    <n v="5.1528684300927517E-2"/>
    <n v="1"/>
    <x v="1752"/>
    <n v="2.0234684283876669E-4"/>
  </r>
  <r>
    <x v="4"/>
    <x v="7"/>
    <x v="8"/>
    <x v="2"/>
    <n v="4212198972.0526061"/>
    <n v="5.8749999999999997E-2"/>
    <x v="351"/>
    <x v="2"/>
    <n v="5"/>
    <n v="5"/>
    <n v="8.5881140501545869E-2"/>
    <n v="1"/>
    <x v="1753"/>
    <n v="3.3724473806461116E-4"/>
  </r>
  <r>
    <x v="4"/>
    <x v="7"/>
    <x v="8"/>
    <x v="3"/>
    <n v="4212198972.0526061"/>
    <n v="5.8749999999999997E-2"/>
    <x v="351"/>
    <x v="3"/>
    <n v="7"/>
    <n v="7"/>
    <n v="0.12023359670216421"/>
    <n v="1"/>
    <x v="1754"/>
    <n v="4.7214263329045566E-4"/>
  </r>
  <r>
    <x v="4"/>
    <x v="7"/>
    <x v="8"/>
    <x v="4"/>
    <n v="4212198972.0526061"/>
    <n v="5.8749999999999997E-2"/>
    <x v="351"/>
    <x v="8"/>
    <n v="43.24"/>
    <n v="42.22"/>
    <n v="0.72518035039505324"/>
    <n v="1"/>
    <x v="1755"/>
    <n v="2.8476945682175767E-3"/>
  </r>
  <r>
    <x v="5"/>
    <x v="0"/>
    <x v="0"/>
    <x v="0"/>
    <n v="43130427324.122261"/>
    <n v="0.21325000000000002"/>
    <x v="352"/>
    <x v="0"/>
    <n v="1"/>
    <n v="1"/>
    <n v="2.3282887077997669E-2"/>
    <n v="1"/>
    <x v="1756"/>
    <n v="3.3981321405959892E-3"/>
  </r>
  <r>
    <x v="5"/>
    <x v="0"/>
    <x v="0"/>
    <x v="1"/>
    <n v="43130427324.122261"/>
    <n v="0.21325000000000002"/>
    <x v="352"/>
    <x v="1"/>
    <n v="3"/>
    <n v="3"/>
    <n v="6.9848661233993012E-2"/>
    <n v="1"/>
    <x v="1757"/>
    <n v="9.8130763880967982E-3"/>
  </r>
  <r>
    <x v="5"/>
    <x v="0"/>
    <x v="0"/>
    <x v="2"/>
    <n v="43130427324.122261"/>
    <n v="0.21325000000000002"/>
    <x v="352"/>
    <x v="2"/>
    <n v="5"/>
    <n v="5"/>
    <n v="0.11641443538998836"/>
    <n v="1"/>
    <x v="1758"/>
    <n v="1.6355127313494665E-2"/>
  </r>
  <r>
    <x v="5"/>
    <x v="0"/>
    <x v="0"/>
    <x v="3"/>
    <n v="43130427324.122261"/>
    <n v="0.21325000000000002"/>
    <x v="352"/>
    <x v="3"/>
    <n v="7"/>
    <n v="7"/>
    <n v="0.16298020954598369"/>
    <n v="1"/>
    <x v="1759"/>
    <n v="2.2897178238892528E-2"/>
  </r>
  <r>
    <x v="5"/>
    <x v="0"/>
    <x v="0"/>
    <x v="4"/>
    <n v="43130427324.122261"/>
    <n v="0.21325000000000002"/>
    <x v="352"/>
    <x v="9"/>
    <n v="28.2"/>
    <n v="26.95"/>
    <n v="0.62747380675203723"/>
    <n v="1"/>
    <x v="1760"/>
    <n v="8.8154136219736251E-2"/>
  </r>
  <r>
    <x v="5"/>
    <x v="0"/>
    <x v="1"/>
    <x v="0"/>
    <n v="43130427324.122261"/>
    <n v="2.0749999999999998E-2"/>
    <x v="353"/>
    <x v="0"/>
    <n v="1"/>
    <n v="1"/>
    <n v="2.3282887077997669E-2"/>
    <n v="1"/>
    <x v="1761"/>
    <n v="3.1828266518641422E-4"/>
  </r>
  <r>
    <x v="5"/>
    <x v="0"/>
    <x v="1"/>
    <x v="1"/>
    <n v="43130427324.122261"/>
    <n v="2.0749999999999998E-2"/>
    <x v="353"/>
    <x v="1"/>
    <n v="3"/>
    <n v="3"/>
    <n v="6.9848661233993012E-2"/>
    <n v="1"/>
    <x v="1762"/>
    <n v="9.5484799555924267E-4"/>
  </r>
  <r>
    <x v="5"/>
    <x v="0"/>
    <x v="1"/>
    <x v="2"/>
    <n v="43130427324.122261"/>
    <n v="2.0749999999999998E-2"/>
    <x v="353"/>
    <x v="2"/>
    <n v="5"/>
    <n v="5"/>
    <n v="0.11641443538998836"/>
    <n v="1"/>
    <x v="1763"/>
    <n v="1.5914133259320713E-3"/>
  </r>
  <r>
    <x v="5"/>
    <x v="0"/>
    <x v="1"/>
    <x v="3"/>
    <n v="43130427324.122261"/>
    <n v="2.0749999999999998E-2"/>
    <x v="353"/>
    <x v="3"/>
    <n v="7"/>
    <n v="7"/>
    <n v="0.16298020954598369"/>
    <n v="1"/>
    <x v="1764"/>
    <n v="2.2279786563048996E-3"/>
  </r>
  <r>
    <x v="5"/>
    <x v="0"/>
    <x v="1"/>
    <x v="4"/>
    <n v="43130427324.122261"/>
    <n v="2.0749999999999998E-2"/>
    <x v="353"/>
    <x v="9"/>
    <n v="28.2"/>
    <n v="26.95"/>
    <n v="0.62747380675203723"/>
    <n v="1"/>
    <x v="1765"/>
    <n v="8.5777178267738632E-3"/>
  </r>
  <r>
    <x v="5"/>
    <x v="0"/>
    <x v="2"/>
    <x v="0"/>
    <n v="43130427324.122261"/>
    <n v="0.21225000000000002"/>
    <x v="354"/>
    <x v="0"/>
    <n v="1"/>
    <n v="1"/>
    <n v="2.3282887077997669E-2"/>
    <n v="1"/>
    <x v="1766"/>
    <n v="3.2556865390754902E-3"/>
  </r>
  <r>
    <x v="5"/>
    <x v="0"/>
    <x v="2"/>
    <x v="1"/>
    <n v="43130427324.122261"/>
    <n v="0.21225000000000002"/>
    <x v="354"/>
    <x v="1"/>
    <n v="3"/>
    <n v="3"/>
    <n v="6.9848661233993012E-2"/>
    <n v="1"/>
    <x v="1767"/>
    <n v="9.7670596172264729E-3"/>
  </r>
  <r>
    <x v="5"/>
    <x v="0"/>
    <x v="2"/>
    <x v="2"/>
    <n v="43130427324.122261"/>
    <n v="0.21225000000000002"/>
    <x v="354"/>
    <x v="2"/>
    <n v="5"/>
    <n v="5"/>
    <n v="0.11641443538998836"/>
    <n v="1"/>
    <x v="1768"/>
    <n v="1.6278432695377456E-2"/>
  </r>
  <r>
    <x v="5"/>
    <x v="0"/>
    <x v="2"/>
    <x v="3"/>
    <n v="43130427324.122261"/>
    <n v="0.21225000000000002"/>
    <x v="354"/>
    <x v="3"/>
    <n v="7"/>
    <n v="7"/>
    <n v="0.16298020954598369"/>
    <n v="1"/>
    <x v="1769"/>
    <n v="2.2789805773528432E-2"/>
  </r>
  <r>
    <x v="5"/>
    <x v="0"/>
    <x v="2"/>
    <x v="4"/>
    <n v="43130427324.122261"/>
    <n v="0.21225000000000002"/>
    <x v="354"/>
    <x v="9"/>
    <n v="28.2"/>
    <n v="26.95"/>
    <n v="0.62747380675203723"/>
    <n v="1"/>
    <x v="1770"/>
    <n v="8.7740752228084473E-2"/>
  </r>
  <r>
    <x v="5"/>
    <x v="0"/>
    <x v="3"/>
    <x v="0"/>
    <n v="43130427324.122261"/>
    <n v="3.125E-2"/>
    <x v="355"/>
    <x v="0"/>
    <n v="1"/>
    <n v="1"/>
    <n v="2.3282887077997669E-2"/>
    <n v="1"/>
    <x v="1771"/>
    <n v="4.7934136323255156E-4"/>
  </r>
  <r>
    <x v="5"/>
    <x v="0"/>
    <x v="3"/>
    <x v="1"/>
    <n v="43130427324.122261"/>
    <n v="3.125E-2"/>
    <x v="355"/>
    <x v="1"/>
    <n v="3"/>
    <n v="3"/>
    <n v="6.9848661233993012E-2"/>
    <n v="1"/>
    <x v="1772"/>
    <n v="1.4380240896976547E-3"/>
  </r>
  <r>
    <x v="5"/>
    <x v="0"/>
    <x v="3"/>
    <x v="2"/>
    <n v="43130427324.122261"/>
    <n v="3.125E-2"/>
    <x v="355"/>
    <x v="2"/>
    <n v="5"/>
    <n v="5"/>
    <n v="0.11641443538998836"/>
    <n v="1"/>
    <x v="1773"/>
    <n v="2.3967068161627582E-3"/>
  </r>
  <r>
    <x v="5"/>
    <x v="0"/>
    <x v="3"/>
    <x v="3"/>
    <n v="43130427324.122261"/>
    <n v="3.125E-2"/>
    <x v="355"/>
    <x v="3"/>
    <n v="7"/>
    <n v="7"/>
    <n v="0.16298020954598369"/>
    <n v="1"/>
    <x v="1774"/>
    <n v="3.3553895426278609E-3"/>
  </r>
  <r>
    <x v="5"/>
    <x v="0"/>
    <x v="3"/>
    <x v="4"/>
    <n v="43130427324.122261"/>
    <n v="3.125E-2"/>
    <x v="355"/>
    <x v="9"/>
    <n v="28.2"/>
    <n v="26.95"/>
    <n v="0.62747380675203723"/>
    <n v="1"/>
    <x v="1775"/>
    <n v="1.2918249739117265E-2"/>
  </r>
  <r>
    <x v="5"/>
    <x v="0"/>
    <x v="4"/>
    <x v="0"/>
    <n v="43130427324.122261"/>
    <n v="0.11175"/>
    <x v="356"/>
    <x v="0"/>
    <n v="1"/>
    <n v="1"/>
    <n v="2.3282887077997669E-2"/>
    <n v="1"/>
    <x v="1776"/>
    <n v="1.7141247149196047E-3"/>
  </r>
  <r>
    <x v="5"/>
    <x v="0"/>
    <x v="4"/>
    <x v="1"/>
    <n v="43130427324.122261"/>
    <n v="0.11175"/>
    <x v="356"/>
    <x v="1"/>
    <n v="3"/>
    <n v="3"/>
    <n v="6.9848661233993012E-2"/>
    <n v="1"/>
    <x v="1777"/>
    <n v="5.1423741447588142E-3"/>
  </r>
  <r>
    <x v="5"/>
    <x v="0"/>
    <x v="4"/>
    <x v="2"/>
    <n v="43130427324.122261"/>
    <n v="0.11175"/>
    <x v="356"/>
    <x v="2"/>
    <n v="5"/>
    <n v="5"/>
    <n v="0.11641443538998836"/>
    <n v="1"/>
    <x v="1778"/>
    <n v="8.5706235745980231E-3"/>
  </r>
  <r>
    <x v="5"/>
    <x v="0"/>
    <x v="4"/>
    <x v="3"/>
    <n v="43130427324.122261"/>
    <n v="0.11175"/>
    <x v="356"/>
    <x v="3"/>
    <n v="7"/>
    <n v="7"/>
    <n v="0.16298020954598369"/>
    <n v="1"/>
    <x v="1779"/>
    <n v="1.1998873004437234E-2"/>
  </r>
  <r>
    <x v="5"/>
    <x v="0"/>
    <x v="4"/>
    <x v="4"/>
    <n v="43130427324.122261"/>
    <n v="0.11175"/>
    <x v="356"/>
    <x v="9"/>
    <n v="28.2"/>
    <n v="26.95"/>
    <n v="0.62747380675203723"/>
    <n v="1"/>
    <x v="1780"/>
    <n v="4.6195661067083345E-2"/>
  </r>
  <r>
    <x v="5"/>
    <x v="0"/>
    <x v="5"/>
    <x v="0"/>
    <n v="43130427324.122261"/>
    <n v="9.6500000000000002E-2"/>
    <x v="357"/>
    <x v="0"/>
    <n v="1"/>
    <n v="1"/>
    <n v="2.3282887077997669E-2"/>
    <n v="1"/>
    <x v="1781"/>
    <n v="1.4802061296621193E-3"/>
  </r>
  <r>
    <x v="5"/>
    <x v="0"/>
    <x v="5"/>
    <x v="1"/>
    <n v="43130427324.122261"/>
    <n v="9.6500000000000002E-2"/>
    <x v="357"/>
    <x v="1"/>
    <n v="3"/>
    <n v="3"/>
    <n v="6.9848661233993012E-2"/>
    <n v="1"/>
    <x v="1782"/>
    <n v="4.4406183889863582E-3"/>
  </r>
  <r>
    <x v="5"/>
    <x v="0"/>
    <x v="5"/>
    <x v="2"/>
    <n v="43130427324.122261"/>
    <n v="9.6500000000000002E-2"/>
    <x v="357"/>
    <x v="2"/>
    <n v="5"/>
    <n v="5"/>
    <n v="0.11641443538998836"/>
    <n v="1"/>
    <x v="1783"/>
    <n v="7.4010306483105973E-3"/>
  </r>
  <r>
    <x v="5"/>
    <x v="0"/>
    <x v="5"/>
    <x v="3"/>
    <n v="43130427324.122261"/>
    <n v="9.6500000000000002E-2"/>
    <x v="357"/>
    <x v="3"/>
    <n v="7"/>
    <n v="7"/>
    <n v="0.16298020954598369"/>
    <n v="1"/>
    <x v="1784"/>
    <n v="1.0361442907634836E-2"/>
  </r>
  <r>
    <x v="5"/>
    <x v="0"/>
    <x v="5"/>
    <x v="4"/>
    <n v="43130427324.122261"/>
    <n v="9.6500000000000002E-2"/>
    <x v="357"/>
    <x v="9"/>
    <n v="28.2"/>
    <n v="26.95"/>
    <n v="0.62747380675203723"/>
    <n v="1"/>
    <x v="1785"/>
    <n v="3.9891555194394114E-2"/>
  </r>
  <r>
    <x v="5"/>
    <x v="0"/>
    <x v="6"/>
    <x v="0"/>
    <n v="43130427324.122261"/>
    <n v="5.8999999999999997E-2"/>
    <x v="358"/>
    <x v="0"/>
    <n v="1"/>
    <n v="1"/>
    <n v="2.3282887077997669E-2"/>
    <n v="1"/>
    <x v="1786"/>
    <n v="9.0499649378305734E-4"/>
  </r>
  <r>
    <x v="5"/>
    <x v="0"/>
    <x v="6"/>
    <x v="1"/>
    <n v="43130427324.122261"/>
    <n v="5.8999999999999997E-2"/>
    <x v="358"/>
    <x v="1"/>
    <n v="3"/>
    <n v="3"/>
    <n v="6.9848661233993012E-2"/>
    <n v="1"/>
    <x v="1787"/>
    <n v="2.714989481349172E-3"/>
  </r>
  <r>
    <x v="5"/>
    <x v="0"/>
    <x v="6"/>
    <x v="2"/>
    <n v="43130427324.122261"/>
    <n v="5.8999999999999997E-2"/>
    <x v="358"/>
    <x v="2"/>
    <n v="5"/>
    <n v="5"/>
    <n v="0.11641443538998836"/>
    <n v="1"/>
    <x v="1788"/>
    <n v="4.5249824689152871E-3"/>
  </r>
  <r>
    <x v="5"/>
    <x v="0"/>
    <x v="6"/>
    <x v="3"/>
    <n v="43130427324.122261"/>
    <n v="5.8999999999999997E-2"/>
    <x v="358"/>
    <x v="3"/>
    <n v="7"/>
    <n v="7"/>
    <n v="0.16298020954598369"/>
    <n v="1"/>
    <x v="1789"/>
    <n v="6.3349754564814018E-3"/>
  </r>
  <r>
    <x v="5"/>
    <x v="0"/>
    <x v="6"/>
    <x v="4"/>
    <n v="43130427324.122261"/>
    <n v="5.8999999999999997E-2"/>
    <x v="358"/>
    <x v="9"/>
    <n v="28.2"/>
    <n v="26.95"/>
    <n v="0.62747380675203723"/>
    <n v="1"/>
    <x v="1790"/>
    <n v="2.4389655507453398E-2"/>
  </r>
  <r>
    <x v="5"/>
    <x v="0"/>
    <x v="7"/>
    <x v="0"/>
    <n v="43130427324.122261"/>
    <n v="0.22625000000000001"/>
    <x v="359"/>
    <x v="0"/>
    <n v="1"/>
    <n v="1"/>
    <n v="2.3282887077997669E-2"/>
    <n v="1"/>
    <x v="1791"/>
    <n v="3.4704314698036738E-3"/>
  </r>
  <r>
    <x v="5"/>
    <x v="0"/>
    <x v="7"/>
    <x v="1"/>
    <n v="43130427324.122261"/>
    <n v="0.22625000000000001"/>
    <x v="359"/>
    <x v="1"/>
    <n v="3"/>
    <n v="3"/>
    <n v="6.9848661233993012E-2"/>
    <n v="1"/>
    <x v="1792"/>
    <n v="1.041129440941102E-2"/>
  </r>
  <r>
    <x v="5"/>
    <x v="0"/>
    <x v="7"/>
    <x v="2"/>
    <n v="43130427324.122261"/>
    <n v="0.22625000000000001"/>
    <x v="359"/>
    <x v="2"/>
    <n v="5"/>
    <n v="5"/>
    <n v="0.11641443538998836"/>
    <n v="1"/>
    <x v="1793"/>
    <n v="1.735215734901837E-2"/>
  </r>
  <r>
    <x v="5"/>
    <x v="0"/>
    <x v="7"/>
    <x v="3"/>
    <n v="43130427324.122261"/>
    <n v="0.22625000000000001"/>
    <x v="359"/>
    <x v="3"/>
    <n v="7"/>
    <n v="7"/>
    <n v="0.16298020954598369"/>
    <n v="1"/>
    <x v="1794"/>
    <n v="2.4293020288625716E-2"/>
  </r>
  <r>
    <x v="5"/>
    <x v="0"/>
    <x v="7"/>
    <x v="4"/>
    <n v="43130427324.122261"/>
    <n v="0.22625000000000001"/>
    <x v="359"/>
    <x v="9"/>
    <n v="28.2"/>
    <n v="26.95"/>
    <n v="0.62747380675203723"/>
    <n v="1"/>
    <x v="1795"/>
    <n v="9.3528128111209016E-2"/>
  </r>
  <r>
    <x v="5"/>
    <x v="0"/>
    <x v="8"/>
    <x v="0"/>
    <n v="43130427324.122261"/>
    <n v="2.8999999999999998E-2"/>
    <x v="360"/>
    <x v="0"/>
    <n v="1"/>
    <n v="1"/>
    <n v="2.3282887077997669E-2"/>
    <n v="1"/>
    <x v="1796"/>
    <n v="4.4482878507980784E-4"/>
  </r>
  <r>
    <x v="5"/>
    <x v="0"/>
    <x v="8"/>
    <x v="1"/>
    <n v="43130427324.122261"/>
    <n v="2.8999999999999998E-2"/>
    <x v="360"/>
    <x v="1"/>
    <n v="3"/>
    <n v="3"/>
    <n v="6.9848661233993012E-2"/>
    <n v="1"/>
    <x v="1797"/>
    <n v="1.3344863552394236E-3"/>
  </r>
  <r>
    <x v="5"/>
    <x v="0"/>
    <x v="8"/>
    <x v="2"/>
    <n v="43130427324.122261"/>
    <n v="2.8999999999999998E-2"/>
    <x v="360"/>
    <x v="2"/>
    <n v="5"/>
    <n v="5"/>
    <n v="0.11641443538998836"/>
    <n v="1"/>
    <x v="1798"/>
    <n v="2.2241439253990396E-3"/>
  </r>
  <r>
    <x v="5"/>
    <x v="0"/>
    <x v="8"/>
    <x v="3"/>
    <n v="43130427324.122261"/>
    <n v="2.8999999999999998E-2"/>
    <x v="360"/>
    <x v="3"/>
    <n v="7"/>
    <n v="7"/>
    <n v="0.16298020954598369"/>
    <n v="1"/>
    <x v="1799"/>
    <n v="3.1138014955586547E-3"/>
  </r>
  <r>
    <x v="5"/>
    <x v="0"/>
    <x v="8"/>
    <x v="4"/>
    <n v="43130427324.122261"/>
    <n v="2.8999999999999998E-2"/>
    <x v="360"/>
    <x v="9"/>
    <n v="28.2"/>
    <n v="26.95"/>
    <n v="0.62747380675203723"/>
    <n v="1"/>
    <x v="1800"/>
    <n v="1.1988135757900821E-2"/>
  </r>
  <r>
    <x v="5"/>
    <x v="1"/>
    <x v="0"/>
    <x v="0"/>
    <n v="10792465210.306"/>
    <n v="0.21325000000000002"/>
    <x v="361"/>
    <x v="0"/>
    <n v="1"/>
    <n v="1"/>
    <n v="2.3282887077997669E-2"/>
    <n v="1"/>
    <x v="1801"/>
    <n v="8.1850402832570914E-4"/>
  </r>
  <r>
    <x v="5"/>
    <x v="1"/>
    <x v="0"/>
    <x v="1"/>
    <n v="10792465210.306"/>
    <n v="0.21325000000000002"/>
    <x v="361"/>
    <x v="1"/>
    <n v="3"/>
    <n v="3"/>
    <n v="6.9848661233993012E-2"/>
    <n v="1"/>
    <x v="1802"/>
    <n v="2.4555120849771277E-3"/>
  </r>
  <r>
    <x v="5"/>
    <x v="1"/>
    <x v="0"/>
    <x v="2"/>
    <n v="10792465210.306"/>
    <n v="0.21325000000000002"/>
    <x v="361"/>
    <x v="2"/>
    <n v="5"/>
    <n v="5"/>
    <n v="0.11641443538998836"/>
    <n v="1"/>
    <x v="1803"/>
    <n v="4.0925201416285462E-3"/>
  </r>
  <r>
    <x v="5"/>
    <x v="1"/>
    <x v="0"/>
    <x v="3"/>
    <n v="10792465210.306"/>
    <n v="0.21325000000000002"/>
    <x v="361"/>
    <x v="3"/>
    <n v="7"/>
    <n v="7"/>
    <n v="0.16298020954598369"/>
    <n v="1"/>
    <x v="1804"/>
    <n v="5.7295281982799639E-3"/>
  </r>
  <r>
    <x v="5"/>
    <x v="1"/>
    <x v="0"/>
    <x v="4"/>
    <n v="10792465210.306"/>
    <n v="0.21325000000000002"/>
    <x v="361"/>
    <x v="9"/>
    <n v="28.2"/>
    <n v="26.95"/>
    <n v="0.62747380675203723"/>
    <n v="1"/>
    <x v="1805"/>
    <n v="2.2058683563377864E-2"/>
  </r>
  <r>
    <x v="5"/>
    <x v="1"/>
    <x v="1"/>
    <x v="0"/>
    <n v="10792465210.306"/>
    <n v="2.0749999999999998E-2"/>
    <x v="362"/>
    <x v="0"/>
    <n v="1"/>
    <n v="1"/>
    <n v="2.3282887077997669E-2"/>
    <n v="1"/>
    <x v="1806"/>
    <n v="7.964341658972315E-5"/>
  </r>
  <r>
    <x v="5"/>
    <x v="1"/>
    <x v="1"/>
    <x v="1"/>
    <n v="10792465210.306"/>
    <n v="2.0749999999999998E-2"/>
    <x v="362"/>
    <x v="1"/>
    <n v="3"/>
    <n v="3"/>
    <n v="6.9848661233993012E-2"/>
    <n v="1"/>
    <x v="1807"/>
    <n v="2.3893024976916948E-4"/>
  </r>
  <r>
    <x v="5"/>
    <x v="1"/>
    <x v="1"/>
    <x v="2"/>
    <n v="10792465210.306"/>
    <n v="2.0749999999999998E-2"/>
    <x v="362"/>
    <x v="2"/>
    <n v="5"/>
    <n v="5"/>
    <n v="0.11641443538998836"/>
    <n v="1"/>
    <x v="1808"/>
    <n v="3.9821708294861583E-4"/>
  </r>
  <r>
    <x v="5"/>
    <x v="1"/>
    <x v="1"/>
    <x v="3"/>
    <n v="10792465210.306"/>
    <n v="2.0749999999999998E-2"/>
    <x v="362"/>
    <x v="3"/>
    <n v="7"/>
    <n v="7"/>
    <n v="0.16298020954598369"/>
    <n v="1"/>
    <x v="1809"/>
    <n v="5.5750391612806208E-4"/>
  </r>
  <r>
    <x v="5"/>
    <x v="1"/>
    <x v="1"/>
    <x v="4"/>
    <n v="10792465210.306"/>
    <n v="2.0749999999999998E-2"/>
    <x v="362"/>
    <x v="9"/>
    <n v="28.2"/>
    <n v="26.95"/>
    <n v="0.62747380675203723"/>
    <n v="1"/>
    <x v="1810"/>
    <n v="2.1463900770930392E-3"/>
  </r>
  <r>
    <x v="5"/>
    <x v="1"/>
    <x v="2"/>
    <x v="0"/>
    <n v="10792465210.306"/>
    <n v="0.21225000000000002"/>
    <x v="363"/>
    <x v="0"/>
    <n v="1"/>
    <n v="1"/>
    <n v="2.3282887077997669E-2"/>
    <n v="1"/>
    <x v="1811"/>
    <n v="8.1466579138162625E-4"/>
  </r>
  <r>
    <x v="5"/>
    <x v="1"/>
    <x v="2"/>
    <x v="1"/>
    <n v="10792465210.306"/>
    <n v="0.21225000000000002"/>
    <x v="363"/>
    <x v="1"/>
    <n v="3"/>
    <n v="3"/>
    <n v="6.9848661233993012E-2"/>
    <n v="1"/>
    <x v="1812"/>
    <n v="2.443997374144879E-3"/>
  </r>
  <r>
    <x v="5"/>
    <x v="1"/>
    <x v="2"/>
    <x v="2"/>
    <n v="10792465210.306"/>
    <n v="0.21225000000000002"/>
    <x v="363"/>
    <x v="2"/>
    <n v="5"/>
    <n v="5"/>
    <n v="0.11641443538998836"/>
    <n v="1"/>
    <x v="1813"/>
    <n v="4.0733289569081319E-3"/>
  </r>
  <r>
    <x v="5"/>
    <x v="1"/>
    <x v="2"/>
    <x v="3"/>
    <n v="10792465210.306"/>
    <n v="0.21225000000000002"/>
    <x v="363"/>
    <x v="3"/>
    <n v="7"/>
    <n v="7"/>
    <n v="0.16298020954598369"/>
    <n v="1"/>
    <x v="1814"/>
    <n v="5.702660539671384E-3"/>
  </r>
  <r>
    <x v="5"/>
    <x v="1"/>
    <x v="2"/>
    <x v="4"/>
    <n v="10792465210.306"/>
    <n v="0.21225000000000002"/>
    <x v="363"/>
    <x v="9"/>
    <n v="28.2"/>
    <n v="26.95"/>
    <n v="0.62747380675203723"/>
    <n v="1"/>
    <x v="1815"/>
    <n v="2.1955243077734828E-2"/>
  </r>
  <r>
    <x v="5"/>
    <x v="1"/>
    <x v="3"/>
    <x v="0"/>
    <n v="10792465210.306"/>
    <n v="3.125E-2"/>
    <x v="364"/>
    <x v="0"/>
    <n v="1"/>
    <n v="1"/>
    <n v="2.3282887077997669E-2"/>
    <n v="1"/>
    <x v="1816"/>
    <n v="1.1994490450259514E-4"/>
  </r>
  <r>
    <x v="5"/>
    <x v="1"/>
    <x v="3"/>
    <x v="1"/>
    <n v="10792465210.306"/>
    <n v="3.125E-2"/>
    <x v="364"/>
    <x v="1"/>
    <n v="3"/>
    <n v="3"/>
    <n v="6.9848661233993012E-2"/>
    <n v="1"/>
    <x v="1817"/>
    <n v="3.5983471350778547E-4"/>
  </r>
  <r>
    <x v="5"/>
    <x v="1"/>
    <x v="3"/>
    <x v="2"/>
    <n v="10792465210.306"/>
    <n v="3.125E-2"/>
    <x v="364"/>
    <x v="2"/>
    <n v="5"/>
    <n v="5"/>
    <n v="0.11641443538998836"/>
    <n v="1"/>
    <x v="1818"/>
    <n v="5.9972452251297564E-4"/>
  </r>
  <r>
    <x v="5"/>
    <x v="1"/>
    <x v="3"/>
    <x v="3"/>
    <n v="10792465210.306"/>
    <n v="3.125E-2"/>
    <x v="364"/>
    <x v="3"/>
    <n v="7"/>
    <n v="7"/>
    <n v="0.16298020954598369"/>
    <n v="1"/>
    <x v="1819"/>
    <n v="8.3961433151816603E-4"/>
  </r>
  <r>
    <x v="5"/>
    <x v="1"/>
    <x v="3"/>
    <x v="4"/>
    <n v="10792465210.306"/>
    <n v="3.125E-2"/>
    <x v="364"/>
    <x v="9"/>
    <n v="28.2"/>
    <n v="26.95"/>
    <n v="0.62747380675203723"/>
    <n v="1"/>
    <x v="1820"/>
    <n v="3.2325151763449391E-3"/>
  </r>
  <r>
    <x v="5"/>
    <x v="1"/>
    <x v="4"/>
    <x v="0"/>
    <n v="10792465210.306"/>
    <n v="0.11175"/>
    <x v="365"/>
    <x v="0"/>
    <n v="1"/>
    <n v="1"/>
    <n v="2.3282887077997669E-2"/>
    <n v="1"/>
    <x v="1821"/>
    <n v="4.2892297850128015E-4"/>
  </r>
  <r>
    <x v="5"/>
    <x v="1"/>
    <x v="4"/>
    <x v="1"/>
    <n v="10792465210.306"/>
    <n v="0.11175"/>
    <x v="365"/>
    <x v="1"/>
    <n v="3"/>
    <n v="3"/>
    <n v="6.9848661233993012E-2"/>
    <n v="1"/>
    <x v="1822"/>
    <n v="1.2867689355038406E-3"/>
  </r>
  <r>
    <x v="5"/>
    <x v="1"/>
    <x v="4"/>
    <x v="2"/>
    <n v="10792465210.306"/>
    <n v="0.11175"/>
    <x v="365"/>
    <x v="2"/>
    <n v="5"/>
    <n v="5"/>
    <n v="0.11641443538998836"/>
    <n v="1"/>
    <x v="1823"/>
    <n v="2.1446148925064012E-3"/>
  </r>
  <r>
    <x v="5"/>
    <x v="1"/>
    <x v="4"/>
    <x v="3"/>
    <n v="10792465210.306"/>
    <n v="0.11175"/>
    <x v="365"/>
    <x v="3"/>
    <n v="7"/>
    <n v="7"/>
    <n v="0.16298020954598369"/>
    <n v="1"/>
    <x v="1824"/>
    <n v="3.0024608495089612E-3"/>
  </r>
  <r>
    <x v="5"/>
    <x v="1"/>
    <x v="4"/>
    <x v="4"/>
    <n v="10792465210.306"/>
    <n v="0.11175"/>
    <x v="365"/>
    <x v="9"/>
    <n v="28.2"/>
    <n v="26.95"/>
    <n v="0.62747380675203723"/>
    <n v="1"/>
    <x v="1825"/>
    <n v="1.1559474270609502E-2"/>
  </r>
  <r>
    <x v="5"/>
    <x v="1"/>
    <x v="5"/>
    <x v="0"/>
    <n v="10792465210.306"/>
    <n v="9.6500000000000002E-2"/>
    <x v="366"/>
    <x v="0"/>
    <n v="1"/>
    <n v="1"/>
    <n v="2.3282887077997669E-2"/>
    <n v="1"/>
    <x v="1826"/>
    <n v="3.7038986510401381E-4"/>
  </r>
  <r>
    <x v="5"/>
    <x v="1"/>
    <x v="5"/>
    <x v="1"/>
    <n v="10792465210.306"/>
    <n v="9.6500000000000002E-2"/>
    <x v="366"/>
    <x v="1"/>
    <n v="3"/>
    <n v="3"/>
    <n v="6.9848661233993012E-2"/>
    <n v="1"/>
    <x v="1827"/>
    <n v="1.1111695953120414E-3"/>
  </r>
  <r>
    <x v="5"/>
    <x v="1"/>
    <x v="5"/>
    <x v="2"/>
    <n v="10792465210.306"/>
    <n v="9.6500000000000002E-2"/>
    <x v="366"/>
    <x v="2"/>
    <n v="5"/>
    <n v="5"/>
    <n v="0.11641443538998836"/>
    <n v="1"/>
    <x v="1828"/>
    <n v="1.8519493255200689E-3"/>
  </r>
  <r>
    <x v="5"/>
    <x v="1"/>
    <x v="5"/>
    <x v="3"/>
    <n v="10792465210.306"/>
    <n v="9.6500000000000002E-2"/>
    <x v="366"/>
    <x v="3"/>
    <n v="7"/>
    <n v="7"/>
    <n v="0.16298020954598369"/>
    <n v="1"/>
    <x v="1829"/>
    <n v="2.5927290557280964E-3"/>
  </r>
  <r>
    <x v="5"/>
    <x v="1"/>
    <x v="5"/>
    <x v="4"/>
    <n v="10792465210.306"/>
    <n v="9.6500000000000002E-2"/>
    <x v="366"/>
    <x v="9"/>
    <n v="28.2"/>
    <n v="26.95"/>
    <n v="0.62747380675203723"/>
    <n v="1"/>
    <x v="1830"/>
    <n v="9.982006864553172E-3"/>
  </r>
  <r>
    <x v="5"/>
    <x v="1"/>
    <x v="6"/>
    <x v="0"/>
    <n v="10792465210.306"/>
    <n v="5.8999999999999997E-2"/>
    <x v="367"/>
    <x v="0"/>
    <n v="1"/>
    <n v="1"/>
    <n v="2.3282887077997669E-2"/>
    <n v="1"/>
    <x v="1831"/>
    <n v="2.2645597970089962E-4"/>
  </r>
  <r>
    <x v="5"/>
    <x v="1"/>
    <x v="6"/>
    <x v="1"/>
    <n v="10792465210.306"/>
    <n v="5.8999999999999997E-2"/>
    <x v="367"/>
    <x v="1"/>
    <n v="3"/>
    <n v="3"/>
    <n v="6.9848661233993012E-2"/>
    <n v="1"/>
    <x v="1832"/>
    <n v="6.7936793910269887E-4"/>
  </r>
  <r>
    <x v="5"/>
    <x v="1"/>
    <x v="6"/>
    <x v="2"/>
    <n v="10792465210.306"/>
    <n v="5.8999999999999997E-2"/>
    <x v="367"/>
    <x v="2"/>
    <n v="5"/>
    <n v="5"/>
    <n v="0.11641443538998836"/>
    <n v="1"/>
    <x v="1833"/>
    <n v="1.1322798985044982E-3"/>
  </r>
  <r>
    <x v="5"/>
    <x v="1"/>
    <x v="6"/>
    <x v="3"/>
    <n v="10792465210.306"/>
    <n v="5.8999999999999997E-2"/>
    <x v="367"/>
    <x v="3"/>
    <n v="7"/>
    <n v="7"/>
    <n v="0.16298020954598369"/>
    <n v="1"/>
    <x v="1834"/>
    <n v="1.5851918579062973E-3"/>
  </r>
  <r>
    <x v="5"/>
    <x v="1"/>
    <x v="6"/>
    <x v="4"/>
    <n v="10792465210.306"/>
    <n v="5.8999999999999997E-2"/>
    <x v="367"/>
    <x v="9"/>
    <n v="28.2"/>
    <n v="26.95"/>
    <n v="0.62747380675203723"/>
    <n v="1"/>
    <x v="1835"/>
    <n v="6.1029886529392454E-3"/>
  </r>
  <r>
    <x v="5"/>
    <x v="1"/>
    <x v="7"/>
    <x v="0"/>
    <n v="10792465210.306"/>
    <n v="0.22625000000000001"/>
    <x v="368"/>
    <x v="0"/>
    <n v="1"/>
    <n v="1"/>
    <n v="2.3282887077997669E-2"/>
    <n v="1"/>
    <x v="1836"/>
    <n v="8.6840110859878891E-4"/>
  </r>
  <r>
    <x v="5"/>
    <x v="1"/>
    <x v="7"/>
    <x v="1"/>
    <n v="10792465210.306"/>
    <n v="0.22625000000000001"/>
    <x v="368"/>
    <x v="1"/>
    <n v="3"/>
    <n v="3"/>
    <n v="6.9848661233993012E-2"/>
    <n v="1"/>
    <x v="1837"/>
    <n v="2.6052033257963668E-3"/>
  </r>
  <r>
    <x v="5"/>
    <x v="1"/>
    <x v="7"/>
    <x v="2"/>
    <n v="10792465210.306"/>
    <n v="0.22625000000000001"/>
    <x v="368"/>
    <x v="2"/>
    <n v="5"/>
    <n v="5"/>
    <n v="0.11641443538998836"/>
    <n v="1"/>
    <x v="1838"/>
    <n v="4.3420055429939453E-3"/>
  </r>
  <r>
    <x v="5"/>
    <x v="1"/>
    <x v="7"/>
    <x v="3"/>
    <n v="10792465210.306"/>
    <n v="0.22625000000000001"/>
    <x v="368"/>
    <x v="3"/>
    <n v="7"/>
    <n v="7"/>
    <n v="0.16298020954598369"/>
    <n v="1"/>
    <x v="1839"/>
    <n v="6.0788077601915229E-3"/>
  </r>
  <r>
    <x v="5"/>
    <x v="1"/>
    <x v="7"/>
    <x v="4"/>
    <n v="10792465210.306"/>
    <n v="0.22625000000000001"/>
    <x v="368"/>
    <x v="9"/>
    <n v="28.2"/>
    <n v="26.95"/>
    <n v="0.62747380675203723"/>
    <n v="1"/>
    <x v="1840"/>
    <n v="2.340340987673736E-2"/>
  </r>
  <r>
    <x v="5"/>
    <x v="1"/>
    <x v="8"/>
    <x v="0"/>
    <n v="10792465210.306"/>
    <n v="2.8999999999999998E-2"/>
    <x v="369"/>
    <x v="0"/>
    <n v="1"/>
    <n v="1"/>
    <n v="2.3282887077997669E-2"/>
    <n v="1"/>
    <x v="1841"/>
    <n v="1.1130887137840828E-4"/>
  </r>
  <r>
    <x v="5"/>
    <x v="1"/>
    <x v="8"/>
    <x v="1"/>
    <n v="10792465210.306"/>
    <n v="2.8999999999999998E-2"/>
    <x v="369"/>
    <x v="1"/>
    <n v="3"/>
    <n v="3"/>
    <n v="6.9848661233993012E-2"/>
    <n v="1"/>
    <x v="1842"/>
    <n v="3.3392661413522484E-4"/>
  </r>
  <r>
    <x v="5"/>
    <x v="1"/>
    <x v="8"/>
    <x v="2"/>
    <n v="10792465210.306"/>
    <n v="2.8999999999999998E-2"/>
    <x v="369"/>
    <x v="2"/>
    <n v="5"/>
    <n v="5"/>
    <n v="0.11641443538998836"/>
    <n v="1"/>
    <x v="1843"/>
    <n v="5.5654435689204138E-4"/>
  </r>
  <r>
    <x v="5"/>
    <x v="1"/>
    <x v="8"/>
    <x v="3"/>
    <n v="10792465210.306"/>
    <n v="2.8999999999999998E-2"/>
    <x v="369"/>
    <x v="3"/>
    <n v="7"/>
    <n v="7"/>
    <n v="0.16298020954598369"/>
    <n v="1"/>
    <x v="1844"/>
    <n v="7.7916209964885798E-4"/>
  </r>
  <r>
    <x v="5"/>
    <x v="1"/>
    <x v="8"/>
    <x v="4"/>
    <n v="10792465210.306"/>
    <n v="2.8999999999999998E-2"/>
    <x v="369"/>
    <x v="9"/>
    <n v="28.2"/>
    <n v="26.95"/>
    <n v="0.62747380675203723"/>
    <n v="1"/>
    <x v="1845"/>
    <n v="2.9997740836481034E-3"/>
  </r>
  <r>
    <x v="5"/>
    <x v="2"/>
    <x v="0"/>
    <x v="0"/>
    <n v="303409408.69538796"/>
    <n v="0.20975000000000002"/>
    <x v="370"/>
    <x v="0"/>
    <n v="1"/>
    <n v="1"/>
    <n v="2.3282887077997669E-2"/>
    <n v="1"/>
    <x v="1846"/>
    <n v="2.2633000735560516E-5"/>
  </r>
  <r>
    <x v="5"/>
    <x v="2"/>
    <x v="0"/>
    <x v="1"/>
    <n v="303409408.69538796"/>
    <n v="0.20975000000000002"/>
    <x v="370"/>
    <x v="1"/>
    <n v="3"/>
    <n v="3"/>
    <n v="6.9848661233993012E-2"/>
    <n v="1"/>
    <x v="1847"/>
    <n v="6.7899002206681542E-5"/>
  </r>
  <r>
    <x v="5"/>
    <x v="2"/>
    <x v="0"/>
    <x v="2"/>
    <n v="303409408.69538796"/>
    <n v="0.20975000000000002"/>
    <x v="370"/>
    <x v="2"/>
    <n v="5"/>
    <n v="5"/>
    <n v="0.11641443538998836"/>
    <n v="1"/>
    <x v="1848"/>
    <n v="1.1316500367780257E-4"/>
  </r>
  <r>
    <x v="5"/>
    <x v="2"/>
    <x v="0"/>
    <x v="3"/>
    <n v="303409408.69538796"/>
    <n v="0.20975000000000002"/>
    <x v="370"/>
    <x v="3"/>
    <n v="7"/>
    <n v="7"/>
    <n v="0.16298020954598369"/>
    <n v="1"/>
    <x v="1849"/>
    <n v="1.5843100514892358E-4"/>
  </r>
  <r>
    <x v="5"/>
    <x v="2"/>
    <x v="0"/>
    <x v="4"/>
    <n v="303409408.69538796"/>
    <n v="0.20975000000000002"/>
    <x v="370"/>
    <x v="9"/>
    <n v="28.2"/>
    <n v="26.95"/>
    <n v="0.62747380675203723"/>
    <n v="1"/>
    <x v="1850"/>
    <n v="6.0995936982335584E-4"/>
  </r>
  <r>
    <x v="5"/>
    <x v="2"/>
    <x v="1"/>
    <x v="0"/>
    <n v="303409408.69538796"/>
    <n v="3.6749999999999998E-2"/>
    <x v="371"/>
    <x v="0"/>
    <n v="1"/>
    <n v="1"/>
    <n v="2.3282887077997669E-2"/>
    <n v="1"/>
    <x v="1851"/>
    <n v="3.9654959572436177E-6"/>
  </r>
  <r>
    <x v="5"/>
    <x v="2"/>
    <x v="1"/>
    <x v="1"/>
    <n v="303409408.69538796"/>
    <n v="3.6749999999999998E-2"/>
    <x v="371"/>
    <x v="1"/>
    <n v="3"/>
    <n v="3"/>
    <n v="6.9848661233993012E-2"/>
    <n v="1"/>
    <x v="1852"/>
    <n v="1.1896487871730852E-5"/>
  </r>
  <r>
    <x v="5"/>
    <x v="2"/>
    <x v="1"/>
    <x v="2"/>
    <n v="303409408.69538796"/>
    <n v="3.6749999999999998E-2"/>
    <x v="371"/>
    <x v="2"/>
    <n v="5"/>
    <n v="5"/>
    <n v="0.11641443538998836"/>
    <n v="1"/>
    <x v="1853"/>
    <n v="1.9827479786218088E-5"/>
  </r>
  <r>
    <x v="5"/>
    <x v="2"/>
    <x v="1"/>
    <x v="3"/>
    <n v="303409408.69538796"/>
    <n v="3.6749999999999998E-2"/>
    <x v="371"/>
    <x v="3"/>
    <n v="7"/>
    <n v="7"/>
    <n v="0.16298020954598369"/>
    <n v="1"/>
    <x v="1854"/>
    <n v="2.7758471700705321E-5"/>
  </r>
  <r>
    <x v="5"/>
    <x v="2"/>
    <x v="1"/>
    <x v="4"/>
    <n v="303409408.69538796"/>
    <n v="3.6749999999999998E-2"/>
    <x v="371"/>
    <x v="9"/>
    <n v="28.2"/>
    <n v="26.95"/>
    <n v="0.62747380675203723"/>
    <n v="1"/>
    <x v="1855"/>
    <n v="1.0687011604771549E-4"/>
  </r>
  <r>
    <x v="5"/>
    <x v="2"/>
    <x v="2"/>
    <x v="0"/>
    <n v="303409408.69538796"/>
    <n v="0.24875"/>
    <x v="372"/>
    <x v="0"/>
    <n v="1"/>
    <n v="1"/>
    <n v="2.3282887077997669E-2"/>
    <n v="1"/>
    <x v="1856"/>
    <n v="2.6841282159574147E-5"/>
  </r>
  <r>
    <x v="5"/>
    <x v="2"/>
    <x v="2"/>
    <x v="1"/>
    <n v="303409408.69538796"/>
    <n v="0.24875"/>
    <x v="372"/>
    <x v="1"/>
    <n v="3"/>
    <n v="3"/>
    <n v="6.9848661233993012E-2"/>
    <n v="1"/>
    <x v="1857"/>
    <n v="8.0523846478722445E-5"/>
  </r>
  <r>
    <x v="5"/>
    <x v="2"/>
    <x v="2"/>
    <x v="2"/>
    <n v="303409408.69538796"/>
    <n v="0.24875"/>
    <x v="372"/>
    <x v="2"/>
    <n v="5"/>
    <n v="5"/>
    <n v="0.11641443538998836"/>
    <n v="1"/>
    <x v="1858"/>
    <n v="1.3420641079787073E-4"/>
  </r>
  <r>
    <x v="5"/>
    <x v="2"/>
    <x v="2"/>
    <x v="3"/>
    <n v="303409408.69538796"/>
    <n v="0.24875"/>
    <x v="372"/>
    <x v="3"/>
    <n v="7"/>
    <n v="7"/>
    <n v="0.16298020954598369"/>
    <n v="1"/>
    <x v="1859"/>
    <n v="1.8788897511701902E-4"/>
  </r>
  <r>
    <x v="5"/>
    <x v="2"/>
    <x v="2"/>
    <x v="4"/>
    <n v="303409408.69538796"/>
    <n v="0.24875"/>
    <x v="372"/>
    <x v="9"/>
    <n v="28.2"/>
    <n v="26.95"/>
    <n v="0.62747380675203723"/>
    <n v="1"/>
    <x v="1860"/>
    <n v="7.2337255420052327E-4"/>
  </r>
  <r>
    <x v="5"/>
    <x v="2"/>
    <x v="3"/>
    <x v="0"/>
    <n v="303409408.69538796"/>
    <n v="5.8249999999999996E-2"/>
    <x v="373"/>
    <x v="0"/>
    <n v="1"/>
    <n v="1"/>
    <n v="2.3282887077997669E-2"/>
    <n v="1"/>
    <x v="1861"/>
    <n v="6.2854459730460047E-6"/>
  </r>
  <r>
    <x v="5"/>
    <x v="2"/>
    <x v="3"/>
    <x v="1"/>
    <n v="303409408.69538796"/>
    <n v="5.8249999999999996E-2"/>
    <x v="373"/>
    <x v="1"/>
    <n v="3"/>
    <n v="3"/>
    <n v="6.9848661233993012E-2"/>
    <n v="1"/>
    <x v="1862"/>
    <n v="1.8856337919138015E-5"/>
  </r>
  <r>
    <x v="5"/>
    <x v="2"/>
    <x v="3"/>
    <x v="2"/>
    <n v="303409408.69538796"/>
    <n v="5.8249999999999996E-2"/>
    <x v="373"/>
    <x v="2"/>
    <n v="5"/>
    <n v="5"/>
    <n v="0.11641443538998836"/>
    <n v="1"/>
    <x v="1863"/>
    <n v="3.1427229865230029E-5"/>
  </r>
  <r>
    <x v="5"/>
    <x v="2"/>
    <x v="3"/>
    <x v="3"/>
    <n v="303409408.69538796"/>
    <n v="5.8249999999999996E-2"/>
    <x v="373"/>
    <x v="3"/>
    <n v="7"/>
    <n v="7"/>
    <n v="0.16298020954598369"/>
    <n v="1"/>
    <x v="1864"/>
    <n v="4.399812181132203E-5"/>
  </r>
  <r>
    <x v="5"/>
    <x v="2"/>
    <x v="3"/>
    <x v="4"/>
    <n v="303409408.69538796"/>
    <n v="5.8249999999999996E-2"/>
    <x v="373"/>
    <x v="9"/>
    <n v="28.2"/>
    <n v="26.95"/>
    <n v="0.62747380675203723"/>
    <n v="1"/>
    <x v="1865"/>
    <n v="1.6939276897358984E-4"/>
  </r>
  <r>
    <x v="5"/>
    <x v="2"/>
    <x v="4"/>
    <x v="0"/>
    <n v="303409408.69538796"/>
    <n v="8.0499999999999988E-2"/>
    <x v="374"/>
    <x v="0"/>
    <n v="1"/>
    <n v="1"/>
    <n v="2.3282887077997669E-2"/>
    <n v="1"/>
    <x v="1866"/>
    <n v="8.6863244777717316E-6"/>
  </r>
  <r>
    <x v="5"/>
    <x v="2"/>
    <x v="4"/>
    <x v="1"/>
    <n v="303409408.69538796"/>
    <n v="8.0499999999999988E-2"/>
    <x v="374"/>
    <x v="1"/>
    <n v="3"/>
    <n v="3"/>
    <n v="6.9848661233993012E-2"/>
    <n v="1"/>
    <x v="1867"/>
    <n v="2.6058973433315197E-5"/>
  </r>
  <r>
    <x v="5"/>
    <x v="2"/>
    <x v="4"/>
    <x v="2"/>
    <n v="303409408.69538796"/>
    <n v="8.0499999999999988E-2"/>
    <x v="374"/>
    <x v="2"/>
    <n v="5"/>
    <n v="5"/>
    <n v="0.11641443538998836"/>
    <n v="1"/>
    <x v="1868"/>
    <n v="4.3431622388858663E-5"/>
  </r>
  <r>
    <x v="5"/>
    <x v="2"/>
    <x v="4"/>
    <x v="3"/>
    <n v="303409408.69538796"/>
    <n v="8.0499999999999988E-2"/>
    <x v="374"/>
    <x v="3"/>
    <n v="7"/>
    <n v="7"/>
    <n v="0.16298020954598369"/>
    <n v="1"/>
    <x v="1869"/>
    <n v="6.0804271344402123E-5"/>
  </r>
  <r>
    <x v="5"/>
    <x v="2"/>
    <x v="4"/>
    <x v="4"/>
    <n v="303409408.69538796"/>
    <n v="8.0499999999999988E-2"/>
    <x v="374"/>
    <x v="9"/>
    <n v="28.2"/>
    <n v="26.95"/>
    <n v="0.62747380675203723"/>
    <n v="1"/>
    <x v="1870"/>
    <n v="2.3409644467594818E-4"/>
  </r>
  <r>
    <x v="5"/>
    <x v="2"/>
    <x v="5"/>
    <x v="0"/>
    <n v="303409408.69538796"/>
    <n v="0.10050000000000001"/>
    <x v="375"/>
    <x v="0"/>
    <n v="1"/>
    <n v="1"/>
    <n v="2.3282887077997669E-2"/>
    <n v="1"/>
    <x v="1871"/>
    <n v="1.0844417515727444E-5"/>
  </r>
  <r>
    <x v="5"/>
    <x v="2"/>
    <x v="5"/>
    <x v="1"/>
    <n v="303409408.69538796"/>
    <n v="0.10050000000000001"/>
    <x v="375"/>
    <x v="1"/>
    <n v="3"/>
    <n v="3"/>
    <n v="6.9848661233993012E-2"/>
    <n v="1"/>
    <x v="1872"/>
    <n v="3.2533252547182333E-5"/>
  </r>
  <r>
    <x v="5"/>
    <x v="2"/>
    <x v="5"/>
    <x v="2"/>
    <n v="303409408.69538796"/>
    <n v="0.10050000000000001"/>
    <x v="375"/>
    <x v="2"/>
    <n v="5"/>
    <n v="5"/>
    <n v="0.11641443538998836"/>
    <n v="1"/>
    <x v="1873"/>
    <n v="5.4222087578637224E-5"/>
  </r>
  <r>
    <x v="5"/>
    <x v="2"/>
    <x v="5"/>
    <x v="3"/>
    <n v="303409408.69538796"/>
    <n v="0.10050000000000001"/>
    <x v="375"/>
    <x v="3"/>
    <n v="7"/>
    <n v="7"/>
    <n v="0.16298020954598369"/>
    <n v="1"/>
    <x v="1874"/>
    <n v="7.5910922610092108E-5"/>
  </r>
  <r>
    <x v="5"/>
    <x v="2"/>
    <x v="5"/>
    <x v="4"/>
    <n v="303409408.69538796"/>
    <n v="0.10050000000000001"/>
    <x v="375"/>
    <x v="9"/>
    <n v="28.2"/>
    <n v="26.95"/>
    <n v="0.62747380675203723"/>
    <n v="1"/>
    <x v="1875"/>
    <n v="2.9225705204885462E-4"/>
  </r>
  <r>
    <x v="5"/>
    <x v="2"/>
    <x v="6"/>
    <x v="0"/>
    <n v="303409408.69538796"/>
    <n v="4.4999999999999998E-2"/>
    <x v="376"/>
    <x v="0"/>
    <n v="1"/>
    <n v="1"/>
    <n v="2.3282887077997669E-2"/>
    <n v="1"/>
    <x v="1876"/>
    <n v="4.855709335400348E-6"/>
  </r>
  <r>
    <x v="5"/>
    <x v="2"/>
    <x v="6"/>
    <x v="1"/>
    <n v="303409408.69538796"/>
    <n v="4.4999999999999998E-2"/>
    <x v="376"/>
    <x v="1"/>
    <n v="3"/>
    <n v="3"/>
    <n v="6.9848661233993012E-2"/>
    <n v="1"/>
    <x v="1877"/>
    <n v="1.4567128006201045E-5"/>
  </r>
  <r>
    <x v="5"/>
    <x v="2"/>
    <x v="6"/>
    <x v="2"/>
    <n v="303409408.69538796"/>
    <n v="4.4999999999999998E-2"/>
    <x v="376"/>
    <x v="2"/>
    <n v="5"/>
    <n v="5"/>
    <n v="0.11641443538998836"/>
    <n v="1"/>
    <x v="1878"/>
    <n v="2.4278546677001743E-5"/>
  </r>
  <r>
    <x v="5"/>
    <x v="2"/>
    <x v="6"/>
    <x v="3"/>
    <n v="303409408.69538796"/>
    <n v="4.4999999999999998E-2"/>
    <x v="376"/>
    <x v="3"/>
    <n v="7"/>
    <n v="7"/>
    <n v="0.16298020954598369"/>
    <n v="1"/>
    <x v="1879"/>
    <n v="3.398996534780243E-5"/>
  </r>
  <r>
    <x v="5"/>
    <x v="2"/>
    <x v="6"/>
    <x v="4"/>
    <n v="303409408.69538796"/>
    <n v="4.4999999999999998E-2"/>
    <x v="376"/>
    <x v="9"/>
    <n v="28.2"/>
    <n v="26.95"/>
    <n v="0.62747380675203723"/>
    <n v="1"/>
    <x v="1880"/>
    <n v="1.3086136658903936E-4"/>
  </r>
  <r>
    <x v="5"/>
    <x v="2"/>
    <x v="7"/>
    <x v="0"/>
    <n v="303409408.69538796"/>
    <n v="0.1525"/>
    <x v="377"/>
    <x v="0"/>
    <n v="1"/>
    <n v="1"/>
    <n v="2.3282887077997669E-2"/>
    <n v="1"/>
    <x v="1881"/>
    <n v="1.6455459414412285E-5"/>
  </r>
  <r>
    <x v="5"/>
    <x v="2"/>
    <x v="7"/>
    <x v="1"/>
    <n v="303409408.69538796"/>
    <n v="0.1525"/>
    <x v="377"/>
    <x v="1"/>
    <n v="3"/>
    <n v="3"/>
    <n v="6.9848661233993012E-2"/>
    <n v="1"/>
    <x v="1882"/>
    <n v="4.936637824323687E-5"/>
  </r>
  <r>
    <x v="5"/>
    <x v="2"/>
    <x v="7"/>
    <x v="2"/>
    <n v="303409408.69538796"/>
    <n v="0.1525"/>
    <x v="377"/>
    <x v="2"/>
    <n v="5"/>
    <n v="5"/>
    <n v="0.11641443538998836"/>
    <n v="1"/>
    <x v="1883"/>
    <n v="8.2277297072061461E-5"/>
  </r>
  <r>
    <x v="5"/>
    <x v="2"/>
    <x v="7"/>
    <x v="3"/>
    <n v="303409408.69538796"/>
    <n v="0.1525"/>
    <x v="377"/>
    <x v="3"/>
    <n v="7"/>
    <n v="7"/>
    <n v="0.16298020954598369"/>
    <n v="1"/>
    <x v="1884"/>
    <n v="1.1518821590088602E-4"/>
  </r>
  <r>
    <x v="5"/>
    <x v="2"/>
    <x v="7"/>
    <x v="4"/>
    <n v="303409408.69538796"/>
    <n v="0.1525"/>
    <x v="377"/>
    <x v="9"/>
    <n v="28.2"/>
    <n v="26.95"/>
    <n v="0.62747380675203723"/>
    <n v="1"/>
    <x v="1885"/>
    <n v="4.4347463121841122E-4"/>
  </r>
  <r>
    <x v="5"/>
    <x v="2"/>
    <x v="8"/>
    <x v="0"/>
    <n v="303409408.69538796"/>
    <n v="6.724999999999999E-2"/>
    <x v="378"/>
    <x v="0"/>
    <n v="1"/>
    <n v="1"/>
    <n v="2.3282887077997669E-2"/>
    <n v="1"/>
    <x v="1886"/>
    <n v="7.2565878401260741E-6"/>
  </r>
  <r>
    <x v="5"/>
    <x v="2"/>
    <x v="8"/>
    <x v="1"/>
    <n v="303409408.69538796"/>
    <n v="6.724999999999999E-2"/>
    <x v="378"/>
    <x v="1"/>
    <n v="3"/>
    <n v="3"/>
    <n v="6.9848661233993012E-2"/>
    <n v="1"/>
    <x v="1887"/>
    <n v="2.1769763520378223E-5"/>
  </r>
  <r>
    <x v="5"/>
    <x v="2"/>
    <x v="8"/>
    <x v="2"/>
    <n v="303409408.69538796"/>
    <n v="6.724999999999999E-2"/>
    <x v="378"/>
    <x v="2"/>
    <n v="5"/>
    <n v="5"/>
    <n v="0.11641443538998836"/>
    <n v="1"/>
    <x v="1888"/>
    <n v="3.628293920063037E-5"/>
  </r>
  <r>
    <x v="5"/>
    <x v="2"/>
    <x v="8"/>
    <x v="3"/>
    <n v="303409408.69538796"/>
    <n v="6.724999999999999E-2"/>
    <x v="378"/>
    <x v="3"/>
    <n v="7"/>
    <n v="7"/>
    <n v="0.16298020954598369"/>
    <n v="1"/>
    <x v="1889"/>
    <n v="5.0796114880882516E-5"/>
  </r>
  <r>
    <x v="5"/>
    <x v="2"/>
    <x v="8"/>
    <x v="4"/>
    <n v="303409408.69538796"/>
    <n v="6.724999999999999E-2"/>
    <x v="378"/>
    <x v="9"/>
    <n v="28.2"/>
    <n v="26.95"/>
    <n v="0.62747380675203723"/>
    <n v="1"/>
    <x v="1890"/>
    <n v="1.9556504229139771E-4"/>
  </r>
  <r>
    <x v="5"/>
    <x v="3"/>
    <x v="0"/>
    <x v="0"/>
    <n v="3642740747.0555634"/>
    <n v="0.35425000000000006"/>
    <x v="379"/>
    <x v="0"/>
    <n v="1"/>
    <n v="1"/>
    <n v="2.3282887077997669E-2"/>
    <n v="1"/>
    <x v="1891"/>
    <n v="4.5893295711749258E-4"/>
  </r>
  <r>
    <x v="5"/>
    <x v="3"/>
    <x v="0"/>
    <x v="1"/>
    <n v="3642740747.0555634"/>
    <n v="0.35425000000000006"/>
    <x v="379"/>
    <x v="1"/>
    <n v="3"/>
    <n v="3"/>
    <n v="6.9848661233993012E-2"/>
    <n v="1"/>
    <x v="1892"/>
    <n v="1.3767988713524778E-3"/>
  </r>
  <r>
    <x v="5"/>
    <x v="3"/>
    <x v="0"/>
    <x v="2"/>
    <n v="3642740747.0555634"/>
    <n v="0.35425000000000006"/>
    <x v="379"/>
    <x v="2"/>
    <n v="5"/>
    <n v="5"/>
    <n v="0.11641443538998836"/>
    <n v="1"/>
    <x v="1893"/>
    <n v="2.2946647855874632E-3"/>
  </r>
  <r>
    <x v="5"/>
    <x v="3"/>
    <x v="0"/>
    <x v="3"/>
    <n v="3642740747.0555634"/>
    <n v="0.35425000000000006"/>
    <x v="379"/>
    <x v="3"/>
    <n v="7"/>
    <n v="7"/>
    <n v="0.16298020954598369"/>
    <n v="1"/>
    <x v="1894"/>
    <n v="3.2125306998224486E-3"/>
  </r>
  <r>
    <x v="5"/>
    <x v="3"/>
    <x v="0"/>
    <x v="4"/>
    <n v="3642740747.0555634"/>
    <n v="0.35425000000000006"/>
    <x v="379"/>
    <x v="9"/>
    <n v="28.2"/>
    <n v="26.95"/>
    <n v="0.62747380675203723"/>
    <n v="1"/>
    <x v="1895"/>
    <n v="1.2368243194316427E-2"/>
  </r>
  <r>
    <x v="5"/>
    <x v="3"/>
    <x v="1"/>
    <x v="0"/>
    <n v="3642740747.0555634"/>
    <n v="0.10475"/>
    <x v="380"/>
    <x v="0"/>
    <n v="1"/>
    <n v="1"/>
    <n v="2.3282887077997669E-2"/>
    <n v="1"/>
    <x v="1896"/>
    <n v="1.3570424067200381E-4"/>
  </r>
  <r>
    <x v="5"/>
    <x v="3"/>
    <x v="1"/>
    <x v="1"/>
    <n v="3642740747.0555634"/>
    <n v="0.10475"/>
    <x v="380"/>
    <x v="1"/>
    <n v="3"/>
    <n v="3"/>
    <n v="6.9848661233993012E-2"/>
    <n v="1"/>
    <x v="1897"/>
    <n v="4.0711272201601143E-4"/>
  </r>
  <r>
    <x v="5"/>
    <x v="3"/>
    <x v="1"/>
    <x v="2"/>
    <n v="3642740747.0555634"/>
    <n v="0.10475"/>
    <x v="380"/>
    <x v="2"/>
    <n v="5"/>
    <n v="5"/>
    <n v="0.11641443538998836"/>
    <n v="1"/>
    <x v="1898"/>
    <n v="6.7852120336001911E-4"/>
  </r>
  <r>
    <x v="5"/>
    <x v="3"/>
    <x v="1"/>
    <x v="3"/>
    <n v="3642740747.0555634"/>
    <n v="0.10475"/>
    <x v="380"/>
    <x v="3"/>
    <n v="7"/>
    <n v="7"/>
    <n v="0.16298020954598369"/>
    <n v="1"/>
    <x v="1899"/>
    <n v="9.4992968470402673E-4"/>
  </r>
  <r>
    <x v="5"/>
    <x v="3"/>
    <x v="1"/>
    <x v="4"/>
    <n v="3642740747.0555634"/>
    <n v="0.10475"/>
    <x v="380"/>
    <x v="9"/>
    <n v="28.2"/>
    <n v="26.95"/>
    <n v="0.62747380675203723"/>
    <n v="1"/>
    <x v="1900"/>
    <n v="3.6572292861105026E-3"/>
  </r>
  <r>
    <x v="5"/>
    <x v="3"/>
    <x v="2"/>
    <x v="0"/>
    <n v="3642740747.0555634"/>
    <n v="0.27474999999999999"/>
    <x v="381"/>
    <x v="0"/>
    <n v="1"/>
    <n v="1"/>
    <n v="2.3282887077997669E-2"/>
    <n v="1"/>
    <x v="1901"/>
    <n v="3.5594023985329875E-4"/>
  </r>
  <r>
    <x v="5"/>
    <x v="3"/>
    <x v="2"/>
    <x v="1"/>
    <n v="3642740747.0555634"/>
    <n v="0.27474999999999999"/>
    <x v="381"/>
    <x v="1"/>
    <n v="3"/>
    <n v="3"/>
    <n v="6.9848661233993012E-2"/>
    <n v="1"/>
    <x v="1902"/>
    <n v="1.0678207195598964E-3"/>
  </r>
  <r>
    <x v="5"/>
    <x v="3"/>
    <x v="2"/>
    <x v="2"/>
    <n v="3642740747.0555634"/>
    <n v="0.27474999999999999"/>
    <x v="381"/>
    <x v="2"/>
    <n v="5"/>
    <n v="5"/>
    <n v="0.11641443538998836"/>
    <n v="1"/>
    <x v="1903"/>
    <n v="1.779701199266494E-3"/>
  </r>
  <r>
    <x v="5"/>
    <x v="3"/>
    <x v="2"/>
    <x v="3"/>
    <n v="3642740747.0555634"/>
    <n v="0.27474999999999999"/>
    <x v="381"/>
    <x v="3"/>
    <n v="7"/>
    <n v="7"/>
    <n v="0.16298020954598369"/>
    <n v="1"/>
    <x v="1904"/>
    <n v="2.4915816789730914E-3"/>
  </r>
  <r>
    <x v="5"/>
    <x v="3"/>
    <x v="2"/>
    <x v="4"/>
    <n v="3642740747.0555634"/>
    <n v="0.27474999999999999"/>
    <x v="381"/>
    <x v="9"/>
    <n v="28.2"/>
    <n v="26.95"/>
    <n v="0.62747380675203723"/>
    <n v="1"/>
    <x v="1905"/>
    <n v="9.5925894640464023E-3"/>
  </r>
  <r>
    <x v="5"/>
    <x v="3"/>
    <x v="3"/>
    <x v="0"/>
    <n v="3642740747.0555634"/>
    <n v="2.9499999999999998E-2"/>
    <x v="382"/>
    <x v="0"/>
    <n v="1"/>
    <n v="1"/>
    <n v="2.3282887077997669E-2"/>
    <n v="1"/>
    <x v="1906"/>
    <n v="3.821742338734236E-5"/>
  </r>
  <r>
    <x v="5"/>
    <x v="3"/>
    <x v="3"/>
    <x v="1"/>
    <n v="3642740747.0555634"/>
    <n v="2.9499999999999998E-2"/>
    <x v="382"/>
    <x v="1"/>
    <n v="3"/>
    <n v="3"/>
    <n v="6.9848661233993012E-2"/>
    <n v="1"/>
    <x v="1907"/>
    <n v="1.1465227016202708E-4"/>
  </r>
  <r>
    <x v="5"/>
    <x v="3"/>
    <x v="3"/>
    <x v="2"/>
    <n v="3642740747.0555634"/>
    <n v="2.9499999999999998E-2"/>
    <x v="382"/>
    <x v="2"/>
    <n v="5"/>
    <n v="5"/>
    <n v="0.11641443538998836"/>
    <n v="1"/>
    <x v="1908"/>
    <n v="1.910871169367118E-4"/>
  </r>
  <r>
    <x v="5"/>
    <x v="3"/>
    <x v="3"/>
    <x v="3"/>
    <n v="3642740747.0555634"/>
    <n v="2.9499999999999998E-2"/>
    <x v="382"/>
    <x v="3"/>
    <n v="7"/>
    <n v="7"/>
    <n v="0.16298020954598369"/>
    <n v="1"/>
    <x v="1909"/>
    <n v="2.6752196371139655E-4"/>
  </r>
  <r>
    <x v="5"/>
    <x v="3"/>
    <x v="3"/>
    <x v="4"/>
    <n v="3642740747.0555634"/>
    <n v="2.9499999999999998E-2"/>
    <x v="382"/>
    <x v="9"/>
    <n v="28.2"/>
    <n v="26.95"/>
    <n v="0.62747380675203723"/>
    <n v="1"/>
    <x v="1910"/>
    <n v="1.0299595602888767E-3"/>
  </r>
  <r>
    <x v="5"/>
    <x v="3"/>
    <x v="4"/>
    <x v="0"/>
    <n v="3642740747.0555634"/>
    <n v="7.0999999999999994E-2"/>
    <x v="383"/>
    <x v="0"/>
    <n v="1"/>
    <n v="1"/>
    <n v="2.3282887077997669E-2"/>
    <n v="1"/>
    <x v="1911"/>
    <n v="9.1980917305129069E-5"/>
  </r>
  <r>
    <x v="5"/>
    <x v="3"/>
    <x v="4"/>
    <x v="1"/>
    <n v="3642740747.0555634"/>
    <n v="7.0999999999999994E-2"/>
    <x v="383"/>
    <x v="1"/>
    <n v="3"/>
    <n v="3"/>
    <n v="6.9848661233993012E-2"/>
    <n v="1"/>
    <x v="1912"/>
    <n v="2.7594275191538721E-4"/>
  </r>
  <r>
    <x v="5"/>
    <x v="3"/>
    <x v="4"/>
    <x v="2"/>
    <n v="3642740747.0555634"/>
    <n v="7.0999999999999994E-2"/>
    <x v="383"/>
    <x v="2"/>
    <n v="5"/>
    <n v="5"/>
    <n v="0.11641443538998836"/>
    <n v="1"/>
    <x v="1913"/>
    <n v="4.5990458652564535E-4"/>
  </r>
  <r>
    <x v="5"/>
    <x v="3"/>
    <x v="4"/>
    <x v="3"/>
    <n v="3642740747.0555634"/>
    <n v="7.0999999999999994E-2"/>
    <x v="383"/>
    <x v="3"/>
    <n v="7"/>
    <n v="7"/>
    <n v="0.16298020954598369"/>
    <n v="1"/>
    <x v="1914"/>
    <n v="6.4386642113590349E-4"/>
  </r>
  <r>
    <x v="5"/>
    <x v="3"/>
    <x v="4"/>
    <x v="4"/>
    <n v="3642740747.0555634"/>
    <n v="7.0999999999999994E-2"/>
    <x v="383"/>
    <x v="9"/>
    <n v="28.2"/>
    <n v="26.95"/>
    <n v="0.62747380675203723"/>
    <n v="1"/>
    <x v="1915"/>
    <n v="2.4788857213732282E-3"/>
  </r>
  <r>
    <x v="5"/>
    <x v="3"/>
    <x v="5"/>
    <x v="0"/>
    <n v="3642740747.0555634"/>
    <n v="5.1749999999999997E-2"/>
    <x v="384"/>
    <x v="0"/>
    <n v="1"/>
    <n v="1"/>
    <n v="2.3282887077997669E-2"/>
    <n v="1"/>
    <x v="1916"/>
    <n v="6.7042429162541252E-5"/>
  </r>
  <r>
    <x v="5"/>
    <x v="3"/>
    <x v="5"/>
    <x v="1"/>
    <n v="3642740747.0555634"/>
    <n v="5.1749999999999997E-2"/>
    <x v="384"/>
    <x v="1"/>
    <n v="3"/>
    <n v="3"/>
    <n v="6.9848661233993012E-2"/>
    <n v="1"/>
    <x v="1917"/>
    <n v="2.0112728748762377E-4"/>
  </r>
  <r>
    <x v="5"/>
    <x v="3"/>
    <x v="5"/>
    <x v="2"/>
    <n v="3642740747.0555634"/>
    <n v="5.1749999999999997E-2"/>
    <x v="384"/>
    <x v="2"/>
    <n v="5"/>
    <n v="5"/>
    <n v="0.11641443538998836"/>
    <n v="1"/>
    <x v="1918"/>
    <n v="3.352121458127063E-4"/>
  </r>
  <r>
    <x v="5"/>
    <x v="3"/>
    <x v="5"/>
    <x v="3"/>
    <n v="3642740747.0555634"/>
    <n v="5.1749999999999997E-2"/>
    <x v="384"/>
    <x v="3"/>
    <n v="7"/>
    <n v="7"/>
    <n v="0.16298020954598369"/>
    <n v="1"/>
    <x v="1919"/>
    <n v="4.6929700413778877E-4"/>
  </r>
  <r>
    <x v="5"/>
    <x v="3"/>
    <x v="5"/>
    <x v="4"/>
    <n v="3642740747.0555634"/>
    <n v="5.1749999999999997E-2"/>
    <x v="384"/>
    <x v="9"/>
    <n v="28.2"/>
    <n v="26.95"/>
    <n v="0.62747380675203723"/>
    <n v="1"/>
    <x v="1920"/>
    <n v="1.806793465930487E-3"/>
  </r>
  <r>
    <x v="5"/>
    <x v="3"/>
    <x v="6"/>
    <x v="0"/>
    <n v="3642740747.0555634"/>
    <n v="4.2999999999999997E-2"/>
    <x v="385"/>
    <x v="0"/>
    <n v="1"/>
    <n v="1"/>
    <n v="2.3282887077997669E-2"/>
    <n v="1"/>
    <x v="1921"/>
    <n v="5.5706752734092246E-5"/>
  </r>
  <r>
    <x v="5"/>
    <x v="3"/>
    <x v="6"/>
    <x v="1"/>
    <n v="3642740747.0555634"/>
    <n v="4.2999999999999997E-2"/>
    <x v="385"/>
    <x v="1"/>
    <n v="3"/>
    <n v="3"/>
    <n v="6.9848661233993012E-2"/>
    <n v="1"/>
    <x v="1922"/>
    <n v="1.6712025820227674E-4"/>
  </r>
  <r>
    <x v="5"/>
    <x v="3"/>
    <x v="6"/>
    <x v="2"/>
    <n v="3642740747.0555634"/>
    <n v="4.2999999999999997E-2"/>
    <x v="385"/>
    <x v="2"/>
    <n v="5"/>
    <n v="5"/>
    <n v="0.11641443538998836"/>
    <n v="1"/>
    <x v="1923"/>
    <n v="2.7853376367046131E-4"/>
  </r>
  <r>
    <x v="5"/>
    <x v="3"/>
    <x v="6"/>
    <x v="3"/>
    <n v="3642740747.0555634"/>
    <n v="4.2999999999999997E-2"/>
    <x v="385"/>
    <x v="3"/>
    <n v="7"/>
    <n v="7"/>
    <n v="0.16298020954598369"/>
    <n v="1"/>
    <x v="1924"/>
    <n v="3.8994726913864569E-4"/>
  </r>
  <r>
    <x v="5"/>
    <x v="3"/>
    <x v="6"/>
    <x v="4"/>
    <n v="3642740747.0555634"/>
    <n v="4.2999999999999997E-2"/>
    <x v="385"/>
    <x v="9"/>
    <n v="28.2"/>
    <n v="26.95"/>
    <n v="0.62747380675203723"/>
    <n v="1"/>
    <x v="1925"/>
    <n v="1.5012969861837862E-3"/>
  </r>
  <r>
    <x v="5"/>
    <x v="3"/>
    <x v="7"/>
    <x v="0"/>
    <n v="3642740747.0555634"/>
    <n v="3.7749999999999999E-2"/>
    <x v="386"/>
    <x v="0"/>
    <n v="1"/>
    <n v="1"/>
    <n v="2.3282887077997669E-2"/>
    <n v="1"/>
    <x v="1926"/>
    <n v="4.8905346877022853E-5"/>
  </r>
  <r>
    <x v="5"/>
    <x v="3"/>
    <x v="7"/>
    <x v="1"/>
    <n v="3642740747.0555634"/>
    <n v="3.7749999999999999E-2"/>
    <x v="386"/>
    <x v="1"/>
    <n v="3"/>
    <n v="3"/>
    <n v="6.9848661233993012E-2"/>
    <n v="1"/>
    <x v="1927"/>
    <n v="1.4671604063106857E-4"/>
  </r>
  <r>
    <x v="5"/>
    <x v="3"/>
    <x v="7"/>
    <x v="2"/>
    <n v="3642740747.0555634"/>
    <n v="3.7749999999999999E-2"/>
    <x v="386"/>
    <x v="2"/>
    <n v="5"/>
    <n v="5"/>
    <n v="0.11641443538998836"/>
    <n v="1"/>
    <x v="1928"/>
    <n v="2.4452673438511431E-4"/>
  </r>
  <r>
    <x v="5"/>
    <x v="3"/>
    <x v="7"/>
    <x v="3"/>
    <n v="3642740747.0555634"/>
    <n v="3.7749999999999999E-2"/>
    <x v="386"/>
    <x v="3"/>
    <n v="7"/>
    <n v="7"/>
    <n v="0.16298020954598369"/>
    <n v="1"/>
    <x v="1929"/>
    <n v="3.4233742813915999E-4"/>
  </r>
  <r>
    <x v="5"/>
    <x v="3"/>
    <x v="7"/>
    <x v="4"/>
    <n v="3642740747.0555634"/>
    <n v="3.7749999999999999E-2"/>
    <x v="386"/>
    <x v="9"/>
    <n v="28.2"/>
    <n v="26.95"/>
    <n v="0.62747380675203723"/>
    <n v="1"/>
    <x v="1930"/>
    <n v="1.317999098335766E-3"/>
  </r>
  <r>
    <x v="5"/>
    <x v="3"/>
    <x v="8"/>
    <x v="0"/>
    <n v="3642740747.0555634"/>
    <n v="3.2500000000000001E-2"/>
    <x v="387"/>
    <x v="0"/>
    <n v="1"/>
    <n v="1"/>
    <n v="2.3282887077997669E-2"/>
    <n v="1"/>
    <x v="1931"/>
    <n v="4.2103941019953447E-5"/>
  </r>
  <r>
    <x v="5"/>
    <x v="3"/>
    <x v="8"/>
    <x v="1"/>
    <n v="3642740747.0555634"/>
    <n v="3.2500000000000001E-2"/>
    <x v="387"/>
    <x v="1"/>
    <n v="3"/>
    <n v="3"/>
    <n v="6.9848661233993012E-2"/>
    <n v="1"/>
    <x v="1932"/>
    <n v="1.2631182305986036E-4"/>
  </r>
  <r>
    <x v="5"/>
    <x v="3"/>
    <x v="8"/>
    <x v="2"/>
    <n v="3642740747.0555634"/>
    <n v="3.2500000000000001E-2"/>
    <x v="387"/>
    <x v="2"/>
    <n v="5"/>
    <n v="5"/>
    <n v="0.11641443538998836"/>
    <n v="1"/>
    <x v="1933"/>
    <n v="2.1051970509976725E-4"/>
  </r>
  <r>
    <x v="5"/>
    <x v="3"/>
    <x v="8"/>
    <x v="3"/>
    <n v="3642740747.0555634"/>
    <n v="3.2500000000000001E-2"/>
    <x v="387"/>
    <x v="3"/>
    <n v="7"/>
    <n v="7"/>
    <n v="0.16298020954598369"/>
    <n v="1"/>
    <x v="1934"/>
    <n v="2.9472758713967412E-4"/>
  </r>
  <r>
    <x v="5"/>
    <x v="3"/>
    <x v="8"/>
    <x v="4"/>
    <n v="3642740747.0555634"/>
    <n v="3.2500000000000001E-2"/>
    <x v="387"/>
    <x v="9"/>
    <n v="28.2"/>
    <n v="26.95"/>
    <n v="0.62747380675203723"/>
    <n v="1"/>
    <x v="1935"/>
    <n v="1.1347012104877454E-3"/>
  </r>
  <r>
    <x v="5"/>
    <x v="4"/>
    <x v="0"/>
    <x v="0"/>
    <n v="233080616.05569208"/>
    <n v="0.20975000000000002"/>
    <x v="388"/>
    <x v="0"/>
    <n v="1"/>
    <n v="1"/>
    <n v="2.3282887077997669E-2"/>
    <n v="1"/>
    <x v="1936"/>
    <n v="1.7386783677264269E-5"/>
  </r>
  <r>
    <x v="5"/>
    <x v="4"/>
    <x v="0"/>
    <x v="1"/>
    <n v="233080616.05569208"/>
    <n v="0.20975000000000002"/>
    <x v="388"/>
    <x v="1"/>
    <n v="3"/>
    <n v="3"/>
    <n v="6.9848661233993012E-2"/>
    <n v="1"/>
    <x v="1937"/>
    <n v="5.2160351031792821E-5"/>
  </r>
  <r>
    <x v="5"/>
    <x v="4"/>
    <x v="0"/>
    <x v="2"/>
    <n v="233080616.05569208"/>
    <n v="0.20975000000000002"/>
    <x v="388"/>
    <x v="2"/>
    <n v="5"/>
    <n v="5"/>
    <n v="0.11641443538998836"/>
    <n v="1"/>
    <x v="1938"/>
    <n v="8.6933918386321367E-5"/>
  </r>
  <r>
    <x v="5"/>
    <x v="4"/>
    <x v="0"/>
    <x v="3"/>
    <n v="233080616.05569208"/>
    <n v="0.20975000000000002"/>
    <x v="388"/>
    <x v="3"/>
    <n v="7"/>
    <n v="7"/>
    <n v="0.16298020954598369"/>
    <n v="1"/>
    <x v="1939"/>
    <n v="1.2170748574084991E-4"/>
  </r>
  <r>
    <x v="5"/>
    <x v="4"/>
    <x v="0"/>
    <x v="4"/>
    <n v="233080616.05569208"/>
    <n v="0.20975000000000002"/>
    <x v="388"/>
    <x v="9"/>
    <n v="28.2"/>
    <n v="26.95"/>
    <n v="0.62747380675203723"/>
    <n v="1"/>
    <x v="1940"/>
    <n v="4.6857382010227219E-4"/>
  </r>
  <r>
    <x v="5"/>
    <x v="4"/>
    <x v="1"/>
    <x v="0"/>
    <n v="233080616.05569208"/>
    <n v="3.6749999999999998E-2"/>
    <x v="389"/>
    <x v="0"/>
    <n v="1"/>
    <n v="1"/>
    <n v="2.3282887077997669E-2"/>
    <n v="1"/>
    <x v="1941"/>
    <n v="3.0463137074586982E-6"/>
  </r>
  <r>
    <x v="5"/>
    <x v="4"/>
    <x v="1"/>
    <x v="1"/>
    <n v="233080616.05569208"/>
    <n v="3.6749999999999998E-2"/>
    <x v="389"/>
    <x v="1"/>
    <n v="3"/>
    <n v="3"/>
    <n v="6.9848661233993012E-2"/>
    <n v="1"/>
    <x v="1942"/>
    <n v="9.1389411223760951E-6"/>
  </r>
  <r>
    <x v="5"/>
    <x v="4"/>
    <x v="1"/>
    <x v="2"/>
    <n v="233080616.05569208"/>
    <n v="3.6749999999999998E-2"/>
    <x v="389"/>
    <x v="2"/>
    <n v="5"/>
    <n v="5"/>
    <n v="0.11641443538998836"/>
    <n v="1"/>
    <x v="1943"/>
    <n v="1.5231568537293492E-5"/>
  </r>
  <r>
    <x v="5"/>
    <x v="4"/>
    <x v="1"/>
    <x v="3"/>
    <n v="233080616.05569208"/>
    <n v="3.6749999999999998E-2"/>
    <x v="389"/>
    <x v="3"/>
    <n v="7"/>
    <n v="7"/>
    <n v="0.16298020954598369"/>
    <n v="1"/>
    <x v="1944"/>
    <n v="2.132419595221089E-5"/>
  </r>
  <r>
    <x v="5"/>
    <x v="4"/>
    <x v="1"/>
    <x v="4"/>
    <n v="233080616.05569208"/>
    <n v="3.6749999999999998E-2"/>
    <x v="389"/>
    <x v="9"/>
    <n v="28.2"/>
    <n v="26.95"/>
    <n v="0.62747380675203723"/>
    <n v="1"/>
    <x v="1945"/>
    <n v="8.2098154416011931E-5"/>
  </r>
  <r>
    <x v="5"/>
    <x v="4"/>
    <x v="2"/>
    <x v="0"/>
    <n v="233080616.05569208"/>
    <n v="0.24875"/>
    <x v="390"/>
    <x v="0"/>
    <n v="1"/>
    <n v="1"/>
    <n v="2.3282887077997669E-2"/>
    <n v="1"/>
    <x v="1946"/>
    <n v="2.0619606387220442E-5"/>
  </r>
  <r>
    <x v="5"/>
    <x v="4"/>
    <x v="2"/>
    <x v="1"/>
    <n v="233080616.05569208"/>
    <n v="0.24875"/>
    <x v="390"/>
    <x v="1"/>
    <n v="3"/>
    <n v="3"/>
    <n v="6.9848661233993012E-2"/>
    <n v="1"/>
    <x v="1947"/>
    <n v="6.185881916166133E-5"/>
  </r>
  <r>
    <x v="5"/>
    <x v="4"/>
    <x v="2"/>
    <x v="2"/>
    <n v="233080616.05569208"/>
    <n v="0.24875"/>
    <x v="390"/>
    <x v="2"/>
    <n v="5"/>
    <n v="5"/>
    <n v="0.11641443538998836"/>
    <n v="1"/>
    <x v="1948"/>
    <n v="1.0309803193610221E-4"/>
  </r>
  <r>
    <x v="5"/>
    <x v="4"/>
    <x v="2"/>
    <x v="3"/>
    <n v="233080616.05569208"/>
    <n v="0.24875"/>
    <x v="390"/>
    <x v="3"/>
    <n v="7"/>
    <n v="7"/>
    <n v="0.16298020954598369"/>
    <n v="1"/>
    <x v="1949"/>
    <n v="1.4433724471054309E-4"/>
  </r>
  <r>
    <x v="5"/>
    <x v="4"/>
    <x v="2"/>
    <x v="4"/>
    <n v="233080616.05569208"/>
    <n v="0.24875"/>
    <x v="390"/>
    <x v="9"/>
    <n v="28.2"/>
    <n v="26.95"/>
    <n v="0.62747380675203723"/>
    <n v="1"/>
    <x v="1950"/>
    <n v="5.556983921355909E-4"/>
  </r>
  <r>
    <x v="5"/>
    <x v="4"/>
    <x v="3"/>
    <x v="0"/>
    <n v="233080616.05569208"/>
    <n v="5.8249999999999996E-2"/>
    <x v="391"/>
    <x v="0"/>
    <n v="1"/>
    <n v="1"/>
    <n v="2.3282887077997669E-2"/>
    <n v="1"/>
    <x v="1951"/>
    <n v="4.8285108424345353E-6"/>
  </r>
  <r>
    <x v="5"/>
    <x v="4"/>
    <x v="3"/>
    <x v="1"/>
    <n v="233080616.05569208"/>
    <n v="5.8249999999999996E-2"/>
    <x v="391"/>
    <x v="1"/>
    <n v="3"/>
    <n v="3"/>
    <n v="6.9848661233993012E-2"/>
    <n v="1"/>
    <x v="1952"/>
    <n v="1.4485532527303605E-5"/>
  </r>
  <r>
    <x v="5"/>
    <x v="4"/>
    <x v="3"/>
    <x v="2"/>
    <n v="233080616.05569208"/>
    <n v="5.8249999999999996E-2"/>
    <x v="391"/>
    <x v="2"/>
    <n v="5"/>
    <n v="5"/>
    <n v="0.11641443538998836"/>
    <n v="1"/>
    <x v="1953"/>
    <n v="2.4142554212172676E-5"/>
  </r>
  <r>
    <x v="5"/>
    <x v="4"/>
    <x v="3"/>
    <x v="3"/>
    <n v="233080616.05569208"/>
    <n v="5.8249999999999996E-2"/>
    <x v="391"/>
    <x v="3"/>
    <n v="7"/>
    <n v="7"/>
    <n v="0.16298020954598369"/>
    <n v="1"/>
    <x v="1954"/>
    <n v="3.3799575897041744E-5"/>
  </r>
  <r>
    <x v="5"/>
    <x v="4"/>
    <x v="3"/>
    <x v="4"/>
    <n v="233080616.05569208"/>
    <n v="5.8249999999999996E-2"/>
    <x v="391"/>
    <x v="9"/>
    <n v="28.2"/>
    <n v="26.95"/>
    <n v="0.62747380675203723"/>
    <n v="1"/>
    <x v="1955"/>
    <n v="1.3012836720361072E-4"/>
  </r>
  <r>
    <x v="5"/>
    <x v="4"/>
    <x v="4"/>
    <x v="0"/>
    <n v="233080616.05569208"/>
    <n v="8.0499999999999988E-2"/>
    <x v="392"/>
    <x v="0"/>
    <n v="1"/>
    <n v="1"/>
    <n v="2.3282887077997669E-2"/>
    <n v="1"/>
    <x v="1956"/>
    <n v="6.6728776449095278E-6"/>
  </r>
  <r>
    <x v="5"/>
    <x v="4"/>
    <x v="4"/>
    <x v="1"/>
    <n v="233080616.05569208"/>
    <n v="8.0499999999999988E-2"/>
    <x v="392"/>
    <x v="1"/>
    <n v="3"/>
    <n v="3"/>
    <n v="6.9848661233993012E-2"/>
    <n v="1"/>
    <x v="1957"/>
    <n v="2.0018632934728585E-5"/>
  </r>
  <r>
    <x v="5"/>
    <x v="4"/>
    <x v="4"/>
    <x v="2"/>
    <n v="233080616.05569208"/>
    <n v="8.0499999999999988E-2"/>
    <x v="392"/>
    <x v="2"/>
    <n v="5"/>
    <n v="5"/>
    <n v="0.11641443538998836"/>
    <n v="1"/>
    <x v="1958"/>
    <n v="3.3364388224547644E-5"/>
  </r>
  <r>
    <x v="5"/>
    <x v="4"/>
    <x v="4"/>
    <x v="3"/>
    <n v="233080616.05569208"/>
    <n v="8.0499999999999988E-2"/>
    <x v="392"/>
    <x v="3"/>
    <n v="7"/>
    <n v="7"/>
    <n v="0.16298020954598369"/>
    <n v="1"/>
    <x v="1959"/>
    <n v="4.6710143514366696E-5"/>
  </r>
  <r>
    <x v="5"/>
    <x v="4"/>
    <x v="4"/>
    <x v="4"/>
    <n v="233080616.05569208"/>
    <n v="8.0499999999999988E-2"/>
    <x v="392"/>
    <x v="9"/>
    <n v="28.2"/>
    <n v="26.95"/>
    <n v="0.62747380675203723"/>
    <n v="1"/>
    <x v="1960"/>
    <n v="1.7983405253031178E-4"/>
  </r>
  <r>
    <x v="5"/>
    <x v="4"/>
    <x v="5"/>
    <x v="0"/>
    <n v="233080616.05569208"/>
    <n v="0.10050000000000001"/>
    <x v="393"/>
    <x v="0"/>
    <n v="1"/>
    <n v="1"/>
    <n v="2.3282887077997669E-2"/>
    <n v="1"/>
    <x v="1961"/>
    <n v="8.3307354448870527E-6"/>
  </r>
  <r>
    <x v="5"/>
    <x v="4"/>
    <x v="5"/>
    <x v="1"/>
    <n v="233080616.05569208"/>
    <n v="0.10050000000000001"/>
    <x v="393"/>
    <x v="1"/>
    <n v="3"/>
    <n v="3"/>
    <n v="6.9848661233993012E-2"/>
    <n v="1"/>
    <x v="1962"/>
    <n v="2.499220633466116E-5"/>
  </r>
  <r>
    <x v="5"/>
    <x v="4"/>
    <x v="5"/>
    <x v="2"/>
    <n v="233080616.05569208"/>
    <n v="0.10050000000000001"/>
    <x v="393"/>
    <x v="2"/>
    <n v="5"/>
    <n v="5"/>
    <n v="0.11641443538998836"/>
    <n v="1"/>
    <x v="1963"/>
    <n v="4.1653677224435272E-5"/>
  </r>
  <r>
    <x v="5"/>
    <x v="4"/>
    <x v="5"/>
    <x v="3"/>
    <n v="233080616.05569208"/>
    <n v="0.10050000000000001"/>
    <x v="393"/>
    <x v="3"/>
    <n v="7"/>
    <n v="7"/>
    <n v="0.16298020954598369"/>
    <n v="1"/>
    <x v="1964"/>
    <n v="5.8315148114209367E-5"/>
  </r>
  <r>
    <x v="5"/>
    <x v="4"/>
    <x v="5"/>
    <x v="4"/>
    <n v="233080616.05569208"/>
    <n v="0.10050000000000001"/>
    <x v="393"/>
    <x v="9"/>
    <n v="28.2"/>
    <n v="26.95"/>
    <n v="0.62747380675203723"/>
    <n v="1"/>
    <x v="1965"/>
    <n v="2.2451332023970609E-4"/>
  </r>
  <r>
    <x v="5"/>
    <x v="4"/>
    <x v="6"/>
    <x v="0"/>
    <n v="233080616.05569208"/>
    <n v="4.4999999999999998E-2"/>
    <x v="394"/>
    <x v="0"/>
    <n v="1"/>
    <n v="1"/>
    <n v="2.3282887077997669E-2"/>
    <n v="1"/>
    <x v="1966"/>
    <n v="3.7301800499494263E-6"/>
  </r>
  <r>
    <x v="5"/>
    <x v="4"/>
    <x v="6"/>
    <x v="1"/>
    <n v="233080616.05569208"/>
    <n v="4.4999999999999998E-2"/>
    <x v="394"/>
    <x v="1"/>
    <n v="3"/>
    <n v="3"/>
    <n v="6.9848661233993012E-2"/>
    <n v="1"/>
    <x v="1967"/>
    <n v="1.119054014984828E-5"/>
  </r>
  <r>
    <x v="5"/>
    <x v="4"/>
    <x v="6"/>
    <x v="2"/>
    <n v="233080616.05569208"/>
    <n v="4.4999999999999998E-2"/>
    <x v="394"/>
    <x v="2"/>
    <n v="5"/>
    <n v="5"/>
    <n v="0.11641443538998836"/>
    <n v="1"/>
    <x v="1968"/>
    <n v="1.8650900249747134E-5"/>
  </r>
  <r>
    <x v="5"/>
    <x v="4"/>
    <x v="6"/>
    <x v="3"/>
    <n v="233080616.05569208"/>
    <n v="4.4999999999999998E-2"/>
    <x v="394"/>
    <x v="3"/>
    <n v="7"/>
    <n v="7"/>
    <n v="0.16298020954598369"/>
    <n v="1"/>
    <x v="1969"/>
    <n v="2.6111260349645984E-5"/>
  </r>
  <r>
    <x v="5"/>
    <x v="4"/>
    <x v="6"/>
    <x v="4"/>
    <n v="233080616.05569208"/>
    <n v="4.4999999999999998E-2"/>
    <x v="394"/>
    <x v="9"/>
    <n v="28.2"/>
    <n v="26.95"/>
    <n v="0.62747380675203723"/>
    <n v="1"/>
    <x v="1970"/>
    <n v="1.0052835234613705E-4"/>
  </r>
  <r>
    <x v="5"/>
    <x v="4"/>
    <x v="7"/>
    <x v="0"/>
    <n v="233080616.05569208"/>
    <n v="0.1525"/>
    <x v="395"/>
    <x v="0"/>
    <n v="1"/>
    <n v="1"/>
    <n v="2.3282887077997669E-2"/>
    <n v="1"/>
    <x v="1971"/>
    <n v="1.2641165724828612E-5"/>
  </r>
  <r>
    <x v="5"/>
    <x v="4"/>
    <x v="7"/>
    <x v="1"/>
    <n v="233080616.05569208"/>
    <n v="0.1525"/>
    <x v="395"/>
    <x v="1"/>
    <n v="3"/>
    <n v="3"/>
    <n v="6.9848661233993012E-2"/>
    <n v="1"/>
    <x v="1972"/>
    <n v="3.7923497174485835E-5"/>
  </r>
  <r>
    <x v="5"/>
    <x v="4"/>
    <x v="7"/>
    <x v="2"/>
    <n v="233080616.05569208"/>
    <n v="0.1525"/>
    <x v="395"/>
    <x v="2"/>
    <n v="5"/>
    <n v="5"/>
    <n v="0.11641443538998836"/>
    <n v="1"/>
    <x v="1973"/>
    <n v="6.3205828624143058E-5"/>
  </r>
  <r>
    <x v="5"/>
    <x v="4"/>
    <x v="7"/>
    <x v="3"/>
    <n v="233080616.05569208"/>
    <n v="0.1525"/>
    <x v="395"/>
    <x v="3"/>
    <n v="7"/>
    <n v="7"/>
    <n v="0.16298020954598369"/>
    <n v="1"/>
    <x v="1974"/>
    <n v="8.8488160073800281E-5"/>
  </r>
  <r>
    <x v="5"/>
    <x v="4"/>
    <x v="7"/>
    <x v="4"/>
    <n v="233080616.05569208"/>
    <n v="0.1525"/>
    <x v="395"/>
    <x v="9"/>
    <n v="28.2"/>
    <n v="26.95"/>
    <n v="0.62747380675203723"/>
    <n v="1"/>
    <x v="1975"/>
    <n v="3.4067941628413112E-4"/>
  </r>
  <r>
    <x v="5"/>
    <x v="4"/>
    <x v="8"/>
    <x v="0"/>
    <n v="233080616.05569208"/>
    <n v="6.724999999999999E-2"/>
    <x v="396"/>
    <x v="0"/>
    <n v="1"/>
    <n v="1"/>
    <n v="2.3282887077997669E-2"/>
    <n v="1"/>
    <x v="1976"/>
    <n v="5.5745468524244201E-6"/>
  </r>
  <r>
    <x v="5"/>
    <x v="4"/>
    <x v="8"/>
    <x v="1"/>
    <n v="233080616.05569208"/>
    <n v="6.724999999999999E-2"/>
    <x v="396"/>
    <x v="1"/>
    <n v="3"/>
    <n v="3"/>
    <n v="6.9848661233993012E-2"/>
    <n v="1"/>
    <x v="1977"/>
    <n v="1.6723640557273262E-5"/>
  </r>
  <r>
    <x v="5"/>
    <x v="4"/>
    <x v="8"/>
    <x v="2"/>
    <n v="233080616.05569208"/>
    <n v="6.724999999999999E-2"/>
    <x v="396"/>
    <x v="2"/>
    <n v="5"/>
    <n v="5"/>
    <n v="0.11641443538998836"/>
    <n v="1"/>
    <x v="1978"/>
    <n v="2.7872734262122102E-5"/>
  </r>
  <r>
    <x v="5"/>
    <x v="4"/>
    <x v="8"/>
    <x v="3"/>
    <n v="233080616.05569208"/>
    <n v="6.724999999999999E-2"/>
    <x v="396"/>
    <x v="3"/>
    <n v="7"/>
    <n v="7"/>
    <n v="0.16298020954598369"/>
    <n v="1"/>
    <x v="1979"/>
    <n v="3.9021827966970943E-5"/>
  </r>
  <r>
    <x v="5"/>
    <x v="4"/>
    <x v="8"/>
    <x v="4"/>
    <n v="233080616.05569208"/>
    <n v="6.724999999999999E-2"/>
    <x v="396"/>
    <x v="9"/>
    <n v="28.2"/>
    <n v="26.95"/>
    <n v="0.62747380675203723"/>
    <n v="1"/>
    <x v="1980"/>
    <n v="1.5023403767283814E-4"/>
  </r>
  <r>
    <x v="5"/>
    <x v="5"/>
    <x v="0"/>
    <x v="0"/>
    <n v="3948009846.44596"/>
    <n v="0.35425000000000006"/>
    <x v="397"/>
    <x v="0"/>
    <n v="1"/>
    <n v="1"/>
    <n v="2.3282887077997669E-2"/>
    <n v="1"/>
    <x v="1981"/>
    <n v="4.9739247434036119E-4"/>
  </r>
  <r>
    <x v="5"/>
    <x v="5"/>
    <x v="0"/>
    <x v="1"/>
    <n v="3948009846.44596"/>
    <n v="0.35425000000000006"/>
    <x v="397"/>
    <x v="1"/>
    <n v="3"/>
    <n v="3"/>
    <n v="6.9848661233993012E-2"/>
    <n v="1"/>
    <x v="1982"/>
    <n v="1.4921774230210836E-3"/>
  </r>
  <r>
    <x v="5"/>
    <x v="5"/>
    <x v="0"/>
    <x v="2"/>
    <n v="3948009846.44596"/>
    <n v="0.35425000000000006"/>
    <x v="397"/>
    <x v="2"/>
    <n v="5"/>
    <n v="5"/>
    <n v="0.11641443538998836"/>
    <n v="1"/>
    <x v="1983"/>
    <n v="2.4869623717018062E-3"/>
  </r>
  <r>
    <x v="5"/>
    <x v="5"/>
    <x v="0"/>
    <x v="3"/>
    <n v="3948009846.44596"/>
    <n v="0.35425000000000006"/>
    <x v="397"/>
    <x v="3"/>
    <n v="7"/>
    <n v="7"/>
    <n v="0.16298020954598369"/>
    <n v="1"/>
    <x v="1984"/>
    <n v="3.4817473203825281E-3"/>
  </r>
  <r>
    <x v="5"/>
    <x v="5"/>
    <x v="0"/>
    <x v="4"/>
    <n v="3948009846.44596"/>
    <n v="0.35425000000000006"/>
    <x v="397"/>
    <x v="9"/>
    <n v="28.2"/>
    <n v="26.95"/>
    <n v="0.62747380675203723"/>
    <n v="1"/>
    <x v="1985"/>
    <n v="1.3404727183472735E-2"/>
  </r>
  <r>
    <x v="5"/>
    <x v="5"/>
    <x v="1"/>
    <x v="0"/>
    <n v="3948009846.44596"/>
    <n v="0.10475"/>
    <x v="398"/>
    <x v="0"/>
    <n v="1"/>
    <n v="1"/>
    <n v="2.3282887077997669E-2"/>
    <n v="1"/>
    <x v="1986"/>
    <n v="1.4707653263839894E-4"/>
  </r>
  <r>
    <x v="5"/>
    <x v="5"/>
    <x v="1"/>
    <x v="1"/>
    <n v="3948009846.44596"/>
    <n v="0.10475"/>
    <x v="398"/>
    <x v="1"/>
    <n v="3"/>
    <n v="3"/>
    <n v="6.9848661233993012E-2"/>
    <n v="1"/>
    <x v="1987"/>
    <n v="4.4122959791519686E-4"/>
  </r>
  <r>
    <x v="5"/>
    <x v="5"/>
    <x v="1"/>
    <x v="2"/>
    <n v="3948009846.44596"/>
    <n v="0.10475"/>
    <x v="398"/>
    <x v="2"/>
    <n v="5"/>
    <n v="5"/>
    <n v="0.11641443538998836"/>
    <n v="1"/>
    <x v="1988"/>
    <n v="7.3538266319199473E-4"/>
  </r>
  <r>
    <x v="5"/>
    <x v="5"/>
    <x v="1"/>
    <x v="3"/>
    <n v="3948009846.44596"/>
    <n v="0.10475"/>
    <x v="398"/>
    <x v="3"/>
    <n v="7"/>
    <n v="7"/>
    <n v="0.16298020954598369"/>
    <n v="1"/>
    <x v="1989"/>
    <n v="1.0295357284687925E-3"/>
  </r>
  <r>
    <x v="5"/>
    <x v="5"/>
    <x v="1"/>
    <x v="4"/>
    <n v="3948009846.44596"/>
    <n v="0.10475"/>
    <x v="398"/>
    <x v="9"/>
    <n v="28.2"/>
    <n v="26.95"/>
    <n v="0.62747380675203723"/>
    <n v="1"/>
    <x v="1990"/>
    <n v="3.9637125546048519E-3"/>
  </r>
  <r>
    <x v="5"/>
    <x v="5"/>
    <x v="2"/>
    <x v="0"/>
    <n v="3948009846.44596"/>
    <n v="0.27474999999999999"/>
    <x v="399"/>
    <x v="0"/>
    <n v="1"/>
    <n v="1"/>
    <n v="2.3282887077997669E-2"/>
    <n v="1"/>
    <x v="1991"/>
    <n v="3.857687574453471E-4"/>
  </r>
  <r>
    <x v="5"/>
    <x v="5"/>
    <x v="2"/>
    <x v="1"/>
    <n v="3948009846.44596"/>
    <n v="0.27474999999999999"/>
    <x v="399"/>
    <x v="1"/>
    <n v="3"/>
    <n v="3"/>
    <n v="6.9848661233993012E-2"/>
    <n v="1"/>
    <x v="1992"/>
    <n v="1.1573062723360414E-3"/>
  </r>
  <r>
    <x v="5"/>
    <x v="5"/>
    <x v="2"/>
    <x v="2"/>
    <n v="3948009846.44596"/>
    <n v="0.27474999999999999"/>
    <x v="399"/>
    <x v="2"/>
    <n v="5"/>
    <n v="5"/>
    <n v="0.11641443538998836"/>
    <n v="1"/>
    <x v="1993"/>
    <n v="1.9288437872267358E-3"/>
  </r>
  <r>
    <x v="5"/>
    <x v="5"/>
    <x v="2"/>
    <x v="3"/>
    <n v="3948009846.44596"/>
    <n v="0.27474999999999999"/>
    <x v="399"/>
    <x v="3"/>
    <n v="7"/>
    <n v="7"/>
    <n v="0.16298020954598369"/>
    <n v="1"/>
    <x v="1994"/>
    <n v="2.70038130211743E-3"/>
  </r>
  <r>
    <x v="5"/>
    <x v="5"/>
    <x v="2"/>
    <x v="4"/>
    <n v="3948009846.44596"/>
    <n v="0.27474999999999999"/>
    <x v="399"/>
    <x v="9"/>
    <n v="28.2"/>
    <n v="26.95"/>
    <n v="0.62747380675203723"/>
    <n v="1"/>
    <x v="1995"/>
    <n v="1.0396468013152105E-2"/>
  </r>
  <r>
    <x v="5"/>
    <x v="5"/>
    <x v="3"/>
    <x v="0"/>
    <n v="3948009846.44596"/>
    <n v="2.9499999999999998E-2"/>
    <x v="400"/>
    <x v="0"/>
    <n v="1"/>
    <n v="1"/>
    <n v="2.3282887077997669E-2"/>
    <n v="1"/>
    <x v="1996"/>
    <n v="4.1420121363558654E-5"/>
  </r>
  <r>
    <x v="5"/>
    <x v="5"/>
    <x v="3"/>
    <x v="1"/>
    <n v="3948009846.44596"/>
    <n v="2.9499999999999998E-2"/>
    <x v="400"/>
    <x v="1"/>
    <n v="3"/>
    <n v="3"/>
    <n v="6.9848661233993012E-2"/>
    <n v="1"/>
    <x v="1997"/>
    <n v="1.2426036409067596E-4"/>
  </r>
  <r>
    <x v="5"/>
    <x v="5"/>
    <x v="3"/>
    <x v="2"/>
    <n v="3948009846.44596"/>
    <n v="2.9499999999999998E-2"/>
    <x v="400"/>
    <x v="2"/>
    <n v="5"/>
    <n v="5"/>
    <n v="0.11641443538998836"/>
    <n v="1"/>
    <x v="1998"/>
    <n v="2.0710060681779327E-4"/>
  </r>
  <r>
    <x v="5"/>
    <x v="5"/>
    <x v="3"/>
    <x v="3"/>
    <n v="3948009846.44596"/>
    <n v="2.9499999999999998E-2"/>
    <x v="400"/>
    <x v="3"/>
    <n v="7"/>
    <n v="7"/>
    <n v="0.16298020954598369"/>
    <n v="1"/>
    <x v="1999"/>
    <n v="2.8994084954491058E-4"/>
  </r>
  <r>
    <x v="5"/>
    <x v="5"/>
    <x v="3"/>
    <x v="4"/>
    <n v="3948009846.44596"/>
    <n v="2.9499999999999998E-2"/>
    <x v="400"/>
    <x v="9"/>
    <n v="28.2"/>
    <n v="26.95"/>
    <n v="0.62747380675203723"/>
    <n v="1"/>
    <x v="2000"/>
    <n v="1.1162722707479058E-3"/>
  </r>
  <r>
    <x v="5"/>
    <x v="5"/>
    <x v="4"/>
    <x v="0"/>
    <n v="3948009846.44596"/>
    <n v="7.0999999999999994E-2"/>
    <x v="401"/>
    <x v="0"/>
    <n v="1"/>
    <n v="1"/>
    <n v="2.3282887077997669E-2"/>
    <n v="1"/>
    <x v="2001"/>
    <n v="9.9689105654666589E-5"/>
  </r>
  <r>
    <x v="5"/>
    <x v="5"/>
    <x v="4"/>
    <x v="1"/>
    <n v="3948009846.44596"/>
    <n v="7.0999999999999994E-2"/>
    <x v="401"/>
    <x v="1"/>
    <n v="3"/>
    <n v="3"/>
    <n v="6.9848661233993012E-2"/>
    <n v="1"/>
    <x v="2002"/>
    <n v="2.9906731696399978E-4"/>
  </r>
  <r>
    <x v="5"/>
    <x v="5"/>
    <x v="4"/>
    <x v="2"/>
    <n v="3948009846.44596"/>
    <n v="7.0999999999999994E-2"/>
    <x v="401"/>
    <x v="2"/>
    <n v="5"/>
    <n v="5"/>
    <n v="0.11641443538998836"/>
    <n v="1"/>
    <x v="2003"/>
    <n v="4.9844552827333299E-4"/>
  </r>
  <r>
    <x v="5"/>
    <x v="5"/>
    <x v="4"/>
    <x v="3"/>
    <n v="3948009846.44596"/>
    <n v="7.0999999999999994E-2"/>
    <x v="401"/>
    <x v="3"/>
    <n v="7"/>
    <n v="7"/>
    <n v="0.16298020954598369"/>
    <n v="1"/>
    <x v="2004"/>
    <n v="6.9782373958266614E-4"/>
  </r>
  <r>
    <x v="5"/>
    <x v="5"/>
    <x v="4"/>
    <x v="4"/>
    <n v="3948009846.44596"/>
    <n v="7.0999999999999994E-2"/>
    <x v="401"/>
    <x v="9"/>
    <n v="28.2"/>
    <n v="26.95"/>
    <n v="0.62747380675203723"/>
    <n v="1"/>
    <x v="2005"/>
    <n v="2.6866213973932647E-3"/>
  </r>
  <r>
    <x v="5"/>
    <x v="5"/>
    <x v="5"/>
    <x v="0"/>
    <n v="3948009846.44596"/>
    <n v="5.1749999999999997E-2"/>
    <x v="402"/>
    <x v="0"/>
    <n v="1"/>
    <n v="1"/>
    <n v="2.3282887077997669E-2"/>
    <n v="1"/>
    <x v="2006"/>
    <n v="7.2660721375056287E-5"/>
  </r>
  <r>
    <x v="5"/>
    <x v="5"/>
    <x v="5"/>
    <x v="1"/>
    <n v="3948009846.44596"/>
    <n v="5.1749999999999997E-2"/>
    <x v="402"/>
    <x v="1"/>
    <n v="3"/>
    <n v="3"/>
    <n v="6.9848661233993012E-2"/>
    <n v="1"/>
    <x v="2007"/>
    <n v="2.1798216412516886E-4"/>
  </r>
  <r>
    <x v="5"/>
    <x v="5"/>
    <x v="5"/>
    <x v="2"/>
    <n v="3948009846.44596"/>
    <n v="5.1749999999999997E-2"/>
    <x v="402"/>
    <x v="2"/>
    <n v="5"/>
    <n v="5"/>
    <n v="0.11641443538998836"/>
    <n v="1"/>
    <x v="2008"/>
    <n v="3.6330360687528141E-4"/>
  </r>
  <r>
    <x v="5"/>
    <x v="5"/>
    <x v="5"/>
    <x v="3"/>
    <n v="3948009846.44596"/>
    <n v="5.1749999999999997E-2"/>
    <x v="402"/>
    <x v="3"/>
    <n v="7"/>
    <n v="7"/>
    <n v="0.16298020954598369"/>
    <n v="1"/>
    <x v="2009"/>
    <n v="5.0862504962539393E-4"/>
  </r>
  <r>
    <x v="5"/>
    <x v="5"/>
    <x v="5"/>
    <x v="4"/>
    <n v="3948009846.44596"/>
    <n v="5.1749999999999997E-2"/>
    <x v="402"/>
    <x v="9"/>
    <n v="28.2"/>
    <n v="26.95"/>
    <n v="0.62747380675203723"/>
    <n v="1"/>
    <x v="2010"/>
    <n v="1.9582064410577668E-3"/>
  </r>
  <r>
    <x v="5"/>
    <x v="5"/>
    <x v="6"/>
    <x v="0"/>
    <n v="3948009846.44596"/>
    <n v="4.2999999999999997E-2"/>
    <x v="403"/>
    <x v="0"/>
    <n v="1"/>
    <n v="1"/>
    <n v="2.3282887077997669E-2"/>
    <n v="1"/>
    <x v="2011"/>
    <n v="6.0375092157051593E-5"/>
  </r>
  <r>
    <x v="5"/>
    <x v="5"/>
    <x v="6"/>
    <x v="1"/>
    <n v="3948009846.44596"/>
    <n v="4.2999999999999997E-2"/>
    <x v="403"/>
    <x v="1"/>
    <n v="3"/>
    <n v="3"/>
    <n v="6.9848661233993012E-2"/>
    <n v="1"/>
    <x v="2012"/>
    <n v="1.8112527647115478E-4"/>
  </r>
  <r>
    <x v="5"/>
    <x v="5"/>
    <x v="6"/>
    <x v="2"/>
    <n v="3948009846.44596"/>
    <n v="4.2999999999999997E-2"/>
    <x v="403"/>
    <x v="2"/>
    <n v="5"/>
    <n v="5"/>
    <n v="0.11641443538998836"/>
    <n v="1"/>
    <x v="2013"/>
    <n v="3.0187546078525799E-4"/>
  </r>
  <r>
    <x v="5"/>
    <x v="5"/>
    <x v="6"/>
    <x v="3"/>
    <n v="3948009846.44596"/>
    <n v="4.2999999999999997E-2"/>
    <x v="403"/>
    <x v="3"/>
    <n v="7"/>
    <n v="7"/>
    <n v="0.16298020954598369"/>
    <n v="1"/>
    <x v="2014"/>
    <n v="4.2262564509936112E-4"/>
  </r>
  <r>
    <x v="5"/>
    <x v="5"/>
    <x v="6"/>
    <x v="4"/>
    <n v="3948009846.44596"/>
    <n v="4.2999999999999997E-2"/>
    <x v="403"/>
    <x v="9"/>
    <n v="28.2"/>
    <n v="26.95"/>
    <n v="0.62747380675203723"/>
    <n v="1"/>
    <x v="2015"/>
    <n v="1.6271087336325405E-3"/>
  </r>
  <r>
    <x v="5"/>
    <x v="5"/>
    <x v="7"/>
    <x v="0"/>
    <n v="3948009846.44596"/>
    <n v="3.7749999999999999E-2"/>
    <x v="404"/>
    <x v="0"/>
    <n v="1"/>
    <n v="1"/>
    <n v="2.3282887077997669E-2"/>
    <n v="1"/>
    <x v="2016"/>
    <n v="5.3003714626248782E-5"/>
  </r>
  <r>
    <x v="5"/>
    <x v="5"/>
    <x v="7"/>
    <x v="1"/>
    <n v="3948009846.44596"/>
    <n v="3.7749999999999999E-2"/>
    <x v="404"/>
    <x v="1"/>
    <n v="3"/>
    <n v="3"/>
    <n v="6.9848661233993012E-2"/>
    <n v="1"/>
    <x v="2017"/>
    <n v="1.5901114387874635E-4"/>
  </r>
  <r>
    <x v="5"/>
    <x v="5"/>
    <x v="7"/>
    <x v="2"/>
    <n v="3948009846.44596"/>
    <n v="3.7749999999999999E-2"/>
    <x v="404"/>
    <x v="2"/>
    <n v="5"/>
    <n v="5"/>
    <n v="0.11641443538998836"/>
    <n v="1"/>
    <x v="2018"/>
    <n v="2.6501857313124396E-4"/>
  </r>
  <r>
    <x v="5"/>
    <x v="5"/>
    <x v="7"/>
    <x v="3"/>
    <n v="3948009846.44596"/>
    <n v="3.7749999999999999E-2"/>
    <x v="404"/>
    <x v="3"/>
    <n v="7"/>
    <n v="7"/>
    <n v="0.16298020954598369"/>
    <n v="1"/>
    <x v="2019"/>
    <n v="3.7102600238374147E-4"/>
  </r>
  <r>
    <x v="5"/>
    <x v="5"/>
    <x v="7"/>
    <x v="4"/>
    <n v="3948009846.44596"/>
    <n v="3.7749999999999999E-2"/>
    <x v="404"/>
    <x v="9"/>
    <n v="28.2"/>
    <n v="26.95"/>
    <n v="0.62747380675203723"/>
    <n v="1"/>
    <x v="2020"/>
    <n v="1.4284501091774047E-3"/>
  </r>
  <r>
    <x v="5"/>
    <x v="5"/>
    <x v="8"/>
    <x v="0"/>
    <n v="3948009846.44596"/>
    <n v="3.2500000000000001E-2"/>
    <x v="405"/>
    <x v="0"/>
    <n v="1"/>
    <n v="1"/>
    <n v="2.3282887077997669E-2"/>
    <n v="1"/>
    <x v="2021"/>
    <n v="4.5632337095445978E-5"/>
  </r>
  <r>
    <x v="5"/>
    <x v="5"/>
    <x v="8"/>
    <x v="1"/>
    <n v="3948009846.44596"/>
    <n v="3.2500000000000001E-2"/>
    <x v="405"/>
    <x v="1"/>
    <n v="3"/>
    <n v="3"/>
    <n v="6.9848661233993012E-2"/>
    <n v="1"/>
    <x v="2022"/>
    <n v="1.3689701128633794E-4"/>
  </r>
  <r>
    <x v="5"/>
    <x v="5"/>
    <x v="8"/>
    <x v="2"/>
    <n v="3948009846.44596"/>
    <n v="3.2500000000000001E-2"/>
    <x v="405"/>
    <x v="2"/>
    <n v="5"/>
    <n v="5"/>
    <n v="0.11641443538998836"/>
    <n v="1"/>
    <x v="2023"/>
    <n v="2.2816168547722991E-4"/>
  </r>
  <r>
    <x v="5"/>
    <x v="5"/>
    <x v="8"/>
    <x v="3"/>
    <n v="3948009846.44596"/>
    <n v="3.2500000000000001E-2"/>
    <x v="405"/>
    <x v="3"/>
    <n v="7"/>
    <n v="7"/>
    <n v="0.16298020954598369"/>
    <n v="1"/>
    <x v="2024"/>
    <n v="3.1942635966812182E-4"/>
  </r>
  <r>
    <x v="5"/>
    <x v="5"/>
    <x v="8"/>
    <x v="4"/>
    <n v="3948009846.44596"/>
    <n v="3.2500000000000001E-2"/>
    <x v="405"/>
    <x v="9"/>
    <n v="28.2"/>
    <n v="26.95"/>
    <n v="0.62747380675203723"/>
    <n v="1"/>
    <x v="2025"/>
    <n v="1.2297914847222693E-3"/>
  </r>
  <r>
    <x v="5"/>
    <x v="6"/>
    <x v="0"/>
    <x v="0"/>
    <n v="302040792.60850525"/>
    <n v="0.35425000000000006"/>
    <x v="406"/>
    <x v="0"/>
    <n v="1"/>
    <n v="1"/>
    <n v="2.3282887077997669E-2"/>
    <n v="1"/>
    <x v="2026"/>
    <n v="3.8052796986438489E-5"/>
  </r>
  <r>
    <x v="5"/>
    <x v="6"/>
    <x v="0"/>
    <x v="1"/>
    <n v="302040792.60850525"/>
    <n v="0.35425000000000006"/>
    <x v="406"/>
    <x v="1"/>
    <n v="3"/>
    <n v="3"/>
    <n v="6.9848661233993012E-2"/>
    <n v="1"/>
    <x v="2027"/>
    <n v="1.1415839095931546E-4"/>
  </r>
  <r>
    <x v="5"/>
    <x v="6"/>
    <x v="0"/>
    <x v="2"/>
    <n v="302040792.60850525"/>
    <n v="0.35425000000000006"/>
    <x v="406"/>
    <x v="2"/>
    <n v="5"/>
    <n v="5"/>
    <n v="0.11641443538998836"/>
    <n v="1"/>
    <x v="2028"/>
    <n v="1.9026398493219242E-4"/>
  </r>
  <r>
    <x v="5"/>
    <x v="6"/>
    <x v="0"/>
    <x v="3"/>
    <n v="302040792.60850525"/>
    <n v="0.35425000000000006"/>
    <x v="406"/>
    <x v="3"/>
    <n v="7"/>
    <n v="7"/>
    <n v="0.16298020954598369"/>
    <n v="1"/>
    <x v="2029"/>
    <n v="2.6636957890506941E-4"/>
  </r>
  <r>
    <x v="5"/>
    <x v="6"/>
    <x v="0"/>
    <x v="4"/>
    <n v="302040792.60850525"/>
    <n v="0.35425000000000006"/>
    <x v="406"/>
    <x v="9"/>
    <n v="28.2"/>
    <n v="26.95"/>
    <n v="0.62747380675203723"/>
    <n v="1"/>
    <x v="2030"/>
    <n v="1.0255228787845172E-3"/>
  </r>
  <r>
    <x v="5"/>
    <x v="6"/>
    <x v="1"/>
    <x v="0"/>
    <n v="302040792.60850525"/>
    <n v="0.10475"/>
    <x v="407"/>
    <x v="0"/>
    <n v="1"/>
    <n v="1"/>
    <n v="2.3282887077997669E-2"/>
    <n v="1"/>
    <x v="2031"/>
    <n v="1.1252026772983573E-5"/>
  </r>
  <r>
    <x v="5"/>
    <x v="6"/>
    <x v="1"/>
    <x v="1"/>
    <n v="302040792.60850525"/>
    <n v="0.10475"/>
    <x v="407"/>
    <x v="1"/>
    <n v="3"/>
    <n v="3"/>
    <n v="6.9848661233993012E-2"/>
    <n v="1"/>
    <x v="2032"/>
    <n v="3.3756080318950723E-5"/>
  </r>
  <r>
    <x v="5"/>
    <x v="6"/>
    <x v="1"/>
    <x v="2"/>
    <n v="302040792.60850525"/>
    <n v="0.10475"/>
    <x v="407"/>
    <x v="2"/>
    <n v="5"/>
    <n v="5"/>
    <n v="0.11641443538998836"/>
    <n v="1"/>
    <x v="2033"/>
    <n v="5.6260133864917869E-5"/>
  </r>
  <r>
    <x v="5"/>
    <x v="6"/>
    <x v="1"/>
    <x v="3"/>
    <n v="302040792.60850525"/>
    <n v="0.10475"/>
    <x v="407"/>
    <x v="3"/>
    <n v="7"/>
    <n v="7"/>
    <n v="0.16298020954598369"/>
    <n v="1"/>
    <x v="2034"/>
    <n v="7.8764187410885008E-5"/>
  </r>
  <r>
    <x v="5"/>
    <x v="6"/>
    <x v="1"/>
    <x v="4"/>
    <n v="302040792.60850525"/>
    <n v="0.10475"/>
    <x v="407"/>
    <x v="9"/>
    <n v="28.2"/>
    <n v="26.95"/>
    <n v="0.62747380675203723"/>
    <n v="1"/>
    <x v="2035"/>
    <n v="3.0324212153190732E-4"/>
  </r>
  <r>
    <x v="5"/>
    <x v="6"/>
    <x v="2"/>
    <x v="0"/>
    <n v="302040792.60850525"/>
    <n v="0.27474999999999999"/>
    <x v="408"/>
    <x v="0"/>
    <n v="1"/>
    <n v="1"/>
    <n v="2.3282887077997669E-2"/>
    <n v="1"/>
    <x v="2036"/>
    <n v="2.9513072609806555E-5"/>
  </r>
  <r>
    <x v="5"/>
    <x v="6"/>
    <x v="2"/>
    <x v="1"/>
    <n v="302040792.60850525"/>
    <n v="0.27474999999999999"/>
    <x v="408"/>
    <x v="1"/>
    <n v="3"/>
    <n v="3"/>
    <n v="6.9848661233993012E-2"/>
    <n v="1"/>
    <x v="2037"/>
    <n v="8.8539217829419664E-5"/>
  </r>
  <r>
    <x v="5"/>
    <x v="6"/>
    <x v="2"/>
    <x v="2"/>
    <n v="302040792.60850525"/>
    <n v="0.27474999999999999"/>
    <x v="408"/>
    <x v="2"/>
    <n v="5"/>
    <n v="5"/>
    <n v="0.11641443538998836"/>
    <n v="1"/>
    <x v="2038"/>
    <n v="1.4756536304903279E-4"/>
  </r>
  <r>
    <x v="5"/>
    <x v="6"/>
    <x v="2"/>
    <x v="3"/>
    <n v="302040792.60850525"/>
    <n v="0.27474999999999999"/>
    <x v="408"/>
    <x v="3"/>
    <n v="7"/>
    <n v="7"/>
    <n v="0.16298020954598369"/>
    <n v="1"/>
    <x v="2039"/>
    <n v="2.0659150826864587E-4"/>
  </r>
  <r>
    <x v="5"/>
    <x v="6"/>
    <x v="2"/>
    <x v="4"/>
    <n v="302040792.60850525"/>
    <n v="0.27474999999999999"/>
    <x v="408"/>
    <x v="9"/>
    <n v="28.2"/>
    <n v="26.95"/>
    <n v="0.62747380675203723"/>
    <n v="1"/>
    <x v="2040"/>
    <n v="7.953773068342866E-4"/>
  </r>
  <r>
    <x v="5"/>
    <x v="6"/>
    <x v="3"/>
    <x v="0"/>
    <n v="302040792.60850525"/>
    <n v="2.9499999999999998E-2"/>
    <x v="409"/>
    <x v="0"/>
    <n v="1"/>
    <n v="1"/>
    <n v="2.3282887077997669E-2"/>
    <n v="1"/>
    <x v="2041"/>
    <n v="3.1688285422722229E-6"/>
  </r>
  <r>
    <x v="5"/>
    <x v="6"/>
    <x v="3"/>
    <x v="1"/>
    <n v="302040792.60850525"/>
    <n v="2.9499999999999998E-2"/>
    <x v="409"/>
    <x v="1"/>
    <n v="3"/>
    <n v="3"/>
    <n v="6.9848661233993012E-2"/>
    <n v="1"/>
    <x v="2042"/>
    <n v="9.5064856268166699E-6"/>
  </r>
  <r>
    <x v="5"/>
    <x v="6"/>
    <x v="3"/>
    <x v="2"/>
    <n v="302040792.60850525"/>
    <n v="2.9499999999999998E-2"/>
    <x v="409"/>
    <x v="2"/>
    <n v="5"/>
    <n v="5"/>
    <n v="0.11641443538998836"/>
    <n v="1"/>
    <x v="2043"/>
    <n v="1.5844142711361116E-5"/>
  </r>
  <r>
    <x v="5"/>
    <x v="6"/>
    <x v="3"/>
    <x v="3"/>
    <n v="302040792.60850525"/>
    <n v="2.9499999999999998E-2"/>
    <x v="409"/>
    <x v="3"/>
    <n v="7"/>
    <n v="7"/>
    <n v="0.16298020954598369"/>
    <n v="1"/>
    <x v="2044"/>
    <n v="2.2181799795905563E-5"/>
  </r>
  <r>
    <x v="5"/>
    <x v="6"/>
    <x v="3"/>
    <x v="4"/>
    <n v="302040792.60850525"/>
    <n v="2.9499999999999998E-2"/>
    <x v="409"/>
    <x v="9"/>
    <n v="28.2"/>
    <n v="26.95"/>
    <n v="0.62747380675203723"/>
    <n v="1"/>
    <x v="2045"/>
    <n v="8.5399929214236426E-5"/>
  </r>
  <r>
    <x v="5"/>
    <x v="6"/>
    <x v="4"/>
    <x v="0"/>
    <n v="302040792.60850525"/>
    <n v="7.0999999999999994E-2"/>
    <x v="410"/>
    <x v="0"/>
    <n v="1"/>
    <n v="1"/>
    <n v="2.3282887077997669E-2"/>
    <n v="1"/>
    <x v="2046"/>
    <n v="7.6266720847907748E-6"/>
  </r>
  <r>
    <x v="5"/>
    <x v="6"/>
    <x v="4"/>
    <x v="1"/>
    <n v="302040792.60850525"/>
    <n v="7.0999999999999994E-2"/>
    <x v="410"/>
    <x v="1"/>
    <n v="3"/>
    <n v="3"/>
    <n v="6.9848661233993012E-2"/>
    <n v="1"/>
    <x v="2047"/>
    <n v="2.2880016254372327E-5"/>
  </r>
  <r>
    <x v="5"/>
    <x v="6"/>
    <x v="4"/>
    <x v="2"/>
    <n v="302040792.60850525"/>
    <n v="7.0999999999999994E-2"/>
    <x v="410"/>
    <x v="2"/>
    <n v="5"/>
    <n v="5"/>
    <n v="0.11641443538998836"/>
    <n v="1"/>
    <x v="2048"/>
    <n v="3.8133360423953882E-5"/>
  </r>
  <r>
    <x v="5"/>
    <x v="6"/>
    <x v="4"/>
    <x v="3"/>
    <n v="302040792.60850525"/>
    <n v="7.0999999999999994E-2"/>
    <x v="410"/>
    <x v="3"/>
    <n v="7"/>
    <n v="7"/>
    <n v="0.16298020954598369"/>
    <n v="1"/>
    <x v="2049"/>
    <n v="5.3386704593535426E-5"/>
  </r>
  <r>
    <x v="5"/>
    <x v="6"/>
    <x v="4"/>
    <x v="4"/>
    <n v="302040792.60850525"/>
    <n v="7.0999999999999994E-2"/>
    <x v="410"/>
    <x v="9"/>
    <n v="28.2"/>
    <n v="26.95"/>
    <n v="0.62747380675203723"/>
    <n v="1"/>
    <x v="2050"/>
    <n v="2.0553881268511141E-4"/>
  </r>
  <r>
    <x v="5"/>
    <x v="6"/>
    <x v="5"/>
    <x v="0"/>
    <n v="302040792.60850525"/>
    <n v="5.1749999999999997E-2"/>
    <x v="411"/>
    <x v="0"/>
    <n v="1"/>
    <n v="1"/>
    <n v="2.3282887077997669E-2"/>
    <n v="1"/>
    <x v="2051"/>
    <n v="5.5588771885622911E-6"/>
  </r>
  <r>
    <x v="5"/>
    <x v="6"/>
    <x v="5"/>
    <x v="1"/>
    <n v="302040792.60850525"/>
    <n v="5.1749999999999997E-2"/>
    <x v="411"/>
    <x v="1"/>
    <n v="3"/>
    <n v="3"/>
    <n v="6.9848661233993012E-2"/>
    <n v="1"/>
    <x v="2052"/>
    <n v="1.6676631565686871E-5"/>
  </r>
  <r>
    <x v="5"/>
    <x v="6"/>
    <x v="5"/>
    <x v="2"/>
    <n v="302040792.60850525"/>
    <n v="5.1749999999999997E-2"/>
    <x v="411"/>
    <x v="2"/>
    <n v="5"/>
    <n v="5"/>
    <n v="0.11641443538998836"/>
    <n v="1"/>
    <x v="2053"/>
    <n v="2.7794385942811454E-5"/>
  </r>
  <r>
    <x v="5"/>
    <x v="6"/>
    <x v="5"/>
    <x v="3"/>
    <n v="302040792.60850525"/>
    <n v="5.1749999999999997E-2"/>
    <x v="411"/>
    <x v="3"/>
    <n v="7"/>
    <n v="7"/>
    <n v="0.16298020954598369"/>
    <n v="1"/>
    <x v="2054"/>
    <n v="3.8912140319936032E-5"/>
  </r>
  <r>
    <x v="5"/>
    <x v="6"/>
    <x v="5"/>
    <x v="4"/>
    <n v="302040792.60850525"/>
    <n v="5.1749999999999997E-2"/>
    <x v="411"/>
    <x v="9"/>
    <n v="28.2"/>
    <n v="26.95"/>
    <n v="0.62747380675203723"/>
    <n v="1"/>
    <x v="2055"/>
    <n v="1.4981174023175373E-4"/>
  </r>
  <r>
    <x v="5"/>
    <x v="6"/>
    <x v="6"/>
    <x v="0"/>
    <n v="302040792.60850525"/>
    <n v="4.2999999999999997E-2"/>
    <x v="412"/>
    <x v="0"/>
    <n v="1"/>
    <n v="1"/>
    <n v="2.3282887077997669E-2"/>
    <n v="1"/>
    <x v="2056"/>
    <n v="4.6189704175493431E-6"/>
  </r>
  <r>
    <x v="5"/>
    <x v="6"/>
    <x v="6"/>
    <x v="1"/>
    <n v="302040792.60850525"/>
    <n v="4.2999999999999997E-2"/>
    <x v="412"/>
    <x v="1"/>
    <n v="3"/>
    <n v="3"/>
    <n v="6.9848661233993012E-2"/>
    <n v="1"/>
    <x v="2057"/>
    <n v="1.3856911252648028E-5"/>
  </r>
  <r>
    <x v="5"/>
    <x v="6"/>
    <x v="6"/>
    <x v="2"/>
    <n v="302040792.60850525"/>
    <n v="4.2999999999999997E-2"/>
    <x v="412"/>
    <x v="2"/>
    <n v="5"/>
    <n v="5"/>
    <n v="0.11641443538998836"/>
    <n v="1"/>
    <x v="2058"/>
    <n v="2.3094852087746715E-5"/>
  </r>
  <r>
    <x v="5"/>
    <x v="6"/>
    <x v="6"/>
    <x v="3"/>
    <n v="302040792.60850525"/>
    <n v="4.2999999999999997E-2"/>
    <x v="412"/>
    <x v="3"/>
    <n v="7"/>
    <n v="7"/>
    <n v="0.16298020954598369"/>
    <n v="1"/>
    <x v="2059"/>
    <n v="3.2332792922845399E-5"/>
  </r>
  <r>
    <x v="5"/>
    <x v="6"/>
    <x v="6"/>
    <x v="4"/>
    <n v="302040792.60850525"/>
    <n v="4.2999999999999997E-2"/>
    <x v="412"/>
    <x v="9"/>
    <n v="28.2"/>
    <n v="26.95"/>
    <n v="0.62747380675203723"/>
    <n v="1"/>
    <x v="2060"/>
    <n v="1.2448125275295479E-4"/>
  </r>
  <r>
    <x v="5"/>
    <x v="6"/>
    <x v="7"/>
    <x v="0"/>
    <n v="302040792.60850525"/>
    <n v="3.7749999999999999E-2"/>
    <x v="413"/>
    <x v="0"/>
    <n v="1"/>
    <n v="1"/>
    <n v="2.3282887077997669E-2"/>
    <n v="1"/>
    <x v="2061"/>
    <n v="4.0550263549415743E-6"/>
  </r>
  <r>
    <x v="5"/>
    <x v="6"/>
    <x v="7"/>
    <x v="1"/>
    <n v="302040792.60850525"/>
    <n v="3.7749999999999999E-2"/>
    <x v="413"/>
    <x v="1"/>
    <n v="3"/>
    <n v="3"/>
    <n v="6.9848661233993012E-2"/>
    <n v="1"/>
    <x v="2062"/>
    <n v="1.2165079064824723E-5"/>
  </r>
  <r>
    <x v="5"/>
    <x v="6"/>
    <x v="7"/>
    <x v="2"/>
    <n v="302040792.60850525"/>
    <n v="3.7749999999999999E-2"/>
    <x v="413"/>
    <x v="2"/>
    <n v="5"/>
    <n v="5"/>
    <n v="0.11641443538998836"/>
    <n v="1"/>
    <x v="2063"/>
    <n v="2.027513177470787E-5"/>
  </r>
  <r>
    <x v="5"/>
    <x v="6"/>
    <x v="7"/>
    <x v="3"/>
    <n v="302040792.60850525"/>
    <n v="3.7749999999999999E-2"/>
    <x v="413"/>
    <x v="3"/>
    <n v="7"/>
    <n v="7"/>
    <n v="0.16298020954598369"/>
    <n v="1"/>
    <x v="2064"/>
    <n v="2.8385184484591019E-5"/>
  </r>
  <r>
    <x v="5"/>
    <x v="6"/>
    <x v="7"/>
    <x v="4"/>
    <n v="302040792.60850525"/>
    <n v="3.7749999999999999E-2"/>
    <x v="413"/>
    <x v="9"/>
    <n v="28.2"/>
    <n v="26.95"/>
    <n v="0.62747380675203723"/>
    <n v="1"/>
    <x v="2065"/>
    <n v="1.0928296026567542E-4"/>
  </r>
  <r>
    <x v="5"/>
    <x v="6"/>
    <x v="8"/>
    <x v="0"/>
    <n v="302040792.60850525"/>
    <n v="3.2500000000000001E-2"/>
    <x v="414"/>
    <x v="0"/>
    <n v="1"/>
    <n v="1"/>
    <n v="2.3282887077997669E-2"/>
    <n v="1"/>
    <x v="2066"/>
    <n v="3.4910822923338056E-6"/>
  </r>
  <r>
    <x v="5"/>
    <x v="6"/>
    <x v="8"/>
    <x v="1"/>
    <n v="302040792.60850525"/>
    <n v="3.2500000000000001E-2"/>
    <x v="414"/>
    <x v="1"/>
    <n v="3"/>
    <n v="3"/>
    <n v="6.9848661233993012E-2"/>
    <n v="1"/>
    <x v="2067"/>
    <n v="1.0473246877001418E-5"/>
  </r>
  <r>
    <x v="5"/>
    <x v="6"/>
    <x v="8"/>
    <x v="2"/>
    <n v="302040792.60850525"/>
    <n v="3.2500000000000001E-2"/>
    <x v="414"/>
    <x v="2"/>
    <n v="5"/>
    <n v="5"/>
    <n v="0.11641443538998836"/>
    <n v="1"/>
    <x v="2068"/>
    <n v="1.7455411461669029E-5"/>
  </r>
  <r>
    <x v="5"/>
    <x v="6"/>
    <x v="8"/>
    <x v="3"/>
    <n v="302040792.60850525"/>
    <n v="3.2500000000000001E-2"/>
    <x v="414"/>
    <x v="3"/>
    <n v="7"/>
    <n v="7"/>
    <n v="0.16298020954598369"/>
    <n v="1"/>
    <x v="2069"/>
    <n v="2.4437576046336642E-5"/>
  </r>
  <r>
    <x v="5"/>
    <x v="6"/>
    <x v="8"/>
    <x v="4"/>
    <n v="302040792.60850525"/>
    <n v="3.2500000000000001E-2"/>
    <x v="414"/>
    <x v="9"/>
    <n v="28.2"/>
    <n v="26.95"/>
    <n v="0.62747380675203723"/>
    <n v="1"/>
    <x v="2070"/>
    <n v="9.4084667778396059E-5"/>
  </r>
  <r>
    <x v="5"/>
    <x v="7"/>
    <x v="0"/>
    <x v="0"/>
    <n v="3335786464.3653483"/>
    <n v="0.48249999999999993"/>
    <x v="415"/>
    <x v="0"/>
    <n v="1"/>
    <n v="1"/>
    <n v="2.3282887077997669E-2"/>
    <n v="1"/>
    <x v="2071"/>
    <n v="5.7240930337779843E-4"/>
  </r>
  <r>
    <x v="5"/>
    <x v="7"/>
    <x v="0"/>
    <x v="1"/>
    <n v="3335786464.3653483"/>
    <n v="0.48249999999999993"/>
    <x v="415"/>
    <x v="1"/>
    <n v="3"/>
    <n v="3"/>
    <n v="6.9848661233993012E-2"/>
    <n v="1"/>
    <x v="2072"/>
    <n v="1.7172279101333951E-3"/>
  </r>
  <r>
    <x v="5"/>
    <x v="7"/>
    <x v="0"/>
    <x v="2"/>
    <n v="3335786464.3653483"/>
    <n v="0.48249999999999993"/>
    <x v="415"/>
    <x v="2"/>
    <n v="5"/>
    <n v="5"/>
    <n v="0.11641443538998836"/>
    <n v="1"/>
    <x v="2073"/>
    <n v="2.8620465168889921E-3"/>
  </r>
  <r>
    <x v="5"/>
    <x v="7"/>
    <x v="0"/>
    <x v="3"/>
    <n v="3335786464.3653483"/>
    <n v="0.48249999999999993"/>
    <x v="415"/>
    <x v="3"/>
    <n v="7"/>
    <n v="7"/>
    <n v="0.16298020954598369"/>
    <n v="1"/>
    <x v="2074"/>
    <n v="4.0068651236445886E-3"/>
  </r>
  <r>
    <x v="5"/>
    <x v="7"/>
    <x v="0"/>
    <x v="4"/>
    <n v="3335786464.3653483"/>
    <n v="0.48249999999999993"/>
    <x v="415"/>
    <x v="9"/>
    <n v="28.2"/>
    <n v="26.95"/>
    <n v="0.62747380675203723"/>
    <n v="1"/>
    <x v="2075"/>
    <n v="1.5426430726031667E-2"/>
  </r>
  <r>
    <x v="5"/>
    <x v="7"/>
    <x v="1"/>
    <x v="0"/>
    <n v="3335786464.3653483"/>
    <n v="0"/>
    <x v="54"/>
    <x v="0"/>
    <n v="1"/>
    <n v="1"/>
    <n v="2.3282887077997669E-2"/>
    <n v="1"/>
    <x v="270"/>
    <n v="0"/>
  </r>
  <r>
    <x v="5"/>
    <x v="7"/>
    <x v="1"/>
    <x v="1"/>
    <n v="3335786464.3653483"/>
    <n v="0"/>
    <x v="54"/>
    <x v="1"/>
    <n v="3"/>
    <n v="3"/>
    <n v="6.9848661233993012E-2"/>
    <n v="1"/>
    <x v="270"/>
    <n v="0"/>
  </r>
  <r>
    <x v="5"/>
    <x v="7"/>
    <x v="1"/>
    <x v="2"/>
    <n v="3335786464.3653483"/>
    <n v="0"/>
    <x v="54"/>
    <x v="2"/>
    <n v="5"/>
    <n v="5"/>
    <n v="0.11641443538998836"/>
    <n v="1"/>
    <x v="270"/>
    <n v="0"/>
  </r>
  <r>
    <x v="5"/>
    <x v="7"/>
    <x v="1"/>
    <x v="3"/>
    <n v="3335786464.3653483"/>
    <n v="0"/>
    <x v="54"/>
    <x v="3"/>
    <n v="7"/>
    <n v="7"/>
    <n v="0.16298020954598369"/>
    <n v="1"/>
    <x v="270"/>
    <n v="0"/>
  </r>
  <r>
    <x v="5"/>
    <x v="7"/>
    <x v="1"/>
    <x v="4"/>
    <n v="3335786464.3653483"/>
    <n v="0"/>
    <x v="54"/>
    <x v="9"/>
    <n v="28.2"/>
    <n v="26.95"/>
    <n v="0.62747380675203723"/>
    <n v="1"/>
    <x v="270"/>
    <n v="0"/>
  </r>
  <r>
    <x v="5"/>
    <x v="7"/>
    <x v="2"/>
    <x v="0"/>
    <n v="3335786464.3653483"/>
    <n v="0.10549999999999998"/>
    <x v="416"/>
    <x v="0"/>
    <n v="1"/>
    <n v="1"/>
    <n v="2.3282887077997669E-2"/>
    <n v="1"/>
    <x v="2076"/>
    <n v="1.2515892540177766E-4"/>
  </r>
  <r>
    <x v="5"/>
    <x v="7"/>
    <x v="2"/>
    <x v="1"/>
    <n v="3335786464.3653483"/>
    <n v="0.10549999999999998"/>
    <x v="416"/>
    <x v="1"/>
    <n v="3"/>
    <n v="3"/>
    <n v="6.9848661233993012E-2"/>
    <n v="1"/>
    <x v="2077"/>
    <n v="3.7547677620533305E-4"/>
  </r>
  <r>
    <x v="5"/>
    <x v="7"/>
    <x v="2"/>
    <x v="2"/>
    <n v="3335786464.3653483"/>
    <n v="0.10549999999999998"/>
    <x v="416"/>
    <x v="2"/>
    <n v="5"/>
    <n v="5"/>
    <n v="0.11641443538998836"/>
    <n v="1"/>
    <x v="2078"/>
    <n v="6.2579462700888832E-4"/>
  </r>
  <r>
    <x v="5"/>
    <x v="7"/>
    <x v="2"/>
    <x v="3"/>
    <n v="3335786464.3653483"/>
    <n v="0.10549999999999998"/>
    <x v="416"/>
    <x v="3"/>
    <n v="7"/>
    <n v="7"/>
    <n v="0.16298020954598369"/>
    <n v="1"/>
    <x v="2079"/>
    <n v="8.7611247781244365E-4"/>
  </r>
  <r>
    <x v="5"/>
    <x v="7"/>
    <x v="2"/>
    <x v="4"/>
    <n v="3335786464.3653483"/>
    <n v="0.10549999999999998"/>
    <x v="416"/>
    <x v="9"/>
    <n v="28.2"/>
    <n v="26.95"/>
    <n v="0.62747380675203723"/>
    <n v="1"/>
    <x v="2080"/>
    <n v="3.3730330395779083E-3"/>
  </r>
  <r>
    <x v="5"/>
    <x v="7"/>
    <x v="3"/>
    <x v="0"/>
    <n v="3335786464.3653483"/>
    <n v="3.6249999999999998E-2"/>
    <x v="417"/>
    <x v="0"/>
    <n v="1"/>
    <n v="1"/>
    <n v="2.3282887077997669E-2"/>
    <n v="1"/>
    <x v="2081"/>
    <n v="4.3004844036155831E-5"/>
  </r>
  <r>
    <x v="5"/>
    <x v="7"/>
    <x v="3"/>
    <x v="1"/>
    <n v="3335786464.3653483"/>
    <n v="3.6249999999999998E-2"/>
    <x v="417"/>
    <x v="1"/>
    <n v="3"/>
    <n v="3"/>
    <n v="6.9848661233993012E-2"/>
    <n v="1"/>
    <x v="2082"/>
    <n v="1.2901453210846753E-4"/>
  </r>
  <r>
    <x v="5"/>
    <x v="7"/>
    <x v="3"/>
    <x v="2"/>
    <n v="3335786464.3653483"/>
    <n v="3.6249999999999998E-2"/>
    <x v="417"/>
    <x v="2"/>
    <n v="5"/>
    <n v="5"/>
    <n v="0.11641443538998836"/>
    <n v="1"/>
    <x v="2083"/>
    <n v="2.150242201807792E-4"/>
  </r>
  <r>
    <x v="5"/>
    <x v="7"/>
    <x v="3"/>
    <x v="3"/>
    <n v="3335786464.3653483"/>
    <n v="3.6249999999999998E-2"/>
    <x v="417"/>
    <x v="3"/>
    <n v="7"/>
    <n v="7"/>
    <n v="0.16298020954598369"/>
    <n v="1"/>
    <x v="2084"/>
    <n v="3.0103390825309082E-4"/>
  </r>
  <r>
    <x v="5"/>
    <x v="7"/>
    <x v="3"/>
    <x v="4"/>
    <n v="3335786464.3653483"/>
    <n v="3.6249999999999998E-2"/>
    <x v="417"/>
    <x v="9"/>
    <n v="28.2"/>
    <n v="26.95"/>
    <n v="0.62747380675203723"/>
    <n v="1"/>
    <x v="2085"/>
    <n v="1.1589805467743998E-3"/>
  </r>
  <r>
    <x v="5"/>
    <x v="7"/>
    <x v="4"/>
    <x v="0"/>
    <n v="3335786464.3653483"/>
    <n v="0.105"/>
    <x v="418"/>
    <x v="0"/>
    <n v="1"/>
    <n v="1"/>
    <n v="2.3282887077997669E-2"/>
    <n v="1"/>
    <x v="2086"/>
    <n v="1.2456575513921002E-4"/>
  </r>
  <r>
    <x v="5"/>
    <x v="7"/>
    <x v="4"/>
    <x v="1"/>
    <n v="3335786464.3653483"/>
    <n v="0.105"/>
    <x v="418"/>
    <x v="1"/>
    <n v="3"/>
    <n v="3"/>
    <n v="6.9848661233993012E-2"/>
    <n v="1"/>
    <x v="2087"/>
    <n v="3.7369726541763008E-4"/>
  </r>
  <r>
    <x v="5"/>
    <x v="7"/>
    <x v="4"/>
    <x v="2"/>
    <n v="3335786464.3653483"/>
    <n v="0.105"/>
    <x v="418"/>
    <x v="2"/>
    <n v="5"/>
    <n v="5"/>
    <n v="0.11641443538998836"/>
    <n v="1"/>
    <x v="2088"/>
    <n v="6.2282877569605011E-4"/>
  </r>
  <r>
    <x v="5"/>
    <x v="7"/>
    <x v="4"/>
    <x v="3"/>
    <n v="3335786464.3653483"/>
    <n v="0.105"/>
    <x v="418"/>
    <x v="3"/>
    <n v="7"/>
    <n v="7"/>
    <n v="0.16298020954598369"/>
    <n v="1"/>
    <x v="2089"/>
    <n v="8.719602859744702E-4"/>
  </r>
  <r>
    <x v="5"/>
    <x v="7"/>
    <x v="4"/>
    <x v="4"/>
    <n v="3335786464.3653483"/>
    <n v="0.105"/>
    <x v="418"/>
    <x v="9"/>
    <n v="28.2"/>
    <n v="26.95"/>
    <n v="0.62747380675203723"/>
    <n v="1"/>
    <x v="2090"/>
    <n v="3.3570471010017102E-3"/>
  </r>
  <r>
    <x v="5"/>
    <x v="7"/>
    <x v="5"/>
    <x v="0"/>
    <n v="3335786464.3653483"/>
    <n v="4.5500000000000006E-2"/>
    <x v="419"/>
    <x v="0"/>
    <n v="1"/>
    <n v="1"/>
    <n v="2.3282887077997669E-2"/>
    <n v="1"/>
    <x v="2091"/>
    <n v="5.3978493893657685E-5"/>
  </r>
  <r>
    <x v="5"/>
    <x v="7"/>
    <x v="5"/>
    <x v="1"/>
    <n v="3335786464.3653483"/>
    <n v="4.5500000000000006E-2"/>
    <x v="419"/>
    <x v="1"/>
    <n v="3"/>
    <n v="3"/>
    <n v="6.9848661233993012E-2"/>
    <n v="1"/>
    <x v="2092"/>
    <n v="1.6193548168097304E-4"/>
  </r>
  <r>
    <x v="5"/>
    <x v="7"/>
    <x v="5"/>
    <x v="2"/>
    <n v="3335786464.3653483"/>
    <n v="4.5500000000000006E-2"/>
    <x v="419"/>
    <x v="2"/>
    <n v="5"/>
    <n v="5"/>
    <n v="0.11641443538998836"/>
    <n v="1"/>
    <x v="2093"/>
    <n v="2.6989246946828845E-4"/>
  </r>
  <r>
    <x v="5"/>
    <x v="7"/>
    <x v="5"/>
    <x v="3"/>
    <n v="3335786464.3653483"/>
    <n v="4.5500000000000006E-2"/>
    <x v="419"/>
    <x v="3"/>
    <n v="7"/>
    <n v="7"/>
    <n v="0.16298020954598369"/>
    <n v="1"/>
    <x v="2094"/>
    <n v="3.778494572556038E-4"/>
  </r>
  <r>
    <x v="5"/>
    <x v="7"/>
    <x v="5"/>
    <x v="4"/>
    <n v="3335786464.3653483"/>
    <n v="4.5500000000000006E-2"/>
    <x v="419"/>
    <x v="9"/>
    <n v="28.2"/>
    <n v="26.95"/>
    <n v="0.62747380675203723"/>
    <n v="1"/>
    <x v="2095"/>
    <n v="1.4547204104340746E-3"/>
  </r>
  <r>
    <x v="5"/>
    <x v="7"/>
    <x v="6"/>
    <x v="0"/>
    <n v="3335786464.3653483"/>
    <n v="1.7500000000000002E-2"/>
    <x v="420"/>
    <x v="0"/>
    <n v="1"/>
    <n v="1"/>
    <n v="2.3282887077997669E-2"/>
    <n v="1"/>
    <x v="2096"/>
    <n v="2.0760959189868338E-5"/>
  </r>
  <r>
    <x v="5"/>
    <x v="7"/>
    <x v="6"/>
    <x v="1"/>
    <n v="3335786464.3653483"/>
    <n v="1.7500000000000002E-2"/>
    <x v="420"/>
    <x v="1"/>
    <n v="3"/>
    <n v="3"/>
    <n v="6.9848661233993012E-2"/>
    <n v="1"/>
    <x v="2097"/>
    <n v="6.2282877569605022E-5"/>
  </r>
  <r>
    <x v="5"/>
    <x v="7"/>
    <x v="6"/>
    <x v="2"/>
    <n v="3335786464.3653483"/>
    <n v="1.7500000000000002E-2"/>
    <x v="420"/>
    <x v="2"/>
    <n v="5"/>
    <n v="5"/>
    <n v="0.11641443538998836"/>
    <n v="1"/>
    <x v="2098"/>
    <n v="1.038047959493417E-4"/>
  </r>
  <r>
    <x v="5"/>
    <x v="7"/>
    <x v="6"/>
    <x v="3"/>
    <n v="3335786464.3653483"/>
    <n v="1.7500000000000002E-2"/>
    <x v="420"/>
    <x v="3"/>
    <n v="7"/>
    <n v="7"/>
    <n v="0.16298020954598369"/>
    <n v="1"/>
    <x v="2099"/>
    <n v="1.4532671432907838E-4"/>
  </r>
  <r>
    <x v="5"/>
    <x v="7"/>
    <x v="6"/>
    <x v="4"/>
    <n v="3335786464.3653483"/>
    <n v="1.7500000000000002E-2"/>
    <x v="420"/>
    <x v="9"/>
    <n v="28.2"/>
    <n v="26.95"/>
    <n v="0.62747380675203723"/>
    <n v="1"/>
    <x v="2100"/>
    <n v="5.5950785016695181E-4"/>
  </r>
  <r>
    <x v="5"/>
    <x v="7"/>
    <x v="7"/>
    <x v="0"/>
    <n v="3335786464.3653483"/>
    <n v="0.10075000000000001"/>
    <x v="421"/>
    <x v="0"/>
    <n v="1"/>
    <n v="1"/>
    <n v="2.3282887077997669E-2"/>
    <n v="1"/>
    <x v="2101"/>
    <n v="1.1952380790738487E-4"/>
  </r>
  <r>
    <x v="5"/>
    <x v="7"/>
    <x v="7"/>
    <x v="1"/>
    <n v="3335786464.3653483"/>
    <n v="0.10075000000000001"/>
    <x v="421"/>
    <x v="1"/>
    <n v="3"/>
    <n v="3"/>
    <n v="6.9848661233993012E-2"/>
    <n v="1"/>
    <x v="2102"/>
    <n v="3.5857142372215461E-4"/>
  </r>
  <r>
    <x v="5"/>
    <x v="7"/>
    <x v="7"/>
    <x v="2"/>
    <n v="3335786464.3653483"/>
    <n v="0.10075000000000001"/>
    <x v="421"/>
    <x v="2"/>
    <n v="5"/>
    <n v="5"/>
    <n v="0.11641443538998836"/>
    <n v="1"/>
    <x v="2103"/>
    <n v="5.9761903953692438E-4"/>
  </r>
  <r>
    <x v="5"/>
    <x v="7"/>
    <x v="7"/>
    <x v="3"/>
    <n v="3335786464.3653483"/>
    <n v="0.10075000000000001"/>
    <x v="421"/>
    <x v="3"/>
    <n v="7"/>
    <n v="7"/>
    <n v="0.16298020954598369"/>
    <n v="1"/>
    <x v="2104"/>
    <n v="8.3666665535169404E-4"/>
  </r>
  <r>
    <x v="5"/>
    <x v="7"/>
    <x v="7"/>
    <x v="4"/>
    <n v="3335786464.3653483"/>
    <n v="0.10075000000000001"/>
    <x v="421"/>
    <x v="9"/>
    <n v="28.2"/>
    <n v="26.95"/>
    <n v="0.62747380675203723"/>
    <n v="1"/>
    <x v="2105"/>
    <n v="3.2211666231040225E-3"/>
  </r>
  <r>
    <x v="5"/>
    <x v="7"/>
    <x v="8"/>
    <x v="0"/>
    <n v="3335786464.3653483"/>
    <n v="0.10700000000000001"/>
    <x v="422"/>
    <x v="0"/>
    <n v="1"/>
    <n v="1"/>
    <n v="2.3282887077997669E-2"/>
    <n v="1"/>
    <x v="2106"/>
    <n v="1.2693843618948072E-4"/>
  </r>
  <r>
    <x v="5"/>
    <x v="7"/>
    <x v="8"/>
    <x v="1"/>
    <n v="3335786464.3653483"/>
    <n v="0.10700000000000001"/>
    <x v="422"/>
    <x v="1"/>
    <n v="3"/>
    <n v="3"/>
    <n v="6.9848661233993012E-2"/>
    <n v="1"/>
    <x v="2107"/>
    <n v="3.8081530856844212E-4"/>
  </r>
  <r>
    <x v="5"/>
    <x v="7"/>
    <x v="8"/>
    <x v="2"/>
    <n v="3335786464.3653483"/>
    <n v="0.10700000000000001"/>
    <x v="422"/>
    <x v="2"/>
    <n v="5"/>
    <n v="5"/>
    <n v="0.11641443538998836"/>
    <n v="1"/>
    <x v="2108"/>
    <n v="6.3469218094740361E-4"/>
  </r>
  <r>
    <x v="5"/>
    <x v="7"/>
    <x v="8"/>
    <x v="3"/>
    <n v="3335786464.3653483"/>
    <n v="0.10700000000000001"/>
    <x v="422"/>
    <x v="3"/>
    <n v="7"/>
    <n v="7"/>
    <n v="0.16298020954598369"/>
    <n v="1"/>
    <x v="2109"/>
    <n v="8.8856905332636489E-4"/>
  </r>
  <r>
    <x v="5"/>
    <x v="7"/>
    <x v="8"/>
    <x v="4"/>
    <n v="3335786464.3653483"/>
    <n v="0.10700000000000001"/>
    <x v="422"/>
    <x v="9"/>
    <n v="28.2"/>
    <n v="26.95"/>
    <n v="0.62747380675203723"/>
    <n v="1"/>
    <x v="2110"/>
    <n v="3.4209908553065049E-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x v="0"/>
  </r>
  <r>
    <x v="0"/>
    <x v="1"/>
    <x v="0"/>
    <x v="1"/>
  </r>
  <r>
    <x v="0"/>
    <x v="2"/>
    <x v="0"/>
    <x v="2"/>
  </r>
  <r>
    <x v="0"/>
    <x v="3"/>
    <x v="0"/>
    <x v="3"/>
  </r>
  <r>
    <x v="0"/>
    <x v="4"/>
    <x v="0"/>
    <x v="4"/>
  </r>
  <r>
    <x v="0"/>
    <x v="5"/>
    <x v="0"/>
    <x v="5"/>
  </r>
  <r>
    <x v="0"/>
    <x v="6"/>
    <x v="0"/>
    <x v="6"/>
  </r>
  <r>
    <x v="0"/>
    <x v="7"/>
    <x v="0"/>
    <x v="7"/>
  </r>
  <r>
    <x v="0"/>
    <x v="8"/>
    <x v="0"/>
    <x v="8"/>
  </r>
  <r>
    <x v="0"/>
    <x v="0"/>
    <x v="1"/>
    <x v="9"/>
  </r>
  <r>
    <x v="0"/>
    <x v="1"/>
    <x v="1"/>
    <x v="10"/>
  </r>
  <r>
    <x v="0"/>
    <x v="2"/>
    <x v="1"/>
    <x v="11"/>
  </r>
  <r>
    <x v="0"/>
    <x v="3"/>
    <x v="1"/>
    <x v="12"/>
  </r>
  <r>
    <x v="0"/>
    <x v="4"/>
    <x v="1"/>
    <x v="13"/>
  </r>
  <r>
    <x v="0"/>
    <x v="5"/>
    <x v="1"/>
    <x v="14"/>
  </r>
  <r>
    <x v="0"/>
    <x v="6"/>
    <x v="1"/>
    <x v="15"/>
  </r>
  <r>
    <x v="0"/>
    <x v="7"/>
    <x v="1"/>
    <x v="16"/>
  </r>
  <r>
    <x v="0"/>
    <x v="8"/>
    <x v="1"/>
    <x v="17"/>
  </r>
  <r>
    <x v="0"/>
    <x v="0"/>
    <x v="2"/>
    <x v="18"/>
  </r>
  <r>
    <x v="0"/>
    <x v="1"/>
    <x v="2"/>
    <x v="19"/>
  </r>
  <r>
    <x v="0"/>
    <x v="2"/>
    <x v="2"/>
    <x v="20"/>
  </r>
  <r>
    <x v="0"/>
    <x v="3"/>
    <x v="2"/>
    <x v="21"/>
  </r>
  <r>
    <x v="0"/>
    <x v="4"/>
    <x v="2"/>
    <x v="22"/>
  </r>
  <r>
    <x v="0"/>
    <x v="5"/>
    <x v="2"/>
    <x v="23"/>
  </r>
  <r>
    <x v="0"/>
    <x v="6"/>
    <x v="2"/>
    <x v="24"/>
  </r>
  <r>
    <x v="0"/>
    <x v="7"/>
    <x v="2"/>
    <x v="25"/>
  </r>
  <r>
    <x v="0"/>
    <x v="8"/>
    <x v="2"/>
    <x v="26"/>
  </r>
  <r>
    <x v="1"/>
    <x v="0"/>
    <x v="0"/>
    <x v="27"/>
  </r>
  <r>
    <x v="1"/>
    <x v="1"/>
    <x v="0"/>
    <x v="28"/>
  </r>
  <r>
    <x v="1"/>
    <x v="2"/>
    <x v="0"/>
    <x v="29"/>
  </r>
  <r>
    <x v="1"/>
    <x v="3"/>
    <x v="0"/>
    <x v="30"/>
  </r>
  <r>
    <x v="1"/>
    <x v="4"/>
    <x v="0"/>
    <x v="31"/>
  </r>
  <r>
    <x v="1"/>
    <x v="5"/>
    <x v="0"/>
    <x v="32"/>
  </r>
  <r>
    <x v="1"/>
    <x v="6"/>
    <x v="0"/>
    <x v="33"/>
  </r>
  <r>
    <x v="1"/>
    <x v="7"/>
    <x v="0"/>
    <x v="34"/>
  </r>
  <r>
    <x v="1"/>
    <x v="8"/>
    <x v="0"/>
    <x v="35"/>
  </r>
  <r>
    <x v="1"/>
    <x v="0"/>
    <x v="1"/>
    <x v="36"/>
  </r>
  <r>
    <x v="1"/>
    <x v="1"/>
    <x v="1"/>
    <x v="37"/>
  </r>
  <r>
    <x v="1"/>
    <x v="2"/>
    <x v="1"/>
    <x v="38"/>
  </r>
  <r>
    <x v="1"/>
    <x v="3"/>
    <x v="1"/>
    <x v="39"/>
  </r>
  <r>
    <x v="1"/>
    <x v="4"/>
    <x v="1"/>
    <x v="40"/>
  </r>
  <r>
    <x v="1"/>
    <x v="5"/>
    <x v="1"/>
    <x v="41"/>
  </r>
  <r>
    <x v="1"/>
    <x v="6"/>
    <x v="1"/>
    <x v="42"/>
  </r>
  <r>
    <x v="1"/>
    <x v="7"/>
    <x v="1"/>
    <x v="43"/>
  </r>
  <r>
    <x v="1"/>
    <x v="8"/>
    <x v="1"/>
    <x v="44"/>
  </r>
  <r>
    <x v="1"/>
    <x v="0"/>
    <x v="2"/>
    <x v="45"/>
  </r>
  <r>
    <x v="1"/>
    <x v="1"/>
    <x v="2"/>
    <x v="46"/>
  </r>
  <r>
    <x v="1"/>
    <x v="2"/>
    <x v="2"/>
    <x v="47"/>
  </r>
  <r>
    <x v="1"/>
    <x v="3"/>
    <x v="2"/>
    <x v="48"/>
  </r>
  <r>
    <x v="1"/>
    <x v="4"/>
    <x v="2"/>
    <x v="49"/>
  </r>
  <r>
    <x v="1"/>
    <x v="5"/>
    <x v="2"/>
    <x v="50"/>
  </r>
  <r>
    <x v="1"/>
    <x v="6"/>
    <x v="2"/>
    <x v="51"/>
  </r>
  <r>
    <x v="1"/>
    <x v="7"/>
    <x v="2"/>
    <x v="52"/>
  </r>
  <r>
    <x v="1"/>
    <x v="8"/>
    <x v="2"/>
    <x v="53"/>
  </r>
  <r>
    <x v="2"/>
    <x v="0"/>
    <x v="0"/>
    <x v="54"/>
  </r>
  <r>
    <x v="2"/>
    <x v="1"/>
    <x v="0"/>
    <x v="55"/>
  </r>
  <r>
    <x v="2"/>
    <x v="2"/>
    <x v="0"/>
    <x v="56"/>
  </r>
  <r>
    <x v="2"/>
    <x v="3"/>
    <x v="0"/>
    <x v="57"/>
  </r>
  <r>
    <x v="2"/>
    <x v="4"/>
    <x v="0"/>
    <x v="58"/>
  </r>
  <r>
    <x v="2"/>
    <x v="5"/>
    <x v="0"/>
    <x v="59"/>
  </r>
  <r>
    <x v="2"/>
    <x v="6"/>
    <x v="0"/>
    <x v="60"/>
  </r>
  <r>
    <x v="2"/>
    <x v="7"/>
    <x v="0"/>
    <x v="61"/>
  </r>
  <r>
    <x v="2"/>
    <x v="8"/>
    <x v="0"/>
    <x v="62"/>
  </r>
  <r>
    <x v="2"/>
    <x v="0"/>
    <x v="1"/>
    <x v="63"/>
  </r>
  <r>
    <x v="2"/>
    <x v="1"/>
    <x v="1"/>
    <x v="64"/>
  </r>
  <r>
    <x v="2"/>
    <x v="2"/>
    <x v="1"/>
    <x v="65"/>
  </r>
  <r>
    <x v="2"/>
    <x v="3"/>
    <x v="1"/>
    <x v="66"/>
  </r>
  <r>
    <x v="2"/>
    <x v="4"/>
    <x v="1"/>
    <x v="67"/>
  </r>
  <r>
    <x v="2"/>
    <x v="5"/>
    <x v="1"/>
    <x v="68"/>
  </r>
  <r>
    <x v="2"/>
    <x v="6"/>
    <x v="1"/>
    <x v="69"/>
  </r>
  <r>
    <x v="2"/>
    <x v="7"/>
    <x v="1"/>
    <x v="70"/>
  </r>
  <r>
    <x v="2"/>
    <x v="8"/>
    <x v="1"/>
    <x v="71"/>
  </r>
  <r>
    <x v="2"/>
    <x v="0"/>
    <x v="2"/>
    <x v="72"/>
  </r>
  <r>
    <x v="2"/>
    <x v="1"/>
    <x v="2"/>
    <x v="73"/>
  </r>
  <r>
    <x v="2"/>
    <x v="2"/>
    <x v="2"/>
    <x v="74"/>
  </r>
  <r>
    <x v="2"/>
    <x v="3"/>
    <x v="2"/>
    <x v="75"/>
  </r>
  <r>
    <x v="2"/>
    <x v="4"/>
    <x v="2"/>
    <x v="76"/>
  </r>
  <r>
    <x v="2"/>
    <x v="5"/>
    <x v="2"/>
    <x v="77"/>
  </r>
  <r>
    <x v="2"/>
    <x v="6"/>
    <x v="2"/>
    <x v="78"/>
  </r>
  <r>
    <x v="2"/>
    <x v="7"/>
    <x v="2"/>
    <x v="79"/>
  </r>
  <r>
    <x v="2"/>
    <x v="8"/>
    <x v="2"/>
    <x v="80"/>
  </r>
  <r>
    <x v="3"/>
    <x v="0"/>
    <x v="1"/>
    <x v="81"/>
  </r>
  <r>
    <x v="3"/>
    <x v="1"/>
    <x v="1"/>
    <x v="82"/>
  </r>
  <r>
    <x v="3"/>
    <x v="2"/>
    <x v="1"/>
    <x v="83"/>
  </r>
  <r>
    <x v="3"/>
    <x v="3"/>
    <x v="1"/>
    <x v="84"/>
  </r>
  <r>
    <x v="3"/>
    <x v="4"/>
    <x v="1"/>
    <x v="85"/>
  </r>
  <r>
    <x v="3"/>
    <x v="5"/>
    <x v="1"/>
    <x v="86"/>
  </r>
  <r>
    <x v="3"/>
    <x v="6"/>
    <x v="1"/>
    <x v="87"/>
  </r>
  <r>
    <x v="3"/>
    <x v="7"/>
    <x v="1"/>
    <x v="88"/>
  </r>
  <r>
    <x v="3"/>
    <x v="8"/>
    <x v="1"/>
    <x v="8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x v="0"/>
    <s v="Mass transport"/>
    <x v="0"/>
    <x v="0"/>
    <n v="15950000"/>
    <n v="152.75616742928392"/>
    <n v="2436460870.4970784"/>
    <n v="50.473784122340767"/>
    <n v="122977400000"/>
    <n v="0.1229774"/>
    <n v="19.126102357840384"/>
    <n v="466000000.00000012"/>
  </r>
  <r>
    <x v="0"/>
    <s v="Mass transport"/>
    <x v="0"/>
    <x v="1"/>
    <n v="15950000"/>
    <n v="152.75616742928392"/>
    <n v="2436460870.4970784"/>
    <n v="1.75048163163395"/>
    <n v="4264980000"/>
    <n v="4.2649799999999998E-3"/>
    <n v="0.76340236878933709"/>
    <n v="18600000"/>
  </r>
  <r>
    <x v="0"/>
    <s v="Mass transport"/>
    <x v="0"/>
    <x v="2"/>
    <n v="15950000"/>
    <n v="152.75616742928392"/>
    <n v="2436460870.4970784"/>
    <n v="17.133778139225019"/>
    <n v="41745780000"/>
    <n v="4.1745780000000003E-2"/>
    <n v="2.6965341736268522"/>
    <n v="65700000"/>
  </r>
  <r>
    <x v="0"/>
    <s v="Mass transport"/>
    <x v="1"/>
    <x v="2"/>
    <n v="2900000"/>
    <n v="110.00202169312544"/>
    <n v="319005862.9100638"/>
    <n v="40.632983612763176"/>
    <n v="12962159999.999998"/>
    <n v="1.2962159999999999E-2"/>
    <n v="2.6965341736268522"/>
    <n v="8602102.1092430986"/>
  </r>
  <r>
    <x v="0"/>
    <s v="Mass transport"/>
    <x v="2"/>
    <x v="0"/>
    <n v="172452000"/>
    <n v="6.6727449788540394"/>
    <n v="1150728217.0933368"/>
    <n v="68.219011347692231"/>
    <n v="78501541300"/>
    <n v="7.8501541300000005E-2"/>
    <n v="19.126102357840384"/>
    <n v="220089456.66182333"/>
  </r>
  <r>
    <x v="0"/>
    <s v="Mass transport"/>
    <x v="2"/>
    <x v="1"/>
    <n v="172452000"/>
    <n v="6.6727449788540394"/>
    <n v="1150728217.0933368"/>
    <n v="0.72492651836340405"/>
    <n v="834193400"/>
    <n v="8.3419340000000003E-4"/>
    <n v="0.76340236878933709"/>
    <n v="8784686.4676178396"/>
  </r>
  <r>
    <x v="0"/>
    <s v="Mass transport"/>
    <x v="2"/>
    <x v="2"/>
    <n v="172452000"/>
    <n v="6.6727449788540394"/>
    <n v="1150728217.0933368"/>
    <n v="3.7442789148625883"/>
    <n v="4308647400"/>
    <n v="4.3086473999999998E-3"/>
    <n v="2.6965341736268522"/>
    <n v="31029779.61948882"/>
  </r>
  <r>
    <x v="0"/>
    <s v="Mass transport"/>
    <x v="3"/>
    <x v="0"/>
    <n v="61800000"/>
    <n v="26.812385848776703"/>
    <n v="1657005445.4544003"/>
    <n v="50.682170858509153"/>
    <n v="83980633099.999985"/>
    <n v="8.3980633099999979E-2"/>
    <n v="19.126102357840384"/>
    <n v="316920557.57259762"/>
  </r>
  <r>
    <x v="0"/>
    <s v="Mass transport"/>
    <x v="3"/>
    <x v="1"/>
    <n v="61800000"/>
    <n v="26.812385848776703"/>
    <n v="1657005445.4544003"/>
    <n v="1.6398286483934044"/>
    <n v="2717205000"/>
    <n v="2.7172049999999999E-3"/>
    <n v="0.76340236878933709"/>
    <n v="12649618.821567198"/>
  </r>
  <r>
    <x v="0"/>
    <s v="Mass transport"/>
    <x v="3"/>
    <x v="2"/>
    <n v="61800000"/>
    <n v="26.812385848776703"/>
    <n v="1657005445.4544003"/>
    <n v="2.4925084050447421"/>
    <n v="4130099999.9999995"/>
    <n v="4.1300999999999994E-3"/>
    <n v="2.6965341736268522"/>
    <n v="44681718.095535755"/>
  </r>
  <r>
    <x v="0"/>
    <s v="Single Vehicle transport"/>
    <x v="4"/>
    <x v="0"/>
    <n v="10959399339"/>
    <n v="1.49"/>
    <n v="16329505015.110001"/>
    <n v="120.85393473053892"/>
    <n v="1973484933278.1121"/>
    <n v="1.9734849332781121"/>
    <n v="45.795352304107212"/>
    <n v="7478154351.1864805"/>
  </r>
  <r>
    <x v="0"/>
    <s v="Single Vehicle transport"/>
    <x v="5"/>
    <x v="3"/>
    <n v="20132966506"/>
    <n v="1.49"/>
    <n v="29998120093.939999"/>
    <n v="125.10660465842953"/>
    <n v="3752962951088.6426"/>
    <n v="3.7529629510886426"/>
    <n v="49.66518644637933"/>
    <n v="14898622275.064081"/>
  </r>
  <r>
    <x v="0"/>
    <s v="Single Vehicle transport"/>
    <x v="6"/>
    <x v="4"/>
    <n v="90235482"/>
    <n v="1.49"/>
    <n v="134450868.18000001"/>
    <n v="40.605035114210004"/>
    <n v="5459382223.5849209"/>
    <n v="5.459382223584921E-3"/>
    <n v="8.7152797353441525"/>
    <n v="11717769.26848582"/>
  </r>
  <r>
    <x v="0"/>
    <s v="Single Vehicle transport"/>
    <x v="7"/>
    <x v="5"/>
    <n v="0"/>
    <n v="1.49"/>
    <n v="0"/>
    <n v="47.018244727103053"/>
    <n v="0"/>
    <n v="0"/>
    <n v="8.6870070274787903"/>
    <n v="0"/>
  </r>
  <r>
    <x v="0"/>
    <s v="Single Vehicle transport"/>
    <x v="8"/>
    <x v="6"/>
    <n v="606092"/>
    <n v="1.49"/>
    <n v="903077.08"/>
    <n v="64.819328859060406"/>
    <n v="58536850.233599998"/>
    <n v="5.85368502336E-5"/>
    <n v="10.201342281879194"/>
    <n v="92125.983999999982"/>
  </r>
  <r>
    <x v="1"/>
    <s v="Mass transport"/>
    <x v="0"/>
    <x v="0"/>
    <n v="15960000"/>
    <n v="146.31341340955171"/>
    <n v="2335162078.0164452"/>
    <n v="52.923251522213896"/>
    <n v="123584370000"/>
    <n v="0.12358437"/>
    <n v="20.054282501786243"/>
    <n v="468300000"/>
  </r>
  <r>
    <x v="1"/>
    <s v="Mass transport"/>
    <x v="0"/>
    <x v="1"/>
    <n v="15960000"/>
    <n v="146.31341340955171"/>
    <n v="2335162078.0164452"/>
    <n v="1.0605002639061185"/>
    <n v="2476440000"/>
    <n v="2.4764399999999999E-3"/>
    <n v="0.46249466371832465"/>
    <n v="10800000"/>
  </r>
  <r>
    <x v="1"/>
    <s v="Mass transport"/>
    <x v="0"/>
    <x v="2"/>
    <n v="15960000"/>
    <n v="146.31341340955171"/>
    <n v="2335162078.0164452"/>
    <n v="14.747156235618467"/>
    <n v="34437000000"/>
    <n v="3.4437000000000002E-2"/>
    <n v="2.7835326983047319"/>
    <n v="65000000.000000007"/>
  </r>
  <r>
    <x v="1"/>
    <s v="Mass transport"/>
    <x v="1"/>
    <x v="2"/>
    <n v="3690000"/>
    <n v="113.90370064788534"/>
    <n v="420304655.39069694"/>
    <n v="25.714490337856063"/>
    <n v="10807919999.999998"/>
    <n v="1.0807919999999999E-2"/>
    <n v="2.7835326983047319"/>
    <n v="11699317.515297072"/>
  </r>
  <r>
    <x v="1"/>
    <s v="Mass transport"/>
    <x v="2"/>
    <x v="0"/>
    <n v="172452000"/>
    <n v="5.1493242273339748"/>
    <n v="888011261.65219867"/>
    <n v="86.093905676101173"/>
    <n v="76452357799.999985"/>
    <n v="7.6452357799999981E-2"/>
    <n v="20.054282501786243"/>
    <n v="178084287.05940816"/>
  </r>
  <r>
    <x v="1"/>
    <s v="Mass transport"/>
    <x v="2"/>
    <x v="1"/>
    <n v="172452000"/>
    <n v="5.1493242273339748"/>
    <n v="888011261.65219867"/>
    <n v="0.88413653509216861"/>
    <n v="785123200.00000012"/>
    <n v="7.8512320000000016E-4"/>
    <n v="0.46249466371832465"/>
    <n v="4107004.6983591886"/>
  </r>
  <r>
    <x v="1"/>
    <s v="Mass transport"/>
    <x v="2"/>
    <x v="2"/>
    <n v="172452000"/>
    <n v="5.1493242273339748"/>
    <n v="888011261.65219867"/>
    <n v="3.8815710440280604"/>
    <n v="3446878800"/>
    <n v="3.4468787999999998E-3"/>
    <n v="2.7835326983047319"/>
    <n v="24718083.832717337"/>
  </r>
  <r>
    <x v="1"/>
    <s v="Mass transport"/>
    <x v="3"/>
    <x v="0"/>
    <n v="60086140"/>
    <n v="20.801606473131102"/>
    <n v="1249888238.7694616"/>
    <n v="64.537342778275658"/>
    <n v="80664465700"/>
    <n v="8.0664465699999993E-2"/>
    <n v="20.054282501786243"/>
    <n v="250656118.35942841"/>
  </r>
  <r>
    <x v="1"/>
    <s v="Mass transport"/>
    <x v="3"/>
    <x v="1"/>
    <n v="60086140"/>
    <n v="20.801606473131102"/>
    <n v="1249888238.7694616"/>
    <n v="1.6127652357018492"/>
    <n v="2015776300"/>
    <n v="2.0157763E-3"/>
    <n v="0.46249466371832465"/>
    <n v="5780666.4067517128"/>
  </r>
  <r>
    <x v="1"/>
    <s v="Mass transport"/>
    <x v="3"/>
    <x v="2"/>
    <n v="60086140"/>
    <n v="20.801606473131102"/>
    <n v="1249888238.7694616"/>
    <n v="2.7221438641183648"/>
    <n v="3402375599.9999995"/>
    <n v="3.4023755999999994E-3"/>
    <n v="2.7835326983047319"/>
    <n v="34791047.818413086"/>
  </r>
  <r>
    <x v="1"/>
    <s v="Single Vehicle transport"/>
    <x v="4"/>
    <x v="0"/>
    <n v="12526350906"/>
    <n v="1.49"/>
    <n v="18664262849.939999"/>
    <n v="122.39199063795034"/>
    <n v="2284356283994.1006"/>
    <n v="2.2843562839941005"/>
    <n v="46.378170003012634"/>
    <n v="8656143554.3543034"/>
  </r>
  <r>
    <x v="1"/>
    <s v="Single Vehicle transport"/>
    <x v="5"/>
    <x v="3"/>
    <n v="18807795150"/>
    <n v="1.49"/>
    <n v="28023614773.5"/>
    <n v="124.96902487063288"/>
    <n v="3502083811594.5566"/>
    <n v="3.5020838115945567"/>
    <n v="49.610569619147626"/>
    <n v="13902674917.008957"/>
  </r>
  <r>
    <x v="1"/>
    <s v="Single Vehicle transport"/>
    <x v="6"/>
    <x v="4"/>
    <n v="101220024"/>
    <n v="1.49"/>
    <n v="150817835.75999999"/>
    <n v="35.49510644710535"/>
    <n v="5353295134.4232512"/>
    <n v="5.3532951344232513E-3"/>
    <n v="8.2871066386620882"/>
    <n v="12498434.879553445"/>
  </r>
  <r>
    <x v="1"/>
    <s v="Single Vehicle transport"/>
    <x v="7"/>
    <x v="5"/>
    <n v="0"/>
    <n v="1.49"/>
    <n v="0"/>
    <n v="40.893284566123846"/>
    <n v="0"/>
    <n v="0"/>
    <n v="8.6870070274787903"/>
    <n v="0"/>
  </r>
  <r>
    <x v="1"/>
    <s v="Single Vehicle transport"/>
    <x v="8"/>
    <x v="6"/>
    <n v="1370622"/>
    <n v="1.49"/>
    <n v="2042226.78"/>
    <n v="54.046711409395968"/>
    <n v="110375641.41119999"/>
    <n v="1.1037564141119999E-4"/>
    <n v="10.201342281879194"/>
    <n v="208334.54399999999"/>
  </r>
  <r>
    <x v="2"/>
    <s v="Mass transport"/>
    <x v="0"/>
    <x v="0"/>
    <n v="15960000"/>
    <n v="144.83799309799255"/>
    <n v="2311614369.8439612"/>
    <n v="51.989666428709903"/>
    <n v="120180059999.99998"/>
    <n v="0.12018005999999999"/>
    <n v="19.700517782762375"/>
    <n v="455400000"/>
  </r>
  <r>
    <x v="2"/>
    <s v="Mass transport"/>
    <x v="0"/>
    <x v="1"/>
    <n v="15960000"/>
    <n v="144.83799309799255"/>
    <n v="2311614369.8439612"/>
    <n v="1.0018669334350652"/>
    <n v="2315930000"/>
    <n v="2.3159299999999999E-3"/>
    <n v="0.43692408784782605"/>
    <n v="10100000"/>
  </r>
  <r>
    <x v="2"/>
    <s v="Mass transport"/>
    <x v="0"/>
    <x v="2"/>
    <n v="15960000"/>
    <n v="144.83799309799255"/>
    <n v="2311614369.8439612"/>
    <n v="12.96743106940602"/>
    <n v="29975700000"/>
    <n v="2.9975700000000001E-2"/>
    <n v="2.6518263945615583"/>
    <n v="61300000"/>
  </r>
  <r>
    <x v="2"/>
    <s v="Mass transport"/>
    <x v="1"/>
    <x v="2"/>
    <n v="3840000"/>
    <n v="115.58655301124502"/>
    <n v="443852363.56318086"/>
    <n v="24.237789146004257"/>
    <n v="10758000000"/>
    <n v="1.0758E-2"/>
    <n v="2.6518263945615583"/>
    <n v="11770194.129853759"/>
  </r>
  <r>
    <x v="2"/>
    <s v="Mass transport"/>
    <x v="2"/>
    <x v="0"/>
    <n v="172452000"/>
    <n v="5.3520304264211696"/>
    <n v="922968351.09718359"/>
    <n v="83.424423934437286"/>
    <n v="76998103000"/>
    <n v="7.6998102999999998E-2"/>
    <n v="19.700517782762375"/>
    <n v="181829544.13716933"/>
  </r>
  <r>
    <x v="2"/>
    <s v="Mass transport"/>
    <x v="2"/>
    <x v="1"/>
    <n v="172452000"/>
    <n v="5.3520304264211696"/>
    <n v="922968351.09718359"/>
    <n v="1.0046814702775888"/>
    <n v="927289200.00000024"/>
    <n v="9.2728920000000026E-4"/>
    <n v="0.43692408784782605"/>
    <n v="4032671.04915549"/>
  </r>
  <r>
    <x v="2"/>
    <s v="Mass transport"/>
    <x v="2"/>
    <x v="2"/>
    <n v="172452000"/>
    <n v="5.3520304264211696"/>
    <n v="922968351.09718359"/>
    <n v="3.0686729362205134"/>
    <n v="2832288000"/>
    <n v="2.8322880000000001E-3"/>
    <n v="2.6518263945615583"/>
    <n v="24475518.347844709"/>
  </r>
  <r>
    <x v="2"/>
    <s v="Mass transport"/>
    <x v="3"/>
    <x v="0"/>
    <n v="57372160"/>
    <n v="21.176318781173251"/>
    <n v="1214931149.3244767"/>
    <n v="61.855366324079135"/>
    <n v="75150011300"/>
    <n v="7.51500113E-2"/>
    <n v="19.700517782762375"/>
    <n v="239347727.12098786"/>
  </r>
  <r>
    <x v="2"/>
    <s v="Mass transport"/>
    <x v="3"/>
    <x v="1"/>
    <n v="57372160"/>
    <n v="21.176318781173251"/>
    <n v="1214931149.3244767"/>
    <n v="1.6797412768079116"/>
    <n v="2040770000"/>
    <n v="2.0407699999999999E-3"/>
    <n v="0.43692408784782605"/>
    <n v="5308326.842165079"/>
  </r>
  <r>
    <x v="2"/>
    <s v="Mass transport"/>
    <x v="3"/>
    <x v="2"/>
    <n v="57372160"/>
    <n v="21.176318781173251"/>
    <n v="1214931149.3244767"/>
    <n v="2.3288183874231647"/>
    <n v="2829354000"/>
    <n v="2.8293540000000001E-3"/>
    <n v="2.6518263945615583"/>
    <n v="32217864.893536571"/>
  </r>
  <r>
    <x v="2"/>
    <s v="Single Vehicle transport"/>
    <x v="4"/>
    <x v="0"/>
    <n v="13541022168"/>
    <n v="1.49"/>
    <n v="20176123030.32"/>
    <n v="122.69272369370873"/>
    <n v="2475463488169.3252"/>
    <n v="2.4754634881693254"/>
    <n v="46.492127204891524"/>
    <n v="9380308784.2717876"/>
  </r>
  <r>
    <x v="2"/>
    <s v="Single Vehicle transport"/>
    <x v="5"/>
    <x v="3"/>
    <n v="15857327208"/>
    <n v="1.49"/>
    <n v="23627417539.919998"/>
    <n v="124.8128556115047"/>
    <n v="2949005453882.7686"/>
    <n v="2.9490054538827684"/>
    <n v="49.548573089124531"/>
    <n v="11707048248.83989"/>
  </r>
  <r>
    <x v="2"/>
    <s v="Single Vehicle transport"/>
    <x v="6"/>
    <x v="4"/>
    <n v="132652109"/>
    <n v="1.49"/>
    <n v="197651642.41"/>
    <n v="33.832675268658178"/>
    <n v="6687083833.9744768"/>
    <n v="6.6870838339744771E-3"/>
    <n v="8.2215858561603525"/>
    <n v="16250099.476849196"/>
  </r>
  <r>
    <x v="2"/>
    <s v="Single Vehicle transport"/>
    <x v="7"/>
    <x v="5"/>
    <n v="0"/>
    <n v="1.49"/>
    <n v="0"/>
    <n v="38.5314400990476"/>
    <n v="0"/>
    <n v="0"/>
    <n v="8.6870070274787903"/>
    <n v="0"/>
  </r>
  <r>
    <x v="2"/>
    <s v="Single Vehicle transport"/>
    <x v="8"/>
    <x v="6"/>
    <n v="4054688"/>
    <n v="1.49"/>
    <n v="6041485.1200000001"/>
    <n v="49.884563758389262"/>
    <n v="301376849.66400003"/>
    <n v="3.0137684966400003E-4"/>
    <n v="10.201342281879194"/>
    <n v="616312.576"/>
  </r>
  <r>
    <x v="3"/>
    <s v="Mass transport"/>
    <x v="0"/>
    <x v="0"/>
    <n v="15970000"/>
    <n v="145.71693222096798"/>
    <n v="2327099407.5688586"/>
    <n v="51.144742512027058"/>
    <n v="119018899999.99998"/>
    <n v="0.11901889999999998"/>
    <n v="19.380349568786308"/>
    <n v="451000000"/>
  </r>
  <r>
    <x v="3"/>
    <s v="Mass transport"/>
    <x v="0"/>
    <x v="1"/>
    <n v="15970000"/>
    <n v="145.71693222096798"/>
    <n v="2327099407.5688586"/>
    <n v="1.0543210969071595"/>
    <n v="2453510000"/>
    <n v="2.4535099999999999E-3"/>
    <n v="0.45979986781821169"/>
    <n v="10699999.999999998"/>
  </r>
  <r>
    <x v="3"/>
    <s v="Mass transport"/>
    <x v="0"/>
    <x v="2"/>
    <n v="15970000"/>
    <n v="145.71693222096798"/>
    <n v="2327099407.5688586"/>
    <n v="13.437328847360263"/>
    <n v="31270000000"/>
    <n v="3.1269999999999999E-2"/>
    <n v="2.5353450655396723"/>
    <n v="59000000.000000007"/>
  </r>
  <r>
    <x v="3"/>
    <s v="Mass transport"/>
    <x v="1"/>
    <x v="2"/>
    <n v="3540000"/>
    <n v="121.00771916335691"/>
    <n v="428367325.83828348"/>
    <n v="25.487471479376428"/>
    <n v="10918000000"/>
    <n v="1.0918000000000001E-2"/>
    <n v="2.5353450655396723"/>
    <n v="10860589.858025169"/>
  </r>
  <r>
    <x v="3"/>
    <s v="Mass transport"/>
    <x v="2"/>
    <x v="0"/>
    <n v="169432000"/>
    <n v="6.9853345908100248"/>
    <n v="1183539210.3901241"/>
    <n v="63.916313152873663"/>
    <n v="75647462800"/>
    <n v="7.5647462799999995E-2"/>
    <n v="19.380349568786308"/>
    <n v="229374036.25725928"/>
  </r>
  <r>
    <x v="3"/>
    <s v="Mass transport"/>
    <x v="2"/>
    <x v="1"/>
    <n v="169432000"/>
    <n v="6.9853345908100248"/>
    <n v="1183539210.3901241"/>
    <n v="1.0733248115888532"/>
    <n v="1270322000"/>
    <n v="1.2703219999999999E-3"/>
    <n v="0.45979986781821169"/>
    <n v="5441911.724950497"/>
  </r>
  <r>
    <x v="3"/>
    <s v="Mass transport"/>
    <x v="2"/>
    <x v="2"/>
    <n v="169432000"/>
    <n v="6.9853345908100248"/>
    <n v="1183539210.3901241"/>
    <n v="2.4934028159719892"/>
    <n v="2951040000"/>
    <n v="2.9510399999999998E-3"/>
    <n v="2.5353450655396723"/>
    <n v="30006802.969353214"/>
  </r>
  <r>
    <x v="3"/>
    <s v="Mass transport"/>
    <x v="3"/>
    <x v="0"/>
    <n v="56000000"/>
    <n v="27.436462574030021"/>
    <n v="1536441904.1456811"/>
    <n v="47.815541415377957"/>
    <n v="73465801499.999985"/>
    <n v="7.3465801499999983E-2"/>
    <n v="19.380349568786308"/>
    <n v="297767811.94474965"/>
  </r>
  <r>
    <x v="3"/>
    <s v="Mass transport"/>
    <x v="3"/>
    <x v="1"/>
    <n v="56000000"/>
    <n v="27.436462574030021"/>
    <n v="1536441904.1456811"/>
    <n v="1.3773444308502452"/>
    <n v="2116209700.0000002"/>
    <n v="2.1162097000000002E-3"/>
    <n v="0.45979986781821169"/>
    <n v="7064557.8443654571"/>
  </r>
  <r>
    <x v="3"/>
    <s v="Mass transport"/>
    <x v="3"/>
    <x v="2"/>
    <n v="56000000"/>
    <n v="27.436462574030021"/>
    <n v="1536441904.1456811"/>
    <n v="1.8730939271017992"/>
    <n v="2877900000"/>
    <n v="2.8779000000000001E-3"/>
    <n v="2.5353450655396723"/>
    <n v="38954104.001641303"/>
  </r>
  <r>
    <x v="3"/>
    <s v="Single Vehicle transport"/>
    <x v="4"/>
    <x v="0"/>
    <n v="14752242235"/>
    <n v="1.49"/>
    <n v="21980840930.150002"/>
    <n v="121.88746457728054"/>
    <n v="2679188970252.4966"/>
    <n v="2.6791889702524965"/>
    <n v="46.186989229738742"/>
    <n v="10152288633.014385"/>
  </r>
  <r>
    <x v="3"/>
    <s v="Single Vehicle transport"/>
    <x v="5"/>
    <x v="3"/>
    <n v="16948237773"/>
    <n v="1.49"/>
    <n v="25252874281.77"/>
    <n v="124.47143524167987"/>
    <n v="3143261505829.6177"/>
    <n v="3.1432615058296176"/>
    <n v="49.413035030440597"/>
    <n v="12478211615.044134"/>
  </r>
  <r>
    <x v="3"/>
    <s v="Single Vehicle transport"/>
    <x v="6"/>
    <x v="4"/>
    <n v="116713683"/>
    <n v="1.49"/>
    <n v="173903387.66999999"/>
    <n v="35.596139828196918"/>
    <n v="6190289304.0984554"/>
    <n v="6.1902893040984555E-3"/>
    <n v="8.0605402150429377"/>
    <n v="14017552.49846237"/>
  </r>
  <r>
    <x v="3"/>
    <s v="Single Vehicle transport"/>
    <x v="7"/>
    <x v="5"/>
    <n v="0"/>
    <n v="1.49"/>
    <n v="0"/>
    <n v="41.447302670973215"/>
    <n v="0"/>
    <n v="0"/>
    <n v="8.6870070274787903"/>
    <n v="0"/>
  </r>
  <r>
    <x v="3"/>
    <s v="Single Vehicle transport"/>
    <x v="8"/>
    <x v="6"/>
    <n v="4105503"/>
    <n v="1.49"/>
    <n v="6117199.4699999997"/>
    <n v="54.067114093959731"/>
    <n v="330739321.68000001"/>
    <n v="3.3073932168E-4"/>
    <n v="10.201342281879194"/>
    <n v="624036.45599999989"/>
  </r>
  <r>
    <x v="4"/>
    <s v="Mass transport"/>
    <x v="0"/>
    <x v="0"/>
    <n v="15965000"/>
    <n v="144.05021623343919"/>
    <n v="2299761702.1668568"/>
    <n v="47.61019800305202"/>
    <n v="109492110000"/>
    <n v="0.10949211"/>
    <n v="18.040999622225094"/>
    <n v="414900000"/>
  </r>
  <r>
    <x v="4"/>
    <s v="Mass transport"/>
    <x v="0"/>
    <x v="1"/>
    <n v="15965000"/>
    <n v="144.05021623343919"/>
    <n v="2299761702.1668568"/>
    <n v="0.8375302528888936"/>
    <n v="1926120000"/>
    <n v="1.9261199999999999E-3"/>
    <n v="0.36525523457867143"/>
    <n v="8400000"/>
  </r>
  <r>
    <x v="4"/>
    <s v="Mass transport"/>
    <x v="0"/>
    <x v="2"/>
    <n v="15965000"/>
    <n v="144.05021623343919"/>
    <n v="2299761702.1668568"/>
    <n v="11.498373929387846"/>
    <n v="26443520000"/>
    <n v="2.6443520000000002E-2"/>
    <n v="2.4611245568039055"/>
    <n v="56600000.000000007"/>
  </r>
  <r>
    <x v="4"/>
    <s v="Mass transport"/>
    <x v="1"/>
    <x v="2"/>
    <n v="3667000"/>
    <n v="124.27189289345112"/>
    <n v="455705031.24028528"/>
    <n v="20.299446716273671"/>
    <n v="9250560000"/>
    <n v="9.2505599999999997E-3"/>
    <n v="2.4611245568039055"/>
    <n v="11215468.43044557"/>
  </r>
  <r>
    <x v="4"/>
    <s v="Mass transport"/>
    <x v="2"/>
    <x v="0"/>
    <n v="163579000"/>
    <n v="7.9106874099897801"/>
    <n v="1294022335.8387182"/>
    <n v="58.448762285836402"/>
    <n v="75634003900"/>
    <n v="7.5634003899999996E-2"/>
    <n v="18.040999622225094"/>
    <n v="233454564.72017148"/>
  </r>
  <r>
    <x v="4"/>
    <s v="Mass transport"/>
    <x v="2"/>
    <x v="1"/>
    <n v="163579000"/>
    <n v="7.9106874099897801"/>
    <n v="1294022335.8387182"/>
    <n v="0.86916312713490929"/>
    <n v="1124716500"/>
    <n v="1.1247165E-3"/>
    <n v="0.36525523457867143"/>
    <n v="4726484.3182681138"/>
  </r>
  <r>
    <x v="4"/>
    <s v="Mass transport"/>
    <x v="2"/>
    <x v="2"/>
    <n v="163579000"/>
    <n v="7.9106874099897801"/>
    <n v="1294022335.8387182"/>
    <n v="2.0987532632037125"/>
    <n v="2715833600"/>
    <n v="2.7158336000000002E-3"/>
    <n v="2.4611245568039055"/>
    <n v="31847501.4778542"/>
  </r>
  <r>
    <x v="4"/>
    <s v="Mass transport"/>
    <x v="3"/>
    <x v="0"/>
    <n v="57000000"/>
    <n v="30.976642582870053"/>
    <n v="1765668627.223593"/>
    <n v="41.836000119769785"/>
    <n v="73868512899.999985"/>
    <n v="7.3868512899999988E-2"/>
    <n v="18.040999622225094"/>
    <n v="318544270.36715543"/>
  </r>
  <r>
    <x v="4"/>
    <s v="Mass transport"/>
    <x v="3"/>
    <x v="1"/>
    <n v="57000000"/>
    <n v="30.976642582870053"/>
    <n v="1765668627.223593"/>
    <n v="1.1120409966662195"/>
    <n v="1963495900"/>
    <n v="1.9634958999999999E-3"/>
    <n v="0.36525523457867143"/>
    <n v="6449197.0862475419"/>
  </r>
  <r>
    <x v="4"/>
    <s v="Mass transport"/>
    <x v="3"/>
    <x v="2"/>
    <n v="57000000"/>
    <n v="30.976642582870053"/>
    <n v="1765668627.223593"/>
    <n v="1.3865161119442513"/>
    <n v="2448127999.9999995"/>
    <n v="2.4481279999999995E-3"/>
    <n v="2.4611245568039055"/>
    <n v="43455304.176382259"/>
  </r>
  <r>
    <x v="4"/>
    <s v="Single Vehicle transport"/>
    <x v="4"/>
    <x v="0"/>
    <n v="16684732301"/>
    <n v="1.49"/>
    <n v="24860251128.490002"/>
    <n v="124.62883418383154"/>
    <n v="3098304115660.9912"/>
    <n v="3.0983041156609912"/>
    <n v="47.225780289439776"/>
    <n v="11740447577.34366"/>
  </r>
  <r>
    <x v="4"/>
    <s v="Single Vehicle transport"/>
    <x v="5"/>
    <x v="3"/>
    <n v="15497223549"/>
    <n v="1.49"/>
    <n v="23090863088.009998"/>
    <n v="124.21712594344631"/>
    <n v="2868280648346.2134"/>
    <n v="2.8682806483462135"/>
    <n v="49.312078580169235"/>
    <n v="11386584550.798782"/>
  </r>
  <r>
    <x v="4"/>
    <s v="Single Vehicle transport"/>
    <x v="6"/>
    <x v="4"/>
    <n v="133293917"/>
    <n v="1.49"/>
    <n v="198607936.33000001"/>
    <n v="32.400166054997037"/>
    <n v="6434930116.9322796"/>
    <n v="6.43493011693228E-3"/>
    <n v="7.7160696654079333"/>
    <n v="15324726.728251833"/>
  </r>
  <r>
    <x v="4"/>
    <s v="Single Vehicle transport"/>
    <x v="7"/>
    <x v="5"/>
    <n v="0"/>
    <n v="1.49"/>
    <n v="0"/>
    <n v="38.009769269744481"/>
    <n v="0"/>
    <n v="0"/>
    <n v="8.6870070274787903"/>
    <n v="0"/>
  </r>
  <r>
    <x v="4"/>
    <s v="Single Vehicle transport"/>
    <x v="8"/>
    <x v="6"/>
    <n v="7825666"/>
    <n v="1.49"/>
    <n v="11660242.34"/>
    <n v="47.660671140939591"/>
    <n v="555734975.59039998"/>
    <n v="5.5573497559040003E-4"/>
    <n v="10.201342281879194"/>
    <n v="1189501.2319999998"/>
  </r>
  <r>
    <x v="5"/>
    <s v="Mass transport"/>
    <x v="0"/>
    <x v="0"/>
    <n v="15965000"/>
    <n v="143.80201686214838"/>
    <n v="2295799199.2041988"/>
    <n v="47.094637038586804"/>
    <n v="108119829999.99998"/>
    <n v="0.10811982999999999"/>
    <n v="17.845637377259116"/>
    <n v="409700000"/>
  </r>
  <r>
    <x v="5"/>
    <s v="Mass transport"/>
    <x v="0"/>
    <x v="1"/>
    <n v="15965000"/>
    <n v="143.80201686214838"/>
    <n v="2295799199.2041988"/>
    <n v="0.79902458396007148"/>
    <n v="1834400000.0000002"/>
    <n v="1.8344000000000001E-3"/>
    <n v="0.34846253116444459"/>
    <n v="8000000.0000000009"/>
  </r>
  <r>
    <x v="5"/>
    <s v="Mass transport"/>
    <x v="0"/>
    <x v="2"/>
    <n v="15965000"/>
    <n v="143.80201686214838"/>
    <n v="2295799199.2041988"/>
    <n v="11.35744498431669"/>
    <n v="26074413100"/>
    <n v="2.6074413099999999E-2"/>
    <n v="2.4966904779768497"/>
    <n v="57319000"/>
  </r>
  <r>
    <x v="5"/>
    <s v="Mass transport"/>
    <x v="1"/>
    <x v="2"/>
    <n v="3664000"/>
    <n v="125.4551130466549"/>
    <n v="459667534.20294356"/>
    <n v="20.782194279969286"/>
    <n v="9552900000"/>
    <n v="9.5528999999999996E-3"/>
    <n v="2.4966904779768497"/>
    <n v="11476475.556795871"/>
  </r>
  <r>
    <x v="5"/>
    <s v="Mass transport"/>
    <x v="2"/>
    <x v="0"/>
    <n v="163013000"/>
    <n v="7.8667650673985143"/>
    <n v="1282384973.931834"/>
    <n v="58.954888927152005"/>
    <n v="75602863699.999985"/>
    <n v="7.5602863699999981E-2"/>
    <n v="17.845637377259116"/>
    <n v="228849772.22833392"/>
  </r>
  <r>
    <x v="5"/>
    <s v="Mass transport"/>
    <x v="2"/>
    <x v="1"/>
    <n v="163013000"/>
    <n v="7.8667650673985143"/>
    <n v="1282384973.931834"/>
    <n v="0.93623586084206534"/>
    <n v="1200614800"/>
    <n v="1.2006148000000001E-3"/>
    <n v="0.34846253116444459"/>
    <n v="4468631.1394353714"/>
  </r>
  <r>
    <x v="5"/>
    <s v="Mass transport"/>
    <x v="2"/>
    <x v="2"/>
    <n v="163013000"/>
    <n v="7.8667650673985143"/>
    <n v="1282384973.931834"/>
    <n v="2.0975165450924718"/>
    <n v="2689823700"/>
    <n v="2.6898236999999998E-3"/>
    <n v="2.4966904779768497"/>
    <n v="32017183.535162006"/>
  </r>
  <r>
    <x v="5"/>
    <s v="Mass transport"/>
    <x v="3"/>
    <x v="0"/>
    <n v="57000000"/>
    <n v="31.180806826850482"/>
    <n v="1777305989.1304774"/>
    <n v="41.70104852696749"/>
    <n v="74115523300"/>
    <n v="7.41155233E-2"/>
    <n v="17.845637377259116"/>
    <n v="317171581.90453333"/>
  </r>
  <r>
    <x v="5"/>
    <s v="Mass transport"/>
    <x v="3"/>
    <x v="1"/>
    <n v="57000000"/>
    <n v="31.180806826850482"/>
    <n v="1777305989.1304774"/>
    <n v="1.3556947507833512"/>
    <n v="2409484400"/>
    <n v="2.4094844000000001E-3"/>
    <n v="0.34846253116444459"/>
    <n v="6193245.4362613298"/>
  </r>
  <r>
    <x v="5"/>
    <s v="Mass transport"/>
    <x v="3"/>
    <x v="2"/>
    <n v="57000000"/>
    <n v="31.180806826850482"/>
    <n v="1777305989.1304774"/>
    <n v="1.3368225362040205"/>
    <n v="2375942700"/>
    <n v="2.3759427E-3"/>
    <n v="2.4966904779768497"/>
    <n v="44373829.395132892"/>
  </r>
  <r>
    <x v="5"/>
    <s v="Single Vehicle transport"/>
    <x v="4"/>
    <x v="0"/>
    <n v="19198399205"/>
    <n v="1.49"/>
    <n v="28605614815.450001"/>
    <n v="125.18880280260738"/>
    <n v="3581102672178.7144"/>
    <n v="3.5811026721787145"/>
    <n v="47.437969989620079"/>
    <n v="13569922971.499487"/>
  </r>
  <r>
    <x v="5"/>
    <s v="Single Vehicle transport"/>
    <x v="5"/>
    <x v="3"/>
    <n v="15142086282"/>
    <n v="1.49"/>
    <n v="22561708560.18"/>
    <n v="123.92482689257048"/>
    <n v="2795955827720.9321"/>
    <n v="2.795955827720932"/>
    <n v="49.196040846594073"/>
    <n v="11099467358.955664"/>
  </r>
  <r>
    <x v="5"/>
    <s v="Single Vehicle transport"/>
    <x v="6"/>
    <x v="4"/>
    <n v="162705393"/>
    <n v="1.49"/>
    <n v="242431035.56999999"/>
    <n v="30.543916912019906"/>
    <n v="7404793407.3450222"/>
    <n v="7.4047934073450221E-3"/>
    <n v="7.3005279624219339"/>
    <n v="17698745.541376915"/>
  </r>
  <r>
    <x v="5"/>
    <s v="Single Vehicle transport"/>
    <x v="7"/>
    <x v="5"/>
    <n v="12039"/>
    <n v="1.49"/>
    <n v="17938.11"/>
    <n v="37.392354332869573"/>
    <n v="670748.16518199106"/>
    <n v="6.7074816518199107E-7"/>
    <n v="8.6870070274787903"/>
    <n v="1558.2848762968756"/>
  </r>
  <r>
    <x v="5"/>
    <s v="Single Vehicle transport"/>
    <x v="8"/>
    <x v="6"/>
    <n v="16281443"/>
    <n v="1.49"/>
    <n v="24259350.07"/>
    <n v="46.405906040268448"/>
    <n v="1125777119.9463999"/>
    <n v="1.1257771199463999E-3"/>
    <n v="10.201342281879194"/>
    <n v="2474779.3360000001"/>
  </r>
  <r>
    <x v="6"/>
    <s v="Mass transport"/>
    <x v="0"/>
    <x v="0"/>
    <n v="15960000"/>
    <n v="147.07685861733168"/>
    <n v="2347346663.5326138"/>
    <n v="48.230243005360435"/>
    <n v="113213100000"/>
    <n v="0.1132131"/>
    <n v="18.275954151330215"/>
    <n v="429000000"/>
  </r>
  <r>
    <x v="6"/>
    <s v="Mass transport"/>
    <x v="0"/>
    <x v="1"/>
    <n v="15960000"/>
    <n v="147.07685861733168"/>
    <n v="2347346663.5326138"/>
    <n v="0.84985742881189186"/>
    <n v="1994910000.0000002"/>
    <n v="1.9949100000000003E-3"/>
    <n v="0.37063123803396941"/>
    <n v="8700000.0000000019"/>
  </r>
  <r>
    <x v="6"/>
    <s v="Mass transport"/>
    <x v="0"/>
    <x v="2"/>
    <n v="15960000"/>
    <n v="147.07685861733168"/>
    <n v="2347346663.5326138"/>
    <n v="12.149982251483385"/>
    <n v="28520220299.999996"/>
    <n v="2.8520220299999996E-2"/>
    <n v="2.6134614436402206"/>
    <n v="61347000"/>
  </r>
  <r>
    <x v="6"/>
    <s v="Mass transport"/>
    <x v="1"/>
    <x v="2"/>
    <n v="3490000"/>
    <n v="116.93984810158405"/>
    <n v="408120069.87452835"/>
    <n v="23.921636598272382"/>
    <n v="9762900000"/>
    <n v="9.7628999999999997E-3"/>
    <n v="2.6134614436402206"/>
    <n v="10666060.669928325"/>
  </r>
  <r>
    <x v="6"/>
    <s v="Mass transport"/>
    <x v="2"/>
    <x v="0"/>
    <n v="170602000"/>
    <n v="5.188060242389148"/>
    <n v="885093453.47207344"/>
    <n v="87.104341126428309"/>
    <n v="77095482099.999985"/>
    <n v="7.7095482099999987E-2"/>
    <n v="18.275954151330215"/>
    <n v="161759273.75298136"/>
  </r>
  <r>
    <x v="6"/>
    <s v="Mass transport"/>
    <x v="2"/>
    <x v="1"/>
    <n v="170602000"/>
    <n v="5.188060242389148"/>
    <n v="885093453.47207344"/>
    <n v="1.3388669810530804"/>
    <n v="1185022400"/>
    <n v="1.1850223999999999E-3"/>
    <n v="0.37063123803396941"/>
    <n v="3280432.8243611609"/>
  </r>
  <r>
    <x v="6"/>
    <s v="Mass transport"/>
    <x v="2"/>
    <x v="2"/>
    <n v="170602000"/>
    <n v="5.188060242389148"/>
    <n v="885093453.47207344"/>
    <n v="2.9613892066626852"/>
    <n v="2621106200"/>
    <n v="2.6211061999999999E-3"/>
    <n v="2.6134614436402206"/>
    <n v="23131576.146676335"/>
  </r>
  <r>
    <x v="6"/>
    <s v="Mass transport"/>
    <x v="3"/>
    <x v="0"/>
    <n v="57300000"/>
    <n v="20.246679681926519"/>
    <n v="1160134745.7743895"/>
    <n v="63.329781103106328"/>
    <n v="73471079500"/>
    <n v="7.3471079499999994E-2"/>
    <n v="18.275954151330215"/>
    <n v="212025694.23137879"/>
  </r>
  <r>
    <x v="6"/>
    <s v="Mass transport"/>
    <x v="3"/>
    <x v="1"/>
    <n v="57300000"/>
    <n v="20.246679681926519"/>
    <n v="1160134745.7743895"/>
    <n v="2.2707945862284475"/>
    <n v="2634427700"/>
    <n v="2.6344277000000002E-3"/>
    <n v="0.37063123803396941"/>
    <n v="4299821.7711258633"/>
  </r>
  <r>
    <x v="6"/>
    <s v="Mass transport"/>
    <x v="3"/>
    <x v="2"/>
    <n v="57300000"/>
    <n v="20.246679681926519"/>
    <n v="1160134745.7743895"/>
    <n v="1.8489650515278557"/>
    <n v="2145048600"/>
    <n v="2.1450485999999999E-3"/>
    <n v="2.6134614436402206"/>
    <n v="30319674.275087163"/>
  </r>
  <r>
    <x v="6"/>
    <s v="Single Vehicle transport"/>
    <x v="4"/>
    <x v="0"/>
    <n v="21618978317"/>
    <n v="1.49"/>
    <n v="32212277692.329998"/>
    <n v="123.90473187717517"/>
    <n v="3991253630621.2593"/>
    <n v="3.9912536306212592"/>
    <n v="46.951395178922006"/>
    <n v="15124113795.457596"/>
  </r>
  <r>
    <x v="6"/>
    <s v="Single Vehicle transport"/>
    <x v="5"/>
    <x v="3"/>
    <n v="14318726283"/>
    <n v="1.49"/>
    <n v="21334902161.669998"/>
    <n v="122.33232964196444"/>
    <n v="2609948284120.4736"/>
    <n v="2.6099482841204735"/>
    <n v="48.563846622455117"/>
    <n v="10361049162.844278"/>
  </r>
  <r>
    <x v="6"/>
    <s v="Single Vehicle transport"/>
    <x v="6"/>
    <x v="4"/>
    <n v="202000218"/>
    <n v="1.49"/>
    <n v="300980324.81999999"/>
    <n v="31.665763212865645"/>
    <n v="9530771697.4815083"/>
    <n v="9.5307716974815087E-3"/>
    <n v="7.4683297454729649"/>
    <n v="22478203.126553208"/>
  </r>
  <r>
    <x v="6"/>
    <s v="Single Vehicle transport"/>
    <x v="7"/>
    <x v="5"/>
    <n v="6601685"/>
    <n v="1.49"/>
    <n v="9836510.6500000004"/>
    <n v="38.072156931546218"/>
    <n v="374497177.12562573"/>
    <n v="3.7449717712562575E-4"/>
    <n v="8.6870070274787903"/>
    <n v="854498.37142419966"/>
  </r>
  <r>
    <x v="6"/>
    <s v="Single Vehicle transport"/>
    <x v="8"/>
    <x v="6"/>
    <n v="24853198"/>
    <n v="1.49"/>
    <n v="37031265.020000003"/>
    <n v="47.426040268456376"/>
    <n v="1756246266.0304"/>
    <n v="1.7562462660304001E-3"/>
    <n v="10.201342281879194"/>
    <n v="3777686.0960000004"/>
  </r>
  <r>
    <x v="7"/>
    <s v="Mass transport"/>
    <x v="0"/>
    <x v="0"/>
    <n v="15010000"/>
    <n v="152.75997651535548"/>
    <n v="2292927247.4954858"/>
    <n v="50.410757744823542"/>
    <n v="115588199999.99998"/>
    <n v="0.11558819999999999"/>
    <n v="19.102219683525405"/>
    <n v="438000000"/>
  </r>
  <r>
    <x v="7"/>
    <s v="Mass transport"/>
    <x v="0"/>
    <x v="1"/>
    <n v="15010000"/>
    <n v="152.75997651535548"/>
    <n v="2292927247.4954858"/>
    <n v="0.86002728702096887"/>
    <n v="1971980000.0000002"/>
    <n v="1.9719800000000003E-3"/>
    <n v="0.3750664138774395"/>
    <n v="8600000"/>
  </r>
  <r>
    <x v="7"/>
    <s v="Mass transport"/>
    <x v="0"/>
    <x v="2"/>
    <n v="15010000"/>
    <n v="152.75997651535548"/>
    <n v="2292927247.4954858"/>
    <n v="13.275635166030241"/>
    <n v="30440065599.999996"/>
    <n v="3.0440065599999996E-2"/>
    <n v="2.7634544475500089"/>
    <n v="63364000"/>
  </r>
  <r>
    <x v="7"/>
    <s v="Mass transport"/>
    <x v="1"/>
    <x v="2"/>
    <n v="3660000"/>
    <n v="126.37690871903175"/>
    <n v="462539485.9116562"/>
    <n v="21.810894652844528"/>
    <n v="10088400000"/>
    <n v="1.0088400000000001E-2"/>
    <n v="2.7634544475500089"/>
    <n v="12782067.99510061"/>
  </r>
  <r>
    <x v="7"/>
    <s v="Mass transport"/>
    <x v="2"/>
    <x v="0"/>
    <n v="181752000"/>
    <n v="4.6761296124051848"/>
    <n v="849895909.31386709"/>
    <n v="83.975812352854561"/>
    <n v="71370699400"/>
    <n v="7.1370699400000001E-2"/>
    <n v="19.102219683525405"/>
    <n v="162348983.67843074"/>
  </r>
  <r>
    <x v="7"/>
    <s v="Mass transport"/>
    <x v="2"/>
    <x v="1"/>
    <n v="181752000"/>
    <n v="4.6761296124051848"/>
    <n v="849895909.31386709"/>
    <n v="1.2486239648532043"/>
    <n v="1061200400"/>
    <n v="1.0612003999999999E-3"/>
    <n v="0.3750664138774395"/>
    <n v="3187674.1087545766"/>
  </r>
  <r>
    <x v="7"/>
    <s v="Mass transport"/>
    <x v="2"/>
    <x v="2"/>
    <n v="181752000"/>
    <n v="4.6761296124051848"/>
    <n v="849895909.31386709"/>
    <n v="2.7685733914163784"/>
    <n v="2352999200"/>
    <n v="2.3529991999999998E-3"/>
    <n v="2.7634544475500089"/>
    <n v="23486486.305479649"/>
  </r>
  <r>
    <x v="7"/>
    <s v="Mass transport"/>
    <x v="3"/>
    <x v="0"/>
    <n v="58400000"/>
    <n v="20.468018663229376"/>
    <n v="1195332289.9325955"/>
    <n v="61.975195536780319"/>
    <n v="74080952399.999985"/>
    <n v="7.4080952399999983E-2"/>
    <n v="19.102219683525405"/>
    <n v="228334999.97103924"/>
  </r>
  <r>
    <x v="7"/>
    <s v="Mass transport"/>
    <x v="3"/>
    <x v="1"/>
    <n v="58400000"/>
    <n v="20.468018663229376"/>
    <n v="1195332289.9325955"/>
    <n v="1.9177195490379191"/>
    <n v="2292312100"/>
    <n v="2.2923120999999999E-3"/>
    <n v="0.3750664138774395"/>
    <n v="4483289.9537692638"/>
  </r>
  <r>
    <x v="7"/>
    <s v="Mass transport"/>
    <x v="3"/>
    <x v="2"/>
    <n v="58400000"/>
    <n v="20.468018663229376"/>
    <n v="1195332289.9325955"/>
    <n v="1.8153670057071443"/>
    <n v="2169966800"/>
    <n v="2.1699668E-3"/>
    <n v="2.7634544475500089"/>
    <n v="33032463.329143677"/>
  </r>
  <r>
    <x v="7"/>
    <s v="Single Vehicle transport"/>
    <x v="4"/>
    <x v="0"/>
    <n v="23766498565"/>
    <n v="1.49"/>
    <n v="35412082861.849998"/>
    <n v="122.39013937994162"/>
    <n v="4334089757195.8633"/>
    <n v="4.334089757195863"/>
    <n v="46.377468503198799"/>
    <n v="16423227575.581142"/>
  </r>
  <r>
    <x v="7"/>
    <s v="Single Vehicle transport"/>
    <x v="5"/>
    <x v="3"/>
    <n v="13271978988"/>
    <n v="1.49"/>
    <n v="19775248692.119999"/>
    <n v="121.60262138145234"/>
    <n v="2404722079431.9287"/>
    <n v="2.4047220794319286"/>
    <n v="48.274164899345905"/>
    <n v="9546336162.8897514"/>
  </r>
  <r>
    <x v="7"/>
    <s v="Single Vehicle transport"/>
    <x v="6"/>
    <x v="4"/>
    <n v="298864147"/>
    <n v="1.49"/>
    <n v="445307579.02999997"/>
    <n v="32.298246434342154"/>
    <n v="14382653926.591234"/>
    <n v="1.4382653926591235E-2"/>
    <n v="7.4683297454729649"/>
    <n v="33257038.383543018"/>
  </r>
  <r>
    <x v="7"/>
    <s v="Single Vehicle transport"/>
    <x v="7"/>
    <x v="5"/>
    <n v="12692006"/>
    <n v="1.49"/>
    <n v="18911088.940000001"/>
    <n v="39.020881763760983"/>
    <n v="737927365.5517081"/>
    <n v="7.3792736555170814E-4"/>
    <n v="8.6870070274787903"/>
    <n v="1642807.6251905644"/>
  </r>
  <r>
    <x v="7"/>
    <s v="Single Vehicle transport"/>
    <x v="8"/>
    <x v="6"/>
    <n v="39747301"/>
    <n v="1.49"/>
    <n v="59223478.490000002"/>
    <n v="49.007248322147646"/>
    <n v="2902379716.8607998"/>
    <n v="2.9023797168608E-3"/>
    <n v="10.201342281879194"/>
    <n v="6041589.7520000003"/>
  </r>
  <r>
    <x v="8"/>
    <s v="Mass transport"/>
    <x v="0"/>
    <x v="0"/>
    <n v="16200000"/>
    <n v="139.51276648367187"/>
    <n v="2260106817.0354843"/>
    <n v="52.01853696198738"/>
    <n v="117567449999.99998"/>
    <n v="0.11756744999999999"/>
    <n v="19.711457734743227"/>
    <n v="445499999.99999994"/>
  </r>
  <r>
    <x v="8"/>
    <s v="Mass transport"/>
    <x v="0"/>
    <x v="1"/>
    <n v="16200000"/>
    <n v="139.51276648367187"/>
    <n v="2260106817.0354843"/>
    <n v="0.91309843607608543"/>
    <n v="2063700000"/>
    <n v="2.0636999999999999E-3"/>
    <n v="0.39821126736855011"/>
    <n v="9000000"/>
  </r>
  <r>
    <x v="8"/>
    <s v="Mass transport"/>
    <x v="0"/>
    <x v="2"/>
    <n v="16200000"/>
    <n v="139.51276648367187"/>
    <n v="2260106817.0354843"/>
    <n v="12.208768095391653"/>
    <n v="27593120000"/>
    <n v="2.7593119999999999E-2"/>
    <n v="2.7963280108547073"/>
    <n v="63200000"/>
  </r>
  <r>
    <x v="8"/>
    <s v="Mass transport"/>
    <x v="1"/>
    <x v="2"/>
    <n v="4070000"/>
    <n v="121.71005316256945"/>
    <n v="495359916.37165767"/>
    <n v="18.508966303040559"/>
    <n v="9168600000.0000019"/>
    <n v="9.1686000000000024E-3"/>
    <n v="2.7963280108547073"/>
    <n v="13851888.096047115"/>
  </r>
  <r>
    <x v="8"/>
    <s v="Mass transport"/>
    <x v="2"/>
    <x v="0"/>
    <n v="194179000"/>
    <n v="8.6520989286054881"/>
    <n v="1680055917.8576851"/>
    <n v="45.485263965168343"/>
    <n v="76417786899.999985"/>
    <n v="7.6417786899999979E-2"/>
    <n v="19.711457734743227"/>
    <n v="331163512.16856998"/>
  </r>
  <r>
    <x v="8"/>
    <s v="Mass transport"/>
    <x v="2"/>
    <x v="1"/>
    <n v="194179000"/>
    <n v="8.6520989286054881"/>
    <n v="1680055917.8576851"/>
    <n v="0.98895982112230141"/>
    <n v="1661507800.0000002"/>
    <n v="1.6615078000000003E-3"/>
    <n v="0.39821126736855011"/>
    <n v="6690171.9630014142"/>
  </r>
  <r>
    <x v="8"/>
    <s v="Mass transport"/>
    <x v="2"/>
    <x v="2"/>
    <n v="194179000"/>
    <n v="8.6520989286054881"/>
    <n v="1680055917.8576851"/>
    <n v="1.331585678917566"/>
    <n v="2237138400"/>
    <n v="2.2371384000000002E-3"/>
    <n v="2.7963280108547073"/>
    <n v="46979874.229076602"/>
  </r>
  <r>
    <x v="8"/>
    <s v="Mass transport"/>
    <x v="3"/>
    <x v="0"/>
    <n v="57100000"/>
    <n v="34.372764084025889"/>
    <n v="1962684829.1978781"/>
    <n v="35.980065545653808"/>
    <n v="70617528800"/>
    <n v="7.0617528799999996E-2"/>
    <n v="19.711457734743227"/>
    <n v="386873790.57355708"/>
  </r>
  <r>
    <x v="8"/>
    <s v="Mass transport"/>
    <x v="3"/>
    <x v="1"/>
    <n v="57100000"/>
    <n v="34.372764084025889"/>
    <n v="1962684829.1978781"/>
    <n v="1.2980954772250575"/>
    <n v="2547752300"/>
    <n v="2.5477523E-3"/>
    <n v="0.39821126736855011"/>
    <n v="7815632.1327991327"/>
  </r>
  <r>
    <x v="8"/>
    <s v="Mass transport"/>
    <x v="3"/>
    <x v="2"/>
    <n v="57100000"/>
    <n v="34.372764084025889"/>
    <n v="1962684829.1978781"/>
    <n v="0.99146137528116174"/>
    <n v="1945926200.0000002"/>
    <n v="1.9459262000000002E-3"/>
    <n v="2.7963280108547073"/>
    <n v="54883105.643656127"/>
  </r>
  <r>
    <x v="8"/>
    <s v="Single Vehicle transport"/>
    <x v="4"/>
    <x v="0"/>
    <n v="23972319492"/>
    <n v="1.49"/>
    <n v="35718756043.080002"/>
    <n v="120.42919485982483"/>
    <n v="4301581031662.6274"/>
    <n v="4.3015810316626277"/>
    <n v="45.634405024564167"/>
    <n v="16300041802.435118"/>
  </r>
  <r>
    <x v="8"/>
    <s v="Single Vehicle transport"/>
    <x v="5"/>
    <x v="3"/>
    <n v="11710674441"/>
    <n v="1.49"/>
    <n v="17448904917.09"/>
    <n v="120.6687305107329"/>
    <n v="2105537205147.7354"/>
    <n v="2.1055372051477352"/>
    <n v="47.903426165435846"/>
    <n v="8358623283.6353121"/>
  </r>
  <r>
    <x v="8"/>
    <s v="Single Vehicle transport"/>
    <x v="6"/>
    <x v="4"/>
    <n v="412781948"/>
    <n v="1.49"/>
    <n v="615045102.51999998"/>
    <n v="30.510971266556925"/>
    <n v="18765623450.624279"/>
    <n v="1.876562345062428E-2"/>
    <n v="7.4683297454729676"/>
    <n v="45933596.339575864"/>
  </r>
  <r>
    <x v="8"/>
    <s v="Single Vehicle transport"/>
    <x v="7"/>
    <x v="5"/>
    <n v="37824250"/>
    <n v="1.49"/>
    <n v="56358132.5"/>
    <n v="36.339969012083131"/>
    <n v="2048052788.6288753"/>
    <n v="2.0480527886288752E-3"/>
    <n v="8.6870070274787903"/>
    <n v="4895834.9308308084"/>
  </r>
  <r>
    <x v="8"/>
    <s v="Single Vehicle transport"/>
    <x v="8"/>
    <x v="6"/>
    <n v="61724141"/>
    <n v="1.49"/>
    <n v="91968970.090000004"/>
    <n v="44.539060402684569"/>
    <n v="4096211514.0112009"/>
    <n v="4.0962115140112006E-3"/>
    <n v="10.201342281879194"/>
    <n v="9382069.43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x v="0"/>
    <s v="Mass transport"/>
    <x v="0"/>
    <s v="Diesel"/>
    <n v="15950000"/>
    <n v="152.75616742928392"/>
    <n v="2436460870.4970784"/>
    <n v="50.473784122340767"/>
    <n v="122977400000"/>
    <n v="0.1229774"/>
    <n v="19.126102357840384"/>
    <n v="466000000.00000012"/>
    <n v="466000.00000000012"/>
  </r>
  <r>
    <x v="0"/>
    <s v="Mass transport"/>
    <x v="0"/>
    <s v="Natural Gas"/>
    <n v="15950000"/>
    <n v="152.75616742928392"/>
    <n v="2436460870.4970784"/>
    <n v="1.75048163163395"/>
    <n v="4264980000"/>
    <n v="4.2649799999999998E-3"/>
    <n v="0.76340236878933709"/>
    <n v="18600000"/>
    <n v="18600"/>
  </r>
  <r>
    <x v="0"/>
    <s v="Mass transport"/>
    <x v="0"/>
    <s v="Electricity"/>
    <n v="15950000"/>
    <n v="152.75616742928392"/>
    <n v="2436460870.4970784"/>
    <n v="17.133778139225019"/>
    <n v="41745780000"/>
    <n v="4.1745780000000003E-2"/>
    <n v="2.6965341736268522"/>
    <n v="65700000"/>
    <n v="65700"/>
  </r>
  <r>
    <x v="0"/>
    <s v="Mass transport"/>
    <x v="1"/>
    <s v="Electricity"/>
    <n v="2900000"/>
    <n v="110.00202169312544"/>
    <n v="319005862.9100638"/>
    <n v="40.632983612763176"/>
    <n v="12962159999.999998"/>
    <n v="1.2962159999999999E-2"/>
    <n v="2.6965341736268522"/>
    <n v="8602102.1092430986"/>
    <n v="8602.1021092430983"/>
  </r>
  <r>
    <x v="0"/>
    <s v="Mass transport"/>
    <x v="2"/>
    <s v="Diesel"/>
    <n v="172452000"/>
    <n v="6.6727449788540394"/>
    <n v="1150728217.0933368"/>
    <n v="68.219011347692231"/>
    <n v="78501541300"/>
    <n v="7.8501541300000005E-2"/>
    <n v="19.126102357840384"/>
    <n v="220089456.66182333"/>
    <n v="220089.45666182332"/>
  </r>
  <r>
    <x v="0"/>
    <s v="Mass transport"/>
    <x v="2"/>
    <s v="Natural Gas"/>
    <n v="172452000"/>
    <n v="6.6727449788540394"/>
    <n v="1150728217.0933368"/>
    <n v="0.72492651836340405"/>
    <n v="834193400"/>
    <n v="8.3419340000000003E-4"/>
    <n v="0.76340236878933709"/>
    <n v="8784686.4676178396"/>
    <n v="8784.6864676178393"/>
  </r>
  <r>
    <x v="0"/>
    <s v="Mass transport"/>
    <x v="2"/>
    <s v="Electricity"/>
    <n v="172452000"/>
    <n v="6.6727449788540394"/>
    <n v="1150728217.0933368"/>
    <n v="3.7442789148625883"/>
    <n v="4308647400"/>
    <n v="4.3086473999999998E-3"/>
    <n v="2.6965341736268522"/>
    <n v="31029779.61948882"/>
    <n v="31029.779619488821"/>
  </r>
  <r>
    <x v="0"/>
    <s v="Mass transport"/>
    <x v="3"/>
    <s v="Diesel"/>
    <n v="61800000"/>
    <n v="26.812385848776703"/>
    <n v="1657005445.4544003"/>
    <n v="50.682170858509153"/>
    <n v="83980633099.999985"/>
    <n v="8.3980633099999979E-2"/>
    <n v="19.126102357840384"/>
    <n v="316920557.57259762"/>
    <n v="316920.55757259764"/>
  </r>
  <r>
    <x v="0"/>
    <s v="Mass transport"/>
    <x v="3"/>
    <s v="Natural Gas"/>
    <n v="61800000"/>
    <n v="26.812385848776703"/>
    <n v="1657005445.4544003"/>
    <n v="1.6398286483934044"/>
    <n v="2717205000"/>
    <n v="2.7172049999999999E-3"/>
    <n v="0.76340236878933709"/>
    <n v="12649618.821567198"/>
    <n v="12649.618821567199"/>
  </r>
  <r>
    <x v="0"/>
    <s v="Mass transport"/>
    <x v="3"/>
    <s v="Electricity"/>
    <n v="61800000"/>
    <n v="26.812385848776703"/>
    <n v="1657005445.4544003"/>
    <n v="2.4925084050447421"/>
    <n v="4130099999.9999995"/>
    <n v="4.1300999999999994E-3"/>
    <n v="2.6965341736268522"/>
    <n v="44681718.095535755"/>
    <n v="44681.718095535754"/>
  </r>
  <r>
    <x v="0"/>
    <s v="Single Vehicle transport"/>
    <x v="4"/>
    <s v="Diesel"/>
    <n v="10959399339"/>
    <n v="1.49"/>
    <n v="16329505015.110001"/>
    <n v="120.85393473053892"/>
    <n v="1973484933278.1121"/>
    <n v="1.9734849332781121"/>
    <n v="45.795352304107212"/>
    <n v="7478154351.1864805"/>
    <n v="7478154.3511864804"/>
  </r>
  <r>
    <x v="0"/>
    <s v="Single Vehicle transport"/>
    <x v="5"/>
    <s v="Petrol"/>
    <n v="20132966506"/>
    <n v="1.49"/>
    <n v="29998120093.939999"/>
    <n v="125.10660465842953"/>
    <n v="3752962951088.6426"/>
    <n v="3.7529629510886426"/>
    <n v="49.66518644637933"/>
    <n v="14898622275.064081"/>
    <n v="14898622.275064081"/>
  </r>
  <r>
    <x v="0"/>
    <s v="Single Vehicle transport"/>
    <x v="6"/>
    <s v="HYBRID "/>
    <n v="90235482"/>
    <n v="1.49"/>
    <n v="134450868.18000001"/>
    <n v="40.605035114210004"/>
    <n v="5459382223.5849209"/>
    <n v="5.459382223584921E-3"/>
    <n v="8.7152797353441525"/>
    <n v="11717769.26848582"/>
    <n v="11717.769268485819"/>
  </r>
  <r>
    <x v="0"/>
    <s v="Single Vehicle transport"/>
    <x v="7"/>
    <s v="PLUGIN "/>
    <n v="0"/>
    <n v="1.49"/>
    <n v="0"/>
    <n v="47.018244727103053"/>
    <n v="0"/>
    <n v="0"/>
    <n v="8.6870070274787903"/>
    <n v="0"/>
    <n v="0"/>
  </r>
  <r>
    <x v="0"/>
    <s v="Single Vehicle transport"/>
    <x v="8"/>
    <s v="Electric"/>
    <n v="606092"/>
    <n v="1.49"/>
    <n v="903077.08"/>
    <n v="64.819328859060406"/>
    <n v="58536850.233599998"/>
    <n v="5.85368502336E-5"/>
    <n v="10.201342281879194"/>
    <n v="92125.983999999982"/>
    <n v="92.125983999999988"/>
  </r>
  <r>
    <x v="1"/>
    <s v="Mass transport"/>
    <x v="0"/>
    <s v="Diesel"/>
    <n v="15960000"/>
    <n v="146.31341340955171"/>
    <n v="2335162078.0164452"/>
    <n v="52.923251522213896"/>
    <n v="123584370000"/>
    <n v="0.12358437"/>
    <n v="20.054282501786243"/>
    <n v="468300000"/>
    <n v="468300"/>
  </r>
  <r>
    <x v="1"/>
    <s v="Mass transport"/>
    <x v="0"/>
    <s v="Natural Gas"/>
    <n v="15960000"/>
    <n v="146.31341340955171"/>
    <n v="2335162078.0164452"/>
    <n v="1.0605002639061185"/>
    <n v="2476440000"/>
    <n v="2.4764399999999999E-3"/>
    <n v="0.46249466371832465"/>
    <n v="10800000"/>
    <n v="10800"/>
  </r>
  <r>
    <x v="1"/>
    <s v="Mass transport"/>
    <x v="0"/>
    <s v="Electricity"/>
    <n v="15960000"/>
    <n v="146.31341340955171"/>
    <n v="2335162078.0164452"/>
    <n v="14.747156235618467"/>
    <n v="34437000000"/>
    <n v="3.4437000000000002E-2"/>
    <n v="2.7835326983047319"/>
    <n v="65000000.000000007"/>
    <n v="65000.000000000007"/>
  </r>
  <r>
    <x v="1"/>
    <s v="Mass transport"/>
    <x v="1"/>
    <s v="Electricity"/>
    <n v="3690000"/>
    <n v="113.90370064788534"/>
    <n v="420304655.39069694"/>
    <n v="25.714490337856063"/>
    <n v="10807919999.999998"/>
    <n v="1.0807919999999999E-2"/>
    <n v="2.7835326983047319"/>
    <n v="11699317.515297072"/>
    <n v="11699.317515297073"/>
  </r>
  <r>
    <x v="1"/>
    <s v="Mass transport"/>
    <x v="2"/>
    <s v="Diesel"/>
    <n v="172452000"/>
    <n v="5.1493242273339748"/>
    <n v="888011261.65219867"/>
    <n v="86.093905676101173"/>
    <n v="76452357799.999985"/>
    <n v="7.6452357799999981E-2"/>
    <n v="20.054282501786243"/>
    <n v="178084287.05940816"/>
    <n v="178084.28705940815"/>
  </r>
  <r>
    <x v="1"/>
    <s v="Mass transport"/>
    <x v="2"/>
    <s v="Natural Gas"/>
    <n v="172452000"/>
    <n v="5.1493242273339748"/>
    <n v="888011261.65219867"/>
    <n v="0.88413653509216861"/>
    <n v="785123200.00000012"/>
    <n v="7.8512320000000016E-4"/>
    <n v="0.46249466371832465"/>
    <n v="4107004.6983591886"/>
    <n v="4107.0046983591883"/>
  </r>
  <r>
    <x v="1"/>
    <s v="Mass transport"/>
    <x v="2"/>
    <s v="Electricity"/>
    <n v="172452000"/>
    <n v="5.1493242273339748"/>
    <n v="888011261.65219867"/>
    <n v="3.8815710440280604"/>
    <n v="3446878800"/>
    <n v="3.4468787999999998E-3"/>
    <n v="2.7835326983047319"/>
    <n v="24718083.832717337"/>
    <n v="24718.083832717337"/>
  </r>
  <r>
    <x v="1"/>
    <s v="Mass transport"/>
    <x v="3"/>
    <s v="Diesel"/>
    <n v="60086140"/>
    <n v="20.801606473131102"/>
    <n v="1249888238.7694616"/>
    <n v="64.537342778275658"/>
    <n v="80664465700"/>
    <n v="8.0664465699999993E-2"/>
    <n v="20.054282501786243"/>
    <n v="250656118.35942841"/>
    <n v="250656.11835942839"/>
  </r>
  <r>
    <x v="1"/>
    <s v="Mass transport"/>
    <x v="3"/>
    <s v="Natural Gas"/>
    <n v="60086140"/>
    <n v="20.801606473131102"/>
    <n v="1249888238.7694616"/>
    <n v="1.6127652357018492"/>
    <n v="2015776300"/>
    <n v="2.0157763E-3"/>
    <n v="0.46249466371832465"/>
    <n v="5780666.4067517128"/>
    <n v="5780.6664067517131"/>
  </r>
  <r>
    <x v="1"/>
    <s v="Mass transport"/>
    <x v="3"/>
    <s v="Electricity"/>
    <n v="60086140"/>
    <n v="20.801606473131102"/>
    <n v="1249888238.7694616"/>
    <n v="2.7221438641183648"/>
    <n v="3402375599.9999995"/>
    <n v="3.4023755999999994E-3"/>
    <n v="2.7835326983047319"/>
    <n v="34791047.818413086"/>
    <n v="34791.047818413084"/>
  </r>
  <r>
    <x v="1"/>
    <s v="Single Vehicle transport"/>
    <x v="4"/>
    <s v="Diesel"/>
    <n v="12526350906"/>
    <n v="1.49"/>
    <n v="18664262849.939999"/>
    <n v="122.39199063795034"/>
    <n v="2284356283994.1006"/>
    <n v="2.2843562839941005"/>
    <n v="46.378170003012634"/>
    <n v="8656143554.3543034"/>
    <n v="8656143.5543543026"/>
  </r>
  <r>
    <x v="1"/>
    <s v="Single Vehicle transport"/>
    <x v="5"/>
    <s v="Petrol"/>
    <n v="18807795150"/>
    <n v="1.49"/>
    <n v="28023614773.5"/>
    <n v="124.96902487063288"/>
    <n v="3502083811594.5566"/>
    <n v="3.5020838115945567"/>
    <n v="49.610569619147626"/>
    <n v="13902674917.008957"/>
    <n v="13902674.917008957"/>
  </r>
  <r>
    <x v="1"/>
    <s v="Single Vehicle transport"/>
    <x v="6"/>
    <s v="HYBRID "/>
    <n v="101220024"/>
    <n v="1.49"/>
    <n v="150817835.75999999"/>
    <n v="35.49510644710535"/>
    <n v="5353295134.4232512"/>
    <n v="5.3532951344232513E-3"/>
    <n v="8.2871066386620882"/>
    <n v="12498434.879553445"/>
    <n v="12498.434879553444"/>
  </r>
  <r>
    <x v="1"/>
    <s v="Single Vehicle transport"/>
    <x v="7"/>
    <s v="PLUGIN "/>
    <n v="0"/>
    <n v="1.49"/>
    <n v="0"/>
    <n v="40.893284566123846"/>
    <n v="0"/>
    <n v="0"/>
    <n v="8.6870070274787903"/>
    <n v="0"/>
    <n v="0"/>
  </r>
  <r>
    <x v="1"/>
    <s v="Single Vehicle transport"/>
    <x v="8"/>
    <s v="Electric"/>
    <n v="1370622"/>
    <n v="1.49"/>
    <n v="2042226.78"/>
    <n v="54.046711409395968"/>
    <n v="110375641.41119999"/>
    <n v="1.1037564141119999E-4"/>
    <n v="10.201342281879194"/>
    <n v="208334.54399999999"/>
    <n v="208.33454399999999"/>
  </r>
  <r>
    <x v="2"/>
    <s v="Mass transport"/>
    <x v="0"/>
    <s v="Diesel"/>
    <n v="15960000"/>
    <n v="144.83799309799255"/>
    <n v="2311614369.8439612"/>
    <n v="51.989666428709903"/>
    <n v="120180059999.99998"/>
    <n v="0.12018005999999999"/>
    <n v="19.700517782762375"/>
    <n v="455400000"/>
    <n v="455400"/>
  </r>
  <r>
    <x v="2"/>
    <s v="Mass transport"/>
    <x v="0"/>
    <s v="Natural Gas"/>
    <n v="15960000"/>
    <n v="144.83799309799255"/>
    <n v="2311614369.8439612"/>
    <n v="1.0018669334350652"/>
    <n v="2315930000"/>
    <n v="2.3159299999999999E-3"/>
    <n v="0.43692408784782605"/>
    <n v="10100000"/>
    <n v="10100"/>
  </r>
  <r>
    <x v="2"/>
    <s v="Mass transport"/>
    <x v="0"/>
    <s v="Electricity"/>
    <n v="15960000"/>
    <n v="144.83799309799255"/>
    <n v="2311614369.8439612"/>
    <n v="12.96743106940602"/>
    <n v="29975700000"/>
    <n v="2.9975700000000001E-2"/>
    <n v="2.6518263945615583"/>
    <n v="61300000"/>
    <n v="61300"/>
  </r>
  <r>
    <x v="2"/>
    <s v="Mass transport"/>
    <x v="1"/>
    <s v="Electricity"/>
    <n v="3840000"/>
    <n v="115.58655301124502"/>
    <n v="443852363.56318086"/>
    <n v="24.237789146004257"/>
    <n v="10758000000"/>
    <n v="1.0758E-2"/>
    <n v="2.6518263945615583"/>
    <n v="11770194.129853759"/>
    <n v="11770.194129853759"/>
  </r>
  <r>
    <x v="2"/>
    <s v="Mass transport"/>
    <x v="2"/>
    <s v="Diesel"/>
    <n v="172452000"/>
    <n v="5.3520304264211696"/>
    <n v="922968351.09718359"/>
    <n v="83.424423934437286"/>
    <n v="76998103000"/>
    <n v="7.6998102999999998E-2"/>
    <n v="19.700517782762375"/>
    <n v="181829544.13716933"/>
    <n v="181829.54413716935"/>
  </r>
  <r>
    <x v="2"/>
    <s v="Mass transport"/>
    <x v="2"/>
    <s v="Natural Gas"/>
    <n v="172452000"/>
    <n v="5.3520304264211696"/>
    <n v="922968351.09718359"/>
    <n v="1.0046814702775888"/>
    <n v="927289200.00000024"/>
    <n v="9.2728920000000026E-4"/>
    <n v="0.43692408784782605"/>
    <n v="4032671.04915549"/>
    <n v="4032.67104915549"/>
  </r>
  <r>
    <x v="2"/>
    <s v="Mass transport"/>
    <x v="2"/>
    <s v="Electricity"/>
    <n v="172452000"/>
    <n v="5.3520304264211696"/>
    <n v="922968351.09718359"/>
    <n v="3.0686729362205134"/>
    <n v="2832288000"/>
    <n v="2.8322880000000001E-3"/>
    <n v="2.6518263945615583"/>
    <n v="24475518.347844709"/>
    <n v="24475.518347844707"/>
  </r>
  <r>
    <x v="2"/>
    <s v="Mass transport"/>
    <x v="3"/>
    <s v="Diesel"/>
    <n v="57372160"/>
    <n v="21.176318781173251"/>
    <n v="1214931149.3244767"/>
    <n v="61.855366324079135"/>
    <n v="75150011300"/>
    <n v="7.51500113E-2"/>
    <n v="19.700517782762375"/>
    <n v="239347727.12098786"/>
    <n v="239347.72712098787"/>
  </r>
  <r>
    <x v="2"/>
    <s v="Mass transport"/>
    <x v="3"/>
    <s v="Natural Gas"/>
    <n v="57372160"/>
    <n v="21.176318781173251"/>
    <n v="1214931149.3244767"/>
    <n v="1.6797412768079116"/>
    <n v="2040770000"/>
    <n v="2.0407699999999999E-3"/>
    <n v="0.43692408784782605"/>
    <n v="5308326.842165079"/>
    <n v="5308.3268421650791"/>
  </r>
  <r>
    <x v="2"/>
    <s v="Mass transport"/>
    <x v="3"/>
    <s v="Electricity"/>
    <n v="57372160"/>
    <n v="21.176318781173251"/>
    <n v="1214931149.3244767"/>
    <n v="2.3288183874231647"/>
    <n v="2829354000"/>
    <n v="2.8293540000000001E-3"/>
    <n v="2.6518263945615583"/>
    <n v="32217864.893536571"/>
    <n v="32217.864893536571"/>
  </r>
  <r>
    <x v="2"/>
    <s v="Single Vehicle transport"/>
    <x v="4"/>
    <s v="Diesel"/>
    <n v="13541022168"/>
    <n v="1.49"/>
    <n v="20176123030.32"/>
    <n v="122.69272369370873"/>
    <n v="2475463488169.3252"/>
    <n v="2.4754634881693254"/>
    <n v="46.492127204891524"/>
    <n v="9380308784.2717876"/>
    <n v="9380308.7842717879"/>
  </r>
  <r>
    <x v="2"/>
    <s v="Single Vehicle transport"/>
    <x v="5"/>
    <s v="Petrol"/>
    <n v="15857327208"/>
    <n v="1.49"/>
    <n v="23627417539.919998"/>
    <n v="124.8128556115047"/>
    <n v="2949005453882.7686"/>
    <n v="2.9490054538827684"/>
    <n v="49.548573089124531"/>
    <n v="11707048248.83989"/>
    <n v="11707048.248839889"/>
  </r>
  <r>
    <x v="2"/>
    <s v="Single Vehicle transport"/>
    <x v="6"/>
    <s v="HYBRID "/>
    <n v="132652109"/>
    <n v="1.49"/>
    <n v="197651642.41"/>
    <n v="33.832675268658178"/>
    <n v="6687083833.9744768"/>
    <n v="6.6870838339744771E-3"/>
    <n v="8.2215858561603525"/>
    <n v="16250099.476849196"/>
    <n v="16250.099476849196"/>
  </r>
  <r>
    <x v="2"/>
    <s v="Single Vehicle transport"/>
    <x v="7"/>
    <s v="PLUGIN "/>
    <n v="0"/>
    <n v="1.49"/>
    <n v="0"/>
    <n v="38.5314400990476"/>
    <n v="0"/>
    <n v="0"/>
    <n v="8.6870070274787903"/>
    <n v="0"/>
    <n v="0"/>
  </r>
  <r>
    <x v="2"/>
    <s v="Single Vehicle transport"/>
    <x v="8"/>
    <s v="Electric"/>
    <n v="4054688"/>
    <n v="1.49"/>
    <n v="6041485.1200000001"/>
    <n v="49.884563758389262"/>
    <n v="301376849.66400003"/>
    <n v="3.0137684966400003E-4"/>
    <n v="10.201342281879194"/>
    <n v="616312.576"/>
    <n v="616.31257600000004"/>
  </r>
  <r>
    <x v="3"/>
    <s v="Mass transport"/>
    <x v="0"/>
    <s v="Diesel"/>
    <n v="15970000"/>
    <n v="145.71693222096798"/>
    <n v="2327099407.5688586"/>
    <n v="51.144742512027058"/>
    <n v="119018899999.99998"/>
    <n v="0.11901889999999998"/>
    <n v="19.380349568786308"/>
    <n v="451000000"/>
    <n v="451000"/>
  </r>
  <r>
    <x v="3"/>
    <s v="Mass transport"/>
    <x v="0"/>
    <s v="Natural Gas"/>
    <n v="15970000"/>
    <n v="145.71693222096798"/>
    <n v="2327099407.5688586"/>
    <n v="1.0543210969071595"/>
    <n v="2453510000"/>
    <n v="2.4535099999999999E-3"/>
    <n v="0.45979986781821169"/>
    <n v="10699999.999999998"/>
    <n v="10699.999999999998"/>
  </r>
  <r>
    <x v="3"/>
    <s v="Mass transport"/>
    <x v="0"/>
    <s v="Electricity"/>
    <n v="15970000"/>
    <n v="145.71693222096798"/>
    <n v="2327099407.5688586"/>
    <n v="13.437328847360263"/>
    <n v="31270000000"/>
    <n v="3.1269999999999999E-2"/>
    <n v="2.5353450655396723"/>
    <n v="59000000.000000007"/>
    <n v="59000.000000000007"/>
  </r>
  <r>
    <x v="3"/>
    <s v="Mass transport"/>
    <x v="1"/>
    <s v="Electricity"/>
    <n v="3540000"/>
    <n v="121.00771916335691"/>
    <n v="428367325.83828348"/>
    <n v="25.487471479376428"/>
    <n v="10918000000"/>
    <n v="1.0918000000000001E-2"/>
    <n v="2.5353450655396723"/>
    <n v="10860589.858025169"/>
    <n v="10860.589858025169"/>
  </r>
  <r>
    <x v="3"/>
    <s v="Mass transport"/>
    <x v="2"/>
    <s v="Diesel"/>
    <n v="169432000"/>
    <n v="6.9853345908100248"/>
    <n v="1183539210.3901241"/>
    <n v="63.916313152873663"/>
    <n v="75647462800"/>
    <n v="7.5647462799999995E-2"/>
    <n v="19.380349568786308"/>
    <n v="229374036.25725928"/>
    <n v="229374.03625725929"/>
  </r>
  <r>
    <x v="3"/>
    <s v="Mass transport"/>
    <x v="2"/>
    <s v="Natural Gas"/>
    <n v="169432000"/>
    <n v="6.9853345908100248"/>
    <n v="1183539210.3901241"/>
    <n v="1.0733248115888532"/>
    <n v="1270322000"/>
    <n v="1.2703219999999999E-3"/>
    <n v="0.45979986781821169"/>
    <n v="5441911.724950497"/>
    <n v="5441.911724950497"/>
  </r>
  <r>
    <x v="3"/>
    <s v="Mass transport"/>
    <x v="2"/>
    <s v="Electricity"/>
    <n v="169432000"/>
    <n v="6.9853345908100248"/>
    <n v="1183539210.3901241"/>
    <n v="2.4934028159719892"/>
    <n v="2951040000"/>
    <n v="2.9510399999999998E-3"/>
    <n v="2.5353450655396723"/>
    <n v="30006802.969353214"/>
    <n v="30006.802969353215"/>
  </r>
  <r>
    <x v="3"/>
    <s v="Mass transport"/>
    <x v="3"/>
    <s v="Diesel"/>
    <n v="56000000"/>
    <n v="27.436462574030021"/>
    <n v="1536441904.1456811"/>
    <n v="47.815541415377957"/>
    <n v="73465801499.999985"/>
    <n v="7.3465801499999983E-2"/>
    <n v="19.380349568786308"/>
    <n v="297767811.94474965"/>
    <n v="297767.81194474967"/>
  </r>
  <r>
    <x v="3"/>
    <s v="Mass transport"/>
    <x v="3"/>
    <s v="Natural Gas"/>
    <n v="56000000"/>
    <n v="27.436462574030021"/>
    <n v="1536441904.1456811"/>
    <n v="1.3773444308502452"/>
    <n v="2116209700.0000002"/>
    <n v="2.1162097000000002E-3"/>
    <n v="0.45979986781821169"/>
    <n v="7064557.8443654571"/>
    <n v="7064.5578443654567"/>
  </r>
  <r>
    <x v="3"/>
    <s v="Mass transport"/>
    <x v="3"/>
    <s v="Electricity"/>
    <n v="56000000"/>
    <n v="27.436462574030021"/>
    <n v="1536441904.1456811"/>
    <n v="1.8730939271017992"/>
    <n v="2877900000"/>
    <n v="2.8779000000000001E-3"/>
    <n v="2.5353450655396723"/>
    <n v="38954104.001641303"/>
    <n v="38954.104001641303"/>
  </r>
  <r>
    <x v="3"/>
    <s v="Single Vehicle transport"/>
    <x v="4"/>
    <s v="Diesel"/>
    <n v="14752242235"/>
    <n v="1.49"/>
    <n v="21980840930.150002"/>
    <n v="121.88746457728054"/>
    <n v="2679188970252.4966"/>
    <n v="2.6791889702524965"/>
    <n v="46.186989229738742"/>
    <n v="10152288633.014385"/>
    <n v="10152288.633014385"/>
  </r>
  <r>
    <x v="3"/>
    <s v="Single Vehicle transport"/>
    <x v="5"/>
    <s v="Petrol"/>
    <n v="16948237773"/>
    <n v="1.49"/>
    <n v="25252874281.77"/>
    <n v="124.47143524167987"/>
    <n v="3143261505829.6177"/>
    <n v="3.1432615058296176"/>
    <n v="49.413035030440597"/>
    <n v="12478211615.044134"/>
    <n v="12478211.615044134"/>
  </r>
  <r>
    <x v="3"/>
    <s v="Single Vehicle transport"/>
    <x v="6"/>
    <s v="HYBRID "/>
    <n v="116713683"/>
    <n v="1.49"/>
    <n v="173903387.66999999"/>
    <n v="35.596139828196918"/>
    <n v="6190289304.0984554"/>
    <n v="6.1902893040984555E-3"/>
    <n v="8.0605402150429377"/>
    <n v="14017552.49846237"/>
    <n v="14017.55249846237"/>
  </r>
  <r>
    <x v="3"/>
    <s v="Single Vehicle transport"/>
    <x v="7"/>
    <s v="PLUGIN "/>
    <n v="0"/>
    <n v="1.49"/>
    <n v="0"/>
    <n v="41.447302670973215"/>
    <n v="0"/>
    <n v="0"/>
    <n v="8.6870070274787903"/>
    <n v="0"/>
    <n v="0"/>
  </r>
  <r>
    <x v="3"/>
    <s v="Single Vehicle transport"/>
    <x v="8"/>
    <s v="Electric"/>
    <n v="4105503"/>
    <n v="1.49"/>
    <n v="6117199.4699999997"/>
    <n v="54.067114093959731"/>
    <n v="330739321.68000001"/>
    <n v="3.3073932168E-4"/>
    <n v="10.201342281879194"/>
    <n v="624036.45599999989"/>
    <n v="624.03645599999993"/>
  </r>
  <r>
    <x v="4"/>
    <s v="Mass transport"/>
    <x v="0"/>
    <s v="Diesel"/>
    <n v="15965000"/>
    <n v="144.05021623343919"/>
    <n v="2299761702.1668568"/>
    <n v="47.61019800305202"/>
    <n v="109492110000"/>
    <n v="0.10949211"/>
    <n v="18.040999622225094"/>
    <n v="414900000"/>
    <n v="414900"/>
  </r>
  <r>
    <x v="4"/>
    <s v="Mass transport"/>
    <x v="0"/>
    <s v="Natural Gas"/>
    <n v="15965000"/>
    <n v="144.05021623343919"/>
    <n v="2299761702.1668568"/>
    <n v="0.8375302528888936"/>
    <n v="1926120000"/>
    <n v="1.9261199999999999E-3"/>
    <n v="0.36525523457867143"/>
    <n v="8400000"/>
    <n v="8400"/>
  </r>
  <r>
    <x v="4"/>
    <s v="Mass transport"/>
    <x v="0"/>
    <s v="Electricity"/>
    <n v="15965000"/>
    <n v="144.05021623343919"/>
    <n v="2299761702.1668568"/>
    <n v="11.498373929387846"/>
    <n v="26443520000"/>
    <n v="2.6443520000000002E-2"/>
    <n v="2.4611245568039055"/>
    <n v="56600000.000000007"/>
    <n v="56600.000000000007"/>
  </r>
  <r>
    <x v="4"/>
    <s v="Mass transport"/>
    <x v="1"/>
    <s v="Electricity"/>
    <n v="3667000"/>
    <n v="124.27189289345112"/>
    <n v="455705031.24028528"/>
    <n v="20.299446716273671"/>
    <n v="9250560000"/>
    <n v="9.2505599999999997E-3"/>
    <n v="2.4611245568039055"/>
    <n v="11215468.43044557"/>
    <n v="11215.468430445571"/>
  </r>
  <r>
    <x v="4"/>
    <s v="Mass transport"/>
    <x v="2"/>
    <s v="Diesel"/>
    <n v="163579000"/>
    <n v="7.9106874099897801"/>
    <n v="1294022335.8387182"/>
    <n v="58.448762285836402"/>
    <n v="75634003900"/>
    <n v="7.5634003899999996E-2"/>
    <n v="18.040999622225094"/>
    <n v="233454564.72017148"/>
    <n v="233454.56472017147"/>
  </r>
  <r>
    <x v="4"/>
    <s v="Mass transport"/>
    <x v="2"/>
    <s v="Natural Gas"/>
    <n v="163579000"/>
    <n v="7.9106874099897801"/>
    <n v="1294022335.8387182"/>
    <n v="0.86916312713490929"/>
    <n v="1124716500"/>
    <n v="1.1247165E-3"/>
    <n v="0.36525523457867143"/>
    <n v="4726484.3182681138"/>
    <n v="4726.4843182681134"/>
  </r>
  <r>
    <x v="4"/>
    <s v="Mass transport"/>
    <x v="2"/>
    <s v="Electricity"/>
    <n v="163579000"/>
    <n v="7.9106874099897801"/>
    <n v="1294022335.8387182"/>
    <n v="2.0987532632037125"/>
    <n v="2715833600"/>
    <n v="2.7158336000000002E-3"/>
    <n v="2.4611245568039055"/>
    <n v="31847501.4778542"/>
    <n v="31847.501477854199"/>
  </r>
  <r>
    <x v="4"/>
    <s v="Mass transport"/>
    <x v="3"/>
    <s v="Diesel"/>
    <n v="57000000"/>
    <n v="30.976642582870053"/>
    <n v="1765668627.223593"/>
    <n v="41.836000119769785"/>
    <n v="73868512899.999985"/>
    <n v="7.3868512899999988E-2"/>
    <n v="18.040999622225094"/>
    <n v="318544270.36715543"/>
    <n v="318544.27036715543"/>
  </r>
  <r>
    <x v="4"/>
    <s v="Mass transport"/>
    <x v="3"/>
    <s v="Natural Gas"/>
    <n v="57000000"/>
    <n v="30.976642582870053"/>
    <n v="1765668627.223593"/>
    <n v="1.1120409966662195"/>
    <n v="1963495900"/>
    <n v="1.9634958999999999E-3"/>
    <n v="0.36525523457867143"/>
    <n v="6449197.0862475419"/>
    <n v="6449.1970862475418"/>
  </r>
  <r>
    <x v="4"/>
    <s v="Mass transport"/>
    <x v="3"/>
    <s v="Electricity"/>
    <n v="57000000"/>
    <n v="30.976642582870053"/>
    <n v="1765668627.223593"/>
    <n v="1.3865161119442513"/>
    <n v="2448127999.9999995"/>
    <n v="2.4481279999999995E-3"/>
    <n v="2.4611245568039055"/>
    <n v="43455304.176382259"/>
    <n v="43455.304176382262"/>
  </r>
  <r>
    <x v="4"/>
    <s v="Single Vehicle transport"/>
    <x v="4"/>
    <s v="Diesel"/>
    <n v="16684732301"/>
    <n v="1.49"/>
    <n v="24860251128.490002"/>
    <n v="124.62883418383154"/>
    <n v="3098304115660.9912"/>
    <n v="3.0983041156609912"/>
    <n v="47.225780289439776"/>
    <n v="11740447577.34366"/>
    <n v="11740447.577343659"/>
  </r>
  <r>
    <x v="4"/>
    <s v="Single Vehicle transport"/>
    <x v="5"/>
    <s v="Petrol"/>
    <n v="15497223549"/>
    <n v="1.49"/>
    <n v="23090863088.009998"/>
    <n v="124.21712594344631"/>
    <n v="2868280648346.2134"/>
    <n v="2.8682806483462135"/>
    <n v="49.312078580169235"/>
    <n v="11386584550.798782"/>
    <n v="11386584.550798783"/>
  </r>
  <r>
    <x v="4"/>
    <s v="Single Vehicle transport"/>
    <x v="6"/>
    <s v="HYBRID "/>
    <n v="133293917"/>
    <n v="1.49"/>
    <n v="198607936.33000001"/>
    <n v="32.400166054997037"/>
    <n v="6434930116.9322796"/>
    <n v="6.43493011693228E-3"/>
    <n v="7.7160696654079333"/>
    <n v="15324726.728251833"/>
    <n v="15324.726728251833"/>
  </r>
  <r>
    <x v="4"/>
    <s v="Single Vehicle transport"/>
    <x v="7"/>
    <s v="PLUGIN "/>
    <n v="0"/>
    <n v="1.49"/>
    <n v="0"/>
    <n v="38.009769269744481"/>
    <n v="0"/>
    <n v="0"/>
    <n v="8.6870070274787903"/>
    <n v="0"/>
    <n v="0"/>
  </r>
  <r>
    <x v="4"/>
    <s v="Single Vehicle transport"/>
    <x v="8"/>
    <s v="Electric"/>
    <n v="7825666"/>
    <n v="1.49"/>
    <n v="11660242.34"/>
    <n v="47.660671140939591"/>
    <n v="555734975.59039998"/>
    <n v="5.5573497559040003E-4"/>
    <n v="10.201342281879194"/>
    <n v="1189501.2319999998"/>
    <n v="1189.5012319999998"/>
  </r>
  <r>
    <x v="5"/>
    <s v="Mass transport"/>
    <x v="0"/>
    <s v="Diesel"/>
    <n v="15965000"/>
    <n v="143.80201686214838"/>
    <n v="2295799199.2041988"/>
    <n v="47.094637038586804"/>
    <n v="108119829999.99998"/>
    <n v="0.10811982999999999"/>
    <n v="17.845637377259116"/>
    <n v="409700000"/>
    <n v="409700"/>
  </r>
  <r>
    <x v="5"/>
    <s v="Mass transport"/>
    <x v="0"/>
    <s v="Natural Gas"/>
    <n v="15965000"/>
    <n v="143.80201686214838"/>
    <n v="2295799199.2041988"/>
    <n v="0.79902458396007148"/>
    <n v="1834400000.0000002"/>
    <n v="1.8344000000000001E-3"/>
    <n v="0.34846253116444459"/>
    <n v="8000000.0000000009"/>
    <n v="8000.0000000000009"/>
  </r>
  <r>
    <x v="5"/>
    <s v="Mass transport"/>
    <x v="0"/>
    <s v="Electricity"/>
    <n v="15965000"/>
    <n v="143.80201686214838"/>
    <n v="2295799199.2041988"/>
    <n v="11.35744498431669"/>
    <n v="26074413100"/>
    <n v="2.6074413099999999E-2"/>
    <n v="2.4966904779768497"/>
    <n v="57319000"/>
    <n v="57319"/>
  </r>
  <r>
    <x v="5"/>
    <s v="Mass transport"/>
    <x v="1"/>
    <s v="Electricity"/>
    <n v="3664000"/>
    <n v="125.4551130466549"/>
    <n v="459667534.20294356"/>
    <n v="20.782194279969286"/>
    <n v="9552900000"/>
    <n v="9.5528999999999996E-3"/>
    <n v="2.4966904779768497"/>
    <n v="11476475.556795871"/>
    <n v="11476.475556795871"/>
  </r>
  <r>
    <x v="5"/>
    <s v="Mass transport"/>
    <x v="2"/>
    <s v="Diesel"/>
    <n v="163013000"/>
    <n v="7.8667650673985143"/>
    <n v="1282384973.931834"/>
    <n v="58.954888927152005"/>
    <n v="75602863699.999985"/>
    <n v="7.5602863699999981E-2"/>
    <n v="17.845637377259116"/>
    <n v="228849772.22833392"/>
    <n v="228849.77222833392"/>
  </r>
  <r>
    <x v="5"/>
    <s v="Mass transport"/>
    <x v="2"/>
    <s v="Natural Gas"/>
    <n v="163013000"/>
    <n v="7.8667650673985143"/>
    <n v="1282384973.931834"/>
    <n v="0.93623586084206534"/>
    <n v="1200614800"/>
    <n v="1.2006148000000001E-3"/>
    <n v="0.34846253116444459"/>
    <n v="4468631.1394353714"/>
    <n v="4468.6311394353716"/>
  </r>
  <r>
    <x v="5"/>
    <s v="Mass transport"/>
    <x v="2"/>
    <s v="Electricity"/>
    <n v="163013000"/>
    <n v="7.8667650673985143"/>
    <n v="1282384973.931834"/>
    <n v="2.0975165450924718"/>
    <n v="2689823700"/>
    <n v="2.6898236999999998E-3"/>
    <n v="2.4966904779768497"/>
    <n v="32017183.535162006"/>
    <n v="32017.183535162007"/>
  </r>
  <r>
    <x v="5"/>
    <s v="Mass transport"/>
    <x v="3"/>
    <s v="Diesel"/>
    <n v="57000000"/>
    <n v="31.180806826850482"/>
    <n v="1777305989.1304774"/>
    <n v="41.70104852696749"/>
    <n v="74115523300"/>
    <n v="7.41155233E-2"/>
    <n v="17.845637377259116"/>
    <n v="317171581.90453333"/>
    <n v="317171.58190453332"/>
  </r>
  <r>
    <x v="5"/>
    <s v="Mass transport"/>
    <x v="3"/>
    <s v="Natural Gas"/>
    <n v="57000000"/>
    <n v="31.180806826850482"/>
    <n v="1777305989.1304774"/>
    <n v="1.3556947507833512"/>
    <n v="2409484400"/>
    <n v="2.4094844000000001E-3"/>
    <n v="0.34846253116444459"/>
    <n v="6193245.4362613298"/>
    <n v="6193.2454362613298"/>
  </r>
  <r>
    <x v="5"/>
    <s v="Mass transport"/>
    <x v="3"/>
    <s v="Electricity"/>
    <n v="57000000"/>
    <n v="31.180806826850482"/>
    <n v="1777305989.1304774"/>
    <n v="1.3368225362040205"/>
    <n v="2375942700"/>
    <n v="2.3759427E-3"/>
    <n v="2.4966904779768497"/>
    <n v="44373829.395132892"/>
    <n v="44373.829395132889"/>
  </r>
  <r>
    <x v="5"/>
    <s v="Single Vehicle transport"/>
    <x v="4"/>
    <s v="Diesel"/>
    <n v="19198399205"/>
    <n v="1.49"/>
    <n v="28605614815.450001"/>
    <n v="125.18880280260738"/>
    <n v="3581102672178.7144"/>
    <n v="3.5811026721787145"/>
    <n v="47.437969989620079"/>
    <n v="13569922971.499487"/>
    <n v="13569922.971499488"/>
  </r>
  <r>
    <x v="5"/>
    <s v="Single Vehicle transport"/>
    <x v="5"/>
    <s v="Petrol"/>
    <n v="15142086282"/>
    <n v="1.49"/>
    <n v="22561708560.18"/>
    <n v="123.92482689257048"/>
    <n v="2795955827720.9321"/>
    <n v="2.795955827720932"/>
    <n v="49.196040846594073"/>
    <n v="11099467358.955664"/>
    <n v="11099467.358955665"/>
  </r>
  <r>
    <x v="5"/>
    <s v="Single Vehicle transport"/>
    <x v="6"/>
    <s v="HYBRID "/>
    <n v="162705393"/>
    <n v="1.49"/>
    <n v="242431035.56999999"/>
    <n v="30.543916912019906"/>
    <n v="7404793407.3450222"/>
    <n v="7.4047934073450221E-3"/>
    <n v="7.3005279624219339"/>
    <n v="17698745.541376915"/>
    <n v="17698.745541376913"/>
  </r>
  <r>
    <x v="5"/>
    <s v="Single Vehicle transport"/>
    <x v="7"/>
    <s v="PLUGIN "/>
    <n v="12039"/>
    <n v="1.49"/>
    <n v="17938.11"/>
    <n v="37.392354332869573"/>
    <n v="670748.16518199106"/>
    <n v="6.7074816518199107E-7"/>
    <n v="8.6870070274787903"/>
    <n v="1558.2848762968756"/>
    <n v="1.5582848762968755"/>
  </r>
  <r>
    <x v="5"/>
    <s v="Single Vehicle transport"/>
    <x v="8"/>
    <s v="Electric"/>
    <n v="16281443"/>
    <n v="1.49"/>
    <n v="24259350.07"/>
    <n v="46.405906040268448"/>
    <n v="1125777119.9463999"/>
    <n v="1.1257771199463999E-3"/>
    <n v="10.201342281879194"/>
    <n v="2474779.3360000001"/>
    <n v="2474.7793360000001"/>
  </r>
  <r>
    <x v="6"/>
    <s v="Mass transport"/>
    <x v="0"/>
    <s v="Diesel"/>
    <n v="15960000"/>
    <n v="147.07685861733168"/>
    <n v="2347346663.5326138"/>
    <n v="48.230243005360435"/>
    <n v="113213100000"/>
    <n v="0.1132131"/>
    <n v="18.275954151330215"/>
    <n v="429000000"/>
    <n v="429000"/>
  </r>
  <r>
    <x v="6"/>
    <s v="Mass transport"/>
    <x v="0"/>
    <s v="Natural Gas"/>
    <n v="15960000"/>
    <n v="147.07685861733168"/>
    <n v="2347346663.5326138"/>
    <n v="0.84985742881189186"/>
    <n v="1994910000.0000002"/>
    <n v="1.9949100000000003E-3"/>
    <n v="0.37063123803396941"/>
    <n v="8700000.0000000019"/>
    <n v="8700.0000000000018"/>
  </r>
  <r>
    <x v="6"/>
    <s v="Mass transport"/>
    <x v="0"/>
    <s v="Electricity"/>
    <n v="15960000"/>
    <n v="147.07685861733168"/>
    <n v="2347346663.5326138"/>
    <n v="12.149982251483385"/>
    <n v="28520220299.999996"/>
    <n v="2.8520220299999996E-2"/>
    <n v="2.6134614436402206"/>
    <n v="61347000"/>
    <n v="61347"/>
  </r>
  <r>
    <x v="6"/>
    <s v="Mass transport"/>
    <x v="1"/>
    <s v="Electricity"/>
    <n v="3490000"/>
    <n v="116.93984810158405"/>
    <n v="408120069.87452835"/>
    <n v="23.921636598272382"/>
    <n v="9762900000"/>
    <n v="9.7628999999999997E-3"/>
    <n v="2.6134614436402206"/>
    <n v="10666060.669928325"/>
    <n v="10666.060669928325"/>
  </r>
  <r>
    <x v="6"/>
    <s v="Mass transport"/>
    <x v="2"/>
    <s v="Diesel"/>
    <n v="170602000"/>
    <n v="5.188060242389148"/>
    <n v="885093453.47207344"/>
    <n v="87.104341126428309"/>
    <n v="77095482099.999985"/>
    <n v="7.7095482099999987E-2"/>
    <n v="18.275954151330215"/>
    <n v="161759273.75298136"/>
    <n v="161759.27375298136"/>
  </r>
  <r>
    <x v="6"/>
    <s v="Mass transport"/>
    <x v="2"/>
    <s v="Natural Gas"/>
    <n v="170602000"/>
    <n v="5.188060242389148"/>
    <n v="885093453.47207344"/>
    <n v="1.3388669810530804"/>
    <n v="1185022400"/>
    <n v="1.1850223999999999E-3"/>
    <n v="0.37063123803396941"/>
    <n v="3280432.8243611609"/>
    <n v="3280.4328243611608"/>
  </r>
  <r>
    <x v="6"/>
    <s v="Mass transport"/>
    <x v="2"/>
    <s v="Electricity"/>
    <n v="170602000"/>
    <n v="5.188060242389148"/>
    <n v="885093453.47207344"/>
    <n v="2.9613892066626852"/>
    <n v="2621106200"/>
    <n v="2.6211061999999999E-3"/>
    <n v="2.6134614436402206"/>
    <n v="23131576.146676335"/>
    <n v="23131.576146676336"/>
  </r>
  <r>
    <x v="6"/>
    <s v="Mass transport"/>
    <x v="3"/>
    <s v="Diesel"/>
    <n v="57300000"/>
    <n v="20.246679681926519"/>
    <n v="1160134745.7743895"/>
    <n v="63.329781103106328"/>
    <n v="73471079500"/>
    <n v="7.3471079499999994E-2"/>
    <n v="18.275954151330215"/>
    <n v="212025694.23137879"/>
    <n v="212025.69423137879"/>
  </r>
  <r>
    <x v="6"/>
    <s v="Mass transport"/>
    <x v="3"/>
    <s v="Natural Gas"/>
    <n v="57300000"/>
    <n v="20.246679681926519"/>
    <n v="1160134745.7743895"/>
    <n v="2.2707945862284475"/>
    <n v="2634427700"/>
    <n v="2.6344277000000002E-3"/>
    <n v="0.37063123803396941"/>
    <n v="4299821.7711258633"/>
    <n v="4299.8217711258631"/>
  </r>
  <r>
    <x v="6"/>
    <s v="Mass transport"/>
    <x v="3"/>
    <s v="Electricity"/>
    <n v="57300000"/>
    <n v="20.246679681926519"/>
    <n v="1160134745.7743895"/>
    <n v="1.8489650515278557"/>
    <n v="2145048600"/>
    <n v="2.1450485999999999E-3"/>
    <n v="2.6134614436402206"/>
    <n v="30319674.275087163"/>
    <n v="30319.674275087164"/>
  </r>
  <r>
    <x v="6"/>
    <s v="Single Vehicle transport"/>
    <x v="4"/>
    <s v="Diesel"/>
    <n v="21618978317"/>
    <n v="1.49"/>
    <n v="32212277692.329998"/>
    <n v="123.90473187717517"/>
    <n v="3991253630621.2593"/>
    <n v="3.9912536306212592"/>
    <n v="46.951395178922006"/>
    <n v="15124113795.457596"/>
    <n v="15124113.795457596"/>
  </r>
  <r>
    <x v="6"/>
    <s v="Single Vehicle transport"/>
    <x v="5"/>
    <s v="Petrol"/>
    <n v="14318726283"/>
    <n v="1.49"/>
    <n v="21334902161.669998"/>
    <n v="122.33232964196444"/>
    <n v="2609948284120.4736"/>
    <n v="2.6099482841204735"/>
    <n v="48.563846622455117"/>
    <n v="10361049162.844278"/>
    <n v="10361049.162844278"/>
  </r>
  <r>
    <x v="6"/>
    <s v="Single Vehicle transport"/>
    <x v="6"/>
    <s v="HYBRID "/>
    <n v="202000218"/>
    <n v="1.49"/>
    <n v="300980324.81999999"/>
    <n v="31.665763212865645"/>
    <n v="9530771697.4815083"/>
    <n v="9.5307716974815087E-3"/>
    <n v="7.4683297454729649"/>
    <n v="22478203.126553208"/>
    <n v="22478.203126553206"/>
  </r>
  <r>
    <x v="6"/>
    <s v="Single Vehicle transport"/>
    <x v="7"/>
    <s v="PLUGIN "/>
    <n v="6601685"/>
    <n v="1.49"/>
    <n v="9836510.6500000004"/>
    <n v="38.072156931546218"/>
    <n v="374497177.12562573"/>
    <n v="3.7449717712562575E-4"/>
    <n v="8.6870070274787903"/>
    <n v="854498.37142419966"/>
    <n v="854.49837142419972"/>
  </r>
  <r>
    <x v="6"/>
    <s v="Single Vehicle transport"/>
    <x v="8"/>
    <s v="Electric"/>
    <n v="24853198"/>
    <n v="1.49"/>
    <n v="37031265.020000003"/>
    <n v="47.426040268456376"/>
    <n v="1756246266.0304"/>
    <n v="1.7562462660304001E-3"/>
    <n v="10.201342281879194"/>
    <n v="3777686.0960000004"/>
    <n v="3777.6860960000004"/>
  </r>
  <r>
    <x v="7"/>
    <s v="Mass transport"/>
    <x v="0"/>
    <s v="Diesel"/>
    <n v="15010000"/>
    <n v="152.75997651535548"/>
    <n v="2292927247.4954858"/>
    <n v="50.410757744823542"/>
    <n v="115588199999.99998"/>
    <n v="0.11558819999999999"/>
    <n v="19.102219683525405"/>
    <n v="438000000"/>
    <n v="438000"/>
  </r>
  <r>
    <x v="7"/>
    <s v="Mass transport"/>
    <x v="0"/>
    <s v="Natural Gas"/>
    <n v="15010000"/>
    <n v="152.75997651535548"/>
    <n v="2292927247.4954858"/>
    <n v="0.86002728702096887"/>
    <n v="1971980000.0000002"/>
    <n v="1.9719800000000003E-3"/>
    <n v="0.3750664138774395"/>
    <n v="8600000"/>
    <n v="8600"/>
  </r>
  <r>
    <x v="7"/>
    <s v="Mass transport"/>
    <x v="0"/>
    <s v="Electricity"/>
    <n v="15010000"/>
    <n v="152.75997651535548"/>
    <n v="2292927247.4954858"/>
    <n v="13.275635166030241"/>
    <n v="30440065599.999996"/>
    <n v="3.0440065599999996E-2"/>
    <n v="2.7634544475500089"/>
    <n v="63364000"/>
    <n v="63364"/>
  </r>
  <r>
    <x v="7"/>
    <s v="Mass transport"/>
    <x v="1"/>
    <s v="Electricity"/>
    <n v="3660000"/>
    <n v="126.37690871903175"/>
    <n v="462539485.9116562"/>
    <n v="21.810894652844528"/>
    <n v="10088400000"/>
    <n v="1.0088400000000001E-2"/>
    <n v="2.7634544475500089"/>
    <n v="12782067.99510061"/>
    <n v="12782.06799510061"/>
  </r>
  <r>
    <x v="7"/>
    <s v="Mass transport"/>
    <x v="2"/>
    <s v="Diesel"/>
    <n v="181752000"/>
    <n v="4.6761296124051848"/>
    <n v="849895909.31386709"/>
    <n v="83.975812352854561"/>
    <n v="71370699400"/>
    <n v="7.1370699400000001E-2"/>
    <n v="19.102219683525405"/>
    <n v="162348983.67843074"/>
    <n v="162348.98367843073"/>
  </r>
  <r>
    <x v="7"/>
    <s v="Mass transport"/>
    <x v="2"/>
    <s v="Natural Gas"/>
    <n v="181752000"/>
    <n v="4.6761296124051848"/>
    <n v="849895909.31386709"/>
    <n v="1.2486239648532043"/>
    <n v="1061200400"/>
    <n v="1.0612003999999999E-3"/>
    <n v="0.3750664138774395"/>
    <n v="3187674.1087545766"/>
    <n v="3187.6741087545765"/>
  </r>
  <r>
    <x v="7"/>
    <s v="Mass transport"/>
    <x v="2"/>
    <s v="Electricity"/>
    <n v="181752000"/>
    <n v="4.6761296124051848"/>
    <n v="849895909.31386709"/>
    <n v="2.7685733914163784"/>
    <n v="2352999200"/>
    <n v="2.3529991999999998E-3"/>
    <n v="2.7634544475500089"/>
    <n v="23486486.305479649"/>
    <n v="23486.486305479648"/>
  </r>
  <r>
    <x v="7"/>
    <s v="Mass transport"/>
    <x v="3"/>
    <s v="Diesel"/>
    <n v="58400000"/>
    <n v="20.468018663229376"/>
    <n v="1195332289.9325955"/>
    <n v="61.975195536780319"/>
    <n v="74080952399.999985"/>
    <n v="7.4080952399999983E-2"/>
    <n v="19.102219683525405"/>
    <n v="228334999.97103924"/>
    <n v="228334.99997103924"/>
  </r>
  <r>
    <x v="7"/>
    <s v="Mass transport"/>
    <x v="3"/>
    <s v="Natural Gas"/>
    <n v="58400000"/>
    <n v="20.468018663229376"/>
    <n v="1195332289.9325955"/>
    <n v="1.9177195490379191"/>
    <n v="2292312100"/>
    <n v="2.2923120999999999E-3"/>
    <n v="0.3750664138774395"/>
    <n v="4483289.9537692638"/>
    <n v="4483.2899537692638"/>
  </r>
  <r>
    <x v="7"/>
    <s v="Mass transport"/>
    <x v="3"/>
    <s v="Electricity"/>
    <n v="58400000"/>
    <n v="20.468018663229376"/>
    <n v="1195332289.9325955"/>
    <n v="1.8153670057071443"/>
    <n v="2169966800"/>
    <n v="2.1699668E-3"/>
    <n v="2.7634544475500089"/>
    <n v="33032463.329143677"/>
    <n v="33032.463329143677"/>
  </r>
  <r>
    <x v="7"/>
    <s v="Single Vehicle transport"/>
    <x v="4"/>
    <s v="Diesel"/>
    <n v="23766498565"/>
    <n v="1.49"/>
    <n v="35412082861.849998"/>
    <n v="122.39013937994162"/>
    <n v="4334089757195.8633"/>
    <n v="4.334089757195863"/>
    <n v="46.377468503198799"/>
    <n v="16423227575.581142"/>
    <n v="16423227.575581143"/>
  </r>
  <r>
    <x v="7"/>
    <s v="Single Vehicle transport"/>
    <x v="5"/>
    <s v="Petrol"/>
    <n v="13271978988"/>
    <n v="1.49"/>
    <n v="19775248692.119999"/>
    <n v="121.60262138145234"/>
    <n v="2404722079431.9287"/>
    <n v="2.4047220794319286"/>
    <n v="48.274164899345905"/>
    <n v="9546336162.8897514"/>
    <n v="9546336.1628897507"/>
  </r>
  <r>
    <x v="7"/>
    <s v="Single Vehicle transport"/>
    <x v="6"/>
    <s v="HYBRID "/>
    <n v="298864147"/>
    <n v="1.49"/>
    <n v="445307579.02999997"/>
    <n v="32.298246434342154"/>
    <n v="14382653926.591234"/>
    <n v="1.4382653926591235E-2"/>
    <n v="7.4683297454729649"/>
    <n v="33257038.383543018"/>
    <n v="33257.038383543018"/>
  </r>
  <r>
    <x v="7"/>
    <s v="Single Vehicle transport"/>
    <x v="7"/>
    <s v="PLUGIN "/>
    <n v="12692006"/>
    <n v="1.49"/>
    <n v="18911088.940000001"/>
    <n v="39.020881763760983"/>
    <n v="737927365.5517081"/>
    <n v="7.3792736555170814E-4"/>
    <n v="8.6870070274787903"/>
    <n v="1642807.6251905644"/>
    <n v="1642.8076251905645"/>
  </r>
  <r>
    <x v="7"/>
    <s v="Single Vehicle transport"/>
    <x v="8"/>
    <s v="Electric"/>
    <n v="39747301"/>
    <n v="1.49"/>
    <n v="59223478.490000002"/>
    <n v="49.007248322147646"/>
    <n v="2902379716.8607998"/>
    <n v="2.9023797168608E-3"/>
    <n v="10.201342281879194"/>
    <n v="6041589.7520000003"/>
    <n v="6041.5897520000008"/>
  </r>
  <r>
    <x v="8"/>
    <s v="Mass transport"/>
    <x v="0"/>
    <s v="Diesel"/>
    <n v="16200000"/>
    <n v="139.51276648367187"/>
    <n v="2260106817.0354843"/>
    <n v="52.01853696198738"/>
    <n v="117567449999.99998"/>
    <n v="0.11756744999999999"/>
    <n v="19.711457734743227"/>
    <n v="445499999.99999994"/>
    <n v="445499.99999999994"/>
  </r>
  <r>
    <x v="8"/>
    <s v="Mass transport"/>
    <x v="0"/>
    <s v="Natural Gas"/>
    <n v="16200000"/>
    <n v="139.51276648367187"/>
    <n v="2260106817.0354843"/>
    <n v="0.91309843607608543"/>
    <n v="2063700000"/>
    <n v="2.0636999999999999E-3"/>
    <n v="0.39821126736855011"/>
    <n v="9000000"/>
    <n v="9000"/>
  </r>
  <r>
    <x v="8"/>
    <s v="Mass transport"/>
    <x v="0"/>
    <s v="Electricity"/>
    <n v="16200000"/>
    <n v="139.51276648367187"/>
    <n v="2260106817.0354843"/>
    <n v="12.208768095391653"/>
    <n v="27593120000"/>
    <n v="2.7593119999999999E-2"/>
    <n v="2.7963280108547073"/>
    <n v="63200000"/>
    <n v="63200"/>
  </r>
  <r>
    <x v="8"/>
    <s v="Mass transport"/>
    <x v="1"/>
    <s v="Electricity"/>
    <n v="4070000"/>
    <n v="121.71005316256945"/>
    <n v="495359916.37165767"/>
    <n v="18.508966303040559"/>
    <n v="9168600000.0000019"/>
    <n v="9.1686000000000024E-3"/>
    <n v="2.7963280108547073"/>
    <n v="13851888.096047115"/>
    <n v="13851.888096047114"/>
  </r>
  <r>
    <x v="8"/>
    <s v="Mass transport"/>
    <x v="2"/>
    <s v="Diesel"/>
    <n v="194179000"/>
    <n v="8.6520989286054881"/>
    <n v="1680055917.8576851"/>
    <n v="45.485263965168343"/>
    <n v="76417786899.999985"/>
    <n v="7.6417786899999979E-2"/>
    <n v="19.711457734743227"/>
    <n v="331163512.16856998"/>
    <n v="331163.51216856996"/>
  </r>
  <r>
    <x v="8"/>
    <s v="Mass transport"/>
    <x v="2"/>
    <s v="Natural Gas"/>
    <n v="194179000"/>
    <n v="8.6520989286054881"/>
    <n v="1680055917.8576851"/>
    <n v="0.98895982112230141"/>
    <n v="1661507800.0000002"/>
    <n v="1.6615078000000003E-3"/>
    <n v="0.39821126736855011"/>
    <n v="6690171.9630014142"/>
    <n v="6690.171963001414"/>
  </r>
  <r>
    <x v="8"/>
    <s v="Mass transport"/>
    <x v="2"/>
    <s v="Electricity"/>
    <n v="194179000"/>
    <n v="8.6520989286054881"/>
    <n v="1680055917.8576851"/>
    <n v="1.331585678917566"/>
    <n v="2237138400"/>
    <n v="2.2371384000000002E-3"/>
    <n v="2.7963280108547073"/>
    <n v="46979874.229076602"/>
    <n v="46979.874229076602"/>
  </r>
  <r>
    <x v="8"/>
    <s v="Mass transport"/>
    <x v="3"/>
    <s v="Diesel"/>
    <n v="57100000"/>
    <n v="34.372764084025889"/>
    <n v="1962684829.1978781"/>
    <n v="35.980065545653808"/>
    <n v="70617528800"/>
    <n v="7.0617528799999996E-2"/>
    <n v="19.711457734743227"/>
    <n v="386873790.57355708"/>
    <n v="386873.79057355708"/>
  </r>
  <r>
    <x v="8"/>
    <s v="Mass transport"/>
    <x v="3"/>
    <s v="Natural Gas"/>
    <n v="57100000"/>
    <n v="34.372764084025889"/>
    <n v="1962684829.1978781"/>
    <n v="1.2980954772250575"/>
    <n v="2547752300"/>
    <n v="2.5477523E-3"/>
    <n v="0.39821126736855011"/>
    <n v="7815632.1327991327"/>
    <n v="7815.6321327991327"/>
  </r>
  <r>
    <x v="8"/>
    <s v="Mass transport"/>
    <x v="3"/>
    <s v="Electricity"/>
    <n v="57100000"/>
    <n v="34.372764084025889"/>
    <n v="1962684829.1978781"/>
    <n v="0.99146137528116174"/>
    <n v="1945926200.0000002"/>
    <n v="1.9459262000000002E-3"/>
    <n v="2.7963280108547073"/>
    <n v="54883105.643656127"/>
    <n v="54883.105643656127"/>
  </r>
  <r>
    <x v="8"/>
    <s v="Single Vehicle transport"/>
    <x v="4"/>
    <s v="Diesel"/>
    <n v="23972319492"/>
    <n v="1.49"/>
    <n v="35718756043.080002"/>
    <n v="120.42919485982483"/>
    <n v="4301581031662.6274"/>
    <n v="4.3015810316626277"/>
    <n v="45.634405024564167"/>
    <n v="16300041802.435118"/>
    <n v="16300041.802435117"/>
  </r>
  <r>
    <x v="8"/>
    <s v="Single Vehicle transport"/>
    <x v="5"/>
    <s v="Petrol"/>
    <n v="11710674441"/>
    <n v="1.49"/>
    <n v="17448904917.09"/>
    <n v="120.6687305107329"/>
    <n v="2105537205147.7354"/>
    <n v="2.1055372051477352"/>
    <n v="47.903426165435846"/>
    <n v="8358623283.6353121"/>
    <n v="8358623.2836353118"/>
  </r>
  <r>
    <x v="8"/>
    <s v="Single Vehicle transport"/>
    <x v="6"/>
    <s v="HYBRID "/>
    <n v="412781948"/>
    <n v="1.49"/>
    <n v="615045102.51999998"/>
    <n v="30.510971266556925"/>
    <n v="18765623450.624279"/>
    <n v="1.876562345062428E-2"/>
    <n v="7.4683297454729676"/>
    <n v="45933596.339575864"/>
    <n v="45933.596339575866"/>
  </r>
  <r>
    <x v="8"/>
    <s v="Single Vehicle transport"/>
    <x v="7"/>
    <s v="PLUGIN "/>
    <n v="37824250"/>
    <n v="1.49"/>
    <n v="56358132.5"/>
    <n v="36.339969012083131"/>
    <n v="2048052788.6288753"/>
    <n v="2.0480527886288752E-3"/>
    <n v="8.6870070274787903"/>
    <n v="4895834.9308308084"/>
    <n v="4895.8349308308079"/>
  </r>
  <r>
    <x v="8"/>
    <s v="Single Vehicle transport"/>
    <x v="8"/>
    <s v="Electric"/>
    <n v="61724141"/>
    <n v="1.49"/>
    <n v="91968970.090000004"/>
    <n v="44.539060402684569"/>
    <n v="4096211514.0112009"/>
    <n v="4.0962115140112006E-3"/>
    <n v="10.201342281879194"/>
    <n v="9382069.432"/>
    <n v="9382.069432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FB450-EBA6-4F38-B5FC-661518C992B1}" name="PKM_by_distance" cacheId="4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94:G101" firstHeaderRow="1" firstDataRow="2" firstDataCol="1"/>
  <pivotFields count="13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Passenger Kilometres by trip distance" fld="12" baseField="0" baseItem="0" numFmtId="165"/>
  </dataFields>
  <formats count="9">
    <format dxfId="752">
      <pivotArea type="all" dataOnly="0" outline="0" fieldPosition="0"/>
    </format>
    <format dxfId="751">
      <pivotArea outline="0" collapsedLevelsAreSubtotals="1" fieldPosition="0"/>
    </format>
    <format dxfId="750">
      <pivotArea type="origin" dataOnly="0" labelOnly="1" outline="0" fieldPosition="0"/>
    </format>
    <format dxfId="749">
      <pivotArea field="0" type="button" dataOnly="0" labelOnly="1" outline="0" axis="axisCol" fieldPosition="0"/>
    </format>
    <format dxfId="748">
      <pivotArea type="topRight" dataOnly="0" labelOnly="1" outline="0" fieldPosition="0"/>
    </format>
    <format dxfId="747">
      <pivotArea field="3" type="button" dataOnly="0" labelOnly="1" outline="0" axis="axisRow" fieldPosition="0"/>
    </format>
    <format dxfId="746">
      <pivotArea dataOnly="0" labelOnly="1" fieldPosition="0">
        <references count="1">
          <reference field="3" count="0"/>
        </references>
      </pivotArea>
    </format>
    <format dxfId="745">
      <pivotArea dataOnly="0" labelOnly="1" grandRow="1" outline="0" fieldPosition="0"/>
    </format>
    <format dxfId="744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DB04F-BF24-4BFF-9159-5AD43D2FE9F7}" name="PKM_by_purpose" cacheId="4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57:G68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 by trip purpose" fld="12" baseField="0" baseItem="0" numFmtId="165"/>
  </dataFields>
  <formats count="1">
    <format dxfId="7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A424F-81BC-41D8-AEFB-35AA0CD54FB2}" name="PKM_by_mode" cacheId="4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22:G32" firstHeaderRow="1" firstDataRow="2" firstDataCol="1"/>
  <pivotFields count="14">
    <pivotField axis="axisCol" showAll="0" sortType="ascending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 by Mode" fld="12" baseField="0" baseItem="0"/>
  </dataFields>
  <formats count="3">
    <format dxfId="756">
      <pivotArea dataOnly="0" labelOnly="1" fieldPosition="0">
        <references count="1">
          <reference field="0" count="0"/>
        </references>
      </pivotArea>
    </format>
    <format dxfId="755">
      <pivotArea collapsedLevelsAreSubtotals="1" fieldPosition="0">
        <references count="1">
          <reference field="2" count="0"/>
        </references>
      </pivotArea>
    </format>
    <format dxfId="75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B060D-AF72-4666-9A74-896CEDE009B2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9:B300" firstHeaderRow="1" firstDataRow="1" firstDataCol="1"/>
  <pivotFields count="14">
    <pivotField axis="axisRow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axis="axisRow" showAll="0">
      <items count="10">
        <item h="1" x="7"/>
        <item h="1" x="1"/>
        <item h="1" x="5"/>
        <item h="1" x="8"/>
        <item h="1" x="6"/>
        <item h="1" x="2"/>
        <item h="1" x="3"/>
        <item h="1" x="4"/>
        <item x="0"/>
        <item t="default"/>
      </items>
    </pivotField>
    <pivotField showAll="0"/>
    <pivotField numFmtId="165" showAll="0"/>
    <pivotField showAll="0"/>
    <pivotField numFmtId="165" showAll="0">
      <items count="424">
        <item x="54"/>
        <item x="193"/>
        <item x="121"/>
        <item x="197"/>
        <item x="265"/>
        <item x="125"/>
        <item x="85"/>
        <item x="175"/>
        <item x="269"/>
        <item x="88"/>
        <item x="301"/>
        <item x="157"/>
        <item x="21"/>
        <item x="341"/>
        <item x="304"/>
        <item x="103"/>
        <item x="178"/>
        <item x="337"/>
        <item x="229"/>
        <item x="247"/>
        <item x="160"/>
        <item x="24"/>
        <item x="232"/>
        <item x="250"/>
        <item x="106"/>
        <item x="90"/>
        <item x="306"/>
        <item x="39"/>
        <item x="319"/>
        <item x="389"/>
        <item x="409"/>
        <item x="322"/>
        <item x="86"/>
        <item x="340"/>
        <item x="180"/>
        <item x="302"/>
        <item x="414"/>
        <item x="42"/>
        <item x="162"/>
        <item x="26"/>
        <item x="270"/>
        <item x="83"/>
        <item x="394"/>
        <item x="89"/>
        <item x="305"/>
        <item x="108"/>
        <item x="176"/>
        <item x="342"/>
        <item x="371"/>
        <item x="413"/>
        <item x="158"/>
        <item x="22"/>
        <item x="324"/>
        <item x="195"/>
        <item x="173"/>
        <item x="179"/>
        <item x="272"/>
        <item x="104"/>
        <item x="412"/>
        <item x="155"/>
        <item x="19"/>
        <item x="161"/>
        <item x="25"/>
        <item x="267"/>
        <item x="234"/>
        <item x="391"/>
        <item x="252"/>
        <item x="376"/>
        <item x="123"/>
        <item x="299"/>
        <item x="44"/>
        <item x="338"/>
        <item x="101"/>
        <item x="107"/>
        <item x="268"/>
        <item x="320"/>
        <item x="411"/>
        <item x="396"/>
        <item x="198"/>
        <item x="323"/>
        <item x="40"/>
        <item x="196"/>
        <item x="373"/>
        <item x="233"/>
        <item x="194"/>
        <item x="251"/>
        <item x="126"/>
        <item x="230"/>
        <item x="248"/>
        <item x="392"/>
        <item x="339"/>
        <item x="37"/>
        <item x="43"/>
        <item x="124"/>
        <item x="266"/>
        <item x="227"/>
        <item x="378"/>
        <item x="245"/>
        <item x="122"/>
        <item x="263"/>
        <item x="410"/>
        <item x="317"/>
        <item x="82"/>
        <item x="191"/>
        <item x="393"/>
        <item x="87"/>
        <item x="374"/>
        <item x="119"/>
        <item x="172"/>
        <item x="303"/>
        <item x="298"/>
        <item x="154"/>
        <item x="18"/>
        <item x="177"/>
        <item x="84"/>
        <item x="100"/>
        <item x="375"/>
        <item x="159"/>
        <item x="23"/>
        <item x="226"/>
        <item x="244"/>
        <item x="407"/>
        <item x="335"/>
        <item x="192"/>
        <item x="105"/>
        <item x="231"/>
        <item x="249"/>
        <item x="300"/>
        <item x="174"/>
        <item x="395"/>
        <item x="112"/>
        <item x="94"/>
        <item x="184"/>
        <item x="120"/>
        <item x="156"/>
        <item x="20"/>
        <item x="336"/>
        <item x="321"/>
        <item x="36"/>
        <item x="316"/>
        <item x="102"/>
        <item x="41"/>
        <item x="264"/>
        <item x="262"/>
        <item x="166"/>
        <item x="377"/>
        <item x="48"/>
        <item x="116"/>
        <item x="30"/>
        <item x="98"/>
        <item x="188"/>
        <item x="388"/>
        <item x="228"/>
        <item x="246"/>
        <item x="190"/>
        <item x="128"/>
        <item x="318"/>
        <item x="38"/>
        <item x="344"/>
        <item x="118"/>
        <item x="390"/>
        <item x="420"/>
        <item x="314"/>
        <item x="200"/>
        <item x="332"/>
        <item x="170"/>
        <item x="52"/>
        <item x="256"/>
        <item x="34"/>
        <item x="370"/>
        <item x="334"/>
        <item x="310"/>
        <item x="328"/>
        <item x="238"/>
        <item x="372"/>
        <item x="260"/>
        <item x="408"/>
        <item x="148"/>
        <item x="76"/>
        <item x="220"/>
        <item x="242"/>
        <item x="313"/>
        <item x="331"/>
        <item x="347"/>
        <item x="56"/>
        <item x="130"/>
        <item x="12"/>
        <item x="406"/>
        <item x="382"/>
        <item x="292"/>
        <item x="315"/>
        <item x="333"/>
        <item x="202"/>
        <item x="400"/>
        <item x="387"/>
        <item x="417"/>
        <item x="274"/>
        <item x="405"/>
        <item x="386"/>
        <item x="311"/>
        <item x="346"/>
        <item x="329"/>
        <item x="134"/>
        <item x="114"/>
        <item x="404"/>
        <item x="96"/>
        <item x="186"/>
        <item x="419"/>
        <item x="261"/>
        <item x="385"/>
        <item x="278"/>
        <item x="290"/>
        <item x="206"/>
        <item x="403"/>
        <item x="279"/>
        <item x="243"/>
        <item x="350"/>
        <item x="135"/>
        <item x="384"/>
        <item x="168"/>
        <item x="117"/>
        <item x="312"/>
        <item x="50"/>
        <item x="330"/>
        <item x="99"/>
        <item x="189"/>
        <item x="32"/>
        <item x="277"/>
        <item x="58"/>
        <item x="115"/>
        <item x="131"/>
        <item x="258"/>
        <item x="402"/>
        <item x="97"/>
        <item x="187"/>
        <item x="132"/>
        <item x="207"/>
        <item x="218"/>
        <item x="113"/>
        <item x="259"/>
        <item x="297"/>
        <item x="95"/>
        <item x="185"/>
        <item x="362"/>
        <item x="153"/>
        <item x="81"/>
        <item x="203"/>
        <item x="240"/>
        <item x="146"/>
        <item x="74"/>
        <item x="204"/>
        <item x="275"/>
        <item x="241"/>
        <item x="351"/>
        <item x="171"/>
        <item x="53"/>
        <item x="35"/>
        <item x="383"/>
        <item x="110"/>
        <item x="169"/>
        <item x="51"/>
        <item x="92"/>
        <item x="182"/>
        <item x="133"/>
        <item x="33"/>
        <item x="17"/>
        <item x="10"/>
        <item x="401"/>
        <item x="167"/>
        <item x="62"/>
        <item x="49"/>
        <item x="129"/>
        <item x="31"/>
        <item x="257"/>
        <item x="205"/>
        <item x="348"/>
        <item x="369"/>
        <item x="349"/>
        <item x="254"/>
        <item x="225"/>
        <item x="308"/>
        <item x="326"/>
        <item x="201"/>
        <item x="421"/>
        <item x="364"/>
        <item x="276"/>
        <item x="164"/>
        <item x="239"/>
        <item x="46"/>
        <item x="28"/>
        <item x="418"/>
        <item x="416"/>
        <item x="422"/>
        <item x="63"/>
        <item x="236"/>
        <item x="223"/>
        <item x="295"/>
        <item x="380"/>
        <item x="273"/>
        <item x="111"/>
        <item x="59"/>
        <item x="309"/>
        <item x="327"/>
        <item x="93"/>
        <item x="183"/>
        <item x="60"/>
        <item x="398"/>
        <item x="345"/>
        <item x="151"/>
        <item x="79"/>
        <item x="294"/>
        <item x="67"/>
        <item x="165"/>
        <item x="47"/>
        <item x="150"/>
        <item x="78"/>
        <item x="61"/>
        <item x="29"/>
        <item x="15"/>
        <item x="211"/>
        <item x="139"/>
        <item x="3"/>
        <item x="57"/>
        <item x="222"/>
        <item x="293"/>
        <item x="109"/>
        <item x="14"/>
        <item x="91"/>
        <item x="181"/>
        <item x="367"/>
        <item x="307"/>
        <item x="325"/>
        <item x="255"/>
        <item x="253"/>
        <item x="149"/>
        <item x="77"/>
        <item x="237"/>
        <item x="235"/>
        <item x="221"/>
        <item x="163"/>
        <item x="45"/>
        <item x="283"/>
        <item x="27"/>
        <item x="13"/>
        <item x="353"/>
        <item x="381"/>
        <item x="366"/>
        <item x="399"/>
        <item x="224"/>
        <item x="296"/>
        <item x="152"/>
        <item x="80"/>
        <item x="365"/>
        <item x="281"/>
        <item x="360"/>
        <item x="379"/>
        <item x="72"/>
        <item x="209"/>
        <item x="65"/>
        <item x="355"/>
        <item x="397"/>
        <item x="16"/>
        <item x="144"/>
        <item x="291"/>
        <item x="8"/>
        <item x="137"/>
        <item x="1"/>
        <item x="147"/>
        <item x="75"/>
        <item x="127"/>
        <item x="145"/>
        <item x="73"/>
        <item x="415"/>
        <item x="288"/>
        <item x="219"/>
        <item x="271"/>
        <item x="217"/>
        <item x="199"/>
        <item x="11"/>
        <item x="289"/>
        <item x="9"/>
        <item x="216"/>
        <item x="214"/>
        <item x="363"/>
        <item x="361"/>
        <item x="343"/>
        <item x="368"/>
        <item x="70"/>
        <item x="358"/>
        <item x="142"/>
        <item x="6"/>
        <item x="286"/>
        <item x="69"/>
        <item x="55"/>
        <item x="141"/>
        <item x="5"/>
        <item x="213"/>
        <item x="285"/>
        <item x="357"/>
        <item x="68"/>
        <item x="284"/>
        <item x="140"/>
        <item x="4"/>
        <item x="212"/>
        <item x="356"/>
        <item x="215"/>
        <item x="71"/>
        <item x="143"/>
        <item x="7"/>
        <item x="287"/>
        <item x="66"/>
        <item x="64"/>
        <item x="354"/>
        <item x="352"/>
        <item x="138"/>
        <item x="2"/>
        <item x="359"/>
        <item x="136"/>
        <item x="210"/>
        <item x="0"/>
        <item x="208"/>
        <item x="282"/>
        <item x="280"/>
        <item t="default"/>
      </items>
    </pivotField>
    <pivotField showAll="0">
      <items count="11">
        <item x="0"/>
        <item x="1"/>
        <item x="2"/>
        <item x="3"/>
        <item x="9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numFmtId="165" showAll="0">
      <items count="2112">
        <item x="270"/>
        <item x="961"/>
        <item x="601"/>
        <item x="1321"/>
        <item x="981"/>
        <item x="621"/>
        <item x="421"/>
        <item x="1501"/>
        <item x="1341"/>
        <item x="1701"/>
        <item x="871"/>
        <item x="1516"/>
        <item x="781"/>
        <item x="436"/>
        <item x="1681"/>
        <item x="105"/>
        <item x="1141"/>
        <item x="886"/>
        <item x="1231"/>
        <item x="511"/>
        <item x="1156"/>
        <item x="1246"/>
        <item x="796"/>
        <item x="1526"/>
        <item x="1591"/>
        <item x="120"/>
        <item x="526"/>
        <item x="1606"/>
        <item x="1696"/>
        <item x="446"/>
        <item x="1506"/>
        <item x="962"/>
        <item x="195"/>
        <item x="896"/>
        <item x="1521"/>
        <item x="1346"/>
        <item x="426"/>
        <item x="1706"/>
        <item x="806"/>
        <item x="1941"/>
        <item x="876"/>
        <item x="2041"/>
        <item x="602"/>
        <item x="1616"/>
        <item x="210"/>
        <item x="130"/>
        <item x="411"/>
        <item x="441"/>
        <item x="536"/>
        <item x="1356"/>
        <item x="1322"/>
        <item x="786"/>
        <item x="982"/>
        <item x="2066"/>
        <item x="971"/>
        <item x="861"/>
        <item x="891"/>
        <item x="1331"/>
        <item x="1166"/>
        <item x="1256"/>
        <item x="1491"/>
        <item x="1966"/>
        <item x="1686"/>
        <item x="110"/>
        <item x="1596"/>
        <item x="771"/>
        <item x="801"/>
        <item x="516"/>
        <item x="1336"/>
        <item x="1851"/>
        <item x="2061"/>
        <item x="622"/>
        <item x="422"/>
        <item x="1611"/>
        <item x="963"/>
        <item x="95"/>
        <item x="125"/>
        <item x="1502"/>
        <item x="611"/>
        <item x="1342"/>
        <item x="501"/>
        <item x="531"/>
        <item x="220"/>
        <item x="2056"/>
        <item x="1702"/>
        <item x="986"/>
        <item x="872"/>
        <item x="1517"/>
        <item x="1951"/>
        <item x="1876"/>
        <item x="1161"/>
        <item x="976"/>
        <item x="1251"/>
        <item x="1146"/>
        <item x="1236"/>
        <item x="1691"/>
        <item x="782"/>
        <item x="437"/>
        <item x="966"/>
        <item x="603"/>
        <item x="200"/>
        <item x="1326"/>
        <item x="1682"/>
        <item x="1131"/>
        <item x="1221"/>
        <item x="2051"/>
        <item x="1976"/>
        <item x="106"/>
        <item x="1142"/>
        <item x="1323"/>
        <item x="887"/>
        <item x="1232"/>
        <item x="1581"/>
        <item x="626"/>
        <item x="1311"/>
        <item x="983"/>
        <item x="512"/>
        <item x="1157"/>
        <item x="1247"/>
        <item x="616"/>
        <item x="964"/>
        <item x="797"/>
        <item x="185"/>
        <item x="215"/>
        <item x="1527"/>
        <item x="1861"/>
        <item x="951"/>
        <item x="606"/>
        <item x="1592"/>
        <item x="1956"/>
        <item x="406"/>
        <item x="121"/>
        <item x="1511"/>
        <item x="1486"/>
        <item x="527"/>
        <item x="623"/>
        <item x="423"/>
        <item x="1607"/>
        <item x="1886"/>
        <item x="1503"/>
        <item x="1697"/>
        <item x="447"/>
        <item x="1343"/>
        <item x="604"/>
        <item x="431"/>
        <item x="856"/>
        <item x="1507"/>
        <item x="2046"/>
        <item x="1703"/>
        <item x="591"/>
        <item x="873"/>
        <item x="1518"/>
        <item x="1324"/>
        <item x="196"/>
        <item x="984"/>
        <item x="766"/>
        <item x="897"/>
        <item x="881"/>
        <item x="1522"/>
        <item x="1961"/>
        <item x="1347"/>
        <item x="1126"/>
        <item x="783"/>
        <item x="1216"/>
        <item x="1671"/>
        <item x="438"/>
        <item x="427"/>
        <item x="1707"/>
        <item x="1866"/>
        <item x="807"/>
        <item x="791"/>
        <item x="90"/>
        <item x="1683"/>
        <item x="416"/>
        <item x="1496"/>
        <item x="1942"/>
        <item x="1151"/>
        <item x="1241"/>
        <item x="496"/>
        <item x="107"/>
        <item x="1143"/>
        <item x="888"/>
        <item x="1233"/>
        <item x="877"/>
        <item x="956"/>
        <item x="2042"/>
        <item x="1617"/>
        <item x="513"/>
        <item x="211"/>
        <item x="1158"/>
        <item x="131"/>
        <item x="412"/>
        <item x="1248"/>
        <item x="442"/>
        <item x="624"/>
        <item x="424"/>
        <item x="115"/>
        <item x="866"/>
        <item x="537"/>
        <item x="1357"/>
        <item x="798"/>
        <item x="1504"/>
        <item x="1676"/>
        <item x="787"/>
        <item x="521"/>
        <item x="1344"/>
        <item x="1601"/>
        <item x="1576"/>
        <item x="1528"/>
        <item x="2067"/>
        <item x="916"/>
        <item x="972"/>
        <item x="862"/>
        <item x="1704"/>
        <item x="892"/>
        <item x="776"/>
        <item x="1871"/>
        <item x="874"/>
        <item x="1519"/>
        <item x="1332"/>
        <item x="1167"/>
        <item x="1257"/>
        <item x="556"/>
        <item x="1593"/>
        <item x="1492"/>
        <item x="1967"/>
        <item x="2031"/>
        <item x="466"/>
        <item x="1687"/>
        <item x="122"/>
        <item x="111"/>
        <item x="1597"/>
        <item x="596"/>
        <item x="528"/>
        <item x="772"/>
        <item x="802"/>
        <item x="517"/>
        <item x="784"/>
        <item x="1337"/>
        <item x="1608"/>
        <item x="439"/>
        <item x="1852"/>
        <item x="100"/>
        <item x="1698"/>
        <item x="2062"/>
        <item x="1316"/>
        <item x="448"/>
        <item x="1306"/>
        <item x="506"/>
        <item x="1508"/>
        <item x="1971"/>
        <item x="1684"/>
        <item x="1612"/>
        <item x="180"/>
        <item x="96"/>
        <item x="126"/>
        <item x="108"/>
        <item x="612"/>
        <item x="1144"/>
        <item x="889"/>
        <item x="1234"/>
        <item x="1136"/>
        <item x="197"/>
        <item x="1226"/>
        <item x="502"/>
        <item x="826"/>
        <item x="532"/>
        <item x="514"/>
        <item x="898"/>
        <item x="1159"/>
        <item x="1249"/>
        <item x="1586"/>
        <item x="221"/>
        <item x="2057"/>
        <item x="1523"/>
        <item x="987"/>
        <item x="1348"/>
        <item x="936"/>
        <item x="205"/>
        <item x="428"/>
        <item x="799"/>
        <item x="1708"/>
        <item x="1952"/>
        <item x="1877"/>
        <item x="808"/>
        <item x="1529"/>
        <item x="576"/>
        <item x="1716"/>
        <item x="1162"/>
        <item x="946"/>
        <item x="977"/>
        <item x="1252"/>
        <item x="1147"/>
        <item x="486"/>
        <item x="1237"/>
        <item x="1692"/>
        <item x="240"/>
        <item x="1943"/>
        <item x="150"/>
        <item x="1594"/>
        <item x="1566"/>
        <item x="878"/>
        <item x="1656"/>
        <item x="123"/>
        <item x="967"/>
        <item x="2043"/>
        <item x="1618"/>
        <item x="212"/>
        <item x="201"/>
        <item x="1327"/>
        <item x="132"/>
        <item x="413"/>
        <item x="636"/>
        <item x="443"/>
        <item x="529"/>
        <item x="1132"/>
        <item x="1881"/>
        <item x="1222"/>
        <item x="1609"/>
        <item x="2052"/>
        <item x="1977"/>
        <item x="538"/>
        <item x="1358"/>
        <item x="1276"/>
        <item x="788"/>
        <item x="1582"/>
        <item x="627"/>
        <item x="1699"/>
        <item x="449"/>
        <item x="1666"/>
        <item x="1312"/>
        <item x="190"/>
        <item x="996"/>
        <item x="1936"/>
        <item x="2068"/>
        <item x="1509"/>
        <item x="846"/>
        <item x="973"/>
        <item x="586"/>
        <item x="617"/>
        <item x="863"/>
        <item x="893"/>
        <item x="1333"/>
        <item x="1546"/>
        <item x="1168"/>
        <item x="1258"/>
        <item x="186"/>
        <item x="216"/>
        <item x="1636"/>
        <item x="198"/>
        <item x="1493"/>
        <item x="1968"/>
        <item x="1688"/>
        <item x="1862"/>
        <item x="112"/>
        <item x="899"/>
        <item x="952"/>
        <item x="1598"/>
        <item x="1186"/>
        <item x="607"/>
        <item x="773"/>
        <item x="1524"/>
        <item x="803"/>
        <item x="518"/>
        <item x="1349"/>
        <item x="1338"/>
        <item x="1853"/>
        <item x="429"/>
        <item x="260"/>
        <item x="1957"/>
        <item x="1709"/>
        <item x="407"/>
        <item x="2063"/>
        <item x="170"/>
        <item x="1512"/>
        <item x="809"/>
        <item x="1487"/>
        <item x="1946"/>
        <item x="2096"/>
        <item x="1613"/>
        <item x="1944"/>
        <item x="97"/>
        <item x="127"/>
        <item x="1887"/>
        <item x="613"/>
        <item x="879"/>
        <item x="1296"/>
        <item x="2044"/>
        <item x="1619"/>
        <item x="503"/>
        <item x="432"/>
        <item x="857"/>
        <item x="533"/>
        <item x="213"/>
        <item x="1846"/>
        <item x="133"/>
        <item x="414"/>
        <item x="444"/>
        <item x="2047"/>
        <item x="222"/>
        <item x="2058"/>
        <item x="988"/>
        <item x="592"/>
        <item x="539"/>
        <item x="1359"/>
        <item x="789"/>
        <item x="1096"/>
        <item x="767"/>
        <item x="1953"/>
        <item x="1878"/>
        <item x="1163"/>
        <item x="2069"/>
        <item x="978"/>
        <item x="1253"/>
        <item x="1561"/>
        <item x="882"/>
        <item x="1148"/>
        <item x="1238"/>
        <item x="1651"/>
        <item x="1693"/>
        <item x="1206"/>
        <item x="1962"/>
        <item x="974"/>
        <item x="1127"/>
        <item x="864"/>
        <item x="1217"/>
        <item x="894"/>
        <item x="1672"/>
        <item x="1334"/>
        <item x="1169"/>
        <item x="736"/>
        <item x="1259"/>
        <item x="1494"/>
        <item x="1867"/>
        <item x="1969"/>
        <item x="1731"/>
        <item x="1689"/>
        <item x="968"/>
        <item x="113"/>
        <item x="792"/>
        <item x="1599"/>
        <item x="1856"/>
        <item x="91"/>
        <item x="202"/>
        <item x="1328"/>
        <item x="417"/>
        <item x="1497"/>
        <item x="774"/>
        <item x="804"/>
        <item x="519"/>
        <item x="1133"/>
        <item x="1339"/>
        <item x="376"/>
        <item x="1152"/>
        <item x="1223"/>
        <item x="1242"/>
        <item x="497"/>
        <item x="1854"/>
        <item x="2053"/>
        <item x="1978"/>
        <item x="1583"/>
        <item x="628"/>
        <item x="2064"/>
        <item x="957"/>
        <item x="1456"/>
        <item x="1313"/>
        <item x="1571"/>
        <item x="1661"/>
        <item x="2036"/>
        <item x="1614"/>
        <item x="116"/>
        <item x="618"/>
        <item x="867"/>
        <item x="98"/>
        <item x="128"/>
        <item x="1677"/>
        <item x="614"/>
        <item x="522"/>
        <item x="187"/>
        <item x="217"/>
        <item x="1602"/>
        <item x="1577"/>
        <item x="504"/>
        <item x="534"/>
        <item x="1863"/>
        <item x="953"/>
        <item x="917"/>
        <item x="965"/>
        <item x="646"/>
        <item x="608"/>
        <item x="223"/>
        <item x="2059"/>
        <item x="989"/>
        <item x="777"/>
        <item x="1872"/>
        <item x="276"/>
        <item x="557"/>
        <item x="1958"/>
        <item x="408"/>
        <item x="1006"/>
        <item x="2032"/>
        <item x="1954"/>
        <item x="467"/>
        <item x="60"/>
        <item x="1879"/>
        <item x="1513"/>
        <item x="1488"/>
        <item x="1164"/>
        <item x="979"/>
        <item x="1366"/>
        <item x="1254"/>
        <item x="1149"/>
        <item x="597"/>
        <item x="1239"/>
        <item x="1694"/>
        <item x="605"/>
        <item x="101"/>
        <item x="1888"/>
        <item x="1317"/>
        <item x="1307"/>
        <item x="969"/>
        <item x="433"/>
        <item x="858"/>
        <item x="507"/>
        <item x="203"/>
        <item x="1329"/>
        <item x="1972"/>
        <item x="1551"/>
        <item x="2026"/>
        <item x="1726"/>
        <item x="2048"/>
        <item x="181"/>
        <item x="1906"/>
        <item x="1134"/>
        <item x="1224"/>
        <item x="1641"/>
        <item x="593"/>
        <item x="2054"/>
        <item x="1979"/>
        <item x="1584"/>
        <item x="629"/>
        <item x="1137"/>
        <item x="1314"/>
        <item x="1227"/>
        <item x="768"/>
        <item x="827"/>
        <item x="883"/>
        <item x="1996"/>
        <item x="1587"/>
        <item x="1963"/>
        <item x="1128"/>
        <item x="937"/>
        <item x="619"/>
        <item x="985"/>
        <item x="1301"/>
        <item x="1218"/>
        <item x="1931"/>
        <item x="1673"/>
        <item x="206"/>
        <item x="2081"/>
        <item x="188"/>
        <item x="218"/>
        <item x="1868"/>
        <item x="1446"/>
        <item x="926"/>
        <item x="577"/>
        <item x="1717"/>
        <item x="947"/>
        <item x="1864"/>
        <item x="954"/>
        <item x="1386"/>
        <item x="793"/>
        <item x="487"/>
        <item x="92"/>
        <item x="609"/>
        <item x="241"/>
        <item x="418"/>
        <item x="1498"/>
        <item x="666"/>
        <item x="2021"/>
        <item x="566"/>
        <item x="1153"/>
        <item x="1325"/>
        <item x="1243"/>
        <item x="151"/>
        <item x="498"/>
        <item x="625"/>
        <item x="425"/>
        <item x="476"/>
        <item x="1567"/>
        <item x="1746"/>
        <item x="1959"/>
        <item x="409"/>
        <item x="1391"/>
        <item x="958"/>
        <item x="1657"/>
        <item x="1211"/>
        <item x="1514"/>
        <item x="1489"/>
        <item x="1026"/>
        <item x="637"/>
        <item x="1926"/>
        <item x="1882"/>
        <item x="117"/>
        <item x="868"/>
        <item x="1556"/>
        <item x="1889"/>
        <item x="1277"/>
        <item x="1678"/>
        <item x="1646"/>
        <item x="523"/>
        <item x="1667"/>
        <item x="191"/>
        <item x="997"/>
        <item x="1603"/>
        <item x="1578"/>
        <item x="434"/>
        <item x="859"/>
        <item x="1937"/>
        <item x="918"/>
        <item x="2016"/>
        <item x="1381"/>
        <item x="847"/>
        <item x="2049"/>
        <item x="587"/>
        <item x="2091"/>
        <item x="594"/>
        <item x="778"/>
        <item x="1873"/>
        <item x="1547"/>
        <item x="1286"/>
        <item x="558"/>
        <item x="836"/>
        <item x="1637"/>
        <item x="1921"/>
        <item x="2033"/>
        <item x="769"/>
        <item x="468"/>
        <item x="440"/>
        <item x="941"/>
        <item x="875"/>
        <item x="671"/>
        <item x="1187"/>
        <item x="884"/>
        <item x="1481"/>
        <item x="1086"/>
        <item x="598"/>
        <item x="1964"/>
        <item x="1129"/>
        <item x="109"/>
        <item x="1219"/>
        <item x="1291"/>
        <item x="1674"/>
        <item x="581"/>
        <item x="1345"/>
        <item x="931"/>
        <item x="261"/>
        <item x="102"/>
        <item x="2011"/>
        <item x="491"/>
        <item x="1031"/>
        <item x="1869"/>
        <item x="1318"/>
        <item x="171"/>
        <item x="1308"/>
        <item x="1505"/>
        <item x="785"/>
        <item x="1947"/>
        <item x="1196"/>
        <item x="508"/>
        <item x="794"/>
        <item x="2097"/>
        <item x="250"/>
        <item x="93"/>
        <item x="571"/>
        <item x="651"/>
        <item x="1973"/>
        <item x="419"/>
        <item x="1499"/>
        <item x="160"/>
        <item x="182"/>
        <item x="286"/>
        <item x="481"/>
        <item x="515"/>
        <item x="1154"/>
        <item x="1244"/>
        <item x="921"/>
        <item x="499"/>
        <item x="656"/>
        <item x="1751"/>
        <item x="1705"/>
        <item x="1520"/>
        <item x="1371"/>
        <item x="761"/>
        <item x="1297"/>
        <item x="1138"/>
        <item x="959"/>
        <item x="1011"/>
        <item x="1201"/>
        <item x="1228"/>
        <item x="828"/>
        <item x="1916"/>
        <item x="726"/>
        <item x="561"/>
        <item x="1847"/>
        <item x="1016"/>
        <item x="471"/>
        <item x="890"/>
        <item x="1588"/>
        <item x="118"/>
        <item x="938"/>
        <item x="869"/>
        <item x="207"/>
        <item x="401"/>
        <item x="124"/>
        <item x="1679"/>
        <item x="1097"/>
        <item x="524"/>
        <item x="851"/>
        <item x="366"/>
        <item x="1604"/>
        <item x="2006"/>
        <item x="1579"/>
        <item x="578"/>
        <item x="1718"/>
        <item x="948"/>
        <item x="1562"/>
        <item x="919"/>
        <item x="800"/>
        <item x="488"/>
        <item x="1652"/>
        <item x="1207"/>
        <item x="242"/>
        <item x="779"/>
        <item x="1874"/>
        <item x="841"/>
        <item x="1145"/>
        <item x="1685"/>
        <item x="1235"/>
        <item x="737"/>
        <item x="152"/>
        <item x="906"/>
        <item x="559"/>
        <item x="530"/>
        <item x="1568"/>
        <item x="1732"/>
        <item x="2034"/>
        <item x="469"/>
        <item x="1658"/>
        <item x="1160"/>
        <item x="1250"/>
        <item x="1806"/>
        <item x="1736"/>
        <item x="1857"/>
        <item x="546"/>
        <item x="265"/>
        <item x="599"/>
        <item x="450"/>
        <item x="1281"/>
        <item x="638"/>
        <item x="831"/>
        <item x="1945"/>
        <item x="377"/>
        <item x="1883"/>
        <item x="456"/>
        <item x="175"/>
        <item x="1741"/>
        <item x="661"/>
        <item x="199"/>
        <item x="103"/>
        <item x="1278"/>
        <item x="1536"/>
        <item x="1319"/>
        <item x="1457"/>
        <item x="2045"/>
        <item x="255"/>
        <item x="1668"/>
        <item x="1309"/>
        <item x="192"/>
        <item x="1266"/>
        <item x="998"/>
        <item x="1121"/>
        <item x="1626"/>
        <item x="1572"/>
        <item x="1938"/>
        <item x="509"/>
        <item x="165"/>
        <item x="85"/>
        <item x="1530"/>
        <item x="1021"/>
        <item x="1662"/>
        <item x="1974"/>
        <item x="2037"/>
        <item x="848"/>
        <item x="50"/>
        <item x="183"/>
        <item x="588"/>
        <item x="641"/>
        <item x="1376"/>
        <item x="1548"/>
        <item x="306"/>
        <item x="1191"/>
        <item x="1911"/>
        <item x="245"/>
        <item x="1638"/>
        <item x="1139"/>
        <item x="1229"/>
        <item x="1595"/>
        <item x="155"/>
        <item x="829"/>
        <item x="2070"/>
        <item x="430"/>
        <item x="1001"/>
        <item x="647"/>
        <item x="1188"/>
        <item x="1589"/>
        <item x="1176"/>
        <item x="939"/>
        <item x="277"/>
        <item x="816"/>
        <item x="208"/>
        <item x="900"/>
        <item x="1471"/>
        <item x="2001"/>
        <item x="262"/>
        <item x="1610"/>
        <item x="1111"/>
        <item x="1970"/>
        <item x="214"/>
        <item x="1007"/>
        <item x="61"/>
        <item x="172"/>
        <item x="134"/>
        <item x="579"/>
        <item x="1719"/>
        <item x="949"/>
        <item x="1700"/>
        <item x="1541"/>
        <item x="1367"/>
        <item x="1361"/>
        <item x="1948"/>
        <item x="2098"/>
        <item x="1631"/>
        <item x="489"/>
        <item x="243"/>
        <item x="1510"/>
        <item x="1855"/>
        <item x="810"/>
        <item x="153"/>
        <item x="415"/>
        <item x="445"/>
        <item x="1569"/>
        <item x="2065"/>
        <item x="230"/>
        <item x="1298"/>
        <item x="1659"/>
        <item x="1841"/>
        <item x="540"/>
        <item x="140"/>
        <item x="1721"/>
        <item x="1848"/>
        <item x="1350"/>
        <item x="1552"/>
        <item x="639"/>
        <item x="2027"/>
        <item x="1727"/>
        <item x="1907"/>
        <item x="311"/>
        <item x="1884"/>
        <item x="880"/>
        <item x="1642"/>
        <item x="911"/>
        <item x="1525"/>
        <item x="1279"/>
        <item x="114"/>
        <item x="1098"/>
        <item x="2101"/>
        <item x="1669"/>
        <item x="1816"/>
        <item x="193"/>
        <item x="999"/>
        <item x="551"/>
        <item x="1710"/>
        <item x="1939"/>
        <item x="1563"/>
        <item x="461"/>
        <item x="849"/>
        <item x="1997"/>
        <item x="2060"/>
        <item x="1653"/>
        <item x="790"/>
        <item x="2086"/>
        <item x="1208"/>
        <item x="2076"/>
        <item x="589"/>
        <item x="1466"/>
        <item x="291"/>
        <item x="1302"/>
        <item x="1932"/>
        <item x="2106"/>
        <item x="751"/>
        <item x="1549"/>
        <item x="738"/>
        <item x="2082"/>
        <item x="1639"/>
        <item x="296"/>
        <item x="520"/>
        <item x="1955"/>
        <item x="1447"/>
        <item x="927"/>
        <item x="1880"/>
        <item x="975"/>
        <item x="1733"/>
        <item x="865"/>
        <item x="895"/>
        <item x="1387"/>
        <item x="1189"/>
        <item x="1858"/>
        <item x="1620"/>
        <item x="1896"/>
        <item x="99"/>
        <item x="129"/>
        <item x="391"/>
        <item x="667"/>
        <item x="2022"/>
        <item x="378"/>
        <item x="567"/>
        <item x="1360"/>
        <item x="477"/>
        <item x="263"/>
        <item x="1747"/>
        <item x="1392"/>
        <item x="1458"/>
        <item x="1212"/>
        <item x="173"/>
        <item x="775"/>
        <item x="805"/>
        <item x="1949"/>
        <item x="1027"/>
        <item x="1573"/>
        <item x="1051"/>
        <item x="224"/>
        <item x="615"/>
        <item x="2099"/>
        <item x="1927"/>
        <item x="821"/>
        <item x="1663"/>
        <item x="1986"/>
        <item x="2038"/>
        <item x="505"/>
        <item x="1335"/>
        <item x="1170"/>
        <item x="535"/>
        <item x="746"/>
        <item x="1260"/>
        <item x="2055"/>
        <item x="1980"/>
        <item x="1557"/>
        <item x="1647"/>
        <item x="1106"/>
        <item x="1299"/>
        <item x="1495"/>
        <item x="331"/>
        <item x="1461"/>
        <item x="1849"/>
        <item x="1690"/>
        <item x="2017"/>
        <item x="1340"/>
        <item x="648"/>
        <item x="1382"/>
        <item x="386"/>
        <item x="691"/>
        <item x="1600"/>
        <item x="2092"/>
        <item x="278"/>
        <item x="1287"/>
        <item x="235"/>
        <item x="837"/>
        <item x="1099"/>
        <item x="301"/>
        <item x="1922"/>
        <item x="145"/>
        <item x="1008"/>
        <item x="75"/>
        <item x="204"/>
        <item x="62"/>
        <item x="1865"/>
        <item x="942"/>
        <item x="990"/>
        <item x="1368"/>
        <item x="1564"/>
        <item x="672"/>
        <item x="1531"/>
        <item x="1482"/>
        <item x="1087"/>
        <item x="1654"/>
        <item x="1209"/>
        <item x="1621"/>
        <item x="1292"/>
        <item x="582"/>
        <item x="1615"/>
        <item x="901"/>
        <item x="739"/>
        <item x="15"/>
        <item x="932"/>
        <item x="980"/>
        <item x="1960"/>
        <item x="281"/>
        <item x="2012"/>
        <item x="492"/>
        <item x="1032"/>
        <item x="1271"/>
        <item x="1734"/>
        <item x="1261"/>
        <item x="1197"/>
        <item x="251"/>
        <item x="541"/>
        <item x="1859"/>
        <item x="572"/>
        <item x="652"/>
        <item x="630"/>
        <item x="1553"/>
        <item x="2028"/>
        <item x="161"/>
        <item x="1728"/>
        <item x="1908"/>
        <item x="451"/>
        <item x="287"/>
        <item x="482"/>
        <item x="379"/>
        <item x="1643"/>
        <item x="922"/>
        <item x="189"/>
        <item x="970"/>
        <item x="219"/>
        <item x="657"/>
        <item x="1752"/>
        <item x="1890"/>
        <item x="1372"/>
        <item x="762"/>
        <item x="70"/>
        <item x="1165"/>
        <item x="1459"/>
        <item x="1012"/>
        <item x="620"/>
        <item x="1202"/>
        <item x="1255"/>
        <item x="1917"/>
        <item x="1150"/>
        <item x="727"/>
        <item x="562"/>
        <item x="1240"/>
        <item x="1574"/>
        <item x="1017"/>
        <item x="2050"/>
        <item x="1664"/>
        <item x="472"/>
        <item x="2039"/>
        <item x="1181"/>
        <item x="1998"/>
        <item x="1171"/>
        <item x="1303"/>
        <item x="1695"/>
        <item x="1933"/>
        <item x="1101"/>
        <item x="402"/>
        <item x="1411"/>
        <item x="741"/>
        <item x="610"/>
        <item x="2083"/>
        <item x="852"/>
        <item x="367"/>
        <item x="1448"/>
        <item x="2007"/>
        <item x="928"/>
        <item x="1330"/>
        <item x="1388"/>
        <item x="1135"/>
        <item x="649"/>
        <item x="410"/>
        <item x="1225"/>
        <item x="1965"/>
        <item x="1831"/>
        <item x="811"/>
        <item x="668"/>
        <item x="842"/>
        <item x="2023"/>
        <item x="381"/>
        <item x="279"/>
        <item x="568"/>
        <item x="907"/>
        <item x="955"/>
        <item x="1315"/>
        <item x="478"/>
        <item x="1748"/>
        <item x="1870"/>
        <item x="1393"/>
        <item x="1009"/>
        <item x="1213"/>
        <item x="63"/>
        <item x="1807"/>
        <item x="1585"/>
        <item x="1737"/>
        <item x="1369"/>
        <item x="1028"/>
        <item x="547"/>
        <item x="266"/>
        <item x="1282"/>
        <item x="1928"/>
        <item x="832"/>
        <item x="457"/>
        <item x="435"/>
        <item x="176"/>
        <item x="1742"/>
        <item x="662"/>
        <item x="1558"/>
        <item x="1648"/>
        <item x="1537"/>
        <item x="225"/>
        <item x="256"/>
        <item x="595"/>
        <item x="1267"/>
        <item x="1122"/>
        <item x="1627"/>
        <item x="135"/>
        <item x="166"/>
        <item x="86"/>
        <item x="1022"/>
        <item x="2018"/>
        <item x="1554"/>
        <item x="1383"/>
        <item x="2029"/>
        <item x="1729"/>
        <item x="51"/>
        <item x="1909"/>
        <item x="1644"/>
        <item x="2093"/>
        <item x="642"/>
        <item x="1377"/>
        <item x="860"/>
        <item x="307"/>
        <item x="1288"/>
        <item x="1192"/>
        <item x="1912"/>
        <item x="246"/>
        <item x="838"/>
        <item x="1923"/>
        <item x="156"/>
        <item x="94"/>
        <item x="65"/>
        <item x="943"/>
        <item x="1002"/>
        <item x="673"/>
        <item x="1515"/>
        <item x="1490"/>
        <item x="1483"/>
        <item x="1088"/>
        <item x="1999"/>
        <item x="1177"/>
        <item x="1875"/>
        <item x="1304"/>
        <item x="1116"/>
        <item x="817"/>
        <item x="1293"/>
        <item x="1934"/>
        <item x="770"/>
        <item x="583"/>
        <item x="1472"/>
        <item x="2002"/>
        <item x="933"/>
        <item x="1112"/>
        <item x="2084"/>
        <item x="420"/>
        <item x="2013"/>
        <item x="885"/>
        <item x="493"/>
        <item x="2035"/>
        <item x="1033"/>
        <item x="1449"/>
        <item x="929"/>
        <item x="1476"/>
        <item x="500"/>
        <item x="1542"/>
        <item x="1362"/>
        <item x="1198"/>
        <item x="1389"/>
        <item x="119"/>
        <item x="252"/>
        <item x="1632"/>
        <item x="573"/>
        <item x="653"/>
        <item x="162"/>
        <item x="1761"/>
        <item x="669"/>
        <item x="288"/>
        <item x="2024"/>
        <item x="483"/>
        <item x="569"/>
        <item x="923"/>
        <item x="658"/>
        <item x="1401"/>
        <item x="1753"/>
        <item x="479"/>
        <item x="795"/>
        <item x="1749"/>
        <item x="1373"/>
        <item x="763"/>
        <item x="1394"/>
        <item x="231"/>
        <item x="1214"/>
        <item x="1013"/>
        <item x="1203"/>
        <item x="1842"/>
        <item x="1918"/>
        <item x="728"/>
        <item x="1029"/>
        <item x="141"/>
        <item x="563"/>
        <item x="1722"/>
        <item x="525"/>
        <item x="1130"/>
        <item x="1975"/>
        <item x="1018"/>
        <item x="1220"/>
        <item x="1929"/>
        <item x="756"/>
        <item x="473"/>
        <item x="312"/>
        <item x="912"/>
        <item x="960"/>
        <item x="1041"/>
        <item x="1559"/>
        <item x="403"/>
        <item x="1675"/>
        <item x="1901"/>
        <item x="1649"/>
        <item x="2102"/>
        <item x="853"/>
        <item x="1817"/>
        <item x="368"/>
        <item x="2008"/>
        <item x="552"/>
        <item x="560"/>
        <item x="870"/>
        <item x="396"/>
        <item x="1826"/>
        <item x="462"/>
        <item x="2019"/>
        <item x="1384"/>
        <item x="1155"/>
        <item x="2087"/>
        <item x="1451"/>
        <item x="1245"/>
        <item x="470"/>
        <item x="2077"/>
        <item x="1467"/>
        <item x="292"/>
        <item x="2094"/>
        <item x="104"/>
        <item x="843"/>
        <item x="2107"/>
        <item x="752"/>
        <item x="1500"/>
        <item x="1289"/>
        <item x="600"/>
        <item x="1991"/>
        <item x="908"/>
        <item x="920"/>
        <item x="839"/>
        <item x="297"/>
        <item x="1924"/>
        <item x="944"/>
        <item x="780"/>
        <item x="1808"/>
        <item x="184"/>
        <item x="1738"/>
        <item x="674"/>
        <item x="356"/>
        <item x="1484"/>
        <item x="1089"/>
        <item x="548"/>
        <item x="267"/>
        <item x="1283"/>
        <item x="1897"/>
        <item x="833"/>
        <item x="392"/>
        <item x="716"/>
        <item x="321"/>
        <item x="458"/>
        <item x="1294"/>
        <item x="177"/>
        <item x="510"/>
        <item x="1743"/>
        <item x="584"/>
        <item x="663"/>
        <item x="934"/>
        <item x="681"/>
        <item x="2014"/>
        <item x="494"/>
        <item x="1034"/>
        <item x="1538"/>
        <item x="257"/>
        <item x="1821"/>
        <item x="1268"/>
        <item x="1680"/>
        <item x="1436"/>
        <item x="1123"/>
        <item x="1628"/>
        <item x="1199"/>
        <item x="1052"/>
        <item x="167"/>
        <item x="87"/>
        <item x="253"/>
        <item x="1605"/>
        <item x="1580"/>
        <item x="574"/>
        <item x="654"/>
        <item x="1023"/>
        <item x="822"/>
        <item x="731"/>
        <item x="1987"/>
        <item x="1091"/>
        <item x="209"/>
        <item x="1885"/>
        <item x="163"/>
        <item x="1796"/>
        <item x="52"/>
        <item x="289"/>
        <item x="484"/>
        <item x="747"/>
        <item x="643"/>
        <item x="924"/>
        <item x="659"/>
        <item x="1754"/>
        <item x="1378"/>
        <item x="80"/>
        <item x="308"/>
        <item x="1351"/>
        <item x="1891"/>
        <item x="1193"/>
        <item x="1913"/>
        <item x="247"/>
        <item x="1107"/>
        <item x="1374"/>
        <item x="764"/>
        <item x="40"/>
        <item x="721"/>
        <item x="1081"/>
        <item x="1014"/>
        <item x="1204"/>
        <item x="1940"/>
        <item x="157"/>
        <item x="1919"/>
        <item x="332"/>
        <item x="729"/>
        <item x="5"/>
        <item x="564"/>
        <item x="371"/>
        <item x="1462"/>
        <item x="244"/>
        <item x="1003"/>
        <item x="1019"/>
        <item x="1771"/>
        <item x="387"/>
        <item x="692"/>
        <item x="1441"/>
        <item x="474"/>
        <item x="154"/>
        <item x="1178"/>
        <item x="580"/>
        <item x="818"/>
        <item x="830"/>
        <item x="631"/>
        <item x="404"/>
        <item x="361"/>
        <item x="1473"/>
        <item x="1320"/>
        <item x="236"/>
        <item x="490"/>
        <item x="1981"/>
        <item x="1310"/>
        <item x="2003"/>
        <item x="302"/>
        <item x="1113"/>
        <item x="854"/>
        <item x="369"/>
        <item x="146"/>
        <item x="76"/>
        <item x="2009"/>
        <item x="940"/>
        <item x="1543"/>
        <item x="1363"/>
        <item x="1532"/>
        <item x="991"/>
        <item x="1633"/>
        <item x="1076"/>
        <item x="1622"/>
        <item x="844"/>
        <item x="902"/>
        <item x="16"/>
        <item x="950"/>
        <item x="194"/>
        <item x="1140"/>
        <item x="909"/>
        <item x="640"/>
        <item x="282"/>
        <item x="1230"/>
        <item x="1272"/>
        <item x="232"/>
        <item x="1262"/>
        <item x="1950"/>
        <item x="1843"/>
        <item x="1809"/>
        <item x="2100"/>
        <item x="1739"/>
        <item x="142"/>
        <item x="542"/>
        <item x="1723"/>
        <item x="549"/>
        <item x="268"/>
        <item x="1284"/>
        <item x="2071"/>
        <item x="834"/>
        <item x="452"/>
        <item x="313"/>
        <item x="459"/>
        <item x="178"/>
        <item x="913"/>
        <item x="1744"/>
        <item x="664"/>
        <item x="1590"/>
        <item x="55"/>
        <item x="71"/>
        <item x="1539"/>
        <item x="590"/>
        <item x="2103"/>
        <item x="258"/>
        <item x="1818"/>
        <item x="1269"/>
        <item x="1124"/>
        <item x="1629"/>
        <item x="553"/>
        <item x="168"/>
        <item x="1850"/>
        <item x="88"/>
        <item x="1066"/>
        <item x="45"/>
        <item x="1024"/>
        <item x="463"/>
        <item x="1720"/>
        <item x="1182"/>
        <item x="2088"/>
        <item x="53"/>
        <item x="1172"/>
        <item x="2078"/>
        <item x="1468"/>
        <item x="264"/>
        <item x="293"/>
        <item x="644"/>
        <item x="1000"/>
        <item x="1102"/>
        <item x="2108"/>
        <item x="1412"/>
        <item x="1379"/>
        <item x="753"/>
        <item x="1711"/>
        <item x="309"/>
        <item x="742"/>
        <item x="174"/>
        <item x="1194"/>
        <item x="1914"/>
        <item x="248"/>
        <item x="298"/>
        <item x="850"/>
        <item x="158"/>
        <item x="1570"/>
        <item x="1660"/>
        <item x="1004"/>
        <item x="1898"/>
        <item x="1179"/>
        <item x="1832"/>
        <item x="812"/>
        <item x="393"/>
        <item x="382"/>
        <item x="819"/>
        <item x="1280"/>
        <item x="1474"/>
        <item x="2004"/>
        <item x="1114"/>
        <item x="1544"/>
        <item x="1364"/>
        <item x="1670"/>
        <item x="1860"/>
        <item x="1053"/>
        <item x="1634"/>
        <item x="823"/>
        <item x="1988"/>
        <item x="1426"/>
        <item x="748"/>
        <item x="226"/>
        <item x="1108"/>
        <item x="1550"/>
        <item x="233"/>
        <item x="1844"/>
        <item x="1190"/>
        <item x="346"/>
        <item x="1640"/>
        <item x="136"/>
        <item x="333"/>
        <item x="143"/>
        <item x="1463"/>
        <item x="1724"/>
        <item x="2040"/>
        <item x="706"/>
        <item x="388"/>
        <item x="693"/>
        <item x="314"/>
        <item x="914"/>
        <item x="1811"/>
        <item x="1801"/>
        <item x="237"/>
        <item x="303"/>
        <item x="2104"/>
        <item x="1819"/>
        <item x="147"/>
        <item x="77"/>
        <item x="66"/>
        <item x="554"/>
        <item x="1533"/>
        <item x="464"/>
        <item x="1836"/>
        <item x="2089"/>
        <item x="1623"/>
        <item x="2079"/>
        <item x="1469"/>
        <item x="294"/>
        <item x="1117"/>
        <item x="2109"/>
        <item x="754"/>
        <item x="30"/>
        <item x="903"/>
        <item x="17"/>
        <item x="1300"/>
        <item x="283"/>
        <item x="1786"/>
        <item x="299"/>
        <item x="380"/>
        <item x="341"/>
        <item x="1273"/>
        <item x="1477"/>
        <item x="1263"/>
        <item x="701"/>
        <item x="1061"/>
        <item x="1421"/>
        <item x="543"/>
        <item x="740"/>
        <item x="1899"/>
        <item x="1762"/>
        <item x="453"/>
        <item x="394"/>
        <item x="1100"/>
        <item x="1402"/>
        <item x="271"/>
        <item x="72"/>
        <item x="1054"/>
        <item x="1210"/>
        <item x="2030"/>
        <item x="280"/>
        <item x="824"/>
        <item x="1989"/>
        <item x="1910"/>
        <item x="757"/>
        <item x="1183"/>
        <item x="1565"/>
        <item x="1173"/>
        <item x="749"/>
        <item x="25"/>
        <item x="1655"/>
        <item x="1103"/>
        <item x="1042"/>
        <item x="650"/>
        <item x="1413"/>
        <item x="64"/>
        <item x="743"/>
        <item x="1902"/>
        <item x="1109"/>
        <item x="334"/>
        <item x="1464"/>
        <item x="397"/>
        <item x="1735"/>
        <item x="1827"/>
        <item x="2000"/>
        <item x="389"/>
        <item x="694"/>
        <item x="1452"/>
        <item x="1833"/>
        <item x="1935"/>
        <item x="813"/>
        <item x="383"/>
        <item x="238"/>
        <item x="1992"/>
        <item x="2085"/>
        <item x="304"/>
        <item x="1416"/>
        <item x="148"/>
        <item x="78"/>
        <item x="1460"/>
        <item x="1534"/>
        <item x="357"/>
        <item x="1575"/>
        <item x="1624"/>
        <item x="2025"/>
        <item x="1010"/>
        <item x="717"/>
        <item x="322"/>
        <item x="1665"/>
        <item x="904"/>
        <item x="18"/>
        <item x="682"/>
        <item x="284"/>
        <item x="227"/>
        <item x="1056"/>
        <item x="1274"/>
        <item x="1822"/>
        <item x="1264"/>
        <item x="1437"/>
        <item x="137"/>
        <item x="336"/>
        <item x="544"/>
        <item x="1930"/>
        <item x="732"/>
        <item x="1092"/>
        <item x="696"/>
        <item x="1797"/>
        <item x="454"/>
        <item x="81"/>
        <item x="1352"/>
        <item x="1892"/>
        <item x="41"/>
        <item x="73"/>
        <item x="722"/>
        <item x="1082"/>
        <item x="1370"/>
        <item x="67"/>
        <item x="6"/>
        <item x="372"/>
        <item x="2020"/>
        <item x="1772"/>
        <item x="1442"/>
        <item x="1184"/>
        <item x="2095"/>
        <item x="1174"/>
        <item x="1118"/>
        <item x="1104"/>
        <item x="632"/>
        <item x="1781"/>
        <item x="362"/>
        <item x="1414"/>
        <item x="744"/>
        <item x="20"/>
        <item x="1982"/>
        <item x="1925"/>
        <item x="670"/>
        <item x="570"/>
        <item x="1478"/>
        <item x="480"/>
        <item x="992"/>
        <item x="1077"/>
        <item x="1834"/>
        <item x="814"/>
        <item x="1763"/>
        <item x="384"/>
        <item x="930"/>
        <item x="1555"/>
        <item x="1730"/>
        <item x="1403"/>
        <item x="1645"/>
        <item x="2015"/>
        <item x="1305"/>
        <item x="1776"/>
        <item x="2072"/>
        <item x="758"/>
        <item x="56"/>
        <item x="1043"/>
        <item x="1030"/>
        <item x="1903"/>
        <item x="1071"/>
        <item x="228"/>
        <item x="1920"/>
        <item x="1390"/>
        <item x="138"/>
        <item x="1067"/>
        <item x="46"/>
        <item x="1450"/>
        <item x="398"/>
        <item x="1828"/>
        <item x="1453"/>
        <item x="675"/>
        <item x="1712"/>
        <item x="1395"/>
        <item x="1993"/>
        <item x="1215"/>
        <item x="2010"/>
        <item x="254"/>
        <item x="1750"/>
        <item x="585"/>
        <item x="68"/>
        <item x="164"/>
        <item x="290"/>
        <item x="495"/>
        <item x="358"/>
        <item x="840"/>
        <item x="1119"/>
        <item x="718"/>
        <item x="323"/>
        <item x="945"/>
        <item x="575"/>
        <item x="655"/>
        <item x="683"/>
        <item x="351"/>
        <item x="1560"/>
        <item x="485"/>
        <item x="1479"/>
        <item x="1823"/>
        <item x="1810"/>
        <item x="660"/>
        <item x="1438"/>
        <item x="711"/>
        <item x="1650"/>
        <item x="1385"/>
        <item x="935"/>
        <item x="733"/>
        <item x="1093"/>
        <item x="1427"/>
        <item x="1798"/>
        <item x="1035"/>
        <item x="1764"/>
        <item x="1290"/>
        <item x="565"/>
        <item x="1404"/>
        <item x="82"/>
        <item x="1431"/>
        <item x="1353"/>
        <item x="475"/>
        <item x="1893"/>
        <item x="42"/>
        <item x="723"/>
        <item x="1083"/>
        <item x="347"/>
        <item x="405"/>
        <item x="1090"/>
        <item x="7"/>
        <item x="373"/>
        <item x="925"/>
        <item x="707"/>
        <item x="370"/>
        <item x="1773"/>
        <item x="1295"/>
        <item x="1443"/>
        <item x="759"/>
        <item x="35"/>
        <item x="765"/>
        <item x="1015"/>
        <item x="1485"/>
        <item x="1812"/>
        <item x="1802"/>
        <item x="1044"/>
        <item x="633"/>
        <item x="730"/>
        <item x="363"/>
        <item x="1915"/>
        <item x="1983"/>
        <item x="1904"/>
        <item x="1020"/>
        <item x="1200"/>
        <item x="269"/>
        <item x="399"/>
        <item x="1829"/>
        <item x="179"/>
        <item x="993"/>
        <item x="1837"/>
        <item x="1454"/>
        <item x="1078"/>
        <item x="855"/>
        <item x="31"/>
        <item x="1375"/>
        <item x="2005"/>
        <item x="259"/>
        <item x="550"/>
        <item x="1046"/>
        <item x="1994"/>
        <item x="326"/>
        <item x="1205"/>
        <item x="1787"/>
        <item x="169"/>
        <item x="89"/>
        <item x="1755"/>
        <item x="460"/>
        <item x="342"/>
        <item x="686"/>
        <item x="665"/>
        <item x="1406"/>
        <item x="845"/>
        <item x="54"/>
        <item x="702"/>
        <item x="1062"/>
        <item x="1422"/>
        <item x="1036"/>
        <item x="359"/>
        <item x="316"/>
        <item x="910"/>
        <item x="2073"/>
        <item x="310"/>
        <item x="719"/>
        <item x="324"/>
        <item x="676"/>
        <item x="249"/>
        <item x="57"/>
        <item x="684"/>
        <item x="159"/>
        <item x="272"/>
        <item x="645"/>
        <item x="1845"/>
        <item x="835"/>
        <item x="1824"/>
        <item x="1439"/>
        <item x="1068"/>
        <item x="47"/>
        <item x="734"/>
        <item x="10"/>
        <item x="1094"/>
        <item x="1799"/>
        <item x="26"/>
        <item x="83"/>
        <item x="1713"/>
        <item x="1354"/>
        <item x="1894"/>
        <item x="2105"/>
        <item x="43"/>
        <item x="724"/>
        <item x="0"/>
        <item x="1025"/>
        <item x="1820"/>
        <item x="1084"/>
        <item x="1766"/>
        <item x="1756"/>
        <item x="8"/>
        <item x="374"/>
        <item x="1285"/>
        <item x="1774"/>
        <item x="2090"/>
        <item x="1444"/>
        <item x="2080"/>
        <item x="1740"/>
        <item x="2110"/>
        <item x="634"/>
        <item x="364"/>
        <item x="234"/>
        <item x="1791"/>
        <item x="1984"/>
        <item x="1005"/>
        <item x="1270"/>
        <item x="1745"/>
        <item x="1125"/>
        <item x="1417"/>
        <item x="144"/>
        <item x="1396"/>
        <item x="1540"/>
        <item x="820"/>
        <item x="315"/>
        <item x="1630"/>
        <item x="994"/>
        <item x="1900"/>
        <item x="1079"/>
        <item x="1428"/>
        <item x="1380"/>
        <item x="1195"/>
        <item x="1057"/>
        <item x="348"/>
        <item x="337"/>
        <item x="1180"/>
        <item x="295"/>
        <item x="1990"/>
        <item x="708"/>
        <item x="697"/>
        <item x="2074"/>
        <item x="555"/>
        <item x="1813"/>
        <item x="300"/>
        <item x="1115"/>
        <item x="58"/>
        <item x="1803"/>
        <item x="465"/>
        <item x="1475"/>
        <item x="1365"/>
        <item x="915"/>
        <item x="1069"/>
        <item x="48"/>
        <item x="1545"/>
        <item x="1838"/>
        <item x="1635"/>
        <item x="1782"/>
        <item x="32"/>
        <item x="1714"/>
        <item x="21"/>
        <item x="1788"/>
        <item x="395"/>
        <item x="343"/>
        <item x="703"/>
        <item x="1063"/>
        <item x="755"/>
        <item x="1423"/>
        <item x="1725"/>
        <item x="273"/>
        <item x="1777"/>
        <item x="1429"/>
        <item x="239"/>
        <item x="335"/>
        <item x="27"/>
        <item x="305"/>
        <item x="149"/>
        <item x="1470"/>
        <item x="79"/>
        <item x="390"/>
        <item x="1072"/>
        <item x="825"/>
        <item x="349"/>
        <item x="750"/>
        <item x="709"/>
        <item x="19"/>
        <item x="285"/>
        <item x="1814"/>
        <item x="1804"/>
        <item x="695"/>
        <item x="1418"/>
        <item x="1055"/>
        <item x="1839"/>
        <item x="1835"/>
        <item x="74"/>
        <item x="545"/>
        <item x="33"/>
        <item x="1110"/>
        <item x="352"/>
        <item x="1789"/>
        <item x="455"/>
        <item x="344"/>
        <item x="1058"/>
        <item x="712"/>
        <item x="338"/>
        <item x="704"/>
        <item x="1064"/>
        <item x="1424"/>
        <item x="905"/>
        <item x="1465"/>
        <item x="698"/>
        <item x="1432"/>
        <item x="274"/>
        <item x="36"/>
        <item x="1535"/>
        <item x="28"/>
        <item x="1625"/>
        <item x="1783"/>
        <item x="22"/>
        <item x="1275"/>
        <item x="1265"/>
        <item x="385"/>
        <item x="745"/>
        <item x="229"/>
        <item x="1047"/>
        <item x="327"/>
        <item x="139"/>
        <item x="1419"/>
        <item x="687"/>
        <item x="815"/>
        <item x="1407"/>
        <item x="1185"/>
        <item x="1037"/>
        <item x="1175"/>
        <item x="317"/>
        <item x="1778"/>
        <item x="1765"/>
        <item x="1105"/>
        <item x="677"/>
        <item x="69"/>
        <item x="1073"/>
        <item x="1415"/>
        <item x="1059"/>
        <item x="339"/>
        <item x="11"/>
        <item x="699"/>
        <item x="1905"/>
        <item x="1"/>
        <item x="1767"/>
        <item x="1757"/>
        <item x="1830"/>
        <item x="1784"/>
        <item x="1995"/>
        <item x="1792"/>
        <item x="23"/>
        <item x="353"/>
        <item x="1397"/>
        <item x="713"/>
        <item x="1433"/>
        <item x="1825"/>
        <item x="1120"/>
        <item x="1800"/>
        <item x="1779"/>
        <item x="37"/>
        <item x="400"/>
        <item x="1895"/>
        <item x="1074"/>
        <item x="760"/>
        <item x="1775"/>
        <item x="1480"/>
        <item x="1985"/>
        <item x="360"/>
        <item x="1048"/>
        <item x="328"/>
        <item x="1405"/>
        <item x="325"/>
        <item x="688"/>
        <item x="1408"/>
        <item x="1038"/>
        <item x="318"/>
        <item x="1045"/>
        <item x="84"/>
        <item x="678"/>
        <item x="44"/>
        <item x="354"/>
        <item x="9"/>
        <item x="714"/>
        <item x="720"/>
        <item x="2075"/>
        <item x="12"/>
        <item x="685"/>
        <item x="375"/>
        <item x="1455"/>
        <item x="1434"/>
        <item x="2"/>
        <item x="735"/>
        <item x="1768"/>
        <item x="1758"/>
        <item x="635"/>
        <item x="365"/>
        <item x="38"/>
        <item x="725"/>
        <item x="1793"/>
        <item x="1398"/>
        <item x="1095"/>
        <item x="1440"/>
        <item x="59"/>
        <item x="1355"/>
        <item x="1085"/>
        <item x="1049"/>
        <item x="329"/>
        <item x="995"/>
        <item x="49"/>
        <item x="689"/>
        <item x="1409"/>
        <item x="1039"/>
        <item x="319"/>
        <item x="679"/>
        <item x="1445"/>
        <item x="1080"/>
        <item x="13"/>
        <item x="1815"/>
        <item x="1805"/>
        <item x="3"/>
        <item x="1769"/>
        <item x="1759"/>
        <item x="1840"/>
        <item x="1794"/>
        <item x="1790"/>
        <item x="1070"/>
        <item x="1399"/>
        <item x="350"/>
        <item x="1715"/>
        <item x="34"/>
        <item x="710"/>
        <item x="345"/>
        <item x="275"/>
        <item x="1430"/>
        <item x="29"/>
        <item x="705"/>
        <item x="1065"/>
        <item x="1425"/>
        <item x="1785"/>
        <item x="340"/>
        <item x="1780"/>
        <item x="24"/>
        <item x="700"/>
        <item x="1420"/>
        <item x="1060"/>
        <item x="355"/>
        <item x="1075"/>
        <item x="39"/>
        <item x="715"/>
        <item x="1770"/>
        <item x="1760"/>
        <item x="330"/>
        <item x="1795"/>
        <item x="320"/>
        <item x="1435"/>
        <item x="14"/>
        <item x="690"/>
        <item x="4"/>
        <item x="680"/>
        <item x="1050"/>
        <item x="1040"/>
        <item x="1410"/>
        <item x="1400"/>
        <item t="default"/>
      </items>
    </pivotField>
    <pivotField showAll="0"/>
  </pivotFields>
  <rowFields count="3">
    <field x="0"/>
    <field x="2"/>
    <field x="1"/>
  </rowFields>
  <rowItems count="11">
    <i>
      <x v="5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grand">
      <x/>
    </i>
  </rowItems>
  <colItems count="1">
    <i/>
  </colItems>
  <dataFields count="1">
    <dataField name="Sum of Passenger Kilometres by distance category, mode type and trip purpos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0E91C-1BF2-4303-8ECB-29E86025BFAE}" name="Purpose &amp; Mode Pivot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fieldListSortAscending="1">
  <location ref="A1:M13" firstHeaderRow="1" firstDataRow="3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9">
        <item h="1" x="3"/>
        <item x="4"/>
        <item h="1" x="7"/>
        <item h="1" x="0"/>
        <item h="1" x="1"/>
        <item h="1" x="5"/>
        <item h="1" x="6"/>
        <item h="1" x="2"/>
        <item t="default"/>
      </items>
    </pivotField>
    <pivotField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dataField="1" showAll="0"/>
    <pivotField showAll="0"/>
    <pivotField showAll="0"/>
    <pivotField showAll="0"/>
    <pivotField numFmtId="165" showAll="0"/>
    <pivotField dataField="1" showAll="0"/>
  </pivotFields>
  <rowFields count="2">
    <field x="3"/>
    <field x="1"/>
  </rowFields>
  <rowItems count="10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</rowItems>
  <colFields count="2">
    <field x="0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</colItems>
  <dataFields count="2">
    <dataField name="Sum of % Pkm for that year by distance, mode type and trip purpose category" fld="13" baseField="0" baseItem="0"/>
    <dataField name="Sum of Average distance based on trip purpose typ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C70BA-B6C4-4B9C-B763-C9B4A43FFE9D}" name="Total Passenger Kilometres from Pkm by Mode" cacheId="4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showHeaders="0" outline="1" outlineData="1" multipleFieldFilters="0">
  <location ref="A34:G35" firstHeaderRow="0" firstDataRow="1" firstDataCol="1"/>
  <pivotFields count="14">
    <pivotField axis="axisCol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2">
        <item x="14"/>
        <item x="56"/>
        <item x="175"/>
        <item x="140"/>
        <item x="101"/>
        <item x="180"/>
        <item x="96"/>
        <item x="61"/>
        <item x="20"/>
        <item x="91"/>
        <item x="51"/>
        <item x="131"/>
        <item x="163"/>
        <item x="183"/>
        <item x="170"/>
        <item x="86"/>
        <item x="165"/>
        <item x="126"/>
        <item x="143"/>
        <item x="181"/>
        <item x="46"/>
        <item x="215"/>
        <item x="141"/>
        <item x="102"/>
        <item x="15"/>
        <item x="54"/>
        <item x="220"/>
        <item x="13"/>
        <item x="103"/>
        <item x="44"/>
        <item x="104"/>
        <item x="124"/>
        <item x="84"/>
        <item x="23"/>
        <item x="173"/>
        <item x="94"/>
        <item x="92"/>
        <item x="145"/>
        <item x="142"/>
        <item x="210"/>
        <item x="134"/>
        <item x="93"/>
        <item x="185"/>
        <item x="162"/>
        <item x="62"/>
        <item x="53"/>
        <item x="182"/>
        <item x="63"/>
        <item x="22"/>
        <item x="21"/>
        <item x="171"/>
        <item x="106"/>
        <item x="64"/>
        <item x="57"/>
        <item x="136"/>
        <item x="66"/>
        <item x="43"/>
        <item x="52"/>
        <item x="132"/>
        <item x="133"/>
        <item x="116"/>
        <item x="176"/>
        <item x="45"/>
        <item x="212"/>
        <item x="97"/>
        <item x="211"/>
        <item x="83"/>
        <item x="213"/>
        <item x="12"/>
        <item x="203"/>
        <item x="161"/>
        <item x="172"/>
        <item x="26"/>
        <item x="223"/>
        <item x="155"/>
        <item x="186"/>
        <item x="205"/>
        <item x="221"/>
        <item x="137"/>
        <item x="123"/>
        <item x="76"/>
        <item x="121"/>
        <item x="41"/>
        <item x="42"/>
        <item x="222"/>
        <item x="202"/>
        <item x="225"/>
        <item x="81"/>
        <item x="36"/>
        <item x="226"/>
        <item x="99"/>
        <item x="85"/>
        <item x="146"/>
        <item x="59"/>
        <item x="160"/>
        <item x="107"/>
        <item x="82"/>
        <item x="98"/>
        <item x="67"/>
        <item x="108"/>
        <item x="138"/>
        <item x="177"/>
        <item x="58"/>
        <item x="164"/>
        <item x="178"/>
        <item x="166"/>
        <item x="122"/>
        <item x="5"/>
        <item x="11"/>
        <item x="109"/>
        <item x="201"/>
        <item x="158"/>
        <item x="69"/>
        <item x="148"/>
        <item x="187"/>
        <item x="125"/>
        <item x="10"/>
        <item x="47"/>
        <item x="216"/>
        <item x="204"/>
        <item x="228"/>
        <item x="147"/>
        <item x="68"/>
        <item x="188"/>
        <item x="127"/>
        <item x="87"/>
        <item x="156"/>
        <item x="16"/>
        <item x="129"/>
        <item x="168"/>
        <item x="117"/>
        <item x="119"/>
        <item x="18"/>
        <item x="89"/>
        <item x="95"/>
        <item x="28"/>
        <item x="49"/>
        <item x="200"/>
        <item x="227"/>
        <item x="88"/>
        <item x="55"/>
        <item x="77"/>
        <item x="195"/>
        <item x="167"/>
        <item x="128"/>
        <item x="157"/>
        <item x="48"/>
        <item x="39"/>
        <item x="37"/>
        <item x="17"/>
        <item x="27"/>
        <item x="135"/>
        <item x="105"/>
        <item x="79"/>
        <item x="214"/>
        <item x="65"/>
        <item x="144"/>
        <item x="174"/>
        <item x="78"/>
        <item x="118"/>
        <item x="29"/>
        <item x="217"/>
        <item x="184"/>
        <item x="24"/>
        <item x="38"/>
        <item x="224"/>
        <item x="218"/>
        <item x="8"/>
        <item x="206"/>
        <item x="196"/>
        <item x="208"/>
        <item x="7"/>
        <item x="6"/>
        <item x="207"/>
        <item x="111"/>
        <item x="198"/>
        <item x="71"/>
        <item x="0"/>
        <item x="31"/>
        <item x="150"/>
        <item x="197"/>
        <item x="190"/>
        <item x="151"/>
        <item x="153"/>
        <item x="34"/>
        <item x="114"/>
        <item x="74"/>
        <item x="112"/>
        <item x="32"/>
        <item x="3"/>
        <item x="72"/>
        <item x="152"/>
        <item x="33"/>
        <item x="113"/>
        <item x="73"/>
        <item x="1"/>
        <item x="2"/>
        <item x="191"/>
        <item x="169"/>
        <item x="50"/>
        <item x="193"/>
        <item x="179"/>
        <item x="60"/>
        <item x="100"/>
        <item x="192"/>
        <item x="90"/>
        <item x="19"/>
        <item x="139"/>
        <item x="130"/>
        <item x="25"/>
        <item x="70"/>
        <item x="209"/>
        <item x="229"/>
        <item x="149"/>
        <item x="110"/>
        <item x="219"/>
        <item x="189"/>
        <item x="30"/>
        <item x="40"/>
        <item x="159"/>
        <item x="80"/>
        <item x="120"/>
        <item x="9"/>
        <item x="199"/>
        <item x="35"/>
        <item x="194"/>
        <item x="4"/>
        <item x="75"/>
        <item x="115"/>
        <item x="154"/>
        <item x="230"/>
        <item t="default"/>
      </items>
    </pivotField>
    <pivotField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0" baseItem="0" numFmtId="165"/>
  </dataFields>
  <formats count="3">
    <format dxfId="539">
      <pivotArea outline="0" collapsedLevelsAreSubtotals="1" fieldPosition="0"/>
    </format>
    <format dxfId="538">
      <pivotArea dataOnly="0" labelOnly="1" outline="0" axis="axisValues" fieldPosition="0"/>
    </format>
    <format dxfId="5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F43F2-4CA1-4F86-9C55-4145AFE2B605}" name="PivotTable1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fieldListSortAscending="1">
  <location ref="A85:G96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9">
        <item h="1" x="3"/>
        <item x="4"/>
        <item h="1" x="7"/>
        <item h="1" x="0"/>
        <item h="1" x="1"/>
        <item h="1" x="5"/>
        <item h="1" x="6"/>
        <item h="1" x="2"/>
        <item t="default"/>
      </items>
    </pivotField>
    <pivotField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dataField="1" showAll="0"/>
  </pivotFields>
  <rowFields count="2">
    <field x="3"/>
    <field x="1"/>
  </rowFields>
  <rowItems count="10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distance by cycling" fld="1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78F0-8DC8-4C57-A2CE-331562BDB522}" name="PivotTable21" cacheId="4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56:G58" firstHeaderRow="1" firstDataRow="2" firstDataCol="1"/>
  <pivotFields count="13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dataField="1" numFmtId="165"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Passenger Kilometres" fld="12" baseField="0" baseItem="0" numFmtId="165"/>
  </dataFields>
  <formats count="1">
    <format dxfId="5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C3E7D-7989-42BA-9428-E20AA6BB40F4}" name="Private_car_passenger_kilometres_pivot_table" cacheId="41" applyNumberFormats="0" applyBorderFormats="0" applyFontFormats="0" applyPatternFormats="0" applyAlignmentFormats="0" applyWidthHeightFormats="1" dataCaption="Values" updatedVersion="6" minRefreshableVersion="3" showDrill="0" useAutoFormatting="1" colGrandTotals="0" itemPrintTitles="1" createdVersion="6" indent="0" outline="1" outlineData="1" multipleFieldFilters="0">
  <location ref="A18:G22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9">
        <item h="1" x="3"/>
        <item h="1" x="4"/>
        <item h="1" x="7"/>
        <item x="0"/>
        <item x="1"/>
        <item h="1" x="5"/>
        <item h="1" x="6"/>
        <item h="1" x="2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3"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2" baseItem="3" numFmtId="165"/>
  </dataFields>
  <formats count="1">
    <format dxfId="5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AB5B9-E822-4528-9A75-4802B3C3B0BE}" name="Total Passenger Kilometres by PKM by purpose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showHeaders="0" outline="1" outlineData="1" multipleFieldFilters="0">
  <location ref="A50:G51" firstHeaderRow="0" firstDataRow="1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0" baseItem="0" numFmtId="165"/>
  </dataFields>
  <formats count="1">
    <format dxfId="5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592BE-B15C-4133-904E-22631CAF124B}" name="PivotTable28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253:G264" firstHeaderRow="1" firstDataRow="2" firstDataCol="1" rowPageCount="1" colPageCount="1"/>
  <pivotFields count="4">
    <pivotField axis="axisCol" showAll="0">
      <items count="6">
        <item x="2"/>
        <item x="3"/>
        <item x="0"/>
        <item x="1"/>
        <item x="4"/>
        <item t="default"/>
      </items>
    </pivotField>
    <pivotField axis="axisPage" showAll="0">
      <items count="7">
        <item x="3"/>
        <item x="5"/>
        <item x="0"/>
        <item x="2"/>
        <item x="1"/>
        <item x="4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Sum of Energy consumption" fld="3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35FB4-3009-4AF3-9A58-662A8CAA75A4}" name="PivotTable27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268:F279" firstHeaderRow="1" firstDataRow="2" firstDataCol="1" rowPageCount="1" colPageCount="1"/>
  <pivotFields count="4">
    <pivotField axis="axisCol" showAll="0">
      <items count="6">
        <item x="2"/>
        <item x="3"/>
        <item x="0"/>
        <item x="1"/>
        <item h="1" x="4"/>
        <item t="default"/>
      </items>
    </pivotField>
    <pivotField axis="axisPage" showAll="0">
      <items count="7">
        <item x="3"/>
        <item x="5"/>
        <item x="0"/>
        <item x="2"/>
        <item x="1"/>
        <item x="4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Sum of Energy consumption" fld="3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47B98-0FF2-41F3-992E-21F65170A38C}" name="PivotTable33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84:J94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Occupancy" fld="5" subtotal="average" baseField="2" baseItem="2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F2CE2-5CC3-4751-A7C3-24CA0D3AC5F8}" name="Emissions_Intensity_Pivot_Table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">
  <location ref="A1:J11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5"/>
        <item x="6"/>
        <item x="7"/>
        <item x="8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numFmtId="165" showAll="0"/>
    <pivotField dataField="1"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missions Intensity" fld="7" baseField="0" baseItem="0" numFmtId="164"/>
  </dataFields>
  <formats count="1">
    <format dxfId="229">
      <pivotArea outline="0" collapsedLevelsAreSubtotals="1" fieldPosition="0"/>
    </format>
  </format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4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60497-8BFB-4BDD-B9B3-B3DE494C5270}" name="PivotTable38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63:J173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x="4"/>
        <item h="1"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Total Emissions" fld="9" baseField="0" baseItem="0"/>
    <dataField name="Sum of Emissions Intensity" fld="7" baseField="0" baseItem="0"/>
    <dataField name="Sum of Passenger Kilometres" fld="6" baseField="0" baseItem="0"/>
    <dataField name="Sum of Energy Intensity" fld="10" baseField="0" baseItem="0"/>
    <dataField name="Sum of Energy Consumption" fld="11" baseField="0" baseItem="0"/>
    <dataField name="Sum of Occupancy" fld="5" baseField="0" baseItem="0"/>
    <dataField name="Sum of Vehicle Kilometres" fld="4" baseField="0" baseItem="0"/>
    <dataField name="Sum of Total Emisson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87F26-2605-42BB-9EF7-0736B050444D}" name="PivotTable45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14:J224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h="1" x="4"/>
        <item h="1" x="8"/>
        <item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Vehicle Kilometres" fld="4" baseField="0" baseItem="0"/>
    <dataField name="Sum of Occupancy" fld="5" baseField="0" baseItem="0"/>
    <dataField name="Sum of Passenger Kilometres" fld="6" baseField="0" baseItem="0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511A1-EFBC-475E-A7CA-B6107C1045C6}" name="PivotTable34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5:J55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dataField="1"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Passenger Kilomet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63899-518C-46DF-B784-323D9F7017C7}" name="PivotTable68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">
  <location ref="A276:J278" firstHeaderRow="1" firstDataRow="2" firstDataCol="1"/>
  <pivotFields count="12"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Col" showAll="0">
      <items count="10">
        <item x="4"/>
        <item x="5"/>
        <item x="6"/>
        <item x="7"/>
        <item x="8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numFmtId="165" showAll="0"/>
    <pivotField dataField="1" showAll="0"/>
    <pivotField numFmtId="165" showAll="0"/>
    <pivotField numFmtId="165" showAll="0"/>
    <pivotField showAll="0"/>
    <pivotField numFmtId="165" showAll="0"/>
  </pivotFields>
  <rowFields count="1">
    <field x="0"/>
  </rowFields>
  <rowItems count="1"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missions Intensity" fld="7" baseField="0" baseItem="0" numFmtId="164"/>
  </dataFields>
  <formats count="1">
    <format dxfId="230">
      <pivotArea outline="0" collapsedLevelsAreSubtotals="1" fieldPosition="0"/>
    </format>
  </formats>
  <chartFormats count="5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4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B390C-51BD-4DBF-982D-8CB62B35152D}" name="PivotTable48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39:J249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h="1" x="4"/>
        <item h="1" x="8"/>
        <item h="1" x="6"/>
        <item h="1" x="5"/>
        <item x="7"/>
        <item h="1" x="0"/>
        <item h="1" x="1"/>
        <item h="1" x="2"/>
        <item h="1" x="3"/>
      </items>
    </pivotField>
    <pivotField axis="axisRow" showAll="0" defaultSubtotal="0">
      <items count="7">
        <item x="0"/>
        <item x="6"/>
        <item x="2"/>
        <item x="4"/>
        <item x="1"/>
        <item x="3"/>
        <item x="5"/>
      </items>
    </pivotField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2">
    <field x="3"/>
    <field x="-2"/>
  </rowFields>
  <rowItems count="8">
    <i>
      <x v="6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</rowItems>
  <colFields count="2">
    <field x="2"/>
    <field x="0"/>
  </colFields>
  <colItems count="9"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Sum of Occupancy" fld="5" baseField="0" baseItem="0"/>
    <dataField name="Sum of Vehicle Kilometres" fld="4" baseField="0" baseItem="0"/>
    <dataField name="Sum of Passenger Kilometres" fld="6" baseField="0" baseItem="0"/>
    <dataField name="Sum of Emissions Intensity" fld="7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5E006-C65B-4340-A606-A4AC3326F268}" name="PivotTable58" cacheId="5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26:J136" firstHeaderRow="1" firstDataRow="2" firstDataCol="1"/>
  <pivotFields count="13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numFmtId="165" showAll="0"/>
    <pivotField numFmtId="2" showAll="0"/>
    <pivotField numFmtId="165" showAll="0"/>
    <pivotField dataField="1"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nergy Consumption (MWH)" fld="12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148A9-B7B2-42DA-A993-28FD987CD872}" name="PivotTable32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71:J81" firstHeaderRow="1" firstDataRow="2" firstDataCol="1"/>
  <pivotFields count="12"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dataField="1" numFmtId="165" showAll="0"/>
    <pivotField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Vehicle Kilometres" fld="4" subtotal="average" baseField="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CC9EC-BF2C-4A5F-B922-6A4AE4E3922C}" name="PivotTable63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">
  <location ref="A256:B258" firstHeaderRow="1" firstDataRow="2" firstDataCol="1"/>
  <pivotFields count="12">
    <pivotField axis="axisCol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Row" showAll="0">
      <items count="10">
        <item x="4"/>
        <item h="1" x="8"/>
        <item h="1" x="6"/>
        <item h="1" x="5"/>
        <item h="1" x="7"/>
        <item h="1" x="0"/>
        <item h="1" x="1"/>
        <item h="1" x="2"/>
        <item h="1" x="3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2"/>
  </rowFields>
  <rowItems count="1">
    <i>
      <x/>
    </i>
  </rowItems>
  <colFields count="1">
    <field x="0"/>
  </colFields>
  <colItems count="1">
    <i>
      <x v="8"/>
    </i>
  </colItems>
  <dataFields count="1">
    <dataField name="Average of Occupancy" fld="5" subtotal="average" baseField="2" baseItem="2"/>
  </dataFields>
  <chartFormats count="10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5E904-C0CB-4419-93B5-6C2E990ADB12}" name="PivotTable56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13:J123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numFmtId="165" showAll="0"/>
    <pivotField dataField="1"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nergy Intensity" fld="10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F182A-D996-412E-B549-158B26AC19D9}" name="PivotTable39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75:J184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x="4"/>
        <item h="1"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Average of Vehicle Kilometres" fld="4" subtotal="average" baseField="0" baseItem="0"/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9C0A2-5692-4B87-BE87-277E4C9546C5}" name="PivotTable46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26:J235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h="1" x="4"/>
        <item h="1" x="8"/>
        <item h="1" x="6"/>
        <item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Sum of Vehicle Kilometres" fld="4" baseField="0" baseItem="0"/>
    <dataField name="Sum of Occupancy" fld="5" baseField="0" baseItem="0"/>
    <dataField name="Sum of Emissions Intensity" fld="7" baseField="0" baseItem="0"/>
    <dataField name="Sum of Passenger Kilometres" fld="6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96BCB-3EB6-48E5-8776-4386EA83D6F9}" name="PivotTable31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8:J28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dataField="1" numFmtId="165" showAll="0"/>
    <pivotField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Vehicle Kilometres" fld="4" subtotal="average" baseField="0" baseItem="5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4F75D-1E22-4E96-A2DE-9891A0C12BB3}" name="PivotTable36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40:J150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x="4"/>
        <item h="1"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Average of Vehicle Kilometres" fld="4" subtotal="average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2E493-10A8-4F87-96AF-42805B831C83}" name="PivotTable62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252:B254" firstHeaderRow="1" firstDataRow="2" firstDataCol="1"/>
  <pivotFields count="12"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Col" showAll="0">
      <items count="10">
        <item x="4"/>
        <item h="1" x="8"/>
        <item h="1" x="6"/>
        <item h="1" x="5"/>
        <item h="1" x="7"/>
        <item h="1" x="0"/>
        <item h="1" x="1"/>
        <item h="1" x="2"/>
        <item h="1" x="3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1">
    <i>
      <x v="8"/>
    </i>
  </rowItems>
  <colFields count="1">
    <field x="2"/>
  </colFields>
  <colItems count="1">
    <i>
      <x/>
    </i>
  </colItems>
  <dataFields count="1">
    <dataField name="Average of Occupancy" fld="5" subtotal="average" baseField="2" baseItem="2"/>
  </dataFields>
  <chartFormats count="10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2421B-3E07-4B85-AA2D-70B5EE6DCB23}" name="PivotTable37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52:J161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x="4"/>
        <item h="1"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Average of Vehicle Kilometres" fld="4" subtotal="average" baseField="0" baseItem="0"/>
    <dataField name="Sum of Energy Intensity" fld="10" baseField="0" baseItem="0"/>
    <dataField name="Sum of Total Emissions" fld="9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DA237-983B-42D5-9022-70AF21BCD2DF}" name="PivotTable35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99:J109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4"/>
        <item x="8"/>
        <item x="6"/>
        <item x="5"/>
        <item x="7"/>
        <item x="0"/>
        <item x="1"/>
        <item x="2"/>
        <item x="3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chartFormats count="9">
    <chartFormat chart="0" format="13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18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19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20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21" series="1">
      <pivotArea type="data" outline="0" fieldPosition="0">
        <references count="1"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081BA-2BB0-4D0F-855A-00F4611E3B8F}" name="PivotTable40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92:J200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x="4"/>
        <item h="1"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numFmtId="165" showAll="0" defaultSubtotal="0"/>
    <pivotField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6">
    <dataField name="Sum of Passenger Kilometres" fld="6" baseField="1" baseItem="5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6672B-0024-4BD2-B029-2C612E157A3C}" name="PivotTable41" cacheId="48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02:J212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9">
        <item h="1" x="4"/>
        <item x="8"/>
        <item h="1" x="6"/>
        <item h="1" x="5"/>
        <item h="1" x="7"/>
        <item h="1" x="0"/>
        <item h="1" x="1"/>
        <item h="1" x="2"/>
        <item h="1" x="3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Vehicle Kilometres" fld="4" baseField="0" baseItem="0"/>
    <dataField name="Sum of Occupancy" fld="5" baseField="0" baseItem="0"/>
    <dataField name="Sum of Passenger Kilometres" fld="6" baseField="0" baseItem="0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894D5-85F2-4819-9489-B8FAD8315207}" name="PivotTable10" cacheId="4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">
  <location ref="AN1:AW11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n="Intercity Bus" x="2"/>
        <item n="Urban Bus" x="3"/>
        <item n="Heavy Rail" x="0"/>
        <item n="Light Rail" x="1"/>
        <item m="1" x="9"/>
        <item n="Private Cars - Diesel" x="4"/>
        <item n="Private Cars - Electric" x="8"/>
        <item n="Private Cars - Hybrid" x="6"/>
        <item n="Private Cars - Petrol" x="5"/>
        <item n="Private Cars- Plugin" x="7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dataField="1"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Total Emissions" fld="9" baseField="0" baseItem="0" numFmtId="2"/>
  </dataFields>
  <formats count="1">
    <format dxfId="592">
      <pivotArea outline="0" collapsedLevelsAreSubtotals="1" fieldPosition="0"/>
    </format>
  </format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AB198-1368-4C7B-8227-18D3486E0E1D}" name="PivotTable11" cacheId="4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12:J126" firstHeaderRow="1" firstDataRow="2" firstDataCol="1"/>
  <pivotFields count="4"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>
      <items count="91">
        <item x="17"/>
        <item x="14"/>
        <item x="13"/>
        <item x="44"/>
        <item x="45"/>
        <item x="77"/>
        <item x="12"/>
        <item x="76"/>
        <item x="78"/>
        <item x="79"/>
        <item x="16"/>
        <item x="49"/>
        <item x="46"/>
        <item x="9"/>
        <item x="15"/>
        <item x="80"/>
        <item x="50"/>
        <item x="53"/>
        <item x="74"/>
        <item x="47"/>
        <item x="40"/>
        <item x="75"/>
        <item x="41"/>
        <item x="73"/>
        <item x="48"/>
        <item x="39"/>
        <item x="11"/>
        <item x="22"/>
        <item x="10"/>
        <item x="52"/>
        <item x="26"/>
        <item x="43"/>
        <item x="51"/>
        <item x="36"/>
        <item x="23"/>
        <item x="21"/>
        <item x="38"/>
        <item x="42"/>
        <item x="19"/>
        <item x="18"/>
        <item x="20"/>
        <item x="37"/>
        <item x="72"/>
        <item x="25"/>
        <item x="24"/>
        <item x="67"/>
        <item x="68"/>
        <item x="66"/>
        <item x="69"/>
        <item x="65"/>
        <item x="63"/>
        <item x="70"/>
        <item x="64"/>
        <item x="71"/>
        <item x="89"/>
        <item x="85"/>
        <item x="88"/>
        <item x="86"/>
        <item x="84"/>
        <item x="82"/>
        <item x="83"/>
        <item x="87"/>
        <item x="81"/>
        <item x="8"/>
        <item x="5"/>
        <item x="4"/>
        <item x="35"/>
        <item x="59"/>
        <item x="58"/>
        <item x="3"/>
        <item x="60"/>
        <item x="61"/>
        <item x="54"/>
        <item x="0"/>
        <item x="57"/>
        <item x="56"/>
        <item x="62"/>
        <item x="55"/>
        <item x="31"/>
        <item x="32"/>
        <item x="2"/>
        <item x="7"/>
        <item x="6"/>
        <item x="30"/>
        <item x="1"/>
        <item x="27"/>
        <item x="29"/>
        <item x="34"/>
        <item x="28"/>
        <item x="33"/>
        <item t="default"/>
      </items>
    </pivotField>
  </pivotFields>
  <rowFields count="2">
    <field x="2"/>
    <field x="0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nergy Intensity (kWh/km)" fld="3" baseField="0" baseItem="0" numFmtId="166"/>
  </dataFields>
  <formats count="1">
    <format dxfId="5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0BAD0-CBCD-4C96-9485-DAABA41286B7}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:K30" firstHeaderRow="1" firstDataRow="2" firstDataCol="1"/>
  <pivotFields count="13"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10">
        <item x="2"/>
        <item x="3"/>
        <item x="0"/>
        <item x="1"/>
        <item x="4"/>
        <item x="8"/>
        <item x="6"/>
        <item x="5"/>
        <item x="7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dataField="1" numFmtId="165" showAll="0"/>
    <pivotField numFmtId="2" showAll="0"/>
    <pivotField numFmtId="165" showAll="0"/>
    <pivotField numFmtId="165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otal Emission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45E7A8B-3739-4AD0-9748-E51F0FED3E35}" name="Passenger_Kilometre_by_mode_type" displayName="Passenger_Kilometre_by_mode_type" ref="A34:G43" totalsRowCount="1" headerRowDxfId="743" dataDxfId="741" headerRowBorderDxfId="742" dataCellStyle="Comma">
  <autoFilter ref="A34:G42" xr:uid="{6D5E9869-62FC-41F5-BDE4-D5A8D5502767}"/>
  <tableColumns count="7">
    <tableColumn id="1" xr3:uid="{1751B51B-A7B5-433D-B964-5513FC8768F3}" name="Mode Type" totalsRowLabel="Total" dataDxfId="740" totalsRowDxfId="739">
      <calculatedColumnFormula>A24</calculatedColumnFormula>
    </tableColumn>
    <tableColumn id="2" xr3:uid="{DD573822-9430-4505-AAD2-D030A75A7C88}" name="2009" totalsRowFunction="sum" dataDxfId="738" totalsRowDxfId="737" dataCellStyle="Comma">
      <calculatedColumnFormula>B24</calculatedColumnFormula>
    </tableColumn>
    <tableColumn id="3" xr3:uid="{BE8BF711-9EAD-4A05-B4C3-2A0053A43989}" name="2012" totalsRowFunction="sum" dataDxfId="736" totalsRowDxfId="735" dataCellStyle="Comma">
      <calculatedColumnFormula>C24</calculatedColumnFormula>
    </tableColumn>
    <tableColumn id="4" xr3:uid="{989EA9C3-8ACD-4D22-880E-5F6432F6DF03}" name="2013" totalsRowFunction="sum" dataDxfId="734" totalsRowDxfId="733" dataCellStyle="Comma">
      <calculatedColumnFormula>D24</calculatedColumnFormula>
    </tableColumn>
    <tableColumn id="5" xr3:uid="{4E9ED53D-9234-4B08-AA09-BECEB6922235}" name="2014" totalsRowFunction="sum" dataDxfId="732" totalsRowDxfId="731" dataCellStyle="Comma">
      <calculatedColumnFormula>E24</calculatedColumnFormula>
    </tableColumn>
    <tableColumn id="6" xr3:uid="{ED3111CB-05BE-47A5-97EF-A575E7B4851F}" name="2016" totalsRowFunction="sum" dataDxfId="730" totalsRowDxfId="729" dataCellStyle="Comma">
      <calculatedColumnFormula>F24</calculatedColumnFormula>
    </tableColumn>
    <tableColumn id="7" xr3:uid="{DEB11090-6946-4349-A859-59C7E43FC951}" name="2019" totalsRowFunction="sum" dataDxfId="728" totalsRowDxfId="727" dataCellStyle="Comma">
      <calculatedColumnFormula>G24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9928E0-98D8-4AFB-8614-12A4167849A8}" name="Table72" displayName="Table72" ref="A70:G80" totalsRowCount="1" headerRowDxfId="726" dataDxfId="724" headerRowBorderDxfId="725" dataCellStyle="Comma">
  <autoFilter ref="A70:G79" xr:uid="{5759D7E4-AE9A-44BF-9288-C51D99D82ADA}"/>
  <tableColumns count="7">
    <tableColumn id="1" xr3:uid="{C7B78AC2-B423-430D-95CD-83BFD57F9552}" name="Trip purpose" totalsRowLabel="Total" dataDxfId="723" totalsRowDxfId="722"/>
    <tableColumn id="2" xr3:uid="{30433DFF-44C4-4F94-A744-E25ACB9EB93E}" name="2009" totalsRowFunction="sum" dataDxfId="721" totalsRowDxfId="720" dataCellStyle="Comma"/>
    <tableColumn id="3" xr3:uid="{36A78FD4-C713-4CA7-8DD9-548AE52FB6B4}" name="2012" totalsRowFunction="sum" dataDxfId="719" totalsRowDxfId="718" dataCellStyle="Comma"/>
    <tableColumn id="4" xr3:uid="{7FDB1FAE-6572-4EE9-BAF2-0C9599BAE293}" name="2013" totalsRowFunction="sum" dataDxfId="717" totalsRowDxfId="716" dataCellStyle="Comma"/>
    <tableColumn id="5" xr3:uid="{5BB38178-4035-4C3C-806C-4999A43B24D7}" name="2014" totalsRowFunction="sum" dataDxfId="715" totalsRowDxfId="714" dataCellStyle="Comma"/>
    <tableColumn id="6" xr3:uid="{77BF8A96-917A-478B-84E4-C09198693772}" name="2016" totalsRowFunction="sum" dataDxfId="713" totalsRowDxfId="712" dataCellStyle="Comma"/>
    <tableColumn id="7" xr3:uid="{32E6B025-F53F-4B21-B964-52296B9B17FB}" name="2019" totalsRowFunction="sum" dataDxfId="711" totalsRowDxfId="710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AA4D911A-22B7-4B09-A737-F57C6DB2BFE5}" name="Table73" displayName="Table73" ref="A103:G109" totalsRowCount="1" headerRowDxfId="709" dataDxfId="707" headerRowBorderDxfId="708" dataCellStyle="Comma">
  <autoFilter ref="A103:G108" xr:uid="{9C258134-4F51-4A14-B488-51F7B71AFCE6}"/>
  <tableColumns count="7">
    <tableColumn id="1" xr3:uid="{F106B67D-AC8F-4B3F-95F8-165B43AFEB54}" name="Trip Distance" totalsRowLabel="Total" dataDxfId="706" totalsRowDxfId="705">
      <calculatedColumnFormula>A96</calculatedColumnFormula>
    </tableColumn>
    <tableColumn id="2" xr3:uid="{218BBE9E-5768-4B28-92C1-3D3586094A89}" name="2009" totalsRowFunction="sum" dataDxfId="704" totalsRowDxfId="703" dataCellStyle="Comma">
      <calculatedColumnFormula>B96</calculatedColumnFormula>
    </tableColumn>
    <tableColumn id="3" xr3:uid="{B955E144-ABCA-42D0-94BA-84D6971FD525}" name="2012" totalsRowFunction="sum" dataDxfId="702" totalsRowDxfId="701" dataCellStyle="Comma">
      <calculatedColumnFormula>C96</calculatedColumnFormula>
    </tableColumn>
    <tableColumn id="4" xr3:uid="{95B2F053-989E-4697-BCD0-78818E2B65E0}" name="2013" totalsRowFunction="sum" dataDxfId="700" totalsRowDxfId="699" dataCellStyle="Comma">
      <calculatedColumnFormula>D96</calculatedColumnFormula>
    </tableColumn>
    <tableColumn id="5" xr3:uid="{C56C20F9-F628-42A4-B9BE-2C30D0AED92D}" name="2014" totalsRowFunction="sum" dataDxfId="698" totalsRowDxfId="697" dataCellStyle="Comma">
      <calculatedColumnFormula>E96</calculatedColumnFormula>
    </tableColumn>
    <tableColumn id="6" xr3:uid="{E5DB752A-60B7-4B4C-94BB-921FED6E7963}" name="2016" totalsRowFunction="sum" dataDxfId="696" totalsRowDxfId="695" dataCellStyle="Comma">
      <calculatedColumnFormula>F96</calculatedColumnFormula>
    </tableColumn>
    <tableColumn id="7" xr3:uid="{8B66E965-5CE6-43E0-B8E8-602AC61A6814}" name="2019" totalsRowFunction="sum" dataDxfId="694" totalsRowDxfId="693" dataCellStyle="Comma">
      <calculatedColumnFormula>G96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2D0A1E61-BDD9-4416-ABCF-E9066CA65030}" name="Interpolation_of_passenger_kilometers_by_mode" displayName="Interpolation_of_passenger_kilometers_by_mode" ref="A45:L55" totalsRowCount="1">
  <autoFilter ref="A45:L54" xr:uid="{5D7B048C-DDD4-40BF-B8B9-DB708D789791}"/>
  <tableColumns count="12">
    <tableColumn id="1" xr3:uid="{389CEEA5-6D5F-4EEB-AED2-6E8F73F9CC9F}" name="Interpolation of  Passenger Kilometres" dataDxfId="692" totalsRowDxfId="691"/>
    <tableColumn id="2" xr3:uid="{ACAE021E-F5AA-43FC-AD41-C831A6CA3195}" name="2009" dataDxfId="690" totalsRowDxfId="689">
      <calculatedColumnFormula>B35</calculatedColumnFormula>
    </tableColumn>
    <tableColumn id="3" xr3:uid="{BEF81260-AB05-4DD8-B67B-7B247DBA2AEB}" name="2010" dataDxfId="688" totalsRowDxfId="687">
      <calculatedColumnFormula>B46+($C35-$B35)/(2012-2009)</calculatedColumnFormula>
    </tableColumn>
    <tableColumn id="4" xr3:uid="{56737773-84BF-4CBB-BED0-57C56C7C07FC}" name="2011" dataDxfId="686" totalsRowDxfId="685">
      <calculatedColumnFormula>C46+($C35-$B35)/(2012-2009)</calculatedColumnFormula>
    </tableColumn>
    <tableColumn id="5" xr3:uid="{AF2A2BE0-B571-4455-9EB7-C64094D8DF7C}" name="2012" dataDxfId="684" totalsRowDxfId="683">
      <calculatedColumnFormula>C35</calculatedColumnFormula>
    </tableColumn>
    <tableColumn id="6" xr3:uid="{305D48E5-4639-4FF5-B310-EF53339BC8AF}" name="2013" dataDxfId="682" totalsRowDxfId="681">
      <calculatedColumnFormula>D35</calculatedColumnFormula>
    </tableColumn>
    <tableColumn id="7" xr3:uid="{20634F39-4252-4771-8569-4B9783E8D6B1}" name="2014" dataDxfId="680" totalsRowDxfId="679">
      <calculatedColumnFormula>E35</calculatedColumnFormula>
    </tableColumn>
    <tableColumn id="8" xr3:uid="{5F46B84F-E1E8-4A1E-BA2A-8C039008C3CB}" name="2015" dataDxfId="678" totalsRowDxfId="677">
      <calculatedColumnFormula>G46+(F35-E35)/2</calculatedColumnFormula>
    </tableColumn>
    <tableColumn id="9" xr3:uid="{71CDAA8F-404E-4FFB-8916-DBD2EBEC851F}" name="2016" dataDxfId="676" totalsRowDxfId="675">
      <calculatedColumnFormula>F35</calculatedColumnFormula>
    </tableColumn>
    <tableColumn id="10" xr3:uid="{A6C72605-3CB1-48AC-AE13-52BB72B78679}" name="2017" totalsRowFunction="custom" dataDxfId="674" totalsRowDxfId="673">
      <calculatedColumnFormula>I46+($G35-$F35)/($L45-$I45)</calculatedColumnFormula>
      <totalsRowFormula>J46-I46</totalsRowFormula>
    </tableColumn>
    <tableColumn id="11" xr3:uid="{A570C1D4-2629-47E5-99B2-C81D8B8A5100}" name="2018" totalsRowFunction="custom" dataDxfId="672" totalsRowDxfId="671">
      <calculatedColumnFormula>J46+($G$35-$F$35)/($L$45-$I$45)</calculatedColumnFormula>
      <totalsRowFormula>K46-J46</totalsRowFormula>
    </tableColumn>
    <tableColumn id="12" xr3:uid="{5C37C6D8-292B-4714-A183-BD6B9F009F03}" name="2019" totalsRowFunction="custom" dataDxfId="670" totalsRowDxfId="669">
      <calculatedColumnFormula>G35</calculatedColumnFormula>
      <totalsRowFormula>L46-K46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39153EE6-6F85-49E6-AE7D-39E4C33E83D7}" name="Table9092" displayName="Table9092" ref="A82:L92" totalsRowCount="1">
  <autoFilter ref="A82:L91" xr:uid="{79EABF9F-A244-4941-B63E-3ACC8394727C}"/>
  <tableColumns count="12">
    <tableColumn id="1" xr3:uid="{883AD567-2819-4BF0-9020-B86B4E70A6F5}" name="Interpolation of  Passenger Kilometres by trip purpose" dataDxfId="668" totalsRowDxfId="667"/>
    <tableColumn id="2" xr3:uid="{45808878-63B8-4E5B-B85E-F59C68C149A6}" name="2009" totalsRowFunction="custom" dataDxfId="666" totalsRowDxfId="665">
      <calculatedColumnFormula>B71</calculatedColumnFormula>
      <totalsRowFormula>SUM(Table9092[2009])</totalsRowFormula>
    </tableColumn>
    <tableColumn id="3" xr3:uid="{6F7068DB-69C1-4CA9-B4A9-AADCDDF9A43C}" name="2010" totalsRowFunction="custom" dataDxfId="664" totalsRowDxfId="663">
      <calculatedColumnFormula>B83+($C71-$B71)/(2012-2009)</calculatedColumnFormula>
      <totalsRowFormula>SUM(Table9092[2010])</totalsRowFormula>
    </tableColumn>
    <tableColumn id="4" xr3:uid="{E81B29C7-E8A7-49EA-99D7-5D22F11B83AE}" name="2011" totalsRowFunction="custom" dataDxfId="662" totalsRowDxfId="661">
      <calculatedColumnFormula>C83+($C71-$B71)/(2012-2009)</calculatedColumnFormula>
      <totalsRowFormula>SUM(Table9092[2011])</totalsRowFormula>
    </tableColumn>
    <tableColumn id="5" xr3:uid="{738DD6A9-9616-4859-9464-311D67EAF9CC}" name="2012" totalsRowFunction="custom" dataDxfId="660" totalsRowDxfId="659">
      <calculatedColumnFormula>C71</calculatedColumnFormula>
      <totalsRowFormula>SUM(Table9092[2012])</totalsRowFormula>
    </tableColumn>
    <tableColumn id="6" xr3:uid="{3307E20D-31E4-40BC-B3E2-5322175C115E}" name="2013" totalsRowFunction="custom" dataDxfId="658" totalsRowDxfId="657">
      <calculatedColumnFormula>D71</calculatedColumnFormula>
      <totalsRowFormula>SUM(Table9092[2013])</totalsRowFormula>
    </tableColumn>
    <tableColumn id="7" xr3:uid="{E6B6B49C-71EF-48C7-AF30-5752977B6284}" name="2014" totalsRowFunction="custom" dataDxfId="656" totalsRowDxfId="655">
      <calculatedColumnFormula>E71</calculatedColumnFormula>
      <totalsRowFormula>SUM(Table9092[2014])</totalsRowFormula>
    </tableColumn>
    <tableColumn id="8" xr3:uid="{4B4C810F-95B9-4967-897A-BACE70D14C95}" name="2015" totalsRowFunction="custom" dataDxfId="654" totalsRowDxfId="653">
      <calculatedColumnFormula>G83+(F71-E71)/2</calculatedColumnFormula>
      <totalsRowFormula>SUM(Table9092[2015])</totalsRowFormula>
    </tableColumn>
    <tableColumn id="9" xr3:uid="{6E670793-4954-4700-BBC1-F96421D0A6D7}" name="2016" totalsRowFunction="custom" dataDxfId="652" totalsRowDxfId="651">
      <calculatedColumnFormula>F71</calculatedColumnFormula>
      <totalsRowFormula>SUM(Table9092[2016])</totalsRowFormula>
    </tableColumn>
    <tableColumn id="10" xr3:uid="{2546932E-4FBB-4F0A-82A8-3F07E289BD01}" name="2017" totalsRowFunction="custom" dataDxfId="650" totalsRowDxfId="649">
      <calculatedColumnFormula>I83+($G71-$F71)/($L$82-$I$82)</calculatedColumnFormula>
      <totalsRowFormula>SUM(Table9092[2017])</totalsRowFormula>
    </tableColumn>
    <tableColumn id="11" xr3:uid="{A3E6395A-CB62-4992-8CEA-E955E22EC160}" name="2018" totalsRowFunction="custom" dataDxfId="648" totalsRowDxfId="647">
      <calculatedColumnFormula>J83+($G71-$F71)/($L$82-$I$82)</calculatedColumnFormula>
      <totalsRowFormula>SUM(Table9092[2018])</totalsRowFormula>
    </tableColumn>
    <tableColumn id="12" xr3:uid="{04043D21-AF81-45A3-85B4-BE9F4F2A9A3B}" name="2019" totalsRowFunction="custom" dataDxfId="646" totalsRowDxfId="645">
      <calculatedColumnFormula>G71</calculatedColumnFormula>
      <totalsRowFormula>SUM(Table9092[2019])</totalsRow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61DFB8-C923-4084-B5A2-A658A21DA088}" name="Table909293" displayName="Table909293" ref="A111:L117" totalsRowCount="1">
  <autoFilter ref="A111:L116" xr:uid="{66B06C68-FB2D-4C72-ACAB-257C348143F6}"/>
  <tableColumns count="12">
    <tableColumn id="1" xr3:uid="{1274CE62-E642-49F4-9165-D2A33139F11C}" name="Interpolation of  Passenger Kilometres by trip distance" dataDxfId="644" totalsRowDxfId="643">
      <calculatedColumnFormula>A104</calculatedColumnFormula>
    </tableColumn>
    <tableColumn id="2" xr3:uid="{F17A4BF0-BBAB-45D0-92BE-AD20C6FFB8DB}" name="2009" totalsRowFunction="custom" dataDxfId="642" totalsRowDxfId="641">
      <calculatedColumnFormula>B104</calculatedColumnFormula>
      <totalsRowFormula>SUM(Table909293[2009])</totalsRowFormula>
    </tableColumn>
    <tableColumn id="3" xr3:uid="{631E71A0-EA6F-43B0-82AA-14EF41483725}" name="2010" totalsRowFunction="custom" dataDxfId="640" totalsRowDxfId="639">
      <calculatedColumnFormula>B112+($C104-$B104)/(2012-2009)</calculatedColumnFormula>
      <totalsRowFormula>SUM(Table909293[2010])</totalsRowFormula>
    </tableColumn>
    <tableColumn id="4" xr3:uid="{E93D769C-56C3-4B2F-9DC9-05E302F4BE4C}" name="2011" totalsRowFunction="custom" dataDxfId="638" totalsRowDxfId="637">
      <calculatedColumnFormula>C112+($C104-$B104)/(2012-2009)</calculatedColumnFormula>
      <totalsRowFormula>SUM(Table909293[2011])</totalsRowFormula>
    </tableColumn>
    <tableColumn id="5" xr3:uid="{760F7475-5644-400B-BF04-CC28C189F0BD}" name="2012" totalsRowFunction="custom" dataDxfId="636" totalsRowDxfId="635">
      <calculatedColumnFormula>C104</calculatedColumnFormula>
      <totalsRowFormula>SUM(Table909293[2012])</totalsRowFormula>
    </tableColumn>
    <tableColumn id="6" xr3:uid="{56978E93-9A8E-4556-9951-328FAE85B0AA}" name="2013" totalsRowFunction="custom" dataDxfId="634" totalsRowDxfId="633">
      <calculatedColumnFormula>D104</calculatedColumnFormula>
      <totalsRowFormula>SUM(Table909293[2013])</totalsRowFormula>
    </tableColumn>
    <tableColumn id="7" xr3:uid="{3780B0D7-8819-450D-BFAB-5ED438236BF8}" name="2014" totalsRowFunction="custom" dataDxfId="632" totalsRowDxfId="631">
      <calculatedColumnFormula>E104</calculatedColumnFormula>
      <totalsRowFormula>SUM(Table909293[2014])</totalsRowFormula>
    </tableColumn>
    <tableColumn id="8" xr3:uid="{850AA733-04A4-4AFF-8176-5796BAE0FE48}" name="2015" totalsRowFunction="custom" dataDxfId="630" totalsRowDxfId="629">
      <calculatedColumnFormula>G112+(F104-E104)/2</calculatedColumnFormula>
      <totalsRowFormula>SUM(Table909293[2015])</totalsRowFormula>
    </tableColumn>
    <tableColumn id="9" xr3:uid="{997F1EDE-C7E8-4421-B7C6-A2B193CE6D62}" name="2016" totalsRowFunction="custom" dataDxfId="628" totalsRowDxfId="627">
      <calculatedColumnFormula>F104</calculatedColumnFormula>
      <totalsRowFormula>SUM(Table909293[2016])</totalsRowFormula>
    </tableColumn>
    <tableColumn id="10" xr3:uid="{185FE5DF-ED85-416E-B4BA-24810BBD346D}" name="2017" totalsRowFunction="custom" dataDxfId="626" totalsRowDxfId="625">
      <calculatedColumnFormula>I112+($G104-$F104)/($L111-$I111)</calculatedColumnFormula>
      <totalsRowFormula>SUM(Table909293[2017])</totalsRowFormula>
    </tableColumn>
    <tableColumn id="11" xr3:uid="{27C7A64D-A2D9-4DE1-91A7-5CEFB2CDB04B}" name="2018" totalsRowFunction="custom" dataDxfId="624" totalsRowDxfId="623">
      <calculatedColumnFormula>J112+($G104-$F104)/($L$111-$I$111)</calculatedColumnFormula>
      <totalsRowFormula>SUM(Table909293[2018])</totalsRowFormula>
    </tableColumn>
    <tableColumn id="12" xr3:uid="{6904E25A-2D31-4F9A-803E-7AEF39B07756}" name="2019" totalsRowFunction="custom" dataDxfId="622" totalsRowDxfId="621">
      <calculatedColumnFormula>G104</calculatedColumnFormula>
      <totalsRowFormula>SUM(Table909293[2019])</totalsRow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E242E367-9357-46A3-A172-84CFD18DB588}" name="Passenger_Kilometre_by_mode_type_in_billions" displayName="Passenger_Kilometre_by_mode_type_in_billions" ref="I34:O43" totalsRowShown="0" headerRowDxfId="620" dataDxfId="619" dataCellStyle="Comma">
  <autoFilter ref="I34:O43" xr:uid="{D8C4C0D4-9164-4D64-A4BF-D08DC24DCCA1}"/>
  <tableColumns count="7">
    <tableColumn id="1" xr3:uid="{A809AC5C-EB65-4274-9118-80E673848560}" name="Mode Type" dataDxfId="618"/>
    <tableColumn id="2" xr3:uid="{BB7EED97-FA0A-4B99-A0D1-33376E67D901}" name="2009" dataDxfId="617" dataCellStyle="Comma"/>
    <tableColumn id="3" xr3:uid="{01E39883-C9E6-47CB-84F2-454C13F01196}" name="2012" dataDxfId="616" dataCellStyle="Comma"/>
    <tableColumn id="4" xr3:uid="{EBAFA1DA-FB2F-46A2-8108-E047DB163561}" name="2013" dataDxfId="615" dataCellStyle="Comma"/>
    <tableColumn id="5" xr3:uid="{42B421C0-9576-41AC-8C99-F66E2293AC0E}" name="2014" dataDxfId="614" dataCellStyle="Comma"/>
    <tableColumn id="6" xr3:uid="{643DB03C-0047-4CDA-BAF7-8F1DE6E95F72}" name="2016" dataDxfId="613" dataCellStyle="Comma"/>
    <tableColumn id="7" xr3:uid="{F2E04512-EFD0-4525-8D84-2B9B1866B03A}" name="2019" dataDxfId="612" dataCellStyle="Comm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D903EBFC-5854-4BE9-8DFF-3A642FA6BAF7}" name="Interpolation_of_passenger_kilometers_by_mode_billions" displayName="Interpolation_of_passenger_kilometers_by_mode_billions" ref="N45:Y54" totalsRowShown="0" headerRowDxfId="611" dataDxfId="609" headerRowBorderDxfId="610" tableBorderDxfId="608">
  <autoFilter ref="N45:Y54" xr:uid="{F7BE1449-57F5-45F4-BDA5-95E5E6F8CF76}"/>
  <tableColumns count="12">
    <tableColumn id="1" xr3:uid="{38119519-0493-4FED-89DC-65CBF8663D51}" name="Interpolation of  Passenger Kilometres (Billions)" dataDxfId="607"/>
    <tableColumn id="2" xr3:uid="{63FE07C5-A26D-4D5A-9F6F-9B51C9883AED}" name="2009" dataDxfId="606">
      <calculatedColumnFormula>Interpolation_of_passenger_kilometers_by_mode[[#This Row],[2009]]/1000000000</calculatedColumnFormula>
    </tableColumn>
    <tableColumn id="3" xr3:uid="{7CE0E613-D90A-49B3-907E-35D4F1218BB0}" name="2010" dataDxfId="605">
      <calculatedColumnFormula>Interpolation_of_passenger_kilometers_by_mode[[#This Row],[2010]]/1000000000</calculatedColumnFormula>
    </tableColumn>
    <tableColumn id="4" xr3:uid="{0FC74044-D769-4CDC-B920-C5943817AE9B}" name="2011" dataDxfId="604">
      <calculatedColumnFormula>Interpolation_of_passenger_kilometers_by_mode[[#This Row],[2011]]/1000000000</calculatedColumnFormula>
    </tableColumn>
    <tableColumn id="5" xr3:uid="{0485524C-B484-4F8E-B98D-BE1D66F09843}" name="2012" dataDxfId="603">
      <calculatedColumnFormula>Interpolation_of_passenger_kilometers_by_mode[[#This Row],[2012]]/1000000000</calculatedColumnFormula>
    </tableColumn>
    <tableColumn id="6" xr3:uid="{F6EF4232-2957-4D8A-AB76-3871A6740FE7}" name="2013" dataDxfId="602">
      <calculatedColumnFormula>Interpolation_of_passenger_kilometers_by_mode[[#This Row],[2013]]/1000000000</calculatedColumnFormula>
    </tableColumn>
    <tableColumn id="7" xr3:uid="{DAED538A-799B-44C0-AAD2-5131A93379B8}" name="2014" dataDxfId="601">
      <calculatedColumnFormula>Interpolation_of_passenger_kilometers_by_mode[[#This Row],[2014]]/1000000000</calculatedColumnFormula>
    </tableColumn>
    <tableColumn id="8" xr3:uid="{FB22E74B-B443-42F8-921F-01EA552B5460}" name="2015" dataDxfId="600">
      <calculatedColumnFormula>Interpolation_of_passenger_kilometers_by_mode[[#This Row],[2015]]/1000000000</calculatedColumnFormula>
    </tableColumn>
    <tableColumn id="9" xr3:uid="{B3E27407-3AAF-41DB-9A57-E4D421CBC798}" name="2016" dataDxfId="599">
      <calculatedColumnFormula>Interpolation_of_passenger_kilometers_by_mode[[#This Row],[2016]]/1000000000</calculatedColumnFormula>
    </tableColumn>
    <tableColumn id="10" xr3:uid="{E441EAEF-02D3-4DD8-92D0-642CC471E257}" name="2017" dataDxfId="598">
      <calculatedColumnFormula>Interpolation_of_passenger_kilometers_by_mode[[#This Row],[2017]]/1000000000</calculatedColumnFormula>
    </tableColumn>
    <tableColumn id="11" xr3:uid="{E3F2E3C0-6457-4940-BB6C-4003ACE14DB9}" name="2018" dataDxfId="597">
      <calculatedColumnFormula>Interpolation_of_passenger_kilometers_by_mode[[#This Row],[2018]]/1000000000</calculatedColumnFormula>
    </tableColumn>
    <tableColumn id="12" xr3:uid="{F38F358C-7E93-4FFE-AFA0-918DFC215649}" name="2019" dataDxfId="596">
      <calculatedColumnFormula>Interpolation_of_passenger_kilometers_by_mode[[#This Row],[2019]]/1000000000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4C72E255-CA0C-42FB-9657-0259487BEE6C}" name="Inputs_for_LEAP" displayName="Inputs_for_LEAP" ref="Q34:W43" totalsRowShown="0" headerRowDxfId="595" tableBorderDxfId="594">
  <autoFilter ref="Q34:W43" xr:uid="{C68DDAA5-4DC4-405C-A947-366411ACEDC3}"/>
  <tableColumns count="7">
    <tableColumn id="1" xr3:uid="{39B8C400-1471-4464-B9F6-7B2801FF9819}" name="Mode Type" dataDxfId="593"/>
    <tableColumn id="2" xr3:uid="{B35E7816-B155-4CE2-BACA-0A168FDA8E48}" name="2009"/>
    <tableColumn id="3" xr3:uid="{DA10A2D8-5D99-40C4-8BFF-605AD0795E75}" name="2012"/>
    <tableColumn id="4" xr3:uid="{55B776A4-73EF-408A-BD9B-909A0B726B1D}" name="2013"/>
    <tableColumn id="5" xr3:uid="{70FD9AB9-A65B-44B2-9FF7-68BC4187369B}" name="2014"/>
    <tableColumn id="6" xr3:uid="{E34D0FF9-634D-4766-BDCF-743D2E51101B}" name="2016"/>
    <tableColumn id="7" xr3:uid="{C8BC685F-0664-447C-8A15-FF8C9AF9E204}" name="20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C5F97FA-7BD9-4C44-8D17-78FF9B37D18B}" name="Average_Distance_by_kilometre_grouping_for_mode_type" displayName="Average_Distance_by_kilometre_grouping_for_mode_type" ref="A1:G6" totalsRowShown="0" headerRowDxfId="536">
  <autoFilter ref="A1:G6" xr:uid="{BFAAB7C7-4BC4-44DF-BD2A-2B834D9BCC20}"/>
  <tableColumns count="7">
    <tableColumn id="1" xr3:uid="{56C44D6D-BEB7-47B9-BB66-B0BA3BD8D515}" name="Average Distance by kilometre grouping for mode types">
      <calculatedColumnFormula>Percentage_distribution_of_journey_distance_for_all_regions[[#This Row],[Percentage distribution of journey distance for all regions, 2009 - 2019]]</calculatedColumnFormula>
    </tableColumn>
    <tableColumn id="2" xr3:uid="{26006EA7-1105-499B-9C1D-E1A0068AB008}" name="2009"/>
    <tableColumn id="3" xr3:uid="{909D760D-6845-499D-B7E0-3796DE9F73CC}" name="2012"/>
    <tableColumn id="4" xr3:uid="{5A27A3B1-C086-448C-8CF6-D6DAA7179F47}" name="2013"/>
    <tableColumn id="5" xr3:uid="{37DB6F86-A8B9-47E7-B68B-6C94353A2494}" name="2014"/>
    <tableColumn id="6" xr3:uid="{4AF4DADC-CBD7-45F2-AAEE-990F49153B2D}" name="2016"/>
    <tableColumn id="7" xr3:uid="{820B3EFD-6D7B-4E2A-B8F0-D829508F2F70}" name="20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A3C562-681B-4D8D-933C-645D7E3C754A}" name="Private_Vehicle_Kilometres_Car_Stock" displayName="Private_Vehicle_Kilometres_Car_Stock" ref="A8:G9" totalsRowShown="0">
  <autoFilter ref="A8:G9" xr:uid="{9B568F3D-C15A-4180-BEE1-9FB8101CED17}"/>
  <tableColumns count="7">
    <tableColumn id="1" xr3:uid="{13E89397-F038-4914-A113-178BAAE96255}" name="Private vehicle kilometres from the Car Stock Model"/>
    <tableColumn id="2" xr3:uid="{5580A6C7-03C8-4461-8C2A-3E4501387D59}" name="2009" dataDxfId="535" dataCellStyle="Comma">
      <calculatedColumnFormula>K69</calculatedColumnFormula>
    </tableColumn>
    <tableColumn id="3" xr3:uid="{8A452697-1C57-4394-A9EA-0472FC20082F}" name="2012" dataDxfId="534" dataCellStyle="Comma">
      <calculatedColumnFormula>N69</calculatedColumnFormula>
    </tableColumn>
    <tableColumn id="4" xr3:uid="{843C1A26-E7E3-419D-9564-F646C16F0EFF}" name="2013" dataDxfId="533" dataCellStyle="Comma">
      <calculatedColumnFormula>O69</calculatedColumnFormula>
    </tableColumn>
    <tableColumn id="5" xr3:uid="{08A7A1E9-398E-4C31-8E9C-A286E25019D8}" name="2014" dataDxfId="532" dataCellStyle="Comma">
      <calculatedColumnFormula>P69</calculatedColumnFormula>
    </tableColumn>
    <tableColumn id="6" xr3:uid="{3A534AD4-A6A2-4660-A0D4-0686887E9363}" name="2016" dataDxfId="531" dataCellStyle="Comma">
      <calculatedColumnFormula>R69</calculatedColumnFormula>
    </tableColumn>
    <tableColumn id="7" xr3:uid="{2A6FE7C9-3E00-4E0A-BC5B-C6115C1645F4}" name="2019" dataDxfId="530" dataCellStyle="Comma">
      <calculatedColumnFormula>T69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53B39C0-BE58-4F62-9D14-F4AABD781DA9}" name="Private_Vehicle_Occupancy_from_TIMES" displayName="Private_Vehicle_Occupancy_from_TIMES" ref="A11:M12" totalsRowShown="0">
  <autoFilter ref="A11:M12" xr:uid="{27D77C0C-EADA-4CFC-A85C-50B41FBFF49A}"/>
  <tableColumns count="13">
    <tableColumn id="1" xr3:uid="{D7455A38-2505-4A04-88BC-D619C6361FAB}" name="Private Vehicle Occupancy"/>
    <tableColumn id="2" xr3:uid="{3C61E339-3E21-4D44-A139-E4BCAD6549F5}" name="2009"/>
    <tableColumn id="3" xr3:uid="{B7B20E00-E82C-4AF0-A5F7-D8FA4CB3BC44}" name="2010"/>
    <tableColumn id="4" xr3:uid="{FC579797-1CE9-4F91-8E1B-505A88AF4160}" name="2011"/>
    <tableColumn id="5" xr3:uid="{71E548F8-E8A7-4E66-B4B1-CA03B577E998}" name="2012"/>
    <tableColumn id="6" xr3:uid="{28EF4E58-65B4-47BB-8D56-D90BAD6EE0C8}" name="2013"/>
    <tableColumn id="7" xr3:uid="{315A6D04-1F35-4346-A31A-19B9209916D3}" name="2014"/>
    <tableColumn id="8" xr3:uid="{716D4C66-8163-43CA-853D-6F466638016E}" name="2015"/>
    <tableColumn id="9" xr3:uid="{E2E66C73-F5AB-479C-BBAE-6DAE41F6C00C}" name="2016"/>
    <tableColumn id="10" xr3:uid="{7DC159B4-E901-4AAE-B67A-E2B63D11A84F}" name="2017"/>
    <tableColumn id="11" xr3:uid="{5B184250-DAD8-40BF-B188-169A08C2A8E8}" name="2018"/>
    <tableColumn id="12" xr3:uid="{4572B6C6-9B87-4F36-B1F4-40F3FA5C6FFB}" name="2019"/>
    <tableColumn id="13" xr3:uid="{85C217FC-3E20-465F-806B-10ACB9CC8350}" name="202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8F7ADEE-2A59-462C-BDBF-D2D3E785E748}" name="Private_Vehicle_Passenger_Kilometres_Car_Stock_Model" displayName="Private_Vehicle_Passenger_Kilometres_Car_Stock_Model" ref="A14:G15" totalsRowShown="0" headerRowDxfId="529">
  <autoFilter ref="A14:G15" xr:uid="{3392C9B8-F231-4D0C-B81B-5A20CFA666F4}"/>
  <tableColumns count="7">
    <tableColumn id="1" xr3:uid="{0C5E6421-E079-4B39-A821-F088AECE2AE3}" name="Private vehicle passenger kilometres from Car Stock"/>
    <tableColumn id="2" xr3:uid="{D0B13047-3092-4C1B-9208-AF3DD5541B33}" name="2009" dataDxfId="528">
      <calculatedColumnFormula>Private_Vehicle_Kilometres_Car_Stock[2009]*Private_Vehicle_Occupancy_from_TIMES[2009]</calculatedColumnFormula>
    </tableColumn>
    <tableColumn id="3" xr3:uid="{11AA9491-5CDF-4A09-949E-09CDC02A1B7B}" name="2012" dataDxfId="527">
      <calculatedColumnFormula>Private_Vehicle_Kilometres_Car_Stock[2012]*Private_Vehicle_Occupancy_from_TIMES[2010]</calculatedColumnFormula>
    </tableColumn>
    <tableColumn id="4" xr3:uid="{8D4A0A44-A443-437D-9B24-29B97A89556D}" name="2013" dataDxfId="526">
      <calculatedColumnFormula>Private_Vehicle_Kilometres_Car_Stock[2013]*Private_Vehicle_Occupancy_from_TIMES[2011]</calculatedColumnFormula>
    </tableColumn>
    <tableColumn id="5" xr3:uid="{317D075F-F73F-4B6F-A016-3F03CC463E66}" name="2014" dataDxfId="525">
      <calculatedColumnFormula>Private_Vehicle_Kilometres_Car_Stock[2014]*Private_Vehicle_Occupancy_from_TIMES[2012]</calculatedColumnFormula>
    </tableColumn>
    <tableColumn id="6" xr3:uid="{866FF81D-7262-4498-A2B9-B8F4ABE14155}" name="2016" dataDxfId="524">
      <calculatedColumnFormula>Private_Vehicle_Kilometres_Car_Stock[2016]*Private_Vehicle_Occupancy_from_TIMES[2013]</calculatedColumnFormula>
    </tableColumn>
    <tableColumn id="7" xr3:uid="{4B0E6ED4-3144-4E11-8A88-9941A33EC13D}" name="2019" dataDxfId="523">
      <calculatedColumnFormula>Private_Vehicle_Kilometres_Car_Stock[2019]*Private_Vehicle_Occupancy_from_TIMES[2014]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EF92617-EB16-4E3A-909B-5C670F5E7D3A}" name="Calibration_for_8_km_category" displayName="Calibration_for_8_km_category" ref="A24:G25" totalsRowShown="0">
  <autoFilter ref="A24:G25" xr:uid="{D7D70EF0-1B16-4B8F-B5E9-A663ABC2EAAA}"/>
  <tableColumns count="7">
    <tableColumn id="1" xr3:uid="{D3CEA170-6F7D-4D11-A56C-8B6E250F71DB}" name="Calibration for 8+ kilometre category"/>
    <tableColumn id="2" xr3:uid="{79C04D1F-DC2E-460F-B592-2F12A021A746}" name="2009" dataDxfId="522">
      <calculatedColumnFormula>B15/B22</calculatedColumnFormula>
    </tableColumn>
    <tableColumn id="3" xr3:uid="{FB8DC13A-1D8E-4F66-A766-7769689505DE}" name="2012" dataDxfId="521">
      <calculatedColumnFormula>C15/C22</calculatedColumnFormula>
    </tableColumn>
    <tableColumn id="4" xr3:uid="{DB936C8D-DA5B-4881-87D0-7B9F70F4AF32}" name="2013" dataDxfId="520">
      <calculatedColumnFormula>D15/D22</calculatedColumnFormula>
    </tableColumn>
    <tableColumn id="5" xr3:uid="{B35BDCDC-BA3C-4A00-8354-CACE79BC40B7}" name="2014" dataDxfId="519">
      <calculatedColumnFormula>E15/E22</calculatedColumnFormula>
    </tableColumn>
    <tableColumn id="6" xr3:uid="{A191D03D-1B06-4234-92A8-A81989B8EA0A}" name="2016" dataDxfId="518">
      <calculatedColumnFormula>F15/F22</calculatedColumnFormula>
    </tableColumn>
    <tableColumn id="7" xr3:uid="{F436D83D-21BB-4905-831E-52C4323FE729}" name="2019" dataDxfId="517">
      <calculatedColumnFormula>G15/G22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698C60-11CF-4EFD-B6A0-9468FF4A7485}" name="Average_Distance_by_kilometres_grouping_for_trip_purpose" displayName="Average_Distance_by_kilometres_grouping_for_trip_purpose" ref="A27:G32" totalsRowShown="0">
  <autoFilter ref="A27:G32" xr:uid="{1D1A04A4-D3DA-4EE8-9A09-DF4741C3CB11}"/>
  <tableColumns count="7">
    <tableColumn id="1" xr3:uid="{E2961F66-4987-4BFA-9D6E-44B17B0C8316}" name="Average Distance by kilometre grouping for trip purpose">
      <calculatedColumnFormula>A2</calculatedColumnFormula>
    </tableColumn>
    <tableColumn id="2" xr3:uid="{308288CE-3152-4137-8950-C1EC37AC6002}" name="2009"/>
    <tableColumn id="3" xr3:uid="{05ECBEE4-07CB-43A6-86B3-C631D5D3301D}" name="2012"/>
    <tableColumn id="4" xr3:uid="{7EB9B18B-ADBB-4706-A034-4E7740EA82F4}" name="2013"/>
    <tableColumn id="5" xr3:uid="{F811ECE4-007E-4A1C-8BD9-E0B930EC2969}" name="2014"/>
    <tableColumn id="6" xr3:uid="{62302EFC-359F-4180-A997-81713CAF1E81}" name="2016"/>
    <tableColumn id="7" xr3:uid="{7958BDB0-36D6-42F0-A6D5-86A3F57EAF9F}" name="20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0DA066-080A-4F45-A14B-CC9B5DA55DD8}" name="Adjustment_factor_for_distance_based_on_trip_purpose" displayName="Adjustment_factor_for_distance_based_on_trip_purpose" ref="A37:G46" totalsRowShown="0" headerRowDxfId="516" dataDxfId="515">
  <autoFilter ref="A37:G46" xr:uid="{0833A286-D0DA-43E6-88B8-9238D863EEFE}"/>
  <tableColumns count="7">
    <tableColumn id="1" xr3:uid="{36A1BD5C-607E-4D13-9F0E-A3F5BD0E6863}" name=" Adjustment factor for distance based on trip purpose" dataDxfId="514"/>
    <tableColumn id="2" xr3:uid="{8DC5F2E6-BC10-41D3-ABCE-A2FD3715177C}" name="2009" dataDxfId="513">
      <calculatedColumnFormula>'CSO Tables'!B188/'CSO Tables'!B$188</calculatedColumnFormula>
    </tableColumn>
    <tableColumn id="3" xr3:uid="{70CE57B9-C0EB-44F7-9F59-FBA73FCE065E}" name="2012" dataDxfId="512">
      <calculatedColumnFormula>Adjustment_factor_for_distance_based_on_trip_purpose[[#This Row],[2009]]</calculatedColumnFormula>
    </tableColumn>
    <tableColumn id="4" xr3:uid="{9A9B0903-E333-4D56-8A8A-4206067A5976}" name="2013" dataDxfId="511">
      <calculatedColumnFormula>Adjustment_factor_for_distance_based_on_trip_purpose[[#This Row],[2009]]</calculatedColumnFormula>
    </tableColumn>
    <tableColumn id="5" xr3:uid="{4A46BCD2-FFD6-4E36-BCA2-56DE7CE4A602}" name="2014" dataDxfId="510">
      <calculatedColumnFormula>Adjustment_factor_for_distance_based_on_trip_purpose[[#This Row],[2009]]</calculatedColumnFormula>
    </tableColumn>
    <tableColumn id="6" xr3:uid="{D9DF2EEA-EE3B-4952-971A-CF6B43711403}" name="2016" dataDxfId="509">
      <calculatedColumnFormula>Adjustment_factor_for_distance_based_on_trip_purpose[[#This Row],[2009]]</calculatedColumnFormula>
    </tableColumn>
    <tableColumn id="7" xr3:uid="{BC69BB8A-90E4-4926-9440-4BE7B1DD86DB}" name="2019" dataDxfId="508">
      <calculatedColumnFormula>Adjustment_factor_for_distance_based_on_trip_purpose[[#This Row],[2009]]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E3B9639-7387-4B1B-9097-025F6A50F626}" name="Calibration_for_purpose_category_with_mode_category" displayName="Calibration_for_purpose_category_with_mode_category" ref="A53:G54" totalsRowShown="0" tableBorderDxfId="507">
  <autoFilter ref="A53:G54" xr:uid="{652A414C-54FC-43DD-9AB2-41245F44EC46}"/>
  <tableColumns count="7">
    <tableColumn id="1" xr3:uid="{66871913-B0ED-4081-824F-1EFB9B9AB696}" name="Calibration for purpose category with mode category" dataDxfId="506"/>
    <tableColumn id="2" xr3:uid="{57CC87FA-A681-4569-832C-C43F39D93BAF}" name="2009" dataDxfId="505">
      <calculatedColumnFormula>B51/B35</calculatedColumnFormula>
    </tableColumn>
    <tableColumn id="3" xr3:uid="{1B96665A-9AF3-4165-966A-F82CDFEB12C5}" name="2012" dataDxfId="504">
      <calculatedColumnFormula>C51/C35</calculatedColumnFormula>
    </tableColumn>
    <tableColumn id="4" xr3:uid="{5A93A9F1-9498-437A-9FF1-2A87C2F4B875}" name="2013" dataDxfId="503">
      <calculatedColumnFormula>D51/D35</calculatedColumnFormula>
    </tableColumn>
    <tableColumn id="5" xr3:uid="{F8B051C7-8196-4C06-97A3-BFC3F1C26D75}" name="2014" dataDxfId="502">
      <calculatedColumnFormula>E51/E35</calculatedColumnFormula>
    </tableColumn>
    <tableColumn id="6" xr3:uid="{55A12061-9E83-4B8F-9EBB-D399B9EF8DA5}" name="2016" dataDxfId="501">
      <calculatedColumnFormula>F51/F35</calculatedColumnFormula>
    </tableColumn>
    <tableColumn id="7" xr3:uid="{AB11BAC0-3DBA-48D0-95DC-F76E894D6C32}" name="2019" dataDxfId="500">
      <calculatedColumnFormula>G51/G35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39EE1F3-5537-4963-AF76-20813E609907}" name="Total_vehicle_activity" displayName="Total_vehicle_activity" ref="A63:T69" totalsRowShown="0" dataDxfId="499" dataCellStyle="Comma">
  <autoFilter ref="A63:T69" xr:uid="{4058385E-6907-4160-A8EB-944406CDC496}"/>
  <tableColumns count="20">
    <tableColumn id="1" xr3:uid="{88D315AB-DE53-4F15-9E4C-B871EF32E39B}" name="Fuel Type"/>
    <tableColumn id="2" xr3:uid="{03E07EF3-2894-424C-AE7E-E59F9287E7E7}" name="Unit"/>
    <tableColumn id="3" xr3:uid="{DE52E634-B2E2-4FEF-A872-83668146FA26}" name="2001" dataDxfId="498" dataCellStyle="Comma"/>
    <tableColumn id="4" xr3:uid="{48576B31-8167-4717-90E5-77DBF612139F}" name="2002" dataDxfId="497" dataCellStyle="Comma"/>
    <tableColumn id="5" xr3:uid="{A2F1590C-A5F6-4F9A-8098-169C05417F45}" name="2003" dataDxfId="496" dataCellStyle="Comma"/>
    <tableColumn id="6" xr3:uid="{0655B601-2E7E-48E8-AF35-A8E790FCE7B1}" name="2004" dataDxfId="495" dataCellStyle="Comma"/>
    <tableColumn id="7" xr3:uid="{D3696269-DDAD-45C8-9E9C-8FF71E83EE4D}" name="2005" dataDxfId="494" dataCellStyle="Comma"/>
    <tableColumn id="8" xr3:uid="{A399A6E6-363C-4A0F-95F6-773DFD581437}" name="2006" dataDxfId="493" dataCellStyle="Comma"/>
    <tableColumn id="9" xr3:uid="{F8713175-4F11-4C59-AF2A-F99544E7C688}" name="2007" dataDxfId="492" dataCellStyle="Comma"/>
    <tableColumn id="10" xr3:uid="{0E6A2EAC-451F-4ECA-8918-8C760BF38479}" name="2008" dataDxfId="491" dataCellStyle="Comma"/>
    <tableColumn id="11" xr3:uid="{AEBB1904-429A-4BBE-93A8-BA5343783B61}" name="2009" dataDxfId="490" dataCellStyle="Comma"/>
    <tableColumn id="12" xr3:uid="{A51C39F1-2753-47D8-A715-DEF773E14D0C}" name="2010" dataDxfId="489" dataCellStyle="Comma"/>
    <tableColumn id="13" xr3:uid="{51EB6981-5894-4DEF-A9C7-FCB6A8C4E6A1}" name="2011" dataDxfId="488" dataCellStyle="Comma"/>
    <tableColumn id="14" xr3:uid="{470FDFB6-D6A0-4F36-9729-60C51A06AB59}" name="2012" dataDxfId="487" dataCellStyle="Comma"/>
    <tableColumn id="15" xr3:uid="{824861B5-DE47-4F47-BE40-74ED366275EB}" name="2013" dataDxfId="486" dataCellStyle="Comma"/>
    <tableColumn id="16" xr3:uid="{A39163D1-80A1-4287-B456-16065892BEFB}" name="2014" dataDxfId="485" dataCellStyle="Comma"/>
    <tableColumn id="17" xr3:uid="{B291C64B-6BE3-4B31-9F4C-E9F45A155EBA}" name="2015" dataDxfId="484" dataCellStyle="Comma"/>
    <tableColumn id="18" xr3:uid="{8558A211-CE92-433F-9800-327C33C8B945}" name="2016" dataDxfId="483" dataCellStyle="Comma"/>
    <tableColumn id="19" xr3:uid="{4FA97FAC-80DE-4B94-BC6D-5BAB64A0CC05}" name="2017" dataDxfId="482" dataCellStyle="Comma"/>
    <tableColumn id="20" xr3:uid="{9B7F4308-2C92-45A7-BD77-6F33DD563704}" name="2018" dataDxfId="481" dataCellStyle="Comma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82FAE6-D58A-4850-84BB-398F20223FD2}" name="Table2" displayName="Table2" ref="A74:G83" totalsRowShown="0">
  <autoFilter ref="A74:G83" xr:uid="{F6CA6955-540D-4B6B-A4AE-E9A3AFE8FEE7}"/>
  <tableColumns count="7">
    <tableColumn id="1" xr3:uid="{8E970761-34B4-4CC0-ACE2-109341D1B4EF}" name="Number of journeys by trip purpose" dataDxfId="480"/>
    <tableColumn id="2" xr3:uid="{C5AA2B2D-9DF3-41C3-B252-A6394F0A0BB7}" name="2009" dataDxfId="479">
      <calculatedColumnFormula>Total_Journeys_Per_Year[2009]*'CSO Tables'!B260/100</calculatedColumnFormula>
    </tableColumn>
    <tableColumn id="3" xr3:uid="{2A8A2004-0CFD-4BCE-9395-3B08C262DA0E}" name="2012">
      <calculatedColumnFormula>Total_Journeys_Per_Year[2012]*'CSO Tables'!C260/100</calculatedColumnFormula>
    </tableColumn>
    <tableColumn id="4" xr3:uid="{CDD2920B-B0B4-4B1D-9895-F1DD43B92B28}" name="2013">
      <calculatedColumnFormula>Total_Journeys_Per_Year[2013]*'CSO Tables'!D260/100</calculatedColumnFormula>
    </tableColumn>
    <tableColumn id="5" xr3:uid="{058A43E0-D219-4D39-98B9-631253694F36}" name="2014">
      <calculatedColumnFormula>Total_Journeys_Per_Year[2014]*'CSO Tables'!E260/100</calculatedColumnFormula>
    </tableColumn>
    <tableColumn id="6" xr3:uid="{F3CB59C7-CA78-4AA0-B259-D6C083DF595E}" name="2016">
      <calculatedColumnFormula>Total_Journeys_Per_Year[2016]*'CSO Tables'!F260/100</calculatedColumnFormula>
    </tableColumn>
    <tableColumn id="7" xr3:uid="{28AE45CA-4EA9-48E6-93BA-EC677452499F}" name="2019">
      <calculatedColumnFormula>Total_Journeys_Per_Year[2019]*'CSO Tables'!G260/100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AD8D16-6C57-4296-B5DB-C48E16FC8DF5}" name="Average_distance_of_journeys_by_trip_purpose" displayName="Average_distance_of_journeys_by_trip_purpose" ref="A99:G108" totalsRowShown="0">
  <autoFilter ref="A99:G108" xr:uid="{E8532B16-7AAA-4C70-9A6A-7545B55441F5}"/>
  <tableColumns count="7">
    <tableColumn id="1" xr3:uid="{84110E1E-CA15-4AFA-AE4F-A8679773C4B4}" name="Average distance of journeys by trip purpose" dataDxfId="478"/>
    <tableColumn id="2" xr3:uid="{2435E7B3-281F-4A29-AE4E-7BED3EC8B797}" name="2009" dataDxfId="477">
      <calculatedColumnFormula>'PKM display'!B79/'PKM calculation Assumptions'!B75</calculatedColumnFormula>
    </tableColumn>
    <tableColumn id="3" xr3:uid="{98E61F85-B496-4CFD-A717-92DFB6915D25}" name="2012" dataDxfId="476">
      <calculatedColumnFormula>Total_Journeys_Per_Year[2012]*'CSO Tables'!C285/100</calculatedColumnFormula>
    </tableColumn>
    <tableColumn id="4" xr3:uid="{924FAE1C-24B7-49E2-9694-1F4D776CB5D9}" name="2013" dataDxfId="475">
      <calculatedColumnFormula>Total_Journeys_Per_Year[2013]*'CSO Tables'!D285/100</calculatedColumnFormula>
    </tableColumn>
    <tableColumn id="5" xr3:uid="{37FBDB5B-0CA1-4309-AC5B-5053C93AEA5A}" name="2014" dataDxfId="474">
      <calculatedColumnFormula>Total_Journeys_Per_Year[2014]*'CSO Tables'!E285/100</calculatedColumnFormula>
    </tableColumn>
    <tableColumn id="6" xr3:uid="{557236D6-9673-4114-B20C-05F1DAACC976}" name="2016" dataDxfId="473">
      <calculatedColumnFormula>Total_Journeys_Per_Year[2016]*'CSO Tables'!F285/100</calculatedColumnFormula>
    </tableColumn>
    <tableColumn id="7" xr3:uid="{287DEA4A-3819-499F-90C0-0A45684077A8}" name="2019" dataDxfId="472">
      <calculatedColumnFormula>Total_Journeys_Per_Year[2019]*'CSO Tables'!G285/100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701CF41-3220-4D34-9EB3-1DBBC1D1F93A}" name="Occupancy_of_Public_Transport" displayName="Occupancy_of_Public_Transport" ref="A1:L5" totalsRowShown="0">
  <autoFilter ref="A1:L5" xr:uid="{DC91EBDF-90EA-425D-990E-FCF45CBE7F0F}"/>
  <tableColumns count="12">
    <tableColumn id="1" xr3:uid="{8DFABA40-F99A-494A-A9CF-F3E82380F2D7}" name="Occupancy Public Transport"/>
    <tableColumn id="2" xr3:uid="{660D7B39-492D-45F0-8206-6A78121C1E02}" name="2009"/>
    <tableColumn id="3" xr3:uid="{7D2D2E2C-338C-4672-9FF2-D749C2A1D07A}" name="2010" dataDxfId="471">
      <calculatedColumnFormula>C8/C42</calculatedColumnFormula>
    </tableColumn>
    <tableColumn id="4" xr3:uid="{A4444A52-E6C8-46EA-B9CB-F595EF79FAD8}" name="2011" dataDxfId="470">
      <calculatedColumnFormula>D8/D42</calculatedColumnFormula>
    </tableColumn>
    <tableColumn id="5" xr3:uid="{69DB1430-D8A0-4F94-8A3C-E79D27DD0D43}" name="2012" dataDxfId="469">
      <calculatedColumnFormula>E8/E42</calculatedColumnFormula>
    </tableColumn>
    <tableColumn id="6" xr3:uid="{87DF3026-99CD-4DFE-93D5-1387DDFE8F2C}" name="2013" dataDxfId="468">
      <calculatedColumnFormula>F8/F42</calculatedColumnFormula>
    </tableColumn>
    <tableColumn id="7" xr3:uid="{478DC181-17F6-45DA-8A79-4455C724E73D}" name="2014" dataDxfId="467">
      <calculatedColumnFormula>G8/G42</calculatedColumnFormula>
    </tableColumn>
    <tableColumn id="8" xr3:uid="{7D8815DB-F86B-4DE2-85ED-2C22F836273C}" name="2015" dataDxfId="466">
      <calculatedColumnFormula>H8/H42</calculatedColumnFormula>
    </tableColumn>
    <tableColumn id="9" xr3:uid="{C90C10A8-2D68-4E54-AF5C-01D0ED40CDFE}" name="2016" dataDxfId="465">
      <calculatedColumnFormula>I8/I42</calculatedColumnFormula>
    </tableColumn>
    <tableColumn id="10" xr3:uid="{CB92F608-6FE2-4DF0-AB04-70F80A5081B7}" name="2017" dataDxfId="464">
      <calculatedColumnFormula>J8/J42</calculatedColumnFormula>
    </tableColumn>
    <tableColumn id="11" xr3:uid="{368B01AB-0CD4-44B7-8AFB-E5974B23F8CD}" name="2018" dataDxfId="463">
      <calculatedColumnFormula>K8/K42</calculatedColumnFormula>
    </tableColumn>
    <tableColumn id="12" xr3:uid="{83670528-8F54-4FE1-ACE9-B380EB70056F}" name="201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EB57100-9E83-40C1-B305-DA1B5AED6993}" name="Vehicle_Kilometres_Public_Transport" displayName="Vehicle_Kilometres_Public_Transport" ref="A41:L53" totalsRowShown="0">
  <autoFilter ref="A41:L53" xr:uid="{DF3FE577-2224-44AF-AA32-CBC8B7267009}"/>
  <tableColumns count="12">
    <tableColumn id="1" xr3:uid="{09FEEBBC-5585-4C82-9612-1243863225DA}" name="Vehicle kilometres"/>
    <tableColumn id="2" xr3:uid="{3D5856A0-FB49-43BA-9E80-6B5900F3F8C2}" name="2009"/>
    <tableColumn id="3" xr3:uid="{7E5F5C99-CF65-4E86-AF44-1F587A0CC610}" name="2010"/>
    <tableColumn id="4" xr3:uid="{C249807A-55BA-4669-B08F-A690E4C4BBF7}" name="2011"/>
    <tableColumn id="5" xr3:uid="{E9EB792C-E112-45A0-9647-2AF885DBC11B}" name="2012"/>
    <tableColumn id="6" xr3:uid="{48E2947B-B07C-4A4D-8345-C9B2555E80D6}" name="2013"/>
    <tableColumn id="7" xr3:uid="{1F49C721-D0FB-4645-8F83-AE8F0FC3C389}" name="2014"/>
    <tableColumn id="8" xr3:uid="{0706477E-41D4-43C1-A05C-05F15F02924A}" name="2015"/>
    <tableColumn id="9" xr3:uid="{208BB269-5E92-4B4D-8C3C-4B21B7AC055F}" name="2016"/>
    <tableColumn id="10" xr3:uid="{22DA667B-4630-4147-B59F-EA3C63513344}" name="2017"/>
    <tableColumn id="11" xr3:uid="{669730EF-9D77-49B4-AA58-3E76D553AFD0}" name="2018"/>
    <tableColumn id="12" xr3:uid="{2D25BF6D-9205-4434-A11B-1928F266BD7A}" name="201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96372A0-8EE2-49C9-806B-AD44B490EDAB}" name="Diesel_Consumpetion_Public_Transport" displayName="Diesel_Consumpetion_Public_Transport" ref="A55:L64" totalsRowShown="0">
  <autoFilter ref="A55:L64" xr:uid="{132997DC-5FAC-44FC-BA93-E53B4AE5C4AE}"/>
  <tableColumns count="12">
    <tableColumn id="1" xr3:uid="{BCECEF84-C728-4B1A-9DBF-844D66129B40}" name="Diesel consumption per year Public Transport (kWh)"/>
    <tableColumn id="2" xr3:uid="{DD822C33-B99A-46D3-B734-C9E01916E6C1}" name="2009"/>
    <tableColumn id="3" xr3:uid="{39ABA9F6-0ECC-4013-A325-F437E8B49A26}" name="2010"/>
    <tableColumn id="4" xr3:uid="{D57672ED-F581-4EA8-AE87-0A90BF6EE075}" name="2011"/>
    <tableColumn id="5" xr3:uid="{BE724B81-E572-44CA-9256-580B751E8F52}" name="2012"/>
    <tableColumn id="6" xr3:uid="{5D2B2B3F-0B59-4434-B6AB-0BD38CBAFD60}" name="2013"/>
    <tableColumn id="7" xr3:uid="{1ABDDFAF-0BC8-47A2-B0AE-210571ADB906}" name="2014"/>
    <tableColumn id="8" xr3:uid="{3E6B617F-4A17-40F8-A232-2A21492B1414}" name="2015"/>
    <tableColumn id="9" xr3:uid="{35333849-89A8-4D28-8DAE-D124F71E752D}" name="2016"/>
    <tableColumn id="10" xr3:uid="{C3D04E3D-1FED-4B56-85ED-624C03B50721}" name="2017"/>
    <tableColumn id="11" xr3:uid="{506A60AB-310D-421D-AF11-DA6B1FD197B5}" name="2018"/>
    <tableColumn id="12" xr3:uid="{0CA241CC-EFF1-4D12-9169-9C79D1AEF595}" name="201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AEE6BCC-272D-4A0E-B146-70029C2F0220}" name="Electricity_Consumpetion_Public_Transport" displayName="Electricity_Consumpetion_Public_Transport" ref="A66:L78" totalsRowShown="0">
  <autoFilter ref="A66:L78" xr:uid="{EB0E9B98-3C07-4011-AED1-F67083FFCA56}"/>
  <tableColumns count="12">
    <tableColumn id="1" xr3:uid="{E6CD7EB9-326B-42B3-9ACD-4E013795454D}" name="Electricity consumption per year Public Transport (kWh)" dataDxfId="462"/>
    <tableColumn id="2" xr3:uid="{C3F500AE-674D-431C-867C-BD2D3713340B}" name="2009"/>
    <tableColumn id="3" xr3:uid="{68509D44-108E-4422-B83F-F2FBCC9B2EF0}" name="2010"/>
    <tableColumn id="4" xr3:uid="{91108FEF-53C4-4AA8-BA5A-36DA7DC38F92}" name="2011"/>
    <tableColumn id="5" xr3:uid="{1C497E3B-C1D4-4D06-9FA9-5006BFCE7AC7}" name="2012"/>
    <tableColumn id="6" xr3:uid="{84907B1E-0039-4DCE-B24D-E1D5951C3992}" name="2013"/>
    <tableColumn id="7" xr3:uid="{B09459DD-B681-4EC7-A9FD-065B07DE7B9A}" name="2014"/>
    <tableColumn id="8" xr3:uid="{F6BFC362-62A3-4CE2-9D43-20E4ABC45B24}" name="2015"/>
    <tableColumn id="9" xr3:uid="{19956B38-E83C-4409-8E59-F90BA190947D}" name="2016"/>
    <tableColumn id="10" xr3:uid="{8FDBBA1B-1A5C-4A59-BFD1-0FEC95C81200}" name="2017"/>
    <tableColumn id="11" xr3:uid="{B1AF0660-7D45-4755-AF0A-65F16C98833E}" name="2018"/>
    <tableColumn id="12" xr3:uid="{D43C0A57-0898-40AE-AE0A-7CCBCAEF6904}" name="2019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523569E-C92E-4FA9-A237-A0B98C19A816}" name="Natural_Gas_Consumpetion_Public_Transport" displayName="Natural_Gas_Consumpetion_Public_Transport" ref="A80:L89" totalsRowShown="0">
  <autoFilter ref="A80:L89" xr:uid="{C7C878F8-D64D-4E5E-B4FA-24B10B45D6DF}"/>
  <tableColumns count="12">
    <tableColumn id="1" xr3:uid="{633D3B18-D1C1-4557-8962-3FDECDB362EA}" name="Natural Gas consumption per year Public Transport (kWh)"/>
    <tableColumn id="2" xr3:uid="{629B4BB7-3897-44D4-9ABB-EA13EE9BC306}" name="2009"/>
    <tableColumn id="3" xr3:uid="{5E565916-5E16-4306-A642-4EA4D24557B1}" name="2010"/>
    <tableColumn id="4" xr3:uid="{02D54A2B-46C7-40F4-862F-98FE07F2E698}" name="2011"/>
    <tableColumn id="5" xr3:uid="{4C41C0C1-E5BE-4168-B314-BBBCCC630E0D}" name="2012"/>
    <tableColumn id="6" xr3:uid="{DE89AE56-AF54-40B0-A653-CD75D0E36040}" name="2013"/>
    <tableColumn id="7" xr3:uid="{8B1076ED-3287-472D-8C9B-FD224548222E}" name="2014"/>
    <tableColumn id="8" xr3:uid="{EC871960-5AD0-4986-92BA-FF27F19E3F8E}" name="2015"/>
    <tableColumn id="9" xr3:uid="{57B9E599-06D5-48A6-9A16-3A2F283ECC27}" name="2016"/>
    <tableColumn id="10" xr3:uid="{D580D77F-08DD-492A-86B5-E974CEEF6F45}" name="2017"/>
    <tableColumn id="11" xr3:uid="{D37D3651-447F-43DB-9F48-AB93B1708438}" name="2018"/>
    <tableColumn id="12" xr3:uid="{FB1FA7AC-4F07-42F4-9C58-DF5768D820B1}" name="201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E39D25E-F11D-4B5F-87A8-1B10E4C5DC25}" name="Energy_Intensity_by_fuel_type_Dublin_Bus" displayName="Energy_Intensity_by_fuel_type_Dublin_Bus" ref="A105:L108" totalsRowShown="0">
  <autoFilter ref="A105:L108" xr:uid="{4830D507-B036-44A2-A45C-17430DF8B242}"/>
  <tableColumns count="12">
    <tableColumn id="1" xr3:uid="{A1F9CEEA-7CE8-4CC6-BE21-256DF54668C2}" name="Energy Intensity by Fuel Type - Dublin Bus (kWh/km)" dataDxfId="461"/>
    <tableColumn id="2" xr3:uid="{668E65AF-148F-47A8-A2BA-9DF0D3476150}" name="2009"/>
    <tableColumn id="3" xr3:uid="{AAD3DAC4-497C-4E1A-BAA2-950865B0CD7F}" name="2010" dataDxfId="460">
      <calculatedColumnFormula>C66/C$42</calculatedColumnFormula>
    </tableColumn>
    <tableColumn id="4" xr3:uid="{4D256B8C-60F0-446D-955A-506272B4402F}" name="2011">
      <calculatedColumnFormula>D66/D$42</calculatedColumnFormula>
    </tableColumn>
    <tableColumn id="5" xr3:uid="{C3788941-B244-4D06-B0F0-B8D14F234B9B}" name="2012">
      <calculatedColumnFormula>E66/E$42</calculatedColumnFormula>
    </tableColumn>
    <tableColumn id="6" xr3:uid="{607D7283-B940-4923-8D9A-001B5D927D8D}" name="2013">
      <calculatedColumnFormula>F66/F$42</calculatedColumnFormula>
    </tableColumn>
    <tableColumn id="7" xr3:uid="{95B1FF80-3209-47DE-8B7D-9A46747D9FF5}" name="2014">
      <calculatedColumnFormula>G66/G$42</calculatedColumnFormula>
    </tableColumn>
    <tableColumn id="8" xr3:uid="{643AD53F-B8DB-46E0-B605-6C54B2B13E12}" name="2015">
      <calculatedColumnFormula>H66/H$42</calculatedColumnFormula>
    </tableColumn>
    <tableColumn id="9" xr3:uid="{9780BC9C-44DD-4462-9A6F-049DCDA10330}" name="2016">
      <calculatedColumnFormula>I66/I$42</calculatedColumnFormula>
    </tableColumn>
    <tableColumn id="10" xr3:uid="{3A41386B-F55F-4409-AB3C-A2CE9D034E30}" name="2017">
      <calculatedColumnFormula>J66/J$42</calculatedColumnFormula>
    </tableColumn>
    <tableColumn id="11" xr3:uid="{F99ED1FA-096E-4F55-B925-FDF09F2E6015}" name="2018">
      <calculatedColumnFormula>K66/K$42</calculatedColumnFormula>
    </tableColumn>
    <tableColumn id="12" xr3:uid="{DEFDEA4A-A5DD-4E92-AAD2-EDDA0CA1B8FE}" name="2019">
      <calculatedColumnFormula>L67/$C$42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25DAEAB-F2E1-471D-9410-076C9E9A24B6}" name="Energy_Intensity_by_fuel_type_Bus_Éireann" displayName="Energy_Intensity_by_fuel_type_Bus_Éireann" ref="A110:L113" totalsRowShown="0">
  <autoFilter ref="A110:L113" xr:uid="{E0DDE2D0-91B5-4B1E-BE97-7FA23BE710FF}"/>
  <tableColumns count="12">
    <tableColumn id="1" xr3:uid="{A87DE4C7-FCE7-43A9-ACC8-E32881BFF3D4}" name="Energy Intensity by Fuel Type - Bus Éireann(kWh/km)" dataDxfId="459"/>
    <tableColumn id="2" xr3:uid="{9108E088-0BB6-42EE-AED9-A0985BCF8768}" name="2009"/>
    <tableColumn id="3" xr3:uid="{100081F5-8D4A-4971-967E-0195F1AD8F4D}" name="2010" dataDxfId="458">
      <calculatedColumnFormula>C59/C$45</calculatedColumnFormula>
    </tableColumn>
    <tableColumn id="4" xr3:uid="{6A500755-083E-4F36-A842-00A9F63CC9AB}" name="2011"/>
    <tableColumn id="5" xr3:uid="{439DC764-1D13-499F-B27D-E48F97BC84E6}" name="2012"/>
    <tableColumn id="6" xr3:uid="{F781A821-DA90-4497-A76E-AD3FF5445ECE}" name="2013"/>
    <tableColumn id="7" xr3:uid="{06B6262E-A714-40E5-844D-8E585AC3E357}" name="2014"/>
    <tableColumn id="8" xr3:uid="{2A2DC81A-9C0D-45D6-9121-5639D4E22B13}" name="2015"/>
    <tableColumn id="9" xr3:uid="{65033BF8-95BE-492B-A7BC-49C4AA6A2582}" name="2016"/>
    <tableColumn id="10" xr3:uid="{B3876299-506E-40E5-9CC0-63937499F331}" name="2017"/>
    <tableColumn id="11" xr3:uid="{3C12BD71-4572-4011-82DF-B7A08F86EB8F}" name="2018"/>
    <tableColumn id="12" xr3:uid="{362F982B-BAEE-49D0-8F12-37CD00948BEA}" name="2019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9B2D1C7-8B0A-4CBD-878C-E2CC15776310}" name="Energy_Intensity_by_fuel_type_Irish_Rail" displayName="Energy_Intensity_by_fuel_type_Irish_Rail" ref="A115:L118" totalsRowShown="0">
  <autoFilter ref="A115:L118" xr:uid="{AB206800-CAF2-4FF2-A000-A59638112E69}"/>
  <tableColumns count="12">
    <tableColumn id="1" xr3:uid="{05CBE439-3DB9-404B-AE02-4977571E9213}" name="Energy Intensity by Fuel Type - Irish Rail (KWh/km)" dataDxfId="457"/>
    <tableColumn id="2" xr3:uid="{30F2D533-A027-4797-BCD6-BC847F22A4E3}" name="2009"/>
    <tableColumn id="3" xr3:uid="{324B2402-1574-42F7-9986-C96947DEBEF6}" name="2010" dataDxfId="456">
      <calculatedColumnFormula>C62/$C$34</calculatedColumnFormula>
    </tableColumn>
    <tableColumn id="4" xr3:uid="{7A15812F-72C6-40CF-A6EE-AC859FE60358}" name="2011"/>
    <tableColumn id="5" xr3:uid="{518F7566-1847-4EC9-BAA0-9AD4F8E2901C}" name="2012"/>
    <tableColumn id="6" xr3:uid="{FD929DF6-4FE8-421F-8102-24252F15C934}" name="2013"/>
    <tableColumn id="7" xr3:uid="{EE19BAF5-B5D0-4873-85CA-ED883CE69EBC}" name="2014"/>
    <tableColumn id="8" xr3:uid="{0CD3C000-5F3D-4042-AE48-26F4D3ED1FAE}" name="2015"/>
    <tableColumn id="9" xr3:uid="{DBA2D6D2-A2E2-4021-8F45-DCDC6BF92DAF}" name="2016"/>
    <tableColumn id="10" xr3:uid="{1E64A6DA-B08C-43AD-9061-E05D00E63FA4}" name="2017"/>
    <tableColumn id="11" xr3:uid="{768B71DF-81F7-4BD1-A514-A43C9BCD8C26}" name="2018"/>
    <tableColumn id="12" xr3:uid="{6CE988BC-930F-44FA-8E6D-1FBC6F07ADFE}" name="2019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C87DAF21-349C-4AC3-92B3-30C3235E6F61}" name="Energy_Intensity_by_fuel_type_Luas" displayName="Energy_Intensity_by_fuel_type_Luas" ref="A120:L121" totalsRowShown="0">
  <autoFilter ref="A120:L121" xr:uid="{D4419400-300B-4BA1-8FAB-38D4B9934119}"/>
  <tableColumns count="12">
    <tableColumn id="1" xr3:uid="{CE728570-F067-4C6D-B0DD-E8BC41891242}" name="Energy Intensity by Fuel Type - Luas (kWh/km)" dataDxfId="455"/>
    <tableColumn id="2" xr3:uid="{A4EF1D75-86E6-4C30-BFE9-C8BFD9DBD5BF}" name="2009"/>
    <tableColumn id="3" xr3:uid="{B04D73CB-3999-451A-90FA-EE559D346594}" name="2010" dataDxfId="454">
      <calculatedColumnFormula>C76/C$17</calculatedColumnFormula>
    </tableColumn>
    <tableColumn id="4" xr3:uid="{0C43F10A-35BF-454F-A8DA-947BE7468ACD}" name="2011">
      <calculatedColumnFormula>D76/D$17</calculatedColumnFormula>
    </tableColumn>
    <tableColumn id="5" xr3:uid="{B8B9DE02-4733-4ADB-B542-21ED604A3548}" name="2012">
      <calculatedColumnFormula>E76/E$17</calculatedColumnFormula>
    </tableColumn>
    <tableColumn id="6" xr3:uid="{9310EFAC-F78B-4D1B-A9B5-C3E678E645A9}" name="2013">
      <calculatedColumnFormula>F76/F$17</calculatedColumnFormula>
    </tableColumn>
    <tableColumn id="7" xr3:uid="{87EF08EC-D95E-40D2-8D38-AEBEBF4974C7}" name="2014">
      <calculatedColumnFormula>G76/G$17</calculatedColumnFormula>
    </tableColumn>
    <tableColumn id="8" xr3:uid="{69D7B7D7-3FCA-4862-9BD7-F9C882EC86BB}" name="2015">
      <calculatedColumnFormula>H76/H$17</calculatedColumnFormula>
    </tableColumn>
    <tableColumn id="9" xr3:uid="{ACA1674A-4166-41E6-B98B-CF1B43073C2B}" name="2016">
      <calculatedColumnFormula>I76/I$17</calculatedColumnFormula>
    </tableColumn>
    <tableColumn id="10" xr3:uid="{444C36B6-0495-452F-88F9-3004670330F5}" name="2017">
      <calculatedColumnFormula>J76/J$17</calculatedColumnFormula>
    </tableColumn>
    <tableColumn id="11" xr3:uid="{DC53515E-CDDE-42EB-A638-39084867046C}" name="2018">
      <calculatedColumnFormula>K76/K$17</calculatedColumnFormula>
    </tableColumn>
    <tableColumn id="12" xr3:uid="{3B704301-229A-4C13-B6EC-BBB0C923E2D3}" name="2019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D0A5C5BC-1137-4AE0-A7EF-AA7970B9B072}" name="Passenger_Kilometres_Public_Transport" displayName="Passenger_Kilometres_Public_Transport" ref="A7:L19" totalsRowShown="0">
  <autoFilter ref="A7:L19" xr:uid="{D7BAB41A-8E27-4A4D-86A3-C66B11AC9EC8}"/>
  <tableColumns count="12">
    <tableColumn id="1" xr3:uid="{B07AF2DA-D733-497C-A61A-D72546F69B96}" name="Passenger Kilometres"/>
    <tableColumn id="2" xr3:uid="{D7F00328-5CB8-4F30-850B-A3F7C2D7C084}" name="2009"/>
    <tableColumn id="3" xr3:uid="{1382885C-B9A7-46A6-8237-EFED28DDCEE9}" name="2010" dataDxfId="453">
      <calculatedColumnFormula>C42/(C$45+C$42)*VLOOKUP("Bus",Passenger_Kilometre_by_mode_type[],2,FALSE)</calculatedColumnFormula>
    </tableColumn>
    <tableColumn id="4" xr3:uid="{08A26606-8D3E-4F2B-AD94-9693683584A1}" name="2011" dataDxfId="452">
      <calculatedColumnFormula>D42/(D$45+D$42)*VLOOKUP("Bus",Passenger_Kilometre_by_mode_type[],3,FALSE)</calculatedColumnFormula>
    </tableColumn>
    <tableColumn id="5" xr3:uid="{ACDC7A7B-D85C-4E11-96CC-F910EB23BD19}" name="2012" dataDxfId="451">
      <calculatedColumnFormula>E42/(E$45+E$42)</calculatedColumnFormula>
    </tableColumn>
    <tableColumn id="6" xr3:uid="{34E28B7F-52BB-43A4-847D-1689130E8F02}" name="2013"/>
    <tableColumn id="7" xr3:uid="{55C8DD89-562F-4107-B858-B53E7DB71458}" name="2014"/>
    <tableColumn id="8" xr3:uid="{599ACF24-3A81-4458-BE82-191502D3BCE4}" name="2015"/>
    <tableColumn id="9" xr3:uid="{2EB9B346-CE72-4F03-A767-CA294F0E6E60}" name="2016"/>
    <tableColumn id="10" xr3:uid="{D4A68FAC-1129-4CE6-9D60-0493D55FA6B6}" name="2017"/>
    <tableColumn id="11" xr3:uid="{263F4199-CBCD-44DB-AD97-0C3A3B743931}" name="2018"/>
    <tableColumn id="12" xr3:uid="{B3D272F0-88EF-483D-934E-4A5483D67A45}" name="2019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FDAFEA75-523A-4FAC-8599-D7052B9DF58A}" name="Passenger_Serviced_x_Vehicle_Kilometres_Factor" displayName="Passenger_Serviced_x_Vehicle_Kilometres_Factor" ref="A21:L25" totalsRowShown="0" headerRowDxfId="450">
  <autoFilter ref="A21:L25" xr:uid="{E145095D-2E97-4B6B-B550-A67C67DE47F6}"/>
  <tableColumns count="12">
    <tableColumn id="1" xr3:uid="{1F242168-A0EA-4EB1-BA38-EF33A47BCE03}" name="Passenger Serviced*Vehicle KM factor" dataDxfId="449"/>
    <tableColumn id="2" xr3:uid="{513C9EFF-6EFE-45E2-822F-9ECBA64896F9}" name="2009"/>
    <tableColumn id="3" xr3:uid="{20F92D1F-6013-4025-8123-836ADB4DEE64}" name="2010" dataDxfId="448">
      <calculatedColumnFormula>C30/C44</calculatedColumnFormula>
    </tableColumn>
    <tableColumn id="4" xr3:uid="{17DADB1C-CD37-4AC3-A8F1-1E2638F20FC9}" name="2011" dataDxfId="447">
      <calculatedColumnFormula>D28/D42</calculatedColumnFormula>
    </tableColumn>
    <tableColumn id="5" xr3:uid="{8EE89F2E-3CC4-4AB6-80BE-F862FA014B5C}" name="2012"/>
    <tableColumn id="6" xr3:uid="{1CDE3A37-A3B7-4360-9499-C5D75B41B883}" name="2013"/>
    <tableColumn id="7" xr3:uid="{397C70E1-D2F2-43C4-9631-CCFB70767368}" name="2014"/>
    <tableColumn id="8" xr3:uid="{76A64513-1D64-4D19-90DE-DAE56B460C41}" name="2015"/>
    <tableColumn id="9" xr3:uid="{1A8F45AD-29A5-44EF-B99E-AC4E0F605E02}" name="2016"/>
    <tableColumn id="10" xr3:uid="{32F6F331-B427-465A-9FE1-EE4DC6F5CAA4}" name="2017"/>
    <tableColumn id="11" xr3:uid="{6FB5FFFE-DB59-44C6-8F6B-2E8D79E28372}" name="2018"/>
    <tableColumn id="12" xr3:uid="{2116796D-65C1-403C-968A-5A3FBA038F83}" name="201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92970C6-97CD-4090-A28A-ADF183BAF7D5}" name="Passengers_Serviced_Public_Transport" displayName="Passengers_Serviced_Public_Transport" ref="A27:L39" totalsRowShown="0" headerRowDxfId="446">
  <autoFilter ref="A27:L39" xr:uid="{3CFBD5D9-3E13-42C7-B9EB-5233DD63014B}"/>
  <tableColumns count="12">
    <tableColumn id="1" xr3:uid="{3AFA6270-21B2-4F53-8B9A-3AB0BB4FE230}" name="Passenger Serviced"/>
    <tableColumn id="2" xr3:uid="{9CF600B6-1BD4-4C91-9BC9-6E31944B3A65}" name="2009"/>
    <tableColumn id="3" xr3:uid="{BA34C71E-A58C-47F6-9608-1B18E0B299E7}" name="2010"/>
    <tableColumn id="4" xr3:uid="{283F055C-C3C7-43BF-AAD9-20E1FECE04CA}" name="2011"/>
    <tableColumn id="5" xr3:uid="{B7ABDA11-EDA1-424E-96E9-03E687531ADA}" name="2012"/>
    <tableColumn id="6" xr3:uid="{4726872B-0E70-4710-9998-FCACED3E7482}" name="2013"/>
    <tableColumn id="7" xr3:uid="{EF7D826F-8E29-4872-AD0E-0D9C09CFA85F}" name="2014"/>
    <tableColumn id="8" xr3:uid="{9EBE3213-5554-428C-BD8A-CD357B382128}" name="2015"/>
    <tableColumn id="9" xr3:uid="{CD0CAF28-0560-40AB-AE94-C1F51C6320BF}" name="2016"/>
    <tableColumn id="10" xr3:uid="{EC5FA526-7CB9-4F1D-A102-1D5FFC27FC51}" name="2017"/>
    <tableColumn id="11" xr3:uid="{E24E790A-1D5C-400D-BE33-8C580E24DF3B}" name="2018"/>
    <tableColumn id="12" xr3:uid="{FBE96640-3A47-4C85-A016-ABBDB9104731}" name="20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F3FDEBE-295F-4688-BCBA-4022F1E095ED}" name="Carbon_Intensity_by_fuel_type" displayName="Carbon_Intensity_by_fuel_type" ref="A91:L103" totalsRowShown="0">
  <autoFilter ref="A91:L103" xr:uid="{66B39CEF-57D5-4007-A727-6878E9EC1949}"/>
  <tableColumns count="12">
    <tableColumn id="1" xr3:uid="{3444D42C-643A-421B-92B1-E3C1391F6150}" name="Carbon Intensity by fuel type (gCO2/kWh)"/>
    <tableColumn id="2" xr3:uid="{C2CE6265-30F7-44E5-A9BA-A6045E6A1E6D}" name="2009"/>
    <tableColumn id="3" xr3:uid="{DE8A670F-5F80-4F64-8AE7-D47370DFCBBA}" name="2010"/>
    <tableColumn id="4" xr3:uid="{872EC15A-1B97-43BE-8325-09F68A52342F}" name="2011"/>
    <tableColumn id="5" xr3:uid="{CE0B624E-FE1F-41D3-9F3E-B9D7512F1DFB}" name="2012"/>
    <tableColumn id="6" xr3:uid="{F4FADEC5-A11E-4B96-A4D5-B388C823C13C}" name="2013"/>
    <tableColumn id="7" xr3:uid="{2ACDA132-E669-4CFD-8DD0-67C2BB8DDF4B}" name="2014"/>
    <tableColumn id="8" xr3:uid="{20724E10-B339-4828-8E09-6DB7194CD0D1}" name="2015"/>
    <tableColumn id="9" xr3:uid="{70AD5C8F-A9C9-4403-B700-770AFFAC2D78}" name="2016"/>
    <tableColumn id="10" xr3:uid="{59C0CDD6-B2FF-4223-B715-ECD96CC4127A}" name="2017"/>
    <tableColumn id="11" xr3:uid="{6D061755-6DE4-4EDC-83BB-CE384FFF396C}" name="2018"/>
    <tableColumn id="12" xr3:uid="{9B48889B-71C1-442C-86E2-DD85E9F80C5E}" name="201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405B61B-600E-4396-A122-58FF77495823}" name="Carbon_Intensity_Dublin_Bus" displayName="Carbon_Intensity_Dublin_Bus" ref="A123:L127" totalsRowCount="1">
  <autoFilter ref="A123:L126" xr:uid="{CA5D23F6-DC03-4BD6-8BBB-DF30091C2F70}"/>
  <tableColumns count="12">
    <tableColumn id="1" xr3:uid="{E942E31D-7BFD-4208-9E39-9805C42D31DA}" name="Carbon Intensity by Dublin Bus (gCO2/km)" totalsRowLabel="Total" dataDxfId="445" totalsRowDxfId="444"/>
    <tableColumn id="2" xr3:uid="{677F095C-DCE9-4631-B689-7A568CC5C629}" name="2009"/>
    <tableColumn id="3" xr3:uid="{916B2BCE-A76E-43A2-A089-1917A7E16F41}" name="2010" totalsRowFunction="sum" dataDxfId="443" totalsRowDxfId="442">
      <calculatedColumnFormula>C94*C106</calculatedColumnFormula>
    </tableColumn>
    <tableColumn id="4" xr3:uid="{1F2D2676-4850-4F70-931F-526DA0D31EF6}" name="2011" totalsRowFunction="sum" totalsRowDxfId="441"/>
    <tableColumn id="5" xr3:uid="{262C1398-FFB3-4CEC-A9F8-0369E90C44AF}" name="2012" totalsRowFunction="sum" totalsRowDxfId="440"/>
    <tableColumn id="6" xr3:uid="{504C997E-0E14-4E1F-8F33-D941A745514F}" name="2013" totalsRowFunction="sum" totalsRowDxfId="439"/>
    <tableColumn id="7" xr3:uid="{5F91634E-A030-426B-9F06-815DAAC9EE03}" name="2014" totalsRowFunction="sum" totalsRowDxfId="438"/>
    <tableColumn id="8" xr3:uid="{7BF1F813-49BB-4E5E-A63A-14F714F48829}" name="2015" totalsRowFunction="sum" totalsRowDxfId="437"/>
    <tableColumn id="9" xr3:uid="{27005179-AF85-44F0-BBC0-CB0284D0EAA9}" name="2016" totalsRowFunction="sum" totalsRowDxfId="436"/>
    <tableColumn id="10" xr3:uid="{41EE324C-70E2-4B2E-9F0D-E8284B01FB9A}" name="2017" totalsRowFunction="sum" totalsRowDxfId="435"/>
    <tableColumn id="11" xr3:uid="{D089DC39-741F-437B-AFEC-2B7CB90E19ED}" name="2018" totalsRowFunction="sum" dataDxfId="434" totalsRowDxfId="433">
      <calculatedColumnFormula>K92*K106</calculatedColumnFormula>
    </tableColumn>
    <tableColumn id="12" xr3:uid="{BF5B4237-2A36-40FD-88B9-29B34F8D30AD}" name="201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F636E182-8A29-4918-8D34-689B05673E34}" name="Carbon_Intensity_Bus_Éireann" displayName="Carbon_Intensity_Bus_Éireann" ref="A129:L133" totalsRowCount="1">
  <autoFilter ref="A129:L132" xr:uid="{C725E56C-5CDB-47B0-8AF5-A2A047B2B53E}"/>
  <tableColumns count="12">
    <tableColumn id="1" xr3:uid="{EF3BEA78-FD08-4350-A390-705A43E266CB}" name="Carbon Intensity of Bus Éireann (gCO2/km)" totalsRowLabel="Total" dataDxfId="432" totalsRowDxfId="431"/>
    <tableColumn id="2" xr3:uid="{447C9A74-C897-44CF-8998-5F5B9FA792C1}" name="2009"/>
    <tableColumn id="3" xr3:uid="{2DEC708F-11D1-4273-9C32-ACA398DC80E7}" name="2010" totalsRowFunction="sum" dataDxfId="430" totalsRowDxfId="429">
      <calculatedColumnFormula>C100*C112</calculatedColumnFormula>
    </tableColumn>
    <tableColumn id="4" xr3:uid="{E9AEE50D-2A7F-469B-89A4-D883379BA532}" name="2011" totalsRowFunction="sum" totalsRowDxfId="428"/>
    <tableColumn id="5" xr3:uid="{8F4A1A80-4B14-4075-9B56-2CDBCEF26122}" name="2012" totalsRowFunction="sum" totalsRowDxfId="427"/>
    <tableColumn id="6" xr3:uid="{476A84D5-F1D4-4D3E-A974-AEF6D9D08094}" name="2013" totalsRowFunction="sum" totalsRowDxfId="426"/>
    <tableColumn id="7" xr3:uid="{0791523B-37DB-4D0A-99B5-08B3939570C7}" name="2014" totalsRowFunction="sum" totalsRowDxfId="425"/>
    <tableColumn id="8" xr3:uid="{76C90244-B42A-4A39-ADF1-3B227A109FCD}" name="2015" totalsRowFunction="sum" totalsRowDxfId="424"/>
    <tableColumn id="9" xr3:uid="{26A7E615-DFD2-4BCE-B6F1-C171137B95FE}" name="2016" totalsRowFunction="sum" totalsRowDxfId="423"/>
    <tableColumn id="10" xr3:uid="{01E8E740-94BE-4AC2-8E50-5E4471E9F825}" name="2017" totalsRowFunction="sum" totalsRowDxfId="422"/>
    <tableColumn id="11" xr3:uid="{A44168F9-7A84-4FFF-8601-D771A4258585}" name="2018" totalsRowFunction="sum" dataDxfId="421" totalsRowDxfId="420">
      <calculatedColumnFormula>K98*K112</calculatedColumnFormula>
    </tableColumn>
    <tableColumn id="12" xr3:uid="{20B996D6-C284-4FC0-A2A5-28A6C96DEE8F}" name="2019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3FE35305-17DB-4336-8B01-18269B0698A5}" name="Carbon_Intensity_Irish_Rail" displayName="Carbon_Intensity_Irish_Rail" ref="A135:L139" totalsRowCount="1">
  <autoFilter ref="A135:L138" xr:uid="{2069372B-6A88-40F2-92DD-E362F21A150A}"/>
  <tableColumns count="12">
    <tableColumn id="1" xr3:uid="{CED35DAC-40CD-4275-9FF6-F8D630191229}" name="Carbon Intensity of Irish Rail (gCO2/km)" totalsRowLabel="Total" dataDxfId="419" totalsRowDxfId="418"/>
    <tableColumn id="2" xr3:uid="{3C927C89-C75E-42CB-8917-F70930CF807C}" name="2009"/>
    <tableColumn id="3" xr3:uid="{27E5742F-B2CB-4DC8-90AD-B73283AD8A1A}" name="2010" totalsRowFunction="sum" dataDxfId="417" totalsRowDxfId="416">
      <calculatedColumnFormula>C112*C123</calculatedColumnFormula>
    </tableColumn>
    <tableColumn id="4" xr3:uid="{39079447-58E2-4B13-8F3A-AD77E4D2EAC3}" name="2011" totalsRowFunction="sum" totalsRowDxfId="415"/>
    <tableColumn id="5" xr3:uid="{92C34605-E815-4C6B-AB70-3244A9061C1E}" name="2012" totalsRowFunction="sum" totalsRowDxfId="414"/>
    <tableColumn id="6" xr3:uid="{4B1C0AF9-FF74-45A3-A314-92E1E30E7AAD}" name="2013" totalsRowFunction="sum" totalsRowDxfId="413"/>
    <tableColumn id="7" xr3:uid="{C7A54530-3E2B-4D59-8C5E-EF0B2C354EA1}" name="2014" totalsRowFunction="sum" totalsRowDxfId="412"/>
    <tableColumn id="8" xr3:uid="{1AE762DC-17F5-410D-9ADC-3A8FFC7F8B81}" name="2015" totalsRowFunction="sum" totalsRowDxfId="411"/>
    <tableColumn id="9" xr3:uid="{A3D2AC14-03E2-470D-BAF9-763BC06F5505}" name="2016" totalsRowFunction="sum" totalsRowDxfId="410"/>
    <tableColumn id="10" xr3:uid="{134DF339-12D6-432A-939D-89AFB22AE1E4}" name="2017" totalsRowFunction="sum" totalsRowDxfId="409"/>
    <tableColumn id="11" xr3:uid="{201E48FC-7A8A-4777-A0EF-A03716D0D101}" name="2018" totalsRowFunction="sum" dataDxfId="408" totalsRowDxfId="407">
      <calculatedColumnFormula>K110*K123</calculatedColumnFormula>
    </tableColumn>
    <tableColumn id="12" xr3:uid="{F1C3FA66-4D7A-4206-8FBF-CD29ED30A86B}" name="2019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4D9141B-45CB-4D50-B614-7B44210986FD}" name="Carbon_Intensity_Luas" displayName="Carbon_Intensity_Luas" ref="A141:L143" totalsRowCount="1">
  <autoFilter ref="A141:L142" xr:uid="{538584B2-177A-485D-B898-6DF01C37901D}"/>
  <tableColumns count="12">
    <tableColumn id="1" xr3:uid="{685A91AE-9FDD-42DF-A896-F4D9DF92E0AD}" name="Carbon Intensity of the Luas (gCO2/km)" totalsRowLabel="Total" dataDxfId="406" totalsRowDxfId="405"/>
    <tableColumn id="2" xr3:uid="{DE483B88-F305-45C6-B744-5AF406167461}" name="2009"/>
    <tableColumn id="3" xr3:uid="{33B142A3-CBE0-49AC-A13E-BFBDECA7CCD5}" name="2010" totalsRowFunction="sum" dataDxfId="404" totalsRowDxfId="403">
      <calculatedColumnFormula>Energy_Intensity_by_fuel_type_Luas[2010]*C95</calculatedColumnFormula>
    </tableColumn>
    <tableColumn id="4" xr3:uid="{1EAEE963-CA90-4938-B756-B536A53518A6}" name="2011" totalsRowFunction="sum" totalsRowDxfId="402">
      <calculatedColumnFormula>Energy_Intensity_by_fuel_type_Luas[2011]*D95</calculatedColumnFormula>
    </tableColumn>
    <tableColumn id="5" xr3:uid="{A041169D-0899-4E2D-AEB6-B90A3FE336E5}" name="2012" totalsRowFunction="sum" totalsRowDxfId="401">
      <calculatedColumnFormula>Energy_Intensity_by_fuel_type_Luas[2012]*E95</calculatedColumnFormula>
    </tableColumn>
    <tableColumn id="6" xr3:uid="{393B5A2D-2693-4079-A99C-B673158AE322}" name="2013" totalsRowFunction="sum" totalsRowDxfId="400">
      <calculatedColumnFormula>Energy_Intensity_by_fuel_type_Luas[2013]*F95</calculatedColumnFormula>
    </tableColumn>
    <tableColumn id="7" xr3:uid="{32B48CD2-625C-4643-8934-0571658B7880}" name="2014" totalsRowFunction="sum" totalsRowDxfId="399">
      <calculatedColumnFormula>Energy_Intensity_by_fuel_type_Luas[2014]*G95</calculatedColumnFormula>
    </tableColumn>
    <tableColumn id="8" xr3:uid="{95FB60C1-3391-417D-B5AB-92C9B487ACB1}" name="2015" totalsRowFunction="sum" totalsRowDxfId="398">
      <calculatedColumnFormula>Energy_Intensity_by_fuel_type_Luas[2015]*H95</calculatedColumnFormula>
    </tableColumn>
    <tableColumn id="9" xr3:uid="{BBCB47AB-CD79-496F-B65D-3CBE93EC1E2E}" name="2016" totalsRowFunction="sum" totalsRowDxfId="397">
      <calculatedColumnFormula>Energy_Intensity_by_fuel_type_Luas[2016]*I95</calculatedColumnFormula>
    </tableColumn>
    <tableColumn id="10" xr3:uid="{E838C11D-432C-4B43-9788-0480ECEBFA23}" name="2017" totalsRowFunction="sum" totalsRowDxfId="396">
      <calculatedColumnFormula>Energy_Intensity_by_fuel_type_Luas[2017]*J95</calculatedColumnFormula>
    </tableColumn>
    <tableColumn id="11" xr3:uid="{3863E00E-9624-44AE-8516-D3D62E6A48A5}" name="2018" totalsRowFunction="sum" dataDxfId="395" totalsRowDxfId="394">
      <calculatedColumnFormula>Energy_Intensity_by_fuel_type_Luas[2018]*K95</calculatedColumnFormula>
    </tableColumn>
    <tableColumn id="12" xr3:uid="{AE287F9D-2534-437E-BFF5-73C1FE507EC4}" name="201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9DE1BC3-1B5A-43BC-AEFC-3A70C2D504A2}" name="Carbon_Intensity_Private_Vehicles_Petrol_Diesel" displayName="Carbon_Intensity_Private_Vehicles_Petrol_Diesel" ref="A145:S151" totalsRowShown="0">
  <autoFilter ref="A145:S151" xr:uid="{973FA8C9-2D53-44B1-86D0-E9AF76C04688}"/>
  <tableColumns count="19">
    <tableColumn id="1" xr3:uid="{ACBD2215-F968-4EBB-A0EF-6891272BC5F1}" name="Carbon Intensity of private vehicles by fuel type (gCO2/km)" dataDxfId="393"/>
    <tableColumn id="2" xr3:uid="{64E0AC8B-B962-42A6-B383-71B806642667}" name="2001"/>
    <tableColumn id="3" xr3:uid="{B16DC554-3F8C-4A4D-BE86-41ED9EAE4E4F}" name="2002" dataDxfId="392"/>
    <tableColumn id="4" xr3:uid="{32CC17AD-55C8-4C92-9175-9E8AC8A511B7}" name="2003" dataDxfId="391"/>
    <tableColumn id="5" xr3:uid="{56404819-97DE-472C-95C0-8C402D45821B}" name="2004" dataDxfId="390"/>
    <tableColumn id="6" xr3:uid="{F78F2908-25CD-4BFF-9B68-C4F159A94EA4}" name="2005"/>
    <tableColumn id="7" xr3:uid="{57D4D365-5F98-4D27-953B-525C1D7AA3E2}" name="2006"/>
    <tableColumn id="8" xr3:uid="{8D4B0E38-C611-4024-A2DF-7077FEFF46AE}" name="2007"/>
    <tableColumn id="9" xr3:uid="{0A8EC13B-2FA3-4604-B9A1-17EE4F9348A0}" name="2008"/>
    <tableColumn id="10" xr3:uid="{2B2A5155-871B-47E7-9377-77740D66884B}" name="2009"/>
    <tableColumn id="11" xr3:uid="{BEE39305-B190-4E78-B432-358F972945DB}" name="2010"/>
    <tableColumn id="12" xr3:uid="{5280674E-1AD7-4DD2-8802-D2FC23507635}" name="2011"/>
    <tableColumn id="13" xr3:uid="{CBC2D6F4-23E7-48B4-ABFC-A28DD46ABC24}" name="2012"/>
    <tableColumn id="14" xr3:uid="{D085E314-F6B0-41FC-B199-0454D2682321}" name="2013"/>
    <tableColumn id="15" xr3:uid="{EE04848D-14C6-4F3C-8643-1D438293A5D4}" name="2014"/>
    <tableColumn id="16" xr3:uid="{21E1FA3C-3730-4E5B-85CB-921DF1C76CAF}" name="2015"/>
    <tableColumn id="17" xr3:uid="{738FAC53-03F2-4BDA-A4BE-9302543CAA05}" name="2016"/>
    <tableColumn id="18" xr3:uid="{0EE0269B-79B9-44C6-B5B3-B7D437203D03}" name="2017"/>
    <tableColumn id="19" xr3:uid="{81B7D351-96E4-49D6-81B6-E02C0EBF20E3}" name="201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F9248E2-77A6-4321-A2AC-7A1D595C274F}" name="Carbon_Intensity_Plug_in_Hybrids" displayName="Carbon_Intensity_Plug_in_Hybrids" ref="A156:K159" totalsRowCount="1" headerRowDxfId="389" headerRowBorderDxfId="388" tableBorderDxfId="387">
  <autoFilter ref="A156:K158" xr:uid="{C18B711E-69C6-480A-B459-16C8D7BE7487}"/>
  <tableColumns count="11">
    <tableColumn id="1" xr3:uid="{BA100927-3BBE-46DE-9B79-1D1EADCE2D87}" name="Carbon Intensity of Plug in Hybrids by fuel type (gCO2/km)" totalsRowLabel="Total" dataDxfId="386" totalsRowDxfId="385"/>
    <tableColumn id="20" xr3:uid="{30C8C8C1-9D34-4C7F-B36E-47BE77B2670E}" name="2009" totalsRowFunction="sum" dataDxfId="384" totalsRowDxfId="383">
      <calculatedColumnFormula>B95*'Irish Car Stock Model V 2.4'!J34</calculatedColumnFormula>
    </tableColumn>
    <tableColumn id="11" xr3:uid="{C91742FB-3C89-44CB-BD0E-8C1B113D6B68}" name="2010" totalsRowFunction="sum" totalsRowDxfId="382"/>
    <tableColumn id="12" xr3:uid="{8505E3BF-3047-4DE6-82AA-361BD41AA91D}" name="2011" totalsRowFunction="sum" totalsRowDxfId="381"/>
    <tableColumn id="13" xr3:uid="{7499E9AB-9DC2-4F09-8365-B7E4AE0A462E}" name="2012" totalsRowFunction="sum" totalsRowDxfId="380"/>
    <tableColumn id="14" xr3:uid="{3ACB6248-6634-4D4D-B085-DBF4C8C4D399}" name="2013" totalsRowFunction="sum" totalsRowDxfId="379"/>
    <tableColumn id="15" xr3:uid="{4204A0C5-FCF0-4ECD-AE53-EFABFC01E577}" name="2014" totalsRowFunction="sum" totalsRowDxfId="378"/>
    <tableColumn id="16" xr3:uid="{8A4D3AA9-577C-48C2-A389-42765EC10076}" name="2015" totalsRowFunction="sum" totalsRowDxfId="377"/>
    <tableColumn id="17" xr3:uid="{3DF7D116-BAB5-4287-B64B-CAC803F8D805}" name="2016" totalsRowFunction="sum" totalsRowDxfId="376"/>
    <tableColumn id="18" xr3:uid="{23F33456-8AF5-4585-BC5C-7631FA59FBE1}" name="2017" totalsRowFunction="sum" totalsRowDxfId="375"/>
    <tableColumn id="19" xr3:uid="{DCB9CD38-A66F-4FB2-BC5D-92986EBD79F0}" name="2018" totalsRowFunction="sum" totalsRowDxfId="374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571ADEDD-0C7D-4061-9D1E-6C68960D3411}" name="Carbon_Intensity_Electric_Vehicles" displayName="Carbon_Intensity_Electric_Vehicles" ref="A153:K154" totalsRowShown="0">
  <autoFilter ref="A153:K154" xr:uid="{6C708956-056D-4236-8186-0F63F891BA05}"/>
  <tableColumns count="11">
    <tableColumn id="1" xr3:uid="{76CBB4E6-835B-4050-B86E-788325ADB7BA}" name="Carbon Intensity of Electric vehicles by fuel type (gCO2/km)" dataDxfId="373"/>
    <tableColumn id="10" xr3:uid="{05F1FB1F-CA2D-4916-9927-59BF6932E8B6}" name="2009">
      <calculatedColumnFormula>Energy_Consumption_Electric_kWh[2009]*B95</calculatedColumnFormula>
    </tableColumn>
    <tableColumn id="11" xr3:uid="{24DA571C-E636-402E-8D33-030F94E401F8}" name="2010">
      <calculatedColumnFormula>Energy_Consumption_Electric_kWh[2010]*C95</calculatedColumnFormula>
    </tableColumn>
    <tableColumn id="12" xr3:uid="{29BECB49-3C68-4ADC-B121-8282F24D2EAB}" name="2011">
      <calculatedColumnFormula>Energy_Consumption_Electric_kWh[2011]*D95</calculatedColumnFormula>
    </tableColumn>
    <tableColumn id="13" xr3:uid="{5A606279-E03A-405D-B5A8-9D6C1425064F}" name="2012">
      <calculatedColumnFormula>Energy_Consumption_Electric_kWh[2012]*E95</calculatedColumnFormula>
    </tableColumn>
    <tableColumn id="14" xr3:uid="{0D3F84CD-BABB-4C67-9C71-AC2F64B850EF}" name="2013">
      <calculatedColumnFormula>Energy_Consumption_Electric_kWh[2013]*F95</calculatedColumnFormula>
    </tableColumn>
    <tableColumn id="15" xr3:uid="{688943E2-C358-4E4D-AE42-2FD077B52833}" name="2014">
      <calculatedColumnFormula>Energy_Consumption_Electric_kWh[2014]*G95</calculatedColumnFormula>
    </tableColumn>
    <tableColumn id="16" xr3:uid="{1F6BF16B-F690-4555-AA36-E95509C2DC44}" name="2015">
      <calculatedColumnFormula>Energy_Consumption_Electric_kWh[2015]*H95</calculatedColumnFormula>
    </tableColumn>
    <tableColumn id="17" xr3:uid="{C52F5519-F933-4935-9D78-579A32F2327E}" name="2016">
      <calculatedColumnFormula>Energy_Consumption_Electric_kWh[2016]*I95</calculatedColumnFormula>
    </tableColumn>
    <tableColumn id="18" xr3:uid="{DE2FF89A-D07C-40AD-AC82-9D7D4F805ABD}" name="2017">
      <calculatedColumnFormula>Energy_Consumption_Electric_kWh[2017]*J95</calculatedColumnFormula>
    </tableColumn>
    <tableColumn id="19" xr3:uid="{D324A6B1-5A15-475C-9955-EAF5C647614D}" name="2018">
      <calculatedColumnFormula>Energy_Consumption_Electric_kWh[2018]*K95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DBCD766A-9B43-4A39-9046-BD01156B03FA}" name="Carbon_Intensity_Hybrids" displayName="Carbon_Intensity_Hybrids" ref="A161:K164" totalsRowCount="1" headerRowDxfId="372" headerRowBorderDxfId="371" tableBorderDxfId="370">
  <autoFilter ref="A161:K163" xr:uid="{23F41B5C-9795-470F-8200-46C3CE3303F3}"/>
  <tableColumns count="11">
    <tableColumn id="1" xr3:uid="{FD1A8225-23E9-4AEF-A2E2-5E10C790ED74}" name="Carbon Intensity of Hybrids by fuel type (gCO2/km)" totalsRowLabel="Total" dataDxfId="369" totalsRowDxfId="368"/>
    <tableColumn id="2" xr3:uid="{683BF84E-FCC6-4E53-BB5D-CF8198895640}" name="2009" totalsRowFunction="sum" dataDxfId="367">
      <calculatedColumnFormula>B91*'Irish Car Stock Model V 2.4'!J37</calculatedColumnFormula>
    </tableColumn>
    <tableColumn id="3" xr3:uid="{DFB15238-45B8-4D49-8094-7AA3698E8336}" name="2010" totalsRowFunction="sum"/>
    <tableColumn id="4" xr3:uid="{C2DAA988-8C31-40BC-99C7-C614FAF3C4A1}" name="2011" totalsRowFunction="sum"/>
    <tableColumn id="5" xr3:uid="{8C562455-3DAB-420B-8D12-3EE51885CF3C}" name="2012" totalsRowFunction="sum"/>
    <tableColumn id="6" xr3:uid="{746B74DD-3722-4585-BB64-F04DEAD5324E}" name="2013" totalsRowFunction="sum"/>
    <tableColumn id="7" xr3:uid="{E0AD3D15-6F5E-4ED1-84BC-E35EE872A7D0}" name="2014" totalsRowFunction="sum"/>
    <tableColumn id="8" xr3:uid="{73B374FE-9C64-471B-BD47-A34CA131199E}" name="2015" totalsRowFunction="sum"/>
    <tableColumn id="9" xr3:uid="{D1BF6B2A-331C-4444-9CD1-FDDFF902916A}" name="2016" totalsRowFunction="sum"/>
    <tableColumn id="10" xr3:uid="{79076326-D79D-4F23-A198-B77CF42070F5}" name="2017" totalsRowFunction="sum"/>
    <tableColumn id="11" xr3:uid="{AA6264C3-12A7-438A-9D00-32FBD078CBE8}" name="2018" totalsRowFunction="sum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E1D351A-34D3-430E-BCF6-579D31FF5D04}" name="Carbon_Intensity_private_vehicles_by_fuel_type_" displayName="Carbon_Intensity_private_vehicles_by_fuel_type_" ref="A166:K171" totalsRowShown="0" headerRowDxfId="366">
  <autoFilter ref="A166:K171" xr:uid="{74011EBA-E6B4-4676-9FE3-0711747EDB32}"/>
  <tableColumns count="11">
    <tableColumn id="1" xr3:uid="{AD0E1D4D-FD29-4422-B8A8-6B6E1400E35B}" name="Carbon Intensity of private vehicles by fuel type (gCO2/pkm)"/>
    <tableColumn id="2" xr3:uid="{4F883250-12AB-4FF5-B465-F38737012F0B}" name="2009" dataDxfId="365">
      <calculatedColumnFormula>B146/Private_Vehicle_Occupancy_from_TIMES[2009]</calculatedColumnFormula>
    </tableColumn>
    <tableColumn id="3" xr3:uid="{F7336B9A-11E8-45AC-93FF-D77E2A772677}" name="2010"/>
    <tableColumn id="4" xr3:uid="{40C3D366-1C64-4E29-A6C5-477F2FFFA7E2}" name="2011"/>
    <tableColumn id="5" xr3:uid="{369BA734-B583-477E-88CD-86B1BB643C71}" name="2012"/>
    <tableColumn id="6" xr3:uid="{CA477EDB-6F71-48D3-938F-A0937E33BCAE}" name="2013"/>
    <tableColumn id="7" xr3:uid="{AEACA090-2734-41B8-93E8-0686813913C8}" name="2014"/>
    <tableColumn id="8" xr3:uid="{826B166F-05A3-462B-9047-DB22CCCAC555}" name="2015"/>
    <tableColumn id="9" xr3:uid="{26C8170D-F95B-4F36-A9B3-90810BB015DF}" name="2016"/>
    <tableColumn id="10" xr3:uid="{CB5AE386-5986-44A1-A393-52DF910FA48A}" name="2017"/>
    <tableColumn id="11" xr3:uid="{55843D5C-44A7-4A42-A408-DB71B8BF994B}" name="20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389DC20-427F-4A47-ABD6-E536FA8586A3}" name="Energy_intensity_private_vehicles_kwh_per_pkm" displayName="Energy_intensity_private_vehicles_kwh_per_pkm" ref="A173:K178" totalsRowShown="0" headerRowDxfId="364">
  <autoFilter ref="A173:K178" xr:uid="{2E9CA2D6-15AE-4295-AEE2-071F31CBF560}"/>
  <tableColumns count="11">
    <tableColumn id="1" xr3:uid="{2FF3136E-58E5-49F9-9B99-68D2CA4AF89B}" name="Energy intensity of private vehicles by fuel type (kWh/pkm)" dataDxfId="363"/>
    <tableColumn id="2" xr3:uid="{BA2C9EDD-F624-4E61-982E-428A9882E5B6}" name="2009" dataDxfId="362">
      <calculatedColumnFormula>B167/B92</calculatedColumnFormula>
    </tableColumn>
    <tableColumn id="3" xr3:uid="{BCA1C72C-DE9B-4FB1-8D22-4E20CC457628}" name="2010"/>
    <tableColumn id="4" xr3:uid="{2E6A30F1-307D-4BA7-96CF-4658AF49A0BD}" name="2011"/>
    <tableColumn id="5" xr3:uid="{B3121C24-D4C8-4727-BBB0-94AD8E4C4DFF}" name="2012"/>
    <tableColumn id="6" xr3:uid="{D829E212-0EBE-4D7A-BD06-D8E6C260B8F0}" name="2013"/>
    <tableColumn id="7" xr3:uid="{30A17573-F4DF-487F-A350-0B2761CCCFAC}" name="2014"/>
    <tableColumn id="8" xr3:uid="{6AE7D17C-01FD-404C-8859-07D19A2E2EEC}" name="2015"/>
    <tableColumn id="9" xr3:uid="{1452078A-1D2A-48B9-9CD8-D21C2DB5F1D4}" name="2016"/>
    <tableColumn id="10" xr3:uid="{B307AECC-B357-45CC-AE68-05DDAAC5E9DE}" name="2017"/>
    <tableColumn id="11" xr3:uid="{E546A891-92F3-4568-841B-F690037FBEFE}" name="20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4A03A140-A5AB-4A70-BDEC-EC9D6B474391}" name="Energy_Consumption_Hybrid_Descending" displayName="Energy_Consumption_Hybrid_Descending" ref="A1:S8" totalsRowShown="0" headerRowDxfId="361" dataDxfId="359" headerRowBorderDxfId="360" tableBorderDxfId="358" totalsRowBorderDxfId="357">
  <autoFilter ref="A1:S8" xr:uid="{12DAEC7B-2922-4F7C-B2BE-9AAC8FFEB012}"/>
  <tableColumns count="19">
    <tableColumn id="1" xr3:uid="{1F6F4C68-B536-4710-A60B-D22CD359B64B}" name="Energy Consumption (MJ/100km) Hybrid" dataDxfId="356" totalsRowDxfId="355"/>
    <tableColumn id="2" xr3:uid="{F5BF4997-4A23-4415-AD38-4F9575489124}" name="2018" dataDxfId="354" totalsRowDxfId="353"/>
    <tableColumn id="3" xr3:uid="{5C21E738-6950-4991-8A30-84079C43A891}" name="2017" dataDxfId="352" totalsRowDxfId="351"/>
    <tableColumn id="4" xr3:uid="{C302FA52-F112-4DFC-AF3F-BE540DDCB287}" name="2016" dataDxfId="350" totalsRowDxfId="349"/>
    <tableColumn id="5" xr3:uid="{60D46E32-DC02-4E06-A922-620030B7BE45}" name="2015" dataDxfId="348" totalsRowDxfId="347"/>
    <tableColumn id="6" xr3:uid="{F38E7000-BCA5-4575-944C-20926A4E67BD}" name="2014" dataDxfId="346" totalsRowDxfId="345"/>
    <tableColumn id="7" xr3:uid="{329B066A-0D05-4CD9-A39E-A740C2F58008}" name="2013" dataDxfId="344" totalsRowDxfId="343"/>
    <tableColumn id="8" xr3:uid="{A32E3202-F75D-4EDB-82DE-E592CE58AA8B}" name="2012" dataDxfId="342" totalsRowDxfId="341"/>
    <tableColumn id="9" xr3:uid="{A2DC475B-148F-4B45-AECD-84603E3DDB46}" name="2011" dataDxfId="340" totalsRowDxfId="339"/>
    <tableColumn id="10" xr3:uid="{CA7FCAF1-969D-4A86-97B3-A602A895B11E}" name="2010" dataDxfId="338" totalsRowDxfId="337"/>
    <tableColumn id="11" xr3:uid="{43559604-D9EC-4C76-9288-A85E385B69AC}" name="2009" dataDxfId="336" totalsRowDxfId="335"/>
    <tableColumn id="12" xr3:uid="{090300C2-F8E5-477E-8F44-7939232342B6}" name="2008" dataDxfId="334" totalsRowDxfId="333"/>
    <tableColumn id="13" xr3:uid="{9004C7C0-107F-4D14-A44F-B6C90527BC80}" name="2007" dataDxfId="332" totalsRowDxfId="331"/>
    <tableColumn id="14" xr3:uid="{DBE3C4A0-F868-46A9-8F90-220A0DB91C87}" name="2006" dataDxfId="330" totalsRowDxfId="329"/>
    <tableColumn id="15" xr3:uid="{59B1660B-B50E-4F9A-93B3-6594B4D5922E}" name="2005" dataDxfId="328" totalsRowDxfId="327"/>
    <tableColumn id="16" xr3:uid="{D1F0F30B-AD3C-4C83-A625-41B21D9F4018}" name="2004" dataDxfId="326" totalsRowDxfId="325"/>
    <tableColumn id="17" xr3:uid="{821ABC47-44F9-4886-AF01-FAC573A420BE}" name="2003" dataDxfId="324" totalsRowDxfId="323"/>
    <tableColumn id="18" xr3:uid="{2DEDE4BA-A824-41AC-ACBB-C5911A563D80}" name="2002" dataDxfId="322" totalsRowDxfId="321"/>
    <tableColumn id="19" xr3:uid="{55297165-8C5F-4563-81A8-A01487B2F228}" name="2001" dataDxfId="320" totalsRowDxfId="319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5C85F6CA-9F72-41FA-9FD2-4865CE81FB8F}" name="Energy_Consumption_Plug_in_hybrid_MJ" displayName="Energy_Consumption_Plug_in_hybrid_MJ" ref="A12:S18" totalsRowShown="0" headerRowDxfId="318" dataDxfId="316" headerRowBorderDxfId="317" tableBorderDxfId="315" totalsRowBorderDxfId="314">
  <autoFilter ref="A12:S18" xr:uid="{0566205E-214E-445C-AC23-15FC291DDD3A}"/>
  <tableColumns count="19">
    <tableColumn id="1" xr3:uid="{B0BF63C7-8DB8-49C8-BAEA-F01BC451BD70}" name="Energy Consumption (MJ/100km) Plug in Hybrid" dataDxfId="313"/>
    <tableColumn id="2" xr3:uid="{939424F1-28A6-46E9-9BCF-BB5505F980F2}" name="2001" dataDxfId="312"/>
    <tableColumn id="3" xr3:uid="{BAE54512-4468-4A5F-BF0C-BC24531BD4D8}" name="2002" dataDxfId="311"/>
    <tableColumn id="4" xr3:uid="{4375FD39-3D32-4C2D-807C-C752C75653EF}" name="2003" dataDxfId="310"/>
    <tableColumn id="5" xr3:uid="{AB8EA052-75F0-48D0-BD93-9D0ADEE3F282}" name="2004" dataDxfId="309"/>
    <tableColumn id="6" xr3:uid="{5A04FE06-6281-46FC-B2F0-FC101ADC88B7}" name="2005" dataDxfId="308"/>
    <tableColumn id="7" xr3:uid="{E1843303-2285-4C84-BE06-A0ED39D98811}" name="2006" dataDxfId="307"/>
    <tableColumn id="8" xr3:uid="{D4067095-AFBF-4B1A-BE46-3DAC5C24CFA7}" name="2007" dataDxfId="306"/>
    <tableColumn id="9" xr3:uid="{9CA6F915-3127-4DB4-8D7C-18EB2BE0B1AA}" name="2008" dataDxfId="305"/>
    <tableColumn id="10" xr3:uid="{C005E46D-322B-454D-97C7-D67256046C7E}" name="2009" dataDxfId="304"/>
    <tableColumn id="11" xr3:uid="{2AF0E7C7-38D3-4550-806C-46BC5EC6FDD7}" name="2010" dataDxfId="303"/>
    <tableColumn id="12" xr3:uid="{45D0C1F3-8C99-47B6-89AE-16A0B67392DB}" name="2011" dataDxfId="302"/>
    <tableColumn id="13" xr3:uid="{9F14E012-1390-4A0B-BF18-0831815A66B1}" name="2012" dataDxfId="301"/>
    <tableColumn id="14" xr3:uid="{86E4FED2-05F5-4F15-BD15-95F86978710A}" name="2013" dataDxfId="300"/>
    <tableColumn id="15" xr3:uid="{7B70B7AC-574F-49B3-92E2-0AF95D4F13D6}" name="2014" dataDxfId="299"/>
    <tableColumn id="16" xr3:uid="{58DA342D-1A04-4B4D-8477-9361E039119D}" name="2015" dataDxfId="298"/>
    <tableColumn id="17" xr3:uid="{3703C6B8-95A3-4D3E-8F92-5FBCA50AE242}" name="2016" dataDxfId="297"/>
    <tableColumn id="18" xr3:uid="{7DC74C35-2B37-4154-AA06-4BD25585934D}" name="2017" dataDxfId="296"/>
    <tableColumn id="19" xr3:uid="{EAF85026-9546-45FF-A0D1-D6953B512537}" name="2018" dataDxfId="29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4B6AD01-C7BC-4021-A00D-B1074F3D4D88}" name="Energy_Consumption_Hybrid_MJ" displayName="Energy_Consumption_Hybrid_MJ" ref="A23:S25" totalsRowShown="0" headerRowDxfId="294" headerRowBorderDxfId="293" tableBorderDxfId="292">
  <autoFilter ref="A23:S25" xr:uid="{5641333C-7E44-418F-AA5F-349B6E7AF22F}"/>
  <tableColumns count="19">
    <tableColumn id="1" xr3:uid="{6EB34ABE-5129-4F72-A47A-CE05DB2EC809}" name="Energy Consumption (MJ/km)  Hybrid" dataDxfId="291">
      <calculatedColumnFormula>A6</calculatedColumnFormula>
    </tableColumn>
    <tableColumn id="2" xr3:uid="{2C74C01A-0A64-4660-889D-2C4DB6181BCC}" name="2001" dataDxfId="290">
      <calculatedColumnFormula>S6</calculatedColumnFormula>
    </tableColumn>
    <tableColumn id="3" xr3:uid="{26FA0C23-6E76-424B-B7B8-23DB8C1B5DCD}" name="2002">
      <calculatedColumnFormula>R6</calculatedColumnFormula>
    </tableColumn>
    <tableColumn id="4" xr3:uid="{E7DEA903-1988-4C97-B296-99AC5C292FA1}" name="2003" dataDxfId="289">
      <calculatedColumnFormula>Q6</calculatedColumnFormula>
    </tableColumn>
    <tableColumn id="5" xr3:uid="{982BEEB9-445E-4194-BEDC-D99CF3BB413B}" name="2004">
      <calculatedColumnFormula>P6</calculatedColumnFormula>
    </tableColumn>
    <tableColumn id="6" xr3:uid="{19942E4B-D40E-4965-BB9C-05D01A73B7C9}" name="2005" dataDxfId="288">
      <calculatedColumnFormula>O6</calculatedColumnFormula>
    </tableColumn>
    <tableColumn id="7" xr3:uid="{E2FEAC1F-B43B-46F1-9FB4-EFF606B4E0A6}" name="2006">
      <calculatedColumnFormula>N6</calculatedColumnFormula>
    </tableColumn>
    <tableColumn id="8" xr3:uid="{DBED068B-744C-41C1-8B06-D36472BBAE28}" name="2007" dataDxfId="287">
      <calculatedColumnFormula>M6</calculatedColumnFormula>
    </tableColumn>
    <tableColumn id="9" xr3:uid="{94C2D3BE-A812-42FD-971F-4ED955585EAB}" name="2008">
      <calculatedColumnFormula>L6</calculatedColumnFormula>
    </tableColumn>
    <tableColumn id="10" xr3:uid="{79E16152-051B-4D45-9CBC-A5D82F2FD815}" name="2009" dataDxfId="286">
      <calculatedColumnFormula>K6</calculatedColumnFormula>
    </tableColumn>
    <tableColumn id="11" xr3:uid="{408E1F70-25C3-4AF6-9B38-EA07F4952159}" name="2010">
      <calculatedColumnFormula>J6</calculatedColumnFormula>
    </tableColumn>
    <tableColumn id="12" xr3:uid="{E4A4DA36-9A84-49D8-9D8F-CF513BA17D1A}" name="2011" dataDxfId="285">
      <calculatedColumnFormula>I6</calculatedColumnFormula>
    </tableColumn>
    <tableColumn id="13" xr3:uid="{799805FF-BB7A-43CF-BB94-23C834C6060B}" name="2012">
      <calculatedColumnFormula>H6</calculatedColumnFormula>
    </tableColumn>
    <tableColumn id="14" xr3:uid="{3D31B75D-0258-4E96-8F8D-5E8D0A70DF74}" name="2013" dataDxfId="284">
      <calculatedColumnFormula>G6</calculatedColumnFormula>
    </tableColumn>
    <tableColumn id="15" xr3:uid="{FDB93F4A-CA19-4E5D-BC7D-2631BC9A0098}" name="2014">
      <calculatedColumnFormula>F6</calculatedColumnFormula>
    </tableColumn>
    <tableColumn id="16" xr3:uid="{DF063DFB-D12B-4486-925D-6815C9857CFF}" name="2015" dataDxfId="283">
      <calculatedColumnFormula>E6</calculatedColumnFormula>
    </tableColumn>
    <tableColumn id="17" xr3:uid="{1DA71330-E3E7-4A84-962F-4C0720624183}" name="2016">
      <calculatedColumnFormula>D6</calculatedColumnFormula>
    </tableColumn>
    <tableColumn id="18" xr3:uid="{09681F5B-350A-4D08-A250-3CEAD2A2D26C}" name="2017" dataDxfId="282">
      <calculatedColumnFormula>C6</calculatedColumnFormula>
    </tableColumn>
    <tableColumn id="19" xr3:uid="{1CBDB56A-ACCE-486C-B042-B5210A409701}" name="2018" dataDxfId="281">
      <calculatedColumnFormula>B6</calculatedColumn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06573E4-D7C2-4038-8B67-513C87B3DAB6}" name="Energy_Consumption_Electric_MJ" displayName="Energy_Consumption_Electric_MJ" ref="A20:S21" totalsRowShown="0" headerRowDxfId="280" dataDxfId="278" headerRowBorderDxfId="279" tableBorderDxfId="277" totalsRowBorderDxfId="276">
  <autoFilter ref="A20:S21" xr:uid="{307004CE-FFEC-4F95-A0D9-99D5C34308BD}"/>
  <tableColumns count="19">
    <tableColumn id="1" xr3:uid="{58D0AF1B-80A1-4BE4-B3E0-C93FD37D7FA5}" name="Energy Consumption (MJ/km) Electric" dataDxfId="275"/>
    <tableColumn id="2" xr3:uid="{F26A28A0-E0E2-4AAD-A422-C39D9A074B85}" name="2001" dataDxfId="274"/>
    <tableColumn id="3" xr3:uid="{2D23CB50-0AA0-4BEE-8159-0307B0B20C37}" name="2002" dataDxfId="273"/>
    <tableColumn id="4" xr3:uid="{7407E7C1-BE4B-4A6F-9F0E-613206AD522C}" name="2003" dataDxfId="272"/>
    <tableColumn id="5" xr3:uid="{30A9C6C8-496C-44EC-8981-C2067A4EFE10}" name="2004" dataDxfId="271"/>
    <tableColumn id="6" xr3:uid="{5925F433-F912-49CF-82BB-81C1F62D3C72}" name="2005" dataDxfId="270"/>
    <tableColumn id="7" xr3:uid="{54DF6320-D376-4D6D-9B78-7432ABD55509}" name="2006" dataDxfId="269"/>
    <tableColumn id="8" xr3:uid="{E955D85A-0B74-4451-B93D-6C34A1A4413C}" name="2007" dataDxfId="268"/>
    <tableColumn id="9" xr3:uid="{398B267B-504A-4F1A-B37F-6D3D62823F62}" name="2008" dataDxfId="267"/>
    <tableColumn id="10" xr3:uid="{7837BA75-7A87-4773-BBC4-34D63B0920CB}" name="2009" dataDxfId="266"/>
    <tableColumn id="11" xr3:uid="{234AF364-B90D-43C0-9E55-09EA9569ABC8}" name="2010" dataDxfId="265"/>
    <tableColumn id="12" xr3:uid="{CF51C23F-7FFD-4320-9E07-B20EF4B9487A}" name="2011" dataDxfId="264"/>
    <tableColumn id="13" xr3:uid="{B369909A-1ED0-4864-858C-E1D5150C0EF4}" name="2012" dataDxfId="263"/>
    <tableColumn id="14" xr3:uid="{E2ABE3E2-8D08-4B25-AB73-BE45D4CA1F05}" name="2013" dataDxfId="262"/>
    <tableColumn id="15" xr3:uid="{832F77D1-D2AF-4752-AE4F-37CED562C29D}" name="2014" dataDxfId="261"/>
    <tableColumn id="16" xr3:uid="{659ABFFC-F3BD-4FCB-8371-67DE600836B4}" name="2015" dataDxfId="260"/>
    <tableColumn id="17" xr3:uid="{740AFE51-D011-445E-8AF5-FB86F8CB2E58}" name="2016" dataDxfId="259"/>
    <tableColumn id="18" xr3:uid="{DD4A4B81-9D01-47CF-A453-43AA23C78D85}" name="2017" dataDxfId="258"/>
    <tableColumn id="19" xr3:uid="{DE1F162C-8C79-4325-8AF0-5CE5261C38B0}" name="2018" dataDxfId="2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EAEC57B8-E598-4EF1-ABA9-429B06687889}" name="Energy_Consumption_Electric_kWh" displayName="Energy_Consumption_Electric_kWh" ref="A28:S30" totalsRowCount="1">
  <autoFilter ref="A28:S29" xr:uid="{6C63D689-E59F-467E-AE3B-72D901ED9FEB}"/>
  <tableColumns count="19">
    <tableColumn id="1" xr3:uid="{519895F7-8F5C-46DD-8F2B-4CE79AC45AD8}" name="Energy Consumption (kWh/km) Electric" totalsRowLabel="Total" dataDxfId="256" totalsRowDxfId="255"/>
    <tableColumn id="2" xr3:uid="{451C9393-E5E6-44B3-BE4D-E5EA81B660F5}" name="2001" totalsRowFunction="sum" dataDxfId="254">
      <calculatedColumnFormula>B21*Conversion_factor_MJ_to_kWh[MJ to kWh]</calculatedColumnFormula>
    </tableColumn>
    <tableColumn id="3" xr3:uid="{A1D5637E-9236-4D93-B0D9-5146829F6F94}" name="2002" totalsRowFunction="sum" dataDxfId="253">
      <calculatedColumnFormula>Energy_Consumption_Electric_MJ[2002]*Conversion_factor_MJ_to_kWh[MJ to kWh]</calculatedColumnFormula>
    </tableColumn>
    <tableColumn id="4" xr3:uid="{E4E45DB2-3D00-413D-A7D3-192B17F77420}" name="2003" totalsRowFunction="sum" dataDxfId="252">
      <calculatedColumnFormula>Energy_Consumption_Electric_MJ[2003]*Conversion_factor_MJ_to_kWh[MJ to kWh]</calculatedColumnFormula>
    </tableColumn>
    <tableColumn id="5" xr3:uid="{29310550-319F-460B-8052-1E90CCC5D5F4}" name="2004" totalsRowFunction="sum"/>
    <tableColumn id="6" xr3:uid="{DF8F47F5-2AF6-4122-AE7C-55BE1F170970}" name="2005" totalsRowFunction="sum" dataDxfId="251">
      <calculatedColumnFormula>Energy_Consumption_Electric_MJ[2005]*Conversion_factor_MJ_to_kWh[MJ to kWh]</calculatedColumnFormula>
    </tableColumn>
    <tableColumn id="7" xr3:uid="{67D5A7FE-D1ED-4834-882B-C9594A0AE2EE}" name="2006" totalsRowFunction="sum"/>
    <tableColumn id="8" xr3:uid="{67419E46-9496-463E-9795-8158F0419D14}" name="2007" totalsRowFunction="sum" dataDxfId="250">
      <calculatedColumnFormula>Energy_Consumption_Electric_MJ[2007]*Conversion_factor_MJ_to_kWh[MJ to kWh]</calculatedColumnFormula>
    </tableColumn>
    <tableColumn id="9" xr3:uid="{A7826F93-5B73-4612-B6F0-7453F8C8B601}" name="2008" totalsRowFunction="sum"/>
    <tableColumn id="10" xr3:uid="{6C668F04-7F42-4C22-A658-B5F763B2F7B5}" name="2009" totalsRowFunction="sum" dataDxfId="249">
      <calculatedColumnFormula>Energy_Consumption_Electric_MJ[2009]*Conversion_factor_MJ_to_kWh[MJ to kWh]</calculatedColumnFormula>
    </tableColumn>
    <tableColumn id="11" xr3:uid="{C3267086-32A2-478E-B3C3-264DB3BE28EB}" name="2010" totalsRowFunction="sum"/>
    <tableColumn id="12" xr3:uid="{A6B6352E-B410-46EF-BEBC-8911261AA79C}" name="2011" totalsRowFunction="sum" dataDxfId="248">
      <calculatedColumnFormula>Energy_Consumption_Electric_MJ[2011]*Conversion_factor_MJ_to_kWh[MJ to kWh]</calculatedColumnFormula>
    </tableColumn>
    <tableColumn id="13" xr3:uid="{8587B8B8-58BD-474A-9214-885EFCF8B0AB}" name="2012" totalsRowFunction="sum"/>
    <tableColumn id="14" xr3:uid="{85AA38BA-94CA-4007-BC11-905C5E3642E0}" name="2013" totalsRowFunction="sum" dataDxfId="247">
      <calculatedColumnFormula>Energy_Consumption_Electric_MJ[2013]*Conversion_factor_MJ_to_kWh[MJ to kWh]</calculatedColumnFormula>
    </tableColumn>
    <tableColumn id="15" xr3:uid="{6AE330A1-0B9D-4EB6-BEC0-FBD8AFD64D56}" name="2014" totalsRowFunction="sum"/>
    <tableColumn id="16" xr3:uid="{674C6133-E734-4C26-BCD9-C708BC0299AA}" name="2015" totalsRowFunction="sum" dataDxfId="246">
      <calculatedColumnFormula>Energy_Consumption_Electric_MJ[2015]*Conversion_factor_MJ_to_kWh[MJ to kWh]</calculatedColumnFormula>
    </tableColumn>
    <tableColumn id="17" xr3:uid="{54FBE014-C6DC-4883-AC8C-3757E22ED483}" name="2016" totalsRowFunction="sum"/>
    <tableColumn id="18" xr3:uid="{3957BD43-FD31-4306-AF32-4669813F161D}" name="2017" totalsRowFunction="sum" dataDxfId="245">
      <calculatedColumnFormula>Energy_Consumption_Electric_MJ[2017]*Conversion_factor_MJ_to_kWh[MJ to kWh]</calculatedColumnFormula>
    </tableColumn>
    <tableColumn id="19" xr3:uid="{1BEE73EC-C9CF-4986-AE2F-AF4C3835E95F}" name="2018" totalsRowFunction="sum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12410A5-6D0E-42A9-8E74-E1210A88427B}" name="Conversion_factor_MJ_to_kWh" displayName="Conversion_factor_MJ_to_kWh" ref="A42:B43" totalsRowShown="0">
  <autoFilter ref="A42:B43" xr:uid="{74912E83-0169-417A-A67C-67C3E4F13102}"/>
  <tableColumns count="2">
    <tableColumn id="1" xr3:uid="{099CF8BE-071E-4D65-8F99-4ED6E14F2540}" name="Conversion factor"/>
    <tableColumn id="2" xr3:uid="{12288922-B5F3-4DC5-BF8E-0F1694C8CE85}" name="MJ to kWh">
      <calculatedColumnFormula>3.6/1</calculatedColumn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81D45DD-7F70-451B-8926-D1C10544E499}" name="Energy_Consumption_Plug_in_hybrid_kWh" displayName="Energy_Consumption_Plug_in_hybrid_kWh" ref="A32:S35" totalsRowCount="1">
  <autoFilter ref="A32:S34" xr:uid="{D9EADFDE-F4EE-4577-8740-A0450731524A}"/>
  <tableColumns count="19">
    <tableColumn id="1" xr3:uid="{C4CCE316-8E45-47E9-BD69-A1F6813C4F81}" name="Energy Consumption (kWh/km) Plug In Hybrid" totalsRowLabel="Total"/>
    <tableColumn id="2" xr3:uid="{308785A4-3781-4BB2-BF64-26A34403B15C}" name="2001" totalsRowFunction="sum"/>
    <tableColumn id="3" xr3:uid="{CBFF6FAE-B8C3-4011-BCB5-73DB24FF1DC6}" name="2002" totalsRowFunction="sum"/>
    <tableColumn id="4" xr3:uid="{04DF9EE4-2F4D-401A-B003-E2AEAD1C3D9C}" name="2003" totalsRowFunction="sum"/>
    <tableColumn id="5" xr3:uid="{DE377266-D26E-41EB-B208-5FC05E911B7C}" name="2004" totalsRowFunction="sum" dataDxfId="244">
      <calculatedColumnFormula>E15*Conversion_factor_MJ_to_kWh[MJ to kWh]</calculatedColumnFormula>
    </tableColumn>
    <tableColumn id="6" xr3:uid="{AB90D8D3-A68B-4D06-B339-035ED58CEA2E}" name="2005" totalsRowFunction="sum"/>
    <tableColumn id="7" xr3:uid="{15184F69-35A0-48EA-B065-23931CDC76AC}" name="2006" totalsRowFunction="sum" dataDxfId="243">
      <calculatedColumnFormula>G15*Conversion_factor_MJ_to_kWh[MJ to kWh]</calculatedColumnFormula>
    </tableColumn>
    <tableColumn id="8" xr3:uid="{FF1678C9-9725-4315-A1B5-DC2D445CAF1D}" name="2007" totalsRowFunction="sum"/>
    <tableColumn id="9" xr3:uid="{84D65A6D-96F1-47A3-8E9B-A61E3BE637F7}" name="2008" totalsRowFunction="sum" dataDxfId="242">
      <calculatedColumnFormula>I15*Conversion_factor_MJ_to_kWh[MJ to kWh]</calculatedColumnFormula>
    </tableColumn>
    <tableColumn id="10" xr3:uid="{9E994884-7B81-4C9C-A5CE-801EDC78E921}" name="2009" totalsRowFunction="sum"/>
    <tableColumn id="11" xr3:uid="{CC2D4B3E-A40A-4C53-B9BC-ADBFDF521408}" name="2010" totalsRowFunction="sum" dataDxfId="241">
      <calculatedColumnFormula>K15*Conversion_factor_MJ_to_kWh[MJ to kWh]</calculatedColumnFormula>
    </tableColumn>
    <tableColumn id="12" xr3:uid="{781790B9-CCB7-47D5-85CC-C22DF75F924D}" name="2011" totalsRowFunction="sum"/>
    <tableColumn id="13" xr3:uid="{83BF3E8E-0BB5-4325-A3EC-501CD9CD17B7}" name="2012" totalsRowFunction="sum" dataDxfId="240">
      <calculatedColumnFormula>M15*Conversion_factor_MJ_to_kWh[MJ to kWh]</calculatedColumnFormula>
    </tableColumn>
    <tableColumn id="14" xr3:uid="{43EA7363-0878-415C-A4D0-6AD3A6F6870A}" name="2013" totalsRowFunction="sum"/>
    <tableColumn id="15" xr3:uid="{F1B20019-8CC4-4C42-9B80-523D7D0475BD}" name="2014" totalsRowFunction="sum" dataDxfId="239">
      <calculatedColumnFormula>O15*Conversion_factor_MJ_to_kWh[MJ to kWh]</calculatedColumnFormula>
    </tableColumn>
    <tableColumn id="16" xr3:uid="{917BA8E1-F178-4CF3-BA3B-04F8C1FF968F}" name="2015" totalsRowFunction="sum"/>
    <tableColumn id="17" xr3:uid="{04D56A9E-7BEA-4318-9258-C06513CF14AD}" name="2016" totalsRowFunction="sum" dataDxfId="238">
      <calculatedColumnFormula>Q15*Conversion_factor_MJ_to_kWh[MJ to kWh]</calculatedColumnFormula>
    </tableColumn>
    <tableColumn id="18" xr3:uid="{C0E24257-C807-4573-B0A2-BB8BED94E4F4}" name="2017" totalsRowFunction="sum"/>
    <tableColumn id="19" xr3:uid="{4540285E-61F0-444A-B229-D18D69795B70}" name="2018" totalsRowFunction="sum" dataDxfId="237">
      <calculatedColumnFormula>S15*Conversion_factor_MJ_to_kWh[MJ to kWh]</calculatedColumn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E9AEA296-A84A-41E3-97A4-8CC662CDD14B}" name="Energy_Consumption_hybrid_kWh" displayName="Energy_Consumption_hybrid_kWh" ref="A37:S40" totalsRowCount="1" headerRowDxfId="236" headerRowBorderDxfId="235" tableBorderDxfId="234">
  <autoFilter ref="A37:S39" xr:uid="{59478F60-684E-45CD-8734-9CF568C0B41D}"/>
  <tableColumns count="19">
    <tableColumn id="1" xr3:uid="{8D0B735D-9611-4EC4-AD34-57D37E4B98DE}" name="Energy Consumption (kWh/km) Hybrid" totalsRowLabel="Total" dataDxfId="233" totalsRowDxfId="232"/>
    <tableColumn id="2" xr3:uid="{F5727611-04F7-4441-9B12-8CF476B69C95}" name="2001" totalsRowFunction="sum">
      <calculatedColumnFormula>#REF!*Conversion_factor_MJ_to_kWh[MJ to kWh]</calculatedColumnFormula>
    </tableColumn>
    <tableColumn id="3" xr3:uid="{38855085-1A2F-4E16-82F5-5DAAA18027E3}" name="2002" totalsRowFunction="sum">
      <calculatedColumnFormula>#REF!*Conversion_factor_MJ_to_kWh[MJ to kWh]</calculatedColumnFormula>
    </tableColumn>
    <tableColumn id="4" xr3:uid="{D83B5907-4EC6-4F1C-A16A-F5F3D39D9649}" name="2003" totalsRowFunction="sum">
      <calculatedColumnFormula>#REF!*Conversion_factor_MJ_to_kWh[MJ to kWh]</calculatedColumnFormula>
    </tableColumn>
    <tableColumn id="5" xr3:uid="{F25AE53F-9958-4E3A-ACCD-A715634CC3D5}" name="2004" totalsRowFunction="sum">
      <calculatedColumnFormula>#REF!*Conversion_factor_MJ_to_kWh[MJ to kWh]</calculatedColumnFormula>
    </tableColumn>
    <tableColumn id="6" xr3:uid="{2E4C2954-2E32-447D-8CD9-259CD4A75F57}" name="2005" totalsRowFunction="sum">
      <calculatedColumnFormula>#REF!*Conversion_factor_MJ_to_kWh[MJ to kWh]</calculatedColumnFormula>
    </tableColumn>
    <tableColumn id="7" xr3:uid="{D8B0576D-46F8-477B-9AB3-3B9CF1929BD2}" name="2006" totalsRowFunction="sum">
      <calculatedColumnFormula>#REF!*Conversion_factor_MJ_to_kWh[MJ to kWh]</calculatedColumnFormula>
    </tableColumn>
    <tableColumn id="8" xr3:uid="{2A6AC26C-1BE1-4494-9EA9-3D838131FCB2}" name="2007" totalsRowFunction="sum">
      <calculatedColumnFormula>#REF!*Conversion_factor_MJ_to_kWh[MJ to kWh]</calculatedColumnFormula>
    </tableColumn>
    <tableColumn id="9" xr3:uid="{8FCCA24E-903C-4630-B457-43BFBE1B8AD9}" name="2008" totalsRowFunction="sum">
      <calculatedColumnFormula>#REF!*Conversion_factor_MJ_to_kWh[MJ to kWh]</calculatedColumnFormula>
    </tableColumn>
    <tableColumn id="10" xr3:uid="{0CC1BC51-6B2F-40B5-BC41-CF9F97120E72}" name="2009" totalsRowFunction="sum">
      <calculatedColumnFormula>#REF!*Conversion_factor_MJ_to_kWh[MJ to kWh]</calculatedColumnFormula>
    </tableColumn>
    <tableColumn id="11" xr3:uid="{D0B68487-286C-4618-B191-F65C29EE6812}" name="2010" totalsRowFunction="sum">
      <calculatedColumnFormula>#REF!*Conversion_factor_MJ_to_kWh[MJ to kWh]</calculatedColumnFormula>
    </tableColumn>
    <tableColumn id="12" xr3:uid="{DDECCA69-9E39-4694-97B5-152A6721B65C}" name="2011" totalsRowFunction="sum">
      <calculatedColumnFormula>#REF!*Conversion_factor_MJ_to_kWh[MJ to kWh]</calculatedColumnFormula>
    </tableColumn>
    <tableColumn id="13" xr3:uid="{AB62C01A-0A8C-4CCC-8C7B-18DF3BDA4CAB}" name="2012" totalsRowFunction="sum">
      <calculatedColumnFormula>#REF!*Conversion_factor_MJ_to_kWh[MJ to kWh]</calculatedColumnFormula>
    </tableColumn>
    <tableColumn id="14" xr3:uid="{4DEFAEEA-B32C-4837-B2BE-7D1733957AE7}" name="2013" totalsRowFunction="sum">
      <calculatedColumnFormula>#REF!*Conversion_factor_MJ_to_kWh[MJ to kWh]</calculatedColumnFormula>
    </tableColumn>
    <tableColumn id="15" xr3:uid="{C2DC07FA-8DB6-433D-8467-778CE1BDA6E5}" name="2014" totalsRowFunction="sum">
      <calculatedColumnFormula>#REF!*Conversion_factor_MJ_to_kWh[MJ to kWh]</calculatedColumnFormula>
    </tableColumn>
    <tableColumn id="16" xr3:uid="{764CF49A-A8FB-41A8-B8D1-40372259A135}" name="2015" totalsRowFunction="sum">
      <calculatedColumnFormula>#REF!*Conversion_factor_MJ_to_kWh[MJ to kWh]</calculatedColumnFormula>
    </tableColumn>
    <tableColumn id="17" xr3:uid="{C1742A2B-48F8-43A4-A9B9-8198EECC3039}" name="2016" totalsRowFunction="sum">
      <calculatedColumnFormula>#REF!*Conversion_factor_MJ_to_kWh[MJ to kWh]</calculatedColumnFormula>
    </tableColumn>
    <tableColumn id="18" xr3:uid="{767BFC21-241F-4E6C-869F-1BAF61F07CC7}" name="2017" totalsRowFunction="sum">
      <calculatedColumnFormula>#REF!*Conversion_factor_MJ_to_kWh[MJ to kWh]</calculatedColumnFormula>
    </tableColumn>
    <tableColumn id="19" xr3:uid="{5796CB8D-FCBE-43A4-9F72-D4FF5BA0ECD5}" name="2018" totalsRowFunction="sum">
      <calculatedColumnFormula>#REF!*Conversion_factor_MJ_to_kWh[MJ to kWh]</calculatedColumn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1FA696-CAA9-4AD4-8EF7-C8E0D1B9A457}" name="On_road_factor_diesel" displayName="On_road_factor_diesel" ref="A45:S46" totalsRowShown="0" headerRowDxfId="231">
  <autoFilter ref="A45:S46" xr:uid="{FB135020-CEE5-492F-A432-42820361F22F}"/>
  <tableColumns count="19">
    <tableColumn id="1" xr3:uid="{E3DC37CC-99F4-4FD9-B55D-282ECC9DFCF9}" name="On road factor for diesel"/>
    <tableColumn id="2" xr3:uid="{60D531CE-A335-4DAC-8E39-1A8C21D5DB98}" name="2001"/>
    <tableColumn id="3" xr3:uid="{E4FE66A3-24FB-4A4A-BE02-7B8CE6259F00}" name="2002"/>
    <tableColumn id="4" xr3:uid="{1992C1CA-5235-4784-850F-9EBD9D766C48}" name="2003"/>
    <tableColumn id="5" xr3:uid="{56D193A6-F4C8-4252-9E01-92121331FB34}" name="2004"/>
    <tableColumn id="6" xr3:uid="{E2B39C2A-C454-482F-9F19-27582C666395}" name="2005"/>
    <tableColumn id="7" xr3:uid="{F1D90407-8860-418E-9C1C-BF35F47669C6}" name="2006"/>
    <tableColumn id="8" xr3:uid="{4D35DA66-BC25-4CA3-8644-DC46EDC963F2}" name="2007"/>
    <tableColumn id="9" xr3:uid="{D2B3539B-9190-49ED-8D35-991F73A9E362}" name="2008"/>
    <tableColumn id="10" xr3:uid="{71912D48-9847-4E49-A969-471FAAA701A2}" name="2009"/>
    <tableColumn id="11" xr3:uid="{9DB699E9-807E-4E3B-A37A-B0E1C5D59260}" name="2010"/>
    <tableColumn id="12" xr3:uid="{B329B969-78E3-4940-9B98-164AD06A3807}" name="2011"/>
    <tableColumn id="13" xr3:uid="{5251664B-B22B-4F5F-BB27-AF559481AC98}" name="2012"/>
    <tableColumn id="14" xr3:uid="{96710911-A05D-4059-899E-188C06A9E466}" name="2013"/>
    <tableColumn id="15" xr3:uid="{6F8328ED-A096-4A47-BE3E-1D02A64E919F}" name="2014"/>
    <tableColumn id="16" xr3:uid="{0B4BF2B1-633B-4842-80D0-A469BA81D6B9}" name="2015"/>
    <tableColumn id="17" xr3:uid="{4E3BE251-F58C-47AB-8E62-0012635760F0}" name="2016"/>
    <tableColumn id="18" xr3:uid="{9297806A-714C-4FE8-A3B4-9DB5A9BBFF59}" name="2017"/>
    <tableColumn id="19" xr3:uid="{1EEC9C93-D004-4238-A220-C764D8A12452}" name="20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C27F808F-3990-4CA6-9FE7-8D2755D26686}" name="Vehicle_Kilometres_Mass_Transport_Single_Vehicle_Transport" displayName="Vehicle_Kilometres_Mass_Transport_Single_Vehicle_Transport" ref="A31:C40" totalsRowShown="0">
  <autoFilter ref="A31:C40" xr:uid="{48D96849-A191-4982-8CA8-48548F83B47E}"/>
  <tableColumns count="3">
    <tableColumn id="1" xr3:uid="{41A2A79D-1F7F-4368-B364-A5C143CF83E7}" name="Year">
      <calculatedColumnFormula>A19</calculatedColumnFormula>
    </tableColumn>
    <tableColumn id="2" xr3:uid="{DD453E89-953D-42EC-B227-CEFDFE5DC663}" name="Mass Transport" dataDxfId="228" dataCellStyle="Comma">
      <calculatedColumnFormula>SUM(B20:E20)</calculatedColumnFormula>
    </tableColumn>
    <tableColumn id="3" xr3:uid="{256E6D4C-EA0A-4DC1-8001-653AACCEB669}" name="Single Vehicle Transport" dataDxfId="227" dataCellStyle="Comma">
      <calculatedColumnFormula>SUM(F20:J20)</calculatedColumn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DFAA1669-CF7D-498D-9B51-4178CB678AC8}" name="Vehicle_Kilometres_Mass_Transport_Single_Vehicle_Transport88" displayName="Vehicle_Kilometres_Mass_Transport_Single_Vehicle_Transport88" ref="A59:C68" totalsRowShown="0">
  <autoFilter ref="A59:C68" xr:uid="{6CA91CBC-E8B9-44ED-B8D0-BA07CBBC032E}"/>
  <tableColumns count="3">
    <tableColumn id="1" xr3:uid="{56E64D3C-F018-431B-8420-6B6D9E7121DB}" name="Year">
      <calculatedColumnFormula>A47</calculatedColumnFormula>
    </tableColumn>
    <tableColumn id="2" xr3:uid="{D5BEF176-2230-484F-B29C-04A0EEE3EF27}" name="Mass Transport" dataDxfId="226" dataCellStyle="Comma">
      <calculatedColumnFormula>SUM(B47:E47)</calculatedColumnFormula>
    </tableColumn>
    <tableColumn id="3" xr3:uid="{FA9BEF63-3469-4EB8-BD1A-623418DD0982}" name="Single Vehicle Transport" dataDxfId="225" dataCellStyle="Comma">
      <calculatedColumnFormula>SUM(F47:J47)</calculatedColumn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46F42D-273A-4DAB-A63B-A98FAAAF41C3}" name="Table1" displayName="Table1" ref="A264:B269" totalsRowShown="0">
  <autoFilter ref="A264:B269" xr:uid="{E487A974-EBCD-4447-B7CB-81D83DDD529E}"/>
  <sortState xmlns:xlrd2="http://schemas.microsoft.com/office/spreadsheetml/2017/richdata2" ref="A265:B269">
    <sortCondition descending="1" ref="B264:B269"/>
  </sortState>
  <tableColumns count="2">
    <tableColumn id="1" xr3:uid="{F0E6E9D6-D270-4195-BB95-A03A2C1D1768}" name="Mode" dataDxfId="224"/>
    <tableColumn id="2" xr3:uid="{D4DB8289-7A23-4B44-BF05-E67C90EB2E37}" name="2018" dataDxfId="223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F3E5D3-A94B-466E-837E-D705E32B33F3}" name="Percentage_distribution_of_journey_distance_for_all_regions" displayName="Percentage_distribution_of_journey_distance_for_all_regions" ref="A1:G6" headerRowDxfId="193" dataDxfId="191" headerRowBorderDxfId="192">
  <autoFilter ref="A1:G6" xr:uid="{CF05D057-6D7E-4504-B84C-FE743CC187C5}"/>
  <tableColumns count="7">
    <tableColumn id="1" xr3:uid="{7F5D71E9-5640-4C2B-8843-87558738A59B}" name="Percentage distribution of journey distance for all regions, 2009 - 2019" totalsRowLabel="Total" dataDxfId="190" totalsRowDxfId="189"/>
    <tableColumn id="2" xr3:uid="{742B38A5-C72F-4553-B367-6E9E4515DCBE}" name="2009" dataDxfId="188" totalsRowDxfId="187"/>
    <tableColumn id="3" xr3:uid="{5100CC36-9ACA-4E58-9D2C-15C5465F78EA}" name="2012" dataDxfId="186" totalsRowDxfId="185"/>
    <tableColumn id="4" xr3:uid="{22045BBA-5C4F-4877-98FB-009EA4053B4B}" name="2013" dataDxfId="184" totalsRowDxfId="183"/>
    <tableColumn id="5" xr3:uid="{41DC4A95-3E4F-48A1-A642-C1DA5C390AC3}" name="2014" dataDxfId="182" totalsRowDxfId="181"/>
    <tableColumn id="6" xr3:uid="{98BF6EF0-8C96-44C9-9C8E-723E6C601539}" name="2016" dataDxfId="180" totalsRowDxfId="179"/>
    <tableColumn id="7" xr3:uid="{C7FDF019-61FA-421E-B729-46D7B7181C92}" name="2019" totalsRowFunction="sum" dataDxfId="178" totalsRowDxfId="177"/>
  </tableColumns>
  <tableStyleInfo name="TableStyleMedium2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8E7265-79C5-49CA-B066-32BBB0B682E6}" name="Percentage_dist_journeys_by_mode_and_distance_to_2km" displayName="Percentage_dist_journeys_by_mode_and_distance_to_2km" ref="A10:G18" totalsRowShown="0" headerRowDxfId="176" dataDxfId="175">
  <autoFilter ref="A10:G18" xr:uid="{95A9BD6D-6F3D-43F6-BC2C-851A71A5CB49}"/>
  <tableColumns count="7">
    <tableColumn id="1" xr3:uid="{8FD824FE-E74C-4E6C-BBDA-A6D9C702D8B0}" name="Percentage distribution of journeys by mode of travel and distance &lt; 2km, 2009 - 2019" dataDxfId="174"/>
    <tableColumn id="2" xr3:uid="{205203AA-9F0F-48A7-A14E-69E28A47B9DB}" name="2009" dataDxfId="173"/>
    <tableColumn id="3" xr3:uid="{D59D78BA-2D75-4315-81E4-2C290CD361D8}" name="2012" dataDxfId="172"/>
    <tableColumn id="4" xr3:uid="{A8CF9F1B-B08A-480C-B8D7-C835CBDE91F7}" name="2013" dataDxfId="171"/>
    <tableColumn id="5" xr3:uid="{E490BA8D-E2E1-4222-AB99-2B89F2E860DB}" name="2014" dataDxfId="170"/>
    <tableColumn id="6" xr3:uid="{8F27A023-584D-4BB8-A22C-93B26879EAB7}" name="2016" dataDxfId="169"/>
    <tableColumn id="7" xr3:uid="{A523F5F5-D14B-43FE-9404-02C8E26659DF}" name="2019" dataDxfId="16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0590F3-6CCE-4133-A376-303D55ED79E3}" name="Percentage_dist_journeys_by_mode_and_distance_2_to_4km" displayName="Percentage_dist_journeys_by_mode_and_distance_2_to_4km" ref="A22:G30" totalsRowShown="0" headerRowDxfId="167" dataDxfId="166">
  <autoFilter ref="A22:G30" xr:uid="{29BFE05B-1F2B-4BD9-BA39-9BE8E2787545}"/>
  <tableColumns count="7">
    <tableColumn id="1" xr3:uid="{692E587A-BBB8-43DF-AF87-0A6C5BB05D62}" name="Percentage distribution of journeys by mode of travel and distance 2 - 4 km, 2009 - 2019" dataDxfId="165"/>
    <tableColumn id="2" xr3:uid="{0A25D1DF-5138-4717-A2C6-04D5F054BF69}" name="2009" dataDxfId="164"/>
    <tableColumn id="3" xr3:uid="{7D10D7CF-542C-43A9-9EA3-759CDA001393}" name="2012" dataDxfId="163"/>
    <tableColumn id="4" xr3:uid="{EA31089E-0960-461A-832D-E70DB87945E9}" name="2013" dataDxfId="162"/>
    <tableColumn id="5" xr3:uid="{BE3766FE-A973-4907-A4DE-9A74D5A61D90}" name="2014" dataDxfId="161"/>
    <tableColumn id="6" xr3:uid="{9B553511-929B-486A-B977-F991EF79B8C8}" name="2016" dataDxfId="160"/>
    <tableColumn id="7" xr3:uid="{4DC0E4E4-C267-4BAF-9560-99F3F48B8EB8}" name="2019" dataDxfId="159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E37F60-7232-4480-8C35-06E67E7EF3B2}" name="Percentage_dist_journeys_by_mode_and_distance_4_to_6km" displayName="Percentage_dist_journeys_by_mode_and_distance_4_to_6km" ref="A34:G42" totalsRowShown="0" headerRowDxfId="158" dataDxfId="157">
  <autoFilter ref="A34:G42" xr:uid="{723B9779-810D-4586-84A7-57176A098E5E}"/>
  <tableColumns count="7">
    <tableColumn id="1" xr3:uid="{C87486FA-860A-4224-852C-79676D223282}" name="Percentage distribution of journeys by mode of travel and distance 4 - 6 km, 2009 - 2019" dataDxfId="156"/>
    <tableColumn id="2" xr3:uid="{5639B654-7697-466D-A257-5CA324B188E9}" name="2009" dataDxfId="155"/>
    <tableColumn id="3" xr3:uid="{E04CAEFF-E031-4948-A5C0-B3BAD6CF54F9}" name="2012" dataDxfId="154"/>
    <tableColumn id="4" xr3:uid="{91BFF6E6-4A61-4D76-857B-91C4305DE79A}" name="2013" dataDxfId="153"/>
    <tableColumn id="5" xr3:uid="{F4FB29BA-F049-4324-9492-528DD7B9FBF8}" name="2014" dataDxfId="152"/>
    <tableColumn id="6" xr3:uid="{66C07DC3-14A8-480F-9298-0D36243AF063}" name="2016" dataDxfId="151"/>
    <tableColumn id="7" xr3:uid="{A19CEABB-ED23-445B-83DA-4BF1244CA6A0}" name="2019" dataDxfId="150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EE47AAB-B33B-4C2F-BC86-091D77BF9DC0}" name="Percentage_dist_journeys_by_mode_and_distance_6_to_8km" displayName="Percentage_dist_journeys_by_mode_and_distance_6_to_8km" ref="A46:G54" totalsRowShown="0" headerRowDxfId="149" dataDxfId="148">
  <autoFilter ref="A46:G54" xr:uid="{C35B7B13-3501-4F2F-AA06-F30C61DFEEDF}"/>
  <tableColumns count="7">
    <tableColumn id="1" xr3:uid="{9371A114-03AE-4933-B827-0E96298074AA}" name="Percentage distribution of journeys by mode of travel and distance 6 - 8 km, 2009 - 2019" dataDxfId="147"/>
    <tableColumn id="2" xr3:uid="{DA6D9ECD-BC2A-4D2A-9D4F-5A1362A47E0A}" name="2009" dataDxfId="146"/>
    <tableColumn id="3" xr3:uid="{3FFE40FE-2B25-44D6-92B8-F1CF4F515D77}" name="2012" dataDxfId="145"/>
    <tableColumn id="4" xr3:uid="{D3623439-F9B9-45B9-9AF9-295533ECDCD7}" name="2013" dataDxfId="144"/>
    <tableColumn id="5" xr3:uid="{2093936E-D810-458F-BC09-6FCF17611D2B}" name="2014" dataDxfId="143"/>
    <tableColumn id="6" xr3:uid="{4287D244-99B0-4734-A8F7-6588643C7C76}" name="2016" dataDxfId="142"/>
    <tableColumn id="7" xr3:uid="{FEE420C4-8799-4752-889D-CCCD6446DEA2}" name="2019" dataDxfId="141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6E483C-9978-4F9C-9E0E-0DC4173D0B1A}" name="Percentage_dist_journeys_by_mode_and_distance_8km" displayName="Percentage_dist_journeys_by_mode_and_distance_8km" ref="A58:G66" totalsRowShown="0" headerRowDxfId="140" dataDxfId="139" tableBorderDxfId="138">
  <autoFilter ref="A58:G66" xr:uid="{33A50DD3-42D6-4B48-BB0D-160B9177E75C}"/>
  <tableColumns count="7">
    <tableColumn id="1" xr3:uid="{64BEC8F0-5A62-4358-873A-52A757D59E0E}" name="Percentage distribution of journeys by mode of travel and distance &gt;8 km, 2009 - 2019" dataDxfId="137"/>
    <tableColumn id="2" xr3:uid="{AC937323-44B1-462F-93C5-5A1E99F19149}" name="2009" dataDxfId="136"/>
    <tableColumn id="3" xr3:uid="{D9668627-0D33-4C81-A3F4-D020B1C548DE}" name="2012" dataDxfId="135"/>
    <tableColumn id="4" xr3:uid="{DB07F5DC-EF02-40CD-98BD-1DE5616F21CC}" name="2013" dataDxfId="134"/>
    <tableColumn id="5" xr3:uid="{DEF6C198-566F-4EA7-BDFB-AD780DDADFAC}" name="2014" dataDxfId="133"/>
    <tableColumn id="6" xr3:uid="{4DC8C71A-6279-4A7F-AF02-E2976C9396A1}" name="2016" dataDxfId="132"/>
    <tableColumn id="7" xr3:uid="{346F679D-2BE8-4775-9DC7-E8F42E1B0015}" name="2019" dataDxfId="131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5FEE60-4D67-4561-9CF7-88C4AA7C7E2B}" name="Population" displayName="Population" ref="A70:G71" totalsRowShown="0">
  <autoFilter ref="A70:G71" xr:uid="{A489A04F-CECA-4E7B-9177-09AE1A9F3340}"/>
  <tableColumns count="7">
    <tableColumn id="1" xr3:uid="{B5B47378-A800-46FD-9CA2-6AAF7F3DEBA4}" name="Population, 2009 - 2019" dataDxfId="130"/>
    <tableColumn id="2" xr3:uid="{2C90AC7C-91A9-4D7E-973B-4D3498AA2097}" name="2009"/>
    <tableColumn id="3" xr3:uid="{E54E175D-4C6F-4E78-88C4-79D27E1E37E5}" name="2012"/>
    <tableColumn id="4" xr3:uid="{582405FF-94B0-452E-8C52-358D6A1E60E1}" name="2013"/>
    <tableColumn id="5" xr3:uid="{8A338EF4-15DF-48D6-B0DF-3D250F91AEDA}" name="2014"/>
    <tableColumn id="6" xr3:uid="{B23B3D2D-5149-4F16-B505-55746F0CD355}" name="2016"/>
    <tableColumn id="7" xr3:uid="{EDFE39FF-6C87-4A27-AECD-3F297B6DAD93}" name="201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60F793-77B8-4CD7-8F7D-2576F8904268}" name="Number_of_respondants" displayName="Number_of_respondants" ref="A75:G76" totalsRowShown="0" headerRowDxfId="129" headerRowBorderDxfId="128" tableBorderDxfId="127" totalsRowBorderDxfId="126">
  <autoFilter ref="A75:G76" xr:uid="{81143A2D-0325-4117-9AEC-D81468995E30}"/>
  <tableColumns count="7">
    <tableColumn id="1" xr3:uid="{C2DC03A6-7B1A-4D69-B973-600DD3980832}" name="Number of respondants, National Travel Survey, 2009 - 2019" dataDxfId="125"/>
    <tableColumn id="2" xr3:uid="{E65FDAB1-057C-4340-A9F3-39AEA9EACFA5}" name="2009"/>
    <tableColumn id="3" xr3:uid="{2E418C57-1FD0-4F9A-B079-A800D265EB1E}" name="2012"/>
    <tableColumn id="4" xr3:uid="{CF4EEB41-3B81-4C5D-9D2B-003A3D3A9465}" name="2013"/>
    <tableColumn id="5" xr3:uid="{9DB1E595-24D6-4AA1-83FC-C3C79E07B73F}" name="2014"/>
    <tableColumn id="6" xr3:uid="{AAC48D58-C7C8-4077-B2E3-45F0781F71C9}" name="2016"/>
    <tableColumn id="7" xr3:uid="{F3617E27-A433-41E4-B2FB-E9E9C773017E}" name="2019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AD16D57-E447-4F4B-BA5F-654F3CB405D1}" name="Total_Journeys_per_person_per_day" displayName="Total_Journeys_per_person_per_day" ref="A80:G81" totalsRowShown="0" headerRowDxfId="124" dataDxfId="122" headerRowBorderDxfId="123" tableBorderDxfId="121">
  <autoFilter ref="A80:G81" xr:uid="{30A9E6E7-6BA3-4CEA-BC4D-2665DB7C9C56}"/>
  <tableColumns count="7">
    <tableColumn id="1" xr3:uid="{77856778-CC0C-41C5-98B9-09B93702D036}" name="Total journeys per person per day, National Travel Survey, 2009 - 2019" dataDxfId="120"/>
    <tableColumn id="2" xr3:uid="{40B9F6A4-B94B-41A5-95AC-729D490ECF26}" name="2009" dataDxfId="119">
      <calculatedColumnFormula>17/7</calculatedColumnFormula>
    </tableColumn>
    <tableColumn id="3" xr3:uid="{1D1409C8-2205-45DF-8EAA-90F92A57FDA5}" name="2012" dataDxfId="118">
      <calculatedColumnFormula>27818/Number_of_respondants[2012]</calculatedColumnFormula>
    </tableColumn>
    <tableColumn id="4" xr3:uid="{6A91C81C-C614-4627-AF38-B9CF5B8E2229}" name="2013" dataDxfId="117">
      <calculatedColumnFormula>27818/Number_of_respondants[2013]</calculatedColumnFormula>
    </tableColumn>
    <tableColumn id="5" xr3:uid="{409046BA-CB55-4388-AE4F-6D8162D78281}" name="2014" dataDxfId="116">
      <calculatedColumnFormula>18031/Number_of_respondants[2014]</calculatedColumnFormula>
    </tableColumn>
    <tableColumn id="6" xr3:uid="{C7B9497F-EA47-49C0-BEDB-736DAA88D01C}" name="2016" dataDxfId="115">
      <calculatedColumnFormula>19630/Number_of_respondants[2016]</calculatedColumnFormula>
    </tableColumn>
    <tableColumn id="7" xr3:uid="{85F0328F-8A17-4795-8346-DCD241D02B09}" name="2019" dataDxfId="114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695814-6C1A-4E97-A78B-1A714A098103}" name="Private_Vehicle_Activity" displayName="Private_Vehicle_Activity" ref="A93:G94" totalsRowShown="0" headerRowDxfId="113" dataDxfId="111" headerRowBorderDxfId="112" tableBorderDxfId="110" totalsRowBorderDxfId="109" dataCellStyle="Comma">
  <autoFilter ref="A93:G94" xr:uid="{42909932-0C87-402A-B2F5-CCE84044CD25}"/>
  <tableColumns count="7">
    <tableColumn id="1" xr3:uid="{B1648CFB-8AB6-403B-8592-13FB68C9CB7C}" name="Private vehicle activity, Irish Car Stock Model 2001 - 2018" dataDxfId="108"/>
    <tableColumn id="2" xr3:uid="{624D2514-364F-44E5-B1F9-3509B4B1804C}" name="2009" dataDxfId="107" dataCellStyle="Comma">
      <calculatedColumnFormula>Private_Vehicle_Kilometres_Car_Stock[2009]</calculatedColumnFormula>
    </tableColumn>
    <tableColumn id="3" xr3:uid="{9AF0D2A2-7CB1-41DD-BF96-5737F8CFEFBF}" name="2012" dataDxfId="106" dataCellStyle="Comma">
      <calculatedColumnFormula>Private_Vehicle_Kilometres_Car_Stock[2012]</calculatedColumnFormula>
    </tableColumn>
    <tableColumn id="4" xr3:uid="{182AD885-214D-446B-AFAA-3B2C0B6A9A0D}" name="2013" dataDxfId="105" dataCellStyle="Comma">
      <calculatedColumnFormula>Private_Vehicle_Kilometres_Car_Stock[2013]</calculatedColumnFormula>
    </tableColumn>
    <tableColumn id="5" xr3:uid="{B06A93D3-C767-40B8-A865-36A66BAF9CB1}" name="2014" dataDxfId="104" dataCellStyle="Comma">
      <calculatedColumnFormula>Private_Vehicle_Kilometres_Car_Stock[2014]</calculatedColumnFormula>
    </tableColumn>
    <tableColumn id="6" xr3:uid="{E5F7118E-0782-48CE-8FB2-B16F5D1BC4A6}" name="2016" dataDxfId="103" dataCellStyle="Comma">
      <calculatedColumnFormula>Private_Vehicle_Kilometres_Car_Stock[2016]</calculatedColumnFormula>
    </tableColumn>
    <tableColumn id="7" xr3:uid="{7065E962-E52E-4452-9705-9A8C397DE3AA}" name="2019" dataDxfId="102" dataCellStyle="Comma">
      <calculatedColumnFormula>Private_Vehicle_Kilometres_Car_Stock[2019]</calculatedColumnFormula>
    </tableColumn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85FD2A5-57E6-4FD1-9845-31C5E0411E13}" name="Average_journey_distance_by_mode_kilometres" displayName="Average_journey_distance_by_mode_kilometres" ref="A98:G106" totalsRowShown="0" headerRowDxfId="101" headerRowBorderDxfId="100">
  <autoFilter ref="A98:G106" xr:uid="{A36F303E-793E-4C83-A627-AE5D05FED8C7}"/>
  <tableColumns count="7">
    <tableColumn id="1" xr3:uid="{C74B191E-10CF-45E2-AF55-585A13785389}" name="Average journey distance by mode (kilometres), National Travel Survey 2009 - 2019" dataDxfId="99"/>
    <tableColumn id="2" xr3:uid="{DE8A5CFE-7DE8-429B-98EA-EC4CFD2575A0}" name="2009" dataDxfId="98"/>
    <tableColumn id="3" xr3:uid="{9D79C5A5-C6DA-4950-9B3E-7F74C7E72EA2}" name="2012" dataDxfId="97"/>
    <tableColumn id="4" xr3:uid="{D99DF849-799A-42EF-B4F7-A25389DCAE9B}" name="2013" dataDxfId="96"/>
    <tableColumn id="5" xr3:uid="{2C5000F0-694B-4929-B19B-7D190B81756E}" name="2014" dataDxfId="95"/>
    <tableColumn id="6" xr3:uid="{F62D2210-8AAE-42AF-AF7E-6B33CCCF9697}" name="2016" dataDxfId="94"/>
    <tableColumn id="7" xr3:uid="{C94C6FD2-E4EB-46B6-8248-4F3A570E1872}" name="2019" dataDxfId="93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817B2B-82FD-41AD-BF7B-A3ECC3BE203B}" name="Total_Journeys_Per_Year" displayName="Total_Journeys_Per_Year" ref="A89:G90" totalsRowShown="0" headerRowDxfId="92" dataDxfId="90" headerRowBorderDxfId="91" tableBorderDxfId="89">
  <autoFilter ref="A89:G90" xr:uid="{CA170B91-A53E-49FF-90D9-88FE598894E8}"/>
  <tableColumns count="7">
    <tableColumn id="1" xr3:uid="{CFBEE593-EB0F-4EAB-8123-5E38B0489343}" name="Total journeys per year total, National Travel Survey, 2009 - 2019" dataDxfId="88"/>
    <tableColumn id="2" xr3:uid="{7A198448-6B66-4DBC-A460-53C0C040B40D}" name="2009" dataDxfId="87">
      <calculatedColumnFormula>Population[2009]*Total_Journeys_per_person_per_day[2009]*Number_of_days_per_year[2009]</calculatedColumnFormula>
    </tableColumn>
    <tableColumn id="3" xr3:uid="{77299D9B-6018-420D-88A0-37EA1C01ED26}" name="2012" dataDxfId="86">
      <calculatedColumnFormula>Population[2012]*Total_Journeys_per_person_per_day[2012]*Number_of_days_per_year[2012]</calculatedColumnFormula>
    </tableColumn>
    <tableColumn id="4" xr3:uid="{B79E3C6C-704D-4B47-8DC8-A4323B5D969D}" name="2013" dataDxfId="85">
      <calculatedColumnFormula>Population[2013]*Total_Journeys_per_person_per_day[2013]*Number_of_days_per_year[2013]</calculatedColumnFormula>
    </tableColumn>
    <tableColumn id="5" xr3:uid="{3B52FEAA-D857-49D8-835A-AB0ABA2D5A7C}" name="2014" dataDxfId="84">
      <calculatedColumnFormula>Population[2014]*Total_Journeys_per_person_per_day[2014]*Number_of_days_per_year[2014]</calculatedColumnFormula>
    </tableColumn>
    <tableColumn id="6" xr3:uid="{6A5D258C-715B-4450-94FC-D975889A5234}" name="2016" dataDxfId="83">
      <calculatedColumnFormula>Population[2016]*Total_Journeys_per_person_per_day[2016]*Number_of_days_per_year[2016]</calculatedColumnFormula>
    </tableColumn>
    <tableColumn id="7" xr3:uid="{3784AEC2-3A63-49C3-BCFA-4EFBB5FCB803}" name="2019" dataDxfId="82">
      <calculatedColumnFormula>Population[2019]*Total_Journeys_per_person_per_day[2019]*Number_of_days_per_year[2019]</calculatedColumn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CBCFA1E-81D1-444E-8F28-8E6D281027D7}" name="Number_of_days_per_year" displayName="Number_of_days_per_year" ref="A85:G86" totalsRowShown="0" headerRowDxfId="81" dataDxfId="79" headerRowBorderDxfId="80" tableBorderDxfId="78">
  <autoFilter ref="A85:G86" xr:uid="{E50DE311-A6E9-4DA4-88DB-4F25F421FB46}"/>
  <tableColumns count="7">
    <tableColumn id="1" xr3:uid="{F10DD909-ED70-4504-BF20-379EA0A6B41D}" name="Total number of days per year" dataDxfId="77"/>
    <tableColumn id="2" xr3:uid="{89544118-6CE9-43C2-A830-3806CB816404}" name="2009" dataDxfId="76"/>
    <tableColumn id="3" xr3:uid="{5027B51E-8353-42FF-8408-8E317C796584}" name="2012" dataDxfId="75"/>
    <tableColumn id="4" xr3:uid="{F96DC60D-67C2-4684-B920-2C5699939846}" name="2013" dataDxfId="74"/>
    <tableColumn id="5" xr3:uid="{63069EAC-9E18-4F9A-B287-F7DA1B5B317A}" name="2014" dataDxfId="73"/>
    <tableColumn id="6" xr3:uid="{201F2099-F003-41E0-9B70-52B675A6D2C8}" name="2016" dataDxfId="72"/>
    <tableColumn id="7" xr3:uid="{F2A7927F-48A0-497D-8D41-26B18CB446FD}" name="2019" dataDxfId="71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A021BF-6310-46ED-BACD-E445D5C93778}" name="Adjustment_factor_for_distance_based_on_mode" displayName="Adjustment_factor_for_distance_based_on_mode" ref="A110:G118" totalsRowShown="0">
  <autoFilter ref="A110:G118" xr:uid="{7273B18F-F7FB-441E-A503-C8CED8A6AD51}"/>
  <tableColumns count="7">
    <tableColumn id="1" xr3:uid="{D18BC408-2583-4F48-8100-0E179CCA0F03}" name="Adjustment factor for distance based on mode, 2009 - 2019" dataDxfId="70"/>
    <tableColumn id="2" xr3:uid="{08F06DA6-9078-4249-8B78-4E7CE2ECAFB5}" name="2009" dataDxfId="69">
      <calculatedColumnFormula>B99/$B$99</calculatedColumnFormula>
    </tableColumn>
    <tableColumn id="3" xr3:uid="{5703CE6A-8D53-4118-9CE7-608BEF1800DD}" name="2012" dataDxfId="68">
      <calculatedColumnFormula>C99/$C$99</calculatedColumnFormula>
    </tableColumn>
    <tableColumn id="4" xr3:uid="{0621D96D-AAF9-43F8-AF06-04B7F178B0E0}" name="2013" dataDxfId="67">
      <calculatedColumnFormula>D99/$D$99</calculatedColumnFormula>
    </tableColumn>
    <tableColumn id="5" xr3:uid="{4101B329-49DA-4F0A-A48E-D733E5D27D1B}" name="2014" dataDxfId="66">
      <calculatedColumnFormula>E99/$E$99</calculatedColumnFormula>
    </tableColumn>
    <tableColumn id="6" xr3:uid="{55828240-565F-4903-89F3-F891D3AE8DA4}" name="2016" dataDxfId="65">
      <calculatedColumnFormula>F99/$F$99</calculatedColumnFormula>
    </tableColumn>
    <tableColumn id="7" xr3:uid="{8B559AAE-767F-4663-9E2D-0EBAAC092CD2}" name="2019" dataDxfId="64">
      <calculatedColumnFormula>G99/$G$99</calculatedColumnFormula>
    </tableColumn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7BD4EE0-2ED7-4DC8-AB4B-8843C9CAA95C}" name="Percentage_dist_journeys_by_purpose_and_distance_to_2km" displayName="Percentage_dist_journeys_by_purpose_and_distance_to_2km" ref="A121:G130" totalsRowShown="0" headerRowDxfId="63" dataDxfId="62">
  <autoFilter ref="A121:G130" xr:uid="{E9950636-B421-4E29-B674-D04B1CA625FC}"/>
  <tableColumns count="7">
    <tableColumn id="1" xr3:uid="{48CC43DD-E82D-43A8-A21A-9C9215602CB4}" name="Percentage distribution of journeys by reason of travel and distance &lt; 2km, 2009 - 2019" dataDxfId="61"/>
    <tableColumn id="2" xr3:uid="{651135DB-FBFA-4968-AF7A-40829E9ED869}" name="2009" dataDxfId="60"/>
    <tableColumn id="3" xr3:uid="{A3F1DB9F-BC76-41B7-9D27-4878207125A5}" name="2012" dataDxfId="59"/>
    <tableColumn id="4" xr3:uid="{A1DEED14-0D84-4D25-8E9F-E41A6F2F8413}" name="2013" dataDxfId="58"/>
    <tableColumn id="5" xr3:uid="{05E8D0CA-1A62-48CD-B72D-C698C59C4087}" name="2014" dataDxfId="57"/>
    <tableColumn id="6" xr3:uid="{64E35B9F-DBE3-42D6-9C7B-EA943BAD00C1}" name="2016" dataDxfId="56"/>
    <tableColumn id="7" xr3:uid="{27686283-2922-4C63-9002-BF0E23DA6EB5}" name="2019" dataDxfId="5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6EA63A8-3FC7-44F7-B941-04FDCB91C1F4}" name="Percentage_dist_journeys_by_purpose_and_distance_2_to_4km" displayName="Percentage_dist_journeys_by_purpose_and_distance_2_to_4km" ref="A134:G143" totalsRowShown="0" headerRowDxfId="54" dataDxfId="53">
  <autoFilter ref="A134:G143" xr:uid="{774DA7B9-A6EA-4AEA-B727-6EA91D774686}"/>
  <tableColumns count="7">
    <tableColumn id="1" xr3:uid="{449122F0-312B-4315-8BFF-B6CC17C60E7E}" name="Percentage distribution of journeys by reason of travel and distance 2 - 4 km, 2009 - 2019" dataDxfId="52">
      <calculatedColumnFormula>A122</calculatedColumnFormula>
    </tableColumn>
    <tableColumn id="2" xr3:uid="{F378ED01-5172-4468-A126-D6CE9A61F2D4}" name="2009" dataDxfId="51"/>
    <tableColumn id="3" xr3:uid="{DDE53446-F66F-4FC0-B7D5-533338605311}" name="2012" dataDxfId="50"/>
    <tableColumn id="4" xr3:uid="{8EE53A6D-2A55-49EB-8861-77C1DDD717E0}" name="2013" dataDxfId="49"/>
    <tableColumn id="5" xr3:uid="{B778E98A-2EE8-40C8-A0BD-895A9428C62B}" name="2014" dataDxfId="48"/>
    <tableColumn id="6" xr3:uid="{D43E8049-0812-4E4D-8671-8C3EA4716348}" name="2016" dataDxfId="47"/>
    <tableColumn id="7" xr3:uid="{DBD38869-42B3-49E8-B396-8E896F4DFCAC}" name="2019" dataDxfId="4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8DA6546-46E2-4FA6-B67B-0D76B3BFDEEF}" name="Percentage_dist_journeys_by_purpose_and_distance_4_to_6km" displayName="Percentage_dist_journeys_by_purpose_and_distance_4_to_6km" ref="A147:G156" totalsRowShown="0" headerRowDxfId="45" dataDxfId="44">
  <autoFilter ref="A147:G156" xr:uid="{649970A7-B23C-4BD3-BA8D-965EC1F15348}"/>
  <tableColumns count="7">
    <tableColumn id="1" xr3:uid="{3A1511C9-EC47-4088-8942-47ED358EF67D}" name="Percentage distribution of journeys by reason of travel and distance 4 - 6 km, 2009 - 2019" dataDxfId="43">
      <calculatedColumnFormula>A135</calculatedColumnFormula>
    </tableColumn>
    <tableColumn id="2" xr3:uid="{470E6312-50FE-48A9-828A-1DDBFF7B4A18}" name="2009" dataDxfId="42"/>
    <tableColumn id="3" xr3:uid="{3718DABF-60F6-46E7-B2DD-3D6052BBFE0A}" name="2012" dataDxfId="41"/>
    <tableColumn id="4" xr3:uid="{D8F486A4-9C1E-4167-A9A3-2D6CDAE59A2E}" name="2013" dataDxfId="40"/>
    <tableColumn id="5" xr3:uid="{9C010567-83A4-4DB4-A69E-CA534A7576BA}" name="2014" dataDxfId="39"/>
    <tableColumn id="6" xr3:uid="{AD9E8583-3285-4D25-89E3-4612FA01A07B}" name="2016" dataDxfId="38"/>
    <tableColumn id="7" xr3:uid="{EAAE77A1-5839-4185-AAFB-BF7701217E20}" name="2019" dataDxfId="3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24D0BFD-64B4-4117-A5DE-A2C266B6661D}" name="Percentage_dist_journeys_by_purpose_and_distance_6_to_8km" displayName="Percentage_dist_journeys_by_purpose_and_distance_6_to_8km" ref="A160:G169" totalsRowShown="0" headerRowDxfId="36" dataDxfId="35">
  <autoFilter ref="A160:G169" xr:uid="{D49A80E1-721F-405F-AC50-96E099A9F6EA}"/>
  <tableColumns count="7">
    <tableColumn id="1" xr3:uid="{D5304BC0-D0DC-441C-B74C-8447882B6545}" name="Percentage distribution of journeys by reason of travel and distance 6 - 8 km, 2009 - 2019" dataDxfId="34">
      <calculatedColumnFormula>A148</calculatedColumnFormula>
    </tableColumn>
    <tableColumn id="2" xr3:uid="{8AF78A50-6C5A-46A4-A357-C5DF5FC3ADA2}" name="2009" dataDxfId="33"/>
    <tableColumn id="3" xr3:uid="{C33ABCD1-5D79-44E7-8A7B-2C823FD579B2}" name="2012" dataDxfId="32"/>
    <tableColumn id="4" xr3:uid="{57DF5A8B-E656-4EC9-9C3F-CF6BEF85AFDB}" name="2013" dataDxfId="31"/>
    <tableColumn id="5" xr3:uid="{210AF156-8086-4D87-B84B-89C9D2E7ECA0}" name="2014" dataDxfId="30"/>
    <tableColumn id="6" xr3:uid="{AFB05D54-6F0E-4DB6-B5FB-9A03312683E5}" name="2016" dataDxfId="29"/>
    <tableColumn id="7" xr3:uid="{9FFFC153-F635-4395-91F8-4AB67E05B662}" name="2019" dataDxfId="2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D6353A55-9767-4206-BD32-60940C5B5496}" name="Percentage_dist_journeys_by_purpose_and_distance_8km" displayName="Percentage_dist_journeys_by_purpose_and_distance_8km" ref="A173:G182" totalsRowShown="0" headerRowDxfId="27" dataDxfId="26" tableBorderDxfId="25">
  <autoFilter ref="A173:G182" xr:uid="{D884D22C-0B0C-4713-A65C-CBA40A2E0EBB}"/>
  <tableColumns count="7">
    <tableColumn id="1" xr3:uid="{CC3AE775-39F8-4A63-9A30-F5298EB5646A}" name="Percentage distribution of journeys by reason of travel and distance &gt;8 km, 2009 - 2019" dataDxfId="24">
      <calculatedColumnFormula>A161</calculatedColumnFormula>
    </tableColumn>
    <tableColumn id="2" xr3:uid="{EE3490B1-0D87-4245-9A43-9242E59378DA}" name="2009" dataDxfId="23"/>
    <tableColumn id="3" xr3:uid="{8A87430F-6409-43A2-AFF7-6FB3FD1EA192}" name="2012" dataDxfId="22"/>
    <tableColumn id="4" xr3:uid="{2F6735F0-ADB2-48FC-B87E-7391477344A3}" name="2013" dataDxfId="21"/>
    <tableColumn id="5" xr3:uid="{27F704D3-E5F6-465E-9BD6-08994A7F568C}" name="2014" dataDxfId="20"/>
    <tableColumn id="6" xr3:uid="{77376607-C720-4711-9BC4-38C0418134D8}" name="2016" dataDxfId="19"/>
    <tableColumn id="7" xr3:uid="{8BCAAAA7-7858-451F-BE46-A2E634DBC420}" name="2019" dataDxfId="18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DEFA848-4BB2-45D9-9AF6-DE8DEDDD1847}" name="Average_journey_distance_by_purpose_of_travel_2009_2019" displayName="Average_journey_distance_by_purpose_of_travel_2009_2019" ref="A187:G196" totalsRowShown="0" headerRowDxfId="17" tableBorderDxfId="16">
  <autoFilter ref="A187:G196" xr:uid="{D42767E8-BFA0-456E-BD33-70419D5281B3}"/>
  <tableColumns count="7">
    <tableColumn id="1" xr3:uid="{359FD126-0A6B-440E-8E11-A16E087803CC}" name="Average journey distance by purpose of travel, 2009 - 2019" dataDxfId="15"/>
    <tableColumn id="2" xr3:uid="{5BA20893-9CA9-4205-B675-6017E0E8260E}" name="2009" dataDxfId="14"/>
    <tableColumn id="3" xr3:uid="{D9A35176-2F6B-45DE-9A39-07066CA986F2}" name="2012" dataDxfId="13"/>
    <tableColumn id="4" xr3:uid="{FABA03EF-D5F5-4639-9571-B40F3E990B48}" name="2013" dataDxfId="12"/>
    <tableColumn id="5" xr3:uid="{A43AC592-CC48-4950-9E1B-865C067D7EE9}" name="2014" dataDxfId="11"/>
    <tableColumn id="6" xr3:uid="{C7123C2A-A17B-4C96-BA16-DD3A7597E6E0}" name="2016" dataDxfId="10"/>
    <tableColumn id="7" xr3:uid="{5F0BC6C2-E151-4DCD-9349-898E273C3355}" name="2019" dataDxfId="9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0032781-A5D0-41D7-81AE-F1046444070F}" name="Reason_for_car_journeys_by_percentage" displayName="Reason_for_car_journeys_by_percentage" ref="A200:G209" totalsRowShown="0" headerRowDxfId="8">
  <autoFilter ref="A200:G209" xr:uid="{0A8E58F5-5D22-40C5-81D0-F1CBC2C1E972}"/>
  <tableColumns count="7">
    <tableColumn id="1" xr3:uid="{5FDDF9E4-F888-44E6-8A08-4290578227DA}" name="Reason for car journeys by percentage"/>
    <tableColumn id="2" xr3:uid="{33A78BEA-A1FD-4DE6-A1B5-60E88214DD65}" name="2009">
      <calculatedColumnFormula>D249</calculatedColumnFormula>
    </tableColumn>
    <tableColumn id="3" xr3:uid="{7E5C3259-828A-4C11-8A14-1F276D654F29}" name="2012">
      <calculatedColumnFormula>D249</calculatedColumnFormula>
    </tableColumn>
    <tableColumn id="4" xr3:uid="{4A14DBFE-9AE6-4B0B-9103-27D935C6B57E}" name="2013">
      <calculatedColumnFormula>D249</calculatedColumnFormula>
    </tableColumn>
    <tableColumn id="5" xr3:uid="{6DF71FF8-B533-40A5-B3CC-45EBCCBA4C90}" name="2014">
      <calculatedColumnFormula>P249</calculatedColumnFormula>
    </tableColumn>
    <tableColumn id="6" xr3:uid="{BE83BDD1-DFEA-4827-9E77-22FD19FD02B3}" name="2016">
      <calculatedColumnFormula>AB249</calculatedColumnFormula>
    </tableColumn>
    <tableColumn id="7" xr3:uid="{A565BDE9-B166-407C-80C6-F8820360BC22}" name="2019">
      <calculatedColumnFormula>AN249</calculatedColumnFormula>
    </tableColumn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89ABA6A-5393-4933-8AEE-9392276E3C47}" name="Reason_for_public_transport_journeys_by_percentage" displayName="Reason_for_public_transport_journeys_by_percentage" ref="A211:G220" totalsRowShown="0" headerRowDxfId="7">
  <autoFilter ref="A211:G220" xr:uid="{6C9280F6-65D4-40B8-AF61-460A4D8590F8}"/>
  <tableColumns count="7">
    <tableColumn id="1" xr3:uid="{B86A22C7-4DBF-4013-AC4D-C10CB3C98185}" name="Reason for public transport journeys by percentage">
      <calculatedColumnFormula>A201</calculatedColumnFormula>
    </tableColumn>
    <tableColumn id="2" xr3:uid="{3332363A-E56C-4C1A-BB0D-048B6E2D199E}" name="2009">
      <calculatedColumnFormula>G249</calculatedColumnFormula>
    </tableColumn>
    <tableColumn id="3" xr3:uid="{23864B07-D0C1-4336-812C-FAF598310C3A}" name="2012">
      <calculatedColumnFormula>G249</calculatedColumnFormula>
    </tableColumn>
    <tableColumn id="4" xr3:uid="{9DEFE95F-5647-45D0-8D89-F2FC5F6A2945}" name="2013">
      <calculatedColumnFormula>G249</calculatedColumnFormula>
    </tableColumn>
    <tableColumn id="5" xr3:uid="{D634E89F-21D4-49F6-8C85-37EA7FA785F0}" name="2014">
      <calculatedColumnFormula>S249</calculatedColumnFormula>
    </tableColumn>
    <tableColumn id="6" xr3:uid="{323FEBB4-90C6-4811-8384-C831026F220E}" name="2016">
      <calculatedColumnFormula>AE249</calculatedColumnFormula>
    </tableColumn>
    <tableColumn id="7" xr3:uid="{DD7F274F-3A85-4542-B03E-F132EEEDDCFE}" name="2019">
      <calculatedColumnFormula>AQ249</calculatedColumnFormula>
    </tableColumn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5A1508C-6680-47E7-9E10-67692C43FC43}" name="Reason_for_walking_cycling_journeys_by_percentage" displayName="Reason_for_walking_cycling_journeys_by_percentage" ref="A222:G231" totalsRowShown="0">
  <autoFilter ref="A222:G231" xr:uid="{804FC1B9-26C6-4B99-B7E8-B2D6FBBAEF6C}"/>
  <tableColumns count="7">
    <tableColumn id="1" xr3:uid="{1172122C-005A-4602-BD85-75F47463C4C9}" name="Reason for walking/cycling journeys by percentage" dataDxfId="6">
      <calculatedColumnFormula>A212</calculatedColumnFormula>
    </tableColumn>
    <tableColumn id="2" xr3:uid="{91EA04C9-E332-4568-BF7D-8E432C81DFC4}" name="2009">
      <calculatedColumnFormula>$J249</calculatedColumnFormula>
    </tableColumn>
    <tableColumn id="3" xr3:uid="{54303DC0-BAB4-4E6B-8B1B-AC5EA61F8AC8}" name="2012">
      <calculatedColumnFormula>$J249</calculatedColumnFormula>
    </tableColumn>
    <tableColumn id="4" xr3:uid="{2D188516-D87C-4B6D-961B-DFBADC3D739E}" name="2013">
      <calculatedColumnFormula>$J249</calculatedColumnFormula>
    </tableColumn>
    <tableColumn id="5" xr3:uid="{65C9F5AA-F34D-4A3C-BFAF-2E56AB7AB5E7}" name="2014">
      <calculatedColumnFormula>V249</calculatedColumnFormula>
    </tableColumn>
    <tableColumn id="6" xr3:uid="{6E10A3B9-CB5E-4A99-ABCE-A5B613FF8D8F}" name="2016">
      <calculatedColumnFormula>AH249</calculatedColumnFormula>
    </tableColumn>
    <tableColumn id="7" xr3:uid="{6EE7161C-64B9-4C80-9B6C-74E5DBAA409F}" name="2019">
      <calculatedColumnFormula>AT249</calculatedColumnFormula>
    </tableColumn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BED75B6-AC2B-4E46-9B43-9F6D88C7E23B}" name="Reason_for_lorry_motorcycle_other_journeys_by_percentage" displayName="Reason_for_lorry_motorcycle_other_journeys_by_percentage" ref="A233:G242" totalsRowShown="0">
  <autoFilter ref="A233:G242" xr:uid="{5C1562D9-8B31-44C8-8769-5169FE430CBC}"/>
  <tableColumns count="7">
    <tableColumn id="1" xr3:uid="{694511F8-9FDF-4AD2-ACBA-DDB2BC9B0B62}" name="Reason for Lorry/motorcycle/other journeys by percentage" dataDxfId="5">
      <calculatedColumnFormula>A223</calculatedColumnFormula>
    </tableColumn>
    <tableColumn id="2" xr3:uid="{732B9F79-D3E1-46C7-8B83-38CE8ED3454B}" name="2009" dataDxfId="4" dataCellStyle="Output">
      <calculatedColumnFormula>$M249</calculatedColumnFormula>
    </tableColumn>
    <tableColumn id="3" xr3:uid="{99EA797C-AEBE-409F-A0A7-3C95AC6FD853}" name="2012" dataDxfId="3" dataCellStyle="Output">
      <calculatedColumnFormula>$M249</calculatedColumnFormula>
    </tableColumn>
    <tableColumn id="4" xr3:uid="{F00193C2-B88C-4BE7-BD11-F95EC575856C}" name="2013" dataDxfId="2" dataCellStyle="Output">
      <calculatedColumnFormula>$M249</calculatedColumnFormula>
    </tableColumn>
    <tableColumn id="5" xr3:uid="{E392F9C5-9043-4363-B1A3-692A8F633D86}" name="2014">
      <calculatedColumnFormula>Y249</calculatedColumnFormula>
    </tableColumn>
    <tableColumn id="6" xr3:uid="{C657F832-3307-4253-8CD1-CB369420F262}" name="2016">
      <calculatedColumnFormula>AK249</calculatedColumnFormula>
    </tableColumn>
    <tableColumn id="7" xr3:uid="{AC6FB35D-3419-46BE-98F6-CDC97599270B}" name="2019">
      <calculatedColumnFormula>AW249</calculatedColumnFormula>
    </tableColumn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A5D74D2-37B2-4AC0-A37F-6A006FB9ECE2}" name="Table18" displayName="Table18" ref="A259:G270" totalsRowShown="0" headerRowDxfId="1" headerRowCellStyle="Output">
  <autoFilter ref="A259:G270" xr:uid="{7D75CD90-861A-43F5-BA4E-C3CBA0E3A538}"/>
  <tableColumns count="7">
    <tableColumn id="1" xr3:uid="{3F39C41B-5354-4E22-8DDE-65C275ADF78B}" name="Reason for journey by percentage %" dataDxfId="0" dataCellStyle="Output"/>
    <tableColumn id="2" xr3:uid="{EBDBF073-ABC2-4F37-A1E3-E36ABF82533A}" name="2009"/>
    <tableColumn id="3" xr3:uid="{6C0E774B-5189-4C92-B949-AFA4C571BE41}" name="2012"/>
    <tableColumn id="4" xr3:uid="{0A2068A3-6674-4DCF-BF0D-A1B9902E7C79}" name="2013"/>
    <tableColumn id="5" xr3:uid="{D9752DBF-E976-454B-8FEF-619E07CBB24B}" name="2014"/>
    <tableColumn id="6" xr3:uid="{F6D51DD4-CCAE-40ED-AA63-FFB0C0026E2F}" name="2016"/>
    <tableColumn id="7" xr3:uid="{CEBEC889-39E3-44A3-8CD1-159B4752EF54}" name="2019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52060C3-31E6-49B6-A685-ECFD8B54C49E}" name="Table909224" displayName="Table909224" ref="N1:Y11" totalsRowCount="1">
  <autoFilter ref="N1:Y10" xr:uid="{3990AE50-D2B7-42EF-807F-0BCD2BB2F314}"/>
  <tableColumns count="12">
    <tableColumn id="1" xr3:uid="{18E9499F-5DED-4920-9D25-28A80CF16901}" name="Interpolation of  Passenger Kilometres by trip purpose" dataDxfId="591" totalsRowDxfId="590">
      <calculatedColumnFormula>'PKM display'!A83</calculatedColumnFormula>
    </tableColumn>
    <tableColumn id="2" xr3:uid="{98482075-9E5B-457B-8147-5EAF6DBD8E4B}" name="2009" totalsRowFunction="custom" dataDxfId="589" totalsRowDxfId="588">
      <calculatedColumnFormula>'PKM display'!B83/1000000000</calculatedColumnFormula>
      <totalsRowFormula>SUM(Table909224[2009])</totalsRowFormula>
    </tableColumn>
    <tableColumn id="3" xr3:uid="{97D6826F-AA8D-4097-A37B-824354005E42}" name="2010" totalsRowFunction="custom" dataDxfId="587" totalsRowDxfId="586">
      <calculatedColumnFormula>'PKM display'!C83/1000000000</calculatedColumnFormula>
      <totalsRowFormula>SUM(Table909224[2010])</totalsRowFormula>
    </tableColumn>
    <tableColumn id="4" xr3:uid="{58ABCFE8-39B8-4E39-8D16-2674F87A9AEF}" name="2011" totalsRowFunction="custom" dataDxfId="585" totalsRowDxfId="584">
      <calculatedColumnFormula>'PKM display'!D83/1000000000</calculatedColumnFormula>
      <totalsRowFormula>SUM(Table909224[2011])</totalsRowFormula>
    </tableColumn>
    <tableColumn id="5" xr3:uid="{748554AB-7120-4DD1-B43B-48CE30451EC1}" name="2012" totalsRowFunction="custom" dataDxfId="583" totalsRowDxfId="582">
      <calculatedColumnFormula>'PKM display'!E83/1000000000</calculatedColumnFormula>
      <totalsRowFormula>SUM(Table909224[2012])</totalsRowFormula>
    </tableColumn>
    <tableColumn id="6" xr3:uid="{9A5CD12A-080A-4E2F-B04A-66E0182B363F}" name="2013" totalsRowFunction="custom" dataDxfId="581" totalsRowDxfId="580">
      <calculatedColumnFormula>'PKM display'!F83/1000000000</calculatedColumnFormula>
      <totalsRowFormula>SUM(Table909224[2013])</totalsRowFormula>
    </tableColumn>
    <tableColumn id="7" xr3:uid="{10BF2423-F9FC-4D95-B65D-719DE351D938}" name="2014" totalsRowFunction="custom" dataDxfId="579" totalsRowDxfId="578">
      <calculatedColumnFormula>'PKM display'!G83/1000000000</calculatedColumnFormula>
      <totalsRowFormula>SUM(Table909224[2014])</totalsRowFormula>
    </tableColumn>
    <tableColumn id="8" xr3:uid="{00A8ECE3-855C-4FDF-ADDF-2F12228C4FB0}" name="2015" totalsRowFunction="custom" dataDxfId="577" totalsRowDxfId="576">
      <calculatedColumnFormula>'PKM display'!H83/1000000000</calculatedColumnFormula>
      <totalsRowFormula>SUM(Table909224[2015])</totalsRowFormula>
    </tableColumn>
    <tableColumn id="9" xr3:uid="{E444F927-CF48-4364-BD83-C10CA391EC80}" name="2016" totalsRowFunction="custom" dataDxfId="575" totalsRowDxfId="574">
      <calculatedColumnFormula>'PKM display'!I83/1000000000</calculatedColumnFormula>
      <totalsRowFormula>SUM(Table909224[2016])</totalsRowFormula>
    </tableColumn>
    <tableColumn id="10" xr3:uid="{CDBBA61D-C415-4A9C-8CFC-81479F5B1607}" name="2017" totalsRowFunction="custom" dataDxfId="573" totalsRowDxfId="572">
      <calculatedColumnFormula>'PKM display'!J83/1000000000</calculatedColumnFormula>
      <totalsRowFormula>SUM(Table909224[2017])</totalsRowFormula>
    </tableColumn>
    <tableColumn id="11" xr3:uid="{8EEA5B92-85F3-4C61-A5A9-4B3A475A8DFE}" name="2018" totalsRowFunction="custom" dataDxfId="571" totalsRowDxfId="570">
      <calculatedColumnFormula>'PKM display'!K83/1000000000</calculatedColumnFormula>
      <totalsRowFormula>SUM(Table909224[2018])</totalsRowFormula>
    </tableColumn>
    <tableColumn id="12" xr3:uid="{B0D38212-17A5-422E-9D5E-7C862D4AA4A5}" name="2019" totalsRowFunction="custom" dataDxfId="569" totalsRowDxfId="568">
      <calculatedColumnFormula>'PKM display'!L83/1000000000</calculatedColumnFormula>
      <totalsRowFormula>SUM(Table909224[2019])</totalsRowFormula>
    </tableColumn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26D1CF2-F1DA-4AE3-BFD9-A67C41609FF6}" name="Table90929326" displayName="Table90929326" ref="AA1:AL7" totalsRowCount="1">
  <autoFilter ref="AA1:AL6" xr:uid="{40551197-80B5-4402-92A2-F5A32D79798A}"/>
  <tableColumns count="12">
    <tableColumn id="1" xr3:uid="{FE65EDD8-5A57-4930-B090-EB191F27FFCE}" name="Interpolation of  Passenger Kilometres by trip distance" dataDxfId="567" totalsRowDxfId="566">
      <calculatedColumnFormula>'PKM display'!A112</calculatedColumnFormula>
    </tableColumn>
    <tableColumn id="2" xr3:uid="{FBCE39CC-9F69-42D9-913D-3054BE0F31EB}" name="2009" totalsRowFunction="custom" dataDxfId="565" totalsRowDxfId="564">
      <calculatedColumnFormula>'PKM display'!B112/1000000000</calculatedColumnFormula>
      <totalsRowFormula>SUM(Table90929326[2009])</totalsRowFormula>
    </tableColumn>
    <tableColumn id="3" xr3:uid="{B479DD63-BA4F-4FB2-835B-85593A4E5A05}" name="2010" totalsRowFunction="custom" dataDxfId="563" totalsRowDxfId="562">
      <calculatedColumnFormula>'PKM display'!C112/1000000000</calculatedColumnFormula>
      <totalsRowFormula>SUM(Table90929326[2010])</totalsRowFormula>
    </tableColumn>
    <tableColumn id="4" xr3:uid="{FCE7BD80-769E-42B9-8DBB-34BBF104123E}" name="2011" totalsRowFunction="custom" dataDxfId="561" totalsRowDxfId="560">
      <calculatedColumnFormula>'PKM display'!D112/1000000000</calculatedColumnFormula>
      <totalsRowFormula>SUM(Table90929326[2011])</totalsRowFormula>
    </tableColumn>
    <tableColumn id="5" xr3:uid="{22BEC98E-30CB-449A-B9C4-39D7302E0418}" name="2012" totalsRowFunction="custom" dataDxfId="559" totalsRowDxfId="558">
      <calculatedColumnFormula>'PKM display'!E112/1000000000</calculatedColumnFormula>
      <totalsRowFormula>SUM(Table90929326[2012])</totalsRowFormula>
    </tableColumn>
    <tableColumn id="6" xr3:uid="{95456C4F-66B4-459F-9D2A-5385709F894C}" name="2013" totalsRowFunction="custom" dataDxfId="557" totalsRowDxfId="556">
      <calculatedColumnFormula>'PKM display'!F112/1000000000</calculatedColumnFormula>
      <totalsRowFormula>SUM(Table90929326[2013])</totalsRowFormula>
    </tableColumn>
    <tableColumn id="7" xr3:uid="{11211E1B-2942-448E-A92E-C6349C510042}" name="2014" totalsRowFunction="custom" dataDxfId="555" totalsRowDxfId="554">
      <calculatedColumnFormula>'PKM display'!G112/1000000000</calculatedColumnFormula>
      <totalsRowFormula>SUM(Table90929326[2014])</totalsRowFormula>
    </tableColumn>
    <tableColumn id="8" xr3:uid="{0EECBF5C-18A7-4777-A7FA-908B37B8DB9A}" name="2015" totalsRowFunction="custom" dataDxfId="553" totalsRowDxfId="552">
      <calculatedColumnFormula>'PKM display'!H112/1000000000</calculatedColumnFormula>
      <totalsRowFormula>SUM(Table90929326[2015])</totalsRowFormula>
    </tableColumn>
    <tableColumn id="9" xr3:uid="{51B9F6F0-2F3C-408E-A1B4-1A24D723752D}" name="2016" totalsRowFunction="custom" dataDxfId="551" totalsRowDxfId="550">
      <calculatedColumnFormula>'PKM display'!I112/1000000000</calculatedColumnFormula>
      <totalsRowFormula>SUM(Table90929326[2016])</totalsRowFormula>
    </tableColumn>
    <tableColumn id="10" xr3:uid="{BE238702-125D-43C0-A6C9-9CE60503CDD4}" name="2017" totalsRowFunction="custom" dataDxfId="549" totalsRowDxfId="548">
      <calculatedColumnFormula>'PKM display'!J112/1000000000</calculatedColumnFormula>
      <totalsRowFormula>SUM(Table90929326[2017])</totalsRowFormula>
    </tableColumn>
    <tableColumn id="11" xr3:uid="{F38107CD-7710-4CC3-8312-CE88178C5FA4}" name="2018" totalsRowFunction="custom" dataDxfId="547" totalsRowDxfId="546">
      <calculatedColumnFormula>'PKM display'!K112/1000000000</calculatedColumnFormula>
      <totalsRowFormula>SUM(Table90929326[2018])</totalsRowFormula>
    </tableColumn>
    <tableColumn id="12" xr3:uid="{5E1DA81E-4767-4BEF-8EA6-800B4F0C1B13}" name="2019" totalsRowFunction="custom" dataDxfId="545" totalsRowDxfId="544">
      <calculatedColumnFormula>'PKM display'!L112/1000000000</calculatedColumnFormula>
      <totalsRowFormula>SUM(Table90929326[2019])</totalsRowFormula>
    </tableColumn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56E7690-8B18-4F14-8070-BA04C2E94D69}" name="Total_vehicle_activity98" displayName="Total_vehicle_activity98" ref="A2:K8" totalsRowShown="0" dataDxfId="222" dataCellStyle="Comma">
  <autoFilter ref="A2:K8" xr:uid="{F065FD7E-74C5-49CB-8E97-FA04AABC149B}"/>
  <tableColumns count="11">
    <tableColumn id="1" xr3:uid="{8F26EC61-2BCF-4455-8996-6F47E922780F}" name="Fuel Type"/>
    <tableColumn id="11" xr3:uid="{AB65F7FA-03DF-4904-8CD3-884E8710023C}" name="2009" dataDxfId="221" dataCellStyle="Comma">
      <calculatedColumnFormula>'PKM calculation Assumptions'!K64/'PKM calculation Assumptions'!$A$72</calculatedColumnFormula>
    </tableColumn>
    <tableColumn id="12" xr3:uid="{8C8B9C1F-831F-4392-8B86-44F64F81FEF7}" name="2010" dataDxfId="220" dataCellStyle="Comma">
      <calculatedColumnFormula>'PKM calculation Assumptions'!L64/'PKM calculation Assumptions'!$A$72</calculatedColumnFormula>
    </tableColumn>
    <tableColumn id="13" xr3:uid="{401D254E-EDC6-4407-AF3E-AB5E085D8C9D}" name="2011" dataDxfId="219" dataCellStyle="Comma">
      <calculatedColumnFormula>'PKM calculation Assumptions'!M64/'PKM calculation Assumptions'!$A$72</calculatedColumnFormula>
    </tableColumn>
    <tableColumn id="14" xr3:uid="{5172E821-E844-493F-9ED8-E0B19C3765C7}" name="2012" dataDxfId="218" dataCellStyle="Comma">
      <calculatedColumnFormula>'PKM calculation Assumptions'!N64/'PKM calculation Assumptions'!$A$72</calculatedColumnFormula>
    </tableColumn>
    <tableColumn id="15" xr3:uid="{49EDF057-3D39-4B36-97FC-99FD9ADABC95}" name="2013" dataDxfId="217" dataCellStyle="Comma">
      <calculatedColumnFormula>'PKM calculation Assumptions'!O64/'PKM calculation Assumptions'!$A$72</calculatedColumnFormula>
    </tableColumn>
    <tableColumn id="16" xr3:uid="{1373E6D4-8603-4DB7-ACEC-2AD5531F9BEB}" name="2014" dataDxfId="216" dataCellStyle="Comma">
      <calculatedColumnFormula>'PKM calculation Assumptions'!P64/'PKM calculation Assumptions'!$A$72</calculatedColumnFormula>
    </tableColumn>
    <tableColumn id="17" xr3:uid="{4B28F2CA-D8B0-437E-B5B9-BD0F09622445}" name="2015" dataDxfId="215" dataCellStyle="Comma">
      <calculatedColumnFormula>'PKM calculation Assumptions'!Q64/'PKM calculation Assumptions'!$A$72</calculatedColumnFormula>
    </tableColumn>
    <tableColumn id="18" xr3:uid="{E103E5EC-F04A-4240-A211-D115D63BE644}" name="2016" dataDxfId="214" dataCellStyle="Comma">
      <calculatedColumnFormula>'PKM calculation Assumptions'!R64/'PKM calculation Assumptions'!$A$72</calculatedColumnFormula>
    </tableColumn>
    <tableColumn id="19" xr3:uid="{8B8D6087-DCA1-44FB-BC09-6BF305F6CD37}" name="2017" dataDxfId="213" dataCellStyle="Comma">
      <calculatedColumnFormula>'PKM calculation Assumptions'!S64/'PKM calculation Assumptions'!$A$72</calculatedColumnFormula>
    </tableColumn>
    <tableColumn id="20" xr3:uid="{5F80D8E5-1644-4A4A-8C04-BE36190BC30D}" name="2018" dataDxfId="212" dataCellStyle="Comma">
      <calculatedColumnFormula>'PKM calculation Assumptions'!T64/'PKM calculation Assumptions'!$A$72</calculatedColumnFormula>
    </tableColumn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30C44428-9E0C-463E-90AD-4051F5C4076B}" name="Population99" displayName="Population99" ref="A10:G14" totalsRowShown="0">
  <autoFilter ref="A10:G14" xr:uid="{CF150ABF-0F4C-48BF-9726-85AE9BE103AA}"/>
  <tableColumns count="7">
    <tableColumn id="1" xr3:uid="{9F0CD544-F9CA-424B-AD8F-21C191D8D763}" name="Population, 2009 - 2019" dataDxfId="211"/>
    <tableColumn id="2" xr3:uid="{C335C8BB-179B-4A53-BA7D-EDF75E7644B9}" name="2009" dataDxfId="210">
      <calculatedColumnFormula>4521000/1000000</calculatedColumnFormula>
    </tableColumn>
    <tableColumn id="3" xr3:uid="{EA4B7DE2-71CA-41EE-8FE9-005EE31F132D}" name="2012" dataDxfId="209">
      <calculatedColumnFormula>4589000/1000000</calculatedColumnFormula>
    </tableColumn>
    <tableColumn id="4" xr3:uid="{0040DB2A-250E-4641-A70B-157CE4432E79}" name="2013" dataDxfId="208">
      <calculatedColumnFormula>4610000/1000000</calculatedColumnFormula>
    </tableColumn>
    <tableColumn id="5" xr3:uid="{AB444851-1C1A-44D2-A43B-6CDB19D4578C}" name="2014" dataDxfId="207">
      <calculatedColumnFormula>4638000/1000000</calculatedColumnFormula>
    </tableColumn>
    <tableColumn id="6" xr3:uid="{9BCE172D-03BA-40F5-AE0D-DC6C457AFBA4}" name="2016" dataDxfId="206">
      <calculatedColumnFormula>4726000/1000000</calculatedColumnFormula>
    </tableColumn>
    <tableColumn id="7" xr3:uid="{97CDE4E2-C3B9-4F79-8000-947F3E9E0EC0}" name="2019" dataDxfId="205">
      <calculatedColumnFormula>4904000/1000000</calculatedColumnFormula>
    </tableColumn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C37B4039-AC1E-4695-90AC-BDAF25C1189A}" name="Total_Journeys_Per_Year102" displayName="Total_Journeys_Per_Year102" ref="A16:G17" totalsRowShown="0" headerRowDxfId="204" dataDxfId="202" headerRowBorderDxfId="203" tableBorderDxfId="201">
  <autoFilter ref="A16:G17" xr:uid="{5D96FF7F-2DFD-456D-82AF-F8CDB301D164}"/>
  <tableColumns count="7">
    <tableColumn id="1" xr3:uid="{6F401CF4-9555-4C20-A2FA-50897EE7AF34}" name="Total journeys per year total, National Travel Survey, 2009 - 2019" dataDxfId="200"/>
    <tableColumn id="2" xr3:uid="{34F776C8-C72A-4FE1-9EA2-2D12B1B62663}" name="2009" dataDxfId="199">
      <calculatedColumnFormula>Population[2009]*Total_Journeys_per_person_per_day[2009]*Number_of_days_per_year[2009]</calculatedColumnFormula>
    </tableColumn>
    <tableColumn id="3" xr3:uid="{E4D64117-22EC-43BB-AED2-935E99E56D33}" name="2012" dataDxfId="198">
      <calculatedColumnFormula>Population[2012]*Total_Journeys_per_person_per_day[2012]*Number_of_days_per_year[2012]</calculatedColumnFormula>
    </tableColumn>
    <tableColumn id="4" xr3:uid="{507D29ED-4960-48AE-AFA4-53DDB97C3D2B}" name="2013" dataDxfId="197">
      <calculatedColumnFormula>Population[2013]*Total_Journeys_per_person_per_day[2013]*Number_of_days_per_year[2013]</calculatedColumnFormula>
    </tableColumn>
    <tableColumn id="5" xr3:uid="{DE03C155-A9C3-45C0-A34F-F7BE143C86F8}" name="2014" dataDxfId="196">
      <calculatedColumnFormula>Population[2014]*Total_Journeys_per_person_per_day[2014]*Number_of_days_per_year[2014]</calculatedColumnFormula>
    </tableColumn>
    <tableColumn id="6" xr3:uid="{117E331D-CEF0-43B0-929F-F77ECEB30DEA}" name="2016" dataDxfId="195">
      <calculatedColumnFormula>Population[2016]*Total_Journeys_per_person_per_day[2016]*Number_of_days_per_year[2016]</calculatedColumnFormula>
    </tableColumn>
    <tableColumn id="7" xr3:uid="{0DBFD788-BE3A-4547-974D-A7D77F9D0B76}" name="2019" dataDxfId="194">
      <calculatedColumnFormula>Population[2019]*Total_Journeys_per_person_per_day[2019]*Number_of_days_per_year[2019]</calculatedColumnFormula>
    </tableColumn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80FADD0-4319-4357-9758-200C3D9E26FD}" name="Emissions_by_mode_type" displayName="Emissions_by_mode_type" ref="A32:J40" totalsRowShown="0">
  <autoFilter ref="A32:J40" xr:uid="{BE0D13B4-8146-4E6B-B55B-6BB0A06BA903}"/>
  <tableColumns count="10">
    <tableColumn id="1" xr3:uid="{38CDAB55-C236-4626-B8AA-11C1BC2E530A}" name="Row Labels">
      <calculatedColumnFormula>A21</calculatedColumnFormula>
    </tableColumn>
    <tableColumn id="2" xr3:uid="{C2D506AA-3B7D-4F6C-BCE9-35556B455AC6}" name="2010">
      <calculatedColumnFormula>B21</calculatedColumnFormula>
    </tableColumn>
    <tableColumn id="3" xr3:uid="{22524842-C0A6-4DCA-8827-459BB694AE83}" name="2011">
      <calculatedColumnFormula>C21</calculatedColumnFormula>
    </tableColumn>
    <tableColumn id="4" xr3:uid="{BB3EFB5E-66BD-43C1-BCC1-34453A7A9DD8}" name="2012">
      <calculatedColumnFormula>D21</calculatedColumnFormula>
    </tableColumn>
    <tableColumn id="5" xr3:uid="{E2835A61-2C6F-4BD8-956F-D4D6E856F187}" name="2013">
      <calculatedColumnFormula>E21</calculatedColumnFormula>
    </tableColumn>
    <tableColumn id="6" xr3:uid="{29D5CCF6-D320-41D0-8174-0D9CA4760DC4}" name="2014">
      <calculatedColumnFormula>F21</calculatedColumnFormula>
    </tableColumn>
    <tableColumn id="7" xr3:uid="{9CFC8B6A-561E-489D-B7C4-B94F36F380A7}" name="2015">
      <calculatedColumnFormula>G21</calculatedColumnFormula>
    </tableColumn>
    <tableColumn id="8" xr3:uid="{2A159CC2-78A4-47A2-9059-E3B714A6D8B6}" name="2016">
      <calculatedColumnFormula>H21</calculatedColumnFormula>
    </tableColumn>
    <tableColumn id="9" xr3:uid="{228BA6F3-1759-46EA-841B-35FD12DD4F72}" name="2017">
      <calculatedColumnFormula>I21</calculatedColumnFormula>
    </tableColumn>
    <tableColumn id="10" xr3:uid="{3C580B31-D48F-4637-825B-87266194EC80}" name="2018">
      <calculatedColumnFormula>J21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45" dT="2021-01-21T13:54:20.02" personId="{5A3C7738-E138-48AA-8249-277F42E80BA9}" id="{A79D794C-B22A-48B6-B789-6AFF88403918}">
    <text>Linear interpolation applied to years 2010, 2011, 2015, 2017, 2018</text>
  </threadedComment>
  <threadedComment ref="Y45" dT="2021-01-21T13:54:20.02" personId="{5A3C7738-E138-48AA-8249-277F42E80BA9}" id="{F67DD167-9F08-4EF4-9A2E-EDFBE72CE698}">
    <text>Linear interpolation applied to years 2010, 2011, 2015, 2017, 2018</text>
  </threadedComment>
  <threadedComment ref="K82" dT="2021-01-21T13:53:47.70" personId="{5A3C7738-E138-48AA-8249-277F42E80BA9}" id="{4A20BB6C-6235-4F77-871B-E28573D65114}">
    <text>linear interpolation applied to years 2010, 2011, 2015, 2017, 2018</text>
  </threadedComment>
  <threadedComment ref="L111" dT="2021-01-21T13:54:41.71" personId="{5A3C7738-E138-48AA-8249-277F42E80BA9}" id="{61BA9F8B-410B-486B-A1BD-5243582A7795}">
    <text>Linear interpolation applied to years 2010, 2011, 2015, 2017, 2018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3" dT="2021-01-11T11:21:03.44" personId="{5A3C7738-E138-48AA-8249-277F42E80BA9}" id="{D99BE977-8B53-430D-B8DD-7DD89FF2017F}">
    <text>Lower down aggregation may be confusing, but calculates the same for each group. For ease of pasting across all calculations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K73" dT="2021-01-11T17:25:58.45" personId="{5A3C7738-E138-48AA-8249-277F42E80BA9}" id="{8DC1396D-A6A0-43D4-B085-C03E504044EF}">
    <text>Electricity for traction + Electricity Other</text>
  </threadedComment>
  <threadedComment ref="X73" dT="2021-01-11T17:25:58.45" personId="{5A3C7738-E138-48AA-8249-277F42E80BA9}" id="{26874611-FC56-4DDC-9756-D0B5E15530E1}">
    <text>Electricity for traction + Electricity Other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" dT="2021-01-21T13:54:20.02" personId="{5A3C7738-E138-48AA-8249-277F42E80BA9}" id="{85474FA3-7067-4CEE-AB04-8BE07CB8ED8F}">
    <text>Linear interpolation applied to years 2010, 2011, 2015, 2017, 2018</text>
  </threadedComment>
  <threadedComment ref="X1" dT="2021-01-21T13:53:47.70" personId="{5A3C7738-E138-48AA-8249-277F42E80BA9}" id="{2798BF8F-57ED-4A22-A6D2-019002C5407B}">
    <text>linear interpolation applied to years 2010, 2011, 2015, 2017, 2018</text>
  </threadedComment>
  <threadedComment ref="AL1" dT="2021-01-21T13:54:41.71" personId="{5A3C7738-E138-48AA-8249-277F42E80BA9}" id="{6CA181D1-DF69-4CCC-821F-866E02B4DA8B}">
    <text>Linear interpolation applied to years 2010, 2011, 2015, 2017, 2018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era.oriordan@ucc.i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table" Target="../tables/table7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12" Type="http://schemas.openxmlformats.org/officeDocument/2006/relationships/table" Target="../tables/table6.xml"/><Relationship Id="rId17" Type="http://schemas.microsoft.com/office/2017/10/relationships/threadedComment" Target="../threadedComments/threadedComment1.xml"/><Relationship Id="rId2" Type="http://schemas.openxmlformats.org/officeDocument/2006/relationships/pivotTable" Target="../pivotTables/pivotTable2.xml"/><Relationship Id="rId16" Type="http://schemas.openxmlformats.org/officeDocument/2006/relationships/comments" Target="../comments1.xm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11" Type="http://schemas.openxmlformats.org/officeDocument/2006/relationships/table" Target="../tables/table5.xml"/><Relationship Id="rId5" Type="http://schemas.openxmlformats.org/officeDocument/2006/relationships/drawing" Target="../drawings/drawing8.xml"/><Relationship Id="rId15" Type="http://schemas.openxmlformats.org/officeDocument/2006/relationships/table" Target="../tables/table9.xml"/><Relationship Id="rId10" Type="http://schemas.openxmlformats.org/officeDocument/2006/relationships/table" Target="../tables/table4.xml"/><Relationship Id="rId4" Type="http://schemas.openxmlformats.org/officeDocument/2006/relationships/printerSettings" Target="../printerSettings/printerSettings1.bin"/><Relationship Id="rId9" Type="http://schemas.openxmlformats.org/officeDocument/2006/relationships/table" Target="../tables/table3.xml"/><Relationship Id="rId14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pivotTable" Target="../pivotTables/pivotTable8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pivotTable" Target="../pivotTables/pivotTable7.xml"/><Relationship Id="rId16" Type="http://schemas.openxmlformats.org/officeDocument/2006/relationships/table" Target="../tables/table20.xml"/><Relationship Id="rId1" Type="http://schemas.openxmlformats.org/officeDocument/2006/relationships/pivotTable" Target="../pivotTables/pivotTable6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pivotTable" Target="../pivotTables/pivotTable10.xml"/><Relationship Id="rId15" Type="http://schemas.openxmlformats.org/officeDocument/2006/relationships/table" Target="../tables/table19.xml"/><Relationship Id="rId10" Type="http://schemas.openxmlformats.org/officeDocument/2006/relationships/table" Target="../tables/table14.xml"/><Relationship Id="rId4" Type="http://schemas.openxmlformats.org/officeDocument/2006/relationships/pivotTable" Target="../pivotTables/pivotTable9.xml"/><Relationship Id="rId9" Type="http://schemas.openxmlformats.org/officeDocument/2006/relationships/table" Target="../tables/table13.xml"/><Relationship Id="rId14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ublinbus.ie/PageFiles/2430/2012EnglishReport.pdf" TargetMode="External"/><Relationship Id="rId18" Type="http://schemas.openxmlformats.org/officeDocument/2006/relationships/hyperlink" Target="https://www.dublinbus.ie/Global/Bus-Atha-Cliath-Annual-Report-2017.pdf" TargetMode="External"/><Relationship Id="rId26" Type="http://schemas.openxmlformats.org/officeDocument/2006/relationships/table" Target="../tables/table21.xml"/><Relationship Id="rId39" Type="http://schemas.openxmlformats.org/officeDocument/2006/relationships/table" Target="../tables/table34.xml"/><Relationship Id="rId21" Type="http://schemas.openxmlformats.org/officeDocument/2006/relationships/hyperlink" Target="https://www.dublinbus.ie/PageFiles/2430/English%20Report%202010%20WEB.pdf" TargetMode="External"/><Relationship Id="rId34" Type="http://schemas.openxmlformats.org/officeDocument/2006/relationships/table" Target="../tables/table29.xml"/><Relationship Id="rId42" Type="http://schemas.openxmlformats.org/officeDocument/2006/relationships/table" Target="../tables/table37.xml"/><Relationship Id="rId47" Type="http://schemas.openxmlformats.org/officeDocument/2006/relationships/table" Target="../tables/table42.xml"/><Relationship Id="rId50" Type="http://schemas.microsoft.com/office/2017/10/relationships/threadedComment" Target="../threadedComments/threadedComment3.xml"/><Relationship Id="rId7" Type="http://schemas.openxmlformats.org/officeDocument/2006/relationships/hyperlink" Target="https://www.dublinbus.ie/Global/Bus-Atha-Cliath-2018-Annual-Report.pdf" TargetMode="External"/><Relationship Id="rId2" Type="http://schemas.openxmlformats.org/officeDocument/2006/relationships/pivotTable" Target="../pivotTables/pivotTable12.xml"/><Relationship Id="rId16" Type="http://schemas.openxmlformats.org/officeDocument/2006/relationships/hyperlink" Target="https://www.dublinbus.ie/Global/DB-Annual-Report-2015-Proof-11%20ccat%20web%20version%20110716.pdf" TargetMode="External"/><Relationship Id="rId29" Type="http://schemas.openxmlformats.org/officeDocument/2006/relationships/table" Target="../tables/table24.xml"/><Relationship Id="rId11" Type="http://schemas.openxmlformats.org/officeDocument/2006/relationships/hyperlink" Target="https://www.dublinbus.ie/PageFiles/2430/Dublin%20Bus%20AR%202011.pdf" TargetMode="External"/><Relationship Id="rId24" Type="http://schemas.openxmlformats.org/officeDocument/2006/relationships/drawing" Target="../drawings/drawing9.xml"/><Relationship Id="rId32" Type="http://schemas.openxmlformats.org/officeDocument/2006/relationships/table" Target="../tables/table27.xml"/><Relationship Id="rId37" Type="http://schemas.openxmlformats.org/officeDocument/2006/relationships/table" Target="../tables/table32.xml"/><Relationship Id="rId40" Type="http://schemas.openxmlformats.org/officeDocument/2006/relationships/table" Target="../tables/table35.xml"/><Relationship Id="rId45" Type="http://schemas.openxmlformats.org/officeDocument/2006/relationships/table" Target="../tables/table40.xml"/><Relationship Id="rId5" Type="http://schemas.openxmlformats.org/officeDocument/2006/relationships/hyperlink" Target="https://www.dublinbus.ie/Global/Bus-Atha-Cliath-2018-Annual-Report.pdf" TargetMode="External"/><Relationship Id="rId15" Type="http://schemas.openxmlformats.org/officeDocument/2006/relationships/hyperlink" Target="https://www.dublinbus.ie/PageFiles/2430/CIE-Bus%20tha%20Cliath-AR14.pdf" TargetMode="External"/><Relationship Id="rId23" Type="http://schemas.openxmlformats.org/officeDocument/2006/relationships/printerSettings" Target="../printerSettings/printerSettings4.bin"/><Relationship Id="rId28" Type="http://schemas.openxmlformats.org/officeDocument/2006/relationships/table" Target="../tables/table23.xml"/><Relationship Id="rId36" Type="http://schemas.openxmlformats.org/officeDocument/2006/relationships/table" Target="../tables/table31.xml"/><Relationship Id="rId49" Type="http://schemas.openxmlformats.org/officeDocument/2006/relationships/comments" Target="../comments3.xml"/><Relationship Id="rId10" Type="http://schemas.openxmlformats.org/officeDocument/2006/relationships/hyperlink" Target="https://www.cie.ie/CIECorporate/media/reports/2013AR-BE-English.pdf" TargetMode="External"/><Relationship Id="rId19" Type="http://schemas.openxmlformats.org/officeDocument/2006/relationships/hyperlink" Target="https://www.dublinbus.ie/Global/Bus-Atha-Cliath-2018-Annual-Report.pdf" TargetMode="External"/><Relationship Id="rId31" Type="http://schemas.openxmlformats.org/officeDocument/2006/relationships/table" Target="../tables/table26.xml"/><Relationship Id="rId44" Type="http://schemas.openxmlformats.org/officeDocument/2006/relationships/table" Target="../tables/table39.xml"/><Relationship Id="rId4" Type="http://schemas.openxmlformats.org/officeDocument/2006/relationships/hyperlink" Target="https://www.dublinbus.ie/Global/Bus-Atha-Cliath-2018-Annual-Report.pdf" TargetMode="External"/><Relationship Id="rId9" Type="http://schemas.openxmlformats.org/officeDocument/2006/relationships/hyperlink" Target="https://www.dublinbus.ie/PageFiles/2430/English%20Report%202010%20WEB.pdf" TargetMode="External"/><Relationship Id="rId14" Type="http://schemas.openxmlformats.org/officeDocument/2006/relationships/hyperlink" Target="https://www.dublinbus.ie/PageFiles/2430/2013EnglishAnnualReport.pdf" TargetMode="External"/><Relationship Id="rId22" Type="http://schemas.openxmlformats.org/officeDocument/2006/relationships/hyperlink" Target="https://www.irishrail.ie/IrishRail/media/Imported/2010_ar_english.pdf" TargetMode="External"/><Relationship Id="rId27" Type="http://schemas.openxmlformats.org/officeDocument/2006/relationships/table" Target="../tables/table22.xml"/><Relationship Id="rId30" Type="http://schemas.openxmlformats.org/officeDocument/2006/relationships/table" Target="../tables/table25.xml"/><Relationship Id="rId35" Type="http://schemas.openxmlformats.org/officeDocument/2006/relationships/table" Target="../tables/table30.xml"/><Relationship Id="rId43" Type="http://schemas.openxmlformats.org/officeDocument/2006/relationships/table" Target="../tables/table38.xml"/><Relationship Id="rId48" Type="http://schemas.openxmlformats.org/officeDocument/2006/relationships/table" Target="../tables/table43.xml"/><Relationship Id="rId8" Type="http://schemas.openxmlformats.org/officeDocument/2006/relationships/hyperlink" Target="https://www.dublinbus.ie/Global/Bus-Atha-Cliath-2018-Annual-Report.pdf" TargetMode="External"/><Relationship Id="rId3" Type="http://schemas.openxmlformats.org/officeDocument/2006/relationships/hyperlink" Target="https://www.dublinbus.ie/Global/Bus-Atha-Cliath-2018-Annual-Report.pdf" TargetMode="External"/><Relationship Id="rId12" Type="http://schemas.openxmlformats.org/officeDocument/2006/relationships/hyperlink" Target="https://www.dublinbus.ie/PageFiles/2430/Dublin%20Bus%20AR%202011.pdf" TargetMode="External"/><Relationship Id="rId17" Type="http://schemas.openxmlformats.org/officeDocument/2006/relationships/hyperlink" Target="https://www.dublinbus.ie/Global/Bus-Atha-Cliath-Annual-Report-2016.pdf" TargetMode="External"/><Relationship Id="rId25" Type="http://schemas.openxmlformats.org/officeDocument/2006/relationships/vmlDrawing" Target="../drawings/vmlDrawing3.vml"/><Relationship Id="rId33" Type="http://schemas.openxmlformats.org/officeDocument/2006/relationships/table" Target="../tables/table28.xml"/><Relationship Id="rId38" Type="http://schemas.openxmlformats.org/officeDocument/2006/relationships/table" Target="../tables/table33.xml"/><Relationship Id="rId46" Type="http://schemas.openxmlformats.org/officeDocument/2006/relationships/table" Target="../tables/table41.xml"/><Relationship Id="rId20" Type="http://schemas.openxmlformats.org/officeDocument/2006/relationships/hyperlink" Target="https://www.nationaltransport.ie/wp-content/uploads/2013/10/Rail-Statistical-Bulletin11.pdf" TargetMode="External"/><Relationship Id="rId41" Type="http://schemas.openxmlformats.org/officeDocument/2006/relationships/table" Target="../tables/table36.xml"/><Relationship Id="rId1" Type="http://schemas.openxmlformats.org/officeDocument/2006/relationships/pivotTable" Target="../pivotTables/pivotTable11.xml"/><Relationship Id="rId6" Type="http://schemas.openxmlformats.org/officeDocument/2006/relationships/hyperlink" Target="https://www.dublinbus.ie/Global/Bus-Atha-Cliath-2018-Annual-Report.pdf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1.xml"/><Relationship Id="rId3" Type="http://schemas.openxmlformats.org/officeDocument/2006/relationships/table" Target="../tables/table46.xml"/><Relationship Id="rId7" Type="http://schemas.openxmlformats.org/officeDocument/2006/relationships/table" Target="../tables/table50.xml"/><Relationship Id="rId2" Type="http://schemas.openxmlformats.org/officeDocument/2006/relationships/table" Target="../tables/table45.xml"/><Relationship Id="rId1" Type="http://schemas.openxmlformats.org/officeDocument/2006/relationships/table" Target="../tables/table44.xml"/><Relationship Id="rId6" Type="http://schemas.openxmlformats.org/officeDocument/2006/relationships/table" Target="../tables/table49.xml"/><Relationship Id="rId5" Type="http://schemas.openxmlformats.org/officeDocument/2006/relationships/table" Target="../tables/table48.xml"/><Relationship Id="rId4" Type="http://schemas.openxmlformats.org/officeDocument/2006/relationships/table" Target="../tables/table47.xml"/><Relationship Id="rId9" Type="http://schemas.openxmlformats.org/officeDocument/2006/relationships/table" Target="../tables/table52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pivotTable" Target="../pivotTables/pivotTable25.xml"/><Relationship Id="rId18" Type="http://schemas.openxmlformats.org/officeDocument/2006/relationships/pivotTable" Target="../pivotTables/pivotTable30.xml"/><Relationship Id="rId3" Type="http://schemas.openxmlformats.org/officeDocument/2006/relationships/pivotTable" Target="../pivotTables/pivotTable15.xml"/><Relationship Id="rId21" Type="http://schemas.openxmlformats.org/officeDocument/2006/relationships/printerSettings" Target="../printerSettings/printerSettings5.bin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17" Type="http://schemas.openxmlformats.org/officeDocument/2006/relationships/pivotTable" Target="../pivotTables/pivotTable29.xml"/><Relationship Id="rId25" Type="http://schemas.openxmlformats.org/officeDocument/2006/relationships/table" Target="../tables/table55.xml"/><Relationship Id="rId2" Type="http://schemas.openxmlformats.org/officeDocument/2006/relationships/pivotTable" Target="../pivotTables/pivotTable14.xml"/><Relationship Id="rId16" Type="http://schemas.openxmlformats.org/officeDocument/2006/relationships/pivotTable" Target="../pivotTables/pivotTable28.xml"/><Relationship Id="rId20" Type="http://schemas.openxmlformats.org/officeDocument/2006/relationships/pivotTable" Target="../pivotTables/pivotTable32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24" Type="http://schemas.openxmlformats.org/officeDocument/2006/relationships/table" Target="../tables/table54.xml"/><Relationship Id="rId5" Type="http://schemas.openxmlformats.org/officeDocument/2006/relationships/pivotTable" Target="../pivotTables/pivotTable17.xml"/><Relationship Id="rId15" Type="http://schemas.openxmlformats.org/officeDocument/2006/relationships/pivotTable" Target="../pivotTables/pivotTable27.xml"/><Relationship Id="rId23" Type="http://schemas.openxmlformats.org/officeDocument/2006/relationships/table" Target="../tables/table53.xml"/><Relationship Id="rId10" Type="http://schemas.openxmlformats.org/officeDocument/2006/relationships/pivotTable" Target="../pivotTables/pivotTable22.xml"/><Relationship Id="rId19" Type="http://schemas.openxmlformats.org/officeDocument/2006/relationships/pivotTable" Target="../pivotTables/pivotTable31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Relationship Id="rId14" Type="http://schemas.openxmlformats.org/officeDocument/2006/relationships/pivotTable" Target="../pivotTables/pivotTable26.xml"/><Relationship Id="rId22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0.xml"/><Relationship Id="rId13" Type="http://schemas.openxmlformats.org/officeDocument/2006/relationships/table" Target="../tables/table65.xml"/><Relationship Id="rId18" Type="http://schemas.openxmlformats.org/officeDocument/2006/relationships/table" Target="../tables/table70.xml"/><Relationship Id="rId26" Type="http://schemas.openxmlformats.org/officeDocument/2006/relationships/table" Target="../tables/table78.xml"/><Relationship Id="rId3" Type="http://schemas.openxmlformats.org/officeDocument/2006/relationships/drawing" Target="../drawings/drawing11.xml"/><Relationship Id="rId21" Type="http://schemas.openxmlformats.org/officeDocument/2006/relationships/table" Target="../tables/table73.xml"/><Relationship Id="rId7" Type="http://schemas.openxmlformats.org/officeDocument/2006/relationships/table" Target="../tables/table59.xml"/><Relationship Id="rId12" Type="http://schemas.openxmlformats.org/officeDocument/2006/relationships/table" Target="../tables/table64.xml"/><Relationship Id="rId17" Type="http://schemas.openxmlformats.org/officeDocument/2006/relationships/table" Target="../tables/table69.xml"/><Relationship Id="rId25" Type="http://schemas.openxmlformats.org/officeDocument/2006/relationships/table" Target="../tables/table77.xml"/><Relationship Id="rId2" Type="http://schemas.openxmlformats.org/officeDocument/2006/relationships/printerSettings" Target="../printerSettings/printerSettings6.bin"/><Relationship Id="rId16" Type="http://schemas.openxmlformats.org/officeDocument/2006/relationships/table" Target="../tables/table68.xml"/><Relationship Id="rId20" Type="http://schemas.openxmlformats.org/officeDocument/2006/relationships/table" Target="../tables/table72.xml"/><Relationship Id="rId1" Type="http://schemas.openxmlformats.org/officeDocument/2006/relationships/hyperlink" Target="https://www.ucd.ie/t4cms/NTS%20Report%202009.pdf" TargetMode="External"/><Relationship Id="rId6" Type="http://schemas.openxmlformats.org/officeDocument/2006/relationships/table" Target="../tables/table58.xml"/><Relationship Id="rId11" Type="http://schemas.openxmlformats.org/officeDocument/2006/relationships/table" Target="../tables/table63.xml"/><Relationship Id="rId24" Type="http://schemas.openxmlformats.org/officeDocument/2006/relationships/table" Target="../tables/table76.xml"/><Relationship Id="rId5" Type="http://schemas.openxmlformats.org/officeDocument/2006/relationships/table" Target="../tables/table57.xml"/><Relationship Id="rId15" Type="http://schemas.openxmlformats.org/officeDocument/2006/relationships/table" Target="../tables/table67.xml"/><Relationship Id="rId23" Type="http://schemas.openxmlformats.org/officeDocument/2006/relationships/table" Target="../tables/table75.xml"/><Relationship Id="rId28" Type="http://schemas.openxmlformats.org/officeDocument/2006/relationships/table" Target="../tables/table80.xml"/><Relationship Id="rId10" Type="http://schemas.openxmlformats.org/officeDocument/2006/relationships/table" Target="../tables/table62.xml"/><Relationship Id="rId19" Type="http://schemas.openxmlformats.org/officeDocument/2006/relationships/table" Target="../tables/table71.xml"/><Relationship Id="rId4" Type="http://schemas.openxmlformats.org/officeDocument/2006/relationships/table" Target="../tables/table56.xml"/><Relationship Id="rId9" Type="http://schemas.openxmlformats.org/officeDocument/2006/relationships/table" Target="../tables/table61.xml"/><Relationship Id="rId14" Type="http://schemas.openxmlformats.org/officeDocument/2006/relationships/table" Target="../tables/table66.xml"/><Relationship Id="rId22" Type="http://schemas.openxmlformats.org/officeDocument/2006/relationships/table" Target="../tables/table74.xml"/><Relationship Id="rId27" Type="http://schemas.openxmlformats.org/officeDocument/2006/relationships/table" Target="../tables/table7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microsoft.com/office/2017/10/relationships/threadedComment" Target="../threadedComments/threadedComment4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3.xml"/><Relationship Id="rId6" Type="http://schemas.openxmlformats.org/officeDocument/2006/relationships/comments" Target="../comments4.xml"/><Relationship Id="rId5" Type="http://schemas.openxmlformats.org/officeDocument/2006/relationships/table" Target="../tables/table82.xml"/><Relationship Id="rId4" Type="http://schemas.openxmlformats.org/officeDocument/2006/relationships/table" Target="../tables/table8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3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35.xml"/><Relationship Id="rId6" Type="http://schemas.openxmlformats.org/officeDocument/2006/relationships/table" Target="../tables/table86.xml"/><Relationship Id="rId5" Type="http://schemas.openxmlformats.org/officeDocument/2006/relationships/table" Target="../tables/table85.xml"/><Relationship Id="rId4" Type="http://schemas.openxmlformats.org/officeDocument/2006/relationships/table" Target="../tables/table8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77D1-DD3E-457B-AE3D-0A64C53D0B12}">
  <dimension ref="A1:V60"/>
  <sheetViews>
    <sheetView zoomScale="60" zoomScaleNormal="60" workbookViewId="0">
      <selection activeCell="C63" sqref="C63"/>
    </sheetView>
  </sheetViews>
  <sheetFormatPr defaultRowHeight="15" x14ac:dyDescent="0.25"/>
  <cols>
    <col min="1" max="1" width="83" style="31" customWidth="1"/>
    <col min="2" max="4" width="11" style="31" customWidth="1"/>
    <col min="5" max="5" width="20.5703125" style="31" customWidth="1"/>
    <col min="6" max="9" width="11" style="31" customWidth="1"/>
    <col min="10" max="10" width="12" style="31" customWidth="1"/>
    <col min="11" max="16384" width="9.140625" style="31"/>
  </cols>
  <sheetData>
    <row r="1" spans="1:22" x14ac:dyDescent="0.25">
      <c r="A1" s="31" t="s">
        <v>96</v>
      </c>
      <c r="B1" s="190" t="s">
        <v>481</v>
      </c>
      <c r="C1" s="190"/>
      <c r="D1" s="190"/>
      <c r="E1" s="190"/>
      <c r="F1" s="190"/>
      <c r="G1" s="190"/>
    </row>
    <row r="2" spans="1:22" x14ac:dyDescent="0.25">
      <c r="A2" s="31" t="s">
        <v>97</v>
      </c>
      <c r="B2" s="190" t="s">
        <v>98</v>
      </c>
      <c r="C2" s="190"/>
      <c r="D2" s="190"/>
      <c r="E2" s="190"/>
      <c r="F2" s="190"/>
      <c r="G2" s="190"/>
    </row>
    <row r="3" spans="1:22" x14ac:dyDescent="0.25">
      <c r="A3" s="31" t="s">
        <v>99</v>
      </c>
      <c r="B3" s="190" t="s">
        <v>100</v>
      </c>
      <c r="C3" s="190"/>
      <c r="D3" s="190"/>
      <c r="E3" s="190"/>
      <c r="F3" s="190"/>
      <c r="G3" s="190"/>
    </row>
    <row r="4" spans="1:22" x14ac:dyDescent="0.25">
      <c r="A4" s="31" t="s">
        <v>101</v>
      </c>
      <c r="B4" s="207">
        <v>44322</v>
      </c>
      <c r="C4" s="190"/>
      <c r="D4" s="190"/>
      <c r="E4" s="190"/>
      <c r="F4" s="190"/>
      <c r="G4" s="190"/>
    </row>
    <row r="6" spans="1:22" x14ac:dyDescent="0.25">
      <c r="A6" t="s">
        <v>62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s="175" customFormat="1" x14ac:dyDescent="0.25"/>
    <row r="20" spans="1:22" s="175" customFormat="1" x14ac:dyDescent="0.25"/>
    <row r="21" spans="1:22" ht="15" customHeight="1" x14ac:dyDescent="0.25">
      <c r="A21" s="31" t="s">
        <v>480</v>
      </c>
      <c r="B21" s="197">
        <v>1</v>
      </c>
      <c r="C21" s="188" t="s">
        <v>102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/>
    </row>
    <row r="22" spans="1:22" ht="15" customHeight="1" x14ac:dyDescent="0.25">
      <c r="B22" s="19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</row>
    <row r="23" spans="1:22" x14ac:dyDescent="0.25">
      <c r="B23" s="19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</row>
    <row r="24" spans="1:22" x14ac:dyDescent="0.25">
      <c r="B24" s="198">
        <v>2</v>
      </c>
      <c r="C24" s="188" t="s">
        <v>111</v>
      </c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</row>
    <row r="25" spans="1:22" x14ac:dyDescent="0.25">
      <c r="B25" s="19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</row>
    <row r="26" spans="1:22" ht="15" customHeight="1" x14ac:dyDescent="0.25">
      <c r="B26" s="198"/>
      <c r="C26" s="188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</row>
    <row r="27" spans="1:22" ht="15" customHeight="1" x14ac:dyDescent="0.25">
      <c r="B27" s="195">
        <v>3</v>
      </c>
      <c r="C27" s="188" t="s">
        <v>103</v>
      </c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</row>
    <row r="28" spans="1:22" x14ac:dyDescent="0.25">
      <c r="B28" s="195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</row>
    <row r="29" spans="1:22" x14ac:dyDescent="0.25">
      <c r="B29" s="195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</row>
    <row r="30" spans="1:22" x14ac:dyDescent="0.25">
      <c r="B30" s="196">
        <v>4</v>
      </c>
      <c r="C30" s="188" t="s">
        <v>104</v>
      </c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</row>
    <row r="31" spans="1:22" x14ac:dyDescent="0.25">
      <c r="B31" s="196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8"/>
      <c r="Q31" s="188"/>
      <c r="R31" s="188"/>
    </row>
    <row r="32" spans="1:22" x14ac:dyDescent="0.25">
      <c r="B32" s="196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</row>
    <row r="33" spans="2:18" x14ac:dyDescent="0.25">
      <c r="B33" s="189">
        <v>5</v>
      </c>
      <c r="C33" s="190" t="s">
        <v>105</v>
      </c>
      <c r="D33" s="190"/>
      <c r="E33" s="190"/>
      <c r="F33" s="190"/>
      <c r="G33" s="190"/>
      <c r="H33" s="190"/>
      <c r="I33" s="190"/>
      <c r="J33" s="190"/>
      <c r="K33" s="190"/>
      <c r="L33" s="190"/>
      <c r="M33" s="190"/>
      <c r="N33" s="190"/>
      <c r="O33" s="190"/>
      <c r="P33" s="190"/>
      <c r="Q33" s="190"/>
      <c r="R33" s="190"/>
    </row>
    <row r="34" spans="2:18" x14ac:dyDescent="0.25">
      <c r="B34" s="189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0"/>
      <c r="P34" s="190"/>
      <c r="Q34" s="190"/>
      <c r="R34" s="190"/>
    </row>
    <row r="35" spans="2:18" x14ac:dyDescent="0.25">
      <c r="B35" s="189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90"/>
    </row>
    <row r="36" spans="2:18" x14ac:dyDescent="0.25">
      <c r="B36" s="191">
        <v>6</v>
      </c>
      <c r="C36" s="188" t="s">
        <v>106</v>
      </c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8"/>
      <c r="P36" s="188"/>
      <c r="Q36" s="188"/>
      <c r="R36" s="188"/>
    </row>
    <row r="37" spans="2:18" x14ac:dyDescent="0.25">
      <c r="B37" s="191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  <c r="R37" s="188"/>
    </row>
    <row r="38" spans="2:18" x14ac:dyDescent="0.25">
      <c r="B38" s="191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88"/>
      <c r="P38" s="188"/>
      <c r="Q38" s="188"/>
      <c r="R38" s="188"/>
    </row>
    <row r="39" spans="2:18" x14ac:dyDescent="0.25">
      <c r="B39" s="192">
        <v>7</v>
      </c>
      <c r="C39" s="188" t="s">
        <v>107</v>
      </c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  <c r="O39" s="188"/>
      <c r="P39" s="188"/>
      <c r="Q39" s="188"/>
      <c r="R39" s="188"/>
    </row>
    <row r="40" spans="2:18" x14ac:dyDescent="0.25">
      <c r="B40" s="192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8"/>
      <c r="O40" s="188"/>
      <c r="P40" s="188"/>
      <c r="Q40" s="188"/>
      <c r="R40" s="188"/>
    </row>
    <row r="41" spans="2:18" x14ac:dyDescent="0.25">
      <c r="B41" s="192"/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88"/>
      <c r="O41" s="188"/>
      <c r="P41" s="188"/>
      <c r="Q41" s="188"/>
      <c r="R41" s="188"/>
    </row>
    <row r="42" spans="2:18" x14ac:dyDescent="0.25">
      <c r="B42" s="193">
        <v>8</v>
      </c>
      <c r="C42" s="188" t="s">
        <v>108</v>
      </c>
      <c r="D42" s="188"/>
      <c r="E42" s="188"/>
      <c r="F42" s="188"/>
      <c r="G42" s="188"/>
      <c r="H42" s="188"/>
      <c r="I42" s="188"/>
      <c r="J42" s="188"/>
      <c r="K42" s="188"/>
      <c r="L42" s="188"/>
      <c r="M42" s="188"/>
      <c r="N42" s="188"/>
      <c r="O42" s="188"/>
      <c r="P42" s="188"/>
      <c r="Q42" s="188"/>
      <c r="R42" s="188"/>
    </row>
    <row r="43" spans="2:18" x14ac:dyDescent="0.25">
      <c r="B43" s="193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8"/>
      <c r="O43" s="188"/>
      <c r="P43" s="188"/>
      <c r="Q43" s="188"/>
      <c r="R43" s="188"/>
    </row>
    <row r="44" spans="2:18" x14ac:dyDescent="0.25">
      <c r="B44" s="193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</row>
    <row r="45" spans="2:18" x14ac:dyDescent="0.25">
      <c r="B45" s="194">
        <v>9</v>
      </c>
      <c r="C45" s="188" t="s">
        <v>109</v>
      </c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</row>
    <row r="46" spans="2:18" x14ac:dyDescent="0.25">
      <c r="B46" s="194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8"/>
      <c r="O46" s="188"/>
      <c r="P46" s="188"/>
      <c r="Q46" s="188"/>
      <c r="R46" s="188"/>
    </row>
    <row r="47" spans="2:18" x14ac:dyDescent="0.25">
      <c r="B47" s="194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188"/>
      <c r="P47" s="188"/>
      <c r="Q47" s="188"/>
      <c r="R47" s="188"/>
    </row>
    <row r="48" spans="2:18" x14ac:dyDescent="0.25">
      <c r="B48" s="190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90"/>
    </row>
    <row r="49" spans="1:18" x14ac:dyDescent="0.25">
      <c r="A49" s="187"/>
      <c r="B49" s="34"/>
      <c r="C49" s="211" t="s">
        <v>482</v>
      </c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  <c r="O49" s="212"/>
      <c r="P49" s="212"/>
      <c r="Q49" s="212"/>
      <c r="R49" s="212"/>
    </row>
    <row r="50" spans="1:18" x14ac:dyDescent="0.25">
      <c r="A50" s="187"/>
      <c r="B50"/>
      <c r="C50" s="208" t="s">
        <v>112</v>
      </c>
      <c r="D50" s="209"/>
      <c r="E50" s="209"/>
      <c r="F50" s="209"/>
      <c r="G50" s="209"/>
      <c r="H50" s="209"/>
      <c r="I50" s="209"/>
      <c r="J50" s="209"/>
      <c r="K50" s="209"/>
      <c r="L50" s="209"/>
      <c r="M50" s="209"/>
      <c r="N50" s="209"/>
      <c r="O50" s="209"/>
      <c r="P50" s="209"/>
      <c r="Q50" s="209"/>
      <c r="R50" s="210"/>
    </row>
    <row r="51" spans="1:18" x14ac:dyDescent="0.25">
      <c r="A51" s="187"/>
      <c r="B51"/>
      <c r="C51" s="208" t="s">
        <v>113</v>
      </c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10"/>
    </row>
    <row r="52" spans="1:18" x14ac:dyDescent="0.25">
      <c r="A52" s="187"/>
      <c r="B52"/>
      <c r="C52" s="208" t="s">
        <v>114</v>
      </c>
      <c r="D52" s="209" t="s">
        <v>114</v>
      </c>
      <c r="E52" s="209" t="s">
        <v>114</v>
      </c>
      <c r="F52" s="209" t="s">
        <v>114</v>
      </c>
      <c r="G52" s="209" t="s">
        <v>114</v>
      </c>
      <c r="H52" s="209" t="s">
        <v>114</v>
      </c>
      <c r="I52" s="209" t="s">
        <v>114</v>
      </c>
      <c r="J52" s="209" t="s">
        <v>114</v>
      </c>
      <c r="K52" s="209" t="s">
        <v>114</v>
      </c>
      <c r="L52" s="209" t="s">
        <v>114</v>
      </c>
      <c r="M52" s="209" t="s">
        <v>114</v>
      </c>
      <c r="N52" s="209" t="s">
        <v>114</v>
      </c>
      <c r="O52" s="209" t="s">
        <v>114</v>
      </c>
      <c r="P52" s="209" t="s">
        <v>114</v>
      </c>
      <c r="Q52" s="209" t="s">
        <v>114</v>
      </c>
      <c r="R52" s="210" t="s">
        <v>114</v>
      </c>
    </row>
    <row r="53" spans="1:18" x14ac:dyDescent="0.25">
      <c r="A53" s="187"/>
      <c r="B53"/>
      <c r="C53" s="208" t="s">
        <v>115</v>
      </c>
      <c r="D53" s="209" t="s">
        <v>115</v>
      </c>
      <c r="E53" s="209" t="s">
        <v>115</v>
      </c>
      <c r="F53" s="209" t="s">
        <v>115</v>
      </c>
      <c r="G53" s="209" t="s">
        <v>115</v>
      </c>
      <c r="H53" s="209" t="s">
        <v>115</v>
      </c>
      <c r="I53" s="209" t="s">
        <v>115</v>
      </c>
      <c r="J53" s="209" t="s">
        <v>115</v>
      </c>
      <c r="K53" s="209" t="s">
        <v>115</v>
      </c>
      <c r="L53" s="209" t="s">
        <v>115</v>
      </c>
      <c r="M53" s="209" t="s">
        <v>115</v>
      </c>
      <c r="N53" s="209" t="s">
        <v>115</v>
      </c>
      <c r="O53" s="209" t="s">
        <v>115</v>
      </c>
      <c r="P53" s="209" t="s">
        <v>115</v>
      </c>
      <c r="Q53" s="209" t="s">
        <v>115</v>
      </c>
      <c r="R53" s="210" t="s">
        <v>115</v>
      </c>
    </row>
    <row r="54" spans="1:18" x14ac:dyDescent="0.25">
      <c r="A54" s="187"/>
      <c r="B54"/>
      <c r="C54" s="208" t="s">
        <v>116</v>
      </c>
      <c r="D54" s="209" t="s">
        <v>116</v>
      </c>
      <c r="E54" s="209" t="s">
        <v>116</v>
      </c>
      <c r="F54" s="209" t="s">
        <v>116</v>
      </c>
      <c r="G54" s="209" t="s">
        <v>116</v>
      </c>
      <c r="H54" s="209" t="s">
        <v>116</v>
      </c>
      <c r="I54" s="209" t="s">
        <v>116</v>
      </c>
      <c r="J54" s="209" t="s">
        <v>116</v>
      </c>
      <c r="K54" s="209" t="s">
        <v>116</v>
      </c>
      <c r="L54" s="209" t="s">
        <v>116</v>
      </c>
      <c r="M54" s="209" t="s">
        <v>116</v>
      </c>
      <c r="N54" s="209" t="s">
        <v>116</v>
      </c>
      <c r="O54" s="209" t="s">
        <v>116</v>
      </c>
      <c r="P54" s="209" t="s">
        <v>116</v>
      </c>
      <c r="Q54" s="209" t="s">
        <v>116</v>
      </c>
      <c r="R54" s="210" t="s">
        <v>116</v>
      </c>
    </row>
    <row r="55" spans="1:18" x14ac:dyDescent="0.25">
      <c r="A55" s="187"/>
      <c r="B55"/>
      <c r="C55" s="208" t="s">
        <v>117</v>
      </c>
      <c r="D55" s="209" t="s">
        <v>117</v>
      </c>
      <c r="E55" s="209" t="s">
        <v>117</v>
      </c>
      <c r="F55" s="209" t="s">
        <v>117</v>
      </c>
      <c r="G55" s="209" t="s">
        <v>117</v>
      </c>
      <c r="H55" s="209" t="s">
        <v>117</v>
      </c>
      <c r="I55" s="209" t="s">
        <v>117</v>
      </c>
      <c r="J55" s="209" t="s">
        <v>117</v>
      </c>
      <c r="K55" s="209" t="s">
        <v>117</v>
      </c>
      <c r="L55" s="209" t="s">
        <v>117</v>
      </c>
      <c r="M55" s="209" t="s">
        <v>117</v>
      </c>
      <c r="N55" s="209" t="s">
        <v>117</v>
      </c>
      <c r="O55" s="209" t="s">
        <v>117</v>
      </c>
      <c r="P55" s="209" t="s">
        <v>117</v>
      </c>
      <c r="Q55" s="209" t="s">
        <v>117</v>
      </c>
      <c r="R55" s="210" t="s">
        <v>117</v>
      </c>
    </row>
    <row r="56" spans="1:18" x14ac:dyDescent="0.25">
      <c r="A56" s="187"/>
      <c r="B56"/>
      <c r="C56" s="208" t="s">
        <v>118</v>
      </c>
      <c r="D56" s="209" t="s">
        <v>118</v>
      </c>
      <c r="E56" s="209" t="s">
        <v>118</v>
      </c>
      <c r="F56" s="209" t="s">
        <v>118</v>
      </c>
      <c r="G56" s="209" t="s">
        <v>118</v>
      </c>
      <c r="H56" s="209" t="s">
        <v>118</v>
      </c>
      <c r="I56" s="209" t="s">
        <v>118</v>
      </c>
      <c r="J56" s="209" t="s">
        <v>118</v>
      </c>
      <c r="K56" s="209" t="s">
        <v>118</v>
      </c>
      <c r="L56" s="209" t="s">
        <v>118</v>
      </c>
      <c r="M56" s="209" t="s">
        <v>118</v>
      </c>
      <c r="N56" s="209" t="s">
        <v>118</v>
      </c>
      <c r="O56" s="209" t="s">
        <v>118</v>
      </c>
      <c r="P56" s="209" t="s">
        <v>118</v>
      </c>
      <c r="Q56" s="209" t="s">
        <v>118</v>
      </c>
      <c r="R56" s="210" t="s">
        <v>118</v>
      </c>
    </row>
    <row r="57" spans="1:18" x14ac:dyDescent="0.25">
      <c r="A57" s="187"/>
      <c r="B57"/>
      <c r="C57" s="208" t="s">
        <v>119</v>
      </c>
      <c r="D57" s="209" t="s">
        <v>119</v>
      </c>
      <c r="E57" s="209" t="s">
        <v>119</v>
      </c>
      <c r="F57" s="209" t="s">
        <v>119</v>
      </c>
      <c r="G57" s="209" t="s">
        <v>119</v>
      </c>
      <c r="H57" s="209" t="s">
        <v>119</v>
      </c>
      <c r="I57" s="209" t="s">
        <v>119</v>
      </c>
      <c r="J57" s="209" t="s">
        <v>119</v>
      </c>
      <c r="K57" s="209" t="s">
        <v>119</v>
      </c>
      <c r="L57" s="209" t="s">
        <v>119</v>
      </c>
      <c r="M57" s="209" t="s">
        <v>119</v>
      </c>
      <c r="N57" s="209" t="s">
        <v>119</v>
      </c>
      <c r="O57" s="209" t="s">
        <v>119</v>
      </c>
      <c r="P57" s="209" t="s">
        <v>119</v>
      </c>
      <c r="Q57" s="209" t="s">
        <v>119</v>
      </c>
      <c r="R57" s="210" t="s">
        <v>119</v>
      </c>
    </row>
    <row r="58" spans="1:18" x14ac:dyDescent="0.25">
      <c r="A58" s="187"/>
      <c r="B58"/>
      <c r="C58" s="208" t="s">
        <v>120</v>
      </c>
      <c r="D58" s="209" t="s">
        <v>120</v>
      </c>
      <c r="E58" s="209" t="s">
        <v>120</v>
      </c>
      <c r="F58" s="209" t="s">
        <v>120</v>
      </c>
      <c r="G58" s="209" t="s">
        <v>120</v>
      </c>
      <c r="H58" s="209" t="s">
        <v>120</v>
      </c>
      <c r="I58" s="209" t="s">
        <v>120</v>
      </c>
      <c r="J58" s="209" t="s">
        <v>120</v>
      </c>
      <c r="K58" s="209" t="s">
        <v>120</v>
      </c>
      <c r="L58" s="209" t="s">
        <v>120</v>
      </c>
      <c r="M58" s="209" t="s">
        <v>120</v>
      </c>
      <c r="N58" s="209" t="s">
        <v>120</v>
      </c>
      <c r="O58" s="209" t="s">
        <v>120</v>
      </c>
      <c r="P58" s="209" t="s">
        <v>120</v>
      </c>
      <c r="Q58" s="209" t="s">
        <v>120</v>
      </c>
      <c r="R58" s="210" t="s">
        <v>120</v>
      </c>
    </row>
    <row r="59" spans="1:18" x14ac:dyDescent="0.25">
      <c r="A59" s="187"/>
      <c r="B59"/>
      <c r="C59" s="208" t="s">
        <v>341</v>
      </c>
      <c r="D59" s="209" t="s">
        <v>341</v>
      </c>
      <c r="E59" s="209" t="s">
        <v>341</v>
      </c>
      <c r="F59" s="209" t="s">
        <v>341</v>
      </c>
      <c r="G59" s="209" t="s">
        <v>341</v>
      </c>
      <c r="H59" s="209" t="s">
        <v>341</v>
      </c>
      <c r="I59" s="209" t="s">
        <v>341</v>
      </c>
      <c r="J59" s="209" t="s">
        <v>341</v>
      </c>
      <c r="K59" s="209" t="s">
        <v>341</v>
      </c>
      <c r="L59" s="209" t="s">
        <v>341</v>
      </c>
      <c r="M59" s="209" t="s">
        <v>341</v>
      </c>
      <c r="N59" s="209" t="s">
        <v>341</v>
      </c>
      <c r="O59" s="209" t="s">
        <v>341</v>
      </c>
      <c r="P59" s="209" t="s">
        <v>341</v>
      </c>
      <c r="Q59" s="209" t="s">
        <v>341</v>
      </c>
      <c r="R59" s="210" t="s">
        <v>341</v>
      </c>
    </row>
    <row r="60" spans="1:18" x14ac:dyDescent="0.25">
      <c r="A60" s="187"/>
      <c r="C60" s="208" t="s">
        <v>440</v>
      </c>
      <c r="D60" s="209" t="s">
        <v>440</v>
      </c>
      <c r="E60" s="209" t="s">
        <v>440</v>
      </c>
      <c r="F60" s="209" t="s">
        <v>440</v>
      </c>
      <c r="G60" s="209" t="s">
        <v>440</v>
      </c>
      <c r="H60" s="209" t="s">
        <v>440</v>
      </c>
      <c r="I60" s="209" t="s">
        <v>440</v>
      </c>
      <c r="J60" s="209" t="s">
        <v>440</v>
      </c>
      <c r="K60" s="209" t="s">
        <v>440</v>
      </c>
      <c r="L60" s="209" t="s">
        <v>440</v>
      </c>
      <c r="M60" s="209" t="s">
        <v>440</v>
      </c>
      <c r="N60" s="209" t="s">
        <v>440</v>
      </c>
      <c r="O60" s="209" t="s">
        <v>440</v>
      </c>
      <c r="P60" s="209" t="s">
        <v>440</v>
      </c>
      <c r="Q60" s="209" t="s">
        <v>440</v>
      </c>
      <c r="R60" s="210" t="s">
        <v>440</v>
      </c>
    </row>
  </sheetData>
  <mergeCells count="35">
    <mergeCell ref="C60:R60"/>
    <mergeCell ref="C57:R57"/>
    <mergeCell ref="C49:R49"/>
    <mergeCell ref="C51:R51"/>
    <mergeCell ref="C52:R52"/>
    <mergeCell ref="C53:R53"/>
    <mergeCell ref="C54:R54"/>
    <mergeCell ref="C55:R55"/>
    <mergeCell ref="C56:R56"/>
    <mergeCell ref="C58:R58"/>
    <mergeCell ref="C59:R59"/>
    <mergeCell ref="C50:R50"/>
    <mergeCell ref="B1:G1"/>
    <mergeCell ref="B2:G2"/>
    <mergeCell ref="B27:B29"/>
    <mergeCell ref="C27:R29"/>
    <mergeCell ref="B30:B32"/>
    <mergeCell ref="C30:R32"/>
    <mergeCell ref="B21:B23"/>
    <mergeCell ref="C21:R23"/>
    <mergeCell ref="B3:G3"/>
    <mergeCell ref="B4:G4"/>
    <mergeCell ref="B24:B26"/>
    <mergeCell ref="C24:R26"/>
    <mergeCell ref="B33:B35"/>
    <mergeCell ref="C33:R35"/>
    <mergeCell ref="B36:B38"/>
    <mergeCell ref="C36:R38"/>
    <mergeCell ref="B39:B41"/>
    <mergeCell ref="C39:R41"/>
    <mergeCell ref="C42:R44"/>
    <mergeCell ref="B42:B44"/>
    <mergeCell ref="C45:R47"/>
    <mergeCell ref="B45:B47"/>
    <mergeCell ref="B48:M48"/>
  </mergeCells>
  <hyperlinks>
    <hyperlink ref="B3" r:id="rId1" xr:uid="{30471260-2F0D-42DB-8C60-2B20DC647A9D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381E-49B8-4058-9134-1BBDC8871354}">
  <sheetPr>
    <tabColor rgb="FFFFFF66"/>
  </sheetPr>
  <dimension ref="A1:S597"/>
  <sheetViews>
    <sheetView zoomScale="50" zoomScaleNormal="50" workbookViewId="0">
      <selection activeCell="G41" sqref="G41"/>
    </sheetView>
  </sheetViews>
  <sheetFormatPr defaultRowHeight="15" x14ac:dyDescent="0.25"/>
  <cols>
    <col min="1" max="1" width="61.28515625" bestFit="1" customWidth="1"/>
    <col min="2" max="2" width="27.7109375" bestFit="1" customWidth="1"/>
    <col min="3" max="3" width="28.140625" bestFit="1" customWidth="1"/>
    <col min="4" max="5" width="19" bestFit="1" customWidth="1"/>
    <col min="6" max="6" width="19.28515625" bestFit="1" customWidth="1"/>
    <col min="7" max="7" width="19.5703125" bestFit="1" customWidth="1"/>
    <col min="8" max="16" width="19.28515625" bestFit="1" customWidth="1"/>
    <col min="17" max="17" width="19" customWidth="1"/>
    <col min="18" max="18" width="21.28515625" customWidth="1"/>
    <col min="19" max="19" width="23.28515625" customWidth="1"/>
  </cols>
  <sheetData>
    <row r="1" s="31" customFormat="1" x14ac:dyDescent="0.25"/>
    <row r="2" s="31" customFormat="1" x14ac:dyDescent="0.25"/>
    <row r="3" s="31" customFormat="1" x14ac:dyDescent="0.25"/>
    <row r="4" s="31" customFormat="1" x14ac:dyDescent="0.25"/>
    <row r="5" s="31" customFormat="1" x14ac:dyDescent="0.25"/>
    <row r="6" s="31" customFormat="1" x14ac:dyDescent="0.25"/>
    <row r="7" s="31" customFormat="1" x14ac:dyDescent="0.25"/>
    <row r="8" s="31" customFormat="1" x14ac:dyDescent="0.25"/>
    <row r="9" s="31" customFormat="1" x14ac:dyDescent="0.25"/>
    <row r="10" s="31" customFormat="1" x14ac:dyDescent="0.25"/>
    <row r="11" s="31" customFormat="1" x14ac:dyDescent="0.25"/>
    <row r="12" s="31" customFormat="1" x14ac:dyDescent="0.25"/>
    <row r="13" s="31" customFormat="1" x14ac:dyDescent="0.25"/>
    <row r="14" s="31" customFormat="1" x14ac:dyDescent="0.25"/>
    <row r="15" s="31" customFormat="1" x14ac:dyDescent="0.25"/>
    <row r="16" s="31" customFormat="1" x14ac:dyDescent="0.25"/>
    <row r="17" s="31" customFormat="1" x14ac:dyDescent="0.25"/>
    <row r="18" s="31" customFormat="1" x14ac:dyDescent="0.25"/>
    <row r="19" s="31" customFormat="1" x14ac:dyDescent="0.25"/>
    <row r="20" s="31" customFormat="1" x14ac:dyDescent="0.25"/>
    <row r="21" s="31" customFormat="1" x14ac:dyDescent="0.25"/>
    <row r="22" s="31" customFormat="1" x14ac:dyDescent="0.25"/>
    <row r="23" s="31" customFormat="1" x14ac:dyDescent="0.25"/>
    <row r="24" s="31" customFormat="1" x14ac:dyDescent="0.25"/>
    <row r="25" s="31" customFormat="1" x14ac:dyDescent="0.25"/>
    <row r="26" s="31" customFormat="1" x14ac:dyDescent="0.25"/>
    <row r="27" s="31" customFormat="1" x14ac:dyDescent="0.25"/>
    <row r="28" s="31" customFormat="1" x14ac:dyDescent="0.25"/>
    <row r="29" s="31" customFormat="1" x14ac:dyDescent="0.25"/>
    <row r="30" s="31" customFormat="1" x14ac:dyDescent="0.25"/>
    <row r="31" s="31" customFormat="1" x14ac:dyDescent="0.25"/>
    <row r="32" s="31" customFormat="1" x14ac:dyDescent="0.25"/>
    <row r="33" spans="1:19" s="31" customFormat="1" x14ac:dyDescent="0.25"/>
    <row r="34" spans="1:19" s="31" customFormat="1" x14ac:dyDescent="0.25"/>
    <row r="35" spans="1:19" s="31" customFormat="1" x14ac:dyDescent="0.25"/>
    <row r="36" spans="1:19" s="31" customFormat="1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s="31" customFormat="1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t="e">
        <f>#REF!</f>
        <v>#REF!</v>
      </c>
      <c r="B38" s="31" t="e">
        <f>#REF!</f>
        <v>#REF!</v>
      </c>
      <c r="C38" s="5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102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si="1"/>
        <v>#REF!</v>
      </c>
      <c r="J55" s="31" t="e">
        <f t="shared" si="1"/>
        <v>#REF!</v>
      </c>
      <c r="K55" s="31" t="e">
        <f t="shared" si="1"/>
        <v>#REF!</v>
      </c>
      <c r="L55" s="31" t="e">
        <f t="shared" si="1"/>
        <v>#REF!</v>
      </c>
      <c r="M55" s="31" t="e">
        <f t="shared" si="1"/>
        <v>#REF!</v>
      </c>
      <c r="N55" s="31" t="e">
        <f t="shared" si="1"/>
        <v>#REF!</v>
      </c>
      <c r="O55" s="31" t="e">
        <f t="shared" si="1"/>
        <v>#REF!</v>
      </c>
      <c r="P55" s="31" t="e">
        <f t="shared" si="1"/>
        <v>#REF!</v>
      </c>
      <c r="Q55" s="31" t="e">
        <f t="shared" si="1"/>
        <v>#REF!</v>
      </c>
      <c r="R55" s="31" t="e">
        <f t="shared" si="1"/>
        <v>#REF!</v>
      </c>
      <c r="S55" s="31" t="e">
        <f t="shared" si="1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1"/>
        <v>#REF!</v>
      </c>
      <c r="J56" s="31" t="e">
        <f t="shared" si="1"/>
        <v>#REF!</v>
      </c>
      <c r="K56" s="31" t="e">
        <f t="shared" si="1"/>
        <v>#REF!</v>
      </c>
      <c r="L56" s="31" t="e">
        <f t="shared" si="1"/>
        <v>#REF!</v>
      </c>
      <c r="M56" s="31" t="e">
        <f t="shared" si="1"/>
        <v>#REF!</v>
      </c>
      <c r="N56" s="31" t="e">
        <f t="shared" si="1"/>
        <v>#REF!</v>
      </c>
      <c r="O56" s="31" t="e">
        <f t="shared" si="1"/>
        <v>#REF!</v>
      </c>
      <c r="P56" s="31" t="e">
        <f t="shared" si="1"/>
        <v>#REF!</v>
      </c>
      <c r="Q56" s="31" t="e">
        <f t="shared" si="1"/>
        <v>#REF!</v>
      </c>
      <c r="R56" s="31" t="e">
        <f t="shared" si="1"/>
        <v>#REF!</v>
      </c>
      <c r="S56" s="31" t="e">
        <f t="shared" si="1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1"/>
        <v>#REF!</v>
      </c>
      <c r="J57" s="31" t="e">
        <f t="shared" si="1"/>
        <v>#REF!</v>
      </c>
      <c r="K57" s="31" t="e">
        <f t="shared" si="1"/>
        <v>#REF!</v>
      </c>
      <c r="L57" s="31" t="e">
        <f t="shared" si="1"/>
        <v>#REF!</v>
      </c>
      <c r="M57" s="31" t="e">
        <f t="shared" si="1"/>
        <v>#REF!</v>
      </c>
      <c r="N57" s="31" t="e">
        <f t="shared" si="1"/>
        <v>#REF!</v>
      </c>
      <c r="O57" s="31" t="e">
        <f t="shared" si="1"/>
        <v>#REF!</v>
      </c>
      <c r="P57" s="31" t="e">
        <f t="shared" si="1"/>
        <v>#REF!</v>
      </c>
      <c r="Q57" s="31" t="e">
        <f t="shared" si="1"/>
        <v>#REF!</v>
      </c>
      <c r="R57" s="31" t="e">
        <f t="shared" si="1"/>
        <v>#REF!</v>
      </c>
      <c r="S57" s="31" t="e">
        <f t="shared" si="1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1"/>
        <v>#REF!</v>
      </c>
      <c r="J58" s="31" t="e">
        <f t="shared" si="1"/>
        <v>#REF!</v>
      </c>
      <c r="K58" s="31" t="e">
        <f t="shared" ref="J58:S73" si="2">J58</f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1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1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1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1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1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1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1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1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1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1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1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1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si="1"/>
        <v>#REF!</v>
      </c>
      <c r="J71" s="31" t="e">
        <f t="shared" si="2"/>
        <v>#REF!</v>
      </c>
      <c r="K71" s="31" t="e">
        <f t="shared" si="2"/>
        <v>#REF!</v>
      </c>
      <c r="L71" s="31" t="e">
        <f t="shared" si="2"/>
        <v>#REF!</v>
      </c>
      <c r="M71" s="31" t="e">
        <f t="shared" si="2"/>
        <v>#REF!</v>
      </c>
      <c r="N71" s="31" t="e">
        <f t="shared" si="2"/>
        <v>#REF!</v>
      </c>
      <c r="O71" s="31" t="e">
        <f t="shared" si="2"/>
        <v>#REF!</v>
      </c>
      <c r="P71" s="31" t="e">
        <f t="shared" si="2"/>
        <v>#REF!</v>
      </c>
      <c r="Q71" s="31" t="e">
        <f t="shared" si="2"/>
        <v>#REF!</v>
      </c>
      <c r="R71" s="31" t="e">
        <f t="shared" si="2"/>
        <v>#REF!</v>
      </c>
      <c r="S71" s="31" t="e">
        <f t="shared" si="2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1"/>
        <v>#REF!</v>
      </c>
      <c r="J72" s="31" t="e">
        <f t="shared" si="2"/>
        <v>#REF!</v>
      </c>
      <c r="K72" s="31" t="e">
        <f t="shared" si="2"/>
        <v>#REF!</v>
      </c>
      <c r="L72" s="31" t="e">
        <f t="shared" si="2"/>
        <v>#REF!</v>
      </c>
      <c r="M72" s="31" t="e">
        <f t="shared" si="2"/>
        <v>#REF!</v>
      </c>
      <c r="N72" s="31" t="e">
        <f t="shared" si="2"/>
        <v>#REF!</v>
      </c>
      <c r="O72" s="31" t="e">
        <f t="shared" si="2"/>
        <v>#REF!</v>
      </c>
      <c r="P72" s="31" t="e">
        <f t="shared" si="2"/>
        <v>#REF!</v>
      </c>
      <c r="Q72" s="31" t="e">
        <f t="shared" si="2"/>
        <v>#REF!</v>
      </c>
      <c r="R72" s="31" t="e">
        <f t="shared" si="2"/>
        <v>#REF!</v>
      </c>
      <c r="S72" s="31" t="e">
        <f t="shared" si="2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1"/>
        <v>#REF!</v>
      </c>
      <c r="J73" s="31" t="e">
        <f t="shared" si="2"/>
        <v>#REF!</v>
      </c>
      <c r="K73" s="31" t="e">
        <f t="shared" si="2"/>
        <v>#REF!</v>
      </c>
      <c r="L73" s="31" t="e">
        <f t="shared" si="2"/>
        <v>#REF!</v>
      </c>
      <c r="M73" s="31" t="e">
        <f t="shared" si="2"/>
        <v>#REF!</v>
      </c>
      <c r="N73" s="31" t="e">
        <f t="shared" si="2"/>
        <v>#REF!</v>
      </c>
      <c r="O73" s="31" t="e">
        <f t="shared" si="2"/>
        <v>#REF!</v>
      </c>
      <c r="P73" s="31" t="e">
        <f t="shared" si="2"/>
        <v>#REF!</v>
      </c>
      <c r="Q73" s="31" t="e">
        <f t="shared" si="2"/>
        <v>#REF!</v>
      </c>
      <c r="R73" s="31" t="e">
        <f t="shared" si="2"/>
        <v>#REF!</v>
      </c>
      <c r="S73" s="31" t="e">
        <f t="shared" si="2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1"/>
        <v>#REF!</v>
      </c>
      <c r="J74" s="31" t="e">
        <f t="shared" ref="J74:S89" si="3">I74</f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1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1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1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1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1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1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1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1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1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1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1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1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si="1"/>
        <v>#REF!</v>
      </c>
      <c r="J87" s="31" t="e">
        <f t="shared" si="3"/>
        <v>#REF!</v>
      </c>
      <c r="K87" s="31" t="e">
        <f t="shared" si="3"/>
        <v>#REF!</v>
      </c>
      <c r="L87" s="31" t="e">
        <f t="shared" si="3"/>
        <v>#REF!</v>
      </c>
      <c r="M87" s="31" t="e">
        <f t="shared" si="3"/>
        <v>#REF!</v>
      </c>
      <c r="N87" s="31" t="e">
        <f t="shared" si="3"/>
        <v>#REF!</v>
      </c>
      <c r="O87" s="31" t="e">
        <f t="shared" si="3"/>
        <v>#REF!</v>
      </c>
      <c r="P87" s="31" t="e">
        <f t="shared" si="3"/>
        <v>#REF!</v>
      </c>
      <c r="Q87" s="31" t="e">
        <f t="shared" si="3"/>
        <v>#REF!</v>
      </c>
      <c r="R87" s="31" t="e">
        <f t="shared" si="3"/>
        <v>#REF!</v>
      </c>
      <c r="S87" s="31" t="e">
        <f t="shared" si="3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1"/>
        <v>#REF!</v>
      </c>
      <c r="J88" s="31" t="e">
        <f t="shared" si="3"/>
        <v>#REF!</v>
      </c>
      <c r="K88" s="31" t="e">
        <f t="shared" si="3"/>
        <v>#REF!</v>
      </c>
      <c r="L88" s="31" t="e">
        <f t="shared" si="3"/>
        <v>#REF!</v>
      </c>
      <c r="M88" s="31" t="e">
        <f t="shared" si="3"/>
        <v>#REF!</v>
      </c>
      <c r="N88" s="31" t="e">
        <f t="shared" si="3"/>
        <v>#REF!</v>
      </c>
      <c r="O88" s="31" t="e">
        <f t="shared" si="3"/>
        <v>#REF!</v>
      </c>
      <c r="P88" s="31" t="e">
        <f t="shared" si="3"/>
        <v>#REF!</v>
      </c>
      <c r="Q88" s="31" t="e">
        <f t="shared" si="3"/>
        <v>#REF!</v>
      </c>
      <c r="R88" s="31" t="e">
        <f t="shared" si="3"/>
        <v>#REF!</v>
      </c>
      <c r="S88" s="31" t="e">
        <f t="shared" si="3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1"/>
        <v>#REF!</v>
      </c>
      <c r="J89" s="31" t="e">
        <f t="shared" si="3"/>
        <v>#REF!</v>
      </c>
      <c r="K89" s="31" t="e">
        <f t="shared" si="3"/>
        <v>#REF!</v>
      </c>
      <c r="L89" s="31" t="e">
        <f t="shared" si="3"/>
        <v>#REF!</v>
      </c>
      <c r="M89" s="31" t="e">
        <f t="shared" si="3"/>
        <v>#REF!</v>
      </c>
      <c r="N89" s="31" t="e">
        <f t="shared" si="3"/>
        <v>#REF!</v>
      </c>
      <c r="O89" s="31" t="e">
        <f t="shared" si="3"/>
        <v>#REF!</v>
      </c>
      <c r="P89" s="31" t="e">
        <f t="shared" si="3"/>
        <v>#REF!</v>
      </c>
      <c r="Q89" s="31" t="e">
        <f t="shared" si="3"/>
        <v>#REF!</v>
      </c>
      <c r="R89" s="31" t="e">
        <f t="shared" si="3"/>
        <v>#REF!</v>
      </c>
      <c r="S89" s="31" t="e">
        <f t="shared" si="3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1"/>
        <v>#REF!</v>
      </c>
      <c r="J90" s="31" t="e">
        <f t="shared" ref="J90:S102" si="4">I90</f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1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1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1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1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1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1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1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1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1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1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1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1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0" spans="1:19" s="31" customFormat="1" x14ac:dyDescent="0.25"/>
    <row r="111" spans="1:19" s="32" customFormat="1" x14ac:dyDescent="0.25"/>
    <row r="112" spans="1:19" x14ac:dyDescent="0.25">
      <c r="A112" s="32" t="s">
        <v>63</v>
      </c>
      <c r="B112" s="31"/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s="31" customFormat="1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B114" s="31"/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P114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ref="Q114:S129" si="8">P114</f>
        <v>#REF!</v>
      </c>
      <c r="R114" s="5" t="e">
        <f t="shared" si="8"/>
        <v>#REF!</v>
      </c>
      <c r="S114" s="5" t="e">
        <f t="shared" si="8"/>
        <v>#REF!</v>
      </c>
    </row>
    <row r="115" spans="1:19" x14ac:dyDescent="0.25">
      <c r="A115" s="31" t="e">
        <f>#REF!</f>
        <v>#REF!</v>
      </c>
      <c r="B115" s="31"/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P178" si="9">H115</f>
        <v>#REF!</v>
      </c>
      <c r="J115" s="5" t="e">
        <f t="shared" si="9"/>
        <v>#REF!</v>
      </c>
      <c r="K115" s="5" t="e">
        <f t="shared" si="9"/>
        <v>#REF!</v>
      </c>
      <c r="L115" s="5" t="e">
        <f t="shared" si="9"/>
        <v>#REF!</v>
      </c>
      <c r="M115" s="5" t="e">
        <f t="shared" si="9"/>
        <v>#REF!</v>
      </c>
      <c r="N115" s="5" t="e">
        <f t="shared" si="9"/>
        <v>#REF!</v>
      </c>
      <c r="O115" s="5" t="e">
        <f t="shared" si="9"/>
        <v>#REF!</v>
      </c>
      <c r="P115" s="5" t="e">
        <f t="shared" si="9"/>
        <v>#REF!</v>
      </c>
      <c r="Q115" s="5" t="e">
        <f t="shared" si="8"/>
        <v>#REF!</v>
      </c>
      <c r="R115" s="5" t="e">
        <f t="shared" si="8"/>
        <v>#REF!</v>
      </c>
      <c r="S115" s="5" t="e">
        <f t="shared" si="8"/>
        <v>#REF!</v>
      </c>
    </row>
    <row r="116" spans="1:19" x14ac:dyDescent="0.25">
      <c r="A116" s="31" t="e">
        <f>#REF!</f>
        <v>#REF!</v>
      </c>
      <c r="B116" s="31"/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9"/>
        <v>#REF!</v>
      </c>
      <c r="J116" s="5" t="e">
        <f t="shared" si="9"/>
        <v>#REF!</v>
      </c>
      <c r="K116" s="5" t="e">
        <f t="shared" si="9"/>
        <v>#REF!</v>
      </c>
      <c r="L116" s="5" t="e">
        <f t="shared" si="9"/>
        <v>#REF!</v>
      </c>
      <c r="M116" s="5" t="e">
        <f t="shared" si="9"/>
        <v>#REF!</v>
      </c>
      <c r="N116" s="5" t="e">
        <f t="shared" si="9"/>
        <v>#REF!</v>
      </c>
      <c r="O116" s="5" t="e">
        <f t="shared" si="9"/>
        <v>#REF!</v>
      </c>
      <c r="P116" s="5" t="e">
        <f t="shared" si="9"/>
        <v>#REF!</v>
      </c>
      <c r="Q116" s="5" t="e">
        <f t="shared" si="8"/>
        <v>#REF!</v>
      </c>
      <c r="R116" s="5" t="e">
        <f t="shared" si="8"/>
        <v>#REF!</v>
      </c>
      <c r="S116" s="5" t="e">
        <f t="shared" si="8"/>
        <v>#REF!</v>
      </c>
    </row>
    <row r="117" spans="1:19" x14ac:dyDescent="0.25">
      <c r="A117" s="31" t="e">
        <f>#REF!</f>
        <v>#REF!</v>
      </c>
      <c r="B117" s="31"/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9"/>
        <v>#REF!</v>
      </c>
      <c r="J117" s="5" t="e">
        <f t="shared" si="9"/>
        <v>#REF!</v>
      </c>
      <c r="K117" s="5" t="e">
        <f t="shared" si="9"/>
        <v>#REF!</v>
      </c>
      <c r="L117" s="5" t="e">
        <f t="shared" si="9"/>
        <v>#REF!</v>
      </c>
      <c r="M117" s="5" t="e">
        <f t="shared" si="9"/>
        <v>#REF!</v>
      </c>
      <c r="N117" s="5" t="e">
        <f t="shared" si="9"/>
        <v>#REF!</v>
      </c>
      <c r="O117" s="5" t="e">
        <f t="shared" si="9"/>
        <v>#REF!</v>
      </c>
      <c r="P117" s="5" t="e">
        <f t="shared" si="9"/>
        <v>#REF!</v>
      </c>
      <c r="Q117" s="5" t="e">
        <f t="shared" si="8"/>
        <v>#REF!</v>
      </c>
      <c r="R117" s="5" t="e">
        <f t="shared" si="8"/>
        <v>#REF!</v>
      </c>
      <c r="S117" s="5" t="e">
        <f t="shared" si="8"/>
        <v>#REF!</v>
      </c>
    </row>
    <row r="118" spans="1:19" x14ac:dyDescent="0.25">
      <c r="A118" s="31" t="e">
        <f>#REF!</f>
        <v>#REF!</v>
      </c>
      <c r="B118" s="31"/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9"/>
        <v>#REF!</v>
      </c>
      <c r="J118" s="5" t="e">
        <f t="shared" si="9"/>
        <v>#REF!</v>
      </c>
      <c r="K118" s="5" t="e">
        <f t="shared" si="9"/>
        <v>#REF!</v>
      </c>
      <c r="L118" s="5" t="e">
        <f t="shared" si="9"/>
        <v>#REF!</v>
      </c>
      <c r="M118" s="5" t="e">
        <f t="shared" si="9"/>
        <v>#REF!</v>
      </c>
      <c r="N118" s="5" t="e">
        <f t="shared" si="9"/>
        <v>#REF!</v>
      </c>
      <c r="O118" s="5" t="e">
        <f t="shared" si="9"/>
        <v>#REF!</v>
      </c>
      <c r="P118" s="5" t="e">
        <f t="shared" si="9"/>
        <v>#REF!</v>
      </c>
      <c r="Q118" s="5" t="e">
        <f t="shared" si="8"/>
        <v>#REF!</v>
      </c>
      <c r="R118" s="5" t="e">
        <f t="shared" si="8"/>
        <v>#REF!</v>
      </c>
      <c r="S118" s="5" t="e">
        <f t="shared" si="8"/>
        <v>#REF!</v>
      </c>
    </row>
    <row r="119" spans="1:19" x14ac:dyDescent="0.25">
      <c r="A119" s="31" t="e">
        <f>#REF!</f>
        <v>#REF!</v>
      </c>
      <c r="B119" s="31"/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9"/>
        <v>#REF!</v>
      </c>
      <c r="J119" s="5" t="e">
        <f t="shared" si="9"/>
        <v>#REF!</v>
      </c>
      <c r="K119" s="5" t="e">
        <f t="shared" si="9"/>
        <v>#REF!</v>
      </c>
      <c r="L119" s="5" t="e">
        <f t="shared" si="9"/>
        <v>#REF!</v>
      </c>
      <c r="M119" s="5" t="e">
        <f t="shared" si="9"/>
        <v>#REF!</v>
      </c>
      <c r="N119" s="5" t="e">
        <f t="shared" si="9"/>
        <v>#REF!</v>
      </c>
      <c r="O119" s="5" t="e">
        <f t="shared" si="9"/>
        <v>#REF!</v>
      </c>
      <c r="P119" s="5" t="e">
        <f t="shared" si="9"/>
        <v>#REF!</v>
      </c>
      <c r="Q119" s="5" t="e">
        <f t="shared" si="8"/>
        <v>#REF!</v>
      </c>
      <c r="R119" s="5" t="e">
        <f t="shared" si="8"/>
        <v>#REF!</v>
      </c>
      <c r="S119" s="5" t="e">
        <f t="shared" si="8"/>
        <v>#REF!</v>
      </c>
    </row>
    <row r="120" spans="1:19" x14ac:dyDescent="0.25">
      <c r="A120" s="31" t="e">
        <f>#REF!</f>
        <v>#REF!</v>
      </c>
      <c r="B120" s="31"/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9"/>
        <v>#REF!</v>
      </c>
      <c r="J120" s="5" t="e">
        <f t="shared" si="9"/>
        <v>#REF!</v>
      </c>
      <c r="K120" s="5" t="e">
        <f t="shared" si="9"/>
        <v>#REF!</v>
      </c>
      <c r="L120" s="5" t="e">
        <f t="shared" si="9"/>
        <v>#REF!</v>
      </c>
      <c r="M120" s="5" t="e">
        <f t="shared" si="9"/>
        <v>#REF!</v>
      </c>
      <c r="N120" s="5" t="e">
        <f t="shared" si="9"/>
        <v>#REF!</v>
      </c>
      <c r="O120" s="5" t="e">
        <f t="shared" si="9"/>
        <v>#REF!</v>
      </c>
      <c r="P120" s="5" t="e">
        <f t="shared" si="9"/>
        <v>#REF!</v>
      </c>
      <c r="Q120" s="5" t="e">
        <f t="shared" si="8"/>
        <v>#REF!</v>
      </c>
      <c r="R120" s="5" t="e">
        <f t="shared" si="8"/>
        <v>#REF!</v>
      </c>
      <c r="S120" s="5" t="e">
        <f t="shared" si="8"/>
        <v>#REF!</v>
      </c>
    </row>
    <row r="121" spans="1:19" x14ac:dyDescent="0.25">
      <c r="A121" s="31" t="e">
        <f>#REF!</f>
        <v>#REF!</v>
      </c>
      <c r="B121" s="31"/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9"/>
        <v>#REF!</v>
      </c>
      <c r="J121" s="5" t="e">
        <f t="shared" si="9"/>
        <v>#REF!</v>
      </c>
      <c r="K121" s="5" t="e">
        <f t="shared" si="9"/>
        <v>#REF!</v>
      </c>
      <c r="L121" s="5" t="e">
        <f t="shared" si="9"/>
        <v>#REF!</v>
      </c>
      <c r="M121" s="5" t="e">
        <f t="shared" si="9"/>
        <v>#REF!</v>
      </c>
      <c r="N121" s="5" t="e">
        <f t="shared" si="9"/>
        <v>#REF!</v>
      </c>
      <c r="O121" s="5" t="e">
        <f t="shared" si="9"/>
        <v>#REF!</v>
      </c>
      <c r="P121" s="5" t="e">
        <f t="shared" si="9"/>
        <v>#REF!</v>
      </c>
      <c r="Q121" s="5" t="e">
        <f t="shared" si="8"/>
        <v>#REF!</v>
      </c>
      <c r="R121" s="5" t="e">
        <f t="shared" si="8"/>
        <v>#REF!</v>
      </c>
      <c r="S121" s="5" t="e">
        <f t="shared" si="8"/>
        <v>#REF!</v>
      </c>
    </row>
    <row r="122" spans="1:19" x14ac:dyDescent="0.25">
      <c r="A122" s="31" t="e">
        <f>#REF!</f>
        <v>#REF!</v>
      </c>
      <c r="B122" s="31"/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9"/>
        <v>#REF!</v>
      </c>
      <c r="J122" s="5" t="e">
        <f t="shared" si="9"/>
        <v>#REF!</v>
      </c>
      <c r="K122" s="5" t="e">
        <f t="shared" si="9"/>
        <v>#REF!</v>
      </c>
      <c r="L122" s="5" t="e">
        <f t="shared" si="9"/>
        <v>#REF!</v>
      </c>
      <c r="M122" s="5" t="e">
        <f t="shared" si="9"/>
        <v>#REF!</v>
      </c>
      <c r="N122" s="5" t="e">
        <f t="shared" si="9"/>
        <v>#REF!</v>
      </c>
      <c r="O122" s="5" t="e">
        <f t="shared" si="9"/>
        <v>#REF!</v>
      </c>
      <c r="P122" s="5" t="e">
        <f t="shared" si="9"/>
        <v>#REF!</v>
      </c>
      <c r="Q122" s="5" t="e">
        <f t="shared" si="8"/>
        <v>#REF!</v>
      </c>
      <c r="R122" s="5" t="e">
        <f t="shared" si="8"/>
        <v>#REF!</v>
      </c>
      <c r="S122" s="5" t="e">
        <f t="shared" si="8"/>
        <v>#REF!</v>
      </c>
    </row>
    <row r="123" spans="1:19" x14ac:dyDescent="0.25">
      <c r="A123" s="31" t="e">
        <f>#REF!</f>
        <v>#REF!</v>
      </c>
      <c r="B123" s="31"/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9"/>
        <v>#REF!</v>
      </c>
      <c r="J123" s="5" t="e">
        <f t="shared" si="9"/>
        <v>#REF!</v>
      </c>
      <c r="K123" s="5" t="e">
        <f t="shared" si="9"/>
        <v>#REF!</v>
      </c>
      <c r="L123" s="5" t="e">
        <f t="shared" si="9"/>
        <v>#REF!</v>
      </c>
      <c r="M123" s="5" t="e">
        <f t="shared" si="9"/>
        <v>#REF!</v>
      </c>
      <c r="N123" s="5" t="e">
        <f t="shared" si="9"/>
        <v>#REF!</v>
      </c>
      <c r="O123" s="5" t="e">
        <f t="shared" si="9"/>
        <v>#REF!</v>
      </c>
      <c r="P123" s="5" t="e">
        <f t="shared" si="9"/>
        <v>#REF!</v>
      </c>
      <c r="Q123" s="5" t="e">
        <f t="shared" si="8"/>
        <v>#REF!</v>
      </c>
      <c r="R123" s="5" t="e">
        <f t="shared" si="8"/>
        <v>#REF!</v>
      </c>
      <c r="S123" s="5" t="e">
        <f t="shared" si="8"/>
        <v>#REF!</v>
      </c>
    </row>
    <row r="124" spans="1:19" x14ac:dyDescent="0.25">
      <c r="A124" s="31" t="e">
        <f>#REF!</f>
        <v>#REF!</v>
      </c>
      <c r="B124" s="31"/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9"/>
        <v>#REF!</v>
      </c>
      <c r="J124" s="5" t="e">
        <f t="shared" si="9"/>
        <v>#REF!</v>
      </c>
      <c r="K124" s="5" t="e">
        <f t="shared" si="9"/>
        <v>#REF!</v>
      </c>
      <c r="L124" s="5" t="e">
        <f t="shared" si="9"/>
        <v>#REF!</v>
      </c>
      <c r="M124" s="5" t="e">
        <f t="shared" si="9"/>
        <v>#REF!</v>
      </c>
      <c r="N124" s="5" t="e">
        <f t="shared" si="9"/>
        <v>#REF!</v>
      </c>
      <c r="O124" s="5" t="e">
        <f t="shared" si="9"/>
        <v>#REF!</v>
      </c>
      <c r="P124" s="5" t="e">
        <f t="shared" si="9"/>
        <v>#REF!</v>
      </c>
      <c r="Q124" s="5" t="e">
        <f t="shared" si="8"/>
        <v>#REF!</v>
      </c>
      <c r="R124" s="5" t="e">
        <f t="shared" si="8"/>
        <v>#REF!</v>
      </c>
      <c r="S124" s="5" t="e">
        <f t="shared" si="8"/>
        <v>#REF!</v>
      </c>
    </row>
    <row r="125" spans="1:19" x14ac:dyDescent="0.25">
      <c r="A125" s="31" t="e">
        <f>#REF!</f>
        <v>#REF!</v>
      </c>
      <c r="B125" s="31"/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9"/>
        <v>#REF!</v>
      </c>
      <c r="J125" s="5" t="e">
        <f t="shared" si="9"/>
        <v>#REF!</v>
      </c>
      <c r="K125" s="5" t="e">
        <f t="shared" si="9"/>
        <v>#REF!</v>
      </c>
      <c r="L125" s="5" t="e">
        <f t="shared" si="9"/>
        <v>#REF!</v>
      </c>
      <c r="M125" s="5" t="e">
        <f t="shared" si="9"/>
        <v>#REF!</v>
      </c>
      <c r="N125" s="5" t="e">
        <f t="shared" si="9"/>
        <v>#REF!</v>
      </c>
      <c r="O125" s="5" t="e">
        <f t="shared" si="9"/>
        <v>#REF!</v>
      </c>
      <c r="P125" s="5" t="e">
        <f t="shared" si="9"/>
        <v>#REF!</v>
      </c>
      <c r="Q125" s="5" t="e">
        <f t="shared" si="8"/>
        <v>#REF!</v>
      </c>
      <c r="R125" s="5" t="e">
        <f t="shared" si="8"/>
        <v>#REF!</v>
      </c>
      <c r="S125" s="5" t="e">
        <f t="shared" si="8"/>
        <v>#REF!</v>
      </c>
    </row>
    <row r="126" spans="1:19" x14ac:dyDescent="0.25">
      <c r="A126" s="31" t="e">
        <f>#REF!</f>
        <v>#REF!</v>
      </c>
      <c r="B126" s="31"/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9"/>
        <v>#REF!</v>
      </c>
      <c r="J126" s="5" t="e">
        <f t="shared" si="9"/>
        <v>#REF!</v>
      </c>
      <c r="K126" s="5" t="e">
        <f t="shared" si="9"/>
        <v>#REF!</v>
      </c>
      <c r="L126" s="5" t="e">
        <f t="shared" si="9"/>
        <v>#REF!</v>
      </c>
      <c r="M126" s="5" t="e">
        <f t="shared" si="9"/>
        <v>#REF!</v>
      </c>
      <c r="N126" s="5" t="e">
        <f t="shared" si="9"/>
        <v>#REF!</v>
      </c>
      <c r="O126" s="5" t="e">
        <f t="shared" si="9"/>
        <v>#REF!</v>
      </c>
      <c r="P126" s="5" t="e">
        <f t="shared" si="9"/>
        <v>#REF!</v>
      </c>
      <c r="Q126" s="5" t="e">
        <f t="shared" si="8"/>
        <v>#REF!</v>
      </c>
      <c r="R126" s="5" t="e">
        <f t="shared" si="8"/>
        <v>#REF!</v>
      </c>
      <c r="S126" s="5" t="e">
        <f t="shared" si="8"/>
        <v>#REF!</v>
      </c>
    </row>
    <row r="127" spans="1:19" x14ac:dyDescent="0.25">
      <c r="A127" s="31" t="e">
        <f>#REF!</f>
        <v>#REF!</v>
      </c>
      <c r="B127" s="31"/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9"/>
        <v>#REF!</v>
      </c>
      <c r="J127" s="5" t="e">
        <f t="shared" si="9"/>
        <v>#REF!</v>
      </c>
      <c r="K127" s="5" t="e">
        <f t="shared" si="9"/>
        <v>#REF!</v>
      </c>
      <c r="L127" s="5" t="e">
        <f t="shared" si="9"/>
        <v>#REF!</v>
      </c>
      <c r="M127" s="5" t="e">
        <f t="shared" si="9"/>
        <v>#REF!</v>
      </c>
      <c r="N127" s="5" t="e">
        <f t="shared" si="9"/>
        <v>#REF!</v>
      </c>
      <c r="O127" s="5" t="e">
        <f t="shared" si="9"/>
        <v>#REF!</v>
      </c>
      <c r="P127" s="5" t="e">
        <f t="shared" si="9"/>
        <v>#REF!</v>
      </c>
      <c r="Q127" s="5" t="e">
        <f t="shared" si="8"/>
        <v>#REF!</v>
      </c>
      <c r="R127" s="5" t="e">
        <f t="shared" si="8"/>
        <v>#REF!</v>
      </c>
      <c r="S127" s="5" t="e">
        <f t="shared" si="8"/>
        <v>#REF!</v>
      </c>
    </row>
    <row r="128" spans="1:19" x14ac:dyDescent="0.25">
      <c r="A128" s="31" t="e">
        <f>#REF!</f>
        <v>#REF!</v>
      </c>
      <c r="B128" s="31"/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9"/>
        <v>#REF!</v>
      </c>
      <c r="J128" s="5" t="e">
        <f t="shared" si="9"/>
        <v>#REF!</v>
      </c>
      <c r="K128" s="5" t="e">
        <f t="shared" si="9"/>
        <v>#REF!</v>
      </c>
      <c r="L128" s="5" t="e">
        <f t="shared" si="9"/>
        <v>#REF!</v>
      </c>
      <c r="M128" s="5" t="e">
        <f t="shared" si="9"/>
        <v>#REF!</v>
      </c>
      <c r="N128" s="5" t="e">
        <f t="shared" si="9"/>
        <v>#REF!</v>
      </c>
      <c r="O128" s="5" t="e">
        <f t="shared" si="9"/>
        <v>#REF!</v>
      </c>
      <c r="P128" s="5" t="e">
        <f t="shared" si="9"/>
        <v>#REF!</v>
      </c>
      <c r="Q128" s="5" t="e">
        <f t="shared" si="8"/>
        <v>#REF!</v>
      </c>
      <c r="R128" s="5" t="e">
        <f t="shared" si="8"/>
        <v>#REF!</v>
      </c>
      <c r="S128" s="5" t="e">
        <f t="shared" si="8"/>
        <v>#REF!</v>
      </c>
    </row>
    <row r="129" spans="1:19" x14ac:dyDescent="0.25">
      <c r="A129" s="31" t="e">
        <f>#REF!</f>
        <v>#REF!</v>
      </c>
      <c r="B129" s="31"/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9"/>
        <v>#REF!</v>
      </c>
      <c r="J129" s="5" t="e">
        <f t="shared" si="9"/>
        <v>#REF!</v>
      </c>
      <c r="K129" s="5" t="e">
        <f t="shared" si="9"/>
        <v>#REF!</v>
      </c>
      <c r="L129" s="5" t="e">
        <f t="shared" si="9"/>
        <v>#REF!</v>
      </c>
      <c r="M129" s="5" t="e">
        <f t="shared" si="9"/>
        <v>#REF!</v>
      </c>
      <c r="N129" s="5" t="e">
        <f t="shared" si="9"/>
        <v>#REF!</v>
      </c>
      <c r="O129" s="5" t="e">
        <f t="shared" si="9"/>
        <v>#REF!</v>
      </c>
      <c r="P129" s="5" t="e">
        <f t="shared" si="9"/>
        <v>#REF!</v>
      </c>
      <c r="Q129" s="5" t="e">
        <f t="shared" si="8"/>
        <v>#REF!</v>
      </c>
      <c r="R129" s="5" t="e">
        <f t="shared" si="8"/>
        <v>#REF!</v>
      </c>
      <c r="S129" s="5" t="e">
        <f t="shared" si="8"/>
        <v>#REF!</v>
      </c>
    </row>
    <row r="130" spans="1:19" x14ac:dyDescent="0.25">
      <c r="A130" s="31" t="e">
        <f>#REF!</f>
        <v>#REF!</v>
      </c>
      <c r="B130" s="31"/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9"/>
        <v>#REF!</v>
      </c>
      <c r="J130" s="5" t="e">
        <f t="shared" si="9"/>
        <v>#REF!</v>
      </c>
      <c r="K130" s="5" t="e">
        <f t="shared" si="9"/>
        <v>#REF!</v>
      </c>
      <c r="L130" s="5" t="e">
        <f t="shared" si="9"/>
        <v>#REF!</v>
      </c>
      <c r="M130" s="5" t="e">
        <f t="shared" si="9"/>
        <v>#REF!</v>
      </c>
      <c r="N130" s="5" t="e">
        <f t="shared" si="9"/>
        <v>#REF!</v>
      </c>
      <c r="O130" s="5" t="e">
        <f t="shared" si="9"/>
        <v>#REF!</v>
      </c>
      <c r="P130" s="5" t="e">
        <f t="shared" si="9"/>
        <v>#REF!</v>
      </c>
      <c r="Q130" s="5" t="e">
        <f t="shared" ref="Q130:S141" si="10">P130</f>
        <v>#REF!</v>
      </c>
      <c r="R130" s="5" t="e">
        <f t="shared" si="10"/>
        <v>#REF!</v>
      </c>
      <c r="S130" s="5" t="e">
        <f t="shared" si="10"/>
        <v>#REF!</v>
      </c>
    </row>
    <row r="131" spans="1:19" x14ac:dyDescent="0.25">
      <c r="A131" s="31" t="e">
        <f>#REF!</f>
        <v>#REF!</v>
      </c>
      <c r="B131" s="31"/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si="9"/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10"/>
        <v>#REF!</v>
      </c>
      <c r="R131" s="5" t="e">
        <f t="shared" si="10"/>
        <v>#REF!</v>
      </c>
      <c r="S131" s="5" t="e">
        <f t="shared" si="10"/>
        <v>#REF!</v>
      </c>
    </row>
    <row r="132" spans="1:19" x14ac:dyDescent="0.25">
      <c r="A132" s="31" t="e">
        <f>#REF!</f>
        <v>#REF!</v>
      </c>
      <c r="B132" s="31"/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10"/>
        <v>#REF!</v>
      </c>
      <c r="R132" s="5" t="e">
        <f t="shared" si="10"/>
        <v>#REF!</v>
      </c>
      <c r="S132" s="5" t="e">
        <f t="shared" si="10"/>
        <v>#REF!</v>
      </c>
    </row>
    <row r="133" spans="1:19" x14ac:dyDescent="0.25">
      <c r="A133" s="31" t="e">
        <f>#REF!</f>
        <v>#REF!</v>
      </c>
      <c r="B133" s="31"/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10"/>
        <v>#REF!</v>
      </c>
      <c r="R133" s="5" t="e">
        <f t="shared" si="10"/>
        <v>#REF!</v>
      </c>
      <c r="S133" s="5" t="e">
        <f t="shared" si="10"/>
        <v>#REF!</v>
      </c>
    </row>
    <row r="134" spans="1:19" x14ac:dyDescent="0.25">
      <c r="A134" s="31" t="e">
        <f>#REF!</f>
        <v>#REF!</v>
      </c>
      <c r="B134" s="31"/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10"/>
        <v>#REF!</v>
      </c>
      <c r="R134" s="5" t="e">
        <f t="shared" si="10"/>
        <v>#REF!</v>
      </c>
      <c r="S134" s="5" t="e">
        <f t="shared" si="10"/>
        <v>#REF!</v>
      </c>
    </row>
    <row r="135" spans="1:19" x14ac:dyDescent="0.25">
      <c r="A135" s="31" t="e">
        <f>#REF!</f>
        <v>#REF!</v>
      </c>
      <c r="B135" s="31"/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10"/>
        <v>#REF!</v>
      </c>
      <c r="R135" s="5" t="e">
        <f t="shared" si="10"/>
        <v>#REF!</v>
      </c>
      <c r="S135" s="5" t="e">
        <f t="shared" si="10"/>
        <v>#REF!</v>
      </c>
    </row>
    <row r="136" spans="1:19" x14ac:dyDescent="0.25">
      <c r="A136" s="31" t="e">
        <f>#REF!</f>
        <v>#REF!</v>
      </c>
      <c r="B136" s="31"/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10"/>
        <v>#REF!</v>
      </c>
      <c r="R136" s="5" t="e">
        <f t="shared" si="10"/>
        <v>#REF!</v>
      </c>
      <c r="S136" s="5" t="e">
        <f t="shared" si="10"/>
        <v>#REF!</v>
      </c>
    </row>
    <row r="137" spans="1:19" x14ac:dyDescent="0.25">
      <c r="A137" s="31" t="e">
        <f>#REF!</f>
        <v>#REF!</v>
      </c>
      <c r="B137" s="31"/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10"/>
        <v>#REF!</v>
      </c>
      <c r="R137" s="5" t="e">
        <f t="shared" si="10"/>
        <v>#REF!</v>
      </c>
      <c r="S137" s="5" t="e">
        <f t="shared" si="10"/>
        <v>#REF!</v>
      </c>
    </row>
    <row r="138" spans="1:19" x14ac:dyDescent="0.25">
      <c r="A138" s="31" t="e">
        <f>#REF!</f>
        <v>#REF!</v>
      </c>
      <c r="B138" s="31"/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10"/>
        <v>#REF!</v>
      </c>
      <c r="R138" s="5" t="e">
        <f t="shared" si="10"/>
        <v>#REF!</v>
      </c>
      <c r="S138" s="5" t="e">
        <f t="shared" si="10"/>
        <v>#REF!</v>
      </c>
    </row>
    <row r="139" spans="1:19" x14ac:dyDescent="0.25">
      <c r="A139" s="31" t="e">
        <f>#REF!</f>
        <v>#REF!</v>
      </c>
      <c r="B139" s="31"/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10"/>
        <v>#REF!</v>
      </c>
      <c r="R139" s="5" t="e">
        <f t="shared" si="10"/>
        <v>#REF!</v>
      </c>
      <c r="S139" s="5" t="e">
        <f t="shared" si="10"/>
        <v>#REF!</v>
      </c>
    </row>
    <row r="140" spans="1:19" x14ac:dyDescent="0.25">
      <c r="A140" s="31" t="e">
        <f>#REF!</f>
        <v>#REF!</v>
      </c>
      <c r="B140" s="31"/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10"/>
        <v>#REF!</v>
      </c>
      <c r="R140" s="5" t="e">
        <f t="shared" si="10"/>
        <v>#REF!</v>
      </c>
      <c r="S140" s="5" t="e">
        <f t="shared" si="10"/>
        <v>#REF!</v>
      </c>
    </row>
    <row r="141" spans="1:19" x14ac:dyDescent="0.25">
      <c r="A141" s="31" t="e">
        <f>#REF!</f>
        <v>#REF!</v>
      </c>
      <c r="B141" s="31"/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10"/>
        <v>#REF!</v>
      </c>
      <c r="R141" s="5" t="e">
        <f t="shared" si="10"/>
        <v>#REF!</v>
      </c>
      <c r="S141" s="5" t="e">
        <f t="shared" si="10"/>
        <v>#REF!</v>
      </c>
    </row>
    <row r="142" spans="1:19" x14ac:dyDescent="0.25">
      <c r="A142" s="31" t="e">
        <f>#REF!</f>
        <v>#REF!</v>
      </c>
      <c r="B142" s="31"/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ref="J142:P157" si="11">K142</f>
        <v>#REF!</v>
      </c>
      <c r="M142" s="5" t="e">
        <f t="shared" si="11"/>
        <v>#REF!</v>
      </c>
      <c r="N142" s="5" t="e">
        <f t="shared" si="11"/>
        <v>#REF!</v>
      </c>
      <c r="O142" s="5" t="e">
        <f t="shared" si="11"/>
        <v>#REF!</v>
      </c>
      <c r="P142" s="5" t="e">
        <f t="shared" si="11"/>
        <v>#REF!</v>
      </c>
      <c r="Q142" s="5" t="e">
        <f t="shared" ref="Q142:S142" si="12">P142</f>
        <v>#REF!</v>
      </c>
      <c r="R142" s="5" t="e">
        <f t="shared" si="12"/>
        <v>#REF!</v>
      </c>
      <c r="S142" s="5" t="e">
        <f t="shared" si="12"/>
        <v>#REF!</v>
      </c>
    </row>
    <row r="143" spans="1:19" x14ac:dyDescent="0.25">
      <c r="A143" s="31" t="e">
        <f>#REF!</f>
        <v>#REF!</v>
      </c>
      <c r="B143" s="31"/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11"/>
        <v>#REF!</v>
      </c>
      <c r="K143" s="5" t="e">
        <f t="shared" si="11"/>
        <v>#REF!</v>
      </c>
      <c r="L143" s="5" t="e">
        <f t="shared" si="11"/>
        <v>#REF!</v>
      </c>
      <c r="M143" s="5" t="e">
        <f t="shared" si="11"/>
        <v>#REF!</v>
      </c>
      <c r="N143" s="5" t="e">
        <f t="shared" si="11"/>
        <v>#REF!</v>
      </c>
      <c r="O143" s="5" t="e">
        <f t="shared" si="11"/>
        <v>#REF!</v>
      </c>
      <c r="P143" s="5" t="e">
        <f t="shared" si="11"/>
        <v>#REF!</v>
      </c>
      <c r="Q143" s="5" t="e">
        <f t="shared" ref="Q143:S143" si="13">P143</f>
        <v>#REF!</v>
      </c>
      <c r="R143" s="5" t="e">
        <f t="shared" si="13"/>
        <v>#REF!</v>
      </c>
      <c r="S143" s="5" t="e">
        <f t="shared" si="13"/>
        <v>#REF!</v>
      </c>
    </row>
    <row r="144" spans="1:19" x14ac:dyDescent="0.25">
      <c r="A144" s="31" t="e">
        <f>#REF!</f>
        <v>#REF!</v>
      </c>
      <c r="B144" s="31"/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11"/>
        <v>#REF!</v>
      </c>
      <c r="K144" s="5" t="e">
        <f t="shared" si="11"/>
        <v>#REF!</v>
      </c>
      <c r="L144" s="5" t="e">
        <f t="shared" si="11"/>
        <v>#REF!</v>
      </c>
      <c r="M144" s="5" t="e">
        <f t="shared" si="11"/>
        <v>#REF!</v>
      </c>
      <c r="N144" s="5" t="e">
        <f t="shared" si="11"/>
        <v>#REF!</v>
      </c>
      <c r="O144" s="5" t="e">
        <f t="shared" si="11"/>
        <v>#REF!</v>
      </c>
      <c r="P144" s="5" t="e">
        <f t="shared" si="11"/>
        <v>#REF!</v>
      </c>
      <c r="Q144" s="5" t="e">
        <f t="shared" ref="Q144:S144" si="14">P144</f>
        <v>#REF!</v>
      </c>
      <c r="R144" s="5" t="e">
        <f t="shared" si="14"/>
        <v>#REF!</v>
      </c>
      <c r="S144" s="5" t="e">
        <f t="shared" si="14"/>
        <v>#REF!</v>
      </c>
    </row>
    <row r="145" spans="1:19" x14ac:dyDescent="0.25">
      <c r="A145" s="31" t="e">
        <f>#REF!</f>
        <v>#REF!</v>
      </c>
      <c r="B145" s="31"/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11"/>
        <v>#REF!</v>
      </c>
      <c r="K145" s="5" t="e">
        <f t="shared" si="11"/>
        <v>#REF!</v>
      </c>
      <c r="L145" s="5" t="e">
        <f t="shared" si="11"/>
        <v>#REF!</v>
      </c>
      <c r="M145" s="5" t="e">
        <f t="shared" si="11"/>
        <v>#REF!</v>
      </c>
      <c r="N145" s="5" t="e">
        <f t="shared" si="11"/>
        <v>#REF!</v>
      </c>
      <c r="O145" s="5" t="e">
        <f t="shared" si="11"/>
        <v>#REF!</v>
      </c>
      <c r="P145" s="5" t="e">
        <f t="shared" si="11"/>
        <v>#REF!</v>
      </c>
      <c r="Q145" s="5" t="e">
        <f t="shared" ref="Q145:S145" si="15">P145</f>
        <v>#REF!</v>
      </c>
      <c r="R145" s="5" t="e">
        <f t="shared" si="15"/>
        <v>#REF!</v>
      </c>
      <c r="S145" s="5" t="e">
        <f t="shared" si="15"/>
        <v>#REF!</v>
      </c>
    </row>
    <row r="146" spans="1:19" x14ac:dyDescent="0.25">
      <c r="A146" s="31" t="e">
        <f>#REF!</f>
        <v>#REF!</v>
      </c>
      <c r="B146" s="31"/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11"/>
        <v>#REF!</v>
      </c>
      <c r="K146" s="5" t="e">
        <f t="shared" si="11"/>
        <v>#REF!</v>
      </c>
      <c r="L146" s="5" t="e">
        <f t="shared" si="11"/>
        <v>#REF!</v>
      </c>
      <c r="M146" s="5" t="e">
        <f t="shared" si="11"/>
        <v>#REF!</v>
      </c>
      <c r="N146" s="5" t="e">
        <f t="shared" si="11"/>
        <v>#REF!</v>
      </c>
      <c r="O146" s="5" t="e">
        <f t="shared" si="11"/>
        <v>#REF!</v>
      </c>
      <c r="P146" s="5" t="e">
        <f t="shared" si="11"/>
        <v>#REF!</v>
      </c>
      <c r="Q146" s="5" t="e">
        <f t="shared" ref="Q146:S146" si="16">P146</f>
        <v>#REF!</v>
      </c>
      <c r="R146" s="5" t="e">
        <f t="shared" si="16"/>
        <v>#REF!</v>
      </c>
      <c r="S146" s="5" t="e">
        <f t="shared" si="16"/>
        <v>#REF!</v>
      </c>
    </row>
    <row r="147" spans="1:19" x14ac:dyDescent="0.25">
      <c r="A147" s="31" t="e">
        <f>#REF!</f>
        <v>#REF!</v>
      </c>
      <c r="B147" s="31"/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si="9"/>
        <v>#REF!</v>
      </c>
      <c r="J147" s="5" t="e">
        <f t="shared" si="11"/>
        <v>#REF!</v>
      </c>
      <c r="K147" s="5" t="e">
        <f t="shared" si="11"/>
        <v>#REF!</v>
      </c>
      <c r="L147" s="5" t="e">
        <f t="shared" si="11"/>
        <v>#REF!</v>
      </c>
      <c r="M147" s="5" t="e">
        <f t="shared" si="11"/>
        <v>#REF!</v>
      </c>
      <c r="N147" s="5" t="e">
        <f t="shared" si="11"/>
        <v>#REF!</v>
      </c>
      <c r="O147" s="5" t="e">
        <f t="shared" si="11"/>
        <v>#REF!</v>
      </c>
      <c r="P147" s="5" t="e">
        <f t="shared" si="11"/>
        <v>#REF!</v>
      </c>
      <c r="Q147" s="5" t="e">
        <f t="shared" ref="Q147:S147" si="17">P147</f>
        <v>#REF!</v>
      </c>
      <c r="R147" s="5" t="e">
        <f t="shared" si="17"/>
        <v>#REF!</v>
      </c>
      <c r="S147" s="5" t="e">
        <f t="shared" si="17"/>
        <v>#REF!</v>
      </c>
    </row>
    <row r="148" spans="1:19" x14ac:dyDescent="0.25">
      <c r="A148" s="31" t="e">
        <f>#REF!</f>
        <v>#REF!</v>
      </c>
      <c r="B148" s="31"/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9"/>
        <v>#REF!</v>
      </c>
      <c r="J148" s="5" t="e">
        <f t="shared" si="11"/>
        <v>#REF!</v>
      </c>
      <c r="K148" s="5" t="e">
        <f t="shared" si="11"/>
        <v>#REF!</v>
      </c>
      <c r="L148" s="5" t="e">
        <f t="shared" si="11"/>
        <v>#REF!</v>
      </c>
      <c r="M148" s="5" t="e">
        <f t="shared" si="11"/>
        <v>#REF!</v>
      </c>
      <c r="N148" s="5" t="e">
        <f t="shared" si="11"/>
        <v>#REF!</v>
      </c>
      <c r="O148" s="5" t="e">
        <f t="shared" si="11"/>
        <v>#REF!</v>
      </c>
      <c r="P148" s="5" t="e">
        <f t="shared" si="11"/>
        <v>#REF!</v>
      </c>
      <c r="Q148" s="5" t="e">
        <f t="shared" ref="Q148:S148" si="18">P148</f>
        <v>#REF!</v>
      </c>
      <c r="R148" s="5" t="e">
        <f t="shared" si="18"/>
        <v>#REF!</v>
      </c>
      <c r="S148" s="5" t="e">
        <f t="shared" si="18"/>
        <v>#REF!</v>
      </c>
    </row>
    <row r="149" spans="1:19" x14ac:dyDescent="0.25">
      <c r="A149" s="31" t="e">
        <f>#REF!</f>
        <v>#REF!</v>
      </c>
      <c r="B149" s="31"/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9"/>
        <v>#REF!</v>
      </c>
      <c r="J149" s="5" t="e">
        <f t="shared" si="11"/>
        <v>#REF!</v>
      </c>
      <c r="K149" s="5" t="e">
        <f t="shared" si="11"/>
        <v>#REF!</v>
      </c>
      <c r="L149" s="5" t="e">
        <f t="shared" si="11"/>
        <v>#REF!</v>
      </c>
      <c r="M149" s="5" t="e">
        <f t="shared" si="11"/>
        <v>#REF!</v>
      </c>
      <c r="N149" s="5" t="e">
        <f t="shared" si="11"/>
        <v>#REF!</v>
      </c>
      <c r="O149" s="5" t="e">
        <f t="shared" si="11"/>
        <v>#REF!</v>
      </c>
      <c r="P149" s="5" t="e">
        <f t="shared" si="11"/>
        <v>#REF!</v>
      </c>
      <c r="Q149" s="5" t="e">
        <f t="shared" ref="Q149:S149" si="19">P149</f>
        <v>#REF!</v>
      </c>
      <c r="R149" s="5" t="e">
        <f t="shared" si="19"/>
        <v>#REF!</v>
      </c>
      <c r="S149" s="5" t="e">
        <f t="shared" si="19"/>
        <v>#REF!</v>
      </c>
    </row>
    <row r="150" spans="1:19" x14ac:dyDescent="0.25">
      <c r="A150" s="31" t="e">
        <f>#REF!</f>
        <v>#REF!</v>
      </c>
      <c r="B150" s="31"/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9"/>
        <v>#REF!</v>
      </c>
      <c r="J150" s="5" t="e">
        <f t="shared" si="11"/>
        <v>#REF!</v>
      </c>
      <c r="K150" s="5" t="e">
        <f t="shared" si="11"/>
        <v>#REF!</v>
      </c>
      <c r="L150" s="5" t="e">
        <f t="shared" si="11"/>
        <v>#REF!</v>
      </c>
      <c r="M150" s="5" t="e">
        <f t="shared" si="11"/>
        <v>#REF!</v>
      </c>
      <c r="N150" s="5" t="e">
        <f t="shared" si="11"/>
        <v>#REF!</v>
      </c>
      <c r="O150" s="5" t="e">
        <f t="shared" si="11"/>
        <v>#REF!</v>
      </c>
      <c r="P150" s="5" t="e">
        <f t="shared" si="11"/>
        <v>#REF!</v>
      </c>
      <c r="Q150" s="5" t="e">
        <f t="shared" ref="Q150:S150" si="20">P150</f>
        <v>#REF!</v>
      </c>
      <c r="R150" s="5" t="e">
        <f t="shared" si="20"/>
        <v>#REF!</v>
      </c>
      <c r="S150" s="5" t="e">
        <f t="shared" si="20"/>
        <v>#REF!</v>
      </c>
    </row>
    <row r="151" spans="1:19" x14ac:dyDescent="0.25">
      <c r="A151" s="31" t="e">
        <f>#REF!</f>
        <v>#REF!</v>
      </c>
      <c r="B151" s="31"/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9"/>
        <v>#REF!</v>
      </c>
      <c r="J151" s="5" t="e">
        <f t="shared" si="11"/>
        <v>#REF!</v>
      </c>
      <c r="K151" s="5" t="e">
        <f t="shared" si="11"/>
        <v>#REF!</v>
      </c>
      <c r="L151" s="5" t="e">
        <f t="shared" si="11"/>
        <v>#REF!</v>
      </c>
      <c r="M151" s="5" t="e">
        <f t="shared" si="11"/>
        <v>#REF!</v>
      </c>
      <c r="N151" s="5" t="e">
        <f t="shared" si="11"/>
        <v>#REF!</v>
      </c>
      <c r="O151" s="5" t="e">
        <f t="shared" si="11"/>
        <v>#REF!</v>
      </c>
      <c r="P151" s="5" t="e">
        <f t="shared" si="11"/>
        <v>#REF!</v>
      </c>
      <c r="Q151" s="5" t="e">
        <f t="shared" ref="Q151:S151" si="21">P151</f>
        <v>#REF!</v>
      </c>
      <c r="R151" s="5" t="e">
        <f t="shared" si="21"/>
        <v>#REF!</v>
      </c>
      <c r="S151" s="5" t="e">
        <f t="shared" si="21"/>
        <v>#REF!</v>
      </c>
    </row>
    <row r="152" spans="1:19" x14ac:dyDescent="0.25">
      <c r="A152" s="31" t="e">
        <f>#REF!</f>
        <v>#REF!</v>
      </c>
      <c r="B152" s="31"/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9"/>
        <v>#REF!</v>
      </c>
      <c r="J152" s="5" t="e">
        <f t="shared" si="11"/>
        <v>#REF!</v>
      </c>
      <c r="K152" s="5" t="e">
        <f t="shared" si="11"/>
        <v>#REF!</v>
      </c>
      <c r="L152" s="5" t="e">
        <f t="shared" si="11"/>
        <v>#REF!</v>
      </c>
      <c r="M152" s="5" t="e">
        <f t="shared" si="11"/>
        <v>#REF!</v>
      </c>
      <c r="N152" s="5" t="e">
        <f t="shared" si="11"/>
        <v>#REF!</v>
      </c>
      <c r="O152" s="5" t="e">
        <f t="shared" si="11"/>
        <v>#REF!</v>
      </c>
      <c r="P152" s="5" t="e">
        <f t="shared" si="11"/>
        <v>#REF!</v>
      </c>
      <c r="Q152" s="5" t="e">
        <f t="shared" ref="Q152:S152" si="22">P152</f>
        <v>#REF!</v>
      </c>
      <c r="R152" s="5" t="e">
        <f t="shared" si="22"/>
        <v>#REF!</v>
      </c>
      <c r="S152" s="5" t="e">
        <f t="shared" si="22"/>
        <v>#REF!</v>
      </c>
    </row>
    <row r="153" spans="1:19" x14ac:dyDescent="0.25">
      <c r="A153" s="31" t="e">
        <f>#REF!</f>
        <v>#REF!</v>
      </c>
      <c r="B153" s="31"/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9"/>
        <v>#REF!</v>
      </c>
      <c r="J153" s="5" t="e">
        <f t="shared" si="11"/>
        <v>#REF!</v>
      </c>
      <c r="K153" s="5" t="e">
        <f t="shared" si="11"/>
        <v>#REF!</v>
      </c>
      <c r="L153" s="5" t="e">
        <f t="shared" si="11"/>
        <v>#REF!</v>
      </c>
      <c r="M153" s="5" t="e">
        <f t="shared" si="11"/>
        <v>#REF!</v>
      </c>
      <c r="N153" s="5" t="e">
        <f t="shared" si="11"/>
        <v>#REF!</v>
      </c>
      <c r="O153" s="5" t="e">
        <f t="shared" si="11"/>
        <v>#REF!</v>
      </c>
      <c r="P153" s="5" t="e">
        <f t="shared" si="11"/>
        <v>#REF!</v>
      </c>
      <c r="Q153" s="5" t="e">
        <f t="shared" ref="Q153:S153" si="23">P153</f>
        <v>#REF!</v>
      </c>
      <c r="R153" s="5" t="e">
        <f t="shared" si="23"/>
        <v>#REF!</v>
      </c>
      <c r="S153" s="5" t="e">
        <f t="shared" si="23"/>
        <v>#REF!</v>
      </c>
    </row>
    <row r="154" spans="1:19" x14ac:dyDescent="0.25">
      <c r="A154" s="31" t="e">
        <f>#REF!</f>
        <v>#REF!</v>
      </c>
      <c r="B154" s="31"/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9"/>
        <v>#REF!</v>
      </c>
      <c r="J154" s="5" t="e">
        <f t="shared" si="11"/>
        <v>#REF!</v>
      </c>
      <c r="K154" s="5" t="e">
        <f t="shared" si="11"/>
        <v>#REF!</v>
      </c>
      <c r="L154" s="5" t="e">
        <f t="shared" si="11"/>
        <v>#REF!</v>
      </c>
      <c r="M154" s="5" t="e">
        <f t="shared" si="11"/>
        <v>#REF!</v>
      </c>
      <c r="N154" s="5" t="e">
        <f t="shared" si="11"/>
        <v>#REF!</v>
      </c>
      <c r="O154" s="5" t="e">
        <f t="shared" si="11"/>
        <v>#REF!</v>
      </c>
      <c r="P154" s="5" t="e">
        <f t="shared" si="11"/>
        <v>#REF!</v>
      </c>
      <c r="Q154" s="5" t="e">
        <f t="shared" ref="Q154:S154" si="24">P154</f>
        <v>#REF!</v>
      </c>
      <c r="R154" s="5" t="e">
        <f t="shared" si="24"/>
        <v>#REF!</v>
      </c>
      <c r="S154" s="5" t="e">
        <f t="shared" si="24"/>
        <v>#REF!</v>
      </c>
    </row>
    <row r="155" spans="1:19" x14ac:dyDescent="0.25">
      <c r="A155" s="31" t="e">
        <f>#REF!</f>
        <v>#REF!</v>
      </c>
      <c r="B155" s="31"/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9"/>
        <v>#REF!</v>
      </c>
      <c r="J155" s="5" t="e">
        <f t="shared" si="11"/>
        <v>#REF!</v>
      </c>
      <c r="K155" s="5" t="e">
        <f t="shared" si="11"/>
        <v>#REF!</v>
      </c>
      <c r="L155" s="5" t="e">
        <f t="shared" si="11"/>
        <v>#REF!</v>
      </c>
      <c r="M155" s="5" t="e">
        <f t="shared" si="11"/>
        <v>#REF!</v>
      </c>
      <c r="N155" s="5" t="e">
        <f t="shared" si="11"/>
        <v>#REF!</v>
      </c>
      <c r="O155" s="5" t="e">
        <f t="shared" si="11"/>
        <v>#REF!</v>
      </c>
      <c r="P155" s="5" t="e">
        <f t="shared" si="11"/>
        <v>#REF!</v>
      </c>
      <c r="Q155" s="5" t="e">
        <f t="shared" ref="Q155:S155" si="25">P155</f>
        <v>#REF!</v>
      </c>
      <c r="R155" s="5" t="e">
        <f t="shared" si="25"/>
        <v>#REF!</v>
      </c>
      <c r="S155" s="5" t="e">
        <f t="shared" si="25"/>
        <v>#REF!</v>
      </c>
    </row>
    <row r="156" spans="1:19" x14ac:dyDescent="0.25">
      <c r="A156" s="31" t="e">
        <f>#REF!</f>
        <v>#REF!</v>
      </c>
      <c r="B156" s="31"/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9"/>
        <v>#REF!</v>
      </c>
      <c r="J156" s="5" t="e">
        <f t="shared" si="11"/>
        <v>#REF!</v>
      </c>
      <c r="K156" s="5" t="e">
        <f t="shared" si="11"/>
        <v>#REF!</v>
      </c>
      <c r="L156" s="5" t="e">
        <f t="shared" si="11"/>
        <v>#REF!</v>
      </c>
      <c r="M156" s="5" t="e">
        <f t="shared" si="11"/>
        <v>#REF!</v>
      </c>
      <c r="N156" s="5" t="e">
        <f t="shared" si="11"/>
        <v>#REF!</v>
      </c>
      <c r="O156" s="5" t="e">
        <f t="shared" si="11"/>
        <v>#REF!</v>
      </c>
      <c r="P156" s="5" t="e">
        <f t="shared" si="11"/>
        <v>#REF!</v>
      </c>
      <c r="Q156" s="5" t="e">
        <f t="shared" ref="Q156:S156" si="26">P156</f>
        <v>#REF!</v>
      </c>
      <c r="R156" s="5" t="e">
        <f t="shared" si="26"/>
        <v>#REF!</v>
      </c>
      <c r="S156" s="5" t="e">
        <f t="shared" si="26"/>
        <v>#REF!</v>
      </c>
    </row>
    <row r="157" spans="1:19" x14ac:dyDescent="0.25">
      <c r="A157" s="31" t="e">
        <f>#REF!</f>
        <v>#REF!</v>
      </c>
      <c r="B157" s="31"/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9"/>
        <v>#REF!</v>
      </c>
      <c r="J157" s="5" t="e">
        <f t="shared" si="11"/>
        <v>#REF!</v>
      </c>
      <c r="K157" s="5" t="e">
        <f t="shared" si="11"/>
        <v>#REF!</v>
      </c>
      <c r="L157" s="5" t="e">
        <f t="shared" si="11"/>
        <v>#REF!</v>
      </c>
      <c r="M157" s="5" t="e">
        <f t="shared" si="11"/>
        <v>#REF!</v>
      </c>
      <c r="N157" s="5" t="e">
        <f t="shared" si="11"/>
        <v>#REF!</v>
      </c>
      <c r="O157" s="5" t="e">
        <f t="shared" si="11"/>
        <v>#REF!</v>
      </c>
      <c r="P157" s="5" t="e">
        <f t="shared" si="11"/>
        <v>#REF!</v>
      </c>
      <c r="Q157" s="5" t="e">
        <f t="shared" ref="Q157:S157" si="27">P157</f>
        <v>#REF!</v>
      </c>
      <c r="R157" s="5" t="e">
        <f t="shared" si="27"/>
        <v>#REF!</v>
      </c>
      <c r="S157" s="5" t="e">
        <f t="shared" si="27"/>
        <v>#REF!</v>
      </c>
    </row>
    <row r="158" spans="1:19" x14ac:dyDescent="0.25">
      <c r="A158" s="31" t="e">
        <f>#REF!</f>
        <v>#REF!</v>
      </c>
      <c r="B158" s="31"/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9"/>
        <v>#REF!</v>
      </c>
      <c r="J158" s="5" t="e">
        <f t="shared" ref="J158:P173" si="28">I158</f>
        <v>#REF!</v>
      </c>
      <c r="K158" s="5" t="e">
        <f t="shared" si="28"/>
        <v>#REF!</v>
      </c>
      <c r="L158" s="5" t="e">
        <f t="shared" si="28"/>
        <v>#REF!</v>
      </c>
      <c r="M158" s="5" t="e">
        <f t="shared" si="28"/>
        <v>#REF!</v>
      </c>
      <c r="N158" s="5" t="e">
        <f t="shared" si="28"/>
        <v>#REF!</v>
      </c>
      <c r="O158" s="5" t="e">
        <f t="shared" si="28"/>
        <v>#REF!</v>
      </c>
      <c r="P158" s="5" t="e">
        <f t="shared" si="28"/>
        <v>#REF!</v>
      </c>
      <c r="Q158" s="5" t="e">
        <f t="shared" ref="Q158:S158" si="29">P158</f>
        <v>#REF!</v>
      </c>
      <c r="R158" s="5" t="e">
        <f t="shared" si="29"/>
        <v>#REF!</v>
      </c>
      <c r="S158" s="5" t="e">
        <f t="shared" si="29"/>
        <v>#REF!</v>
      </c>
    </row>
    <row r="159" spans="1:19" x14ac:dyDescent="0.25">
      <c r="A159" s="31" t="e">
        <f>#REF!</f>
        <v>#REF!</v>
      </c>
      <c r="B159" s="31"/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9"/>
        <v>#REF!</v>
      </c>
      <c r="J159" s="5" t="e">
        <f t="shared" si="28"/>
        <v>#REF!</v>
      </c>
      <c r="K159" s="5" t="e">
        <f t="shared" si="28"/>
        <v>#REF!</v>
      </c>
      <c r="L159" s="5" t="e">
        <f t="shared" si="28"/>
        <v>#REF!</v>
      </c>
      <c r="M159" s="5" t="e">
        <f t="shared" si="28"/>
        <v>#REF!</v>
      </c>
      <c r="N159" s="5" t="e">
        <f t="shared" si="28"/>
        <v>#REF!</v>
      </c>
      <c r="O159" s="5" t="e">
        <f t="shared" si="28"/>
        <v>#REF!</v>
      </c>
      <c r="P159" s="5" t="e">
        <f t="shared" si="28"/>
        <v>#REF!</v>
      </c>
      <c r="Q159" s="5" t="e">
        <f t="shared" ref="Q159:S159" si="30">P159</f>
        <v>#REF!</v>
      </c>
      <c r="R159" s="5" t="e">
        <f t="shared" si="30"/>
        <v>#REF!</v>
      </c>
      <c r="S159" s="5" t="e">
        <f t="shared" si="30"/>
        <v>#REF!</v>
      </c>
    </row>
    <row r="160" spans="1:19" x14ac:dyDescent="0.25">
      <c r="A160" s="31" t="e">
        <f>#REF!</f>
        <v>#REF!</v>
      </c>
      <c r="B160" s="31"/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9"/>
        <v>#REF!</v>
      </c>
      <c r="J160" s="5" t="e">
        <f t="shared" si="28"/>
        <v>#REF!</v>
      </c>
      <c r="K160" s="5" t="e">
        <f t="shared" si="28"/>
        <v>#REF!</v>
      </c>
      <c r="L160" s="5" t="e">
        <f t="shared" si="28"/>
        <v>#REF!</v>
      </c>
      <c r="M160" s="5" t="e">
        <f t="shared" si="28"/>
        <v>#REF!</v>
      </c>
      <c r="N160" s="5" t="e">
        <f t="shared" si="28"/>
        <v>#REF!</v>
      </c>
      <c r="O160" s="5" t="e">
        <f t="shared" si="28"/>
        <v>#REF!</v>
      </c>
      <c r="P160" s="5" t="e">
        <f t="shared" si="28"/>
        <v>#REF!</v>
      </c>
      <c r="Q160" s="5" t="e">
        <f t="shared" ref="Q160:S160" si="31">P160</f>
        <v>#REF!</v>
      </c>
      <c r="R160" s="5" t="e">
        <f t="shared" si="31"/>
        <v>#REF!</v>
      </c>
      <c r="S160" s="5" t="e">
        <f t="shared" si="31"/>
        <v>#REF!</v>
      </c>
    </row>
    <row r="161" spans="1:19" x14ac:dyDescent="0.25">
      <c r="A161" s="31" t="e">
        <f>#REF!</f>
        <v>#REF!</v>
      </c>
      <c r="B161" s="31"/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9"/>
        <v>#REF!</v>
      </c>
      <c r="J161" s="5" t="e">
        <f t="shared" si="28"/>
        <v>#REF!</v>
      </c>
      <c r="K161" s="5" t="e">
        <f t="shared" si="28"/>
        <v>#REF!</v>
      </c>
      <c r="L161" s="5" t="e">
        <f t="shared" si="28"/>
        <v>#REF!</v>
      </c>
      <c r="M161" s="5" t="e">
        <f t="shared" si="28"/>
        <v>#REF!</v>
      </c>
      <c r="N161" s="5" t="e">
        <f t="shared" si="28"/>
        <v>#REF!</v>
      </c>
      <c r="O161" s="5" t="e">
        <f t="shared" si="28"/>
        <v>#REF!</v>
      </c>
      <c r="P161" s="5" t="e">
        <f t="shared" si="28"/>
        <v>#REF!</v>
      </c>
      <c r="Q161" s="5" t="e">
        <f t="shared" ref="Q161:S161" si="32">P161</f>
        <v>#REF!</v>
      </c>
      <c r="R161" s="5" t="e">
        <f t="shared" si="32"/>
        <v>#REF!</v>
      </c>
      <c r="S161" s="5" t="e">
        <f t="shared" si="32"/>
        <v>#REF!</v>
      </c>
    </row>
    <row r="162" spans="1:19" x14ac:dyDescent="0.25">
      <c r="A162" s="31" t="e">
        <f>#REF!</f>
        <v>#REF!</v>
      </c>
      <c r="B162" s="31"/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9"/>
        <v>#REF!</v>
      </c>
      <c r="J162" s="5" t="e">
        <f t="shared" si="28"/>
        <v>#REF!</v>
      </c>
      <c r="K162" s="5" t="e">
        <f t="shared" si="28"/>
        <v>#REF!</v>
      </c>
      <c r="L162" s="5" t="e">
        <f t="shared" si="28"/>
        <v>#REF!</v>
      </c>
      <c r="M162" s="5" t="e">
        <f t="shared" si="28"/>
        <v>#REF!</v>
      </c>
      <c r="N162" s="5" t="e">
        <f t="shared" si="28"/>
        <v>#REF!</v>
      </c>
      <c r="O162" s="5" t="e">
        <f t="shared" si="28"/>
        <v>#REF!</v>
      </c>
      <c r="P162" s="5" t="e">
        <f t="shared" si="28"/>
        <v>#REF!</v>
      </c>
      <c r="Q162" s="5" t="e">
        <f t="shared" ref="Q162:S162" si="33">P162</f>
        <v>#REF!</v>
      </c>
      <c r="R162" s="5" t="e">
        <f t="shared" si="33"/>
        <v>#REF!</v>
      </c>
      <c r="S162" s="5" t="e">
        <f t="shared" si="33"/>
        <v>#REF!</v>
      </c>
    </row>
    <row r="163" spans="1:19" x14ac:dyDescent="0.25">
      <c r="A163" s="31" t="e">
        <f>#REF!</f>
        <v>#REF!</v>
      </c>
      <c r="B163" s="31"/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si="9"/>
        <v>#REF!</v>
      </c>
      <c r="J163" s="5" t="e">
        <f t="shared" si="28"/>
        <v>#REF!</v>
      </c>
      <c r="K163" s="5" t="e">
        <f t="shared" si="28"/>
        <v>#REF!</v>
      </c>
      <c r="L163" s="5" t="e">
        <f t="shared" si="28"/>
        <v>#REF!</v>
      </c>
      <c r="M163" s="5" t="e">
        <f t="shared" si="28"/>
        <v>#REF!</v>
      </c>
      <c r="N163" s="5" t="e">
        <f t="shared" si="28"/>
        <v>#REF!</v>
      </c>
      <c r="O163" s="5" t="e">
        <f t="shared" si="28"/>
        <v>#REF!</v>
      </c>
      <c r="P163" s="5" t="e">
        <f t="shared" si="28"/>
        <v>#REF!</v>
      </c>
      <c r="Q163" s="5" t="e">
        <f t="shared" ref="Q163:S163" si="34">P163</f>
        <v>#REF!</v>
      </c>
      <c r="R163" s="5" t="e">
        <f t="shared" si="34"/>
        <v>#REF!</v>
      </c>
      <c r="S163" s="5" t="e">
        <f t="shared" si="34"/>
        <v>#REF!</v>
      </c>
    </row>
    <row r="164" spans="1:19" x14ac:dyDescent="0.25">
      <c r="A164" s="31" t="e">
        <f>#REF!</f>
        <v>#REF!</v>
      </c>
      <c r="B164" s="31"/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9"/>
        <v>#REF!</v>
      </c>
      <c r="J164" s="5" t="e">
        <f t="shared" si="28"/>
        <v>#REF!</v>
      </c>
      <c r="K164" s="5" t="e">
        <f t="shared" si="28"/>
        <v>#REF!</v>
      </c>
      <c r="L164" s="5" t="e">
        <f t="shared" si="28"/>
        <v>#REF!</v>
      </c>
      <c r="M164" s="5" t="e">
        <f t="shared" si="28"/>
        <v>#REF!</v>
      </c>
      <c r="N164" s="5" t="e">
        <f t="shared" si="28"/>
        <v>#REF!</v>
      </c>
      <c r="O164" s="5" t="e">
        <f t="shared" si="28"/>
        <v>#REF!</v>
      </c>
      <c r="P164" s="5" t="e">
        <f t="shared" si="28"/>
        <v>#REF!</v>
      </c>
      <c r="Q164" s="5" t="e">
        <f t="shared" ref="Q164:S164" si="35">P164</f>
        <v>#REF!</v>
      </c>
      <c r="R164" s="5" t="e">
        <f t="shared" si="35"/>
        <v>#REF!</v>
      </c>
      <c r="S164" s="5" t="e">
        <f t="shared" si="35"/>
        <v>#REF!</v>
      </c>
    </row>
    <row r="165" spans="1:19" x14ac:dyDescent="0.25">
      <c r="A165" s="31" t="e">
        <f>#REF!</f>
        <v>#REF!</v>
      </c>
      <c r="B165" s="31"/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9"/>
        <v>#REF!</v>
      </c>
      <c r="J165" s="5" t="e">
        <f t="shared" si="28"/>
        <v>#REF!</v>
      </c>
      <c r="K165" s="5" t="e">
        <f t="shared" si="28"/>
        <v>#REF!</v>
      </c>
      <c r="L165" s="5" t="e">
        <f t="shared" si="28"/>
        <v>#REF!</v>
      </c>
      <c r="M165" s="5" t="e">
        <f t="shared" si="28"/>
        <v>#REF!</v>
      </c>
      <c r="N165" s="5" t="e">
        <f t="shared" si="28"/>
        <v>#REF!</v>
      </c>
      <c r="O165" s="5" t="e">
        <f t="shared" si="28"/>
        <v>#REF!</v>
      </c>
      <c r="P165" s="5" t="e">
        <f t="shared" si="28"/>
        <v>#REF!</v>
      </c>
      <c r="Q165" s="5" t="e">
        <f t="shared" ref="Q165:S165" si="36">P165</f>
        <v>#REF!</v>
      </c>
      <c r="R165" s="5" t="e">
        <f t="shared" si="36"/>
        <v>#REF!</v>
      </c>
      <c r="S165" s="5" t="e">
        <f t="shared" si="36"/>
        <v>#REF!</v>
      </c>
    </row>
    <row r="166" spans="1:19" x14ac:dyDescent="0.25">
      <c r="A166" s="31" t="e">
        <f>#REF!</f>
        <v>#REF!</v>
      </c>
      <c r="B166" s="31"/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9"/>
        <v>#REF!</v>
      </c>
      <c r="J166" s="5" t="e">
        <f t="shared" si="28"/>
        <v>#REF!</v>
      </c>
      <c r="K166" s="5" t="e">
        <f t="shared" si="28"/>
        <v>#REF!</v>
      </c>
      <c r="L166" s="5" t="e">
        <f t="shared" si="28"/>
        <v>#REF!</v>
      </c>
      <c r="M166" s="5" t="e">
        <f t="shared" si="28"/>
        <v>#REF!</v>
      </c>
      <c r="N166" s="5" t="e">
        <f t="shared" si="28"/>
        <v>#REF!</v>
      </c>
      <c r="O166" s="5" t="e">
        <f t="shared" si="28"/>
        <v>#REF!</v>
      </c>
      <c r="P166" s="5" t="e">
        <f t="shared" si="28"/>
        <v>#REF!</v>
      </c>
      <c r="Q166" s="5" t="e">
        <f t="shared" ref="Q166:S166" si="37">P166</f>
        <v>#REF!</v>
      </c>
      <c r="R166" s="5" t="e">
        <f t="shared" si="37"/>
        <v>#REF!</v>
      </c>
      <c r="S166" s="5" t="e">
        <f t="shared" si="37"/>
        <v>#REF!</v>
      </c>
    </row>
    <row r="167" spans="1:19" x14ac:dyDescent="0.25">
      <c r="A167" s="31" t="e">
        <f>#REF!</f>
        <v>#REF!</v>
      </c>
      <c r="B167" s="31"/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9"/>
        <v>#REF!</v>
      </c>
      <c r="J167" s="5" t="e">
        <f t="shared" si="28"/>
        <v>#REF!</v>
      </c>
      <c r="K167" s="5" t="e">
        <f t="shared" si="28"/>
        <v>#REF!</v>
      </c>
      <c r="L167" s="5" t="e">
        <f t="shared" si="28"/>
        <v>#REF!</v>
      </c>
      <c r="M167" s="5" t="e">
        <f t="shared" si="28"/>
        <v>#REF!</v>
      </c>
      <c r="N167" s="5" t="e">
        <f t="shared" si="28"/>
        <v>#REF!</v>
      </c>
      <c r="O167" s="5" t="e">
        <f t="shared" si="28"/>
        <v>#REF!</v>
      </c>
      <c r="P167" s="5" t="e">
        <f t="shared" si="28"/>
        <v>#REF!</v>
      </c>
      <c r="Q167" s="5" t="e">
        <f t="shared" ref="Q167:S167" si="38">P167</f>
        <v>#REF!</v>
      </c>
      <c r="R167" s="5" t="e">
        <f t="shared" si="38"/>
        <v>#REF!</v>
      </c>
      <c r="S167" s="5" t="e">
        <f t="shared" si="38"/>
        <v>#REF!</v>
      </c>
    </row>
    <row r="168" spans="1:19" x14ac:dyDescent="0.25">
      <c r="A168" s="31" t="e">
        <f>#REF!</f>
        <v>#REF!</v>
      </c>
      <c r="B168" s="31"/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9"/>
        <v>#REF!</v>
      </c>
      <c r="J168" s="5" t="e">
        <f t="shared" si="28"/>
        <v>#REF!</v>
      </c>
      <c r="K168" s="5" t="e">
        <f t="shared" si="28"/>
        <v>#REF!</v>
      </c>
      <c r="L168" s="5" t="e">
        <f t="shared" si="28"/>
        <v>#REF!</v>
      </c>
      <c r="M168" s="5" t="e">
        <f t="shared" si="28"/>
        <v>#REF!</v>
      </c>
      <c r="N168" s="5" t="e">
        <f t="shared" si="28"/>
        <v>#REF!</v>
      </c>
      <c r="O168" s="5" t="e">
        <f t="shared" si="28"/>
        <v>#REF!</v>
      </c>
      <c r="P168" s="5" t="e">
        <f t="shared" si="28"/>
        <v>#REF!</v>
      </c>
      <c r="Q168" s="5" t="e">
        <f t="shared" ref="Q168:S168" si="39">P168</f>
        <v>#REF!</v>
      </c>
      <c r="R168" s="5" t="e">
        <f t="shared" si="39"/>
        <v>#REF!</v>
      </c>
      <c r="S168" s="5" t="e">
        <f t="shared" si="39"/>
        <v>#REF!</v>
      </c>
    </row>
    <row r="169" spans="1:19" x14ac:dyDescent="0.25">
      <c r="A169" s="31" t="e">
        <f>#REF!</f>
        <v>#REF!</v>
      </c>
      <c r="B169" s="31"/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9"/>
        <v>#REF!</v>
      </c>
      <c r="J169" s="5" t="e">
        <f t="shared" si="28"/>
        <v>#REF!</v>
      </c>
      <c r="K169" s="5" t="e">
        <f t="shared" si="28"/>
        <v>#REF!</v>
      </c>
      <c r="L169" s="5" t="e">
        <f t="shared" si="28"/>
        <v>#REF!</v>
      </c>
      <c r="M169" s="5" t="e">
        <f t="shared" si="28"/>
        <v>#REF!</v>
      </c>
      <c r="N169" s="5" t="e">
        <f t="shared" si="28"/>
        <v>#REF!</v>
      </c>
      <c r="O169" s="5" t="e">
        <f t="shared" si="28"/>
        <v>#REF!</v>
      </c>
      <c r="P169" s="5" t="e">
        <f t="shared" si="28"/>
        <v>#REF!</v>
      </c>
      <c r="Q169" s="5" t="e">
        <f t="shared" ref="Q169:S169" si="40">P169</f>
        <v>#REF!</v>
      </c>
      <c r="R169" s="5" t="e">
        <f t="shared" si="40"/>
        <v>#REF!</v>
      </c>
      <c r="S169" s="5" t="e">
        <f t="shared" si="40"/>
        <v>#REF!</v>
      </c>
    </row>
    <row r="170" spans="1:19" x14ac:dyDescent="0.25">
      <c r="A170" s="31" t="e">
        <f>#REF!</f>
        <v>#REF!</v>
      </c>
      <c r="B170" s="31"/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9"/>
        <v>#REF!</v>
      </c>
      <c r="J170" s="5" t="e">
        <f t="shared" si="28"/>
        <v>#REF!</v>
      </c>
      <c r="K170" s="5" t="e">
        <f t="shared" si="28"/>
        <v>#REF!</v>
      </c>
      <c r="L170" s="5" t="e">
        <f t="shared" si="28"/>
        <v>#REF!</v>
      </c>
      <c r="M170" s="5" t="e">
        <f t="shared" si="28"/>
        <v>#REF!</v>
      </c>
      <c r="N170" s="5" t="e">
        <f t="shared" si="28"/>
        <v>#REF!</v>
      </c>
      <c r="O170" s="5" t="e">
        <f t="shared" si="28"/>
        <v>#REF!</v>
      </c>
      <c r="P170" s="5" t="e">
        <f t="shared" si="28"/>
        <v>#REF!</v>
      </c>
      <c r="Q170" s="5" t="e">
        <f t="shared" ref="Q170:S170" si="41">P170</f>
        <v>#REF!</v>
      </c>
      <c r="R170" s="5" t="e">
        <f t="shared" si="41"/>
        <v>#REF!</v>
      </c>
      <c r="S170" s="5" t="e">
        <f t="shared" si="41"/>
        <v>#REF!</v>
      </c>
    </row>
    <row r="171" spans="1:19" x14ac:dyDescent="0.25">
      <c r="A171" s="31" t="e">
        <f>#REF!</f>
        <v>#REF!</v>
      </c>
      <c r="B171" s="31"/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9"/>
        <v>#REF!</v>
      </c>
      <c r="J171" s="5" t="e">
        <f t="shared" si="28"/>
        <v>#REF!</v>
      </c>
      <c r="K171" s="5" t="e">
        <f t="shared" si="28"/>
        <v>#REF!</v>
      </c>
      <c r="L171" s="5" t="e">
        <f t="shared" si="28"/>
        <v>#REF!</v>
      </c>
      <c r="M171" s="5" t="e">
        <f t="shared" si="28"/>
        <v>#REF!</v>
      </c>
      <c r="N171" s="5" t="e">
        <f t="shared" si="28"/>
        <v>#REF!</v>
      </c>
      <c r="O171" s="5" t="e">
        <f t="shared" si="28"/>
        <v>#REF!</v>
      </c>
      <c r="P171" s="5" t="e">
        <f t="shared" si="28"/>
        <v>#REF!</v>
      </c>
      <c r="Q171" s="5" t="e">
        <f t="shared" ref="Q171:S171" si="42">P171</f>
        <v>#REF!</v>
      </c>
      <c r="R171" s="5" t="e">
        <f t="shared" si="42"/>
        <v>#REF!</v>
      </c>
      <c r="S171" s="5" t="e">
        <f t="shared" si="42"/>
        <v>#REF!</v>
      </c>
    </row>
    <row r="172" spans="1:19" x14ac:dyDescent="0.25">
      <c r="A172" s="31" t="e">
        <f>#REF!</f>
        <v>#REF!</v>
      </c>
      <c r="B172" s="31"/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9"/>
        <v>#REF!</v>
      </c>
      <c r="J172" s="5" t="e">
        <f t="shared" si="28"/>
        <v>#REF!</v>
      </c>
      <c r="K172" s="5" t="e">
        <f t="shared" si="28"/>
        <v>#REF!</v>
      </c>
      <c r="L172" s="5" t="e">
        <f t="shared" si="28"/>
        <v>#REF!</v>
      </c>
      <c r="M172" s="5" t="e">
        <f t="shared" si="28"/>
        <v>#REF!</v>
      </c>
      <c r="N172" s="5" t="e">
        <f t="shared" si="28"/>
        <v>#REF!</v>
      </c>
      <c r="O172" s="5" t="e">
        <f t="shared" si="28"/>
        <v>#REF!</v>
      </c>
      <c r="P172" s="5" t="e">
        <f t="shared" si="28"/>
        <v>#REF!</v>
      </c>
      <c r="Q172" s="5" t="e">
        <f t="shared" ref="Q172:S172" si="43">P172</f>
        <v>#REF!</v>
      </c>
      <c r="R172" s="5" t="e">
        <f t="shared" si="43"/>
        <v>#REF!</v>
      </c>
      <c r="S172" s="5" t="e">
        <f t="shared" si="43"/>
        <v>#REF!</v>
      </c>
    </row>
    <row r="173" spans="1:19" x14ac:dyDescent="0.25">
      <c r="A173" s="31" t="e">
        <f>#REF!</f>
        <v>#REF!</v>
      </c>
      <c r="B173" s="31"/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9"/>
        <v>#REF!</v>
      </c>
      <c r="J173" s="5" t="e">
        <f t="shared" si="28"/>
        <v>#REF!</v>
      </c>
      <c r="K173" s="5" t="e">
        <f t="shared" si="28"/>
        <v>#REF!</v>
      </c>
      <c r="L173" s="5" t="e">
        <f t="shared" si="28"/>
        <v>#REF!</v>
      </c>
      <c r="M173" s="5" t="e">
        <f t="shared" si="28"/>
        <v>#REF!</v>
      </c>
      <c r="N173" s="5" t="e">
        <f t="shared" si="28"/>
        <v>#REF!</v>
      </c>
      <c r="O173" s="5" t="e">
        <f t="shared" si="28"/>
        <v>#REF!</v>
      </c>
      <c r="P173" s="5" t="e">
        <f t="shared" si="28"/>
        <v>#REF!</v>
      </c>
      <c r="Q173" s="5" t="e">
        <f t="shared" ref="Q173:S173" si="44">P173</f>
        <v>#REF!</v>
      </c>
      <c r="R173" s="5" t="e">
        <f t="shared" si="44"/>
        <v>#REF!</v>
      </c>
      <c r="S173" s="5" t="e">
        <f t="shared" si="44"/>
        <v>#REF!</v>
      </c>
    </row>
    <row r="174" spans="1:19" x14ac:dyDescent="0.25">
      <c r="A174" s="31" t="e">
        <f>#REF!</f>
        <v>#REF!</v>
      </c>
      <c r="B174" s="31"/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9"/>
        <v>#REF!</v>
      </c>
      <c r="J174" s="5" t="e">
        <f t="shared" ref="J174:P178" si="45">I174</f>
        <v>#REF!</v>
      </c>
      <c r="K174" s="5" t="e">
        <f t="shared" si="45"/>
        <v>#REF!</v>
      </c>
      <c r="L174" s="5" t="e">
        <f t="shared" si="45"/>
        <v>#REF!</v>
      </c>
      <c r="M174" s="5" t="e">
        <f t="shared" si="45"/>
        <v>#REF!</v>
      </c>
      <c r="N174" s="5" t="e">
        <f t="shared" si="45"/>
        <v>#REF!</v>
      </c>
      <c r="O174" s="5" t="e">
        <f t="shared" si="45"/>
        <v>#REF!</v>
      </c>
      <c r="P174" s="5" t="e">
        <f t="shared" si="45"/>
        <v>#REF!</v>
      </c>
      <c r="Q174" s="5" t="e">
        <f t="shared" ref="Q174:S174" si="46">P174</f>
        <v>#REF!</v>
      </c>
      <c r="R174" s="5" t="e">
        <f t="shared" si="46"/>
        <v>#REF!</v>
      </c>
      <c r="S174" s="5" t="e">
        <f t="shared" si="46"/>
        <v>#REF!</v>
      </c>
    </row>
    <row r="175" spans="1:19" x14ac:dyDescent="0.25">
      <c r="A175" s="31" t="e">
        <f>#REF!</f>
        <v>#REF!</v>
      </c>
      <c r="B175" s="31"/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9"/>
        <v>#REF!</v>
      </c>
      <c r="J175" s="5" t="e">
        <f t="shared" si="45"/>
        <v>#REF!</v>
      </c>
      <c r="K175" s="5" t="e">
        <f t="shared" si="45"/>
        <v>#REF!</v>
      </c>
      <c r="L175" s="5" t="e">
        <f t="shared" si="45"/>
        <v>#REF!</v>
      </c>
      <c r="M175" s="5" t="e">
        <f t="shared" si="45"/>
        <v>#REF!</v>
      </c>
      <c r="N175" s="5" t="e">
        <f t="shared" si="45"/>
        <v>#REF!</v>
      </c>
      <c r="O175" s="5" t="e">
        <f t="shared" si="45"/>
        <v>#REF!</v>
      </c>
      <c r="P175" s="5" t="e">
        <f t="shared" si="45"/>
        <v>#REF!</v>
      </c>
      <c r="Q175" s="5" t="e">
        <f t="shared" ref="Q175:S175" si="47">P175</f>
        <v>#REF!</v>
      </c>
      <c r="R175" s="5" t="e">
        <f t="shared" si="47"/>
        <v>#REF!</v>
      </c>
      <c r="S175" s="5" t="e">
        <f t="shared" si="47"/>
        <v>#REF!</v>
      </c>
    </row>
    <row r="176" spans="1:19" x14ac:dyDescent="0.25">
      <c r="A176" s="31" t="e">
        <f>#REF!</f>
        <v>#REF!</v>
      </c>
      <c r="B176" s="31"/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9"/>
        <v>#REF!</v>
      </c>
      <c r="J176" s="5" t="e">
        <f t="shared" si="45"/>
        <v>#REF!</v>
      </c>
      <c r="K176" s="5" t="e">
        <f t="shared" si="45"/>
        <v>#REF!</v>
      </c>
      <c r="L176" s="5" t="e">
        <f t="shared" si="45"/>
        <v>#REF!</v>
      </c>
      <c r="M176" s="5" t="e">
        <f t="shared" si="45"/>
        <v>#REF!</v>
      </c>
      <c r="N176" s="5" t="e">
        <f t="shared" si="45"/>
        <v>#REF!</v>
      </c>
      <c r="O176" s="5" t="e">
        <f t="shared" si="45"/>
        <v>#REF!</v>
      </c>
      <c r="P176" s="5" t="e">
        <f t="shared" si="45"/>
        <v>#REF!</v>
      </c>
      <c r="Q176" s="5" t="e">
        <f t="shared" ref="Q176:S176" si="48">P176</f>
        <v>#REF!</v>
      </c>
      <c r="R176" s="5" t="e">
        <f t="shared" si="48"/>
        <v>#REF!</v>
      </c>
      <c r="S176" s="5" t="e">
        <f t="shared" si="48"/>
        <v>#REF!</v>
      </c>
    </row>
    <row r="177" spans="1:19" x14ac:dyDescent="0.25">
      <c r="A177" s="31" t="e">
        <f>#REF!</f>
        <v>#REF!</v>
      </c>
      <c r="B177" s="31"/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9"/>
        <v>#REF!</v>
      </c>
      <c r="J177" s="5" t="e">
        <f t="shared" si="45"/>
        <v>#REF!</v>
      </c>
      <c r="K177" s="5" t="e">
        <f t="shared" si="45"/>
        <v>#REF!</v>
      </c>
      <c r="L177" s="5" t="e">
        <f t="shared" si="45"/>
        <v>#REF!</v>
      </c>
      <c r="M177" s="5" t="e">
        <f t="shared" si="45"/>
        <v>#REF!</v>
      </c>
      <c r="N177" s="5" t="e">
        <f t="shared" si="45"/>
        <v>#REF!</v>
      </c>
      <c r="O177" s="5" t="e">
        <f t="shared" si="45"/>
        <v>#REF!</v>
      </c>
      <c r="P177" s="5" t="e">
        <f t="shared" si="45"/>
        <v>#REF!</v>
      </c>
      <c r="Q177" s="5" t="e">
        <f t="shared" ref="Q177:S177" si="49">P177</f>
        <v>#REF!</v>
      </c>
      <c r="R177" s="5" t="e">
        <f t="shared" si="49"/>
        <v>#REF!</v>
      </c>
      <c r="S177" s="5" t="e">
        <f t="shared" si="49"/>
        <v>#REF!</v>
      </c>
    </row>
    <row r="178" spans="1:19" x14ac:dyDescent="0.25">
      <c r="A178" s="31" t="e">
        <f>#REF!</f>
        <v>#REF!</v>
      </c>
      <c r="B178" s="31"/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9"/>
        <v>#REF!</v>
      </c>
      <c r="J178" s="5" t="e">
        <f t="shared" si="45"/>
        <v>#REF!</v>
      </c>
      <c r="K178" s="5" t="e">
        <f t="shared" si="45"/>
        <v>#REF!</v>
      </c>
      <c r="L178" s="5" t="e">
        <f t="shared" si="45"/>
        <v>#REF!</v>
      </c>
      <c r="M178" s="5" t="e">
        <f t="shared" si="45"/>
        <v>#REF!</v>
      </c>
      <c r="N178" s="5" t="e">
        <f t="shared" si="45"/>
        <v>#REF!</v>
      </c>
      <c r="O178" s="5" t="e">
        <f t="shared" si="45"/>
        <v>#REF!</v>
      </c>
      <c r="P178" s="5" t="e">
        <f t="shared" si="45"/>
        <v>#REF!</v>
      </c>
      <c r="Q178" s="5" t="e">
        <f t="shared" ref="Q178:S193" si="50">P178</f>
        <v>#REF!</v>
      </c>
      <c r="R178" s="5" t="e">
        <f t="shared" si="50"/>
        <v>#REF!</v>
      </c>
      <c r="S178" s="5" t="e">
        <f t="shared" si="50"/>
        <v>#REF!</v>
      </c>
    </row>
    <row r="179" spans="1:19" x14ac:dyDescent="0.25">
      <c r="A179" s="31" t="e">
        <f>#REF!</f>
        <v>#REF!</v>
      </c>
      <c r="B179" s="31"/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P242" si="51">H179</f>
        <v>#REF!</v>
      </c>
      <c r="J179" s="5" t="e">
        <f t="shared" si="51"/>
        <v>#REF!</v>
      </c>
      <c r="K179" s="5" t="e">
        <f t="shared" si="51"/>
        <v>#REF!</v>
      </c>
      <c r="L179" s="5" t="e">
        <f t="shared" si="51"/>
        <v>#REF!</v>
      </c>
      <c r="M179" s="5" t="e">
        <f t="shared" si="51"/>
        <v>#REF!</v>
      </c>
      <c r="N179" s="5" t="e">
        <f t="shared" si="51"/>
        <v>#REF!</v>
      </c>
      <c r="O179" s="5" t="e">
        <f t="shared" si="51"/>
        <v>#REF!</v>
      </c>
      <c r="P179" s="5" t="e">
        <f t="shared" si="51"/>
        <v>#REF!</v>
      </c>
      <c r="Q179" s="5" t="e">
        <f t="shared" si="50"/>
        <v>#REF!</v>
      </c>
      <c r="R179" s="5" t="e">
        <f t="shared" si="50"/>
        <v>#REF!</v>
      </c>
      <c r="S179" s="5" t="e">
        <f t="shared" si="50"/>
        <v>#REF!</v>
      </c>
    </row>
    <row r="180" spans="1:19" x14ac:dyDescent="0.25">
      <c r="A180" s="31" t="e">
        <f>#REF!</f>
        <v>#REF!</v>
      </c>
      <c r="B180" s="31"/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51"/>
        <v>#REF!</v>
      </c>
      <c r="J180" s="5" t="e">
        <f t="shared" si="51"/>
        <v>#REF!</v>
      </c>
      <c r="K180" s="5" t="e">
        <f t="shared" si="51"/>
        <v>#REF!</v>
      </c>
      <c r="L180" s="5" t="e">
        <f t="shared" si="51"/>
        <v>#REF!</v>
      </c>
      <c r="M180" s="5" t="e">
        <f t="shared" si="51"/>
        <v>#REF!</v>
      </c>
      <c r="N180" s="5" t="e">
        <f t="shared" si="51"/>
        <v>#REF!</v>
      </c>
      <c r="O180" s="5" t="e">
        <f t="shared" si="51"/>
        <v>#REF!</v>
      </c>
      <c r="P180" s="5" t="e">
        <f t="shared" si="51"/>
        <v>#REF!</v>
      </c>
      <c r="Q180" s="5" t="e">
        <f t="shared" si="50"/>
        <v>#REF!</v>
      </c>
      <c r="R180" s="5" t="e">
        <f t="shared" si="50"/>
        <v>#REF!</v>
      </c>
      <c r="S180" s="5" t="e">
        <f t="shared" si="50"/>
        <v>#REF!</v>
      </c>
    </row>
    <row r="181" spans="1:19" x14ac:dyDescent="0.25">
      <c r="A181" s="31" t="e">
        <f>#REF!</f>
        <v>#REF!</v>
      </c>
      <c r="B181" s="31"/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51"/>
        <v>#REF!</v>
      </c>
      <c r="J181" s="5" t="e">
        <f t="shared" si="51"/>
        <v>#REF!</v>
      </c>
      <c r="K181" s="5" t="e">
        <f t="shared" si="51"/>
        <v>#REF!</v>
      </c>
      <c r="L181" s="5" t="e">
        <f t="shared" si="51"/>
        <v>#REF!</v>
      </c>
      <c r="M181" s="5" t="e">
        <f t="shared" si="51"/>
        <v>#REF!</v>
      </c>
      <c r="N181" s="5" t="e">
        <f t="shared" si="51"/>
        <v>#REF!</v>
      </c>
      <c r="O181" s="5" t="e">
        <f t="shared" si="51"/>
        <v>#REF!</v>
      </c>
      <c r="P181" s="5" t="e">
        <f t="shared" si="51"/>
        <v>#REF!</v>
      </c>
      <c r="Q181" s="5" t="e">
        <f t="shared" si="50"/>
        <v>#REF!</v>
      </c>
      <c r="R181" s="5" t="e">
        <f t="shared" si="50"/>
        <v>#REF!</v>
      </c>
      <c r="S181" s="5" t="e">
        <f t="shared" si="50"/>
        <v>#REF!</v>
      </c>
    </row>
    <row r="182" spans="1:19" x14ac:dyDescent="0.25">
      <c r="A182" s="31" t="e">
        <f>#REF!</f>
        <v>#REF!</v>
      </c>
      <c r="B182" s="31"/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51"/>
        <v>#REF!</v>
      </c>
      <c r="J182" s="5" t="e">
        <f t="shared" si="51"/>
        <v>#REF!</v>
      </c>
      <c r="K182" s="5" t="e">
        <f t="shared" si="51"/>
        <v>#REF!</v>
      </c>
      <c r="L182" s="5" t="e">
        <f t="shared" si="51"/>
        <v>#REF!</v>
      </c>
      <c r="M182" s="5" t="e">
        <f t="shared" si="51"/>
        <v>#REF!</v>
      </c>
      <c r="N182" s="5" t="e">
        <f t="shared" si="51"/>
        <v>#REF!</v>
      </c>
      <c r="O182" s="5" t="e">
        <f t="shared" si="51"/>
        <v>#REF!</v>
      </c>
      <c r="P182" s="5" t="e">
        <f t="shared" si="51"/>
        <v>#REF!</v>
      </c>
      <c r="Q182" s="5" t="e">
        <f t="shared" si="50"/>
        <v>#REF!</v>
      </c>
      <c r="R182" s="5" t="e">
        <f t="shared" si="50"/>
        <v>#REF!</v>
      </c>
      <c r="S182" s="5" t="e">
        <f t="shared" si="50"/>
        <v>#REF!</v>
      </c>
    </row>
    <row r="183" spans="1:19" x14ac:dyDescent="0.25">
      <c r="A183" s="31" t="e">
        <f>#REF!</f>
        <v>#REF!</v>
      </c>
      <c r="B183" s="31"/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51"/>
        <v>#REF!</v>
      </c>
      <c r="J183" s="5" t="e">
        <f t="shared" si="51"/>
        <v>#REF!</v>
      </c>
      <c r="K183" s="5" t="e">
        <f t="shared" si="51"/>
        <v>#REF!</v>
      </c>
      <c r="L183" s="5" t="e">
        <f t="shared" si="51"/>
        <v>#REF!</v>
      </c>
      <c r="M183" s="5" t="e">
        <f t="shared" si="51"/>
        <v>#REF!</v>
      </c>
      <c r="N183" s="5" t="e">
        <f t="shared" si="51"/>
        <v>#REF!</v>
      </c>
      <c r="O183" s="5" t="e">
        <f t="shared" si="51"/>
        <v>#REF!</v>
      </c>
      <c r="P183" s="5" t="e">
        <f t="shared" si="51"/>
        <v>#REF!</v>
      </c>
      <c r="Q183" s="5" t="e">
        <f t="shared" si="50"/>
        <v>#REF!</v>
      </c>
      <c r="R183" s="5" t="e">
        <f t="shared" si="50"/>
        <v>#REF!</v>
      </c>
      <c r="S183" s="5" t="e">
        <f t="shared" si="50"/>
        <v>#REF!</v>
      </c>
    </row>
    <row r="184" spans="1:19" x14ac:dyDescent="0.25">
      <c r="A184" s="31" t="e">
        <f>#REF!</f>
        <v>#REF!</v>
      </c>
      <c r="B184" s="31"/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51"/>
        <v>#REF!</v>
      </c>
      <c r="J184" s="5" t="e">
        <f t="shared" si="51"/>
        <v>#REF!</v>
      </c>
      <c r="K184" s="5" t="e">
        <f t="shared" si="51"/>
        <v>#REF!</v>
      </c>
      <c r="L184" s="5" t="e">
        <f t="shared" si="51"/>
        <v>#REF!</v>
      </c>
      <c r="M184" s="5" t="e">
        <f t="shared" si="51"/>
        <v>#REF!</v>
      </c>
      <c r="N184" s="5" t="e">
        <f t="shared" si="51"/>
        <v>#REF!</v>
      </c>
      <c r="O184" s="5" t="e">
        <f t="shared" si="51"/>
        <v>#REF!</v>
      </c>
      <c r="P184" s="5" t="e">
        <f t="shared" si="51"/>
        <v>#REF!</v>
      </c>
      <c r="Q184" s="5" t="e">
        <f t="shared" si="50"/>
        <v>#REF!</v>
      </c>
      <c r="R184" s="5" t="e">
        <f t="shared" si="50"/>
        <v>#REF!</v>
      </c>
      <c r="S184" s="5" t="e">
        <f t="shared" si="50"/>
        <v>#REF!</v>
      </c>
    </row>
    <row r="185" spans="1:19" x14ac:dyDescent="0.25">
      <c r="A185" s="31" t="e">
        <f>#REF!</f>
        <v>#REF!</v>
      </c>
      <c r="B185" s="31"/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51"/>
        <v>#REF!</v>
      </c>
      <c r="J185" s="5" t="e">
        <f t="shared" si="51"/>
        <v>#REF!</v>
      </c>
      <c r="K185" s="5" t="e">
        <f t="shared" si="51"/>
        <v>#REF!</v>
      </c>
      <c r="L185" s="5" t="e">
        <f t="shared" si="51"/>
        <v>#REF!</v>
      </c>
      <c r="M185" s="5" t="e">
        <f t="shared" si="51"/>
        <v>#REF!</v>
      </c>
      <c r="N185" s="5" t="e">
        <f t="shared" si="51"/>
        <v>#REF!</v>
      </c>
      <c r="O185" s="5" t="e">
        <f t="shared" si="51"/>
        <v>#REF!</v>
      </c>
      <c r="P185" s="5" t="e">
        <f t="shared" si="51"/>
        <v>#REF!</v>
      </c>
      <c r="Q185" s="5" t="e">
        <f t="shared" si="50"/>
        <v>#REF!</v>
      </c>
      <c r="R185" s="5" t="e">
        <f t="shared" si="50"/>
        <v>#REF!</v>
      </c>
      <c r="S185" s="5" t="e">
        <f t="shared" si="50"/>
        <v>#REF!</v>
      </c>
    </row>
    <row r="186" spans="1:19" x14ac:dyDescent="0.25">
      <c r="A186" s="31" t="e">
        <f>#REF!</f>
        <v>#REF!</v>
      </c>
      <c r="B186" s="31"/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51"/>
        <v>#REF!</v>
      </c>
      <c r="J186" s="5" t="e">
        <f t="shared" si="51"/>
        <v>#REF!</v>
      </c>
      <c r="K186" s="5" t="e">
        <f t="shared" si="51"/>
        <v>#REF!</v>
      </c>
      <c r="L186" s="5" t="e">
        <f t="shared" si="51"/>
        <v>#REF!</v>
      </c>
      <c r="M186" s="5" t="e">
        <f t="shared" si="51"/>
        <v>#REF!</v>
      </c>
      <c r="N186" s="5" t="e">
        <f t="shared" si="51"/>
        <v>#REF!</v>
      </c>
      <c r="O186" s="5" t="e">
        <f t="shared" si="51"/>
        <v>#REF!</v>
      </c>
      <c r="P186" s="5" t="e">
        <f t="shared" si="51"/>
        <v>#REF!</v>
      </c>
      <c r="Q186" s="5" t="e">
        <f t="shared" si="50"/>
        <v>#REF!</v>
      </c>
      <c r="R186" s="5" t="e">
        <f t="shared" si="50"/>
        <v>#REF!</v>
      </c>
      <c r="S186" s="5" t="e">
        <f t="shared" si="50"/>
        <v>#REF!</v>
      </c>
    </row>
    <row r="187" spans="1:19" x14ac:dyDescent="0.25">
      <c r="A187" s="31" t="e">
        <f>#REF!</f>
        <v>#REF!</v>
      </c>
      <c r="B187" s="31"/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51"/>
        <v>#REF!</v>
      </c>
      <c r="J187" s="5" t="e">
        <f t="shared" si="51"/>
        <v>#REF!</v>
      </c>
      <c r="K187" s="5" t="e">
        <f t="shared" si="51"/>
        <v>#REF!</v>
      </c>
      <c r="L187" s="5" t="e">
        <f t="shared" si="51"/>
        <v>#REF!</v>
      </c>
      <c r="M187" s="5" t="e">
        <f t="shared" si="51"/>
        <v>#REF!</v>
      </c>
      <c r="N187" s="5" t="e">
        <f t="shared" si="51"/>
        <v>#REF!</v>
      </c>
      <c r="O187" s="5" t="e">
        <f t="shared" si="51"/>
        <v>#REF!</v>
      </c>
      <c r="P187" s="5" t="e">
        <f t="shared" si="51"/>
        <v>#REF!</v>
      </c>
      <c r="Q187" s="5" t="e">
        <f t="shared" si="50"/>
        <v>#REF!</v>
      </c>
      <c r="R187" s="5" t="e">
        <f t="shared" si="50"/>
        <v>#REF!</v>
      </c>
      <c r="S187" s="5" t="e">
        <f t="shared" si="50"/>
        <v>#REF!</v>
      </c>
    </row>
    <row r="188" spans="1:19" x14ac:dyDescent="0.25">
      <c r="A188" s="31" t="e">
        <f>#REF!</f>
        <v>#REF!</v>
      </c>
      <c r="B188" s="31"/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51"/>
        <v>#REF!</v>
      </c>
      <c r="J188" s="5" t="e">
        <f t="shared" si="51"/>
        <v>#REF!</v>
      </c>
      <c r="K188" s="5" t="e">
        <f t="shared" si="51"/>
        <v>#REF!</v>
      </c>
      <c r="L188" s="5" t="e">
        <f t="shared" si="51"/>
        <v>#REF!</v>
      </c>
      <c r="M188" s="5" t="e">
        <f t="shared" si="51"/>
        <v>#REF!</v>
      </c>
      <c r="N188" s="5" t="e">
        <f t="shared" si="51"/>
        <v>#REF!</v>
      </c>
      <c r="O188" s="5" t="e">
        <f t="shared" si="51"/>
        <v>#REF!</v>
      </c>
      <c r="P188" s="5" t="e">
        <f t="shared" si="51"/>
        <v>#REF!</v>
      </c>
      <c r="Q188" s="5" t="e">
        <f t="shared" si="50"/>
        <v>#REF!</v>
      </c>
      <c r="R188" s="5" t="e">
        <f t="shared" si="50"/>
        <v>#REF!</v>
      </c>
      <c r="S188" s="5" t="e">
        <f t="shared" si="50"/>
        <v>#REF!</v>
      </c>
    </row>
    <row r="189" spans="1:19" x14ac:dyDescent="0.25">
      <c r="A189" s="31" t="e">
        <f>#REF!</f>
        <v>#REF!</v>
      </c>
      <c r="B189" s="31"/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51"/>
        <v>#REF!</v>
      </c>
      <c r="J189" s="5" t="e">
        <f t="shared" si="51"/>
        <v>#REF!</v>
      </c>
      <c r="K189" s="5" t="e">
        <f t="shared" si="51"/>
        <v>#REF!</v>
      </c>
      <c r="L189" s="5" t="e">
        <f t="shared" si="51"/>
        <v>#REF!</v>
      </c>
      <c r="M189" s="5" t="e">
        <f t="shared" si="51"/>
        <v>#REF!</v>
      </c>
      <c r="N189" s="5" t="e">
        <f t="shared" si="51"/>
        <v>#REF!</v>
      </c>
      <c r="O189" s="5" t="e">
        <f t="shared" si="51"/>
        <v>#REF!</v>
      </c>
      <c r="P189" s="5" t="e">
        <f t="shared" si="51"/>
        <v>#REF!</v>
      </c>
      <c r="Q189" s="5" t="e">
        <f t="shared" si="50"/>
        <v>#REF!</v>
      </c>
      <c r="R189" s="5" t="e">
        <f t="shared" si="50"/>
        <v>#REF!</v>
      </c>
      <c r="S189" s="5" t="e">
        <f t="shared" si="50"/>
        <v>#REF!</v>
      </c>
    </row>
    <row r="190" spans="1:19" x14ac:dyDescent="0.25">
      <c r="A190" s="31" t="e">
        <f>#REF!</f>
        <v>#REF!</v>
      </c>
      <c r="B190" s="31"/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51"/>
        <v>#REF!</v>
      </c>
      <c r="J190" s="5" t="e">
        <f t="shared" si="51"/>
        <v>#REF!</v>
      </c>
      <c r="K190" s="5" t="e">
        <f t="shared" si="51"/>
        <v>#REF!</v>
      </c>
      <c r="L190" s="5" t="e">
        <f t="shared" si="51"/>
        <v>#REF!</v>
      </c>
      <c r="M190" s="5" t="e">
        <f t="shared" si="51"/>
        <v>#REF!</v>
      </c>
      <c r="N190" s="5" t="e">
        <f t="shared" si="51"/>
        <v>#REF!</v>
      </c>
      <c r="O190" s="5" t="e">
        <f t="shared" si="51"/>
        <v>#REF!</v>
      </c>
      <c r="P190" s="5" t="e">
        <f t="shared" si="51"/>
        <v>#REF!</v>
      </c>
      <c r="Q190" s="5" t="e">
        <f t="shared" si="50"/>
        <v>#REF!</v>
      </c>
      <c r="R190" s="5" t="e">
        <f t="shared" si="50"/>
        <v>#REF!</v>
      </c>
      <c r="S190" s="5" t="e">
        <f t="shared" si="50"/>
        <v>#REF!</v>
      </c>
    </row>
    <row r="191" spans="1:19" x14ac:dyDescent="0.25">
      <c r="A191" s="31" t="e">
        <f>#REF!</f>
        <v>#REF!</v>
      </c>
      <c r="B191" s="31"/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51"/>
        <v>#REF!</v>
      </c>
      <c r="J191" s="5" t="e">
        <f t="shared" si="51"/>
        <v>#REF!</v>
      </c>
      <c r="K191" s="5" t="e">
        <f t="shared" si="51"/>
        <v>#REF!</v>
      </c>
      <c r="L191" s="5" t="e">
        <f t="shared" si="51"/>
        <v>#REF!</v>
      </c>
      <c r="M191" s="5" t="e">
        <f t="shared" si="51"/>
        <v>#REF!</v>
      </c>
      <c r="N191" s="5" t="e">
        <f t="shared" si="51"/>
        <v>#REF!</v>
      </c>
      <c r="O191" s="5" t="e">
        <f t="shared" si="51"/>
        <v>#REF!</v>
      </c>
      <c r="P191" s="5" t="e">
        <f t="shared" si="51"/>
        <v>#REF!</v>
      </c>
      <c r="Q191" s="5" t="e">
        <f t="shared" si="50"/>
        <v>#REF!</v>
      </c>
      <c r="R191" s="5" t="e">
        <f t="shared" si="50"/>
        <v>#REF!</v>
      </c>
      <c r="S191" s="5" t="e">
        <f t="shared" si="50"/>
        <v>#REF!</v>
      </c>
    </row>
    <row r="192" spans="1:19" x14ac:dyDescent="0.25">
      <c r="A192" s="31" t="e">
        <f>#REF!</f>
        <v>#REF!</v>
      </c>
      <c r="B192" s="31"/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51"/>
        <v>#REF!</v>
      </c>
      <c r="J192" s="5" t="e">
        <f t="shared" si="51"/>
        <v>#REF!</v>
      </c>
      <c r="K192" s="5" t="e">
        <f t="shared" si="51"/>
        <v>#REF!</v>
      </c>
      <c r="L192" s="5" t="e">
        <f t="shared" si="51"/>
        <v>#REF!</v>
      </c>
      <c r="M192" s="5" t="e">
        <f t="shared" si="51"/>
        <v>#REF!</v>
      </c>
      <c r="N192" s="5" t="e">
        <f t="shared" si="51"/>
        <v>#REF!</v>
      </c>
      <c r="O192" s="5" t="e">
        <f t="shared" si="51"/>
        <v>#REF!</v>
      </c>
      <c r="P192" s="5" t="e">
        <f t="shared" si="51"/>
        <v>#REF!</v>
      </c>
      <c r="Q192" s="5" t="e">
        <f t="shared" si="50"/>
        <v>#REF!</v>
      </c>
      <c r="R192" s="5" t="e">
        <f t="shared" si="50"/>
        <v>#REF!</v>
      </c>
      <c r="S192" s="5" t="e">
        <f t="shared" si="50"/>
        <v>#REF!</v>
      </c>
    </row>
    <row r="193" spans="1:19" x14ac:dyDescent="0.25">
      <c r="A193" s="31" t="e">
        <f>#REF!</f>
        <v>#REF!</v>
      </c>
      <c r="B193" s="31"/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51"/>
        <v>#REF!</v>
      </c>
      <c r="J193" s="5" t="e">
        <f t="shared" si="51"/>
        <v>#REF!</v>
      </c>
      <c r="K193" s="5" t="e">
        <f t="shared" si="51"/>
        <v>#REF!</v>
      </c>
      <c r="L193" s="5" t="e">
        <f t="shared" si="51"/>
        <v>#REF!</v>
      </c>
      <c r="M193" s="5" t="e">
        <f t="shared" si="51"/>
        <v>#REF!</v>
      </c>
      <c r="N193" s="5" t="e">
        <f t="shared" si="51"/>
        <v>#REF!</v>
      </c>
      <c r="O193" s="5" t="e">
        <f t="shared" si="51"/>
        <v>#REF!</v>
      </c>
      <c r="P193" s="5" t="e">
        <f t="shared" si="51"/>
        <v>#REF!</v>
      </c>
      <c r="Q193" s="5" t="e">
        <f t="shared" si="50"/>
        <v>#REF!</v>
      </c>
      <c r="R193" s="5" t="e">
        <f t="shared" si="50"/>
        <v>#REF!</v>
      </c>
      <c r="S193" s="5" t="e">
        <f t="shared" si="50"/>
        <v>#REF!</v>
      </c>
    </row>
    <row r="194" spans="1:19" x14ac:dyDescent="0.25">
      <c r="A194" s="31" t="e">
        <f>#REF!</f>
        <v>#REF!</v>
      </c>
      <c r="B194" s="31"/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51"/>
        <v>#REF!</v>
      </c>
      <c r="J194" s="5" t="e">
        <f t="shared" si="51"/>
        <v>#REF!</v>
      </c>
      <c r="K194" s="5" t="e">
        <f t="shared" si="51"/>
        <v>#REF!</v>
      </c>
      <c r="L194" s="5" t="e">
        <f t="shared" si="51"/>
        <v>#REF!</v>
      </c>
      <c r="M194" s="5" t="e">
        <f t="shared" si="51"/>
        <v>#REF!</v>
      </c>
      <c r="N194" s="5" t="e">
        <f t="shared" si="51"/>
        <v>#REF!</v>
      </c>
      <c r="O194" s="5" t="e">
        <f t="shared" si="51"/>
        <v>#REF!</v>
      </c>
      <c r="P194" s="5" t="e">
        <f t="shared" si="51"/>
        <v>#REF!</v>
      </c>
      <c r="Q194" s="5" t="e">
        <f t="shared" ref="Q194:S205" si="52">P194</f>
        <v>#REF!</v>
      </c>
      <c r="R194" s="5" t="e">
        <f t="shared" si="52"/>
        <v>#REF!</v>
      </c>
      <c r="S194" s="5" t="e">
        <f t="shared" si="52"/>
        <v>#REF!</v>
      </c>
    </row>
    <row r="195" spans="1:19" x14ac:dyDescent="0.25">
      <c r="A195" s="31" t="e">
        <f>#REF!</f>
        <v>#REF!</v>
      </c>
      <c r="B195" s="31"/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si="51"/>
        <v>#REF!</v>
      </c>
      <c r="J195" s="5" t="e">
        <f t="shared" si="51"/>
        <v>#REF!</v>
      </c>
      <c r="K195" s="5" t="e">
        <f t="shared" si="51"/>
        <v>#REF!</v>
      </c>
      <c r="L195" s="5" t="e">
        <f t="shared" si="51"/>
        <v>#REF!</v>
      </c>
      <c r="M195" s="5" t="e">
        <f t="shared" si="51"/>
        <v>#REF!</v>
      </c>
      <c r="N195" s="5" t="e">
        <f t="shared" si="51"/>
        <v>#REF!</v>
      </c>
      <c r="O195" s="5" t="e">
        <f t="shared" si="51"/>
        <v>#REF!</v>
      </c>
      <c r="P195" s="5" t="e">
        <f t="shared" si="51"/>
        <v>#REF!</v>
      </c>
      <c r="Q195" s="5" t="e">
        <f t="shared" si="52"/>
        <v>#REF!</v>
      </c>
      <c r="R195" s="5" t="e">
        <f t="shared" si="52"/>
        <v>#REF!</v>
      </c>
      <c r="S195" s="5" t="e">
        <f t="shared" si="52"/>
        <v>#REF!</v>
      </c>
    </row>
    <row r="196" spans="1:19" x14ac:dyDescent="0.25">
      <c r="A196" s="31" t="e">
        <f>#REF!</f>
        <v>#REF!</v>
      </c>
      <c r="B196" s="31"/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51"/>
        <v>#REF!</v>
      </c>
      <c r="J196" s="5" t="e">
        <f t="shared" si="51"/>
        <v>#REF!</v>
      </c>
      <c r="K196" s="5" t="e">
        <f t="shared" si="51"/>
        <v>#REF!</v>
      </c>
      <c r="L196" s="5" t="e">
        <f t="shared" si="51"/>
        <v>#REF!</v>
      </c>
      <c r="M196" s="5" t="e">
        <f t="shared" si="51"/>
        <v>#REF!</v>
      </c>
      <c r="N196" s="5" t="e">
        <f t="shared" si="51"/>
        <v>#REF!</v>
      </c>
      <c r="O196" s="5" t="e">
        <f t="shared" si="51"/>
        <v>#REF!</v>
      </c>
      <c r="P196" s="5" t="e">
        <f t="shared" si="51"/>
        <v>#REF!</v>
      </c>
      <c r="Q196" s="5" t="e">
        <f t="shared" si="52"/>
        <v>#REF!</v>
      </c>
      <c r="R196" s="5" t="e">
        <f t="shared" si="52"/>
        <v>#REF!</v>
      </c>
      <c r="S196" s="5" t="e">
        <f t="shared" si="52"/>
        <v>#REF!</v>
      </c>
    </row>
    <row r="197" spans="1:19" x14ac:dyDescent="0.25">
      <c r="A197" s="31" t="e">
        <f>#REF!</f>
        <v>#REF!</v>
      </c>
      <c r="B197" s="31"/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51"/>
        <v>#REF!</v>
      </c>
      <c r="J197" s="5" t="e">
        <f t="shared" si="51"/>
        <v>#REF!</v>
      </c>
      <c r="K197" s="5" t="e">
        <f t="shared" si="51"/>
        <v>#REF!</v>
      </c>
      <c r="L197" s="5" t="e">
        <f t="shared" si="51"/>
        <v>#REF!</v>
      </c>
      <c r="M197" s="5" t="e">
        <f t="shared" si="51"/>
        <v>#REF!</v>
      </c>
      <c r="N197" s="5" t="e">
        <f t="shared" si="51"/>
        <v>#REF!</v>
      </c>
      <c r="O197" s="5" t="e">
        <f t="shared" si="51"/>
        <v>#REF!</v>
      </c>
      <c r="P197" s="5" t="e">
        <f t="shared" si="51"/>
        <v>#REF!</v>
      </c>
      <c r="Q197" s="5" t="e">
        <f t="shared" si="52"/>
        <v>#REF!</v>
      </c>
      <c r="R197" s="5" t="e">
        <f t="shared" si="52"/>
        <v>#REF!</v>
      </c>
      <c r="S197" s="5" t="e">
        <f t="shared" si="52"/>
        <v>#REF!</v>
      </c>
    </row>
    <row r="198" spans="1:19" x14ac:dyDescent="0.25">
      <c r="A198" s="31" t="e">
        <f>#REF!</f>
        <v>#REF!</v>
      </c>
      <c r="B198" s="31"/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51"/>
        <v>#REF!</v>
      </c>
      <c r="J198" s="5" t="e">
        <f t="shared" si="51"/>
        <v>#REF!</v>
      </c>
      <c r="K198" s="5" t="e">
        <f t="shared" si="51"/>
        <v>#REF!</v>
      </c>
      <c r="L198" s="5" t="e">
        <f t="shared" si="51"/>
        <v>#REF!</v>
      </c>
      <c r="M198" s="5" t="e">
        <f t="shared" si="51"/>
        <v>#REF!</v>
      </c>
      <c r="N198" s="5" t="e">
        <f t="shared" si="51"/>
        <v>#REF!</v>
      </c>
      <c r="O198" s="5" t="e">
        <f t="shared" si="51"/>
        <v>#REF!</v>
      </c>
      <c r="P198" s="5" t="e">
        <f t="shared" si="51"/>
        <v>#REF!</v>
      </c>
      <c r="Q198" s="5" t="e">
        <f t="shared" si="52"/>
        <v>#REF!</v>
      </c>
      <c r="R198" s="5" t="e">
        <f t="shared" si="52"/>
        <v>#REF!</v>
      </c>
      <c r="S198" s="5" t="e">
        <f t="shared" si="52"/>
        <v>#REF!</v>
      </c>
    </row>
    <row r="199" spans="1:19" x14ac:dyDescent="0.25">
      <c r="A199" s="31" t="e">
        <f>#REF!</f>
        <v>#REF!</v>
      </c>
      <c r="B199" s="31"/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51"/>
        <v>#REF!</v>
      </c>
      <c r="J199" s="5" t="e">
        <f t="shared" si="51"/>
        <v>#REF!</v>
      </c>
      <c r="K199" s="5" t="e">
        <f t="shared" si="51"/>
        <v>#REF!</v>
      </c>
      <c r="L199" s="5" t="e">
        <f t="shared" si="51"/>
        <v>#REF!</v>
      </c>
      <c r="M199" s="5" t="e">
        <f t="shared" si="51"/>
        <v>#REF!</v>
      </c>
      <c r="N199" s="5" t="e">
        <f t="shared" si="51"/>
        <v>#REF!</v>
      </c>
      <c r="O199" s="5" t="e">
        <f t="shared" si="51"/>
        <v>#REF!</v>
      </c>
      <c r="P199" s="5" t="e">
        <f t="shared" si="51"/>
        <v>#REF!</v>
      </c>
      <c r="Q199" s="5" t="e">
        <f t="shared" si="52"/>
        <v>#REF!</v>
      </c>
      <c r="R199" s="5" t="e">
        <f t="shared" si="52"/>
        <v>#REF!</v>
      </c>
      <c r="S199" s="5" t="e">
        <f t="shared" si="52"/>
        <v>#REF!</v>
      </c>
    </row>
    <row r="200" spans="1:19" x14ac:dyDescent="0.25">
      <c r="A200" s="31" t="e">
        <f>#REF!</f>
        <v>#REF!</v>
      </c>
      <c r="B200" s="31"/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51"/>
        <v>#REF!</v>
      </c>
      <c r="J200" s="5" t="e">
        <f t="shared" si="51"/>
        <v>#REF!</v>
      </c>
      <c r="K200" s="5" t="e">
        <f t="shared" si="51"/>
        <v>#REF!</v>
      </c>
      <c r="L200" s="5" t="e">
        <f t="shared" si="51"/>
        <v>#REF!</v>
      </c>
      <c r="M200" s="5" t="e">
        <f t="shared" si="51"/>
        <v>#REF!</v>
      </c>
      <c r="N200" s="5" t="e">
        <f t="shared" si="51"/>
        <v>#REF!</v>
      </c>
      <c r="O200" s="5" t="e">
        <f t="shared" si="51"/>
        <v>#REF!</v>
      </c>
      <c r="P200" s="5" t="e">
        <f t="shared" si="51"/>
        <v>#REF!</v>
      </c>
      <c r="Q200" s="5" t="e">
        <f t="shared" si="52"/>
        <v>#REF!</v>
      </c>
      <c r="R200" s="5" t="e">
        <f t="shared" si="52"/>
        <v>#REF!</v>
      </c>
      <c r="S200" s="5" t="e">
        <f t="shared" si="52"/>
        <v>#REF!</v>
      </c>
    </row>
    <row r="201" spans="1:19" x14ac:dyDescent="0.25">
      <c r="A201" s="31" t="e">
        <f>#REF!</f>
        <v>#REF!</v>
      </c>
      <c r="B201" s="31"/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51"/>
        <v>#REF!</v>
      </c>
      <c r="J201" s="5" t="e">
        <f t="shared" si="51"/>
        <v>#REF!</v>
      </c>
      <c r="K201" s="5" t="e">
        <f t="shared" si="51"/>
        <v>#REF!</v>
      </c>
      <c r="L201" s="5" t="e">
        <f t="shared" si="51"/>
        <v>#REF!</v>
      </c>
      <c r="M201" s="5" t="e">
        <f t="shared" si="51"/>
        <v>#REF!</v>
      </c>
      <c r="N201" s="5" t="e">
        <f t="shared" si="51"/>
        <v>#REF!</v>
      </c>
      <c r="O201" s="5" t="e">
        <f t="shared" si="51"/>
        <v>#REF!</v>
      </c>
      <c r="P201" s="5" t="e">
        <f t="shared" si="51"/>
        <v>#REF!</v>
      </c>
      <c r="Q201" s="5" t="e">
        <f t="shared" si="52"/>
        <v>#REF!</v>
      </c>
      <c r="R201" s="5" t="e">
        <f t="shared" si="52"/>
        <v>#REF!</v>
      </c>
      <c r="S201" s="5" t="e">
        <f t="shared" si="52"/>
        <v>#REF!</v>
      </c>
    </row>
    <row r="202" spans="1:19" x14ac:dyDescent="0.25">
      <c r="A202" s="31" t="e">
        <f>#REF!</f>
        <v>#REF!</v>
      </c>
      <c r="B202" s="31"/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51"/>
        <v>#REF!</v>
      </c>
      <c r="J202" s="5" t="e">
        <f t="shared" si="51"/>
        <v>#REF!</v>
      </c>
      <c r="K202" s="5" t="e">
        <f t="shared" si="51"/>
        <v>#REF!</v>
      </c>
      <c r="L202" s="5" t="e">
        <f t="shared" si="51"/>
        <v>#REF!</v>
      </c>
      <c r="M202" s="5" t="e">
        <f t="shared" si="51"/>
        <v>#REF!</v>
      </c>
      <c r="N202" s="5" t="e">
        <f t="shared" si="51"/>
        <v>#REF!</v>
      </c>
      <c r="O202" s="5" t="e">
        <f t="shared" si="51"/>
        <v>#REF!</v>
      </c>
      <c r="P202" s="5" t="e">
        <f t="shared" si="51"/>
        <v>#REF!</v>
      </c>
      <c r="Q202" s="5" t="e">
        <f t="shared" si="52"/>
        <v>#REF!</v>
      </c>
      <c r="R202" s="5" t="e">
        <f t="shared" si="52"/>
        <v>#REF!</v>
      </c>
      <c r="S202" s="5" t="e">
        <f t="shared" si="52"/>
        <v>#REF!</v>
      </c>
    </row>
    <row r="203" spans="1:19" x14ac:dyDescent="0.25">
      <c r="A203" s="31" t="e">
        <f>#REF!</f>
        <v>#REF!</v>
      </c>
      <c r="B203" s="31"/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51"/>
        <v>#REF!</v>
      </c>
      <c r="J203" s="5" t="e">
        <f t="shared" si="51"/>
        <v>#REF!</v>
      </c>
      <c r="K203" s="5" t="e">
        <f t="shared" si="51"/>
        <v>#REF!</v>
      </c>
      <c r="L203" s="5" t="e">
        <f t="shared" si="51"/>
        <v>#REF!</v>
      </c>
      <c r="M203" s="5" t="e">
        <f t="shared" si="51"/>
        <v>#REF!</v>
      </c>
      <c r="N203" s="5" t="e">
        <f t="shared" si="51"/>
        <v>#REF!</v>
      </c>
      <c r="O203" s="5" t="e">
        <f t="shared" si="51"/>
        <v>#REF!</v>
      </c>
      <c r="P203" s="5" t="e">
        <f t="shared" si="51"/>
        <v>#REF!</v>
      </c>
      <c r="Q203" s="5" t="e">
        <f t="shared" si="52"/>
        <v>#REF!</v>
      </c>
      <c r="R203" s="5" t="e">
        <f t="shared" si="52"/>
        <v>#REF!</v>
      </c>
      <c r="S203" s="5" t="e">
        <f t="shared" si="52"/>
        <v>#REF!</v>
      </c>
    </row>
    <row r="204" spans="1:19" x14ac:dyDescent="0.25">
      <c r="A204" s="31" t="e">
        <f>#REF!</f>
        <v>#REF!</v>
      </c>
      <c r="B204" s="31"/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51"/>
        <v>#REF!</v>
      </c>
      <c r="J204" s="5" t="e">
        <f t="shared" si="51"/>
        <v>#REF!</v>
      </c>
      <c r="K204" s="5" t="e">
        <f t="shared" si="51"/>
        <v>#REF!</v>
      </c>
      <c r="L204" s="5" t="e">
        <f t="shared" si="51"/>
        <v>#REF!</v>
      </c>
      <c r="M204" s="5" t="e">
        <f t="shared" si="51"/>
        <v>#REF!</v>
      </c>
      <c r="N204" s="5" t="e">
        <f t="shared" si="51"/>
        <v>#REF!</v>
      </c>
      <c r="O204" s="5" t="e">
        <f t="shared" si="51"/>
        <v>#REF!</v>
      </c>
      <c r="P204" s="5" t="e">
        <f t="shared" si="51"/>
        <v>#REF!</v>
      </c>
      <c r="Q204" s="5" t="e">
        <f t="shared" si="52"/>
        <v>#REF!</v>
      </c>
      <c r="R204" s="5" t="e">
        <f t="shared" si="52"/>
        <v>#REF!</v>
      </c>
      <c r="S204" s="5" t="e">
        <f t="shared" si="52"/>
        <v>#REF!</v>
      </c>
    </row>
    <row r="205" spans="1:19" x14ac:dyDescent="0.25">
      <c r="A205" s="31" t="e">
        <f>#REF!</f>
        <v>#REF!</v>
      </c>
      <c r="B205" s="31"/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51"/>
        <v>#REF!</v>
      </c>
      <c r="J205" s="5" t="e">
        <f t="shared" si="51"/>
        <v>#REF!</v>
      </c>
      <c r="K205" s="5" t="e">
        <f t="shared" si="51"/>
        <v>#REF!</v>
      </c>
      <c r="L205" s="5" t="e">
        <f t="shared" si="51"/>
        <v>#REF!</v>
      </c>
      <c r="M205" s="5" t="e">
        <f t="shared" si="51"/>
        <v>#REF!</v>
      </c>
      <c r="N205" s="5" t="e">
        <f t="shared" si="51"/>
        <v>#REF!</v>
      </c>
      <c r="O205" s="5" t="e">
        <f t="shared" si="51"/>
        <v>#REF!</v>
      </c>
      <c r="P205" s="5" t="e">
        <f t="shared" si="51"/>
        <v>#REF!</v>
      </c>
      <c r="Q205" s="5" t="e">
        <f t="shared" si="52"/>
        <v>#REF!</v>
      </c>
      <c r="R205" s="5" t="e">
        <f t="shared" si="52"/>
        <v>#REF!</v>
      </c>
      <c r="S205" s="5" t="e">
        <f t="shared" si="52"/>
        <v>#REF!</v>
      </c>
    </row>
    <row r="206" spans="1:19" x14ac:dyDescent="0.25">
      <c r="A206" s="31" t="e">
        <f>#REF!</f>
        <v>#REF!</v>
      </c>
      <c r="B206" s="31"/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51"/>
        <v>#REF!</v>
      </c>
      <c r="J206" s="5" t="e">
        <f t="shared" si="51"/>
        <v>#REF!</v>
      </c>
      <c r="K206" s="5" t="e">
        <f t="shared" si="51"/>
        <v>#REF!</v>
      </c>
      <c r="L206" s="5" t="e">
        <f t="shared" ref="J206:P221" si="53">K206</f>
        <v>#REF!</v>
      </c>
      <c r="M206" s="5" t="e">
        <f t="shared" si="53"/>
        <v>#REF!</v>
      </c>
      <c r="N206" s="5" t="e">
        <f t="shared" si="53"/>
        <v>#REF!</v>
      </c>
      <c r="O206" s="5" t="e">
        <f t="shared" si="53"/>
        <v>#REF!</v>
      </c>
      <c r="P206" s="5" t="e">
        <f t="shared" si="53"/>
        <v>#REF!</v>
      </c>
      <c r="Q206" s="5" t="e">
        <f t="shared" ref="Q206:S206" si="54">P206</f>
        <v>#REF!</v>
      </c>
      <c r="R206" s="5" t="e">
        <f t="shared" si="54"/>
        <v>#REF!</v>
      </c>
      <c r="S206" s="5" t="e">
        <f t="shared" si="54"/>
        <v>#REF!</v>
      </c>
    </row>
    <row r="207" spans="1:19" x14ac:dyDescent="0.25">
      <c r="A207" s="31" t="e">
        <f>#REF!</f>
        <v>#REF!</v>
      </c>
      <c r="B207" s="31"/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51"/>
        <v>#REF!</v>
      </c>
      <c r="J207" s="5" t="e">
        <f t="shared" si="53"/>
        <v>#REF!</v>
      </c>
      <c r="K207" s="5" t="e">
        <f t="shared" si="53"/>
        <v>#REF!</v>
      </c>
      <c r="L207" s="5" t="e">
        <f t="shared" si="53"/>
        <v>#REF!</v>
      </c>
      <c r="M207" s="5" t="e">
        <f t="shared" si="53"/>
        <v>#REF!</v>
      </c>
      <c r="N207" s="5" t="e">
        <f t="shared" si="53"/>
        <v>#REF!</v>
      </c>
      <c r="O207" s="5" t="e">
        <f t="shared" si="53"/>
        <v>#REF!</v>
      </c>
      <c r="P207" s="5" t="e">
        <f t="shared" si="53"/>
        <v>#REF!</v>
      </c>
      <c r="Q207" s="5" t="e">
        <f t="shared" ref="Q207:S207" si="55">P207</f>
        <v>#REF!</v>
      </c>
      <c r="R207" s="5" t="e">
        <f t="shared" si="55"/>
        <v>#REF!</v>
      </c>
      <c r="S207" s="5" t="e">
        <f t="shared" si="55"/>
        <v>#REF!</v>
      </c>
    </row>
    <row r="208" spans="1:19" x14ac:dyDescent="0.25">
      <c r="A208" s="31" t="e">
        <f>#REF!</f>
        <v>#REF!</v>
      </c>
      <c r="B208" s="31"/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51"/>
        <v>#REF!</v>
      </c>
      <c r="J208" s="5" t="e">
        <f t="shared" si="53"/>
        <v>#REF!</v>
      </c>
      <c r="K208" s="5" t="e">
        <f t="shared" si="53"/>
        <v>#REF!</v>
      </c>
      <c r="L208" s="5" t="e">
        <f t="shared" si="53"/>
        <v>#REF!</v>
      </c>
      <c r="M208" s="5" t="e">
        <f t="shared" si="53"/>
        <v>#REF!</v>
      </c>
      <c r="N208" s="5" t="e">
        <f t="shared" si="53"/>
        <v>#REF!</v>
      </c>
      <c r="O208" s="5" t="e">
        <f t="shared" si="53"/>
        <v>#REF!</v>
      </c>
      <c r="P208" s="5" t="e">
        <f t="shared" si="53"/>
        <v>#REF!</v>
      </c>
      <c r="Q208" s="5" t="e">
        <f t="shared" ref="Q208:S208" si="56">P208</f>
        <v>#REF!</v>
      </c>
      <c r="R208" s="5" t="e">
        <f t="shared" si="56"/>
        <v>#REF!</v>
      </c>
      <c r="S208" s="5" t="e">
        <f t="shared" si="56"/>
        <v>#REF!</v>
      </c>
    </row>
    <row r="209" spans="1:19" x14ac:dyDescent="0.25">
      <c r="A209" s="31" t="e">
        <f>#REF!</f>
        <v>#REF!</v>
      </c>
      <c r="B209" s="31"/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51"/>
        <v>#REF!</v>
      </c>
      <c r="J209" s="5" t="e">
        <f t="shared" si="53"/>
        <v>#REF!</v>
      </c>
      <c r="K209" s="5" t="e">
        <f t="shared" si="53"/>
        <v>#REF!</v>
      </c>
      <c r="L209" s="5" t="e">
        <f t="shared" si="53"/>
        <v>#REF!</v>
      </c>
      <c r="M209" s="5" t="e">
        <f t="shared" si="53"/>
        <v>#REF!</v>
      </c>
      <c r="N209" s="5" t="e">
        <f t="shared" si="53"/>
        <v>#REF!</v>
      </c>
      <c r="O209" s="5" t="e">
        <f t="shared" si="53"/>
        <v>#REF!</v>
      </c>
      <c r="P209" s="5" t="e">
        <f t="shared" si="53"/>
        <v>#REF!</v>
      </c>
      <c r="Q209" s="5" t="e">
        <f t="shared" ref="Q209:S209" si="57">P209</f>
        <v>#REF!</v>
      </c>
      <c r="R209" s="5" t="e">
        <f t="shared" si="57"/>
        <v>#REF!</v>
      </c>
      <c r="S209" s="5" t="e">
        <f t="shared" si="57"/>
        <v>#REF!</v>
      </c>
    </row>
    <row r="210" spans="1:19" x14ac:dyDescent="0.25">
      <c r="A210" s="31" t="e">
        <f>#REF!</f>
        <v>#REF!</v>
      </c>
      <c r="B210" s="31"/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51"/>
        <v>#REF!</v>
      </c>
      <c r="J210" s="5" t="e">
        <f t="shared" si="53"/>
        <v>#REF!</v>
      </c>
      <c r="K210" s="5" t="e">
        <f t="shared" si="53"/>
        <v>#REF!</v>
      </c>
      <c r="L210" s="5" t="e">
        <f t="shared" si="53"/>
        <v>#REF!</v>
      </c>
      <c r="M210" s="5" t="e">
        <f t="shared" si="53"/>
        <v>#REF!</v>
      </c>
      <c r="N210" s="5" t="e">
        <f t="shared" si="53"/>
        <v>#REF!</v>
      </c>
      <c r="O210" s="5" t="e">
        <f t="shared" si="53"/>
        <v>#REF!</v>
      </c>
      <c r="P210" s="5" t="e">
        <f t="shared" si="53"/>
        <v>#REF!</v>
      </c>
      <c r="Q210" s="5" t="e">
        <f t="shared" ref="Q210:S210" si="58">P210</f>
        <v>#REF!</v>
      </c>
      <c r="R210" s="5" t="e">
        <f t="shared" si="58"/>
        <v>#REF!</v>
      </c>
      <c r="S210" s="5" t="e">
        <f t="shared" si="58"/>
        <v>#REF!</v>
      </c>
    </row>
    <row r="211" spans="1:19" x14ac:dyDescent="0.25">
      <c r="A211" s="31" t="e">
        <f>#REF!</f>
        <v>#REF!</v>
      </c>
      <c r="B211" s="31"/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si="51"/>
        <v>#REF!</v>
      </c>
      <c r="J211" s="5" t="e">
        <f t="shared" si="53"/>
        <v>#REF!</v>
      </c>
      <c r="K211" s="5" t="e">
        <f t="shared" si="53"/>
        <v>#REF!</v>
      </c>
      <c r="L211" s="5" t="e">
        <f t="shared" si="53"/>
        <v>#REF!</v>
      </c>
      <c r="M211" s="5" t="e">
        <f t="shared" si="53"/>
        <v>#REF!</v>
      </c>
      <c r="N211" s="5" t="e">
        <f t="shared" si="53"/>
        <v>#REF!</v>
      </c>
      <c r="O211" s="5" t="e">
        <f t="shared" si="53"/>
        <v>#REF!</v>
      </c>
      <c r="P211" s="5" t="e">
        <f t="shared" si="53"/>
        <v>#REF!</v>
      </c>
      <c r="Q211" s="5" t="e">
        <f t="shared" ref="Q211:S211" si="59">P211</f>
        <v>#REF!</v>
      </c>
      <c r="R211" s="5" t="e">
        <f t="shared" si="59"/>
        <v>#REF!</v>
      </c>
      <c r="S211" s="5" t="e">
        <f t="shared" si="59"/>
        <v>#REF!</v>
      </c>
    </row>
    <row r="212" spans="1:19" x14ac:dyDescent="0.25">
      <c r="A212" s="31" t="e">
        <f>#REF!</f>
        <v>#REF!</v>
      </c>
      <c r="B212" s="31"/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51"/>
        <v>#REF!</v>
      </c>
      <c r="J212" s="5" t="e">
        <f t="shared" si="53"/>
        <v>#REF!</v>
      </c>
      <c r="K212" s="5" t="e">
        <f t="shared" si="53"/>
        <v>#REF!</v>
      </c>
      <c r="L212" s="5" t="e">
        <f t="shared" si="53"/>
        <v>#REF!</v>
      </c>
      <c r="M212" s="5" t="e">
        <f t="shared" si="53"/>
        <v>#REF!</v>
      </c>
      <c r="N212" s="5" t="e">
        <f t="shared" si="53"/>
        <v>#REF!</v>
      </c>
      <c r="O212" s="5" t="e">
        <f t="shared" si="53"/>
        <v>#REF!</v>
      </c>
      <c r="P212" s="5" t="e">
        <f t="shared" si="53"/>
        <v>#REF!</v>
      </c>
      <c r="Q212" s="5" t="e">
        <f t="shared" ref="Q212:S212" si="60">P212</f>
        <v>#REF!</v>
      </c>
      <c r="R212" s="5" t="e">
        <f t="shared" si="60"/>
        <v>#REF!</v>
      </c>
      <c r="S212" s="5" t="e">
        <f t="shared" si="60"/>
        <v>#REF!</v>
      </c>
    </row>
    <row r="213" spans="1:19" x14ac:dyDescent="0.25">
      <c r="A213" s="31" t="e">
        <f>#REF!</f>
        <v>#REF!</v>
      </c>
      <c r="B213" s="31"/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51"/>
        <v>#REF!</v>
      </c>
      <c r="J213" s="5" t="e">
        <f t="shared" si="53"/>
        <v>#REF!</v>
      </c>
      <c r="K213" s="5" t="e">
        <f t="shared" si="53"/>
        <v>#REF!</v>
      </c>
      <c r="L213" s="5" t="e">
        <f t="shared" si="53"/>
        <v>#REF!</v>
      </c>
      <c r="M213" s="5" t="e">
        <f t="shared" si="53"/>
        <v>#REF!</v>
      </c>
      <c r="N213" s="5" t="e">
        <f t="shared" si="53"/>
        <v>#REF!</v>
      </c>
      <c r="O213" s="5" t="e">
        <f t="shared" si="53"/>
        <v>#REF!</v>
      </c>
      <c r="P213" s="5" t="e">
        <f t="shared" si="53"/>
        <v>#REF!</v>
      </c>
      <c r="Q213" s="5" t="e">
        <f t="shared" ref="Q213:S213" si="61">P213</f>
        <v>#REF!</v>
      </c>
      <c r="R213" s="5" t="e">
        <f t="shared" si="61"/>
        <v>#REF!</v>
      </c>
      <c r="S213" s="5" t="e">
        <f t="shared" si="61"/>
        <v>#REF!</v>
      </c>
    </row>
    <row r="214" spans="1:19" x14ac:dyDescent="0.25">
      <c r="A214" s="31" t="e">
        <f>#REF!</f>
        <v>#REF!</v>
      </c>
      <c r="B214" s="31"/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51"/>
        <v>#REF!</v>
      </c>
      <c r="J214" s="5" t="e">
        <f t="shared" si="53"/>
        <v>#REF!</v>
      </c>
      <c r="K214" s="5" t="e">
        <f t="shared" si="53"/>
        <v>#REF!</v>
      </c>
      <c r="L214" s="5" t="e">
        <f t="shared" si="53"/>
        <v>#REF!</v>
      </c>
      <c r="M214" s="5" t="e">
        <f t="shared" si="53"/>
        <v>#REF!</v>
      </c>
      <c r="N214" s="5" t="e">
        <f t="shared" si="53"/>
        <v>#REF!</v>
      </c>
      <c r="O214" s="5" t="e">
        <f t="shared" si="53"/>
        <v>#REF!</v>
      </c>
      <c r="P214" s="5" t="e">
        <f t="shared" si="53"/>
        <v>#REF!</v>
      </c>
      <c r="Q214" s="5" t="e">
        <f t="shared" ref="Q214:S214" si="62">P214</f>
        <v>#REF!</v>
      </c>
      <c r="R214" s="5" t="e">
        <f t="shared" si="62"/>
        <v>#REF!</v>
      </c>
      <c r="S214" s="5" t="e">
        <f t="shared" si="62"/>
        <v>#REF!</v>
      </c>
    </row>
    <row r="215" spans="1:19" x14ac:dyDescent="0.25">
      <c r="A215" s="31" t="e">
        <f>#REF!</f>
        <v>#REF!</v>
      </c>
      <c r="B215" s="31"/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51"/>
        <v>#REF!</v>
      </c>
      <c r="J215" s="5" t="e">
        <f t="shared" si="53"/>
        <v>#REF!</v>
      </c>
      <c r="K215" s="5" t="e">
        <f t="shared" si="53"/>
        <v>#REF!</v>
      </c>
      <c r="L215" s="5" t="e">
        <f t="shared" si="53"/>
        <v>#REF!</v>
      </c>
      <c r="M215" s="5" t="e">
        <f t="shared" si="53"/>
        <v>#REF!</v>
      </c>
      <c r="N215" s="5" t="e">
        <f t="shared" si="53"/>
        <v>#REF!</v>
      </c>
      <c r="O215" s="5" t="e">
        <f t="shared" si="53"/>
        <v>#REF!</v>
      </c>
      <c r="P215" s="5" t="e">
        <f t="shared" si="53"/>
        <v>#REF!</v>
      </c>
      <c r="Q215" s="5" t="e">
        <f t="shared" ref="Q215:S215" si="63">P215</f>
        <v>#REF!</v>
      </c>
      <c r="R215" s="5" t="e">
        <f t="shared" si="63"/>
        <v>#REF!</v>
      </c>
      <c r="S215" s="5" t="e">
        <f t="shared" si="63"/>
        <v>#REF!</v>
      </c>
    </row>
    <row r="216" spans="1:19" x14ac:dyDescent="0.25">
      <c r="A216" s="31" t="e">
        <f>#REF!</f>
        <v>#REF!</v>
      </c>
      <c r="B216" s="31"/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51"/>
        <v>#REF!</v>
      </c>
      <c r="J216" s="5" t="e">
        <f t="shared" si="53"/>
        <v>#REF!</v>
      </c>
      <c r="K216" s="5" t="e">
        <f t="shared" si="53"/>
        <v>#REF!</v>
      </c>
      <c r="L216" s="5" t="e">
        <f t="shared" si="53"/>
        <v>#REF!</v>
      </c>
      <c r="M216" s="5" t="e">
        <f t="shared" si="53"/>
        <v>#REF!</v>
      </c>
      <c r="N216" s="5" t="e">
        <f t="shared" si="53"/>
        <v>#REF!</v>
      </c>
      <c r="O216" s="5" t="e">
        <f t="shared" si="53"/>
        <v>#REF!</v>
      </c>
      <c r="P216" s="5" t="e">
        <f t="shared" si="53"/>
        <v>#REF!</v>
      </c>
      <c r="Q216" s="5" t="e">
        <f t="shared" ref="Q216:S216" si="64">P216</f>
        <v>#REF!</v>
      </c>
      <c r="R216" s="5" t="e">
        <f t="shared" si="64"/>
        <v>#REF!</v>
      </c>
      <c r="S216" s="5" t="e">
        <f t="shared" si="64"/>
        <v>#REF!</v>
      </c>
    </row>
    <row r="217" spans="1:19" x14ac:dyDescent="0.25">
      <c r="A217" s="31" t="e">
        <f>#REF!</f>
        <v>#REF!</v>
      </c>
      <c r="B217" s="31"/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51"/>
        <v>#REF!</v>
      </c>
      <c r="J217" s="5" t="e">
        <f t="shared" si="53"/>
        <v>#REF!</v>
      </c>
      <c r="K217" s="5" t="e">
        <f t="shared" si="53"/>
        <v>#REF!</v>
      </c>
      <c r="L217" s="5" t="e">
        <f t="shared" si="53"/>
        <v>#REF!</v>
      </c>
      <c r="M217" s="5" t="e">
        <f t="shared" si="53"/>
        <v>#REF!</v>
      </c>
      <c r="N217" s="5" t="e">
        <f t="shared" si="53"/>
        <v>#REF!</v>
      </c>
      <c r="O217" s="5" t="e">
        <f t="shared" si="53"/>
        <v>#REF!</v>
      </c>
      <c r="P217" s="5" t="e">
        <f t="shared" si="53"/>
        <v>#REF!</v>
      </c>
      <c r="Q217" s="5" t="e">
        <f t="shared" ref="Q217:S217" si="65">P217</f>
        <v>#REF!</v>
      </c>
      <c r="R217" s="5" t="e">
        <f t="shared" si="65"/>
        <v>#REF!</v>
      </c>
      <c r="S217" s="5" t="e">
        <f t="shared" si="65"/>
        <v>#REF!</v>
      </c>
    </row>
    <row r="218" spans="1:19" x14ac:dyDescent="0.25">
      <c r="A218" s="31" t="e">
        <f>#REF!</f>
        <v>#REF!</v>
      </c>
      <c r="B218" s="31"/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51"/>
        <v>#REF!</v>
      </c>
      <c r="J218" s="5" t="e">
        <f t="shared" si="53"/>
        <v>#REF!</v>
      </c>
      <c r="K218" s="5" t="e">
        <f t="shared" si="53"/>
        <v>#REF!</v>
      </c>
      <c r="L218" s="5" t="e">
        <f t="shared" si="53"/>
        <v>#REF!</v>
      </c>
      <c r="M218" s="5" t="e">
        <f t="shared" si="53"/>
        <v>#REF!</v>
      </c>
      <c r="N218" s="5" t="e">
        <f t="shared" si="53"/>
        <v>#REF!</v>
      </c>
      <c r="O218" s="5" t="e">
        <f t="shared" si="53"/>
        <v>#REF!</v>
      </c>
      <c r="P218" s="5" t="e">
        <f t="shared" si="53"/>
        <v>#REF!</v>
      </c>
      <c r="Q218" s="5" t="e">
        <f t="shared" ref="Q218:S218" si="66">P218</f>
        <v>#REF!</v>
      </c>
      <c r="R218" s="5" t="e">
        <f t="shared" si="66"/>
        <v>#REF!</v>
      </c>
      <c r="S218" s="5" t="e">
        <f t="shared" si="66"/>
        <v>#REF!</v>
      </c>
    </row>
    <row r="219" spans="1:19" x14ac:dyDescent="0.25">
      <c r="A219" s="31" t="e">
        <f>#REF!</f>
        <v>#REF!</v>
      </c>
      <c r="B219" s="31"/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51"/>
        <v>#REF!</v>
      </c>
      <c r="J219" s="5" t="e">
        <f t="shared" si="53"/>
        <v>#REF!</v>
      </c>
      <c r="K219" s="5" t="e">
        <f t="shared" si="53"/>
        <v>#REF!</v>
      </c>
      <c r="L219" s="5" t="e">
        <f t="shared" si="53"/>
        <v>#REF!</v>
      </c>
      <c r="M219" s="5" t="e">
        <f t="shared" si="53"/>
        <v>#REF!</v>
      </c>
      <c r="N219" s="5" t="e">
        <f t="shared" si="53"/>
        <v>#REF!</v>
      </c>
      <c r="O219" s="5" t="e">
        <f t="shared" si="53"/>
        <v>#REF!</v>
      </c>
      <c r="P219" s="5" t="e">
        <f t="shared" si="53"/>
        <v>#REF!</v>
      </c>
      <c r="Q219" s="5" t="e">
        <f t="shared" ref="Q219:S219" si="67">P219</f>
        <v>#REF!</v>
      </c>
      <c r="R219" s="5" t="e">
        <f t="shared" si="67"/>
        <v>#REF!</v>
      </c>
      <c r="S219" s="5" t="e">
        <f t="shared" si="67"/>
        <v>#REF!</v>
      </c>
    </row>
    <row r="220" spans="1:19" x14ac:dyDescent="0.25">
      <c r="A220" s="31" t="e">
        <f>#REF!</f>
        <v>#REF!</v>
      </c>
      <c r="B220" s="31"/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51"/>
        <v>#REF!</v>
      </c>
      <c r="J220" s="5" t="e">
        <f t="shared" si="53"/>
        <v>#REF!</v>
      </c>
      <c r="K220" s="5" t="e">
        <f t="shared" si="53"/>
        <v>#REF!</v>
      </c>
      <c r="L220" s="5" t="e">
        <f t="shared" si="53"/>
        <v>#REF!</v>
      </c>
      <c r="M220" s="5" t="e">
        <f t="shared" si="53"/>
        <v>#REF!</v>
      </c>
      <c r="N220" s="5" t="e">
        <f t="shared" si="53"/>
        <v>#REF!</v>
      </c>
      <c r="O220" s="5" t="e">
        <f t="shared" si="53"/>
        <v>#REF!</v>
      </c>
      <c r="P220" s="5" t="e">
        <f t="shared" si="53"/>
        <v>#REF!</v>
      </c>
      <c r="Q220" s="5" t="e">
        <f t="shared" ref="Q220:S220" si="68">P220</f>
        <v>#REF!</v>
      </c>
      <c r="R220" s="5" t="e">
        <f t="shared" si="68"/>
        <v>#REF!</v>
      </c>
      <c r="S220" s="5" t="e">
        <f t="shared" si="68"/>
        <v>#REF!</v>
      </c>
    </row>
    <row r="221" spans="1:19" x14ac:dyDescent="0.25">
      <c r="A221" s="31" t="e">
        <f>#REF!</f>
        <v>#REF!</v>
      </c>
      <c r="B221" s="31"/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51"/>
        <v>#REF!</v>
      </c>
      <c r="J221" s="5" t="e">
        <f t="shared" si="53"/>
        <v>#REF!</v>
      </c>
      <c r="K221" s="5" t="e">
        <f t="shared" si="53"/>
        <v>#REF!</v>
      </c>
      <c r="L221" s="5" t="e">
        <f t="shared" si="53"/>
        <v>#REF!</v>
      </c>
      <c r="M221" s="5" t="e">
        <f t="shared" si="53"/>
        <v>#REF!</v>
      </c>
      <c r="N221" s="5" t="e">
        <f t="shared" si="53"/>
        <v>#REF!</v>
      </c>
      <c r="O221" s="5" t="e">
        <f t="shared" si="53"/>
        <v>#REF!</v>
      </c>
      <c r="P221" s="5" t="e">
        <f t="shared" si="53"/>
        <v>#REF!</v>
      </c>
      <c r="Q221" s="5" t="e">
        <f t="shared" ref="Q221:S221" si="69">P221</f>
        <v>#REF!</v>
      </c>
      <c r="R221" s="5" t="e">
        <f t="shared" si="69"/>
        <v>#REF!</v>
      </c>
      <c r="S221" s="5" t="e">
        <f t="shared" si="69"/>
        <v>#REF!</v>
      </c>
    </row>
    <row r="222" spans="1:19" x14ac:dyDescent="0.25">
      <c r="A222" s="31" t="e">
        <f>#REF!</f>
        <v>#REF!</v>
      </c>
      <c r="B222" s="31"/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51"/>
        <v>#REF!</v>
      </c>
      <c r="J222" s="5" t="e">
        <f t="shared" ref="J222:P237" si="70">I222</f>
        <v>#REF!</v>
      </c>
      <c r="K222" s="5" t="e">
        <f t="shared" si="70"/>
        <v>#REF!</v>
      </c>
      <c r="L222" s="5" t="e">
        <f t="shared" si="70"/>
        <v>#REF!</v>
      </c>
      <c r="M222" s="5" t="e">
        <f t="shared" si="70"/>
        <v>#REF!</v>
      </c>
      <c r="N222" s="5" t="e">
        <f t="shared" si="70"/>
        <v>#REF!</v>
      </c>
      <c r="O222" s="5" t="e">
        <f t="shared" si="70"/>
        <v>#REF!</v>
      </c>
      <c r="P222" s="5" t="e">
        <f t="shared" si="70"/>
        <v>#REF!</v>
      </c>
      <c r="Q222" s="5" t="e">
        <f t="shared" ref="Q222:S222" si="71">P222</f>
        <v>#REF!</v>
      </c>
      <c r="R222" s="5" t="e">
        <f t="shared" si="71"/>
        <v>#REF!</v>
      </c>
      <c r="S222" s="5" t="e">
        <f t="shared" si="71"/>
        <v>#REF!</v>
      </c>
    </row>
    <row r="223" spans="1:19" x14ac:dyDescent="0.25">
      <c r="A223" s="31" t="e">
        <f>#REF!</f>
        <v>#REF!</v>
      </c>
      <c r="B223" s="31"/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51"/>
        <v>#REF!</v>
      </c>
      <c r="J223" s="5" t="e">
        <f t="shared" si="70"/>
        <v>#REF!</v>
      </c>
      <c r="K223" s="5" t="e">
        <f t="shared" si="70"/>
        <v>#REF!</v>
      </c>
      <c r="L223" s="5" t="e">
        <f t="shared" si="70"/>
        <v>#REF!</v>
      </c>
      <c r="M223" s="5" t="e">
        <f t="shared" si="70"/>
        <v>#REF!</v>
      </c>
      <c r="N223" s="5" t="e">
        <f t="shared" si="70"/>
        <v>#REF!</v>
      </c>
      <c r="O223" s="5" t="e">
        <f t="shared" si="70"/>
        <v>#REF!</v>
      </c>
      <c r="P223" s="5" t="e">
        <f t="shared" si="70"/>
        <v>#REF!</v>
      </c>
      <c r="Q223" s="5" t="e">
        <f t="shared" ref="Q223:S223" si="72">P223</f>
        <v>#REF!</v>
      </c>
      <c r="R223" s="5" t="e">
        <f t="shared" si="72"/>
        <v>#REF!</v>
      </c>
      <c r="S223" s="5" t="e">
        <f t="shared" si="72"/>
        <v>#REF!</v>
      </c>
    </row>
    <row r="224" spans="1:19" x14ac:dyDescent="0.25">
      <c r="A224" s="31" t="e">
        <f>#REF!</f>
        <v>#REF!</v>
      </c>
      <c r="B224" s="31"/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51"/>
        <v>#REF!</v>
      </c>
      <c r="J224" s="5" t="e">
        <f t="shared" si="70"/>
        <v>#REF!</v>
      </c>
      <c r="K224" s="5" t="e">
        <f t="shared" si="70"/>
        <v>#REF!</v>
      </c>
      <c r="L224" s="5" t="e">
        <f t="shared" si="70"/>
        <v>#REF!</v>
      </c>
      <c r="M224" s="5" t="e">
        <f t="shared" si="70"/>
        <v>#REF!</v>
      </c>
      <c r="N224" s="5" t="e">
        <f t="shared" si="70"/>
        <v>#REF!</v>
      </c>
      <c r="O224" s="5" t="e">
        <f t="shared" si="70"/>
        <v>#REF!</v>
      </c>
      <c r="P224" s="5" t="e">
        <f t="shared" si="70"/>
        <v>#REF!</v>
      </c>
      <c r="Q224" s="5" t="e">
        <f t="shared" ref="Q224:S224" si="73">P224</f>
        <v>#REF!</v>
      </c>
      <c r="R224" s="5" t="e">
        <f t="shared" si="73"/>
        <v>#REF!</v>
      </c>
      <c r="S224" s="5" t="e">
        <f t="shared" si="73"/>
        <v>#REF!</v>
      </c>
    </row>
    <row r="225" spans="1:19" x14ac:dyDescent="0.25">
      <c r="A225" s="31" t="e">
        <f>#REF!</f>
        <v>#REF!</v>
      </c>
      <c r="B225" s="31"/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51"/>
        <v>#REF!</v>
      </c>
      <c r="J225" s="5" t="e">
        <f t="shared" si="70"/>
        <v>#REF!</v>
      </c>
      <c r="K225" s="5" t="e">
        <f t="shared" si="70"/>
        <v>#REF!</v>
      </c>
      <c r="L225" s="5" t="e">
        <f t="shared" si="70"/>
        <v>#REF!</v>
      </c>
      <c r="M225" s="5" t="e">
        <f t="shared" si="70"/>
        <v>#REF!</v>
      </c>
      <c r="N225" s="5" t="e">
        <f t="shared" si="70"/>
        <v>#REF!</v>
      </c>
      <c r="O225" s="5" t="e">
        <f t="shared" si="70"/>
        <v>#REF!</v>
      </c>
      <c r="P225" s="5" t="e">
        <f t="shared" si="70"/>
        <v>#REF!</v>
      </c>
      <c r="Q225" s="5" t="e">
        <f t="shared" ref="Q225:S225" si="74">P225</f>
        <v>#REF!</v>
      </c>
      <c r="R225" s="5" t="e">
        <f t="shared" si="74"/>
        <v>#REF!</v>
      </c>
      <c r="S225" s="5" t="e">
        <f t="shared" si="74"/>
        <v>#REF!</v>
      </c>
    </row>
    <row r="226" spans="1:19" x14ac:dyDescent="0.25">
      <c r="A226" s="31" t="e">
        <f>#REF!</f>
        <v>#REF!</v>
      </c>
      <c r="B226" s="31"/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51"/>
        <v>#REF!</v>
      </c>
      <c r="J226" s="5" t="e">
        <f t="shared" si="70"/>
        <v>#REF!</v>
      </c>
      <c r="K226" s="5" t="e">
        <f t="shared" si="70"/>
        <v>#REF!</v>
      </c>
      <c r="L226" s="5" t="e">
        <f t="shared" si="70"/>
        <v>#REF!</v>
      </c>
      <c r="M226" s="5" t="e">
        <f t="shared" si="70"/>
        <v>#REF!</v>
      </c>
      <c r="N226" s="5" t="e">
        <f t="shared" si="70"/>
        <v>#REF!</v>
      </c>
      <c r="O226" s="5" t="e">
        <f t="shared" si="70"/>
        <v>#REF!</v>
      </c>
      <c r="P226" s="5" t="e">
        <f t="shared" si="70"/>
        <v>#REF!</v>
      </c>
      <c r="Q226" s="5" t="e">
        <f t="shared" ref="Q226:S226" si="75">P226</f>
        <v>#REF!</v>
      </c>
      <c r="R226" s="5" t="e">
        <f t="shared" si="75"/>
        <v>#REF!</v>
      </c>
      <c r="S226" s="5" t="e">
        <f t="shared" si="75"/>
        <v>#REF!</v>
      </c>
    </row>
    <row r="227" spans="1:19" x14ac:dyDescent="0.25">
      <c r="A227" s="31" t="e">
        <f>#REF!</f>
        <v>#REF!</v>
      </c>
      <c r="B227" s="31"/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si="51"/>
        <v>#REF!</v>
      </c>
      <c r="J227" s="5" t="e">
        <f t="shared" si="70"/>
        <v>#REF!</v>
      </c>
      <c r="K227" s="5" t="e">
        <f t="shared" si="70"/>
        <v>#REF!</v>
      </c>
      <c r="L227" s="5" t="e">
        <f t="shared" si="70"/>
        <v>#REF!</v>
      </c>
      <c r="M227" s="5" t="e">
        <f t="shared" si="70"/>
        <v>#REF!</v>
      </c>
      <c r="N227" s="5" t="e">
        <f t="shared" si="70"/>
        <v>#REF!</v>
      </c>
      <c r="O227" s="5" t="e">
        <f t="shared" si="70"/>
        <v>#REF!</v>
      </c>
      <c r="P227" s="5" t="e">
        <f t="shared" si="70"/>
        <v>#REF!</v>
      </c>
      <c r="Q227" s="5" t="e">
        <f t="shared" ref="Q227:S227" si="76">P227</f>
        <v>#REF!</v>
      </c>
      <c r="R227" s="5" t="e">
        <f t="shared" si="76"/>
        <v>#REF!</v>
      </c>
      <c r="S227" s="5" t="e">
        <f t="shared" si="76"/>
        <v>#REF!</v>
      </c>
    </row>
    <row r="228" spans="1:19" x14ac:dyDescent="0.25">
      <c r="A228" s="31" t="e">
        <f>#REF!</f>
        <v>#REF!</v>
      </c>
      <c r="B228" s="31"/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51"/>
        <v>#REF!</v>
      </c>
      <c r="J228" s="5" t="e">
        <f t="shared" si="70"/>
        <v>#REF!</v>
      </c>
      <c r="K228" s="5" t="e">
        <f t="shared" si="70"/>
        <v>#REF!</v>
      </c>
      <c r="L228" s="5" t="e">
        <f t="shared" si="70"/>
        <v>#REF!</v>
      </c>
      <c r="M228" s="5" t="e">
        <f t="shared" si="70"/>
        <v>#REF!</v>
      </c>
      <c r="N228" s="5" t="e">
        <f t="shared" si="70"/>
        <v>#REF!</v>
      </c>
      <c r="O228" s="5" t="e">
        <f t="shared" si="70"/>
        <v>#REF!</v>
      </c>
      <c r="P228" s="5" t="e">
        <f t="shared" si="70"/>
        <v>#REF!</v>
      </c>
      <c r="Q228" s="5" t="e">
        <f t="shared" ref="Q228:S228" si="77">P228</f>
        <v>#REF!</v>
      </c>
      <c r="R228" s="5" t="e">
        <f t="shared" si="77"/>
        <v>#REF!</v>
      </c>
      <c r="S228" s="5" t="e">
        <f t="shared" si="77"/>
        <v>#REF!</v>
      </c>
    </row>
    <row r="229" spans="1:19" x14ac:dyDescent="0.25">
      <c r="A229" s="31" t="e">
        <f>#REF!</f>
        <v>#REF!</v>
      </c>
      <c r="B229" s="31"/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51"/>
        <v>#REF!</v>
      </c>
      <c r="J229" s="5" t="e">
        <f t="shared" si="70"/>
        <v>#REF!</v>
      </c>
      <c r="K229" s="5" t="e">
        <f t="shared" si="70"/>
        <v>#REF!</v>
      </c>
      <c r="L229" s="5" t="e">
        <f t="shared" si="70"/>
        <v>#REF!</v>
      </c>
      <c r="M229" s="5" t="e">
        <f t="shared" si="70"/>
        <v>#REF!</v>
      </c>
      <c r="N229" s="5" t="e">
        <f t="shared" si="70"/>
        <v>#REF!</v>
      </c>
      <c r="O229" s="5" t="e">
        <f t="shared" si="70"/>
        <v>#REF!</v>
      </c>
      <c r="P229" s="5" t="e">
        <f t="shared" si="70"/>
        <v>#REF!</v>
      </c>
      <c r="Q229" s="5" t="e">
        <f t="shared" ref="Q229:S229" si="78">P229</f>
        <v>#REF!</v>
      </c>
      <c r="R229" s="5" t="e">
        <f t="shared" si="78"/>
        <v>#REF!</v>
      </c>
      <c r="S229" s="5" t="e">
        <f t="shared" si="78"/>
        <v>#REF!</v>
      </c>
    </row>
    <row r="230" spans="1:19" x14ac:dyDescent="0.25">
      <c r="A230" s="31" t="e">
        <f>#REF!</f>
        <v>#REF!</v>
      </c>
      <c r="B230" s="31"/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51"/>
        <v>#REF!</v>
      </c>
      <c r="J230" s="5" t="e">
        <f t="shared" si="70"/>
        <v>#REF!</v>
      </c>
      <c r="K230" s="5" t="e">
        <f t="shared" si="70"/>
        <v>#REF!</v>
      </c>
      <c r="L230" s="5" t="e">
        <f t="shared" si="70"/>
        <v>#REF!</v>
      </c>
      <c r="M230" s="5" t="e">
        <f t="shared" si="70"/>
        <v>#REF!</v>
      </c>
      <c r="N230" s="5" t="e">
        <f t="shared" si="70"/>
        <v>#REF!</v>
      </c>
      <c r="O230" s="5" t="e">
        <f t="shared" si="70"/>
        <v>#REF!</v>
      </c>
      <c r="P230" s="5" t="e">
        <f t="shared" si="70"/>
        <v>#REF!</v>
      </c>
      <c r="Q230" s="5" t="e">
        <f t="shared" ref="Q230:S230" si="79">P230</f>
        <v>#REF!</v>
      </c>
      <c r="R230" s="5" t="e">
        <f t="shared" si="79"/>
        <v>#REF!</v>
      </c>
      <c r="S230" s="5" t="e">
        <f t="shared" si="79"/>
        <v>#REF!</v>
      </c>
    </row>
    <row r="231" spans="1:19" x14ac:dyDescent="0.25">
      <c r="A231" s="31" t="e">
        <f>#REF!</f>
        <v>#REF!</v>
      </c>
      <c r="B231" s="31"/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51"/>
        <v>#REF!</v>
      </c>
      <c r="J231" s="5" t="e">
        <f t="shared" si="70"/>
        <v>#REF!</v>
      </c>
      <c r="K231" s="5" t="e">
        <f t="shared" si="70"/>
        <v>#REF!</v>
      </c>
      <c r="L231" s="5" t="e">
        <f t="shared" si="70"/>
        <v>#REF!</v>
      </c>
      <c r="M231" s="5" t="e">
        <f t="shared" si="70"/>
        <v>#REF!</v>
      </c>
      <c r="N231" s="5" t="e">
        <f t="shared" si="70"/>
        <v>#REF!</v>
      </c>
      <c r="O231" s="5" t="e">
        <f t="shared" si="70"/>
        <v>#REF!</v>
      </c>
      <c r="P231" s="5" t="e">
        <f t="shared" si="70"/>
        <v>#REF!</v>
      </c>
      <c r="Q231" s="5" t="e">
        <f t="shared" ref="Q231:S231" si="80">P231</f>
        <v>#REF!</v>
      </c>
      <c r="R231" s="5" t="e">
        <f t="shared" si="80"/>
        <v>#REF!</v>
      </c>
      <c r="S231" s="5" t="e">
        <f t="shared" si="80"/>
        <v>#REF!</v>
      </c>
    </row>
    <row r="232" spans="1:19" x14ac:dyDescent="0.25">
      <c r="A232" s="31" t="e">
        <f>#REF!</f>
        <v>#REF!</v>
      </c>
      <c r="B232" s="31"/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51"/>
        <v>#REF!</v>
      </c>
      <c r="J232" s="5" t="e">
        <f t="shared" si="70"/>
        <v>#REF!</v>
      </c>
      <c r="K232" s="5" t="e">
        <f t="shared" si="70"/>
        <v>#REF!</v>
      </c>
      <c r="L232" s="5" t="e">
        <f t="shared" si="70"/>
        <v>#REF!</v>
      </c>
      <c r="M232" s="5" t="e">
        <f t="shared" si="70"/>
        <v>#REF!</v>
      </c>
      <c r="N232" s="5" t="e">
        <f t="shared" si="70"/>
        <v>#REF!</v>
      </c>
      <c r="O232" s="5" t="e">
        <f t="shared" si="70"/>
        <v>#REF!</v>
      </c>
      <c r="P232" s="5" t="e">
        <f t="shared" si="70"/>
        <v>#REF!</v>
      </c>
      <c r="Q232" s="5" t="e">
        <f t="shared" ref="Q232:S232" si="81">P232</f>
        <v>#REF!</v>
      </c>
      <c r="R232" s="5" t="e">
        <f t="shared" si="81"/>
        <v>#REF!</v>
      </c>
      <c r="S232" s="5" t="e">
        <f t="shared" si="81"/>
        <v>#REF!</v>
      </c>
    </row>
    <row r="233" spans="1:19" x14ac:dyDescent="0.25">
      <c r="A233" s="31" t="e">
        <f>#REF!</f>
        <v>#REF!</v>
      </c>
      <c r="B233" s="31"/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51"/>
        <v>#REF!</v>
      </c>
      <c r="J233" s="5" t="e">
        <f t="shared" si="70"/>
        <v>#REF!</v>
      </c>
      <c r="K233" s="5" t="e">
        <f t="shared" si="70"/>
        <v>#REF!</v>
      </c>
      <c r="L233" s="5" t="e">
        <f t="shared" si="70"/>
        <v>#REF!</v>
      </c>
      <c r="M233" s="5" t="e">
        <f t="shared" si="70"/>
        <v>#REF!</v>
      </c>
      <c r="N233" s="5" t="e">
        <f t="shared" si="70"/>
        <v>#REF!</v>
      </c>
      <c r="O233" s="5" t="e">
        <f t="shared" si="70"/>
        <v>#REF!</v>
      </c>
      <c r="P233" s="5" t="e">
        <f t="shared" si="70"/>
        <v>#REF!</v>
      </c>
      <c r="Q233" s="5" t="e">
        <f t="shared" ref="Q233:S233" si="82">P233</f>
        <v>#REF!</v>
      </c>
      <c r="R233" s="5" t="e">
        <f t="shared" si="82"/>
        <v>#REF!</v>
      </c>
      <c r="S233" s="5" t="e">
        <f t="shared" si="82"/>
        <v>#REF!</v>
      </c>
    </row>
    <row r="234" spans="1:19" x14ac:dyDescent="0.25">
      <c r="A234" s="31" t="e">
        <f>#REF!</f>
        <v>#REF!</v>
      </c>
      <c r="B234" s="31"/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51"/>
        <v>#REF!</v>
      </c>
      <c r="J234" s="5" t="e">
        <f t="shared" si="70"/>
        <v>#REF!</v>
      </c>
      <c r="K234" s="5" t="e">
        <f t="shared" si="70"/>
        <v>#REF!</v>
      </c>
      <c r="L234" s="5" t="e">
        <f t="shared" si="70"/>
        <v>#REF!</v>
      </c>
      <c r="M234" s="5" t="e">
        <f t="shared" si="70"/>
        <v>#REF!</v>
      </c>
      <c r="N234" s="5" t="e">
        <f t="shared" si="70"/>
        <v>#REF!</v>
      </c>
      <c r="O234" s="5" t="e">
        <f t="shared" si="70"/>
        <v>#REF!</v>
      </c>
      <c r="P234" s="5" t="e">
        <f t="shared" si="70"/>
        <v>#REF!</v>
      </c>
      <c r="Q234" s="5" t="e">
        <f t="shared" ref="Q234:S234" si="83">P234</f>
        <v>#REF!</v>
      </c>
      <c r="R234" s="5" t="e">
        <f t="shared" si="83"/>
        <v>#REF!</v>
      </c>
      <c r="S234" s="5" t="e">
        <f t="shared" si="83"/>
        <v>#REF!</v>
      </c>
    </row>
    <row r="235" spans="1:19" x14ac:dyDescent="0.25">
      <c r="A235" s="31" t="e">
        <f>#REF!</f>
        <v>#REF!</v>
      </c>
      <c r="B235" s="31"/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51"/>
        <v>#REF!</v>
      </c>
      <c r="J235" s="5" t="e">
        <f t="shared" si="70"/>
        <v>#REF!</v>
      </c>
      <c r="K235" s="5" t="e">
        <f t="shared" si="70"/>
        <v>#REF!</v>
      </c>
      <c r="L235" s="5" t="e">
        <f t="shared" si="70"/>
        <v>#REF!</v>
      </c>
      <c r="M235" s="5" t="e">
        <f t="shared" si="70"/>
        <v>#REF!</v>
      </c>
      <c r="N235" s="5" t="e">
        <f t="shared" si="70"/>
        <v>#REF!</v>
      </c>
      <c r="O235" s="5" t="e">
        <f t="shared" si="70"/>
        <v>#REF!</v>
      </c>
      <c r="P235" s="5" t="e">
        <f t="shared" si="70"/>
        <v>#REF!</v>
      </c>
      <c r="Q235" s="5" t="e">
        <f t="shared" ref="Q235:S235" si="84">P235</f>
        <v>#REF!</v>
      </c>
      <c r="R235" s="5" t="e">
        <f t="shared" si="84"/>
        <v>#REF!</v>
      </c>
      <c r="S235" s="5" t="e">
        <f t="shared" si="84"/>
        <v>#REF!</v>
      </c>
    </row>
    <row r="236" spans="1:19" x14ac:dyDescent="0.25">
      <c r="A236" s="31" t="e">
        <f>#REF!</f>
        <v>#REF!</v>
      </c>
      <c r="B236" s="31"/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51"/>
        <v>#REF!</v>
      </c>
      <c r="J236" s="5" t="e">
        <f t="shared" si="70"/>
        <v>#REF!</v>
      </c>
      <c r="K236" s="5" t="e">
        <f t="shared" si="70"/>
        <v>#REF!</v>
      </c>
      <c r="L236" s="5" t="e">
        <f t="shared" si="70"/>
        <v>#REF!</v>
      </c>
      <c r="M236" s="5" t="e">
        <f t="shared" si="70"/>
        <v>#REF!</v>
      </c>
      <c r="N236" s="5" t="e">
        <f t="shared" si="70"/>
        <v>#REF!</v>
      </c>
      <c r="O236" s="5" t="e">
        <f t="shared" si="70"/>
        <v>#REF!</v>
      </c>
      <c r="P236" s="5" t="e">
        <f t="shared" si="70"/>
        <v>#REF!</v>
      </c>
      <c r="Q236" s="5" t="e">
        <f t="shared" ref="Q236:S236" si="85">P236</f>
        <v>#REF!</v>
      </c>
      <c r="R236" s="5" t="e">
        <f t="shared" si="85"/>
        <v>#REF!</v>
      </c>
      <c r="S236" s="5" t="e">
        <f t="shared" si="85"/>
        <v>#REF!</v>
      </c>
    </row>
    <row r="237" spans="1:19" x14ac:dyDescent="0.25">
      <c r="A237" s="31" t="e">
        <f>#REF!</f>
        <v>#REF!</v>
      </c>
      <c r="B237" s="31"/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51"/>
        <v>#REF!</v>
      </c>
      <c r="J237" s="5" t="e">
        <f t="shared" si="70"/>
        <v>#REF!</v>
      </c>
      <c r="K237" s="5" t="e">
        <f t="shared" si="70"/>
        <v>#REF!</v>
      </c>
      <c r="L237" s="5" t="e">
        <f t="shared" si="70"/>
        <v>#REF!</v>
      </c>
      <c r="M237" s="5" t="e">
        <f t="shared" si="70"/>
        <v>#REF!</v>
      </c>
      <c r="N237" s="5" t="e">
        <f t="shared" si="70"/>
        <v>#REF!</v>
      </c>
      <c r="O237" s="5" t="e">
        <f t="shared" si="70"/>
        <v>#REF!</v>
      </c>
      <c r="P237" s="5" t="e">
        <f t="shared" si="70"/>
        <v>#REF!</v>
      </c>
      <c r="Q237" s="5" t="e">
        <f t="shared" ref="Q237:S237" si="86">P237</f>
        <v>#REF!</v>
      </c>
      <c r="R237" s="5" t="e">
        <f t="shared" si="86"/>
        <v>#REF!</v>
      </c>
      <c r="S237" s="5" t="e">
        <f t="shared" si="86"/>
        <v>#REF!</v>
      </c>
    </row>
    <row r="238" spans="1:19" x14ac:dyDescent="0.25">
      <c r="A238" s="31" t="e">
        <f>#REF!</f>
        <v>#REF!</v>
      </c>
      <c r="B238" s="31"/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51"/>
        <v>#REF!</v>
      </c>
      <c r="J238" s="5" t="e">
        <f t="shared" ref="J238:P242" si="87">I238</f>
        <v>#REF!</v>
      </c>
      <c r="K238" s="5" t="e">
        <f t="shared" si="87"/>
        <v>#REF!</v>
      </c>
      <c r="L238" s="5" t="e">
        <f t="shared" si="87"/>
        <v>#REF!</v>
      </c>
      <c r="M238" s="5" t="e">
        <f t="shared" si="87"/>
        <v>#REF!</v>
      </c>
      <c r="N238" s="5" t="e">
        <f t="shared" si="87"/>
        <v>#REF!</v>
      </c>
      <c r="O238" s="5" t="e">
        <f t="shared" si="87"/>
        <v>#REF!</v>
      </c>
      <c r="P238" s="5" t="e">
        <f t="shared" si="87"/>
        <v>#REF!</v>
      </c>
      <c r="Q238" s="5" t="e">
        <f t="shared" ref="Q238:S238" si="88">P238</f>
        <v>#REF!</v>
      </c>
      <c r="R238" s="5" t="e">
        <f t="shared" si="88"/>
        <v>#REF!</v>
      </c>
      <c r="S238" s="5" t="e">
        <f t="shared" si="88"/>
        <v>#REF!</v>
      </c>
    </row>
    <row r="239" spans="1:19" x14ac:dyDescent="0.25">
      <c r="A239" s="31" t="e">
        <f>#REF!</f>
        <v>#REF!</v>
      </c>
      <c r="B239" s="31"/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51"/>
        <v>#REF!</v>
      </c>
      <c r="J239" s="5" t="e">
        <f t="shared" si="87"/>
        <v>#REF!</v>
      </c>
      <c r="K239" s="5" t="e">
        <f t="shared" si="87"/>
        <v>#REF!</v>
      </c>
      <c r="L239" s="5" t="e">
        <f t="shared" si="87"/>
        <v>#REF!</v>
      </c>
      <c r="M239" s="5" t="e">
        <f t="shared" si="87"/>
        <v>#REF!</v>
      </c>
      <c r="N239" s="5" t="e">
        <f t="shared" si="87"/>
        <v>#REF!</v>
      </c>
      <c r="O239" s="5" t="e">
        <f t="shared" si="87"/>
        <v>#REF!</v>
      </c>
      <c r="P239" s="5" t="e">
        <f t="shared" si="87"/>
        <v>#REF!</v>
      </c>
      <c r="Q239" s="5" t="e">
        <f t="shared" ref="Q239:S239" si="89">P239</f>
        <v>#REF!</v>
      </c>
      <c r="R239" s="5" t="e">
        <f t="shared" si="89"/>
        <v>#REF!</v>
      </c>
      <c r="S239" s="5" t="e">
        <f t="shared" si="89"/>
        <v>#REF!</v>
      </c>
    </row>
    <row r="240" spans="1:19" x14ac:dyDescent="0.25">
      <c r="A240" s="31" t="e">
        <f>#REF!</f>
        <v>#REF!</v>
      </c>
      <c r="B240" s="31"/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51"/>
        <v>#REF!</v>
      </c>
      <c r="J240" s="5" t="e">
        <f t="shared" si="87"/>
        <v>#REF!</v>
      </c>
      <c r="K240" s="5" t="e">
        <f t="shared" si="87"/>
        <v>#REF!</v>
      </c>
      <c r="L240" s="5" t="e">
        <f t="shared" si="87"/>
        <v>#REF!</v>
      </c>
      <c r="M240" s="5" t="e">
        <f t="shared" si="87"/>
        <v>#REF!</v>
      </c>
      <c r="N240" s="5" t="e">
        <f t="shared" si="87"/>
        <v>#REF!</v>
      </c>
      <c r="O240" s="5" t="e">
        <f t="shared" si="87"/>
        <v>#REF!</v>
      </c>
      <c r="P240" s="5" t="e">
        <f t="shared" si="87"/>
        <v>#REF!</v>
      </c>
      <c r="Q240" s="5" t="e">
        <f t="shared" ref="Q240:S240" si="90">P240</f>
        <v>#REF!</v>
      </c>
      <c r="R240" s="5" t="e">
        <f t="shared" si="90"/>
        <v>#REF!</v>
      </c>
      <c r="S240" s="5" t="e">
        <f t="shared" si="90"/>
        <v>#REF!</v>
      </c>
    </row>
    <row r="241" spans="1:19" x14ac:dyDescent="0.25">
      <c r="A241" s="31" t="e">
        <f>#REF!</f>
        <v>#REF!</v>
      </c>
      <c r="B241" s="31"/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51"/>
        <v>#REF!</v>
      </c>
      <c r="J241" s="5" t="e">
        <f t="shared" si="87"/>
        <v>#REF!</v>
      </c>
      <c r="K241" s="5" t="e">
        <f t="shared" si="87"/>
        <v>#REF!</v>
      </c>
      <c r="L241" s="5" t="e">
        <f t="shared" si="87"/>
        <v>#REF!</v>
      </c>
      <c r="M241" s="5" t="e">
        <f t="shared" si="87"/>
        <v>#REF!</v>
      </c>
      <c r="N241" s="5" t="e">
        <f t="shared" si="87"/>
        <v>#REF!</v>
      </c>
      <c r="O241" s="5" t="e">
        <f t="shared" si="87"/>
        <v>#REF!</v>
      </c>
      <c r="P241" s="5" t="e">
        <f t="shared" si="87"/>
        <v>#REF!</v>
      </c>
      <c r="Q241" s="5" t="e">
        <f t="shared" ref="Q241:S241" si="91">P241</f>
        <v>#REF!</v>
      </c>
      <c r="R241" s="5" t="e">
        <f t="shared" si="91"/>
        <v>#REF!</v>
      </c>
      <c r="S241" s="5" t="e">
        <f t="shared" si="91"/>
        <v>#REF!</v>
      </c>
    </row>
    <row r="242" spans="1:19" x14ac:dyDescent="0.25">
      <c r="A242" s="31" t="e">
        <f>#REF!</f>
        <v>#REF!</v>
      </c>
      <c r="B242" s="31"/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51"/>
        <v>#REF!</v>
      </c>
      <c r="J242" s="5" t="e">
        <f t="shared" si="87"/>
        <v>#REF!</v>
      </c>
      <c r="K242" s="5" t="e">
        <f t="shared" si="87"/>
        <v>#REF!</v>
      </c>
      <c r="L242" s="5" t="e">
        <f t="shared" si="87"/>
        <v>#REF!</v>
      </c>
      <c r="M242" s="5" t="e">
        <f t="shared" si="87"/>
        <v>#REF!</v>
      </c>
      <c r="N242" s="5" t="e">
        <f t="shared" si="87"/>
        <v>#REF!</v>
      </c>
      <c r="O242" s="5" t="e">
        <f t="shared" si="87"/>
        <v>#REF!</v>
      </c>
      <c r="P242" s="5" t="e">
        <f t="shared" si="87"/>
        <v>#REF!</v>
      </c>
      <c r="Q242" s="5" t="e">
        <f t="shared" ref="Q242:S257" si="92">P242</f>
        <v>#REF!</v>
      </c>
      <c r="R242" s="5" t="e">
        <f t="shared" si="92"/>
        <v>#REF!</v>
      </c>
      <c r="S242" s="5" t="e">
        <f t="shared" si="92"/>
        <v>#REF!</v>
      </c>
    </row>
    <row r="243" spans="1:19" x14ac:dyDescent="0.25">
      <c r="A243" s="31" t="e">
        <f>#REF!</f>
        <v>#REF!</v>
      </c>
      <c r="B243" s="31"/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P306" si="93">H243</f>
        <v>#REF!</v>
      </c>
      <c r="J243" s="5" t="e">
        <f t="shared" si="93"/>
        <v>#REF!</v>
      </c>
      <c r="K243" s="5" t="e">
        <f t="shared" si="93"/>
        <v>#REF!</v>
      </c>
      <c r="L243" s="5" t="e">
        <f t="shared" si="93"/>
        <v>#REF!</v>
      </c>
      <c r="M243" s="5" t="e">
        <f t="shared" si="93"/>
        <v>#REF!</v>
      </c>
      <c r="N243" s="5" t="e">
        <f t="shared" si="93"/>
        <v>#REF!</v>
      </c>
      <c r="O243" s="5" t="e">
        <f t="shared" si="93"/>
        <v>#REF!</v>
      </c>
      <c r="P243" s="5" t="e">
        <f t="shared" si="93"/>
        <v>#REF!</v>
      </c>
      <c r="Q243" s="5" t="e">
        <f t="shared" si="92"/>
        <v>#REF!</v>
      </c>
      <c r="R243" s="5" t="e">
        <f t="shared" si="92"/>
        <v>#REF!</v>
      </c>
      <c r="S243" s="5" t="e">
        <f t="shared" si="92"/>
        <v>#REF!</v>
      </c>
    </row>
    <row r="244" spans="1:19" x14ac:dyDescent="0.25">
      <c r="A244" s="31" t="e">
        <f>#REF!</f>
        <v>#REF!</v>
      </c>
      <c r="B244" s="31"/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93"/>
        <v>#REF!</v>
      </c>
      <c r="J244" s="5" t="e">
        <f t="shared" si="93"/>
        <v>#REF!</v>
      </c>
      <c r="K244" s="5" t="e">
        <f t="shared" si="93"/>
        <v>#REF!</v>
      </c>
      <c r="L244" s="5" t="e">
        <f t="shared" si="93"/>
        <v>#REF!</v>
      </c>
      <c r="M244" s="5" t="e">
        <f t="shared" si="93"/>
        <v>#REF!</v>
      </c>
      <c r="N244" s="5" t="e">
        <f t="shared" si="93"/>
        <v>#REF!</v>
      </c>
      <c r="O244" s="5" t="e">
        <f t="shared" si="93"/>
        <v>#REF!</v>
      </c>
      <c r="P244" s="5" t="e">
        <f t="shared" si="93"/>
        <v>#REF!</v>
      </c>
      <c r="Q244" s="5" t="e">
        <f t="shared" si="92"/>
        <v>#REF!</v>
      </c>
      <c r="R244" s="5" t="e">
        <f t="shared" si="92"/>
        <v>#REF!</v>
      </c>
      <c r="S244" s="5" t="e">
        <f t="shared" si="92"/>
        <v>#REF!</v>
      </c>
    </row>
    <row r="245" spans="1:19" x14ac:dyDescent="0.25">
      <c r="A245" s="31" t="e">
        <f>#REF!</f>
        <v>#REF!</v>
      </c>
      <c r="B245" s="31"/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93"/>
        <v>#REF!</v>
      </c>
      <c r="J245" s="5" t="e">
        <f t="shared" si="93"/>
        <v>#REF!</v>
      </c>
      <c r="K245" s="5" t="e">
        <f t="shared" si="93"/>
        <v>#REF!</v>
      </c>
      <c r="L245" s="5" t="e">
        <f t="shared" si="93"/>
        <v>#REF!</v>
      </c>
      <c r="M245" s="5" t="e">
        <f t="shared" si="93"/>
        <v>#REF!</v>
      </c>
      <c r="N245" s="5" t="e">
        <f t="shared" si="93"/>
        <v>#REF!</v>
      </c>
      <c r="O245" s="5" t="e">
        <f t="shared" si="93"/>
        <v>#REF!</v>
      </c>
      <c r="P245" s="5" t="e">
        <f t="shared" si="93"/>
        <v>#REF!</v>
      </c>
      <c r="Q245" s="5" t="e">
        <f t="shared" si="92"/>
        <v>#REF!</v>
      </c>
      <c r="R245" s="5" t="e">
        <f t="shared" si="92"/>
        <v>#REF!</v>
      </c>
      <c r="S245" s="5" t="e">
        <f t="shared" si="92"/>
        <v>#REF!</v>
      </c>
    </row>
    <row r="246" spans="1:19" x14ac:dyDescent="0.25">
      <c r="A246" s="31" t="e">
        <f>#REF!</f>
        <v>#REF!</v>
      </c>
      <c r="B246" s="31"/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93"/>
        <v>#REF!</v>
      </c>
      <c r="J246" s="5" t="e">
        <f t="shared" si="93"/>
        <v>#REF!</v>
      </c>
      <c r="K246" s="5" t="e">
        <f t="shared" si="93"/>
        <v>#REF!</v>
      </c>
      <c r="L246" s="5" t="e">
        <f t="shared" si="93"/>
        <v>#REF!</v>
      </c>
      <c r="M246" s="5" t="e">
        <f t="shared" si="93"/>
        <v>#REF!</v>
      </c>
      <c r="N246" s="5" t="e">
        <f t="shared" si="93"/>
        <v>#REF!</v>
      </c>
      <c r="O246" s="5" t="e">
        <f t="shared" si="93"/>
        <v>#REF!</v>
      </c>
      <c r="P246" s="5" t="e">
        <f t="shared" si="93"/>
        <v>#REF!</v>
      </c>
      <c r="Q246" s="5" t="e">
        <f t="shared" si="92"/>
        <v>#REF!</v>
      </c>
      <c r="R246" s="5" t="e">
        <f t="shared" si="92"/>
        <v>#REF!</v>
      </c>
      <c r="S246" s="5" t="e">
        <f t="shared" si="92"/>
        <v>#REF!</v>
      </c>
    </row>
    <row r="247" spans="1:19" x14ac:dyDescent="0.25">
      <c r="A247" s="31" t="e">
        <f>#REF!</f>
        <v>#REF!</v>
      </c>
      <c r="B247" s="31"/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93"/>
        <v>#REF!</v>
      </c>
      <c r="J247" s="5" t="e">
        <f t="shared" si="93"/>
        <v>#REF!</v>
      </c>
      <c r="K247" s="5" t="e">
        <f t="shared" si="93"/>
        <v>#REF!</v>
      </c>
      <c r="L247" s="5" t="e">
        <f t="shared" si="93"/>
        <v>#REF!</v>
      </c>
      <c r="M247" s="5" t="e">
        <f t="shared" si="93"/>
        <v>#REF!</v>
      </c>
      <c r="N247" s="5" t="e">
        <f t="shared" si="93"/>
        <v>#REF!</v>
      </c>
      <c r="O247" s="5" t="e">
        <f t="shared" si="93"/>
        <v>#REF!</v>
      </c>
      <c r="P247" s="5" t="e">
        <f t="shared" si="93"/>
        <v>#REF!</v>
      </c>
      <c r="Q247" s="5" t="e">
        <f t="shared" si="92"/>
        <v>#REF!</v>
      </c>
      <c r="R247" s="5" t="e">
        <f t="shared" si="92"/>
        <v>#REF!</v>
      </c>
      <c r="S247" s="5" t="e">
        <f t="shared" si="92"/>
        <v>#REF!</v>
      </c>
    </row>
    <row r="248" spans="1:19" x14ac:dyDescent="0.25">
      <c r="A248" s="31" t="e">
        <f>#REF!</f>
        <v>#REF!</v>
      </c>
      <c r="B248" s="31"/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93"/>
        <v>#REF!</v>
      </c>
      <c r="J248" s="5" t="e">
        <f t="shared" si="93"/>
        <v>#REF!</v>
      </c>
      <c r="K248" s="5" t="e">
        <f t="shared" si="93"/>
        <v>#REF!</v>
      </c>
      <c r="L248" s="5" t="e">
        <f t="shared" si="93"/>
        <v>#REF!</v>
      </c>
      <c r="M248" s="5" t="e">
        <f t="shared" si="93"/>
        <v>#REF!</v>
      </c>
      <c r="N248" s="5" t="e">
        <f t="shared" si="93"/>
        <v>#REF!</v>
      </c>
      <c r="O248" s="5" t="e">
        <f t="shared" si="93"/>
        <v>#REF!</v>
      </c>
      <c r="P248" s="5" t="e">
        <f t="shared" si="93"/>
        <v>#REF!</v>
      </c>
      <c r="Q248" s="5" t="e">
        <f t="shared" si="92"/>
        <v>#REF!</v>
      </c>
      <c r="R248" s="5" t="e">
        <f t="shared" si="92"/>
        <v>#REF!</v>
      </c>
      <c r="S248" s="5" t="e">
        <f t="shared" si="92"/>
        <v>#REF!</v>
      </c>
    </row>
    <row r="249" spans="1:19" x14ac:dyDescent="0.25">
      <c r="A249" s="31" t="e">
        <f>#REF!</f>
        <v>#REF!</v>
      </c>
      <c r="B249" s="31"/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93"/>
        <v>#REF!</v>
      </c>
      <c r="J249" s="5" t="e">
        <f t="shared" si="93"/>
        <v>#REF!</v>
      </c>
      <c r="K249" s="5" t="e">
        <f t="shared" si="93"/>
        <v>#REF!</v>
      </c>
      <c r="L249" s="5" t="e">
        <f t="shared" si="93"/>
        <v>#REF!</v>
      </c>
      <c r="M249" s="5" t="e">
        <f t="shared" si="93"/>
        <v>#REF!</v>
      </c>
      <c r="N249" s="5" t="e">
        <f t="shared" si="93"/>
        <v>#REF!</v>
      </c>
      <c r="O249" s="5" t="e">
        <f t="shared" si="93"/>
        <v>#REF!</v>
      </c>
      <c r="P249" s="5" t="e">
        <f t="shared" si="93"/>
        <v>#REF!</v>
      </c>
      <c r="Q249" s="5" t="e">
        <f t="shared" si="92"/>
        <v>#REF!</v>
      </c>
      <c r="R249" s="5" t="e">
        <f t="shared" si="92"/>
        <v>#REF!</v>
      </c>
      <c r="S249" s="5" t="e">
        <f t="shared" si="92"/>
        <v>#REF!</v>
      </c>
    </row>
    <row r="250" spans="1:19" x14ac:dyDescent="0.25">
      <c r="A250" s="31" t="e">
        <f>#REF!</f>
        <v>#REF!</v>
      </c>
      <c r="B250" s="31"/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93"/>
        <v>#REF!</v>
      </c>
      <c r="J250" s="5" t="e">
        <f t="shared" si="93"/>
        <v>#REF!</v>
      </c>
      <c r="K250" s="5" t="e">
        <f t="shared" si="93"/>
        <v>#REF!</v>
      </c>
      <c r="L250" s="5" t="e">
        <f t="shared" si="93"/>
        <v>#REF!</v>
      </c>
      <c r="M250" s="5" t="e">
        <f t="shared" si="93"/>
        <v>#REF!</v>
      </c>
      <c r="N250" s="5" t="e">
        <f t="shared" si="93"/>
        <v>#REF!</v>
      </c>
      <c r="O250" s="5" t="e">
        <f t="shared" si="93"/>
        <v>#REF!</v>
      </c>
      <c r="P250" s="5" t="e">
        <f t="shared" si="93"/>
        <v>#REF!</v>
      </c>
      <c r="Q250" s="5" t="e">
        <f t="shared" si="92"/>
        <v>#REF!</v>
      </c>
      <c r="R250" s="5" t="e">
        <f t="shared" si="92"/>
        <v>#REF!</v>
      </c>
      <c r="S250" s="5" t="e">
        <f t="shared" si="92"/>
        <v>#REF!</v>
      </c>
    </row>
    <row r="251" spans="1:19" x14ac:dyDescent="0.25">
      <c r="A251" s="31" t="e">
        <f>#REF!</f>
        <v>#REF!</v>
      </c>
      <c r="B251" s="31"/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93"/>
        <v>#REF!</v>
      </c>
      <c r="J251" s="5" t="e">
        <f t="shared" si="93"/>
        <v>#REF!</v>
      </c>
      <c r="K251" s="5" t="e">
        <f t="shared" si="93"/>
        <v>#REF!</v>
      </c>
      <c r="L251" s="5" t="e">
        <f t="shared" si="93"/>
        <v>#REF!</v>
      </c>
      <c r="M251" s="5" t="e">
        <f t="shared" si="93"/>
        <v>#REF!</v>
      </c>
      <c r="N251" s="5" t="e">
        <f t="shared" si="93"/>
        <v>#REF!</v>
      </c>
      <c r="O251" s="5" t="e">
        <f t="shared" si="93"/>
        <v>#REF!</v>
      </c>
      <c r="P251" s="5" t="e">
        <f t="shared" si="93"/>
        <v>#REF!</v>
      </c>
      <c r="Q251" s="5" t="e">
        <f t="shared" si="92"/>
        <v>#REF!</v>
      </c>
      <c r="R251" s="5" t="e">
        <f t="shared" si="92"/>
        <v>#REF!</v>
      </c>
      <c r="S251" s="5" t="e">
        <f t="shared" si="92"/>
        <v>#REF!</v>
      </c>
    </row>
    <row r="252" spans="1:19" x14ac:dyDescent="0.25">
      <c r="A252" s="31" t="e">
        <f>#REF!</f>
        <v>#REF!</v>
      </c>
      <c r="B252" s="31"/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93"/>
        <v>#REF!</v>
      </c>
      <c r="J252" s="5" t="e">
        <f t="shared" si="93"/>
        <v>#REF!</v>
      </c>
      <c r="K252" s="5" t="e">
        <f t="shared" si="93"/>
        <v>#REF!</v>
      </c>
      <c r="L252" s="5" t="e">
        <f t="shared" si="93"/>
        <v>#REF!</v>
      </c>
      <c r="M252" s="5" t="e">
        <f t="shared" si="93"/>
        <v>#REF!</v>
      </c>
      <c r="N252" s="5" t="e">
        <f t="shared" si="93"/>
        <v>#REF!</v>
      </c>
      <c r="O252" s="5" t="e">
        <f t="shared" si="93"/>
        <v>#REF!</v>
      </c>
      <c r="P252" s="5" t="e">
        <f t="shared" si="93"/>
        <v>#REF!</v>
      </c>
      <c r="Q252" s="5" t="e">
        <f t="shared" si="92"/>
        <v>#REF!</v>
      </c>
      <c r="R252" s="5" t="e">
        <f t="shared" si="92"/>
        <v>#REF!</v>
      </c>
      <c r="S252" s="5" t="e">
        <f t="shared" si="92"/>
        <v>#REF!</v>
      </c>
    </row>
    <row r="253" spans="1:19" x14ac:dyDescent="0.25">
      <c r="A253" s="31" t="e">
        <f>#REF!</f>
        <v>#REF!</v>
      </c>
      <c r="B253" s="31"/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93"/>
        <v>#REF!</v>
      </c>
      <c r="J253" s="5" t="e">
        <f t="shared" si="93"/>
        <v>#REF!</v>
      </c>
      <c r="K253" s="5" t="e">
        <f t="shared" si="93"/>
        <v>#REF!</v>
      </c>
      <c r="L253" s="5" t="e">
        <f t="shared" si="93"/>
        <v>#REF!</v>
      </c>
      <c r="M253" s="5" t="e">
        <f t="shared" si="93"/>
        <v>#REF!</v>
      </c>
      <c r="N253" s="5" t="e">
        <f t="shared" si="93"/>
        <v>#REF!</v>
      </c>
      <c r="O253" s="5" t="e">
        <f t="shared" si="93"/>
        <v>#REF!</v>
      </c>
      <c r="P253" s="5" t="e">
        <f t="shared" si="93"/>
        <v>#REF!</v>
      </c>
      <c r="Q253" s="5" t="e">
        <f t="shared" si="92"/>
        <v>#REF!</v>
      </c>
      <c r="R253" s="5" t="e">
        <f t="shared" si="92"/>
        <v>#REF!</v>
      </c>
      <c r="S253" s="5" t="e">
        <f t="shared" si="92"/>
        <v>#REF!</v>
      </c>
    </row>
    <row r="254" spans="1:19" x14ac:dyDescent="0.25">
      <c r="A254" s="31" t="e">
        <f>#REF!</f>
        <v>#REF!</v>
      </c>
      <c r="B254" s="31"/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93"/>
        <v>#REF!</v>
      </c>
      <c r="J254" s="5" t="e">
        <f t="shared" si="93"/>
        <v>#REF!</v>
      </c>
      <c r="K254" s="5" t="e">
        <f t="shared" si="93"/>
        <v>#REF!</v>
      </c>
      <c r="L254" s="5" t="e">
        <f t="shared" si="93"/>
        <v>#REF!</v>
      </c>
      <c r="M254" s="5" t="e">
        <f t="shared" si="93"/>
        <v>#REF!</v>
      </c>
      <c r="N254" s="5" t="e">
        <f t="shared" si="93"/>
        <v>#REF!</v>
      </c>
      <c r="O254" s="5" t="e">
        <f t="shared" si="93"/>
        <v>#REF!</v>
      </c>
      <c r="P254" s="5" t="e">
        <f t="shared" si="93"/>
        <v>#REF!</v>
      </c>
      <c r="Q254" s="5" t="e">
        <f t="shared" si="92"/>
        <v>#REF!</v>
      </c>
      <c r="R254" s="5" t="e">
        <f t="shared" si="92"/>
        <v>#REF!</v>
      </c>
      <c r="S254" s="5" t="e">
        <f t="shared" si="92"/>
        <v>#REF!</v>
      </c>
    </row>
    <row r="255" spans="1:19" x14ac:dyDescent="0.25">
      <c r="A255" s="31" t="e">
        <f>#REF!</f>
        <v>#REF!</v>
      </c>
      <c r="B255" s="31"/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93"/>
        <v>#REF!</v>
      </c>
      <c r="J255" s="5" t="e">
        <f t="shared" si="93"/>
        <v>#REF!</v>
      </c>
      <c r="K255" s="5" t="e">
        <f t="shared" si="93"/>
        <v>#REF!</v>
      </c>
      <c r="L255" s="5" t="e">
        <f t="shared" si="93"/>
        <v>#REF!</v>
      </c>
      <c r="M255" s="5" t="e">
        <f t="shared" si="93"/>
        <v>#REF!</v>
      </c>
      <c r="N255" s="5" t="e">
        <f t="shared" si="93"/>
        <v>#REF!</v>
      </c>
      <c r="O255" s="5" t="e">
        <f t="shared" si="93"/>
        <v>#REF!</v>
      </c>
      <c r="P255" s="5" t="e">
        <f t="shared" si="93"/>
        <v>#REF!</v>
      </c>
      <c r="Q255" s="5" t="e">
        <f t="shared" si="92"/>
        <v>#REF!</v>
      </c>
      <c r="R255" s="5" t="e">
        <f t="shared" si="92"/>
        <v>#REF!</v>
      </c>
      <c r="S255" s="5" t="e">
        <f t="shared" si="92"/>
        <v>#REF!</v>
      </c>
    </row>
    <row r="256" spans="1:19" x14ac:dyDescent="0.25">
      <c r="A256" s="31" t="e">
        <f>#REF!</f>
        <v>#REF!</v>
      </c>
      <c r="B256" s="31"/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93"/>
        <v>#REF!</v>
      </c>
      <c r="J256" s="5" t="e">
        <f t="shared" si="93"/>
        <v>#REF!</v>
      </c>
      <c r="K256" s="5" t="e">
        <f t="shared" si="93"/>
        <v>#REF!</v>
      </c>
      <c r="L256" s="5" t="e">
        <f t="shared" si="93"/>
        <v>#REF!</v>
      </c>
      <c r="M256" s="5" t="e">
        <f t="shared" si="93"/>
        <v>#REF!</v>
      </c>
      <c r="N256" s="5" t="e">
        <f t="shared" si="93"/>
        <v>#REF!</v>
      </c>
      <c r="O256" s="5" t="e">
        <f t="shared" si="93"/>
        <v>#REF!</v>
      </c>
      <c r="P256" s="5" t="e">
        <f t="shared" si="93"/>
        <v>#REF!</v>
      </c>
      <c r="Q256" s="5" t="e">
        <f t="shared" si="92"/>
        <v>#REF!</v>
      </c>
      <c r="R256" s="5" t="e">
        <f t="shared" si="92"/>
        <v>#REF!</v>
      </c>
      <c r="S256" s="5" t="e">
        <f t="shared" si="92"/>
        <v>#REF!</v>
      </c>
    </row>
    <row r="257" spans="1:19" x14ac:dyDescent="0.25">
      <c r="A257" s="31" t="e">
        <f>#REF!</f>
        <v>#REF!</v>
      </c>
      <c r="B257" s="31"/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93"/>
        <v>#REF!</v>
      </c>
      <c r="J257" s="5" t="e">
        <f t="shared" si="93"/>
        <v>#REF!</v>
      </c>
      <c r="K257" s="5" t="e">
        <f t="shared" si="93"/>
        <v>#REF!</v>
      </c>
      <c r="L257" s="5" t="e">
        <f t="shared" si="93"/>
        <v>#REF!</v>
      </c>
      <c r="M257" s="5" t="e">
        <f t="shared" si="93"/>
        <v>#REF!</v>
      </c>
      <c r="N257" s="5" t="e">
        <f t="shared" si="93"/>
        <v>#REF!</v>
      </c>
      <c r="O257" s="5" t="e">
        <f t="shared" si="93"/>
        <v>#REF!</v>
      </c>
      <c r="P257" s="5" t="e">
        <f t="shared" si="93"/>
        <v>#REF!</v>
      </c>
      <c r="Q257" s="5" t="e">
        <f t="shared" si="92"/>
        <v>#REF!</v>
      </c>
      <c r="R257" s="5" t="e">
        <f t="shared" si="92"/>
        <v>#REF!</v>
      </c>
      <c r="S257" s="5" t="e">
        <f t="shared" si="92"/>
        <v>#REF!</v>
      </c>
    </row>
    <row r="258" spans="1:19" x14ac:dyDescent="0.25">
      <c r="A258" s="31" t="e">
        <f>#REF!</f>
        <v>#REF!</v>
      </c>
      <c r="B258" s="31"/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93"/>
        <v>#REF!</v>
      </c>
      <c r="J258" s="5" t="e">
        <f t="shared" si="93"/>
        <v>#REF!</v>
      </c>
      <c r="K258" s="5" t="e">
        <f t="shared" si="93"/>
        <v>#REF!</v>
      </c>
      <c r="L258" s="5" t="e">
        <f t="shared" si="93"/>
        <v>#REF!</v>
      </c>
      <c r="M258" s="5" t="e">
        <f t="shared" si="93"/>
        <v>#REF!</v>
      </c>
      <c r="N258" s="5" t="e">
        <f t="shared" si="93"/>
        <v>#REF!</v>
      </c>
      <c r="O258" s="5" t="e">
        <f t="shared" si="93"/>
        <v>#REF!</v>
      </c>
      <c r="P258" s="5" t="e">
        <f t="shared" si="93"/>
        <v>#REF!</v>
      </c>
      <c r="Q258" s="5" t="e">
        <f t="shared" ref="Q258:S269" si="94">P258</f>
        <v>#REF!</v>
      </c>
      <c r="R258" s="5" t="e">
        <f t="shared" si="94"/>
        <v>#REF!</v>
      </c>
      <c r="S258" s="5" t="e">
        <f t="shared" si="94"/>
        <v>#REF!</v>
      </c>
    </row>
    <row r="259" spans="1:19" x14ac:dyDescent="0.25">
      <c r="A259" s="31" t="e">
        <f>#REF!</f>
        <v>#REF!</v>
      </c>
      <c r="B259" s="31"/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si="93"/>
        <v>#REF!</v>
      </c>
      <c r="J259" s="5" t="e">
        <f t="shared" si="93"/>
        <v>#REF!</v>
      </c>
      <c r="K259" s="5" t="e">
        <f t="shared" si="93"/>
        <v>#REF!</v>
      </c>
      <c r="L259" s="5" t="e">
        <f t="shared" si="93"/>
        <v>#REF!</v>
      </c>
      <c r="M259" s="5" t="e">
        <f t="shared" si="93"/>
        <v>#REF!</v>
      </c>
      <c r="N259" s="5" t="e">
        <f t="shared" si="93"/>
        <v>#REF!</v>
      </c>
      <c r="O259" s="5" t="e">
        <f t="shared" si="93"/>
        <v>#REF!</v>
      </c>
      <c r="P259" s="5" t="e">
        <f t="shared" si="93"/>
        <v>#REF!</v>
      </c>
      <c r="Q259" s="5" t="e">
        <f t="shared" si="94"/>
        <v>#REF!</v>
      </c>
      <c r="R259" s="5" t="e">
        <f t="shared" si="94"/>
        <v>#REF!</v>
      </c>
      <c r="S259" s="5" t="e">
        <f t="shared" si="94"/>
        <v>#REF!</v>
      </c>
    </row>
    <row r="260" spans="1:19" x14ac:dyDescent="0.25">
      <c r="A260" s="31" t="e">
        <f>#REF!</f>
        <v>#REF!</v>
      </c>
      <c r="B260" s="31"/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93"/>
        <v>#REF!</v>
      </c>
      <c r="J260" s="5" t="e">
        <f t="shared" si="93"/>
        <v>#REF!</v>
      </c>
      <c r="K260" s="5" t="e">
        <f t="shared" si="93"/>
        <v>#REF!</v>
      </c>
      <c r="L260" s="5" t="e">
        <f t="shared" si="93"/>
        <v>#REF!</v>
      </c>
      <c r="M260" s="5" t="e">
        <f t="shared" si="93"/>
        <v>#REF!</v>
      </c>
      <c r="N260" s="5" t="e">
        <f t=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<f t="shared" si="94"/>
        <v>#REF!</v>
      </c>
      <c r="R260" s="5" t="e">
        <f t="shared" si="94"/>
        <v>#REF!</v>
      </c>
      <c r="S260" s="5" t="e">
        <f t="shared" si="94"/>
        <v>#REF!</v>
      </c>
    </row>
    <row r="261" spans="1:19" x14ac:dyDescent="0.25">
      <c r="A261" s="31" t="e">
        <f>#REF!</f>
        <v>#REF!</v>
      </c>
      <c r="B261" s="31"/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93"/>
        <v>#REF!</v>
      </c>
      <c r="J261" s="5" t="e">
        <f t="shared" si="93"/>
        <v>#REF!</v>
      </c>
      <c r="K261" s="5" t="e">
        <f t="shared" si="93"/>
        <v>#REF!</v>
      </c>
      <c r="L261" s="5" t="e">
        <f t="shared" si="93"/>
        <v>#REF!</v>
      </c>
      <c r="M261" s="5" t="e">
        <f t="shared" si="93"/>
        <v>#REF!</v>
      </c>
      <c r="N261" s="5" t="e">
        <f t="shared" si="93"/>
        <v>#REF!</v>
      </c>
      <c r="O261" s="5" t="e">
        <f t="shared" si="93"/>
        <v>#REF!</v>
      </c>
      <c r="P261" s="5" t="e">
        <f t="shared" si="93"/>
        <v>#REF!</v>
      </c>
      <c r="Q261" s="5" t="e">
        <f t="shared" si="94"/>
        <v>#REF!</v>
      </c>
      <c r="R261" s="5" t="e">
        <f t="shared" si="94"/>
        <v>#REF!</v>
      </c>
      <c r="S261" s="5" t="e">
        <f t="shared" si="94"/>
        <v>#REF!</v>
      </c>
    </row>
    <row r="262" spans="1:19" x14ac:dyDescent="0.25">
      <c r="A262" s="31" t="e">
        <f>#REF!</f>
        <v>#REF!</v>
      </c>
      <c r="B262" s="31"/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93"/>
        <v>#REF!</v>
      </c>
      <c r="J262" s="5" t="e">
        <f t="shared" si="93"/>
        <v>#REF!</v>
      </c>
      <c r="K262" s="5" t="e">
        <f t="shared" si="93"/>
        <v>#REF!</v>
      </c>
      <c r="L262" s="5" t="e">
        <f t="shared" si="93"/>
        <v>#REF!</v>
      </c>
      <c r="M262" s="5" t="e">
        <f t="shared" si="93"/>
        <v>#REF!</v>
      </c>
      <c r="N262" s="5" t="e">
        <f t="shared" si="93"/>
        <v>#REF!</v>
      </c>
      <c r="O262" s="5" t="e">
        <f t="shared" si="93"/>
        <v>#REF!</v>
      </c>
      <c r="P262" s="5" t="e">
        <f t="shared" si="93"/>
        <v>#REF!</v>
      </c>
      <c r="Q262" s="5" t="e">
        <f t="shared" si="94"/>
        <v>#REF!</v>
      </c>
      <c r="R262" s="5" t="e">
        <f t="shared" si="94"/>
        <v>#REF!</v>
      </c>
      <c r="S262" s="5" t="e">
        <f t="shared" si="94"/>
        <v>#REF!</v>
      </c>
    </row>
    <row r="263" spans="1:19" x14ac:dyDescent="0.25">
      <c r="A263" s="31" t="e">
        <f>#REF!</f>
        <v>#REF!</v>
      </c>
      <c r="B263" s="31"/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93"/>
        <v>#REF!</v>
      </c>
      <c r="J263" s="5" t="e">
        <f t="shared" si="93"/>
        <v>#REF!</v>
      </c>
      <c r="K263" s="5" t="e">
        <f t="shared" si="93"/>
        <v>#REF!</v>
      </c>
      <c r="L263" s="5" t="e">
        <f t="shared" si="93"/>
        <v>#REF!</v>
      </c>
      <c r="M263" s="5" t="e">
        <f t="shared" si="93"/>
        <v>#REF!</v>
      </c>
      <c r="N263" s="5" t="e">
        <f t="shared" si="93"/>
        <v>#REF!</v>
      </c>
      <c r="O263" s="5" t="e">
        <f t="shared" si="93"/>
        <v>#REF!</v>
      </c>
      <c r="P263" s="5" t="e">
        <f t="shared" si="93"/>
        <v>#REF!</v>
      </c>
      <c r="Q263" s="5" t="e">
        <f t="shared" si="94"/>
        <v>#REF!</v>
      </c>
      <c r="R263" s="5" t="e">
        <f t="shared" si="94"/>
        <v>#REF!</v>
      </c>
      <c r="S263" s="5" t="e">
        <f t="shared" si="94"/>
        <v>#REF!</v>
      </c>
    </row>
    <row r="264" spans="1:19" x14ac:dyDescent="0.25">
      <c r="A264" s="31" t="e">
        <f>#REF!</f>
        <v>#REF!</v>
      </c>
      <c r="B264" s="31"/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93"/>
        <v>#REF!</v>
      </c>
      <c r="J264" s="5" t="e">
        <f t="shared" si="93"/>
        <v>#REF!</v>
      </c>
      <c r="K264" s="5" t="e">
        <f t="shared" si="93"/>
        <v>#REF!</v>
      </c>
      <c r="L264" s="5" t="e">
        <f t="shared" si="93"/>
        <v>#REF!</v>
      </c>
      <c r="M264" s="5" t="e">
        <f t="shared" si="93"/>
        <v>#REF!</v>
      </c>
      <c r="N264" s="5" t="e">
        <f t="shared" si="93"/>
        <v>#REF!</v>
      </c>
      <c r="O264" s="5" t="e">
        <f t="shared" si="93"/>
        <v>#REF!</v>
      </c>
      <c r="P264" s="5" t="e">
        <f t="shared" si="93"/>
        <v>#REF!</v>
      </c>
      <c r="Q264" s="5" t="e">
        <f t="shared" si="94"/>
        <v>#REF!</v>
      </c>
      <c r="R264" s="5" t="e">
        <f t="shared" si="94"/>
        <v>#REF!</v>
      </c>
      <c r="S264" s="5" t="e">
        <f t="shared" si="94"/>
        <v>#REF!</v>
      </c>
    </row>
    <row r="265" spans="1:19" x14ac:dyDescent="0.25">
      <c r="A265" s="31" t="e">
        <f>#REF!</f>
        <v>#REF!</v>
      </c>
      <c r="B265" s="31"/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93"/>
        <v>#REF!</v>
      </c>
      <c r="J265" s="5" t="e">
        <f t="shared" si="93"/>
        <v>#REF!</v>
      </c>
      <c r="K265" s="5" t="e">
        <f t="shared" si="93"/>
        <v>#REF!</v>
      </c>
      <c r="L265" s="5" t="e">
        <f t="shared" si="93"/>
        <v>#REF!</v>
      </c>
      <c r="M265" s="5" t="e">
        <f t="shared" si="93"/>
        <v>#REF!</v>
      </c>
      <c r="N265" s="5" t="e">
        <f t="shared" si="93"/>
        <v>#REF!</v>
      </c>
      <c r="O265" s="5" t="e">
        <f t="shared" si="93"/>
        <v>#REF!</v>
      </c>
      <c r="P265" s="5" t="e">
        <f t="shared" si="93"/>
        <v>#REF!</v>
      </c>
      <c r="Q265" s="5" t="e">
        <f t="shared" si="94"/>
        <v>#REF!</v>
      </c>
      <c r="R265" s="5" t="e">
        <f t="shared" si="94"/>
        <v>#REF!</v>
      </c>
      <c r="S265" s="5" t="e">
        <f t="shared" si="94"/>
        <v>#REF!</v>
      </c>
    </row>
    <row r="266" spans="1:19" x14ac:dyDescent="0.25">
      <c r="A266" s="31" t="e">
        <f>#REF!</f>
        <v>#REF!</v>
      </c>
      <c r="B266" s="31"/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93"/>
        <v>#REF!</v>
      </c>
      <c r="J266" s="5" t="e">
        <f t="shared" si="93"/>
        <v>#REF!</v>
      </c>
      <c r="K266" s="5" t="e">
        <f t="shared" si="93"/>
        <v>#REF!</v>
      </c>
      <c r="L266" s="5" t="e">
        <f t="shared" si="93"/>
        <v>#REF!</v>
      </c>
      <c r="M266" s="5" t="e">
        <f t="shared" si="93"/>
        <v>#REF!</v>
      </c>
      <c r="N266" s="5" t="e">
        <f t="shared" si="93"/>
        <v>#REF!</v>
      </c>
      <c r="O266" s="5" t="e">
        <f t="shared" si="93"/>
        <v>#REF!</v>
      </c>
      <c r="P266" s="5" t="e">
        <f t="shared" si="93"/>
        <v>#REF!</v>
      </c>
      <c r="Q266" s="5" t="e">
        <f t="shared" si="94"/>
        <v>#REF!</v>
      </c>
      <c r="R266" s="5" t="e">
        <f t="shared" si="94"/>
        <v>#REF!</v>
      </c>
      <c r="S266" s="5" t="e">
        <f t="shared" si="94"/>
        <v>#REF!</v>
      </c>
    </row>
    <row r="267" spans="1:19" x14ac:dyDescent="0.25">
      <c r="A267" s="31" t="e">
        <f>#REF!</f>
        <v>#REF!</v>
      </c>
      <c r="B267" s="31"/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93"/>
        <v>#REF!</v>
      </c>
      <c r="J267" s="5" t="e">
        <f t="shared" si="93"/>
        <v>#REF!</v>
      </c>
      <c r="K267" s="5" t="e">
        <f t="shared" si="93"/>
        <v>#REF!</v>
      </c>
      <c r="L267" s="5" t="e">
        <f t="shared" si="93"/>
        <v>#REF!</v>
      </c>
      <c r="M267" s="5" t="e">
        <f t="shared" si="93"/>
        <v>#REF!</v>
      </c>
      <c r="N267" s="5" t="e">
        <f t="shared" si="93"/>
        <v>#REF!</v>
      </c>
      <c r="O267" s="5" t="e">
        <f t="shared" si="93"/>
        <v>#REF!</v>
      </c>
      <c r="P267" s="5" t="e">
        <f t="shared" si="93"/>
        <v>#REF!</v>
      </c>
      <c r="Q267" s="5" t="e">
        <f t="shared" si="94"/>
        <v>#REF!</v>
      </c>
      <c r="R267" s="5" t="e">
        <f t="shared" si="94"/>
        <v>#REF!</v>
      </c>
      <c r="S267" s="5" t="e">
        <f t="shared" si="94"/>
        <v>#REF!</v>
      </c>
    </row>
    <row r="268" spans="1:19" x14ac:dyDescent="0.25">
      <c r="A268" s="31" t="e">
        <f>#REF!</f>
        <v>#REF!</v>
      </c>
      <c r="B268" s="31"/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93"/>
        <v>#REF!</v>
      </c>
      <c r="J268" s="5" t="e">
        <f t="shared" si="93"/>
        <v>#REF!</v>
      </c>
      <c r="K268" s="5" t="e">
        <f t="shared" si="93"/>
        <v>#REF!</v>
      </c>
      <c r="L268" s="5" t="e">
        <f t="shared" si="93"/>
        <v>#REF!</v>
      </c>
      <c r="M268" s="5" t="e">
        <f t="shared" si="93"/>
        <v>#REF!</v>
      </c>
      <c r="N268" s="5" t="e">
        <f t="shared" si="93"/>
        <v>#REF!</v>
      </c>
      <c r="O268" s="5" t="e">
        <f t="shared" si="93"/>
        <v>#REF!</v>
      </c>
      <c r="P268" s="5" t="e">
        <f t="shared" si="93"/>
        <v>#REF!</v>
      </c>
      <c r="Q268" s="5" t="e">
        <f t="shared" si="94"/>
        <v>#REF!</v>
      </c>
      <c r="R268" s="5" t="e">
        <f t="shared" si="94"/>
        <v>#REF!</v>
      </c>
      <c r="S268" s="5" t="e">
        <f t="shared" si="94"/>
        <v>#REF!</v>
      </c>
    </row>
    <row r="269" spans="1:19" x14ac:dyDescent="0.25">
      <c r="A269" s="31" t="e">
        <f>#REF!</f>
        <v>#REF!</v>
      </c>
      <c r="B269" s="31"/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93"/>
        <v>#REF!</v>
      </c>
      <c r="J269" s="5" t="e">
        <f t="shared" si="93"/>
        <v>#REF!</v>
      </c>
      <c r="K269" s="5" t="e">
        <f t="shared" si="93"/>
        <v>#REF!</v>
      </c>
      <c r="L269" s="5" t="e">
        <f t="shared" si="93"/>
        <v>#REF!</v>
      </c>
      <c r="M269" s="5" t="e">
        <f t="shared" si="93"/>
        <v>#REF!</v>
      </c>
      <c r="N269" s="5" t="e">
        <f t="shared" si="93"/>
        <v>#REF!</v>
      </c>
      <c r="O269" s="5" t="e">
        <f t="shared" si="93"/>
        <v>#REF!</v>
      </c>
      <c r="P269" s="5" t="e">
        <f t="shared" si="93"/>
        <v>#REF!</v>
      </c>
      <c r="Q269" s="5" t="e">
        <f t="shared" si="94"/>
        <v>#REF!</v>
      </c>
      <c r="R269" s="5" t="e">
        <f t="shared" si="94"/>
        <v>#REF!</v>
      </c>
      <c r="S269" s="5" t="e">
        <f t="shared" si="94"/>
        <v>#REF!</v>
      </c>
    </row>
    <row r="270" spans="1:19" x14ac:dyDescent="0.25">
      <c r="A270" s="31" t="e">
        <f>#REF!</f>
        <v>#REF!</v>
      </c>
      <c r="B270" s="31"/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93"/>
        <v>#REF!</v>
      </c>
      <c r="J270" s="5" t="e">
        <f t="shared" si="93"/>
        <v>#REF!</v>
      </c>
      <c r="K270" s="5" t="e">
        <f t="shared" si="93"/>
        <v>#REF!</v>
      </c>
      <c r="L270" s="5" t="e">
        <f t="shared" ref="J270:P285" si="95">K270</f>
        <v>#REF!</v>
      </c>
      <c r="M270" s="5" t="e">
        <f t="shared" si="95"/>
        <v>#REF!</v>
      </c>
      <c r="N270" s="5" t="e">
        <f t="shared" si="95"/>
        <v>#REF!</v>
      </c>
      <c r="O270" s="5" t="e">
        <f t="shared" si="95"/>
        <v>#REF!</v>
      </c>
      <c r="P270" s="5" t="e">
        <f t="shared" si="95"/>
        <v>#REF!</v>
      </c>
      <c r="Q270" s="5" t="e">
        <f t="shared" ref="Q270:S270" si="96">P270</f>
        <v>#REF!</v>
      </c>
      <c r="R270" s="5" t="e">
        <f t="shared" si="96"/>
        <v>#REF!</v>
      </c>
      <c r="S270" s="5" t="e">
        <f t="shared" si="96"/>
        <v>#REF!</v>
      </c>
    </row>
    <row r="271" spans="1:19" x14ac:dyDescent="0.25">
      <c r="A271" s="31" t="e">
        <f>#REF!</f>
        <v>#REF!</v>
      </c>
      <c r="B271" s="31"/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93"/>
        <v>#REF!</v>
      </c>
      <c r="J271" s="5" t="e">
        <f t="shared" si="95"/>
        <v>#REF!</v>
      </c>
      <c r="K271" s="5" t="e">
        <f t="shared" si="95"/>
        <v>#REF!</v>
      </c>
      <c r="L271" s="5" t="e">
        <f t="shared" si="95"/>
        <v>#REF!</v>
      </c>
      <c r="M271" s="5" t="e">
        <f t="shared" si="95"/>
        <v>#REF!</v>
      </c>
      <c r="N271" s="5" t="e">
        <f t="shared" si="95"/>
        <v>#REF!</v>
      </c>
      <c r="O271" s="5" t="e">
        <f t="shared" si="95"/>
        <v>#REF!</v>
      </c>
      <c r="P271" s="5" t="e">
        <f t="shared" si="95"/>
        <v>#REF!</v>
      </c>
      <c r="Q271" s="5" t="e">
        <f t="shared" ref="Q271:S271" si="97">P271</f>
        <v>#REF!</v>
      </c>
      <c r="R271" s="5" t="e">
        <f t="shared" si="97"/>
        <v>#REF!</v>
      </c>
      <c r="S271" s="5" t="e">
        <f t="shared" si="97"/>
        <v>#REF!</v>
      </c>
    </row>
    <row r="272" spans="1:19" x14ac:dyDescent="0.25">
      <c r="A272" s="31" t="e">
        <f>#REF!</f>
        <v>#REF!</v>
      </c>
      <c r="B272" s="31"/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93"/>
        <v>#REF!</v>
      </c>
      <c r="J272" s="5" t="e">
        <f t="shared" si="95"/>
        <v>#REF!</v>
      </c>
      <c r="K272" s="5" t="e">
        <f t="shared" si="95"/>
        <v>#REF!</v>
      </c>
      <c r="L272" s="5" t="e">
        <f t="shared" si="95"/>
        <v>#REF!</v>
      </c>
      <c r="M272" s="5" t="e">
        <f t="shared" si="95"/>
        <v>#REF!</v>
      </c>
      <c r="N272" s="5" t="e">
        <f t="shared" si="95"/>
        <v>#REF!</v>
      </c>
      <c r="O272" s="5" t="e">
        <f t="shared" si="95"/>
        <v>#REF!</v>
      </c>
      <c r="P272" s="5" t="e">
        <f t="shared" si="95"/>
        <v>#REF!</v>
      </c>
      <c r="Q272" s="5" t="e">
        <f t="shared" ref="Q272:S272" si="98">P272</f>
        <v>#REF!</v>
      </c>
      <c r="R272" s="5" t="e">
        <f t="shared" si="98"/>
        <v>#REF!</v>
      </c>
      <c r="S272" s="5" t="e">
        <f t="shared" si="98"/>
        <v>#REF!</v>
      </c>
    </row>
    <row r="273" spans="1:19" x14ac:dyDescent="0.25">
      <c r="A273" s="31" t="e">
        <f>#REF!</f>
        <v>#REF!</v>
      </c>
      <c r="B273" s="31"/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93"/>
        <v>#REF!</v>
      </c>
      <c r="J273" s="5" t="e">
        <f t="shared" si="95"/>
        <v>#REF!</v>
      </c>
      <c r="K273" s="5" t="e">
        <f t="shared" si="95"/>
        <v>#REF!</v>
      </c>
      <c r="L273" s="5" t="e">
        <f t="shared" si="95"/>
        <v>#REF!</v>
      </c>
      <c r="M273" s="5" t="e">
        <f t="shared" si="95"/>
        <v>#REF!</v>
      </c>
      <c r="N273" s="5" t="e">
        <f t="shared" si="95"/>
        <v>#REF!</v>
      </c>
      <c r="O273" s="5" t="e">
        <f t="shared" si="95"/>
        <v>#REF!</v>
      </c>
      <c r="P273" s="5" t="e">
        <f t="shared" si="95"/>
        <v>#REF!</v>
      </c>
      <c r="Q273" s="5" t="e">
        <f t="shared" ref="Q273:S273" si="99">P273</f>
        <v>#REF!</v>
      </c>
      <c r="R273" s="5" t="e">
        <f t="shared" si="99"/>
        <v>#REF!</v>
      </c>
      <c r="S273" s="5" t="e">
        <f t="shared" si="99"/>
        <v>#REF!</v>
      </c>
    </row>
    <row r="274" spans="1:19" x14ac:dyDescent="0.25">
      <c r="A274" s="31" t="e">
        <f>#REF!</f>
        <v>#REF!</v>
      </c>
      <c r="B274" s="31"/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93"/>
        <v>#REF!</v>
      </c>
      <c r="J274" s="5" t="e">
        <f t="shared" si="95"/>
        <v>#REF!</v>
      </c>
      <c r="K274" s="5" t="e">
        <f t="shared" si="95"/>
        <v>#REF!</v>
      </c>
      <c r="L274" s="5" t="e">
        <f t="shared" si="95"/>
        <v>#REF!</v>
      </c>
      <c r="M274" s="5" t="e">
        <f t="shared" si="95"/>
        <v>#REF!</v>
      </c>
      <c r="N274" s="5" t="e">
        <f t="shared" si="95"/>
        <v>#REF!</v>
      </c>
      <c r="O274" s="5" t="e">
        <f t="shared" si="95"/>
        <v>#REF!</v>
      </c>
      <c r="P274" s="5" t="e">
        <f t="shared" si="95"/>
        <v>#REF!</v>
      </c>
      <c r="Q274" s="5" t="e">
        <f t="shared" ref="Q274:S274" si="100">P274</f>
        <v>#REF!</v>
      </c>
      <c r="R274" s="5" t="e">
        <f t="shared" si="100"/>
        <v>#REF!</v>
      </c>
      <c r="S274" s="5" t="e">
        <f t="shared" si="100"/>
        <v>#REF!</v>
      </c>
    </row>
    <row r="275" spans="1:19" x14ac:dyDescent="0.25">
      <c r="A275" s="31" t="e">
        <f>#REF!</f>
        <v>#REF!</v>
      </c>
      <c r="B275" s="31"/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si="93"/>
        <v>#REF!</v>
      </c>
      <c r="J275" s="5" t="e">
        <f t="shared" si="95"/>
        <v>#REF!</v>
      </c>
      <c r="K275" s="5" t="e">
        <f t="shared" si="95"/>
        <v>#REF!</v>
      </c>
      <c r="L275" s="5" t="e">
        <f t="shared" si="95"/>
        <v>#REF!</v>
      </c>
      <c r="M275" s="5" t="e">
        <f t="shared" si="95"/>
        <v>#REF!</v>
      </c>
      <c r="N275" s="5" t="e">
        <f t="shared" si="95"/>
        <v>#REF!</v>
      </c>
      <c r="O275" s="5" t="e">
        <f t="shared" si="95"/>
        <v>#REF!</v>
      </c>
      <c r="P275" s="5" t="e">
        <f t="shared" si="95"/>
        <v>#REF!</v>
      </c>
      <c r="Q275" s="5" t="e">
        <f t="shared" ref="Q275:S275" si="101">P275</f>
        <v>#REF!</v>
      </c>
      <c r="R275" s="5" t="e">
        <f t="shared" si="101"/>
        <v>#REF!</v>
      </c>
      <c r="S275" s="5" t="e">
        <f t="shared" si="101"/>
        <v>#REF!</v>
      </c>
    </row>
    <row r="276" spans="1:19" x14ac:dyDescent="0.25">
      <c r="A276" s="31" t="e">
        <f>#REF!</f>
        <v>#REF!</v>
      </c>
      <c r="B276" s="31"/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93"/>
        <v>#REF!</v>
      </c>
      <c r="J276" s="5" t="e">
        <f t="shared" si="95"/>
        <v>#REF!</v>
      </c>
      <c r="K276" s="5" t="e">
        <f t="shared" si="95"/>
        <v>#REF!</v>
      </c>
      <c r="L276" s="5" t="e">
        <f t="shared" si="95"/>
        <v>#REF!</v>
      </c>
      <c r="M276" s="5" t="e">
        <f t="shared" si="95"/>
        <v>#REF!</v>
      </c>
      <c r="N276" s="5" t="e">
        <f t="shared" si="95"/>
        <v>#REF!</v>
      </c>
      <c r="O276" s="5" t="e">
        <f t="shared" si="95"/>
        <v>#REF!</v>
      </c>
      <c r="P276" s="5" t="e">
        <f t="shared" si="95"/>
        <v>#REF!</v>
      </c>
      <c r="Q276" s="5" t="e">
        <f t="shared" ref="Q276:S276" si="102">P276</f>
        <v>#REF!</v>
      </c>
      <c r="R276" s="5" t="e">
        <f t="shared" si="102"/>
        <v>#REF!</v>
      </c>
      <c r="S276" s="5" t="e">
        <f t="shared" si="102"/>
        <v>#REF!</v>
      </c>
    </row>
    <row r="277" spans="1:19" x14ac:dyDescent="0.25">
      <c r="A277" s="31" t="e">
        <f>#REF!</f>
        <v>#REF!</v>
      </c>
      <c r="B277" s="31"/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93"/>
        <v>#REF!</v>
      </c>
      <c r="J277" s="5" t="e">
        <f t="shared" si="95"/>
        <v>#REF!</v>
      </c>
      <c r="K277" s="5" t="e">
        <f t="shared" si="95"/>
        <v>#REF!</v>
      </c>
      <c r="L277" s="5" t="e">
        <f t="shared" si="95"/>
        <v>#REF!</v>
      </c>
      <c r="M277" s="5" t="e">
        <f t="shared" si="95"/>
        <v>#REF!</v>
      </c>
      <c r="N277" s="5" t="e">
        <f t="shared" si="95"/>
        <v>#REF!</v>
      </c>
      <c r="O277" s="5" t="e">
        <f t="shared" si="95"/>
        <v>#REF!</v>
      </c>
      <c r="P277" s="5" t="e">
        <f t="shared" si="95"/>
        <v>#REF!</v>
      </c>
      <c r="Q277" s="5" t="e">
        <f t="shared" ref="Q277:S277" si="103">P277</f>
        <v>#REF!</v>
      </c>
      <c r="R277" s="5" t="e">
        <f t="shared" si="103"/>
        <v>#REF!</v>
      </c>
      <c r="S277" s="5" t="e">
        <f t="shared" si="103"/>
        <v>#REF!</v>
      </c>
    </row>
    <row r="278" spans="1:19" x14ac:dyDescent="0.25">
      <c r="A278" s="31" t="e">
        <f>#REF!</f>
        <v>#REF!</v>
      </c>
      <c r="B278" s="31"/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93"/>
        <v>#REF!</v>
      </c>
      <c r="J278" s="5" t="e">
        <f t="shared" si="95"/>
        <v>#REF!</v>
      </c>
      <c r="K278" s="5" t="e">
        <f t="shared" si="95"/>
        <v>#REF!</v>
      </c>
      <c r="L278" s="5" t="e">
        <f t="shared" si="95"/>
        <v>#REF!</v>
      </c>
      <c r="M278" s="5" t="e">
        <f t="shared" si="95"/>
        <v>#REF!</v>
      </c>
      <c r="N278" s="5" t="e">
        <f t="shared" si="95"/>
        <v>#REF!</v>
      </c>
      <c r="O278" s="5" t="e">
        <f t="shared" si="95"/>
        <v>#REF!</v>
      </c>
      <c r="P278" s="5" t="e">
        <f t="shared" si="95"/>
        <v>#REF!</v>
      </c>
      <c r="Q278" s="5" t="e">
        <f t="shared" ref="Q278:S278" si="104">P278</f>
        <v>#REF!</v>
      </c>
      <c r="R278" s="5" t="e">
        <f t="shared" si="104"/>
        <v>#REF!</v>
      </c>
      <c r="S278" s="5" t="e">
        <f t="shared" si="104"/>
        <v>#REF!</v>
      </c>
    </row>
    <row r="279" spans="1:19" x14ac:dyDescent="0.25">
      <c r="A279" s="31" t="e">
        <f>#REF!</f>
        <v>#REF!</v>
      </c>
      <c r="B279" s="31"/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93"/>
        <v>#REF!</v>
      </c>
      <c r="J279" s="5" t="e">
        <f t="shared" si="95"/>
        <v>#REF!</v>
      </c>
      <c r="K279" s="5" t="e">
        <f t="shared" si="95"/>
        <v>#REF!</v>
      </c>
      <c r="L279" s="5" t="e">
        <f t="shared" si="95"/>
        <v>#REF!</v>
      </c>
      <c r="M279" s="5" t="e">
        <f t="shared" si="95"/>
        <v>#REF!</v>
      </c>
      <c r="N279" s="5" t="e">
        <f t="shared" si="95"/>
        <v>#REF!</v>
      </c>
      <c r="O279" s="5" t="e">
        <f t="shared" si="95"/>
        <v>#REF!</v>
      </c>
      <c r="P279" s="5" t="e">
        <f t="shared" si="95"/>
        <v>#REF!</v>
      </c>
      <c r="Q279" s="5" t="e">
        <f t="shared" ref="Q279:S279" si="105">P279</f>
        <v>#REF!</v>
      </c>
      <c r="R279" s="5" t="e">
        <f t="shared" si="105"/>
        <v>#REF!</v>
      </c>
      <c r="S279" s="5" t="e">
        <f t="shared" si="105"/>
        <v>#REF!</v>
      </c>
    </row>
    <row r="280" spans="1:19" x14ac:dyDescent="0.25">
      <c r="A280" s="31" t="e">
        <f>#REF!</f>
        <v>#REF!</v>
      </c>
      <c r="B280" s="31"/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93"/>
        <v>#REF!</v>
      </c>
      <c r="J280" s="5" t="e">
        <f t="shared" si="95"/>
        <v>#REF!</v>
      </c>
      <c r="K280" s="5" t="e">
        <f t="shared" si="95"/>
        <v>#REF!</v>
      </c>
      <c r="L280" s="5" t="e">
        <f t="shared" si="95"/>
        <v>#REF!</v>
      </c>
      <c r="M280" s="5" t="e">
        <f t="shared" si="95"/>
        <v>#REF!</v>
      </c>
      <c r="N280" s="5" t="e">
        <f t="shared" si="95"/>
        <v>#REF!</v>
      </c>
      <c r="O280" s="5" t="e">
        <f t="shared" si="95"/>
        <v>#REF!</v>
      </c>
      <c r="P280" s="5" t="e">
        <f t="shared" si="95"/>
        <v>#REF!</v>
      </c>
      <c r="Q280" s="5" t="e">
        <f t="shared" ref="Q280:S280" si="106">P280</f>
        <v>#REF!</v>
      </c>
      <c r="R280" s="5" t="e">
        <f t="shared" si="106"/>
        <v>#REF!</v>
      </c>
      <c r="S280" s="5" t="e">
        <f t="shared" si="106"/>
        <v>#REF!</v>
      </c>
    </row>
    <row r="281" spans="1:19" x14ac:dyDescent="0.25">
      <c r="A281" s="31" t="e">
        <f>#REF!</f>
        <v>#REF!</v>
      </c>
      <c r="B281" s="31"/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93"/>
        <v>#REF!</v>
      </c>
      <c r="J281" s="5" t="e">
        <f t="shared" si="95"/>
        <v>#REF!</v>
      </c>
      <c r="K281" s="5" t="e">
        <f t="shared" si="95"/>
        <v>#REF!</v>
      </c>
      <c r="L281" s="5" t="e">
        <f t="shared" si="95"/>
        <v>#REF!</v>
      </c>
      <c r="M281" s="5" t="e">
        <f t="shared" si="95"/>
        <v>#REF!</v>
      </c>
      <c r="N281" s="5" t="e">
        <f t="shared" si="95"/>
        <v>#REF!</v>
      </c>
      <c r="O281" s="5" t="e">
        <f t="shared" si="95"/>
        <v>#REF!</v>
      </c>
      <c r="P281" s="5" t="e">
        <f t="shared" si="95"/>
        <v>#REF!</v>
      </c>
      <c r="Q281" s="5" t="e">
        <f t="shared" ref="Q281:S281" si="107">P281</f>
        <v>#REF!</v>
      </c>
      <c r="R281" s="5" t="e">
        <f t="shared" si="107"/>
        <v>#REF!</v>
      </c>
      <c r="S281" s="5" t="e">
        <f t="shared" si="107"/>
        <v>#REF!</v>
      </c>
    </row>
    <row r="282" spans="1:19" x14ac:dyDescent="0.25">
      <c r="A282" s="31" t="e">
        <f>#REF!</f>
        <v>#REF!</v>
      </c>
      <c r="B282" s="31"/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93"/>
        <v>#REF!</v>
      </c>
      <c r="J282" s="5" t="e">
        <f t="shared" si="95"/>
        <v>#REF!</v>
      </c>
      <c r="K282" s="5" t="e">
        <f t="shared" si="95"/>
        <v>#REF!</v>
      </c>
      <c r="L282" s="5" t="e">
        <f t="shared" si="95"/>
        <v>#REF!</v>
      </c>
      <c r="M282" s="5" t="e">
        <f t="shared" si="95"/>
        <v>#REF!</v>
      </c>
      <c r="N282" s="5" t="e">
        <f t="shared" si="95"/>
        <v>#REF!</v>
      </c>
      <c r="O282" s="5" t="e">
        <f t="shared" si="95"/>
        <v>#REF!</v>
      </c>
      <c r="P282" s="5" t="e">
        <f t="shared" si="95"/>
        <v>#REF!</v>
      </c>
      <c r="Q282" s="5" t="e">
        <f t="shared" ref="Q282:S282" si="108">P282</f>
        <v>#REF!</v>
      </c>
      <c r="R282" s="5" t="e">
        <f t="shared" si="108"/>
        <v>#REF!</v>
      </c>
      <c r="S282" s="5" t="e">
        <f t="shared" si="108"/>
        <v>#REF!</v>
      </c>
    </row>
    <row r="283" spans="1:19" x14ac:dyDescent="0.25">
      <c r="A283" s="31" t="e">
        <f>#REF!</f>
        <v>#REF!</v>
      </c>
      <c r="B283" s="31"/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93"/>
        <v>#REF!</v>
      </c>
      <c r="J283" s="5" t="e">
        <f t="shared" si="95"/>
        <v>#REF!</v>
      </c>
      <c r="K283" s="5" t="e">
        <f t="shared" si="95"/>
        <v>#REF!</v>
      </c>
      <c r="L283" s="5" t="e">
        <f t="shared" si="95"/>
        <v>#REF!</v>
      </c>
      <c r="M283" s="5" t="e">
        <f t="shared" si="95"/>
        <v>#REF!</v>
      </c>
      <c r="N283" s="5" t="e">
        <f t="shared" si="95"/>
        <v>#REF!</v>
      </c>
      <c r="O283" s="5" t="e">
        <f t="shared" si="95"/>
        <v>#REF!</v>
      </c>
      <c r="P283" s="5" t="e">
        <f t="shared" si="95"/>
        <v>#REF!</v>
      </c>
      <c r="Q283" s="5" t="e">
        <f t="shared" ref="Q283:S283" si="109">P283</f>
        <v>#REF!</v>
      </c>
      <c r="R283" s="5" t="e">
        <f t="shared" si="109"/>
        <v>#REF!</v>
      </c>
      <c r="S283" s="5" t="e">
        <f t="shared" si="109"/>
        <v>#REF!</v>
      </c>
    </row>
    <row r="284" spans="1:19" x14ac:dyDescent="0.25">
      <c r="A284" s="31" t="e">
        <f>#REF!</f>
        <v>#REF!</v>
      </c>
      <c r="B284" s="31"/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93"/>
        <v>#REF!</v>
      </c>
      <c r="J284" s="5" t="e">
        <f t="shared" si="95"/>
        <v>#REF!</v>
      </c>
      <c r="K284" s="5" t="e">
        <f t="shared" si="95"/>
        <v>#REF!</v>
      </c>
      <c r="L284" s="5" t="e">
        <f t="shared" si="95"/>
        <v>#REF!</v>
      </c>
      <c r="M284" s="5" t="e">
        <f t="shared" si="95"/>
        <v>#REF!</v>
      </c>
      <c r="N284" s="5" t="e">
        <f t="shared" si="95"/>
        <v>#REF!</v>
      </c>
      <c r="O284" s="5" t="e">
        <f t="shared" si="95"/>
        <v>#REF!</v>
      </c>
      <c r="P284" s="5" t="e">
        <f t="shared" si="95"/>
        <v>#REF!</v>
      </c>
      <c r="Q284" s="5" t="e">
        <f t="shared" ref="Q284:S284" si="110">P284</f>
        <v>#REF!</v>
      </c>
      <c r="R284" s="5" t="e">
        <f t="shared" si="110"/>
        <v>#REF!</v>
      </c>
      <c r="S284" s="5" t="e">
        <f t="shared" si="110"/>
        <v>#REF!</v>
      </c>
    </row>
    <row r="285" spans="1:19" x14ac:dyDescent="0.25">
      <c r="A285" s="31" t="e">
        <f>#REF!</f>
        <v>#REF!</v>
      </c>
      <c r="B285" s="31"/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93"/>
        <v>#REF!</v>
      </c>
      <c r="J285" s="5" t="e">
        <f t="shared" si="95"/>
        <v>#REF!</v>
      </c>
      <c r="K285" s="5" t="e">
        <f t="shared" si="95"/>
        <v>#REF!</v>
      </c>
      <c r="L285" s="5" t="e">
        <f t="shared" si="95"/>
        <v>#REF!</v>
      </c>
      <c r="M285" s="5" t="e">
        <f t="shared" si="95"/>
        <v>#REF!</v>
      </c>
      <c r="N285" s="5" t="e">
        <f t="shared" si="95"/>
        <v>#REF!</v>
      </c>
      <c r="O285" s="5" t="e">
        <f t="shared" si="95"/>
        <v>#REF!</v>
      </c>
      <c r="P285" s="5" t="e">
        <f t="shared" si="95"/>
        <v>#REF!</v>
      </c>
      <c r="Q285" s="5" t="e">
        <f t="shared" ref="Q285:S285" si="111">P285</f>
        <v>#REF!</v>
      </c>
      <c r="R285" s="5" t="e">
        <f t="shared" si="111"/>
        <v>#REF!</v>
      </c>
      <c r="S285" s="5" t="e">
        <f t="shared" si="111"/>
        <v>#REF!</v>
      </c>
    </row>
    <row r="286" spans="1:19" x14ac:dyDescent="0.25">
      <c r="A286" s="31" t="e">
        <f>#REF!</f>
        <v>#REF!</v>
      </c>
      <c r="B286" s="31"/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93"/>
        <v>#REF!</v>
      </c>
      <c r="J286" s="5" t="e">
        <f t="shared" ref="J286:P301" si="112">I286</f>
        <v>#REF!</v>
      </c>
      <c r="K286" s="5" t="e">
        <f t="shared" si="112"/>
        <v>#REF!</v>
      </c>
      <c r="L286" s="5" t="e">
        <f t="shared" si="112"/>
        <v>#REF!</v>
      </c>
      <c r="M286" s="5" t="e">
        <f t="shared" si="112"/>
        <v>#REF!</v>
      </c>
      <c r="N286" s="5" t="e">
        <f t="shared" si="112"/>
        <v>#REF!</v>
      </c>
      <c r="O286" s="5" t="e">
        <f t="shared" si="112"/>
        <v>#REF!</v>
      </c>
      <c r="P286" s="5" t="e">
        <f t="shared" si="112"/>
        <v>#REF!</v>
      </c>
      <c r="Q286" s="5" t="e">
        <f t="shared" ref="Q286:S286" si="113">P286</f>
        <v>#REF!</v>
      </c>
      <c r="R286" s="5" t="e">
        <f t="shared" si="113"/>
        <v>#REF!</v>
      </c>
      <c r="S286" s="5" t="e">
        <f t="shared" si="113"/>
        <v>#REF!</v>
      </c>
    </row>
    <row r="287" spans="1:19" x14ac:dyDescent="0.25">
      <c r="A287" s="31" t="e">
        <f>#REF!</f>
        <v>#REF!</v>
      </c>
      <c r="B287" s="31"/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93"/>
        <v>#REF!</v>
      </c>
      <c r="J287" s="5" t="e">
        <f t="shared" si="112"/>
        <v>#REF!</v>
      </c>
      <c r="K287" s="5" t="e">
        <f t="shared" si="112"/>
        <v>#REF!</v>
      </c>
      <c r="L287" s="5" t="e">
        <f t="shared" si="112"/>
        <v>#REF!</v>
      </c>
      <c r="M287" s="5" t="e">
        <f t="shared" si="112"/>
        <v>#REF!</v>
      </c>
      <c r="N287" s="5" t="e">
        <f t="shared" si="112"/>
        <v>#REF!</v>
      </c>
      <c r="O287" s="5" t="e">
        <f t="shared" si="112"/>
        <v>#REF!</v>
      </c>
      <c r="P287" s="5" t="e">
        <f t="shared" si="112"/>
        <v>#REF!</v>
      </c>
      <c r="Q287" s="5" t="e">
        <f t="shared" ref="Q287:S287" si="114">P287</f>
        <v>#REF!</v>
      </c>
      <c r="R287" s="5" t="e">
        <f t="shared" si="114"/>
        <v>#REF!</v>
      </c>
      <c r="S287" s="5" t="e">
        <f t="shared" si="114"/>
        <v>#REF!</v>
      </c>
    </row>
    <row r="288" spans="1:19" x14ac:dyDescent="0.25">
      <c r="A288" s="31" t="e">
        <f>#REF!</f>
        <v>#REF!</v>
      </c>
      <c r="B288" s="31"/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93"/>
        <v>#REF!</v>
      </c>
      <c r="J288" s="5" t="e">
        <f t="shared" si="112"/>
        <v>#REF!</v>
      </c>
      <c r="K288" s="5" t="e">
        <f t="shared" si="112"/>
        <v>#REF!</v>
      </c>
      <c r="L288" s="5" t="e">
        <f t="shared" si="112"/>
        <v>#REF!</v>
      </c>
      <c r="M288" s="5" t="e">
        <f t="shared" si="112"/>
        <v>#REF!</v>
      </c>
      <c r="N288" s="5" t="e">
        <f t="shared" si="112"/>
        <v>#REF!</v>
      </c>
      <c r="O288" s="5" t="e">
        <f t="shared" si="112"/>
        <v>#REF!</v>
      </c>
      <c r="P288" s="5" t="e">
        <f t="shared" si="112"/>
        <v>#REF!</v>
      </c>
      <c r="Q288" s="5" t="e">
        <f t="shared" ref="Q288:S288" si="115">P288</f>
        <v>#REF!</v>
      </c>
      <c r="R288" s="5" t="e">
        <f t="shared" si="115"/>
        <v>#REF!</v>
      </c>
      <c r="S288" s="5" t="e">
        <f t="shared" si="115"/>
        <v>#REF!</v>
      </c>
    </row>
    <row r="289" spans="1:19" x14ac:dyDescent="0.25">
      <c r="A289" s="31" t="e">
        <f>#REF!</f>
        <v>#REF!</v>
      </c>
      <c r="B289" s="31"/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93"/>
        <v>#REF!</v>
      </c>
      <c r="J289" s="5" t="e">
        <f t="shared" si="112"/>
        <v>#REF!</v>
      </c>
      <c r="K289" s="5" t="e">
        <f t="shared" si="112"/>
        <v>#REF!</v>
      </c>
      <c r="L289" s="5" t="e">
        <f t="shared" si="112"/>
        <v>#REF!</v>
      </c>
      <c r="M289" s="5" t="e">
        <f t="shared" si="112"/>
        <v>#REF!</v>
      </c>
      <c r="N289" s="5" t="e">
        <f t="shared" si="112"/>
        <v>#REF!</v>
      </c>
      <c r="O289" s="5" t="e">
        <f t="shared" si="112"/>
        <v>#REF!</v>
      </c>
      <c r="P289" s="5" t="e">
        <f t="shared" si="112"/>
        <v>#REF!</v>
      </c>
      <c r="Q289" s="5" t="e">
        <f t="shared" ref="Q289:S289" si="116">P289</f>
        <v>#REF!</v>
      </c>
      <c r="R289" s="5" t="e">
        <f t="shared" si="116"/>
        <v>#REF!</v>
      </c>
      <c r="S289" s="5" t="e">
        <f t="shared" si="116"/>
        <v>#REF!</v>
      </c>
    </row>
    <row r="290" spans="1:19" x14ac:dyDescent="0.25">
      <c r="A290" s="31" t="e">
        <f>#REF!</f>
        <v>#REF!</v>
      </c>
      <c r="B290" s="31"/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93"/>
        <v>#REF!</v>
      </c>
      <c r="J290" s="5" t="e">
        <f t="shared" si="112"/>
        <v>#REF!</v>
      </c>
      <c r="K290" s="5" t="e">
        <f t="shared" si="112"/>
        <v>#REF!</v>
      </c>
      <c r="L290" s="5" t="e">
        <f t="shared" si="112"/>
        <v>#REF!</v>
      </c>
      <c r="M290" s="5" t="e">
        <f t="shared" si="112"/>
        <v>#REF!</v>
      </c>
      <c r="N290" s="5" t="e">
        <f t="shared" si="112"/>
        <v>#REF!</v>
      </c>
      <c r="O290" s="5" t="e">
        <f t="shared" si="112"/>
        <v>#REF!</v>
      </c>
      <c r="P290" s="5" t="e">
        <f t="shared" si="112"/>
        <v>#REF!</v>
      </c>
      <c r="Q290" s="5" t="e">
        <f t="shared" ref="Q290:S290" si="117">P290</f>
        <v>#REF!</v>
      </c>
      <c r="R290" s="5" t="e">
        <f t="shared" si="117"/>
        <v>#REF!</v>
      </c>
      <c r="S290" s="5" t="e">
        <f t="shared" si="117"/>
        <v>#REF!</v>
      </c>
    </row>
    <row r="291" spans="1:19" x14ac:dyDescent="0.25">
      <c r="A291" s="31" t="e">
        <f>#REF!</f>
        <v>#REF!</v>
      </c>
      <c r="B291" s="31"/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si="93"/>
        <v>#REF!</v>
      </c>
      <c r="J291" s="5" t="e">
        <f t="shared" si="112"/>
        <v>#REF!</v>
      </c>
      <c r="K291" s="5" t="e">
        <f t="shared" si="112"/>
        <v>#REF!</v>
      </c>
      <c r="L291" s="5" t="e">
        <f t="shared" si="112"/>
        <v>#REF!</v>
      </c>
      <c r="M291" s="5" t="e">
        <f t="shared" si="112"/>
        <v>#REF!</v>
      </c>
      <c r="N291" s="5" t="e">
        <f t="shared" si="112"/>
        <v>#REF!</v>
      </c>
      <c r="O291" s="5" t="e">
        <f t="shared" si="112"/>
        <v>#REF!</v>
      </c>
      <c r="P291" s="5" t="e">
        <f t="shared" si="112"/>
        <v>#REF!</v>
      </c>
      <c r="Q291" s="5" t="e">
        <f t="shared" ref="Q291:S291" si="118">P291</f>
        <v>#REF!</v>
      </c>
      <c r="R291" s="5" t="e">
        <f t="shared" si="118"/>
        <v>#REF!</v>
      </c>
      <c r="S291" s="5" t="e">
        <f t="shared" si="118"/>
        <v>#REF!</v>
      </c>
    </row>
    <row r="292" spans="1:19" x14ac:dyDescent="0.25">
      <c r="A292" s="31" t="e">
        <f>#REF!</f>
        <v>#REF!</v>
      </c>
      <c r="B292" s="31"/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93"/>
        <v>#REF!</v>
      </c>
      <c r="J292" s="5" t="e">
        <f t="shared" si="112"/>
        <v>#REF!</v>
      </c>
      <c r="K292" s="5" t="e">
        <f t="shared" si="112"/>
        <v>#REF!</v>
      </c>
      <c r="L292" s="5" t="e">
        <f t="shared" si="112"/>
        <v>#REF!</v>
      </c>
      <c r="M292" s="5" t="e">
        <f t="shared" si="112"/>
        <v>#REF!</v>
      </c>
      <c r="N292" s="5" t="e">
        <f t="shared" si="112"/>
        <v>#REF!</v>
      </c>
      <c r="O292" s="5" t="e">
        <f t="shared" si="112"/>
        <v>#REF!</v>
      </c>
      <c r="P292" s="5" t="e">
        <f t="shared" si="112"/>
        <v>#REF!</v>
      </c>
      <c r="Q292" s="5" t="e">
        <f t="shared" ref="Q292:S292" si="119">P292</f>
        <v>#REF!</v>
      </c>
      <c r="R292" s="5" t="e">
        <f t="shared" si="119"/>
        <v>#REF!</v>
      </c>
      <c r="S292" s="5" t="e">
        <f t="shared" si="119"/>
        <v>#REF!</v>
      </c>
    </row>
    <row r="293" spans="1:19" x14ac:dyDescent="0.25">
      <c r="A293" s="31" t="e">
        <f>#REF!</f>
        <v>#REF!</v>
      </c>
      <c r="B293" s="31"/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93"/>
        <v>#REF!</v>
      </c>
      <c r="J293" s="5" t="e">
        <f t="shared" si="112"/>
        <v>#REF!</v>
      </c>
      <c r="K293" s="5" t="e">
        <f t="shared" si="112"/>
        <v>#REF!</v>
      </c>
      <c r="L293" s="5" t="e">
        <f t="shared" si="112"/>
        <v>#REF!</v>
      </c>
      <c r="M293" s="5" t="e">
        <f t="shared" si="112"/>
        <v>#REF!</v>
      </c>
      <c r="N293" s="5" t="e">
        <f t="shared" si="112"/>
        <v>#REF!</v>
      </c>
      <c r="O293" s="5" t="e">
        <f t="shared" si="112"/>
        <v>#REF!</v>
      </c>
      <c r="P293" s="5" t="e">
        <f t="shared" si="112"/>
        <v>#REF!</v>
      </c>
      <c r="Q293" s="5" t="e">
        <f t="shared" ref="Q293:S293" si="120">P293</f>
        <v>#REF!</v>
      </c>
      <c r="R293" s="5" t="e">
        <f t="shared" si="120"/>
        <v>#REF!</v>
      </c>
      <c r="S293" s="5" t="e">
        <f t="shared" si="120"/>
        <v>#REF!</v>
      </c>
    </row>
    <row r="294" spans="1:19" x14ac:dyDescent="0.25">
      <c r="A294" s="31" t="e">
        <f>#REF!</f>
        <v>#REF!</v>
      </c>
      <c r="B294" s="31"/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93"/>
        <v>#REF!</v>
      </c>
      <c r="J294" s="5" t="e">
        <f t="shared" si="112"/>
        <v>#REF!</v>
      </c>
      <c r="K294" s="5" t="e">
        <f t="shared" si="112"/>
        <v>#REF!</v>
      </c>
      <c r="L294" s="5" t="e">
        <f t="shared" si="112"/>
        <v>#REF!</v>
      </c>
      <c r="M294" s="5" t="e">
        <f t="shared" si="112"/>
        <v>#REF!</v>
      </c>
      <c r="N294" s="5" t="e">
        <f t="shared" si="112"/>
        <v>#REF!</v>
      </c>
      <c r="O294" s="5" t="e">
        <f t="shared" si="112"/>
        <v>#REF!</v>
      </c>
      <c r="P294" s="5" t="e">
        <f t="shared" si="112"/>
        <v>#REF!</v>
      </c>
      <c r="Q294" s="5" t="e">
        <f t="shared" ref="Q294:S294" si="121">P294</f>
        <v>#REF!</v>
      </c>
      <c r="R294" s="5" t="e">
        <f t="shared" si="121"/>
        <v>#REF!</v>
      </c>
      <c r="S294" s="5" t="e">
        <f t="shared" si="121"/>
        <v>#REF!</v>
      </c>
    </row>
    <row r="295" spans="1:19" x14ac:dyDescent="0.25">
      <c r="A295" s="31" t="e">
        <f>#REF!</f>
        <v>#REF!</v>
      </c>
      <c r="B295" s="31"/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93"/>
        <v>#REF!</v>
      </c>
      <c r="J295" s="5" t="e">
        <f t="shared" si="112"/>
        <v>#REF!</v>
      </c>
      <c r="K295" s="5" t="e">
        <f t="shared" si="112"/>
        <v>#REF!</v>
      </c>
      <c r="L295" s="5" t="e">
        <f t="shared" si="112"/>
        <v>#REF!</v>
      </c>
      <c r="M295" s="5" t="e">
        <f t="shared" si="112"/>
        <v>#REF!</v>
      </c>
      <c r="N295" s="5" t="e">
        <f t="shared" si="112"/>
        <v>#REF!</v>
      </c>
      <c r="O295" s="5" t="e">
        <f t="shared" si="112"/>
        <v>#REF!</v>
      </c>
      <c r="P295" s="5" t="e">
        <f t="shared" si="112"/>
        <v>#REF!</v>
      </c>
      <c r="Q295" s="5" t="e">
        <f t="shared" ref="Q295:S295" si="122">P295</f>
        <v>#REF!</v>
      </c>
      <c r="R295" s="5" t="e">
        <f t="shared" si="122"/>
        <v>#REF!</v>
      </c>
      <c r="S295" s="5" t="e">
        <f t="shared" si="122"/>
        <v>#REF!</v>
      </c>
    </row>
    <row r="296" spans="1:19" x14ac:dyDescent="0.25">
      <c r="A296" s="31" t="e">
        <f>#REF!</f>
        <v>#REF!</v>
      </c>
      <c r="B296" s="31"/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93"/>
        <v>#REF!</v>
      </c>
      <c r="J296" s="5" t="e">
        <f t="shared" si="112"/>
        <v>#REF!</v>
      </c>
      <c r="K296" s="5" t="e">
        <f t="shared" si="112"/>
        <v>#REF!</v>
      </c>
      <c r="L296" s="5" t="e">
        <f t="shared" si="112"/>
        <v>#REF!</v>
      </c>
      <c r="M296" s="5" t="e">
        <f t="shared" si="112"/>
        <v>#REF!</v>
      </c>
      <c r="N296" s="5" t="e">
        <f t="shared" si="112"/>
        <v>#REF!</v>
      </c>
      <c r="O296" s="5" t="e">
        <f t="shared" si="112"/>
        <v>#REF!</v>
      </c>
      <c r="P296" s="5" t="e">
        <f t="shared" si="112"/>
        <v>#REF!</v>
      </c>
      <c r="Q296" s="5" t="e">
        <f t="shared" ref="Q296:S296" si="123">P296</f>
        <v>#REF!</v>
      </c>
      <c r="R296" s="5" t="e">
        <f t="shared" si="123"/>
        <v>#REF!</v>
      </c>
      <c r="S296" s="5" t="e">
        <f t="shared" si="123"/>
        <v>#REF!</v>
      </c>
    </row>
    <row r="297" spans="1:19" x14ac:dyDescent="0.25">
      <c r="A297" s="31" t="e">
        <f>#REF!</f>
        <v>#REF!</v>
      </c>
      <c r="B297" s="31"/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93"/>
        <v>#REF!</v>
      </c>
      <c r="J297" s="5" t="e">
        <f t="shared" si="112"/>
        <v>#REF!</v>
      </c>
      <c r="K297" s="5" t="e">
        <f t="shared" si="112"/>
        <v>#REF!</v>
      </c>
      <c r="L297" s="5" t="e">
        <f t="shared" si="112"/>
        <v>#REF!</v>
      </c>
      <c r="M297" s="5" t="e">
        <f t="shared" si="112"/>
        <v>#REF!</v>
      </c>
      <c r="N297" s="5" t="e">
        <f t="shared" si="112"/>
        <v>#REF!</v>
      </c>
      <c r="O297" s="5" t="e">
        <f t="shared" si="112"/>
        <v>#REF!</v>
      </c>
      <c r="P297" s="5" t="e">
        <f t="shared" si="112"/>
        <v>#REF!</v>
      </c>
      <c r="Q297" s="5" t="e">
        <f t="shared" ref="Q297:S297" si="124">P297</f>
        <v>#REF!</v>
      </c>
      <c r="R297" s="5" t="e">
        <f t="shared" si="124"/>
        <v>#REF!</v>
      </c>
      <c r="S297" s="5" t="e">
        <f t="shared" si="124"/>
        <v>#REF!</v>
      </c>
    </row>
    <row r="298" spans="1:19" x14ac:dyDescent="0.25">
      <c r="A298" s="31" t="e">
        <f>#REF!</f>
        <v>#REF!</v>
      </c>
      <c r="B298" s="31"/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93"/>
        <v>#REF!</v>
      </c>
      <c r="J298" s="5" t="e">
        <f t="shared" si="112"/>
        <v>#REF!</v>
      </c>
      <c r="K298" s="5" t="e">
        <f t="shared" si="112"/>
        <v>#REF!</v>
      </c>
      <c r="L298" s="5" t="e">
        <f t="shared" si="112"/>
        <v>#REF!</v>
      </c>
      <c r="M298" s="5" t="e">
        <f t="shared" si="112"/>
        <v>#REF!</v>
      </c>
      <c r="N298" s="5" t="e">
        <f t="shared" si="112"/>
        <v>#REF!</v>
      </c>
      <c r="O298" s="5" t="e">
        <f t="shared" si="112"/>
        <v>#REF!</v>
      </c>
      <c r="P298" s="5" t="e">
        <f t="shared" si="112"/>
        <v>#REF!</v>
      </c>
      <c r="Q298" s="5" t="e">
        <f t="shared" ref="Q298:S298" si="125">P298</f>
        <v>#REF!</v>
      </c>
      <c r="R298" s="5" t="e">
        <f t="shared" si="125"/>
        <v>#REF!</v>
      </c>
      <c r="S298" s="5" t="e">
        <f t="shared" si="125"/>
        <v>#REF!</v>
      </c>
    </row>
    <row r="299" spans="1:19" x14ac:dyDescent="0.25">
      <c r="A299" s="31" t="e">
        <f>#REF!</f>
        <v>#REF!</v>
      </c>
      <c r="B299" s="31"/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93"/>
        <v>#REF!</v>
      </c>
      <c r="J299" s="5" t="e">
        <f t="shared" si="112"/>
        <v>#REF!</v>
      </c>
      <c r="K299" s="5" t="e">
        <f t="shared" si="112"/>
        <v>#REF!</v>
      </c>
      <c r="L299" s="5" t="e">
        <f t="shared" si="112"/>
        <v>#REF!</v>
      </c>
      <c r="M299" s="5" t="e">
        <f t="shared" si="112"/>
        <v>#REF!</v>
      </c>
      <c r="N299" s="5" t="e">
        <f t="shared" si="112"/>
        <v>#REF!</v>
      </c>
      <c r="O299" s="5" t="e">
        <f t="shared" si="112"/>
        <v>#REF!</v>
      </c>
      <c r="P299" s="5" t="e">
        <f t="shared" si="112"/>
        <v>#REF!</v>
      </c>
      <c r="Q299" s="5" t="e">
        <f t="shared" ref="Q299:S299" si="126">P299</f>
        <v>#REF!</v>
      </c>
      <c r="R299" s="5" t="e">
        <f t="shared" si="126"/>
        <v>#REF!</v>
      </c>
      <c r="S299" s="5" t="e">
        <f t="shared" si="126"/>
        <v>#REF!</v>
      </c>
    </row>
    <row r="300" spans="1:19" x14ac:dyDescent="0.25">
      <c r="A300" s="31" t="e">
        <f>#REF!</f>
        <v>#REF!</v>
      </c>
      <c r="B300" s="31"/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93"/>
        <v>#REF!</v>
      </c>
      <c r="J300" s="5" t="e">
        <f t="shared" si="112"/>
        <v>#REF!</v>
      </c>
      <c r="K300" s="5" t="e">
        <f t="shared" si="112"/>
        <v>#REF!</v>
      </c>
      <c r="L300" s="5" t="e">
        <f t="shared" si="112"/>
        <v>#REF!</v>
      </c>
      <c r="M300" s="5" t="e">
        <f t="shared" si="112"/>
        <v>#REF!</v>
      </c>
      <c r="N300" s="5" t="e">
        <f t="shared" si="112"/>
        <v>#REF!</v>
      </c>
      <c r="O300" s="5" t="e">
        <f t="shared" si="112"/>
        <v>#REF!</v>
      </c>
      <c r="P300" s="5" t="e">
        <f t="shared" si="112"/>
        <v>#REF!</v>
      </c>
      <c r="Q300" s="5" t="e">
        <f t="shared" ref="Q300:S300" si="127">P300</f>
        <v>#REF!</v>
      </c>
      <c r="R300" s="5" t="e">
        <f t="shared" si="127"/>
        <v>#REF!</v>
      </c>
      <c r="S300" s="5" t="e">
        <f t="shared" si="127"/>
        <v>#REF!</v>
      </c>
    </row>
    <row r="301" spans="1:19" x14ac:dyDescent="0.25">
      <c r="A301" s="31" t="e">
        <f>#REF!</f>
        <v>#REF!</v>
      </c>
      <c r="B301" s="31"/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93"/>
        <v>#REF!</v>
      </c>
      <c r="J301" s="5" t="e">
        <f t="shared" si="112"/>
        <v>#REF!</v>
      </c>
      <c r="K301" s="5" t="e">
        <f t="shared" si="112"/>
        <v>#REF!</v>
      </c>
      <c r="L301" s="5" t="e">
        <f t="shared" si="112"/>
        <v>#REF!</v>
      </c>
      <c r="M301" s="5" t="e">
        <f t="shared" si="112"/>
        <v>#REF!</v>
      </c>
      <c r="N301" s="5" t="e">
        <f t="shared" si="112"/>
        <v>#REF!</v>
      </c>
      <c r="O301" s="5" t="e">
        <f t="shared" si="112"/>
        <v>#REF!</v>
      </c>
      <c r="P301" s="5" t="e">
        <f t="shared" si="112"/>
        <v>#REF!</v>
      </c>
      <c r="Q301" s="5" t="e">
        <f t="shared" ref="Q301:S301" si="128">P301</f>
        <v>#REF!</v>
      </c>
      <c r="R301" s="5" t="e">
        <f t="shared" si="128"/>
        <v>#REF!</v>
      </c>
      <c r="S301" s="5" t="e">
        <f t="shared" si="128"/>
        <v>#REF!</v>
      </c>
    </row>
    <row r="302" spans="1:19" x14ac:dyDescent="0.25">
      <c r="A302" s="31" t="e">
        <f>#REF!</f>
        <v>#REF!</v>
      </c>
      <c r="B302" s="31"/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93"/>
        <v>#REF!</v>
      </c>
      <c r="J302" s="5" t="e">
        <f t="shared" ref="J302:P306" si="129">I302</f>
        <v>#REF!</v>
      </c>
      <c r="K302" s="5" t="e">
        <f t="shared" si="129"/>
        <v>#REF!</v>
      </c>
      <c r="L302" s="5" t="e">
        <f t="shared" si="129"/>
        <v>#REF!</v>
      </c>
      <c r="M302" s="5" t="e">
        <f t="shared" si="129"/>
        <v>#REF!</v>
      </c>
      <c r="N302" s="5" t="e">
        <f t="shared" si="129"/>
        <v>#REF!</v>
      </c>
      <c r="O302" s="5" t="e">
        <f t="shared" si="129"/>
        <v>#REF!</v>
      </c>
      <c r="P302" s="5" t="e">
        <f t="shared" si="129"/>
        <v>#REF!</v>
      </c>
      <c r="Q302" s="5" t="e">
        <f t="shared" ref="Q302:S302" si="130">P302</f>
        <v>#REF!</v>
      </c>
      <c r="R302" s="5" t="e">
        <f t="shared" si="130"/>
        <v>#REF!</v>
      </c>
      <c r="S302" s="5" t="e">
        <f t="shared" si="130"/>
        <v>#REF!</v>
      </c>
    </row>
    <row r="303" spans="1:19" x14ac:dyDescent="0.25">
      <c r="A303" s="31" t="e">
        <f>#REF!</f>
        <v>#REF!</v>
      </c>
      <c r="B303" s="31"/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93"/>
        <v>#REF!</v>
      </c>
      <c r="J303" s="5" t="e">
        <f t="shared" si="129"/>
        <v>#REF!</v>
      </c>
      <c r="K303" s="5" t="e">
        <f t="shared" si="129"/>
        <v>#REF!</v>
      </c>
      <c r="L303" s="5" t="e">
        <f t="shared" si="129"/>
        <v>#REF!</v>
      </c>
      <c r="M303" s="5" t="e">
        <f t="shared" si="129"/>
        <v>#REF!</v>
      </c>
      <c r="N303" s="5" t="e">
        <f t="shared" si="129"/>
        <v>#REF!</v>
      </c>
      <c r="O303" s="5" t="e">
        <f t="shared" si="129"/>
        <v>#REF!</v>
      </c>
      <c r="P303" s="5" t="e">
        <f t="shared" si="129"/>
        <v>#REF!</v>
      </c>
      <c r="Q303" s="5" t="e">
        <f t="shared" ref="Q303:S303" si="131">P303</f>
        <v>#REF!</v>
      </c>
      <c r="R303" s="5" t="e">
        <f t="shared" si="131"/>
        <v>#REF!</v>
      </c>
      <c r="S303" s="5" t="e">
        <f t="shared" si="131"/>
        <v>#REF!</v>
      </c>
    </row>
    <row r="304" spans="1:19" x14ac:dyDescent="0.25">
      <c r="A304" s="31" t="e">
        <f>#REF!</f>
        <v>#REF!</v>
      </c>
      <c r="B304" s="31"/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93"/>
        <v>#REF!</v>
      </c>
      <c r="J304" s="5" t="e">
        <f t="shared" si="129"/>
        <v>#REF!</v>
      </c>
      <c r="K304" s="5" t="e">
        <f t="shared" si="129"/>
        <v>#REF!</v>
      </c>
      <c r="L304" s="5" t="e">
        <f t="shared" si="129"/>
        <v>#REF!</v>
      </c>
      <c r="M304" s="5" t="e">
        <f t="shared" si="129"/>
        <v>#REF!</v>
      </c>
      <c r="N304" s="5" t="e">
        <f t="shared" si="129"/>
        <v>#REF!</v>
      </c>
      <c r="O304" s="5" t="e">
        <f t="shared" si="129"/>
        <v>#REF!</v>
      </c>
      <c r="P304" s="5" t="e">
        <f t="shared" si="129"/>
        <v>#REF!</v>
      </c>
      <c r="Q304" s="5" t="e">
        <f t="shared" ref="Q304:S304" si="132">P304</f>
        <v>#REF!</v>
      </c>
      <c r="R304" s="5" t="e">
        <f t="shared" si="132"/>
        <v>#REF!</v>
      </c>
      <c r="S304" s="5" t="e">
        <f t="shared" si="132"/>
        <v>#REF!</v>
      </c>
    </row>
    <row r="305" spans="1:19" x14ac:dyDescent="0.25">
      <c r="A305" s="31" t="e">
        <f>#REF!</f>
        <v>#REF!</v>
      </c>
      <c r="B305" s="31"/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93"/>
        <v>#REF!</v>
      </c>
      <c r="J305" s="5" t="e">
        <f t="shared" si="129"/>
        <v>#REF!</v>
      </c>
      <c r="K305" s="5" t="e">
        <f t="shared" si="129"/>
        <v>#REF!</v>
      </c>
      <c r="L305" s="5" t="e">
        <f t="shared" si="129"/>
        <v>#REF!</v>
      </c>
      <c r="M305" s="5" t="e">
        <f t="shared" si="129"/>
        <v>#REF!</v>
      </c>
      <c r="N305" s="5" t="e">
        <f t="shared" si="129"/>
        <v>#REF!</v>
      </c>
      <c r="O305" s="5" t="e">
        <f t="shared" si="129"/>
        <v>#REF!</v>
      </c>
      <c r="P305" s="5" t="e">
        <f t="shared" si="129"/>
        <v>#REF!</v>
      </c>
      <c r="Q305" s="5" t="e">
        <f t="shared" ref="Q305:S305" si="133">P305</f>
        <v>#REF!</v>
      </c>
      <c r="R305" s="5" t="e">
        <f t="shared" si="133"/>
        <v>#REF!</v>
      </c>
      <c r="S305" s="5" t="e">
        <f t="shared" si="133"/>
        <v>#REF!</v>
      </c>
    </row>
    <row r="306" spans="1:19" x14ac:dyDescent="0.25">
      <c r="A306" s="31" t="e">
        <f>#REF!</f>
        <v>#REF!</v>
      </c>
      <c r="B306" s="31"/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93"/>
        <v>#REF!</v>
      </c>
      <c r="J306" s="5" t="e">
        <f t="shared" si="129"/>
        <v>#REF!</v>
      </c>
      <c r="K306" s="5" t="e">
        <f t="shared" si="129"/>
        <v>#REF!</v>
      </c>
      <c r="L306" s="5" t="e">
        <f t="shared" si="129"/>
        <v>#REF!</v>
      </c>
      <c r="M306" s="5" t="e">
        <f t="shared" si="129"/>
        <v>#REF!</v>
      </c>
      <c r="N306" s="5" t="e">
        <f t="shared" si="129"/>
        <v>#REF!</v>
      </c>
      <c r="O306" s="5" t="e">
        <f t="shared" si="129"/>
        <v>#REF!</v>
      </c>
      <c r="P306" s="5" t="e">
        <f t="shared" si="129"/>
        <v>#REF!</v>
      </c>
      <c r="Q306" s="5" t="e">
        <f t="shared" ref="Q306:S321" si="134">P306</f>
        <v>#REF!</v>
      </c>
      <c r="R306" s="5" t="e">
        <f t="shared" si="134"/>
        <v>#REF!</v>
      </c>
      <c r="S306" s="5" t="e">
        <f t="shared" si="134"/>
        <v>#REF!</v>
      </c>
    </row>
    <row r="307" spans="1:19" x14ac:dyDescent="0.25">
      <c r="A307" s="31" t="e">
        <f>#REF!</f>
        <v>#REF!</v>
      </c>
      <c r="B307" s="31"/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P370" si="135">H307</f>
        <v>#REF!</v>
      </c>
      <c r="J307" s="5" t="e">
        <f t="shared" si="135"/>
        <v>#REF!</v>
      </c>
      <c r="K307" s="5" t="e">
        <f t="shared" si="135"/>
        <v>#REF!</v>
      </c>
      <c r="L307" s="5" t="e">
        <f t="shared" si="135"/>
        <v>#REF!</v>
      </c>
      <c r="M307" s="5" t="e">
        <f t="shared" si="135"/>
        <v>#REF!</v>
      </c>
      <c r="N307" s="5" t="e">
        <f t="shared" si="135"/>
        <v>#REF!</v>
      </c>
      <c r="O307" s="5" t="e">
        <f t="shared" si="135"/>
        <v>#REF!</v>
      </c>
      <c r="P307" s="5" t="e">
        <f t="shared" si="135"/>
        <v>#REF!</v>
      </c>
      <c r="Q307" s="5" t="e">
        <f t="shared" si="134"/>
        <v>#REF!</v>
      </c>
      <c r="R307" s="5" t="e">
        <f t="shared" si="134"/>
        <v>#REF!</v>
      </c>
      <c r="S307" s="5" t="e">
        <f t="shared" si="134"/>
        <v>#REF!</v>
      </c>
    </row>
    <row r="308" spans="1:19" x14ac:dyDescent="0.25">
      <c r="A308" s="31" t="e">
        <f>#REF!</f>
        <v>#REF!</v>
      </c>
      <c r="B308" s="31"/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135"/>
        <v>#REF!</v>
      </c>
      <c r="J308" s="5" t="e">
        <f t="shared" si="135"/>
        <v>#REF!</v>
      </c>
      <c r="K308" s="5" t="e">
        <f t="shared" si="135"/>
        <v>#REF!</v>
      </c>
      <c r="L308" s="5" t="e">
        <f t="shared" si="135"/>
        <v>#REF!</v>
      </c>
      <c r="M308" s="5" t="e">
        <f t="shared" si="135"/>
        <v>#REF!</v>
      </c>
      <c r="N308" s="5" t="e">
        <f t="shared" si="135"/>
        <v>#REF!</v>
      </c>
      <c r="O308" s="5" t="e">
        <f t="shared" si="135"/>
        <v>#REF!</v>
      </c>
      <c r="P308" s="5" t="e">
        <f t="shared" si="135"/>
        <v>#REF!</v>
      </c>
      <c r="Q308" s="5" t="e">
        <f t="shared" si="134"/>
        <v>#REF!</v>
      </c>
      <c r="R308" s="5" t="e">
        <f t="shared" si="134"/>
        <v>#REF!</v>
      </c>
      <c r="S308" s="5" t="e">
        <f t="shared" si="134"/>
        <v>#REF!</v>
      </c>
    </row>
    <row r="309" spans="1:19" x14ac:dyDescent="0.25">
      <c r="A309" s="31" t="e">
        <f>#REF!</f>
        <v>#REF!</v>
      </c>
      <c r="B309" s="31"/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135"/>
        <v>#REF!</v>
      </c>
      <c r="J309" s="5" t="e">
        <f t="shared" si="135"/>
        <v>#REF!</v>
      </c>
      <c r="K309" s="5" t="e">
        <f t="shared" si="135"/>
        <v>#REF!</v>
      </c>
      <c r="L309" s="5" t="e">
        <f t="shared" si="135"/>
        <v>#REF!</v>
      </c>
      <c r="M309" s="5" t="e">
        <f t="shared" si="135"/>
        <v>#REF!</v>
      </c>
      <c r="N309" s="5" t="e">
        <f t="shared" si="135"/>
        <v>#REF!</v>
      </c>
      <c r="O309" s="5" t="e">
        <f t="shared" si="135"/>
        <v>#REF!</v>
      </c>
      <c r="P309" s="5" t="e">
        <f t="shared" si="135"/>
        <v>#REF!</v>
      </c>
      <c r="Q309" s="5" t="e">
        <f t="shared" si="134"/>
        <v>#REF!</v>
      </c>
      <c r="R309" s="5" t="e">
        <f t="shared" si="134"/>
        <v>#REF!</v>
      </c>
      <c r="S309" s="5" t="e">
        <f t="shared" si="134"/>
        <v>#REF!</v>
      </c>
    </row>
    <row r="310" spans="1:19" x14ac:dyDescent="0.25">
      <c r="A310" s="31" t="e">
        <f>#REF!</f>
        <v>#REF!</v>
      </c>
      <c r="B310" s="31"/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135"/>
        <v>#REF!</v>
      </c>
      <c r="J310" s="5" t="e">
        <f t="shared" si="135"/>
        <v>#REF!</v>
      </c>
      <c r="K310" s="5" t="e">
        <f t="shared" si="135"/>
        <v>#REF!</v>
      </c>
      <c r="L310" s="5" t="e">
        <f t="shared" si="135"/>
        <v>#REF!</v>
      </c>
      <c r="M310" s="5" t="e">
        <f t="shared" si="135"/>
        <v>#REF!</v>
      </c>
      <c r="N310" s="5" t="e">
        <f t="shared" si="135"/>
        <v>#REF!</v>
      </c>
      <c r="O310" s="5" t="e">
        <f t="shared" si="135"/>
        <v>#REF!</v>
      </c>
      <c r="P310" s="5" t="e">
        <f t="shared" si="135"/>
        <v>#REF!</v>
      </c>
      <c r="Q310" s="5" t="e">
        <f t="shared" si="134"/>
        <v>#REF!</v>
      </c>
      <c r="R310" s="5" t="e">
        <f t="shared" si="134"/>
        <v>#REF!</v>
      </c>
      <c r="S310" s="5" t="e">
        <f t="shared" si="134"/>
        <v>#REF!</v>
      </c>
    </row>
    <row r="311" spans="1:19" x14ac:dyDescent="0.25">
      <c r="A311" s="31" t="e">
        <f>#REF!</f>
        <v>#REF!</v>
      </c>
      <c r="B311" s="31"/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135"/>
        <v>#REF!</v>
      </c>
      <c r="J311" s="5" t="e">
        <f t="shared" si="135"/>
        <v>#REF!</v>
      </c>
      <c r="K311" s="5" t="e">
        <f t="shared" si="135"/>
        <v>#REF!</v>
      </c>
      <c r="L311" s="5" t="e">
        <f t="shared" si="135"/>
        <v>#REF!</v>
      </c>
      <c r="M311" s="5" t="e">
        <f t="shared" si="135"/>
        <v>#REF!</v>
      </c>
      <c r="N311" s="5" t="e">
        <f t="shared" si="135"/>
        <v>#REF!</v>
      </c>
      <c r="O311" s="5" t="e">
        <f t="shared" si="135"/>
        <v>#REF!</v>
      </c>
      <c r="P311" s="5" t="e">
        <f t="shared" si="135"/>
        <v>#REF!</v>
      </c>
      <c r="Q311" s="5" t="e">
        <f t="shared" si="134"/>
        <v>#REF!</v>
      </c>
      <c r="R311" s="5" t="e">
        <f t="shared" si="134"/>
        <v>#REF!</v>
      </c>
      <c r="S311" s="5" t="e">
        <f t="shared" si="134"/>
        <v>#REF!</v>
      </c>
    </row>
    <row r="312" spans="1:19" x14ac:dyDescent="0.25">
      <c r="A312" s="31" t="e">
        <f>#REF!</f>
        <v>#REF!</v>
      </c>
      <c r="B312" s="31"/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135"/>
        <v>#REF!</v>
      </c>
      <c r="J312" s="5" t="e">
        <f t="shared" si="135"/>
        <v>#REF!</v>
      </c>
      <c r="K312" s="5" t="e">
        <f t="shared" si="135"/>
        <v>#REF!</v>
      </c>
      <c r="L312" s="5" t="e">
        <f t="shared" si="135"/>
        <v>#REF!</v>
      </c>
      <c r="M312" s="5" t="e">
        <f t="shared" si="135"/>
        <v>#REF!</v>
      </c>
      <c r="N312" s="5" t="e">
        <f t="shared" si="135"/>
        <v>#REF!</v>
      </c>
      <c r="O312" s="5" t="e">
        <f t="shared" si="135"/>
        <v>#REF!</v>
      </c>
      <c r="P312" s="5" t="e">
        <f t="shared" si="135"/>
        <v>#REF!</v>
      </c>
      <c r="Q312" s="5" t="e">
        <f t="shared" si="134"/>
        <v>#REF!</v>
      </c>
      <c r="R312" s="5" t="e">
        <f t="shared" si="134"/>
        <v>#REF!</v>
      </c>
      <c r="S312" s="5" t="e">
        <f t="shared" si="134"/>
        <v>#REF!</v>
      </c>
    </row>
    <row r="313" spans="1:19" x14ac:dyDescent="0.25">
      <c r="A313" s="31" t="e">
        <f>#REF!</f>
        <v>#REF!</v>
      </c>
      <c r="B313" s="31"/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135"/>
        <v>#REF!</v>
      </c>
      <c r="J313" s="5" t="e">
        <f t="shared" si="135"/>
        <v>#REF!</v>
      </c>
      <c r="K313" s="5" t="e">
        <f t="shared" si="135"/>
        <v>#REF!</v>
      </c>
      <c r="L313" s="5" t="e">
        <f t="shared" si="135"/>
        <v>#REF!</v>
      </c>
      <c r="M313" s="5" t="e">
        <f t="shared" si="135"/>
        <v>#REF!</v>
      </c>
      <c r="N313" s="5" t="e">
        <f t="shared" si="135"/>
        <v>#REF!</v>
      </c>
      <c r="O313" s="5" t="e">
        <f t="shared" si="135"/>
        <v>#REF!</v>
      </c>
      <c r="P313" s="5" t="e">
        <f t="shared" si="135"/>
        <v>#REF!</v>
      </c>
      <c r="Q313" s="5" t="e">
        <f t="shared" si="134"/>
        <v>#REF!</v>
      </c>
      <c r="R313" s="5" t="e">
        <f t="shared" si="134"/>
        <v>#REF!</v>
      </c>
      <c r="S313" s="5" t="e">
        <f t="shared" si="134"/>
        <v>#REF!</v>
      </c>
    </row>
    <row r="314" spans="1:19" x14ac:dyDescent="0.25">
      <c r="A314" s="31" t="e">
        <f>#REF!</f>
        <v>#REF!</v>
      </c>
      <c r="B314" s="31"/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135"/>
        <v>#REF!</v>
      </c>
      <c r="J314" s="5" t="e">
        <f t="shared" si="135"/>
        <v>#REF!</v>
      </c>
      <c r="K314" s="5" t="e">
        <f t="shared" si="135"/>
        <v>#REF!</v>
      </c>
      <c r="L314" s="5" t="e">
        <f t="shared" si="135"/>
        <v>#REF!</v>
      </c>
      <c r="M314" s="5" t="e">
        <f t="shared" si="135"/>
        <v>#REF!</v>
      </c>
      <c r="N314" s="5" t="e">
        <f t="shared" si="135"/>
        <v>#REF!</v>
      </c>
      <c r="O314" s="5" t="e">
        <f t="shared" si="135"/>
        <v>#REF!</v>
      </c>
      <c r="P314" s="5" t="e">
        <f t="shared" si="135"/>
        <v>#REF!</v>
      </c>
      <c r="Q314" s="5" t="e">
        <f t="shared" si="134"/>
        <v>#REF!</v>
      </c>
      <c r="R314" s="5" t="e">
        <f t="shared" si="134"/>
        <v>#REF!</v>
      </c>
      <c r="S314" s="5" t="e">
        <f t="shared" si="134"/>
        <v>#REF!</v>
      </c>
    </row>
    <row r="315" spans="1:19" x14ac:dyDescent="0.25">
      <c r="A315" s="31" t="e">
        <f>#REF!</f>
        <v>#REF!</v>
      </c>
      <c r="B315" s="31"/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135"/>
        <v>#REF!</v>
      </c>
      <c r="J315" s="5" t="e">
        <f t="shared" si="135"/>
        <v>#REF!</v>
      </c>
      <c r="K315" s="5" t="e">
        <f t="shared" si="135"/>
        <v>#REF!</v>
      </c>
      <c r="L315" s="5" t="e">
        <f t="shared" si="135"/>
        <v>#REF!</v>
      </c>
      <c r="M315" s="5" t="e">
        <f t="shared" si="135"/>
        <v>#REF!</v>
      </c>
      <c r="N315" s="5" t="e">
        <f t="shared" si="135"/>
        <v>#REF!</v>
      </c>
      <c r="O315" s="5" t="e">
        <f t="shared" si="135"/>
        <v>#REF!</v>
      </c>
      <c r="P315" s="5" t="e">
        <f t="shared" si="135"/>
        <v>#REF!</v>
      </c>
      <c r="Q315" s="5" t="e">
        <f t="shared" si="134"/>
        <v>#REF!</v>
      </c>
      <c r="R315" s="5" t="e">
        <f t="shared" si="134"/>
        <v>#REF!</v>
      </c>
      <c r="S315" s="5" t="e">
        <f t="shared" si="134"/>
        <v>#REF!</v>
      </c>
    </row>
    <row r="316" spans="1:19" x14ac:dyDescent="0.25">
      <c r="A316" s="31" t="e">
        <f>#REF!</f>
        <v>#REF!</v>
      </c>
      <c r="B316" s="31"/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135"/>
        <v>#REF!</v>
      </c>
      <c r="J316" s="5" t="e">
        <f t="shared" si="135"/>
        <v>#REF!</v>
      </c>
      <c r="K316" s="5" t="e">
        <f t="shared" si="135"/>
        <v>#REF!</v>
      </c>
      <c r="L316" s="5" t="e">
        <f t="shared" si="135"/>
        <v>#REF!</v>
      </c>
      <c r="M316" s="5" t="e">
        <f t="shared" si="135"/>
        <v>#REF!</v>
      </c>
      <c r="N316" s="5" t="e">
        <f t="shared" si="135"/>
        <v>#REF!</v>
      </c>
      <c r="O316" s="5" t="e">
        <f t="shared" si="135"/>
        <v>#REF!</v>
      </c>
      <c r="P316" s="5" t="e">
        <f t="shared" si="135"/>
        <v>#REF!</v>
      </c>
      <c r="Q316" s="5" t="e">
        <f t="shared" si="134"/>
        <v>#REF!</v>
      </c>
      <c r="R316" s="5" t="e">
        <f t="shared" si="134"/>
        <v>#REF!</v>
      </c>
      <c r="S316" s="5" t="e">
        <f t="shared" si="134"/>
        <v>#REF!</v>
      </c>
    </row>
    <row r="317" spans="1:19" x14ac:dyDescent="0.25">
      <c r="A317" s="31" t="e">
        <f>#REF!</f>
        <v>#REF!</v>
      </c>
      <c r="B317" s="31"/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135"/>
        <v>#REF!</v>
      </c>
      <c r="J317" s="5" t="e">
        <f t="shared" si="135"/>
        <v>#REF!</v>
      </c>
      <c r="K317" s="5" t="e">
        <f t="shared" si="135"/>
        <v>#REF!</v>
      </c>
      <c r="L317" s="5" t="e">
        <f t="shared" si="135"/>
        <v>#REF!</v>
      </c>
      <c r="M317" s="5" t="e">
        <f t="shared" si="135"/>
        <v>#REF!</v>
      </c>
      <c r="N317" s="5" t="e">
        <f t="shared" si="135"/>
        <v>#REF!</v>
      </c>
      <c r="O317" s="5" t="e">
        <f t="shared" si="135"/>
        <v>#REF!</v>
      </c>
      <c r="P317" s="5" t="e">
        <f t="shared" si="135"/>
        <v>#REF!</v>
      </c>
      <c r="Q317" s="5" t="e">
        <f t="shared" si="134"/>
        <v>#REF!</v>
      </c>
      <c r="R317" s="5" t="e">
        <f t="shared" si="134"/>
        <v>#REF!</v>
      </c>
      <c r="S317" s="5" t="e">
        <f t="shared" si="134"/>
        <v>#REF!</v>
      </c>
    </row>
    <row r="318" spans="1:19" x14ac:dyDescent="0.25">
      <c r="A318" s="31" t="e">
        <f>#REF!</f>
        <v>#REF!</v>
      </c>
      <c r="B318" s="31"/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135"/>
        <v>#REF!</v>
      </c>
      <c r="J318" s="5" t="e">
        <f t="shared" si="135"/>
        <v>#REF!</v>
      </c>
      <c r="K318" s="5" t="e">
        <f t="shared" si="135"/>
        <v>#REF!</v>
      </c>
      <c r="L318" s="5" t="e">
        <f t="shared" si="135"/>
        <v>#REF!</v>
      </c>
      <c r="M318" s="5" t="e">
        <f t="shared" si="135"/>
        <v>#REF!</v>
      </c>
      <c r="N318" s="5" t="e">
        <f t="shared" si="135"/>
        <v>#REF!</v>
      </c>
      <c r="O318" s="5" t="e">
        <f t="shared" si="135"/>
        <v>#REF!</v>
      </c>
      <c r="P318" s="5" t="e">
        <f t="shared" si="135"/>
        <v>#REF!</v>
      </c>
      <c r="Q318" s="5" t="e">
        <f t="shared" si="134"/>
        <v>#REF!</v>
      </c>
      <c r="R318" s="5" t="e">
        <f t="shared" si="134"/>
        <v>#REF!</v>
      </c>
      <c r="S318" s="5" t="e">
        <f t="shared" si="134"/>
        <v>#REF!</v>
      </c>
    </row>
    <row r="319" spans="1:19" x14ac:dyDescent="0.25">
      <c r="A319" s="31" t="e">
        <f>#REF!</f>
        <v>#REF!</v>
      </c>
      <c r="B319" s="31"/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135"/>
        <v>#REF!</v>
      </c>
      <c r="J319" s="5" t="e">
        <f t="shared" si="135"/>
        <v>#REF!</v>
      </c>
      <c r="K319" s="5" t="e">
        <f t="shared" si="135"/>
        <v>#REF!</v>
      </c>
      <c r="L319" s="5" t="e">
        <f t="shared" si="135"/>
        <v>#REF!</v>
      </c>
      <c r="M319" s="5" t="e">
        <f t="shared" si="135"/>
        <v>#REF!</v>
      </c>
      <c r="N319" s="5" t="e">
        <f t="shared" si="135"/>
        <v>#REF!</v>
      </c>
      <c r="O319" s="5" t="e">
        <f t="shared" si="135"/>
        <v>#REF!</v>
      </c>
      <c r="P319" s="5" t="e">
        <f t="shared" si="135"/>
        <v>#REF!</v>
      </c>
      <c r="Q319" s="5" t="e">
        <f t="shared" si="134"/>
        <v>#REF!</v>
      </c>
      <c r="R319" s="5" t="e">
        <f t="shared" si="134"/>
        <v>#REF!</v>
      </c>
      <c r="S319" s="5" t="e">
        <f t="shared" si="134"/>
        <v>#REF!</v>
      </c>
    </row>
    <row r="320" spans="1:19" x14ac:dyDescent="0.25">
      <c r="A320" s="31" t="e">
        <f>#REF!</f>
        <v>#REF!</v>
      </c>
      <c r="B320" s="31"/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135"/>
        <v>#REF!</v>
      </c>
      <c r="J320" s="5" t="e">
        <f t="shared" si="135"/>
        <v>#REF!</v>
      </c>
      <c r="K320" s="5" t="e">
        <f t="shared" si="135"/>
        <v>#REF!</v>
      </c>
      <c r="L320" s="5" t="e">
        <f t="shared" si="135"/>
        <v>#REF!</v>
      </c>
      <c r="M320" s="5" t="e">
        <f t="shared" si="135"/>
        <v>#REF!</v>
      </c>
      <c r="N320" s="5" t="e">
        <f t="shared" si="135"/>
        <v>#REF!</v>
      </c>
      <c r="O320" s="5" t="e">
        <f t="shared" si="135"/>
        <v>#REF!</v>
      </c>
      <c r="P320" s="5" t="e">
        <f t="shared" si="135"/>
        <v>#REF!</v>
      </c>
      <c r="Q320" s="5" t="e">
        <f t="shared" si="134"/>
        <v>#REF!</v>
      </c>
      <c r="R320" s="5" t="e">
        <f t="shared" si="134"/>
        <v>#REF!</v>
      </c>
      <c r="S320" s="5" t="e">
        <f t="shared" si="134"/>
        <v>#REF!</v>
      </c>
    </row>
    <row r="321" spans="1:19" x14ac:dyDescent="0.25">
      <c r="A321" s="31" t="e">
        <f>#REF!</f>
        <v>#REF!</v>
      </c>
      <c r="B321" s="31"/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135"/>
        <v>#REF!</v>
      </c>
      <c r="J321" s="5" t="e">
        <f t="shared" si="135"/>
        <v>#REF!</v>
      </c>
      <c r="K321" s="5" t="e">
        <f t="shared" si="135"/>
        <v>#REF!</v>
      </c>
      <c r="L321" s="5" t="e">
        <f t="shared" si="135"/>
        <v>#REF!</v>
      </c>
      <c r="M321" s="5" t="e">
        <f t="shared" si="135"/>
        <v>#REF!</v>
      </c>
      <c r="N321" s="5" t="e">
        <f t="shared" si="135"/>
        <v>#REF!</v>
      </c>
      <c r="O321" s="5" t="e">
        <f t="shared" si="135"/>
        <v>#REF!</v>
      </c>
      <c r="P321" s="5" t="e">
        <f t="shared" si="135"/>
        <v>#REF!</v>
      </c>
      <c r="Q321" s="5" t="e">
        <f t="shared" si="134"/>
        <v>#REF!</v>
      </c>
      <c r="R321" s="5" t="e">
        <f t="shared" si="134"/>
        <v>#REF!</v>
      </c>
      <c r="S321" s="5" t="e">
        <f t="shared" si="134"/>
        <v>#REF!</v>
      </c>
    </row>
    <row r="322" spans="1:19" x14ac:dyDescent="0.25">
      <c r="A322" s="31" t="e">
        <f>#REF!</f>
        <v>#REF!</v>
      </c>
      <c r="B322" s="31"/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135"/>
        <v>#REF!</v>
      </c>
      <c r="J322" s="5" t="e">
        <f t="shared" si="135"/>
        <v>#REF!</v>
      </c>
      <c r="K322" s="5" t="e">
        <f t="shared" si="135"/>
        <v>#REF!</v>
      </c>
      <c r="L322" s="5" t="e">
        <f t="shared" si="135"/>
        <v>#REF!</v>
      </c>
      <c r="M322" s="5" t="e">
        <f t="shared" si="135"/>
        <v>#REF!</v>
      </c>
      <c r="N322" s="5" t="e">
        <f t="shared" si="135"/>
        <v>#REF!</v>
      </c>
      <c r="O322" s="5" t="e">
        <f t="shared" si="135"/>
        <v>#REF!</v>
      </c>
      <c r="P322" s="5" t="e">
        <f t="shared" si="135"/>
        <v>#REF!</v>
      </c>
      <c r="Q322" s="5" t="e">
        <f t="shared" ref="Q322:S333" si="136">P322</f>
        <v>#REF!</v>
      </c>
      <c r="R322" s="5" t="e">
        <f t="shared" si="136"/>
        <v>#REF!</v>
      </c>
      <c r="S322" s="5" t="e">
        <f t="shared" si="136"/>
        <v>#REF!</v>
      </c>
    </row>
    <row r="323" spans="1:19" x14ac:dyDescent="0.25">
      <c r="A323" s="31" t="e">
        <f>#REF!</f>
        <v>#REF!</v>
      </c>
      <c r="B323" s="31"/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si="135"/>
        <v>#REF!</v>
      </c>
      <c r="J323" s="5" t="e">
        <f t="shared" si="135"/>
        <v>#REF!</v>
      </c>
      <c r="K323" s="5" t="e">
        <f t="shared" si="135"/>
        <v>#REF!</v>
      </c>
      <c r="L323" s="5" t="e">
        <f t="shared" si="135"/>
        <v>#REF!</v>
      </c>
      <c r="M323" s="5" t="e">
        <f t="shared" si="135"/>
        <v>#REF!</v>
      </c>
      <c r="N323" s="5" t="e">
        <f t="shared" si="135"/>
        <v>#REF!</v>
      </c>
      <c r="O323" s="5" t="e">
        <f t="shared" si="135"/>
        <v>#REF!</v>
      </c>
      <c r="P323" s="5" t="e">
        <f t="shared" si="135"/>
        <v>#REF!</v>
      </c>
      <c r="Q323" s="5" t="e">
        <f t="shared" si="136"/>
        <v>#REF!</v>
      </c>
      <c r="R323" s="5" t="e">
        <f t="shared" si="136"/>
        <v>#REF!</v>
      </c>
      <c r="S323" s="5" t="e">
        <f t="shared" si="136"/>
        <v>#REF!</v>
      </c>
    </row>
    <row r="324" spans="1:19" x14ac:dyDescent="0.25">
      <c r="A324" s="31" t="e">
        <f>#REF!</f>
        <v>#REF!</v>
      </c>
      <c r="B324" s="31"/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135"/>
        <v>#REF!</v>
      </c>
      <c r="J324" s="5" t="e">
        <f t="shared" si="135"/>
        <v>#REF!</v>
      </c>
      <c r="K324" s="5" t="e">
        <f t="shared" si="135"/>
        <v>#REF!</v>
      </c>
      <c r="L324" s="5" t="e">
        <f t="shared" si="135"/>
        <v>#REF!</v>
      </c>
      <c r="M324" s="5" t="e">
        <f t="shared" si="135"/>
        <v>#REF!</v>
      </c>
      <c r="N324" s="5" t="e">
        <f t="shared" si="135"/>
        <v>#REF!</v>
      </c>
      <c r="O324" s="5" t="e">
        <f t="shared" si="135"/>
        <v>#REF!</v>
      </c>
      <c r="P324" s="5" t="e">
        <f t="shared" si="135"/>
        <v>#REF!</v>
      </c>
      <c r="Q324" s="5" t="e">
        <f t="shared" si="136"/>
        <v>#REF!</v>
      </c>
      <c r="R324" s="5" t="e">
        <f t="shared" si="136"/>
        <v>#REF!</v>
      </c>
      <c r="S324" s="5" t="e">
        <f t="shared" si="136"/>
        <v>#REF!</v>
      </c>
    </row>
    <row r="325" spans="1:19" x14ac:dyDescent="0.25">
      <c r="A325" s="31" t="e">
        <f>#REF!</f>
        <v>#REF!</v>
      </c>
      <c r="B325" s="31"/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135"/>
        <v>#REF!</v>
      </c>
      <c r="J325" s="5" t="e">
        <f t="shared" si="135"/>
        <v>#REF!</v>
      </c>
      <c r="K325" s="5" t="e">
        <f t="shared" si="135"/>
        <v>#REF!</v>
      </c>
      <c r="L325" s="5" t="e">
        <f t="shared" si="135"/>
        <v>#REF!</v>
      </c>
      <c r="M325" s="5" t="e">
        <f t="shared" si="135"/>
        <v>#REF!</v>
      </c>
      <c r="N325" s="5" t="e">
        <f t="shared" si="135"/>
        <v>#REF!</v>
      </c>
      <c r="O325" s="5" t="e">
        <f t="shared" si="135"/>
        <v>#REF!</v>
      </c>
      <c r="P325" s="5" t="e">
        <f t="shared" si="135"/>
        <v>#REF!</v>
      </c>
      <c r="Q325" s="5" t="e">
        <f t="shared" si="136"/>
        <v>#REF!</v>
      </c>
      <c r="R325" s="5" t="e">
        <f t="shared" si="136"/>
        <v>#REF!</v>
      </c>
      <c r="S325" s="5" t="e">
        <f t="shared" si="136"/>
        <v>#REF!</v>
      </c>
    </row>
    <row r="326" spans="1:19" x14ac:dyDescent="0.25">
      <c r="A326" s="31" t="e">
        <f>#REF!</f>
        <v>#REF!</v>
      </c>
      <c r="B326" s="31"/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135"/>
        <v>#REF!</v>
      </c>
      <c r="J326" s="5" t="e">
        <f t="shared" si="135"/>
        <v>#REF!</v>
      </c>
      <c r="K326" s="5" t="e">
        <f t="shared" si="135"/>
        <v>#REF!</v>
      </c>
      <c r="L326" s="5" t="e">
        <f t="shared" si="135"/>
        <v>#REF!</v>
      </c>
      <c r="M326" s="5" t="e">
        <f t="shared" si="135"/>
        <v>#REF!</v>
      </c>
      <c r="N326" s="5" t="e">
        <f t="shared" si="135"/>
        <v>#REF!</v>
      </c>
      <c r="O326" s="5" t="e">
        <f t="shared" si="135"/>
        <v>#REF!</v>
      </c>
      <c r="P326" s="5" t="e">
        <f t="shared" si="135"/>
        <v>#REF!</v>
      </c>
      <c r="Q326" s="5" t="e">
        <f t="shared" si="136"/>
        <v>#REF!</v>
      </c>
      <c r="R326" s="5" t="e">
        <f t="shared" si="136"/>
        <v>#REF!</v>
      </c>
      <c r="S326" s="5" t="e">
        <f t="shared" si="136"/>
        <v>#REF!</v>
      </c>
    </row>
    <row r="327" spans="1:19" x14ac:dyDescent="0.25">
      <c r="A327" s="31" t="e">
        <f>#REF!</f>
        <v>#REF!</v>
      </c>
      <c r="B327" s="31"/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135"/>
        <v>#REF!</v>
      </c>
      <c r="J327" s="5" t="e">
        <f t="shared" si="135"/>
        <v>#REF!</v>
      </c>
      <c r="K327" s="5" t="e">
        <f t="shared" si="135"/>
        <v>#REF!</v>
      </c>
      <c r="L327" s="5" t="e">
        <f t="shared" si="135"/>
        <v>#REF!</v>
      </c>
      <c r="M327" s="5" t="e">
        <f t="shared" si="135"/>
        <v>#REF!</v>
      </c>
      <c r="N327" s="5" t="e">
        <f t="shared" si="135"/>
        <v>#REF!</v>
      </c>
      <c r="O327" s="5" t="e">
        <f t="shared" si="135"/>
        <v>#REF!</v>
      </c>
      <c r="P327" s="5" t="e">
        <f t="shared" si="135"/>
        <v>#REF!</v>
      </c>
      <c r="Q327" s="5" t="e">
        <f t="shared" si="136"/>
        <v>#REF!</v>
      </c>
      <c r="R327" s="5" t="e">
        <f t="shared" si="136"/>
        <v>#REF!</v>
      </c>
      <c r="S327" s="5" t="e">
        <f t="shared" si="136"/>
        <v>#REF!</v>
      </c>
    </row>
    <row r="328" spans="1:19" x14ac:dyDescent="0.25">
      <c r="A328" s="31" t="e">
        <f>#REF!</f>
        <v>#REF!</v>
      </c>
      <c r="B328" s="31"/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135"/>
        <v>#REF!</v>
      </c>
      <c r="J328" s="5" t="e">
        <f t="shared" si="135"/>
        <v>#REF!</v>
      </c>
      <c r="K328" s="5" t="e">
        <f t="shared" si="135"/>
        <v>#REF!</v>
      </c>
      <c r="L328" s="5" t="e">
        <f t="shared" si="135"/>
        <v>#REF!</v>
      </c>
      <c r="M328" s="5" t="e">
        <f t="shared" si="135"/>
        <v>#REF!</v>
      </c>
      <c r="N328" s="5" t="e">
        <f t="shared" si="135"/>
        <v>#REF!</v>
      </c>
      <c r="O328" s="5" t="e">
        <f t="shared" si="135"/>
        <v>#REF!</v>
      </c>
      <c r="P328" s="5" t="e">
        <f t="shared" si="135"/>
        <v>#REF!</v>
      </c>
      <c r="Q328" s="5" t="e">
        <f t="shared" si="136"/>
        <v>#REF!</v>
      </c>
      <c r="R328" s="5" t="e">
        <f t="shared" si="136"/>
        <v>#REF!</v>
      </c>
      <c r="S328" s="5" t="e">
        <f t="shared" si="136"/>
        <v>#REF!</v>
      </c>
    </row>
    <row r="329" spans="1:19" x14ac:dyDescent="0.25">
      <c r="A329" s="31" t="e">
        <f>#REF!</f>
        <v>#REF!</v>
      </c>
      <c r="B329" s="31"/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135"/>
        <v>#REF!</v>
      </c>
      <c r="J329" s="5" t="e">
        <f t="shared" si="135"/>
        <v>#REF!</v>
      </c>
      <c r="K329" s="5" t="e">
        <f t="shared" si="135"/>
        <v>#REF!</v>
      </c>
      <c r="L329" s="5" t="e">
        <f t="shared" si="135"/>
        <v>#REF!</v>
      </c>
      <c r="M329" s="5" t="e">
        <f t="shared" si="135"/>
        <v>#REF!</v>
      </c>
      <c r="N329" s="5" t="e">
        <f t="shared" si="135"/>
        <v>#REF!</v>
      </c>
      <c r="O329" s="5" t="e">
        <f t="shared" si="135"/>
        <v>#REF!</v>
      </c>
      <c r="P329" s="5" t="e">
        <f t="shared" si="135"/>
        <v>#REF!</v>
      </c>
      <c r="Q329" s="5" t="e">
        <f t="shared" si="136"/>
        <v>#REF!</v>
      </c>
      <c r="R329" s="5" t="e">
        <f t="shared" si="136"/>
        <v>#REF!</v>
      </c>
      <c r="S329" s="5" t="e">
        <f t="shared" si="136"/>
        <v>#REF!</v>
      </c>
    </row>
    <row r="330" spans="1:19" x14ac:dyDescent="0.25">
      <c r="A330" s="31" t="e">
        <f>#REF!</f>
        <v>#REF!</v>
      </c>
      <c r="B330" s="31"/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135"/>
        <v>#REF!</v>
      </c>
      <c r="J330" s="5" t="e">
        <f t="shared" si="135"/>
        <v>#REF!</v>
      </c>
      <c r="K330" s="5" t="e">
        <f t="shared" si="135"/>
        <v>#REF!</v>
      </c>
      <c r="L330" s="5" t="e">
        <f t="shared" si="135"/>
        <v>#REF!</v>
      </c>
      <c r="M330" s="5" t="e">
        <f t="shared" si="135"/>
        <v>#REF!</v>
      </c>
      <c r="N330" s="5" t="e">
        <f t="shared" si="135"/>
        <v>#REF!</v>
      </c>
      <c r="O330" s="5" t="e">
        <f t="shared" si="135"/>
        <v>#REF!</v>
      </c>
      <c r="P330" s="5" t="e">
        <f t="shared" si="135"/>
        <v>#REF!</v>
      </c>
      <c r="Q330" s="5" t="e">
        <f t="shared" si="136"/>
        <v>#REF!</v>
      </c>
      <c r="R330" s="5" t="e">
        <f t="shared" si="136"/>
        <v>#REF!</v>
      </c>
      <c r="S330" s="5" t="e">
        <f t="shared" si="136"/>
        <v>#REF!</v>
      </c>
    </row>
    <row r="331" spans="1:19" x14ac:dyDescent="0.25">
      <c r="A331" s="31" t="e">
        <f>#REF!</f>
        <v>#REF!</v>
      </c>
      <c r="B331" s="31"/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135"/>
        <v>#REF!</v>
      </c>
      <c r="J331" s="5" t="e">
        <f t="shared" si="135"/>
        <v>#REF!</v>
      </c>
      <c r="K331" s="5" t="e">
        <f t="shared" si="135"/>
        <v>#REF!</v>
      </c>
      <c r="L331" s="5" t="e">
        <f t="shared" si="135"/>
        <v>#REF!</v>
      </c>
      <c r="M331" s="5" t="e">
        <f t="shared" si="135"/>
        <v>#REF!</v>
      </c>
      <c r="N331" s="5" t="e">
        <f t="shared" si="135"/>
        <v>#REF!</v>
      </c>
      <c r="O331" s="5" t="e">
        <f t="shared" si="135"/>
        <v>#REF!</v>
      </c>
      <c r="P331" s="5" t="e">
        <f t="shared" si="135"/>
        <v>#REF!</v>
      </c>
      <c r="Q331" s="5" t="e">
        <f t="shared" si="136"/>
        <v>#REF!</v>
      </c>
      <c r="R331" s="5" t="e">
        <f t="shared" si="136"/>
        <v>#REF!</v>
      </c>
      <c r="S331" s="5" t="e">
        <f t="shared" si="136"/>
        <v>#REF!</v>
      </c>
    </row>
    <row r="332" spans="1:19" x14ac:dyDescent="0.25">
      <c r="A332" s="31" t="e">
        <f>#REF!</f>
        <v>#REF!</v>
      </c>
      <c r="B332" s="31"/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135"/>
        <v>#REF!</v>
      </c>
      <c r="J332" s="5" t="e">
        <f t="shared" si="135"/>
        <v>#REF!</v>
      </c>
      <c r="K332" s="5" t="e">
        <f t="shared" si="135"/>
        <v>#REF!</v>
      </c>
      <c r="L332" s="5" t="e">
        <f t="shared" si="135"/>
        <v>#REF!</v>
      </c>
      <c r="M332" s="5" t="e">
        <f t="shared" si="135"/>
        <v>#REF!</v>
      </c>
      <c r="N332" s="5" t="e">
        <f t="shared" si="135"/>
        <v>#REF!</v>
      </c>
      <c r="O332" s="5" t="e">
        <f t="shared" si="135"/>
        <v>#REF!</v>
      </c>
      <c r="P332" s="5" t="e">
        <f t="shared" si="135"/>
        <v>#REF!</v>
      </c>
      <c r="Q332" s="5" t="e">
        <f t="shared" si="136"/>
        <v>#REF!</v>
      </c>
      <c r="R332" s="5" t="e">
        <f t="shared" si="136"/>
        <v>#REF!</v>
      </c>
      <c r="S332" s="5" t="e">
        <f t="shared" si="136"/>
        <v>#REF!</v>
      </c>
    </row>
    <row r="333" spans="1:19" x14ac:dyDescent="0.25">
      <c r="A333" s="31" t="e">
        <f>#REF!</f>
        <v>#REF!</v>
      </c>
      <c r="B333" s="31"/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135"/>
        <v>#REF!</v>
      </c>
      <c r="J333" s="5" t="e">
        <f t="shared" si="135"/>
        <v>#REF!</v>
      </c>
      <c r="K333" s="5" t="e">
        <f t="shared" si="135"/>
        <v>#REF!</v>
      </c>
      <c r="L333" s="5" t="e">
        <f t="shared" si="135"/>
        <v>#REF!</v>
      </c>
      <c r="M333" s="5" t="e">
        <f t="shared" si="135"/>
        <v>#REF!</v>
      </c>
      <c r="N333" s="5" t="e">
        <f t="shared" si="135"/>
        <v>#REF!</v>
      </c>
      <c r="O333" s="5" t="e">
        <f t="shared" si="135"/>
        <v>#REF!</v>
      </c>
      <c r="P333" s="5" t="e">
        <f t="shared" si="135"/>
        <v>#REF!</v>
      </c>
      <c r="Q333" s="5" t="e">
        <f t="shared" si="136"/>
        <v>#REF!</v>
      </c>
      <c r="R333" s="5" t="e">
        <f t="shared" si="136"/>
        <v>#REF!</v>
      </c>
      <c r="S333" s="5" t="e">
        <f t="shared" si="136"/>
        <v>#REF!</v>
      </c>
    </row>
    <row r="334" spans="1:19" x14ac:dyDescent="0.25">
      <c r="A334" s="31" t="e">
        <f>#REF!</f>
        <v>#REF!</v>
      </c>
      <c r="B334" s="31"/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135"/>
        <v>#REF!</v>
      </c>
      <c r="J334" s="5" t="e">
        <f t="shared" si="135"/>
        <v>#REF!</v>
      </c>
      <c r="K334" s="5" t="e">
        <f t="shared" si="135"/>
        <v>#REF!</v>
      </c>
      <c r="L334" s="5" t="e">
        <f t="shared" ref="J334:P349" si="137">K334</f>
        <v>#REF!</v>
      </c>
      <c r="M334" s="5" t="e">
        <f t="shared" si="137"/>
        <v>#REF!</v>
      </c>
      <c r="N334" s="5" t="e">
        <f t="shared" si="137"/>
        <v>#REF!</v>
      </c>
      <c r="O334" s="5" t="e">
        <f t="shared" si="137"/>
        <v>#REF!</v>
      </c>
      <c r="P334" s="5" t="e">
        <f t="shared" si="137"/>
        <v>#REF!</v>
      </c>
      <c r="Q334" s="5" t="e">
        <f t="shared" ref="Q334:S334" si="138">P334</f>
        <v>#REF!</v>
      </c>
      <c r="R334" s="5" t="e">
        <f t="shared" si="138"/>
        <v>#REF!</v>
      </c>
      <c r="S334" s="5" t="e">
        <f t="shared" si="138"/>
        <v>#REF!</v>
      </c>
    </row>
    <row r="335" spans="1:19" x14ac:dyDescent="0.25">
      <c r="A335" s="31" t="e">
        <f>#REF!</f>
        <v>#REF!</v>
      </c>
      <c r="B335" s="31"/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135"/>
        <v>#REF!</v>
      </c>
      <c r="J335" s="5" t="e">
        <f t="shared" si="137"/>
        <v>#REF!</v>
      </c>
      <c r="K335" s="5" t="e">
        <f t="shared" si="137"/>
        <v>#REF!</v>
      </c>
      <c r="L335" s="5" t="e">
        <f t="shared" si="137"/>
        <v>#REF!</v>
      </c>
      <c r="M335" s="5" t="e">
        <f t="shared" si="137"/>
        <v>#REF!</v>
      </c>
      <c r="N335" s="5" t="e">
        <f t="shared" si="137"/>
        <v>#REF!</v>
      </c>
      <c r="O335" s="5" t="e">
        <f t="shared" si="137"/>
        <v>#REF!</v>
      </c>
      <c r="P335" s="5" t="e">
        <f t="shared" si="137"/>
        <v>#REF!</v>
      </c>
      <c r="Q335" s="5" t="e">
        <f t="shared" ref="Q335:S335" si="139">P335</f>
        <v>#REF!</v>
      </c>
      <c r="R335" s="5" t="e">
        <f t="shared" si="139"/>
        <v>#REF!</v>
      </c>
      <c r="S335" s="5" t="e">
        <f t="shared" si="139"/>
        <v>#REF!</v>
      </c>
    </row>
    <row r="336" spans="1:19" x14ac:dyDescent="0.25">
      <c r="A336" s="31" t="e">
        <f>#REF!</f>
        <v>#REF!</v>
      </c>
      <c r="B336" s="31"/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135"/>
        <v>#REF!</v>
      </c>
      <c r="J336" s="5" t="e">
        <f t="shared" si="137"/>
        <v>#REF!</v>
      </c>
      <c r="K336" s="5" t="e">
        <f t="shared" si="137"/>
        <v>#REF!</v>
      </c>
      <c r="L336" s="5" t="e">
        <f t="shared" si="137"/>
        <v>#REF!</v>
      </c>
      <c r="M336" s="5" t="e">
        <f t="shared" si="137"/>
        <v>#REF!</v>
      </c>
      <c r="N336" s="5" t="e">
        <f t="shared" si="137"/>
        <v>#REF!</v>
      </c>
      <c r="O336" s="5" t="e">
        <f t="shared" si="137"/>
        <v>#REF!</v>
      </c>
      <c r="P336" s="5" t="e">
        <f t="shared" si="137"/>
        <v>#REF!</v>
      </c>
      <c r="Q336" s="5" t="e">
        <f t="shared" ref="Q336:S336" si="140">P336</f>
        <v>#REF!</v>
      </c>
      <c r="R336" s="5" t="e">
        <f t="shared" si="140"/>
        <v>#REF!</v>
      </c>
      <c r="S336" s="5" t="e">
        <f t="shared" si="140"/>
        <v>#REF!</v>
      </c>
    </row>
    <row r="337" spans="1:19" x14ac:dyDescent="0.25">
      <c r="A337" s="31" t="e">
        <f>#REF!</f>
        <v>#REF!</v>
      </c>
      <c r="B337" s="31"/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135"/>
        <v>#REF!</v>
      </c>
      <c r="J337" s="5" t="e">
        <f t="shared" si="137"/>
        <v>#REF!</v>
      </c>
      <c r="K337" s="5" t="e">
        <f t="shared" si="137"/>
        <v>#REF!</v>
      </c>
      <c r="L337" s="5" t="e">
        <f t="shared" si="137"/>
        <v>#REF!</v>
      </c>
      <c r="M337" s="5" t="e">
        <f t="shared" si="137"/>
        <v>#REF!</v>
      </c>
      <c r="N337" s="5" t="e">
        <f t="shared" si="137"/>
        <v>#REF!</v>
      </c>
      <c r="O337" s="5" t="e">
        <f t="shared" si="137"/>
        <v>#REF!</v>
      </c>
      <c r="P337" s="5" t="e">
        <f t="shared" si="137"/>
        <v>#REF!</v>
      </c>
      <c r="Q337" s="5" t="e">
        <f t="shared" ref="Q337:S337" si="141">P337</f>
        <v>#REF!</v>
      </c>
      <c r="R337" s="5" t="e">
        <f t="shared" si="141"/>
        <v>#REF!</v>
      </c>
      <c r="S337" s="5" t="e">
        <f t="shared" si="141"/>
        <v>#REF!</v>
      </c>
    </row>
    <row r="338" spans="1:19" x14ac:dyDescent="0.25">
      <c r="A338" s="31" t="e">
        <f>#REF!</f>
        <v>#REF!</v>
      </c>
      <c r="B338" s="31"/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135"/>
        <v>#REF!</v>
      </c>
      <c r="J338" s="5" t="e">
        <f t="shared" si="137"/>
        <v>#REF!</v>
      </c>
      <c r="K338" s="5" t="e">
        <f t="shared" si="137"/>
        <v>#REF!</v>
      </c>
      <c r="L338" s="5" t="e">
        <f t="shared" si="137"/>
        <v>#REF!</v>
      </c>
      <c r="M338" s="5" t="e">
        <f t="shared" si="137"/>
        <v>#REF!</v>
      </c>
      <c r="N338" s="5" t="e">
        <f t="shared" si="137"/>
        <v>#REF!</v>
      </c>
      <c r="O338" s="5" t="e">
        <f t="shared" si="137"/>
        <v>#REF!</v>
      </c>
      <c r="P338" s="5" t="e">
        <f t="shared" si="137"/>
        <v>#REF!</v>
      </c>
      <c r="Q338" s="5" t="e">
        <f t="shared" ref="Q338:S338" si="142">P338</f>
        <v>#REF!</v>
      </c>
      <c r="R338" s="5" t="e">
        <f t="shared" si="142"/>
        <v>#REF!</v>
      </c>
      <c r="S338" s="5" t="e">
        <f t="shared" si="142"/>
        <v>#REF!</v>
      </c>
    </row>
    <row r="339" spans="1:19" x14ac:dyDescent="0.25">
      <c r="A339" s="31" t="e">
        <f>#REF!</f>
        <v>#REF!</v>
      </c>
      <c r="B339" s="31"/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si="135"/>
        <v>#REF!</v>
      </c>
      <c r="J339" s="5" t="e">
        <f t="shared" si="137"/>
        <v>#REF!</v>
      </c>
      <c r="K339" s="5" t="e">
        <f t="shared" si="137"/>
        <v>#REF!</v>
      </c>
      <c r="L339" s="5" t="e">
        <f t="shared" si="137"/>
        <v>#REF!</v>
      </c>
      <c r="M339" s="5" t="e">
        <f t="shared" si="137"/>
        <v>#REF!</v>
      </c>
      <c r="N339" s="5" t="e">
        <f t="shared" si="137"/>
        <v>#REF!</v>
      </c>
      <c r="O339" s="5" t="e">
        <f t="shared" si="137"/>
        <v>#REF!</v>
      </c>
      <c r="P339" s="5" t="e">
        <f t="shared" si="137"/>
        <v>#REF!</v>
      </c>
      <c r="Q339" s="5" t="e">
        <f t="shared" ref="Q339:S339" si="143">P339</f>
        <v>#REF!</v>
      </c>
      <c r="R339" s="5" t="e">
        <f t="shared" si="143"/>
        <v>#REF!</v>
      </c>
      <c r="S339" s="5" t="e">
        <f t="shared" si="143"/>
        <v>#REF!</v>
      </c>
    </row>
    <row r="340" spans="1:19" x14ac:dyDescent="0.25">
      <c r="A340" s="31" t="e">
        <f>#REF!</f>
        <v>#REF!</v>
      </c>
      <c r="B340" s="31"/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135"/>
        <v>#REF!</v>
      </c>
      <c r="J340" s="5" t="e">
        <f t="shared" si="137"/>
        <v>#REF!</v>
      </c>
      <c r="K340" s="5" t="e">
        <f t="shared" si="137"/>
        <v>#REF!</v>
      </c>
      <c r="L340" s="5" t="e">
        <f t="shared" si="137"/>
        <v>#REF!</v>
      </c>
      <c r="M340" s="5" t="e">
        <f t="shared" si="137"/>
        <v>#REF!</v>
      </c>
      <c r="N340" s="5" t="e">
        <f t="shared" si="137"/>
        <v>#REF!</v>
      </c>
      <c r="O340" s="5" t="e">
        <f t="shared" si="137"/>
        <v>#REF!</v>
      </c>
      <c r="P340" s="5" t="e">
        <f t="shared" si="137"/>
        <v>#REF!</v>
      </c>
      <c r="Q340" s="5" t="e">
        <f t="shared" ref="Q340:S340" si="144">P340</f>
        <v>#REF!</v>
      </c>
      <c r="R340" s="5" t="e">
        <f t="shared" si="144"/>
        <v>#REF!</v>
      </c>
      <c r="S340" s="5" t="e">
        <f t="shared" si="144"/>
        <v>#REF!</v>
      </c>
    </row>
    <row r="341" spans="1:19" x14ac:dyDescent="0.25">
      <c r="A341" s="31" t="e">
        <f>#REF!</f>
        <v>#REF!</v>
      </c>
      <c r="B341" s="31"/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135"/>
        <v>#REF!</v>
      </c>
      <c r="J341" s="5" t="e">
        <f t="shared" si="137"/>
        <v>#REF!</v>
      </c>
      <c r="K341" s="5" t="e">
        <f t="shared" si="137"/>
        <v>#REF!</v>
      </c>
      <c r="L341" s="5" t="e">
        <f t="shared" si="137"/>
        <v>#REF!</v>
      </c>
      <c r="M341" s="5" t="e">
        <f t="shared" si="137"/>
        <v>#REF!</v>
      </c>
      <c r="N341" s="5" t="e">
        <f t="shared" si="137"/>
        <v>#REF!</v>
      </c>
      <c r="O341" s="5" t="e">
        <f t="shared" si="137"/>
        <v>#REF!</v>
      </c>
      <c r="P341" s="5" t="e">
        <f t="shared" si="137"/>
        <v>#REF!</v>
      </c>
      <c r="Q341" s="5" t="e">
        <f t="shared" ref="Q341:S341" si="145">P341</f>
        <v>#REF!</v>
      </c>
      <c r="R341" s="5" t="e">
        <f t="shared" si="145"/>
        <v>#REF!</v>
      </c>
      <c r="S341" s="5" t="e">
        <f t="shared" si="145"/>
        <v>#REF!</v>
      </c>
    </row>
    <row r="342" spans="1:19" x14ac:dyDescent="0.25">
      <c r="A342" s="31" t="e">
        <f>#REF!</f>
        <v>#REF!</v>
      </c>
      <c r="B342" s="31"/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135"/>
        <v>#REF!</v>
      </c>
      <c r="J342" s="5" t="e">
        <f t="shared" si="137"/>
        <v>#REF!</v>
      </c>
      <c r="K342" s="5" t="e">
        <f t="shared" si="137"/>
        <v>#REF!</v>
      </c>
      <c r="L342" s="5" t="e">
        <f t="shared" si="137"/>
        <v>#REF!</v>
      </c>
      <c r="M342" s="5" t="e">
        <f t="shared" si="137"/>
        <v>#REF!</v>
      </c>
      <c r="N342" s="5" t="e">
        <f t="shared" si="137"/>
        <v>#REF!</v>
      </c>
      <c r="O342" s="5" t="e">
        <f t="shared" si="137"/>
        <v>#REF!</v>
      </c>
      <c r="P342" s="5" t="e">
        <f t="shared" si="137"/>
        <v>#REF!</v>
      </c>
      <c r="Q342" s="5" t="e">
        <f t="shared" ref="Q342:S342" si="146">P342</f>
        <v>#REF!</v>
      </c>
      <c r="R342" s="5" t="e">
        <f t="shared" si="146"/>
        <v>#REF!</v>
      </c>
      <c r="S342" s="5" t="e">
        <f t="shared" si="146"/>
        <v>#REF!</v>
      </c>
    </row>
    <row r="343" spans="1:19" x14ac:dyDescent="0.25">
      <c r="A343" s="31" t="e">
        <f>#REF!</f>
        <v>#REF!</v>
      </c>
      <c r="B343" s="31"/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135"/>
        <v>#REF!</v>
      </c>
      <c r="J343" s="5" t="e">
        <f t="shared" si="137"/>
        <v>#REF!</v>
      </c>
      <c r="K343" s="5" t="e">
        <f t="shared" si="137"/>
        <v>#REF!</v>
      </c>
      <c r="L343" s="5" t="e">
        <f t="shared" si="137"/>
        <v>#REF!</v>
      </c>
      <c r="M343" s="5" t="e">
        <f t="shared" si="137"/>
        <v>#REF!</v>
      </c>
      <c r="N343" s="5" t="e">
        <f t="shared" si="137"/>
        <v>#REF!</v>
      </c>
      <c r="O343" s="5" t="e">
        <f t="shared" si="137"/>
        <v>#REF!</v>
      </c>
      <c r="P343" s="5" t="e">
        <f t="shared" si="137"/>
        <v>#REF!</v>
      </c>
      <c r="Q343" s="5" t="e">
        <f t="shared" ref="Q343:S343" si="147">P343</f>
        <v>#REF!</v>
      </c>
      <c r="R343" s="5" t="e">
        <f t="shared" si="147"/>
        <v>#REF!</v>
      </c>
      <c r="S343" s="5" t="e">
        <f t="shared" si="147"/>
        <v>#REF!</v>
      </c>
    </row>
    <row r="344" spans="1:19" x14ac:dyDescent="0.25">
      <c r="A344" s="31" t="e">
        <f>#REF!</f>
        <v>#REF!</v>
      </c>
      <c r="B344" s="31"/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135"/>
        <v>#REF!</v>
      </c>
      <c r="J344" s="5" t="e">
        <f t="shared" si="137"/>
        <v>#REF!</v>
      </c>
      <c r="K344" s="5" t="e">
        <f t="shared" si="137"/>
        <v>#REF!</v>
      </c>
      <c r="L344" s="5" t="e">
        <f t="shared" si="137"/>
        <v>#REF!</v>
      </c>
      <c r="M344" s="5" t="e">
        <f t="shared" si="137"/>
        <v>#REF!</v>
      </c>
      <c r="N344" s="5" t="e">
        <f t="shared" si="137"/>
        <v>#REF!</v>
      </c>
      <c r="O344" s="5" t="e">
        <f t="shared" si="137"/>
        <v>#REF!</v>
      </c>
      <c r="P344" s="5" t="e">
        <f t="shared" si="137"/>
        <v>#REF!</v>
      </c>
      <c r="Q344" s="5" t="e">
        <f t="shared" ref="Q344:S344" si="148">P344</f>
        <v>#REF!</v>
      </c>
      <c r="R344" s="5" t="e">
        <f t="shared" si="148"/>
        <v>#REF!</v>
      </c>
      <c r="S344" s="5" t="e">
        <f t="shared" si="148"/>
        <v>#REF!</v>
      </c>
    </row>
    <row r="345" spans="1:19" x14ac:dyDescent="0.25">
      <c r="A345" s="31" t="e">
        <f>#REF!</f>
        <v>#REF!</v>
      </c>
      <c r="B345" s="31"/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135"/>
        <v>#REF!</v>
      </c>
      <c r="J345" s="5" t="e">
        <f t="shared" si="137"/>
        <v>#REF!</v>
      </c>
      <c r="K345" s="5" t="e">
        <f t="shared" si="137"/>
        <v>#REF!</v>
      </c>
      <c r="L345" s="5" t="e">
        <f t="shared" si="137"/>
        <v>#REF!</v>
      </c>
      <c r="M345" s="5" t="e">
        <f t="shared" si="137"/>
        <v>#REF!</v>
      </c>
      <c r="N345" s="5" t="e">
        <f t="shared" si="137"/>
        <v>#REF!</v>
      </c>
      <c r="O345" s="5" t="e">
        <f t="shared" si="137"/>
        <v>#REF!</v>
      </c>
      <c r="P345" s="5" t="e">
        <f t="shared" si="137"/>
        <v>#REF!</v>
      </c>
      <c r="Q345" s="5" t="e">
        <f t="shared" ref="Q345:S345" si="149">P345</f>
        <v>#REF!</v>
      </c>
      <c r="R345" s="5" t="e">
        <f t="shared" si="149"/>
        <v>#REF!</v>
      </c>
      <c r="S345" s="5" t="e">
        <f t="shared" si="149"/>
        <v>#REF!</v>
      </c>
    </row>
    <row r="346" spans="1:19" x14ac:dyDescent="0.25">
      <c r="A346" s="31" t="e">
        <f>#REF!</f>
        <v>#REF!</v>
      </c>
      <c r="B346" s="31"/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135"/>
        <v>#REF!</v>
      </c>
      <c r="J346" s="5" t="e">
        <f t="shared" si="137"/>
        <v>#REF!</v>
      </c>
      <c r="K346" s="5" t="e">
        <f t="shared" si="137"/>
        <v>#REF!</v>
      </c>
      <c r="L346" s="5" t="e">
        <f t="shared" si="137"/>
        <v>#REF!</v>
      </c>
      <c r="M346" s="5" t="e">
        <f t="shared" si="137"/>
        <v>#REF!</v>
      </c>
      <c r="N346" s="5" t="e">
        <f t="shared" si="137"/>
        <v>#REF!</v>
      </c>
      <c r="O346" s="5" t="e">
        <f t="shared" si="137"/>
        <v>#REF!</v>
      </c>
      <c r="P346" s="5" t="e">
        <f t="shared" si="137"/>
        <v>#REF!</v>
      </c>
      <c r="Q346" s="5" t="e">
        <f t="shared" ref="Q346:S346" si="150">P346</f>
        <v>#REF!</v>
      </c>
      <c r="R346" s="5" t="e">
        <f t="shared" si="150"/>
        <v>#REF!</v>
      </c>
      <c r="S346" s="5" t="e">
        <f t="shared" si="150"/>
        <v>#REF!</v>
      </c>
    </row>
    <row r="347" spans="1:19" x14ac:dyDescent="0.25">
      <c r="A347" s="31" t="e">
        <f>#REF!</f>
        <v>#REF!</v>
      </c>
      <c r="B347" s="31"/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135"/>
        <v>#REF!</v>
      </c>
      <c r="J347" s="5" t="e">
        <f t="shared" si="137"/>
        <v>#REF!</v>
      </c>
      <c r="K347" s="5" t="e">
        <f t="shared" si="137"/>
        <v>#REF!</v>
      </c>
      <c r="L347" s="5" t="e">
        <f t="shared" si="137"/>
        <v>#REF!</v>
      </c>
      <c r="M347" s="5" t="e">
        <f t="shared" si="137"/>
        <v>#REF!</v>
      </c>
      <c r="N347" s="5" t="e">
        <f t="shared" si="137"/>
        <v>#REF!</v>
      </c>
      <c r="O347" s="5" t="e">
        <f t="shared" si="137"/>
        <v>#REF!</v>
      </c>
      <c r="P347" s="5" t="e">
        <f t="shared" si="137"/>
        <v>#REF!</v>
      </c>
      <c r="Q347" s="5" t="e">
        <f t="shared" ref="Q347:S347" si="151">P347</f>
        <v>#REF!</v>
      </c>
      <c r="R347" s="5" t="e">
        <f t="shared" si="151"/>
        <v>#REF!</v>
      </c>
      <c r="S347" s="5" t="e">
        <f t="shared" si="151"/>
        <v>#REF!</v>
      </c>
    </row>
    <row r="348" spans="1:19" x14ac:dyDescent="0.25">
      <c r="A348" s="31" t="e">
        <f>#REF!</f>
        <v>#REF!</v>
      </c>
      <c r="B348" s="31"/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135"/>
        <v>#REF!</v>
      </c>
      <c r="J348" s="5" t="e">
        <f t="shared" si="137"/>
        <v>#REF!</v>
      </c>
      <c r="K348" s="5" t="e">
        <f t="shared" si="137"/>
        <v>#REF!</v>
      </c>
      <c r="L348" s="5" t="e">
        <f t="shared" si="137"/>
        <v>#REF!</v>
      </c>
      <c r="M348" s="5" t="e">
        <f t="shared" si="137"/>
        <v>#REF!</v>
      </c>
      <c r="N348" s="5" t="e">
        <f t="shared" si="137"/>
        <v>#REF!</v>
      </c>
      <c r="O348" s="5" t="e">
        <f t="shared" si="137"/>
        <v>#REF!</v>
      </c>
      <c r="P348" s="5" t="e">
        <f t="shared" si="137"/>
        <v>#REF!</v>
      </c>
      <c r="Q348" s="5" t="e">
        <f t="shared" ref="Q348:S348" si="152">P348</f>
        <v>#REF!</v>
      </c>
      <c r="R348" s="5" t="e">
        <f t="shared" si="152"/>
        <v>#REF!</v>
      </c>
      <c r="S348" s="5" t="e">
        <f t="shared" si="152"/>
        <v>#REF!</v>
      </c>
    </row>
    <row r="349" spans="1:19" x14ac:dyDescent="0.25">
      <c r="A349" s="31" t="e">
        <f>#REF!</f>
        <v>#REF!</v>
      </c>
      <c r="B349" s="31"/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135"/>
        <v>#REF!</v>
      </c>
      <c r="J349" s="5" t="e">
        <f t="shared" si="137"/>
        <v>#REF!</v>
      </c>
      <c r="K349" s="5" t="e">
        <f t="shared" si="137"/>
        <v>#REF!</v>
      </c>
      <c r="L349" s="5" t="e">
        <f t="shared" si="137"/>
        <v>#REF!</v>
      </c>
      <c r="M349" s="5" t="e">
        <f t="shared" si="137"/>
        <v>#REF!</v>
      </c>
      <c r="N349" s="5" t="e">
        <f t="shared" si="137"/>
        <v>#REF!</v>
      </c>
      <c r="O349" s="5" t="e">
        <f t="shared" si="137"/>
        <v>#REF!</v>
      </c>
      <c r="P349" s="5" t="e">
        <f t="shared" si="137"/>
        <v>#REF!</v>
      </c>
      <c r="Q349" s="5" t="e">
        <f t="shared" ref="Q349:S349" si="153">P349</f>
        <v>#REF!</v>
      </c>
      <c r="R349" s="5" t="e">
        <f t="shared" si="153"/>
        <v>#REF!</v>
      </c>
      <c r="S349" s="5" t="e">
        <f t="shared" si="153"/>
        <v>#REF!</v>
      </c>
    </row>
    <row r="350" spans="1:19" x14ac:dyDescent="0.25">
      <c r="A350" s="31" t="e">
        <f>#REF!</f>
        <v>#REF!</v>
      </c>
      <c r="B350" s="31"/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135"/>
        <v>#REF!</v>
      </c>
      <c r="J350" s="5" t="e">
        <f t="shared" ref="J350:P365" si="154">I350</f>
        <v>#REF!</v>
      </c>
      <c r="K350" s="5" t="e">
        <f t="shared" si="154"/>
        <v>#REF!</v>
      </c>
      <c r="L350" s="5" t="e">
        <f t="shared" si="154"/>
        <v>#REF!</v>
      </c>
      <c r="M350" s="5" t="e">
        <f t="shared" si="154"/>
        <v>#REF!</v>
      </c>
      <c r="N350" s="5" t="e">
        <f t="shared" si="154"/>
        <v>#REF!</v>
      </c>
      <c r="O350" s="5" t="e">
        <f t="shared" si="154"/>
        <v>#REF!</v>
      </c>
      <c r="P350" s="5" t="e">
        <f t="shared" si="154"/>
        <v>#REF!</v>
      </c>
      <c r="Q350" s="5" t="e">
        <f t="shared" ref="Q350:S350" si="155">P350</f>
        <v>#REF!</v>
      </c>
      <c r="R350" s="5" t="e">
        <f t="shared" si="155"/>
        <v>#REF!</v>
      </c>
      <c r="S350" s="5" t="e">
        <f t="shared" si="155"/>
        <v>#REF!</v>
      </c>
    </row>
    <row r="351" spans="1:19" x14ac:dyDescent="0.25">
      <c r="A351" s="31" t="e">
        <f>#REF!</f>
        <v>#REF!</v>
      </c>
      <c r="B351" s="31"/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135"/>
        <v>#REF!</v>
      </c>
      <c r="J351" s="5" t="e">
        <f t="shared" si="154"/>
        <v>#REF!</v>
      </c>
      <c r="K351" s="5" t="e">
        <f t="shared" si="154"/>
        <v>#REF!</v>
      </c>
      <c r="L351" s="5" t="e">
        <f t="shared" si="154"/>
        <v>#REF!</v>
      </c>
      <c r="M351" s="5" t="e">
        <f t="shared" si="154"/>
        <v>#REF!</v>
      </c>
      <c r="N351" s="5" t="e">
        <f t="shared" si="154"/>
        <v>#REF!</v>
      </c>
      <c r="O351" s="5" t="e">
        <f t="shared" si="154"/>
        <v>#REF!</v>
      </c>
      <c r="P351" s="5" t="e">
        <f t="shared" si="154"/>
        <v>#REF!</v>
      </c>
      <c r="Q351" s="5" t="e">
        <f t="shared" ref="Q351:S351" si="156">P351</f>
        <v>#REF!</v>
      </c>
      <c r="R351" s="5" t="e">
        <f t="shared" si="156"/>
        <v>#REF!</v>
      </c>
      <c r="S351" s="5" t="e">
        <f t="shared" si="156"/>
        <v>#REF!</v>
      </c>
    </row>
    <row r="352" spans="1:19" x14ac:dyDescent="0.25">
      <c r="A352" s="31" t="e">
        <f>#REF!</f>
        <v>#REF!</v>
      </c>
      <c r="B352" s="31"/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135"/>
        <v>#REF!</v>
      </c>
      <c r="J352" s="5" t="e">
        <f t="shared" si="154"/>
        <v>#REF!</v>
      </c>
      <c r="K352" s="5" t="e">
        <f t="shared" si="154"/>
        <v>#REF!</v>
      </c>
      <c r="L352" s="5" t="e">
        <f t="shared" si="154"/>
        <v>#REF!</v>
      </c>
      <c r="M352" s="5" t="e">
        <f t="shared" si="154"/>
        <v>#REF!</v>
      </c>
      <c r="N352" s="5" t="e">
        <f t="shared" si="154"/>
        <v>#REF!</v>
      </c>
      <c r="O352" s="5" t="e">
        <f t="shared" si="154"/>
        <v>#REF!</v>
      </c>
      <c r="P352" s="5" t="e">
        <f t="shared" si="154"/>
        <v>#REF!</v>
      </c>
      <c r="Q352" s="5" t="e">
        <f t="shared" ref="Q352:S352" si="157">P352</f>
        <v>#REF!</v>
      </c>
      <c r="R352" s="5" t="e">
        <f t="shared" si="157"/>
        <v>#REF!</v>
      </c>
      <c r="S352" s="5" t="e">
        <f t="shared" si="157"/>
        <v>#REF!</v>
      </c>
    </row>
    <row r="353" spans="1:19" x14ac:dyDescent="0.25">
      <c r="A353" s="31" t="e">
        <f>#REF!</f>
        <v>#REF!</v>
      </c>
      <c r="B353" s="31"/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135"/>
        <v>#REF!</v>
      </c>
      <c r="J353" s="5" t="e">
        <f t="shared" si="154"/>
        <v>#REF!</v>
      </c>
      <c r="K353" s="5" t="e">
        <f t="shared" si="154"/>
        <v>#REF!</v>
      </c>
      <c r="L353" s="5" t="e">
        <f t="shared" si="154"/>
        <v>#REF!</v>
      </c>
      <c r="M353" s="5" t="e">
        <f t="shared" si="154"/>
        <v>#REF!</v>
      </c>
      <c r="N353" s="5" t="e">
        <f t="shared" si="154"/>
        <v>#REF!</v>
      </c>
      <c r="O353" s="5" t="e">
        <f t="shared" si="154"/>
        <v>#REF!</v>
      </c>
      <c r="P353" s="5" t="e">
        <f t="shared" si="154"/>
        <v>#REF!</v>
      </c>
      <c r="Q353" s="5" t="e">
        <f t="shared" ref="Q353:S353" si="158">P353</f>
        <v>#REF!</v>
      </c>
      <c r="R353" s="5" t="e">
        <f t="shared" si="158"/>
        <v>#REF!</v>
      </c>
      <c r="S353" s="5" t="e">
        <f t="shared" si="158"/>
        <v>#REF!</v>
      </c>
    </row>
    <row r="354" spans="1:19" x14ac:dyDescent="0.25">
      <c r="A354" s="31" t="e">
        <f>#REF!</f>
        <v>#REF!</v>
      </c>
      <c r="B354" s="31"/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135"/>
        <v>#REF!</v>
      </c>
      <c r="J354" s="5" t="e">
        <f t="shared" si="154"/>
        <v>#REF!</v>
      </c>
      <c r="K354" s="5" t="e">
        <f t="shared" si="154"/>
        <v>#REF!</v>
      </c>
      <c r="L354" s="5" t="e">
        <f t="shared" si="154"/>
        <v>#REF!</v>
      </c>
      <c r="M354" s="5" t="e">
        <f t="shared" si="154"/>
        <v>#REF!</v>
      </c>
      <c r="N354" s="5" t="e">
        <f t="shared" si="154"/>
        <v>#REF!</v>
      </c>
      <c r="O354" s="5" t="e">
        <f t="shared" si="154"/>
        <v>#REF!</v>
      </c>
      <c r="P354" s="5" t="e">
        <f t="shared" si="154"/>
        <v>#REF!</v>
      </c>
      <c r="Q354" s="5" t="e">
        <f t="shared" ref="Q354:S354" si="159">P354</f>
        <v>#REF!</v>
      </c>
      <c r="R354" s="5" t="e">
        <f t="shared" si="159"/>
        <v>#REF!</v>
      </c>
      <c r="S354" s="5" t="e">
        <f t="shared" si="159"/>
        <v>#REF!</v>
      </c>
    </row>
    <row r="355" spans="1:19" x14ac:dyDescent="0.25">
      <c r="A355" s="31" t="e">
        <f>#REF!</f>
        <v>#REF!</v>
      </c>
      <c r="B355" s="31"/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si="135"/>
        <v>#REF!</v>
      </c>
      <c r="J355" s="5" t="e">
        <f t="shared" si="154"/>
        <v>#REF!</v>
      </c>
      <c r="K355" s="5" t="e">
        <f t="shared" si="154"/>
        <v>#REF!</v>
      </c>
      <c r="L355" s="5" t="e">
        <f t="shared" si="154"/>
        <v>#REF!</v>
      </c>
      <c r="M355" s="5" t="e">
        <f t="shared" si="154"/>
        <v>#REF!</v>
      </c>
      <c r="N355" s="5" t="e">
        <f t="shared" si="154"/>
        <v>#REF!</v>
      </c>
      <c r="O355" s="5" t="e">
        <f t="shared" si="154"/>
        <v>#REF!</v>
      </c>
      <c r="P355" s="5" t="e">
        <f t="shared" si="154"/>
        <v>#REF!</v>
      </c>
      <c r="Q355" s="5" t="e">
        <f t="shared" ref="Q355:S355" si="160">P355</f>
        <v>#REF!</v>
      </c>
      <c r="R355" s="5" t="e">
        <f t="shared" si="160"/>
        <v>#REF!</v>
      </c>
      <c r="S355" s="5" t="e">
        <f t="shared" si="160"/>
        <v>#REF!</v>
      </c>
    </row>
    <row r="356" spans="1:19" x14ac:dyDescent="0.25">
      <c r="A356" s="31" t="e">
        <f>#REF!</f>
        <v>#REF!</v>
      </c>
      <c r="B356" s="31"/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135"/>
        <v>#REF!</v>
      </c>
      <c r="J356" s="5" t="e">
        <f t="shared" si="154"/>
        <v>#REF!</v>
      </c>
      <c r="K356" s="5" t="e">
        <f t="shared" si="154"/>
        <v>#REF!</v>
      </c>
      <c r="L356" s="5" t="e">
        <f t="shared" si="154"/>
        <v>#REF!</v>
      </c>
      <c r="M356" s="5" t="e">
        <f t="shared" si="154"/>
        <v>#REF!</v>
      </c>
      <c r="N356" s="5" t="e">
        <f t="shared" si="154"/>
        <v>#REF!</v>
      </c>
      <c r="O356" s="5" t="e">
        <f t="shared" si="154"/>
        <v>#REF!</v>
      </c>
      <c r="P356" s="5" t="e">
        <f t="shared" si="154"/>
        <v>#REF!</v>
      </c>
      <c r="Q356" s="5" t="e">
        <f t="shared" ref="Q356:S356" si="161">P356</f>
        <v>#REF!</v>
      </c>
      <c r="R356" s="5" t="e">
        <f t="shared" si="161"/>
        <v>#REF!</v>
      </c>
      <c r="S356" s="5" t="e">
        <f t="shared" si="161"/>
        <v>#REF!</v>
      </c>
    </row>
    <row r="357" spans="1:19" x14ac:dyDescent="0.25">
      <c r="A357" s="31" t="e">
        <f>#REF!</f>
        <v>#REF!</v>
      </c>
      <c r="B357" s="31"/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135"/>
        <v>#REF!</v>
      </c>
      <c r="J357" s="5" t="e">
        <f t="shared" si="154"/>
        <v>#REF!</v>
      </c>
      <c r="K357" s="5" t="e">
        <f t="shared" si="154"/>
        <v>#REF!</v>
      </c>
      <c r="L357" s="5" t="e">
        <f t="shared" si="154"/>
        <v>#REF!</v>
      </c>
      <c r="M357" s="5" t="e">
        <f t="shared" si="154"/>
        <v>#REF!</v>
      </c>
      <c r="N357" s="5" t="e">
        <f t="shared" si="154"/>
        <v>#REF!</v>
      </c>
      <c r="O357" s="5" t="e">
        <f t="shared" si="154"/>
        <v>#REF!</v>
      </c>
      <c r="P357" s="5" t="e">
        <f t="shared" si="154"/>
        <v>#REF!</v>
      </c>
      <c r="Q357" s="5" t="e">
        <f t="shared" ref="Q357:S357" si="162">P357</f>
        <v>#REF!</v>
      </c>
      <c r="R357" s="5" t="e">
        <f t="shared" si="162"/>
        <v>#REF!</v>
      </c>
      <c r="S357" s="5" t="e">
        <f t="shared" si="162"/>
        <v>#REF!</v>
      </c>
    </row>
    <row r="358" spans="1:19" x14ac:dyDescent="0.25">
      <c r="A358" s="31" t="e">
        <f>#REF!</f>
        <v>#REF!</v>
      </c>
      <c r="B358" s="31"/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135"/>
        <v>#REF!</v>
      </c>
      <c r="J358" s="5" t="e">
        <f t="shared" si="154"/>
        <v>#REF!</v>
      </c>
      <c r="K358" s="5" t="e">
        <f t="shared" si="154"/>
        <v>#REF!</v>
      </c>
      <c r="L358" s="5" t="e">
        <f t="shared" si="154"/>
        <v>#REF!</v>
      </c>
      <c r="M358" s="5" t="e">
        <f t="shared" si="154"/>
        <v>#REF!</v>
      </c>
      <c r="N358" s="5" t="e">
        <f t="shared" si="154"/>
        <v>#REF!</v>
      </c>
      <c r="O358" s="5" t="e">
        <f t="shared" si="154"/>
        <v>#REF!</v>
      </c>
      <c r="P358" s="5" t="e">
        <f t="shared" si="154"/>
        <v>#REF!</v>
      </c>
      <c r="Q358" s="5" t="e">
        <f t="shared" ref="Q358:S358" si="163">P358</f>
        <v>#REF!</v>
      </c>
      <c r="R358" s="5" t="e">
        <f t="shared" si="163"/>
        <v>#REF!</v>
      </c>
      <c r="S358" s="5" t="e">
        <f t="shared" si="163"/>
        <v>#REF!</v>
      </c>
    </row>
    <row r="359" spans="1:19" x14ac:dyDescent="0.25">
      <c r="A359" s="31" t="e">
        <f>#REF!</f>
        <v>#REF!</v>
      </c>
      <c r="B359" s="31"/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135"/>
        <v>#REF!</v>
      </c>
      <c r="J359" s="5" t="e">
        <f t="shared" si="154"/>
        <v>#REF!</v>
      </c>
      <c r="K359" s="5" t="e">
        <f t="shared" si="154"/>
        <v>#REF!</v>
      </c>
      <c r="L359" s="5" t="e">
        <f t="shared" si="154"/>
        <v>#REF!</v>
      </c>
      <c r="M359" s="5" t="e">
        <f t="shared" si="154"/>
        <v>#REF!</v>
      </c>
      <c r="N359" s="5" t="e">
        <f t="shared" si="154"/>
        <v>#REF!</v>
      </c>
      <c r="O359" s="5" t="e">
        <f t="shared" si="154"/>
        <v>#REF!</v>
      </c>
      <c r="P359" s="5" t="e">
        <f t="shared" si="154"/>
        <v>#REF!</v>
      </c>
      <c r="Q359" s="5" t="e">
        <f t="shared" ref="Q359:S359" si="164">P359</f>
        <v>#REF!</v>
      </c>
      <c r="R359" s="5" t="e">
        <f t="shared" si="164"/>
        <v>#REF!</v>
      </c>
      <c r="S359" s="5" t="e">
        <f t="shared" si="164"/>
        <v>#REF!</v>
      </c>
    </row>
    <row r="360" spans="1:19" x14ac:dyDescent="0.25">
      <c r="A360" s="31" t="e">
        <f>#REF!</f>
        <v>#REF!</v>
      </c>
      <c r="B360" s="31"/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135"/>
        <v>#REF!</v>
      </c>
      <c r="J360" s="5" t="e">
        <f t="shared" si="154"/>
        <v>#REF!</v>
      </c>
      <c r="K360" s="5" t="e">
        <f t="shared" si="154"/>
        <v>#REF!</v>
      </c>
      <c r="L360" s="5" t="e">
        <f t="shared" si="154"/>
        <v>#REF!</v>
      </c>
      <c r="M360" s="5" t="e">
        <f t="shared" si="154"/>
        <v>#REF!</v>
      </c>
      <c r="N360" s="5" t="e">
        <f t="shared" si="154"/>
        <v>#REF!</v>
      </c>
      <c r="O360" s="5" t="e">
        <f t="shared" si="154"/>
        <v>#REF!</v>
      </c>
      <c r="P360" s="5" t="e">
        <f t="shared" si="154"/>
        <v>#REF!</v>
      </c>
      <c r="Q360" s="5" t="e">
        <f t="shared" ref="Q360:S360" si="165">P360</f>
        <v>#REF!</v>
      </c>
      <c r="R360" s="5" t="e">
        <f t="shared" si="165"/>
        <v>#REF!</v>
      </c>
      <c r="S360" s="5" t="e">
        <f t="shared" si="165"/>
        <v>#REF!</v>
      </c>
    </row>
    <row r="361" spans="1:19" x14ac:dyDescent="0.25">
      <c r="A361" s="31" t="e">
        <f>#REF!</f>
        <v>#REF!</v>
      </c>
      <c r="B361" s="31"/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135"/>
        <v>#REF!</v>
      </c>
      <c r="J361" s="5" t="e">
        <f t="shared" si="154"/>
        <v>#REF!</v>
      </c>
      <c r="K361" s="5" t="e">
        <f t="shared" si="154"/>
        <v>#REF!</v>
      </c>
      <c r="L361" s="5" t="e">
        <f t="shared" si="154"/>
        <v>#REF!</v>
      </c>
      <c r="M361" s="5" t="e">
        <f t="shared" si="154"/>
        <v>#REF!</v>
      </c>
      <c r="N361" s="5" t="e">
        <f t="shared" si="154"/>
        <v>#REF!</v>
      </c>
      <c r="O361" s="5" t="e">
        <f t="shared" si="154"/>
        <v>#REF!</v>
      </c>
      <c r="P361" s="5" t="e">
        <f t="shared" si="154"/>
        <v>#REF!</v>
      </c>
      <c r="Q361" s="5" t="e">
        <f t="shared" ref="Q361:S361" si="166">P361</f>
        <v>#REF!</v>
      </c>
      <c r="R361" s="5" t="e">
        <f t="shared" si="166"/>
        <v>#REF!</v>
      </c>
      <c r="S361" s="5" t="e">
        <f t="shared" si="166"/>
        <v>#REF!</v>
      </c>
    </row>
    <row r="362" spans="1:19" x14ac:dyDescent="0.25">
      <c r="A362" s="31" t="e">
        <f>#REF!</f>
        <v>#REF!</v>
      </c>
      <c r="B362" s="31"/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135"/>
        <v>#REF!</v>
      </c>
      <c r="J362" s="5" t="e">
        <f t="shared" si="154"/>
        <v>#REF!</v>
      </c>
      <c r="K362" s="5" t="e">
        <f t="shared" si="154"/>
        <v>#REF!</v>
      </c>
      <c r="L362" s="5" t="e">
        <f t="shared" si="154"/>
        <v>#REF!</v>
      </c>
      <c r="M362" s="5" t="e">
        <f t="shared" si="154"/>
        <v>#REF!</v>
      </c>
      <c r="N362" s="5" t="e">
        <f t="shared" si="154"/>
        <v>#REF!</v>
      </c>
      <c r="O362" s="5" t="e">
        <f t="shared" si="154"/>
        <v>#REF!</v>
      </c>
      <c r="P362" s="5" t="e">
        <f t="shared" si="154"/>
        <v>#REF!</v>
      </c>
      <c r="Q362" s="5" t="e">
        <f t="shared" ref="Q362:S362" si="167">P362</f>
        <v>#REF!</v>
      </c>
      <c r="R362" s="5" t="e">
        <f t="shared" si="167"/>
        <v>#REF!</v>
      </c>
      <c r="S362" s="5" t="e">
        <f t="shared" si="167"/>
        <v>#REF!</v>
      </c>
    </row>
    <row r="363" spans="1:19" x14ac:dyDescent="0.25">
      <c r="A363" s="31" t="e">
        <f>#REF!</f>
        <v>#REF!</v>
      </c>
      <c r="B363" s="31"/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135"/>
        <v>#REF!</v>
      </c>
      <c r="J363" s="5" t="e">
        <f t="shared" si="154"/>
        <v>#REF!</v>
      </c>
      <c r="K363" s="5" t="e">
        <f t="shared" si="154"/>
        <v>#REF!</v>
      </c>
      <c r="L363" s="5" t="e">
        <f t="shared" si="154"/>
        <v>#REF!</v>
      </c>
      <c r="M363" s="5" t="e">
        <f t="shared" si="154"/>
        <v>#REF!</v>
      </c>
      <c r="N363" s="5" t="e">
        <f t="shared" si="154"/>
        <v>#REF!</v>
      </c>
      <c r="O363" s="5" t="e">
        <f t="shared" si="154"/>
        <v>#REF!</v>
      </c>
      <c r="P363" s="5" t="e">
        <f t="shared" si="154"/>
        <v>#REF!</v>
      </c>
      <c r="Q363" s="5" t="e">
        <f t="shared" ref="Q363:S363" si="168">P363</f>
        <v>#REF!</v>
      </c>
      <c r="R363" s="5" t="e">
        <f t="shared" si="168"/>
        <v>#REF!</v>
      </c>
      <c r="S363" s="5" t="e">
        <f t="shared" si="168"/>
        <v>#REF!</v>
      </c>
    </row>
    <row r="364" spans="1:19" x14ac:dyDescent="0.25">
      <c r="A364" s="31" t="e">
        <f>#REF!</f>
        <v>#REF!</v>
      </c>
      <c r="B364" s="31"/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135"/>
        <v>#REF!</v>
      </c>
      <c r="J364" s="5" t="e">
        <f t="shared" si="154"/>
        <v>#REF!</v>
      </c>
      <c r="K364" s="5" t="e">
        <f t="shared" si="154"/>
        <v>#REF!</v>
      </c>
      <c r="L364" s="5" t="e">
        <f t="shared" si="154"/>
        <v>#REF!</v>
      </c>
      <c r="M364" s="5" t="e">
        <f t="shared" si="154"/>
        <v>#REF!</v>
      </c>
      <c r="N364" s="5" t="e">
        <f t="shared" si="154"/>
        <v>#REF!</v>
      </c>
      <c r="O364" s="5" t="e">
        <f t="shared" si="154"/>
        <v>#REF!</v>
      </c>
      <c r="P364" s="5" t="e">
        <f t="shared" si="154"/>
        <v>#REF!</v>
      </c>
      <c r="Q364" s="5" t="e">
        <f t="shared" ref="Q364:S364" si="169">P364</f>
        <v>#REF!</v>
      </c>
      <c r="R364" s="5" t="e">
        <f t="shared" si="169"/>
        <v>#REF!</v>
      </c>
      <c r="S364" s="5" t="e">
        <f t="shared" si="169"/>
        <v>#REF!</v>
      </c>
    </row>
    <row r="365" spans="1:19" x14ac:dyDescent="0.25">
      <c r="A365" s="31" t="e">
        <f>#REF!</f>
        <v>#REF!</v>
      </c>
      <c r="B365" s="31"/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135"/>
        <v>#REF!</v>
      </c>
      <c r="J365" s="5" t="e">
        <f t="shared" si="154"/>
        <v>#REF!</v>
      </c>
      <c r="K365" s="5" t="e">
        <f t="shared" si="154"/>
        <v>#REF!</v>
      </c>
      <c r="L365" s="5" t="e">
        <f t="shared" si="154"/>
        <v>#REF!</v>
      </c>
      <c r="M365" s="5" t="e">
        <f t="shared" si="154"/>
        <v>#REF!</v>
      </c>
      <c r="N365" s="5" t="e">
        <f t="shared" si="154"/>
        <v>#REF!</v>
      </c>
      <c r="O365" s="5" t="e">
        <f t="shared" si="154"/>
        <v>#REF!</v>
      </c>
      <c r="P365" s="5" t="e">
        <f t="shared" si="154"/>
        <v>#REF!</v>
      </c>
      <c r="Q365" s="5" t="e">
        <f t="shared" ref="Q365:S365" si="170">P365</f>
        <v>#REF!</v>
      </c>
      <c r="R365" s="5" t="e">
        <f t="shared" si="170"/>
        <v>#REF!</v>
      </c>
      <c r="S365" s="5" t="e">
        <f t="shared" si="170"/>
        <v>#REF!</v>
      </c>
    </row>
    <row r="366" spans="1:19" x14ac:dyDescent="0.25">
      <c r="A366" s="31" t="e">
        <f>#REF!</f>
        <v>#REF!</v>
      </c>
      <c r="B366" s="31"/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135"/>
        <v>#REF!</v>
      </c>
      <c r="J366" s="5" t="e">
        <f t="shared" ref="J366:P370" si="171">I366</f>
        <v>#REF!</v>
      </c>
      <c r="K366" s="5" t="e">
        <f t="shared" si="171"/>
        <v>#REF!</v>
      </c>
      <c r="L366" s="5" t="e">
        <f t="shared" si="171"/>
        <v>#REF!</v>
      </c>
      <c r="M366" s="5" t="e">
        <f t="shared" si="171"/>
        <v>#REF!</v>
      </c>
      <c r="N366" s="5" t="e">
        <f t="shared" si="171"/>
        <v>#REF!</v>
      </c>
      <c r="O366" s="5" t="e">
        <f t="shared" si="171"/>
        <v>#REF!</v>
      </c>
      <c r="P366" s="5" t="e">
        <f t="shared" si="171"/>
        <v>#REF!</v>
      </c>
      <c r="Q366" s="5" t="e">
        <f t="shared" ref="Q366:S366" si="172">P366</f>
        <v>#REF!</v>
      </c>
      <c r="R366" s="5" t="e">
        <f t="shared" si="172"/>
        <v>#REF!</v>
      </c>
      <c r="S366" s="5" t="e">
        <f t="shared" si="172"/>
        <v>#REF!</v>
      </c>
    </row>
    <row r="367" spans="1:19" x14ac:dyDescent="0.25">
      <c r="A367" s="31" t="e">
        <f>#REF!</f>
        <v>#REF!</v>
      </c>
      <c r="B367" s="31"/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135"/>
        <v>#REF!</v>
      </c>
      <c r="J367" s="5" t="e">
        <f t="shared" si="171"/>
        <v>#REF!</v>
      </c>
      <c r="K367" s="5" t="e">
        <f t="shared" si="171"/>
        <v>#REF!</v>
      </c>
      <c r="L367" s="5" t="e">
        <f t="shared" si="171"/>
        <v>#REF!</v>
      </c>
      <c r="M367" s="5" t="e">
        <f t="shared" si="171"/>
        <v>#REF!</v>
      </c>
      <c r="N367" s="5" t="e">
        <f t="shared" si="171"/>
        <v>#REF!</v>
      </c>
      <c r="O367" s="5" t="e">
        <f t="shared" si="171"/>
        <v>#REF!</v>
      </c>
      <c r="P367" s="5" t="e">
        <f t="shared" si="171"/>
        <v>#REF!</v>
      </c>
      <c r="Q367" s="5" t="e">
        <f t="shared" ref="Q367:S367" si="173">P367</f>
        <v>#REF!</v>
      </c>
      <c r="R367" s="5" t="e">
        <f t="shared" si="173"/>
        <v>#REF!</v>
      </c>
      <c r="S367" s="5" t="e">
        <f t="shared" si="173"/>
        <v>#REF!</v>
      </c>
    </row>
    <row r="368" spans="1:19" x14ac:dyDescent="0.25">
      <c r="A368" s="31" t="e">
        <f>#REF!</f>
        <v>#REF!</v>
      </c>
      <c r="B368" s="31"/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135"/>
        <v>#REF!</v>
      </c>
      <c r="J368" s="5" t="e">
        <f t="shared" si="171"/>
        <v>#REF!</v>
      </c>
      <c r="K368" s="5" t="e">
        <f t="shared" si="171"/>
        <v>#REF!</v>
      </c>
      <c r="L368" s="5" t="e">
        <f t="shared" si="171"/>
        <v>#REF!</v>
      </c>
      <c r="M368" s="5" t="e">
        <f t="shared" si="171"/>
        <v>#REF!</v>
      </c>
      <c r="N368" s="5" t="e">
        <f t="shared" si="171"/>
        <v>#REF!</v>
      </c>
      <c r="O368" s="5" t="e">
        <f t="shared" si="171"/>
        <v>#REF!</v>
      </c>
      <c r="P368" s="5" t="e">
        <f t="shared" si="171"/>
        <v>#REF!</v>
      </c>
      <c r="Q368" s="5" t="e">
        <f t="shared" ref="Q368:S368" si="174">P368</f>
        <v>#REF!</v>
      </c>
      <c r="R368" s="5" t="e">
        <f t="shared" si="174"/>
        <v>#REF!</v>
      </c>
      <c r="S368" s="5" t="e">
        <f t="shared" si="174"/>
        <v>#REF!</v>
      </c>
    </row>
    <row r="369" spans="1:19" x14ac:dyDescent="0.25">
      <c r="A369" s="31" t="e">
        <f>#REF!</f>
        <v>#REF!</v>
      </c>
      <c r="B369" s="31"/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135"/>
        <v>#REF!</v>
      </c>
      <c r="J369" s="5" t="e">
        <f t="shared" si="171"/>
        <v>#REF!</v>
      </c>
      <c r="K369" s="5" t="e">
        <f t="shared" si="171"/>
        <v>#REF!</v>
      </c>
      <c r="L369" s="5" t="e">
        <f t="shared" si="171"/>
        <v>#REF!</v>
      </c>
      <c r="M369" s="5" t="e">
        <f t="shared" si="171"/>
        <v>#REF!</v>
      </c>
      <c r="N369" s="5" t="e">
        <f t="shared" si="171"/>
        <v>#REF!</v>
      </c>
      <c r="O369" s="5" t="e">
        <f t="shared" si="171"/>
        <v>#REF!</v>
      </c>
      <c r="P369" s="5" t="e">
        <f t="shared" si="171"/>
        <v>#REF!</v>
      </c>
      <c r="Q369" s="5" t="e">
        <f t="shared" ref="Q369:S369" si="175">P369</f>
        <v>#REF!</v>
      </c>
      <c r="R369" s="5" t="e">
        <f t="shared" si="175"/>
        <v>#REF!</v>
      </c>
      <c r="S369" s="5" t="e">
        <f t="shared" si="175"/>
        <v>#REF!</v>
      </c>
    </row>
    <row r="370" spans="1:19" x14ac:dyDescent="0.25">
      <c r="A370" s="31" t="e">
        <f>#REF!</f>
        <v>#REF!</v>
      </c>
      <c r="B370" s="31"/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135"/>
        <v>#REF!</v>
      </c>
      <c r="J370" s="5" t="e">
        <f t="shared" si="171"/>
        <v>#REF!</v>
      </c>
      <c r="K370" s="5" t="e">
        <f t="shared" si="171"/>
        <v>#REF!</v>
      </c>
      <c r="L370" s="5" t="e">
        <f t="shared" si="171"/>
        <v>#REF!</v>
      </c>
      <c r="M370" s="5" t="e">
        <f t="shared" si="171"/>
        <v>#REF!</v>
      </c>
      <c r="N370" s="5" t="e">
        <f t="shared" si="171"/>
        <v>#REF!</v>
      </c>
      <c r="O370" s="5" t="e">
        <f t="shared" si="171"/>
        <v>#REF!</v>
      </c>
      <c r="P370" s="5" t="e">
        <f t="shared" si="171"/>
        <v>#REF!</v>
      </c>
      <c r="Q370" s="5" t="e">
        <f t="shared" ref="Q370:S385" si="176">P370</f>
        <v>#REF!</v>
      </c>
      <c r="R370" s="5" t="e">
        <f t="shared" si="176"/>
        <v>#REF!</v>
      </c>
      <c r="S370" s="5" t="e">
        <f t="shared" si="176"/>
        <v>#REF!</v>
      </c>
    </row>
    <row r="371" spans="1:19" x14ac:dyDescent="0.25">
      <c r="A371" s="31" t="e">
        <f>#REF!</f>
        <v>#REF!</v>
      </c>
      <c r="B371" s="31"/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P434" si="177">H371</f>
        <v>#REF!</v>
      </c>
      <c r="J371" s="5" t="e">
        <f t="shared" si="177"/>
        <v>#REF!</v>
      </c>
      <c r="K371" s="5" t="e">
        <f t="shared" si="177"/>
        <v>#REF!</v>
      </c>
      <c r="L371" s="5" t="e">
        <f t="shared" si="177"/>
        <v>#REF!</v>
      </c>
      <c r="M371" s="5" t="e">
        <f t="shared" si="177"/>
        <v>#REF!</v>
      </c>
      <c r="N371" s="5" t="e">
        <f t="shared" si="177"/>
        <v>#REF!</v>
      </c>
      <c r="O371" s="5" t="e">
        <f t="shared" si="177"/>
        <v>#REF!</v>
      </c>
      <c r="P371" s="5" t="e">
        <f t="shared" si="177"/>
        <v>#REF!</v>
      </c>
      <c r="Q371" s="5" t="e">
        <f t="shared" si="176"/>
        <v>#REF!</v>
      </c>
      <c r="R371" s="5" t="e">
        <f t="shared" si="176"/>
        <v>#REF!</v>
      </c>
      <c r="S371" s="5" t="e">
        <f t="shared" si="176"/>
        <v>#REF!</v>
      </c>
    </row>
    <row r="372" spans="1:19" x14ac:dyDescent="0.25">
      <c r="A372" s="31" t="e">
        <f>#REF!</f>
        <v>#REF!</v>
      </c>
      <c r="B372" s="31"/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177"/>
        <v>#REF!</v>
      </c>
      <c r="J372" s="5" t="e">
        <f t="shared" si="177"/>
        <v>#REF!</v>
      </c>
      <c r="K372" s="5" t="e">
        <f t="shared" si="177"/>
        <v>#REF!</v>
      </c>
      <c r="L372" s="5" t="e">
        <f t="shared" si="177"/>
        <v>#REF!</v>
      </c>
      <c r="M372" s="5" t="e">
        <f t="shared" si="177"/>
        <v>#REF!</v>
      </c>
      <c r="N372" s="5" t="e">
        <f t="shared" si="177"/>
        <v>#REF!</v>
      </c>
      <c r="O372" s="5" t="e">
        <f t="shared" si="177"/>
        <v>#REF!</v>
      </c>
      <c r="P372" s="5" t="e">
        <f t="shared" si="177"/>
        <v>#REF!</v>
      </c>
      <c r="Q372" s="5" t="e">
        <f t="shared" si="176"/>
        <v>#REF!</v>
      </c>
      <c r="R372" s="5" t="e">
        <f t="shared" si="176"/>
        <v>#REF!</v>
      </c>
      <c r="S372" s="5" t="e">
        <f t="shared" si="176"/>
        <v>#REF!</v>
      </c>
    </row>
    <row r="373" spans="1:19" x14ac:dyDescent="0.25">
      <c r="A373" s="31" t="e">
        <f>#REF!</f>
        <v>#REF!</v>
      </c>
      <c r="B373" s="31"/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177"/>
        <v>#REF!</v>
      </c>
      <c r="J373" s="5" t="e">
        <f t="shared" si="177"/>
        <v>#REF!</v>
      </c>
      <c r="K373" s="5" t="e">
        <f t="shared" si="177"/>
        <v>#REF!</v>
      </c>
      <c r="L373" s="5" t="e">
        <f t="shared" si="177"/>
        <v>#REF!</v>
      </c>
      <c r="M373" s="5" t="e">
        <f t="shared" si="177"/>
        <v>#REF!</v>
      </c>
      <c r="N373" s="5" t="e">
        <f t="shared" si="177"/>
        <v>#REF!</v>
      </c>
      <c r="O373" s="5" t="e">
        <f t="shared" si="177"/>
        <v>#REF!</v>
      </c>
      <c r="P373" s="5" t="e">
        <f t="shared" si="177"/>
        <v>#REF!</v>
      </c>
      <c r="Q373" s="5" t="e">
        <f t="shared" si="176"/>
        <v>#REF!</v>
      </c>
      <c r="R373" s="5" t="e">
        <f t="shared" si="176"/>
        <v>#REF!</v>
      </c>
      <c r="S373" s="5" t="e">
        <f t="shared" si="176"/>
        <v>#REF!</v>
      </c>
    </row>
    <row r="374" spans="1:19" x14ac:dyDescent="0.25">
      <c r="A374" s="31" t="e">
        <f>#REF!</f>
        <v>#REF!</v>
      </c>
      <c r="B374" s="31"/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177"/>
        <v>#REF!</v>
      </c>
      <c r="J374" s="5" t="e">
        <f t="shared" si="177"/>
        <v>#REF!</v>
      </c>
      <c r="K374" s="5" t="e">
        <f t="shared" si="177"/>
        <v>#REF!</v>
      </c>
      <c r="L374" s="5" t="e">
        <f t="shared" si="177"/>
        <v>#REF!</v>
      </c>
      <c r="M374" s="5" t="e">
        <f t="shared" si="177"/>
        <v>#REF!</v>
      </c>
      <c r="N374" s="5" t="e">
        <f t="shared" si="177"/>
        <v>#REF!</v>
      </c>
      <c r="O374" s="5" t="e">
        <f t="shared" si="177"/>
        <v>#REF!</v>
      </c>
      <c r="P374" s="5" t="e">
        <f t="shared" si="177"/>
        <v>#REF!</v>
      </c>
      <c r="Q374" s="5" t="e">
        <f t="shared" si="176"/>
        <v>#REF!</v>
      </c>
      <c r="R374" s="5" t="e">
        <f t="shared" si="176"/>
        <v>#REF!</v>
      </c>
      <c r="S374" s="5" t="e">
        <f t="shared" si="176"/>
        <v>#REF!</v>
      </c>
    </row>
    <row r="375" spans="1:19" x14ac:dyDescent="0.25">
      <c r="A375" s="31" t="e">
        <f>#REF!</f>
        <v>#REF!</v>
      </c>
      <c r="B375" s="31"/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177"/>
        <v>#REF!</v>
      </c>
      <c r="J375" s="5" t="e">
        <f t="shared" si="177"/>
        <v>#REF!</v>
      </c>
      <c r="K375" s="5" t="e">
        <f t="shared" si="177"/>
        <v>#REF!</v>
      </c>
      <c r="L375" s="5" t="e">
        <f t="shared" si="177"/>
        <v>#REF!</v>
      </c>
      <c r="M375" s="5" t="e">
        <f t="shared" si="177"/>
        <v>#REF!</v>
      </c>
      <c r="N375" s="5" t="e">
        <f t="shared" si="177"/>
        <v>#REF!</v>
      </c>
      <c r="O375" s="5" t="e">
        <f t="shared" si="177"/>
        <v>#REF!</v>
      </c>
      <c r="P375" s="5" t="e">
        <f t="shared" si="177"/>
        <v>#REF!</v>
      </c>
      <c r="Q375" s="5" t="e">
        <f t="shared" si="176"/>
        <v>#REF!</v>
      </c>
      <c r="R375" s="5" t="e">
        <f t="shared" si="176"/>
        <v>#REF!</v>
      </c>
      <c r="S375" s="5" t="e">
        <f t="shared" si="176"/>
        <v>#REF!</v>
      </c>
    </row>
    <row r="376" spans="1:19" x14ac:dyDescent="0.25">
      <c r="A376" s="31" t="e">
        <f>#REF!</f>
        <v>#REF!</v>
      </c>
      <c r="B376" s="31"/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177"/>
        <v>#REF!</v>
      </c>
      <c r="J376" s="5" t="e">
        <f t="shared" si="177"/>
        <v>#REF!</v>
      </c>
      <c r="K376" s="5" t="e">
        <f t="shared" si="177"/>
        <v>#REF!</v>
      </c>
      <c r="L376" s="5" t="e">
        <f t="shared" si="177"/>
        <v>#REF!</v>
      </c>
      <c r="M376" s="5" t="e">
        <f t="shared" si="177"/>
        <v>#REF!</v>
      </c>
      <c r="N376" s="5" t="e">
        <f t="shared" si="177"/>
        <v>#REF!</v>
      </c>
      <c r="O376" s="5" t="e">
        <f t="shared" si="177"/>
        <v>#REF!</v>
      </c>
      <c r="P376" s="5" t="e">
        <f t="shared" si="177"/>
        <v>#REF!</v>
      </c>
      <c r="Q376" s="5" t="e">
        <f t="shared" si="176"/>
        <v>#REF!</v>
      </c>
      <c r="R376" s="5" t="e">
        <f t="shared" si="176"/>
        <v>#REF!</v>
      </c>
      <c r="S376" s="5" t="e">
        <f t="shared" si="176"/>
        <v>#REF!</v>
      </c>
    </row>
    <row r="377" spans="1:19" x14ac:dyDescent="0.25">
      <c r="A377" s="31" t="e">
        <f>#REF!</f>
        <v>#REF!</v>
      </c>
      <c r="B377" s="31"/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177"/>
        <v>#REF!</v>
      </c>
      <c r="J377" s="5" t="e">
        <f t="shared" si="177"/>
        <v>#REF!</v>
      </c>
      <c r="K377" s="5" t="e">
        <f t="shared" si="177"/>
        <v>#REF!</v>
      </c>
      <c r="L377" s="5" t="e">
        <f t="shared" si="177"/>
        <v>#REF!</v>
      </c>
      <c r="M377" s="5" t="e">
        <f t="shared" si="177"/>
        <v>#REF!</v>
      </c>
      <c r="N377" s="5" t="e">
        <f t="shared" si="177"/>
        <v>#REF!</v>
      </c>
      <c r="O377" s="5" t="e">
        <f t="shared" si="177"/>
        <v>#REF!</v>
      </c>
      <c r="P377" s="5" t="e">
        <f t="shared" si="177"/>
        <v>#REF!</v>
      </c>
      <c r="Q377" s="5" t="e">
        <f t="shared" si="176"/>
        <v>#REF!</v>
      </c>
      <c r="R377" s="5" t="e">
        <f t="shared" si="176"/>
        <v>#REF!</v>
      </c>
      <c r="S377" s="5" t="e">
        <f t="shared" si="176"/>
        <v>#REF!</v>
      </c>
    </row>
    <row r="378" spans="1:19" x14ac:dyDescent="0.25">
      <c r="A378" s="31" t="e">
        <f>#REF!</f>
        <v>#REF!</v>
      </c>
      <c r="B378" s="31"/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177"/>
        <v>#REF!</v>
      </c>
      <c r="J378" s="5" t="e">
        <f t="shared" si="177"/>
        <v>#REF!</v>
      </c>
      <c r="K378" s="5" t="e">
        <f t="shared" si="177"/>
        <v>#REF!</v>
      </c>
      <c r="L378" s="5" t="e">
        <f t="shared" si="177"/>
        <v>#REF!</v>
      </c>
      <c r="M378" s="5" t="e">
        <f t="shared" si="177"/>
        <v>#REF!</v>
      </c>
      <c r="N378" s="5" t="e">
        <f t="shared" si="177"/>
        <v>#REF!</v>
      </c>
      <c r="O378" s="5" t="e">
        <f t="shared" si="177"/>
        <v>#REF!</v>
      </c>
      <c r="P378" s="5" t="e">
        <f t="shared" si="177"/>
        <v>#REF!</v>
      </c>
      <c r="Q378" s="5" t="e">
        <f t="shared" si="176"/>
        <v>#REF!</v>
      </c>
      <c r="R378" s="5" t="e">
        <f t="shared" si="176"/>
        <v>#REF!</v>
      </c>
      <c r="S378" s="5" t="e">
        <f t="shared" si="176"/>
        <v>#REF!</v>
      </c>
    </row>
    <row r="379" spans="1:19" x14ac:dyDescent="0.25">
      <c r="A379" s="31" t="e">
        <f>#REF!</f>
        <v>#REF!</v>
      </c>
      <c r="B379" s="31"/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177"/>
        <v>#REF!</v>
      </c>
      <c r="J379" s="5" t="e">
        <f t="shared" si="177"/>
        <v>#REF!</v>
      </c>
      <c r="K379" s="5" t="e">
        <f t="shared" si="177"/>
        <v>#REF!</v>
      </c>
      <c r="L379" s="5" t="e">
        <f t="shared" si="177"/>
        <v>#REF!</v>
      </c>
      <c r="M379" s="5" t="e">
        <f t="shared" si="177"/>
        <v>#REF!</v>
      </c>
      <c r="N379" s="5" t="e">
        <f t="shared" si="177"/>
        <v>#REF!</v>
      </c>
      <c r="O379" s="5" t="e">
        <f t="shared" si="177"/>
        <v>#REF!</v>
      </c>
      <c r="P379" s="5" t="e">
        <f t="shared" si="177"/>
        <v>#REF!</v>
      </c>
      <c r="Q379" s="5" t="e">
        <f t="shared" si="176"/>
        <v>#REF!</v>
      </c>
      <c r="R379" s="5" t="e">
        <f t="shared" si="176"/>
        <v>#REF!</v>
      </c>
      <c r="S379" s="5" t="e">
        <f t="shared" si="176"/>
        <v>#REF!</v>
      </c>
    </row>
    <row r="380" spans="1:19" x14ac:dyDescent="0.25">
      <c r="A380" s="31" t="e">
        <f>#REF!</f>
        <v>#REF!</v>
      </c>
      <c r="B380" s="31"/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177"/>
        <v>#REF!</v>
      </c>
      <c r="J380" s="5" t="e">
        <f t="shared" si="177"/>
        <v>#REF!</v>
      </c>
      <c r="K380" s="5" t="e">
        <f t="shared" si="177"/>
        <v>#REF!</v>
      </c>
      <c r="L380" s="5" t="e">
        <f t="shared" si="177"/>
        <v>#REF!</v>
      </c>
      <c r="M380" s="5" t="e">
        <f t="shared" si="177"/>
        <v>#REF!</v>
      </c>
      <c r="N380" s="5" t="e">
        <f t="shared" si="177"/>
        <v>#REF!</v>
      </c>
      <c r="O380" s="5" t="e">
        <f t="shared" si="177"/>
        <v>#REF!</v>
      </c>
      <c r="P380" s="5" t="e">
        <f t="shared" si="177"/>
        <v>#REF!</v>
      </c>
      <c r="Q380" s="5" t="e">
        <f t="shared" si="176"/>
        <v>#REF!</v>
      </c>
      <c r="R380" s="5" t="e">
        <f t="shared" si="176"/>
        <v>#REF!</v>
      </c>
      <c r="S380" s="5" t="e">
        <f t="shared" si="176"/>
        <v>#REF!</v>
      </c>
    </row>
    <row r="381" spans="1:19" x14ac:dyDescent="0.25">
      <c r="A381" s="31" t="e">
        <f>#REF!</f>
        <v>#REF!</v>
      </c>
      <c r="B381" s="31"/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177"/>
        <v>#REF!</v>
      </c>
      <c r="J381" s="5" t="e">
        <f t="shared" si="177"/>
        <v>#REF!</v>
      </c>
      <c r="K381" s="5" t="e">
        <f t="shared" si="177"/>
        <v>#REF!</v>
      </c>
      <c r="L381" s="5" t="e">
        <f t="shared" si="177"/>
        <v>#REF!</v>
      </c>
      <c r="M381" s="5" t="e">
        <f t="shared" si="177"/>
        <v>#REF!</v>
      </c>
      <c r="N381" s="5" t="e">
        <f t="shared" si="177"/>
        <v>#REF!</v>
      </c>
      <c r="O381" s="5" t="e">
        <f t="shared" si="177"/>
        <v>#REF!</v>
      </c>
      <c r="P381" s="5" t="e">
        <f t="shared" si="177"/>
        <v>#REF!</v>
      </c>
      <c r="Q381" s="5" t="e">
        <f t="shared" si="176"/>
        <v>#REF!</v>
      </c>
      <c r="R381" s="5" t="e">
        <f t="shared" si="176"/>
        <v>#REF!</v>
      </c>
      <c r="S381" s="5" t="e">
        <f t="shared" si="176"/>
        <v>#REF!</v>
      </c>
    </row>
    <row r="382" spans="1:19" x14ac:dyDescent="0.25">
      <c r="A382" s="31" t="e">
        <f>#REF!</f>
        <v>#REF!</v>
      </c>
      <c r="B382" s="31"/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177"/>
        <v>#REF!</v>
      </c>
      <c r="J382" s="5" t="e">
        <f t="shared" si="177"/>
        <v>#REF!</v>
      </c>
      <c r="K382" s="5" t="e">
        <f t="shared" si="177"/>
        <v>#REF!</v>
      </c>
      <c r="L382" s="5" t="e">
        <f t="shared" si="177"/>
        <v>#REF!</v>
      </c>
      <c r="M382" s="5" t="e">
        <f t="shared" si="177"/>
        <v>#REF!</v>
      </c>
      <c r="N382" s="5" t="e">
        <f t="shared" si="177"/>
        <v>#REF!</v>
      </c>
      <c r="O382" s="5" t="e">
        <f t="shared" si="177"/>
        <v>#REF!</v>
      </c>
      <c r="P382" s="5" t="e">
        <f t="shared" si="177"/>
        <v>#REF!</v>
      </c>
      <c r="Q382" s="5" t="e">
        <f t="shared" si="176"/>
        <v>#REF!</v>
      </c>
      <c r="R382" s="5" t="e">
        <f t="shared" si="176"/>
        <v>#REF!</v>
      </c>
      <c r="S382" s="5" t="e">
        <f t="shared" si="176"/>
        <v>#REF!</v>
      </c>
    </row>
    <row r="383" spans="1:19" x14ac:dyDescent="0.25">
      <c r="A383" s="31" t="e">
        <f>#REF!</f>
        <v>#REF!</v>
      </c>
      <c r="B383" s="31"/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177"/>
        <v>#REF!</v>
      </c>
      <c r="J383" s="5" t="e">
        <f t="shared" si="177"/>
        <v>#REF!</v>
      </c>
      <c r="K383" s="5" t="e">
        <f t="shared" si="177"/>
        <v>#REF!</v>
      </c>
      <c r="L383" s="5" t="e">
        <f t="shared" si="177"/>
        <v>#REF!</v>
      </c>
      <c r="M383" s="5" t="e">
        <f t="shared" si="177"/>
        <v>#REF!</v>
      </c>
      <c r="N383" s="5" t="e">
        <f t="shared" si="177"/>
        <v>#REF!</v>
      </c>
      <c r="O383" s="5" t="e">
        <f t="shared" si="177"/>
        <v>#REF!</v>
      </c>
      <c r="P383" s="5" t="e">
        <f t="shared" si="177"/>
        <v>#REF!</v>
      </c>
      <c r="Q383" s="5" t="e">
        <f t="shared" si="176"/>
        <v>#REF!</v>
      </c>
      <c r="R383" s="5" t="e">
        <f t="shared" si="176"/>
        <v>#REF!</v>
      </c>
      <c r="S383" s="5" t="e">
        <f t="shared" si="176"/>
        <v>#REF!</v>
      </c>
    </row>
    <row r="384" spans="1:19" x14ac:dyDescent="0.25">
      <c r="A384" s="31" t="e">
        <f>#REF!</f>
        <v>#REF!</v>
      </c>
      <c r="B384" s="31"/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177"/>
        <v>#REF!</v>
      </c>
      <c r="J384" s="5" t="e">
        <f t="shared" si="177"/>
        <v>#REF!</v>
      </c>
      <c r="K384" s="5" t="e">
        <f t="shared" si="177"/>
        <v>#REF!</v>
      </c>
      <c r="L384" s="5" t="e">
        <f t="shared" si="177"/>
        <v>#REF!</v>
      </c>
      <c r="M384" s="5" t="e">
        <f t="shared" si="177"/>
        <v>#REF!</v>
      </c>
      <c r="N384" s="5" t="e">
        <f t="shared" si="177"/>
        <v>#REF!</v>
      </c>
      <c r="O384" s="5" t="e">
        <f t="shared" si="177"/>
        <v>#REF!</v>
      </c>
      <c r="P384" s="5" t="e">
        <f t="shared" si="177"/>
        <v>#REF!</v>
      </c>
      <c r="Q384" s="5" t="e">
        <f t="shared" si="176"/>
        <v>#REF!</v>
      </c>
      <c r="R384" s="5" t="e">
        <f t="shared" si="176"/>
        <v>#REF!</v>
      </c>
      <c r="S384" s="5" t="e">
        <f t="shared" si="176"/>
        <v>#REF!</v>
      </c>
    </row>
    <row r="385" spans="1:19" x14ac:dyDescent="0.25">
      <c r="A385" s="31" t="e">
        <f>#REF!</f>
        <v>#REF!</v>
      </c>
      <c r="B385" s="31"/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177"/>
        <v>#REF!</v>
      </c>
      <c r="J385" s="5" t="e">
        <f t="shared" si="177"/>
        <v>#REF!</v>
      </c>
      <c r="K385" s="5" t="e">
        <f t="shared" si="177"/>
        <v>#REF!</v>
      </c>
      <c r="L385" s="5" t="e">
        <f t="shared" si="177"/>
        <v>#REF!</v>
      </c>
      <c r="M385" s="5" t="e">
        <f t="shared" si="177"/>
        <v>#REF!</v>
      </c>
      <c r="N385" s="5" t="e">
        <f t="shared" si="177"/>
        <v>#REF!</v>
      </c>
      <c r="O385" s="5" t="e">
        <f t="shared" si="177"/>
        <v>#REF!</v>
      </c>
      <c r="P385" s="5" t="e">
        <f t="shared" si="177"/>
        <v>#REF!</v>
      </c>
      <c r="Q385" s="5" t="e">
        <f t="shared" si="176"/>
        <v>#REF!</v>
      </c>
      <c r="R385" s="5" t="e">
        <f t="shared" si="176"/>
        <v>#REF!</v>
      </c>
      <c r="S385" s="5" t="e">
        <f t="shared" si="176"/>
        <v>#REF!</v>
      </c>
    </row>
    <row r="386" spans="1:19" x14ac:dyDescent="0.25">
      <c r="A386" s="31" t="e">
        <f>#REF!</f>
        <v>#REF!</v>
      </c>
      <c r="B386" s="31"/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177"/>
        <v>#REF!</v>
      </c>
      <c r="J386" s="5" t="e">
        <f t="shared" si="177"/>
        <v>#REF!</v>
      </c>
      <c r="K386" s="5" t="e">
        <f t="shared" si="177"/>
        <v>#REF!</v>
      </c>
      <c r="L386" s="5" t="e">
        <f t="shared" si="177"/>
        <v>#REF!</v>
      </c>
      <c r="M386" s="5" t="e">
        <f t="shared" si="177"/>
        <v>#REF!</v>
      </c>
      <c r="N386" s="5" t="e">
        <f t="shared" si="177"/>
        <v>#REF!</v>
      </c>
      <c r="O386" s="5" t="e">
        <f t="shared" si="177"/>
        <v>#REF!</v>
      </c>
      <c r="P386" s="5" t="e">
        <f t="shared" si="177"/>
        <v>#REF!</v>
      </c>
      <c r="Q386" s="5" t="e">
        <f t="shared" ref="Q386:S397" si="178">P386</f>
        <v>#REF!</v>
      </c>
      <c r="R386" s="5" t="e">
        <f t="shared" si="178"/>
        <v>#REF!</v>
      </c>
      <c r="S386" s="5" t="e">
        <f t="shared" si="178"/>
        <v>#REF!</v>
      </c>
    </row>
    <row r="387" spans="1:19" x14ac:dyDescent="0.25">
      <c r="A387" s="31" t="e">
        <f>#REF!</f>
        <v>#REF!</v>
      </c>
      <c r="B387" s="31"/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si="177"/>
        <v>#REF!</v>
      </c>
      <c r="J387" s="5" t="e">
        <f t="shared" si="177"/>
        <v>#REF!</v>
      </c>
      <c r="K387" s="5" t="e">
        <f t="shared" si="177"/>
        <v>#REF!</v>
      </c>
      <c r="L387" s="5" t="e">
        <f t="shared" si="177"/>
        <v>#REF!</v>
      </c>
      <c r="M387" s="5" t="e">
        <f t="shared" si="177"/>
        <v>#REF!</v>
      </c>
      <c r="N387" s="5" t="e">
        <f t="shared" si="177"/>
        <v>#REF!</v>
      </c>
      <c r="O387" s="5" t="e">
        <f t="shared" si="177"/>
        <v>#REF!</v>
      </c>
      <c r="P387" s="5" t="e">
        <f t="shared" si="177"/>
        <v>#REF!</v>
      </c>
      <c r="Q387" s="5" t="e">
        <f t="shared" si="178"/>
        <v>#REF!</v>
      </c>
      <c r="R387" s="5" t="e">
        <f t="shared" si="178"/>
        <v>#REF!</v>
      </c>
      <c r="S387" s="5" t="e">
        <f t="shared" si="178"/>
        <v>#REF!</v>
      </c>
    </row>
    <row r="388" spans="1:19" x14ac:dyDescent="0.25">
      <c r="A388" s="31" t="e">
        <f>#REF!</f>
        <v>#REF!</v>
      </c>
      <c r="B388" s="31"/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177"/>
        <v>#REF!</v>
      </c>
      <c r="J388" s="5" t="e">
        <f t="shared" si="177"/>
        <v>#REF!</v>
      </c>
      <c r="K388" s="5" t="e">
        <f t="shared" si="177"/>
        <v>#REF!</v>
      </c>
      <c r="L388" s="5" t="e">
        <f t="shared" si="177"/>
        <v>#REF!</v>
      </c>
      <c r="M388" s="5" t="e">
        <f t="shared" si="177"/>
        <v>#REF!</v>
      </c>
      <c r="N388" s="5" t="e">
        <f t="shared" si="177"/>
        <v>#REF!</v>
      </c>
      <c r="O388" s="5" t="e">
        <f t="shared" si="177"/>
        <v>#REF!</v>
      </c>
      <c r="P388" s="5" t="e">
        <f t="shared" si="177"/>
        <v>#REF!</v>
      </c>
      <c r="Q388" s="5" t="e">
        <f t="shared" si="178"/>
        <v>#REF!</v>
      </c>
      <c r="R388" s="5" t="e">
        <f t="shared" si="178"/>
        <v>#REF!</v>
      </c>
      <c r="S388" s="5" t="e">
        <f t="shared" si="178"/>
        <v>#REF!</v>
      </c>
    </row>
    <row r="389" spans="1:19" x14ac:dyDescent="0.25">
      <c r="A389" s="31" t="e">
        <f>#REF!</f>
        <v>#REF!</v>
      </c>
      <c r="B389" s="31"/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177"/>
        <v>#REF!</v>
      </c>
      <c r="J389" s="5" t="e">
        <f t="shared" si="177"/>
        <v>#REF!</v>
      </c>
      <c r="K389" s="5" t="e">
        <f t="shared" si="177"/>
        <v>#REF!</v>
      </c>
      <c r="L389" s="5" t="e">
        <f t="shared" si="177"/>
        <v>#REF!</v>
      </c>
      <c r="M389" s="5" t="e">
        <f t="shared" si="177"/>
        <v>#REF!</v>
      </c>
      <c r="N389" s="5" t="e">
        <f t="shared" si="177"/>
        <v>#REF!</v>
      </c>
      <c r="O389" s="5" t="e">
        <f t="shared" si="177"/>
        <v>#REF!</v>
      </c>
      <c r="P389" s="5" t="e">
        <f t="shared" si="177"/>
        <v>#REF!</v>
      </c>
      <c r="Q389" s="5" t="e">
        <f t="shared" si="178"/>
        <v>#REF!</v>
      </c>
      <c r="R389" s="5" t="e">
        <f t="shared" si="178"/>
        <v>#REF!</v>
      </c>
      <c r="S389" s="5" t="e">
        <f t="shared" si="178"/>
        <v>#REF!</v>
      </c>
    </row>
    <row r="390" spans="1:19" x14ac:dyDescent="0.25">
      <c r="A390" s="31" t="e">
        <f>#REF!</f>
        <v>#REF!</v>
      </c>
      <c r="B390" s="31"/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177"/>
        <v>#REF!</v>
      </c>
      <c r="J390" s="5" t="e">
        <f t="shared" si="177"/>
        <v>#REF!</v>
      </c>
      <c r="K390" s="5" t="e">
        <f t="shared" si="177"/>
        <v>#REF!</v>
      </c>
      <c r="L390" s="5" t="e">
        <f t="shared" si="177"/>
        <v>#REF!</v>
      </c>
      <c r="M390" s="5" t="e">
        <f t="shared" si="177"/>
        <v>#REF!</v>
      </c>
      <c r="N390" s="5" t="e">
        <f t="shared" si="177"/>
        <v>#REF!</v>
      </c>
      <c r="O390" s="5" t="e">
        <f t="shared" si="177"/>
        <v>#REF!</v>
      </c>
      <c r="P390" s="5" t="e">
        <f t="shared" si="177"/>
        <v>#REF!</v>
      </c>
      <c r="Q390" s="5" t="e">
        <f t="shared" si="178"/>
        <v>#REF!</v>
      </c>
      <c r="R390" s="5" t="e">
        <f t="shared" si="178"/>
        <v>#REF!</v>
      </c>
      <c r="S390" s="5" t="e">
        <f t="shared" si="178"/>
        <v>#REF!</v>
      </c>
    </row>
    <row r="391" spans="1:19" x14ac:dyDescent="0.25">
      <c r="A391" s="31" t="e">
        <f>#REF!</f>
        <v>#REF!</v>
      </c>
      <c r="B391" s="31"/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177"/>
        <v>#REF!</v>
      </c>
      <c r="J391" s="5" t="e">
        <f t="shared" si="177"/>
        <v>#REF!</v>
      </c>
      <c r="K391" s="5" t="e">
        <f t="shared" si="177"/>
        <v>#REF!</v>
      </c>
      <c r="L391" s="5" t="e">
        <f t="shared" si="177"/>
        <v>#REF!</v>
      </c>
      <c r="M391" s="5" t="e">
        <f t="shared" si="177"/>
        <v>#REF!</v>
      </c>
      <c r="N391" s="5" t="e">
        <f t="shared" si="177"/>
        <v>#REF!</v>
      </c>
      <c r="O391" s="5" t="e">
        <f t="shared" si="177"/>
        <v>#REF!</v>
      </c>
      <c r="P391" s="5" t="e">
        <f t="shared" si="177"/>
        <v>#REF!</v>
      </c>
      <c r="Q391" s="5" t="e">
        <f t="shared" si="178"/>
        <v>#REF!</v>
      </c>
      <c r="R391" s="5" t="e">
        <f t="shared" si="178"/>
        <v>#REF!</v>
      </c>
      <c r="S391" s="5" t="e">
        <f t="shared" si="178"/>
        <v>#REF!</v>
      </c>
    </row>
    <row r="392" spans="1:19" x14ac:dyDescent="0.25">
      <c r="A392" s="31" t="e">
        <f>#REF!</f>
        <v>#REF!</v>
      </c>
      <c r="B392" s="31"/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177"/>
        <v>#REF!</v>
      </c>
      <c r="J392" s="5" t="e">
        <f t="shared" si="177"/>
        <v>#REF!</v>
      </c>
      <c r="K392" s="5" t="e">
        <f t="shared" si="177"/>
        <v>#REF!</v>
      </c>
      <c r="L392" s="5" t="e">
        <f t="shared" si="177"/>
        <v>#REF!</v>
      </c>
      <c r="M392" s="5" t="e">
        <f t="shared" si="177"/>
        <v>#REF!</v>
      </c>
      <c r="N392" s="5" t="e">
        <f t="shared" si="177"/>
        <v>#REF!</v>
      </c>
      <c r="O392" s="5" t="e">
        <f t="shared" si="177"/>
        <v>#REF!</v>
      </c>
      <c r="P392" s="5" t="e">
        <f t="shared" si="177"/>
        <v>#REF!</v>
      </c>
      <c r="Q392" s="5" t="e">
        <f t="shared" si="178"/>
        <v>#REF!</v>
      </c>
      <c r="R392" s="5" t="e">
        <f t="shared" si="178"/>
        <v>#REF!</v>
      </c>
      <c r="S392" s="5" t="e">
        <f t="shared" si="178"/>
        <v>#REF!</v>
      </c>
    </row>
    <row r="393" spans="1:19" x14ac:dyDescent="0.25">
      <c r="A393" s="31" t="e">
        <f>#REF!</f>
        <v>#REF!</v>
      </c>
      <c r="B393" s="31"/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177"/>
        <v>#REF!</v>
      </c>
      <c r="J393" s="5" t="e">
        <f t="shared" si="177"/>
        <v>#REF!</v>
      </c>
      <c r="K393" s="5" t="e">
        <f t="shared" si="177"/>
        <v>#REF!</v>
      </c>
      <c r="L393" s="5" t="e">
        <f t="shared" si="177"/>
        <v>#REF!</v>
      </c>
      <c r="M393" s="5" t="e">
        <f t="shared" si="177"/>
        <v>#REF!</v>
      </c>
      <c r="N393" s="5" t="e">
        <f t="shared" si="177"/>
        <v>#REF!</v>
      </c>
      <c r="O393" s="5" t="e">
        <f t="shared" si="177"/>
        <v>#REF!</v>
      </c>
      <c r="P393" s="5" t="e">
        <f t="shared" si="177"/>
        <v>#REF!</v>
      </c>
      <c r="Q393" s="5" t="e">
        <f t="shared" si="178"/>
        <v>#REF!</v>
      </c>
      <c r="R393" s="5" t="e">
        <f t="shared" si="178"/>
        <v>#REF!</v>
      </c>
      <c r="S393" s="5" t="e">
        <f t="shared" si="178"/>
        <v>#REF!</v>
      </c>
    </row>
    <row r="394" spans="1:19" x14ac:dyDescent="0.25">
      <c r="A394" s="31" t="e">
        <f>#REF!</f>
        <v>#REF!</v>
      </c>
      <c r="B394" s="31"/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177"/>
        <v>#REF!</v>
      </c>
      <c r="J394" s="5" t="e">
        <f t="shared" si="177"/>
        <v>#REF!</v>
      </c>
      <c r="K394" s="5" t="e">
        <f t="shared" si="177"/>
        <v>#REF!</v>
      </c>
      <c r="L394" s="5" t="e">
        <f t="shared" si="177"/>
        <v>#REF!</v>
      </c>
      <c r="M394" s="5" t="e">
        <f t="shared" si="177"/>
        <v>#REF!</v>
      </c>
      <c r="N394" s="5" t="e">
        <f t="shared" si="177"/>
        <v>#REF!</v>
      </c>
      <c r="O394" s="5" t="e">
        <f t="shared" si="177"/>
        <v>#REF!</v>
      </c>
      <c r="P394" s="5" t="e">
        <f t="shared" si="177"/>
        <v>#REF!</v>
      </c>
      <c r="Q394" s="5" t="e">
        <f t="shared" si="178"/>
        <v>#REF!</v>
      </c>
      <c r="R394" s="5" t="e">
        <f t="shared" si="178"/>
        <v>#REF!</v>
      </c>
      <c r="S394" s="5" t="e">
        <f t="shared" si="178"/>
        <v>#REF!</v>
      </c>
    </row>
    <row r="395" spans="1:19" x14ac:dyDescent="0.25">
      <c r="A395" s="31" t="e">
        <f>#REF!</f>
        <v>#REF!</v>
      </c>
      <c r="B395" s="31"/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177"/>
        <v>#REF!</v>
      </c>
      <c r="J395" s="5" t="e">
        <f t="shared" si="177"/>
        <v>#REF!</v>
      </c>
      <c r="K395" s="5" t="e">
        <f t="shared" si="177"/>
        <v>#REF!</v>
      </c>
      <c r="L395" s="5" t="e">
        <f t="shared" si="177"/>
        <v>#REF!</v>
      </c>
      <c r="M395" s="5" t="e">
        <f t="shared" si="177"/>
        <v>#REF!</v>
      </c>
      <c r="N395" s="5" t="e">
        <f t="shared" si="177"/>
        <v>#REF!</v>
      </c>
      <c r="O395" s="5" t="e">
        <f t="shared" si="177"/>
        <v>#REF!</v>
      </c>
      <c r="P395" s="5" t="e">
        <f t="shared" si="177"/>
        <v>#REF!</v>
      </c>
      <c r="Q395" s="5" t="e">
        <f t="shared" si="178"/>
        <v>#REF!</v>
      </c>
      <c r="R395" s="5" t="e">
        <f t="shared" si="178"/>
        <v>#REF!</v>
      </c>
      <c r="S395" s="5" t="e">
        <f t="shared" si="178"/>
        <v>#REF!</v>
      </c>
    </row>
    <row r="396" spans="1:19" x14ac:dyDescent="0.25">
      <c r="A396" s="31" t="e">
        <f>#REF!</f>
        <v>#REF!</v>
      </c>
      <c r="B396" s="31"/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177"/>
        <v>#REF!</v>
      </c>
      <c r="J396" s="5" t="e">
        <f t="shared" si="177"/>
        <v>#REF!</v>
      </c>
      <c r="K396" s="5" t="e">
        <f t="shared" si="177"/>
        <v>#REF!</v>
      </c>
      <c r="L396" s="5" t="e">
        <f t="shared" si="177"/>
        <v>#REF!</v>
      </c>
      <c r="M396" s="5" t="e">
        <f t="shared" si="177"/>
        <v>#REF!</v>
      </c>
      <c r="N396" s="5" t="e">
        <f t="shared" si="177"/>
        <v>#REF!</v>
      </c>
      <c r="O396" s="5" t="e">
        <f t="shared" si="177"/>
        <v>#REF!</v>
      </c>
      <c r="P396" s="5" t="e">
        <f t="shared" si="177"/>
        <v>#REF!</v>
      </c>
      <c r="Q396" s="5" t="e">
        <f t="shared" si="178"/>
        <v>#REF!</v>
      </c>
      <c r="R396" s="5" t="e">
        <f t="shared" si="178"/>
        <v>#REF!</v>
      </c>
      <c r="S396" s="5" t="e">
        <f t="shared" si="178"/>
        <v>#REF!</v>
      </c>
    </row>
    <row r="397" spans="1:19" x14ac:dyDescent="0.25">
      <c r="A397" s="31" t="e">
        <f>#REF!</f>
        <v>#REF!</v>
      </c>
      <c r="B397" s="31"/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177"/>
        <v>#REF!</v>
      </c>
      <c r="J397" s="5" t="e">
        <f t="shared" si="177"/>
        <v>#REF!</v>
      </c>
      <c r="K397" s="5" t="e">
        <f t="shared" si="177"/>
        <v>#REF!</v>
      </c>
      <c r="L397" s="5" t="e">
        <f t="shared" si="177"/>
        <v>#REF!</v>
      </c>
      <c r="M397" s="5" t="e">
        <f t="shared" si="177"/>
        <v>#REF!</v>
      </c>
      <c r="N397" s="5" t="e">
        <f t="shared" si="177"/>
        <v>#REF!</v>
      </c>
      <c r="O397" s="5" t="e">
        <f t="shared" si="177"/>
        <v>#REF!</v>
      </c>
      <c r="P397" s="5" t="e">
        <f t="shared" si="177"/>
        <v>#REF!</v>
      </c>
      <c r="Q397" s="5" t="e">
        <f t="shared" si="178"/>
        <v>#REF!</v>
      </c>
      <c r="R397" s="5" t="e">
        <f t="shared" si="178"/>
        <v>#REF!</v>
      </c>
      <c r="S397" s="5" t="e">
        <f t="shared" si="178"/>
        <v>#REF!</v>
      </c>
    </row>
    <row r="398" spans="1:19" x14ac:dyDescent="0.25">
      <c r="A398" s="31" t="e">
        <f>#REF!</f>
        <v>#REF!</v>
      </c>
      <c r="B398" s="31"/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177"/>
        <v>#REF!</v>
      </c>
      <c r="J398" s="5" t="e">
        <f t="shared" si="177"/>
        <v>#REF!</v>
      </c>
      <c r="K398" s="5" t="e">
        <f t="shared" si="177"/>
        <v>#REF!</v>
      </c>
      <c r="L398" s="5" t="e">
        <f t="shared" ref="J398:P413" si="179">K398</f>
        <v>#REF!</v>
      </c>
      <c r="M398" s="5" t="e">
        <f t="shared" si="179"/>
        <v>#REF!</v>
      </c>
      <c r="N398" s="5" t="e">
        <f t="shared" si="179"/>
        <v>#REF!</v>
      </c>
      <c r="O398" s="5" t="e">
        <f t="shared" si="179"/>
        <v>#REF!</v>
      </c>
      <c r="P398" s="5" t="e">
        <f t="shared" si="179"/>
        <v>#REF!</v>
      </c>
      <c r="Q398" s="5" t="e">
        <f t="shared" ref="Q398:S398" si="180">P398</f>
        <v>#REF!</v>
      </c>
      <c r="R398" s="5" t="e">
        <f t="shared" si="180"/>
        <v>#REF!</v>
      </c>
      <c r="S398" s="5" t="e">
        <f t="shared" si="180"/>
        <v>#REF!</v>
      </c>
    </row>
    <row r="399" spans="1:19" x14ac:dyDescent="0.25">
      <c r="A399" s="31" t="e">
        <f>#REF!</f>
        <v>#REF!</v>
      </c>
      <c r="B399" s="31"/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177"/>
        <v>#REF!</v>
      </c>
      <c r="J399" s="5" t="e">
        <f t="shared" si="179"/>
        <v>#REF!</v>
      </c>
      <c r="K399" s="5" t="e">
        <f t="shared" si="179"/>
        <v>#REF!</v>
      </c>
      <c r="L399" s="5" t="e">
        <f t="shared" si="179"/>
        <v>#REF!</v>
      </c>
      <c r="M399" s="5" t="e">
        <f t="shared" si="179"/>
        <v>#REF!</v>
      </c>
      <c r="N399" s="5" t="e">
        <f t="shared" si="179"/>
        <v>#REF!</v>
      </c>
      <c r="O399" s="5" t="e">
        <f t="shared" si="179"/>
        <v>#REF!</v>
      </c>
      <c r="P399" s="5" t="e">
        <f t="shared" si="179"/>
        <v>#REF!</v>
      </c>
      <c r="Q399" s="5" t="e">
        <f t="shared" ref="Q399:S399" si="181">P399</f>
        <v>#REF!</v>
      </c>
      <c r="R399" s="5" t="e">
        <f t="shared" si="181"/>
        <v>#REF!</v>
      </c>
      <c r="S399" s="5" t="e">
        <f t="shared" si="181"/>
        <v>#REF!</v>
      </c>
    </row>
    <row r="400" spans="1:19" x14ac:dyDescent="0.25">
      <c r="A400" s="31" t="e">
        <f>#REF!</f>
        <v>#REF!</v>
      </c>
      <c r="B400" s="31"/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177"/>
        <v>#REF!</v>
      </c>
      <c r="J400" s="5" t="e">
        <f t="shared" si="179"/>
        <v>#REF!</v>
      </c>
      <c r="K400" s="5" t="e">
        <f t="shared" si="179"/>
        <v>#REF!</v>
      </c>
      <c r="L400" s="5" t="e">
        <f t="shared" si="179"/>
        <v>#REF!</v>
      </c>
      <c r="M400" s="5" t="e">
        <f t="shared" si="179"/>
        <v>#REF!</v>
      </c>
      <c r="N400" s="5" t="e">
        <f t="shared" si="179"/>
        <v>#REF!</v>
      </c>
      <c r="O400" s="5" t="e">
        <f t="shared" si="179"/>
        <v>#REF!</v>
      </c>
      <c r="P400" s="5" t="e">
        <f t="shared" si="179"/>
        <v>#REF!</v>
      </c>
      <c r="Q400" s="5" t="e">
        <f t="shared" ref="Q400:S400" si="182">P400</f>
        <v>#REF!</v>
      </c>
      <c r="R400" s="5" t="e">
        <f t="shared" si="182"/>
        <v>#REF!</v>
      </c>
      <c r="S400" s="5" t="e">
        <f t="shared" si="182"/>
        <v>#REF!</v>
      </c>
    </row>
    <row r="401" spans="1:19" x14ac:dyDescent="0.25">
      <c r="A401" s="31" t="e">
        <f>#REF!</f>
        <v>#REF!</v>
      </c>
      <c r="B401" s="31"/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177"/>
        <v>#REF!</v>
      </c>
      <c r="J401" s="5" t="e">
        <f t="shared" si="179"/>
        <v>#REF!</v>
      </c>
      <c r="K401" s="5" t="e">
        <f t="shared" si="179"/>
        <v>#REF!</v>
      </c>
      <c r="L401" s="5" t="e">
        <f t="shared" si="179"/>
        <v>#REF!</v>
      </c>
      <c r="M401" s="5" t="e">
        <f t="shared" si="179"/>
        <v>#REF!</v>
      </c>
      <c r="N401" s="5" t="e">
        <f t="shared" si="179"/>
        <v>#REF!</v>
      </c>
      <c r="O401" s="5" t="e">
        <f t="shared" si="179"/>
        <v>#REF!</v>
      </c>
      <c r="P401" s="5" t="e">
        <f t="shared" si="179"/>
        <v>#REF!</v>
      </c>
      <c r="Q401" s="5" t="e">
        <f t="shared" ref="Q401:S401" si="183">P401</f>
        <v>#REF!</v>
      </c>
      <c r="R401" s="5" t="e">
        <f t="shared" si="183"/>
        <v>#REF!</v>
      </c>
      <c r="S401" s="5" t="e">
        <f t="shared" si="183"/>
        <v>#REF!</v>
      </c>
    </row>
    <row r="402" spans="1:19" x14ac:dyDescent="0.25">
      <c r="A402" s="31" t="e">
        <f>#REF!</f>
        <v>#REF!</v>
      </c>
      <c r="B402" s="31"/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177"/>
        <v>#REF!</v>
      </c>
      <c r="J402" s="5" t="e">
        <f t="shared" si="179"/>
        <v>#REF!</v>
      </c>
      <c r="K402" s="5" t="e">
        <f t="shared" si="179"/>
        <v>#REF!</v>
      </c>
      <c r="L402" s="5" t="e">
        <f t="shared" si="179"/>
        <v>#REF!</v>
      </c>
      <c r="M402" s="5" t="e">
        <f t="shared" si="179"/>
        <v>#REF!</v>
      </c>
      <c r="N402" s="5" t="e">
        <f t="shared" si="179"/>
        <v>#REF!</v>
      </c>
      <c r="O402" s="5" t="e">
        <f t="shared" si="179"/>
        <v>#REF!</v>
      </c>
      <c r="P402" s="5" t="e">
        <f t="shared" si="179"/>
        <v>#REF!</v>
      </c>
      <c r="Q402" s="5" t="e">
        <f t="shared" ref="Q402:S402" si="184">P402</f>
        <v>#REF!</v>
      </c>
      <c r="R402" s="5" t="e">
        <f t="shared" si="184"/>
        <v>#REF!</v>
      </c>
      <c r="S402" s="5" t="e">
        <f t="shared" si="184"/>
        <v>#REF!</v>
      </c>
    </row>
    <row r="403" spans="1:19" x14ac:dyDescent="0.25">
      <c r="A403" s="31" t="e">
        <f>#REF!</f>
        <v>#REF!</v>
      </c>
      <c r="B403" s="31"/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si="177"/>
        <v>#REF!</v>
      </c>
      <c r="J403" s="5" t="e">
        <f t="shared" si="179"/>
        <v>#REF!</v>
      </c>
      <c r="K403" s="5" t="e">
        <f t="shared" si="179"/>
        <v>#REF!</v>
      </c>
      <c r="L403" s="5" t="e">
        <f t="shared" si="179"/>
        <v>#REF!</v>
      </c>
      <c r="M403" s="5" t="e">
        <f t="shared" si="179"/>
        <v>#REF!</v>
      </c>
      <c r="N403" s="5" t="e">
        <f t="shared" si="179"/>
        <v>#REF!</v>
      </c>
      <c r="O403" s="5" t="e">
        <f t="shared" si="179"/>
        <v>#REF!</v>
      </c>
      <c r="P403" s="5" t="e">
        <f t="shared" si="179"/>
        <v>#REF!</v>
      </c>
      <c r="Q403" s="5" t="e">
        <f t="shared" ref="Q403:S403" si="185">P403</f>
        <v>#REF!</v>
      </c>
      <c r="R403" s="5" t="e">
        <f t="shared" si="185"/>
        <v>#REF!</v>
      </c>
      <c r="S403" s="5" t="e">
        <f t="shared" si="185"/>
        <v>#REF!</v>
      </c>
    </row>
    <row r="404" spans="1:19" x14ac:dyDescent="0.25">
      <c r="A404" s="31" t="e">
        <f>#REF!</f>
        <v>#REF!</v>
      </c>
      <c r="B404" s="31"/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177"/>
        <v>#REF!</v>
      </c>
      <c r="J404" s="5" t="e">
        <f t="shared" si="179"/>
        <v>#REF!</v>
      </c>
      <c r="K404" s="5" t="e">
        <f t="shared" si="179"/>
        <v>#REF!</v>
      </c>
      <c r="L404" s="5" t="e">
        <f t="shared" si="179"/>
        <v>#REF!</v>
      </c>
      <c r="M404" s="5" t="e">
        <f t="shared" si="179"/>
        <v>#REF!</v>
      </c>
      <c r="N404" s="5" t="e">
        <f t="shared" si="179"/>
        <v>#REF!</v>
      </c>
      <c r="O404" s="5" t="e">
        <f t="shared" si="179"/>
        <v>#REF!</v>
      </c>
      <c r="P404" s="5" t="e">
        <f t="shared" si="179"/>
        <v>#REF!</v>
      </c>
      <c r="Q404" s="5" t="e">
        <f t="shared" ref="Q404:S404" si="186">P404</f>
        <v>#REF!</v>
      </c>
      <c r="R404" s="5" t="e">
        <f t="shared" si="186"/>
        <v>#REF!</v>
      </c>
      <c r="S404" s="5" t="e">
        <f t="shared" si="186"/>
        <v>#REF!</v>
      </c>
    </row>
    <row r="405" spans="1:19" x14ac:dyDescent="0.25">
      <c r="A405" s="31" t="e">
        <f>#REF!</f>
        <v>#REF!</v>
      </c>
      <c r="B405" s="31"/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177"/>
        <v>#REF!</v>
      </c>
      <c r="J405" s="5" t="e">
        <f t="shared" si="179"/>
        <v>#REF!</v>
      </c>
      <c r="K405" s="5" t="e">
        <f t="shared" si="179"/>
        <v>#REF!</v>
      </c>
      <c r="L405" s="5" t="e">
        <f t="shared" si="179"/>
        <v>#REF!</v>
      </c>
      <c r="M405" s="5" t="e">
        <f t="shared" si="179"/>
        <v>#REF!</v>
      </c>
      <c r="N405" s="5" t="e">
        <f t="shared" si="179"/>
        <v>#REF!</v>
      </c>
      <c r="O405" s="5" t="e">
        <f t="shared" si="179"/>
        <v>#REF!</v>
      </c>
      <c r="P405" s="5" t="e">
        <f t="shared" si="179"/>
        <v>#REF!</v>
      </c>
      <c r="Q405" s="5" t="e">
        <f t="shared" ref="Q405:S405" si="187">P405</f>
        <v>#REF!</v>
      </c>
      <c r="R405" s="5" t="e">
        <f t="shared" si="187"/>
        <v>#REF!</v>
      </c>
      <c r="S405" s="5" t="e">
        <f t="shared" si="187"/>
        <v>#REF!</v>
      </c>
    </row>
    <row r="406" spans="1:19" x14ac:dyDescent="0.25">
      <c r="A406" s="31" t="e">
        <f>#REF!</f>
        <v>#REF!</v>
      </c>
      <c r="B406" s="31"/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177"/>
        <v>#REF!</v>
      </c>
      <c r="J406" s="5" t="e">
        <f t="shared" si="179"/>
        <v>#REF!</v>
      </c>
      <c r="K406" s="5" t="e">
        <f t="shared" si="179"/>
        <v>#REF!</v>
      </c>
      <c r="L406" s="5" t="e">
        <f t="shared" si="179"/>
        <v>#REF!</v>
      </c>
      <c r="M406" s="5" t="e">
        <f t="shared" si="179"/>
        <v>#REF!</v>
      </c>
      <c r="N406" s="5" t="e">
        <f t="shared" si="179"/>
        <v>#REF!</v>
      </c>
      <c r="O406" s="5" t="e">
        <f t="shared" si="179"/>
        <v>#REF!</v>
      </c>
      <c r="P406" s="5" t="e">
        <f t="shared" si="179"/>
        <v>#REF!</v>
      </c>
      <c r="Q406" s="5" t="e">
        <f t="shared" ref="Q406:S406" si="188">P406</f>
        <v>#REF!</v>
      </c>
      <c r="R406" s="5" t="e">
        <f t="shared" si="188"/>
        <v>#REF!</v>
      </c>
      <c r="S406" s="5" t="e">
        <f t="shared" si="188"/>
        <v>#REF!</v>
      </c>
    </row>
    <row r="407" spans="1:19" x14ac:dyDescent="0.25">
      <c r="A407" s="31" t="e">
        <f>#REF!</f>
        <v>#REF!</v>
      </c>
      <c r="B407" s="31"/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177"/>
        <v>#REF!</v>
      </c>
      <c r="J407" s="5" t="e">
        <f t="shared" si="179"/>
        <v>#REF!</v>
      </c>
      <c r="K407" s="5" t="e">
        <f t="shared" si="179"/>
        <v>#REF!</v>
      </c>
      <c r="L407" s="5" t="e">
        <f t="shared" si="179"/>
        <v>#REF!</v>
      </c>
      <c r="M407" s="5" t="e">
        <f t="shared" si="179"/>
        <v>#REF!</v>
      </c>
      <c r="N407" s="5" t="e">
        <f t="shared" si="179"/>
        <v>#REF!</v>
      </c>
      <c r="O407" s="5" t="e">
        <f t="shared" si="179"/>
        <v>#REF!</v>
      </c>
      <c r="P407" s="5" t="e">
        <f t="shared" si="179"/>
        <v>#REF!</v>
      </c>
      <c r="Q407" s="5" t="e">
        <f t="shared" ref="Q407:S407" si="189">P407</f>
        <v>#REF!</v>
      </c>
      <c r="R407" s="5" t="e">
        <f t="shared" si="189"/>
        <v>#REF!</v>
      </c>
      <c r="S407" s="5" t="e">
        <f t="shared" si="189"/>
        <v>#REF!</v>
      </c>
    </row>
    <row r="408" spans="1:19" x14ac:dyDescent="0.25">
      <c r="A408" s="31" t="e">
        <f>#REF!</f>
        <v>#REF!</v>
      </c>
      <c r="B408" s="31"/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177"/>
        <v>#REF!</v>
      </c>
      <c r="J408" s="5" t="e">
        <f t="shared" si="179"/>
        <v>#REF!</v>
      </c>
      <c r="K408" s="5" t="e">
        <f t="shared" si="179"/>
        <v>#REF!</v>
      </c>
      <c r="L408" s="5" t="e">
        <f t="shared" si="179"/>
        <v>#REF!</v>
      </c>
      <c r="M408" s="5" t="e">
        <f t="shared" si="179"/>
        <v>#REF!</v>
      </c>
      <c r="N408" s="5" t="e">
        <f t="shared" si="179"/>
        <v>#REF!</v>
      </c>
      <c r="O408" s="5" t="e">
        <f t="shared" si="179"/>
        <v>#REF!</v>
      </c>
      <c r="P408" s="5" t="e">
        <f t="shared" si="179"/>
        <v>#REF!</v>
      </c>
      <c r="Q408" s="5" t="e">
        <f t="shared" ref="Q408:S408" si="190">P408</f>
        <v>#REF!</v>
      </c>
      <c r="R408" s="5" t="e">
        <f t="shared" si="190"/>
        <v>#REF!</v>
      </c>
      <c r="S408" s="5" t="e">
        <f t="shared" si="190"/>
        <v>#REF!</v>
      </c>
    </row>
    <row r="409" spans="1:19" x14ac:dyDescent="0.25">
      <c r="A409" s="31" t="e">
        <f>#REF!</f>
        <v>#REF!</v>
      </c>
      <c r="B409" s="31"/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177"/>
        <v>#REF!</v>
      </c>
      <c r="J409" s="5" t="e">
        <f t="shared" si="179"/>
        <v>#REF!</v>
      </c>
      <c r="K409" s="5" t="e">
        <f t="shared" si="179"/>
        <v>#REF!</v>
      </c>
      <c r="L409" s="5" t="e">
        <f t="shared" si="179"/>
        <v>#REF!</v>
      </c>
      <c r="M409" s="5" t="e">
        <f t="shared" si="179"/>
        <v>#REF!</v>
      </c>
      <c r="N409" s="5" t="e">
        <f t="shared" si="179"/>
        <v>#REF!</v>
      </c>
      <c r="O409" s="5" t="e">
        <f t="shared" si="179"/>
        <v>#REF!</v>
      </c>
      <c r="P409" s="5" t="e">
        <f t="shared" si="179"/>
        <v>#REF!</v>
      </c>
      <c r="Q409" s="5" t="e">
        <f t="shared" ref="Q409:S409" si="191">P409</f>
        <v>#REF!</v>
      </c>
      <c r="R409" s="5" t="e">
        <f t="shared" si="191"/>
        <v>#REF!</v>
      </c>
      <c r="S409" s="5" t="e">
        <f t="shared" si="191"/>
        <v>#REF!</v>
      </c>
    </row>
    <row r="410" spans="1:19" x14ac:dyDescent="0.25">
      <c r="A410" s="31" t="e">
        <f>#REF!</f>
        <v>#REF!</v>
      </c>
      <c r="B410" s="31"/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177"/>
        <v>#REF!</v>
      </c>
      <c r="J410" s="5" t="e">
        <f t="shared" si="179"/>
        <v>#REF!</v>
      </c>
      <c r="K410" s="5" t="e">
        <f t="shared" si="179"/>
        <v>#REF!</v>
      </c>
      <c r="L410" s="5" t="e">
        <f t="shared" si="179"/>
        <v>#REF!</v>
      </c>
      <c r="M410" s="5" t="e">
        <f t="shared" si="179"/>
        <v>#REF!</v>
      </c>
      <c r="N410" s="5" t="e">
        <f t="shared" si="179"/>
        <v>#REF!</v>
      </c>
      <c r="O410" s="5" t="e">
        <f t="shared" si="179"/>
        <v>#REF!</v>
      </c>
      <c r="P410" s="5" t="e">
        <f t="shared" si="179"/>
        <v>#REF!</v>
      </c>
      <c r="Q410" s="5" t="e">
        <f t="shared" ref="Q410:S410" si="192">P410</f>
        <v>#REF!</v>
      </c>
      <c r="R410" s="5" t="e">
        <f t="shared" si="192"/>
        <v>#REF!</v>
      </c>
      <c r="S410" s="5" t="e">
        <f t="shared" si="192"/>
        <v>#REF!</v>
      </c>
    </row>
    <row r="411" spans="1:19" x14ac:dyDescent="0.25">
      <c r="A411" s="31" t="e">
        <f>#REF!</f>
        <v>#REF!</v>
      </c>
      <c r="B411" s="31"/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177"/>
        <v>#REF!</v>
      </c>
      <c r="J411" s="5" t="e">
        <f t="shared" si="179"/>
        <v>#REF!</v>
      </c>
      <c r="K411" s="5" t="e">
        <f t="shared" si="179"/>
        <v>#REF!</v>
      </c>
      <c r="L411" s="5" t="e">
        <f t="shared" si="179"/>
        <v>#REF!</v>
      </c>
      <c r="M411" s="5" t="e">
        <f t="shared" si="179"/>
        <v>#REF!</v>
      </c>
      <c r="N411" s="5" t="e">
        <f t="shared" si="179"/>
        <v>#REF!</v>
      </c>
      <c r="O411" s="5" t="e">
        <f t="shared" si="179"/>
        <v>#REF!</v>
      </c>
      <c r="P411" s="5" t="e">
        <f t="shared" si="179"/>
        <v>#REF!</v>
      </c>
      <c r="Q411" s="5" t="e">
        <f t="shared" ref="Q411:S411" si="193">P411</f>
        <v>#REF!</v>
      </c>
      <c r="R411" s="5" t="e">
        <f t="shared" si="193"/>
        <v>#REF!</v>
      </c>
      <c r="S411" s="5" t="e">
        <f t="shared" si="193"/>
        <v>#REF!</v>
      </c>
    </row>
    <row r="412" spans="1:19" x14ac:dyDescent="0.25">
      <c r="A412" s="31" t="e">
        <f>#REF!</f>
        <v>#REF!</v>
      </c>
      <c r="B412" s="31"/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177"/>
        <v>#REF!</v>
      </c>
      <c r="J412" s="5" t="e">
        <f t="shared" si="179"/>
        <v>#REF!</v>
      </c>
      <c r="K412" s="5" t="e">
        <f t="shared" si="179"/>
        <v>#REF!</v>
      </c>
      <c r="L412" s="5" t="e">
        <f t="shared" si="179"/>
        <v>#REF!</v>
      </c>
      <c r="M412" s="5" t="e">
        <f t="shared" si="179"/>
        <v>#REF!</v>
      </c>
      <c r="N412" s="5" t="e">
        <f t="shared" si="179"/>
        <v>#REF!</v>
      </c>
      <c r="O412" s="5" t="e">
        <f t="shared" si="179"/>
        <v>#REF!</v>
      </c>
      <c r="P412" s="5" t="e">
        <f t="shared" si="179"/>
        <v>#REF!</v>
      </c>
      <c r="Q412" s="5" t="e">
        <f t="shared" ref="Q412:S412" si="194">P412</f>
        <v>#REF!</v>
      </c>
      <c r="R412" s="5" t="e">
        <f t="shared" si="194"/>
        <v>#REF!</v>
      </c>
      <c r="S412" s="5" t="e">
        <f t="shared" si="194"/>
        <v>#REF!</v>
      </c>
    </row>
    <row r="413" spans="1:19" x14ac:dyDescent="0.25">
      <c r="A413" s="31" t="e">
        <f>#REF!</f>
        <v>#REF!</v>
      </c>
      <c r="B413" s="31"/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177"/>
        <v>#REF!</v>
      </c>
      <c r="J413" s="5" t="e">
        <f t="shared" si="179"/>
        <v>#REF!</v>
      </c>
      <c r="K413" s="5" t="e">
        <f t="shared" si="179"/>
        <v>#REF!</v>
      </c>
      <c r="L413" s="5" t="e">
        <f t="shared" si="179"/>
        <v>#REF!</v>
      </c>
      <c r="M413" s="5" t="e">
        <f t="shared" si="179"/>
        <v>#REF!</v>
      </c>
      <c r="N413" s="5" t="e">
        <f t="shared" si="179"/>
        <v>#REF!</v>
      </c>
      <c r="O413" s="5" t="e">
        <f t="shared" si="179"/>
        <v>#REF!</v>
      </c>
      <c r="P413" s="5" t="e">
        <f t="shared" si="179"/>
        <v>#REF!</v>
      </c>
      <c r="Q413" s="5" t="e">
        <f t="shared" ref="Q413:S413" si="195">P413</f>
        <v>#REF!</v>
      </c>
      <c r="R413" s="5" t="e">
        <f t="shared" si="195"/>
        <v>#REF!</v>
      </c>
      <c r="S413" s="5" t="e">
        <f t="shared" si="195"/>
        <v>#REF!</v>
      </c>
    </row>
    <row r="414" spans="1:19" x14ac:dyDescent="0.25">
      <c r="A414" s="31" t="e">
        <f>#REF!</f>
        <v>#REF!</v>
      </c>
      <c r="B414" s="31"/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177"/>
        <v>#REF!</v>
      </c>
      <c r="J414" s="5" t="e">
        <f t="shared" ref="J414:P429" si="196">I414</f>
        <v>#REF!</v>
      </c>
      <c r="K414" s="5" t="e">
        <f t="shared" si="196"/>
        <v>#REF!</v>
      </c>
      <c r="L414" s="5" t="e">
        <f t="shared" si="196"/>
        <v>#REF!</v>
      </c>
      <c r="M414" s="5" t="e">
        <f t="shared" si="196"/>
        <v>#REF!</v>
      </c>
      <c r="N414" s="5" t="e">
        <f t="shared" si="196"/>
        <v>#REF!</v>
      </c>
      <c r="O414" s="5" t="e">
        <f t="shared" si="196"/>
        <v>#REF!</v>
      </c>
      <c r="P414" s="5" t="e">
        <f t="shared" si="196"/>
        <v>#REF!</v>
      </c>
      <c r="Q414" s="5" t="e">
        <f t="shared" ref="Q414:S414" si="197">P414</f>
        <v>#REF!</v>
      </c>
      <c r="R414" s="5" t="e">
        <f t="shared" si="197"/>
        <v>#REF!</v>
      </c>
      <c r="S414" s="5" t="e">
        <f t="shared" si="197"/>
        <v>#REF!</v>
      </c>
    </row>
    <row r="415" spans="1:19" x14ac:dyDescent="0.25">
      <c r="A415" s="31" t="e">
        <f>#REF!</f>
        <v>#REF!</v>
      </c>
      <c r="B415" s="31"/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177"/>
        <v>#REF!</v>
      </c>
      <c r="J415" s="5" t="e">
        <f t="shared" si="196"/>
        <v>#REF!</v>
      </c>
      <c r="K415" s="5" t="e">
        <f t="shared" si="196"/>
        <v>#REF!</v>
      </c>
      <c r="L415" s="5" t="e">
        <f t="shared" si="196"/>
        <v>#REF!</v>
      </c>
      <c r="M415" s="5" t="e">
        <f t="shared" si="196"/>
        <v>#REF!</v>
      </c>
      <c r="N415" s="5" t="e">
        <f t="shared" si="196"/>
        <v>#REF!</v>
      </c>
      <c r="O415" s="5" t="e">
        <f t="shared" si="196"/>
        <v>#REF!</v>
      </c>
      <c r="P415" s="5" t="e">
        <f t="shared" si="196"/>
        <v>#REF!</v>
      </c>
      <c r="Q415" s="5" t="e">
        <f t="shared" ref="Q415:S415" si="198">P415</f>
        <v>#REF!</v>
      </c>
      <c r="R415" s="5" t="e">
        <f t="shared" si="198"/>
        <v>#REF!</v>
      </c>
      <c r="S415" s="5" t="e">
        <f t="shared" si="198"/>
        <v>#REF!</v>
      </c>
    </row>
    <row r="416" spans="1:19" x14ac:dyDescent="0.25">
      <c r="A416" s="31" t="e">
        <f>#REF!</f>
        <v>#REF!</v>
      </c>
      <c r="B416" s="31"/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177"/>
        <v>#REF!</v>
      </c>
      <c r="J416" s="5" t="e">
        <f t="shared" si="196"/>
        <v>#REF!</v>
      </c>
      <c r="K416" s="5" t="e">
        <f t="shared" si="196"/>
        <v>#REF!</v>
      </c>
      <c r="L416" s="5" t="e">
        <f t="shared" si="196"/>
        <v>#REF!</v>
      </c>
      <c r="M416" s="5" t="e">
        <f t="shared" si="196"/>
        <v>#REF!</v>
      </c>
      <c r="N416" s="5" t="e">
        <f t="shared" si="196"/>
        <v>#REF!</v>
      </c>
      <c r="O416" s="5" t="e">
        <f t="shared" si="196"/>
        <v>#REF!</v>
      </c>
      <c r="P416" s="5" t="e">
        <f t="shared" si="196"/>
        <v>#REF!</v>
      </c>
      <c r="Q416" s="5" t="e">
        <f t="shared" ref="Q416:S416" si="199">P416</f>
        <v>#REF!</v>
      </c>
      <c r="R416" s="5" t="e">
        <f t="shared" si="199"/>
        <v>#REF!</v>
      </c>
      <c r="S416" s="5" t="e">
        <f t="shared" si="199"/>
        <v>#REF!</v>
      </c>
    </row>
    <row r="417" spans="1:19" x14ac:dyDescent="0.25">
      <c r="A417" s="31" t="e">
        <f>#REF!</f>
        <v>#REF!</v>
      </c>
      <c r="B417" s="31"/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177"/>
        <v>#REF!</v>
      </c>
      <c r="J417" s="5" t="e">
        <f t="shared" si="196"/>
        <v>#REF!</v>
      </c>
      <c r="K417" s="5" t="e">
        <f t="shared" si="196"/>
        <v>#REF!</v>
      </c>
      <c r="L417" s="5" t="e">
        <f t="shared" si="196"/>
        <v>#REF!</v>
      </c>
      <c r="M417" s="5" t="e">
        <f t="shared" si="196"/>
        <v>#REF!</v>
      </c>
      <c r="N417" s="5" t="e">
        <f t="shared" si="196"/>
        <v>#REF!</v>
      </c>
      <c r="O417" s="5" t="e">
        <f t="shared" si="196"/>
        <v>#REF!</v>
      </c>
      <c r="P417" s="5" t="e">
        <f t="shared" si="196"/>
        <v>#REF!</v>
      </c>
      <c r="Q417" s="5" t="e">
        <f t="shared" ref="Q417:S417" si="200">P417</f>
        <v>#REF!</v>
      </c>
      <c r="R417" s="5" t="e">
        <f t="shared" si="200"/>
        <v>#REF!</v>
      </c>
      <c r="S417" s="5" t="e">
        <f t="shared" si="200"/>
        <v>#REF!</v>
      </c>
    </row>
    <row r="418" spans="1:19" x14ac:dyDescent="0.25">
      <c r="A418" s="31" t="e">
        <f>#REF!</f>
        <v>#REF!</v>
      </c>
      <c r="B418" s="31"/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177"/>
        <v>#REF!</v>
      </c>
      <c r="J418" s="5" t="e">
        <f t="shared" si="196"/>
        <v>#REF!</v>
      </c>
      <c r="K418" s="5" t="e">
        <f t="shared" si="196"/>
        <v>#REF!</v>
      </c>
      <c r="L418" s="5" t="e">
        <f t="shared" si="196"/>
        <v>#REF!</v>
      </c>
      <c r="M418" s="5" t="e">
        <f t="shared" si="196"/>
        <v>#REF!</v>
      </c>
      <c r="N418" s="5" t="e">
        <f t="shared" si="196"/>
        <v>#REF!</v>
      </c>
      <c r="O418" s="5" t="e">
        <f t="shared" si="196"/>
        <v>#REF!</v>
      </c>
      <c r="P418" s="5" t="e">
        <f t="shared" si="196"/>
        <v>#REF!</v>
      </c>
      <c r="Q418" s="5" t="e">
        <f t="shared" ref="Q418:S418" si="201">P418</f>
        <v>#REF!</v>
      </c>
      <c r="R418" s="5" t="e">
        <f t="shared" si="201"/>
        <v>#REF!</v>
      </c>
      <c r="S418" s="5" t="e">
        <f t="shared" si="201"/>
        <v>#REF!</v>
      </c>
    </row>
    <row r="419" spans="1:19" x14ac:dyDescent="0.25">
      <c r="A419" s="31" t="e">
        <f>#REF!</f>
        <v>#REF!</v>
      </c>
      <c r="B419" s="31"/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si="177"/>
        <v>#REF!</v>
      </c>
      <c r="J419" s="5" t="e">
        <f t="shared" si="196"/>
        <v>#REF!</v>
      </c>
      <c r="K419" s="5" t="e">
        <f t="shared" si="196"/>
        <v>#REF!</v>
      </c>
      <c r="L419" s="5" t="e">
        <f t="shared" si="196"/>
        <v>#REF!</v>
      </c>
      <c r="M419" s="5" t="e">
        <f t="shared" si="196"/>
        <v>#REF!</v>
      </c>
      <c r="N419" s="5" t="e">
        <f t="shared" si="196"/>
        <v>#REF!</v>
      </c>
      <c r="O419" s="5" t="e">
        <f t="shared" si="196"/>
        <v>#REF!</v>
      </c>
      <c r="P419" s="5" t="e">
        <f t="shared" si="196"/>
        <v>#REF!</v>
      </c>
      <c r="Q419" s="5" t="e">
        <f t="shared" ref="Q419:S419" si="202">P419</f>
        <v>#REF!</v>
      </c>
      <c r="R419" s="5" t="e">
        <f t="shared" si="202"/>
        <v>#REF!</v>
      </c>
      <c r="S419" s="5" t="e">
        <f t="shared" si="202"/>
        <v>#REF!</v>
      </c>
    </row>
    <row r="420" spans="1:19" x14ac:dyDescent="0.25">
      <c r="A420" s="31" t="e">
        <f>#REF!</f>
        <v>#REF!</v>
      </c>
      <c r="B420" s="31"/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177"/>
        <v>#REF!</v>
      </c>
      <c r="J420" s="5" t="e">
        <f t="shared" si="196"/>
        <v>#REF!</v>
      </c>
      <c r="K420" s="5" t="e">
        <f t="shared" si="196"/>
        <v>#REF!</v>
      </c>
      <c r="L420" s="5" t="e">
        <f t="shared" si="196"/>
        <v>#REF!</v>
      </c>
      <c r="M420" s="5" t="e">
        <f t="shared" si="196"/>
        <v>#REF!</v>
      </c>
      <c r="N420" s="5" t="e">
        <f t="shared" si="196"/>
        <v>#REF!</v>
      </c>
      <c r="O420" s="5" t="e">
        <f t="shared" si="196"/>
        <v>#REF!</v>
      </c>
      <c r="P420" s="5" t="e">
        <f t="shared" si="196"/>
        <v>#REF!</v>
      </c>
      <c r="Q420" s="5" t="e">
        <f t="shared" ref="Q420:S420" si="203">P420</f>
        <v>#REF!</v>
      </c>
      <c r="R420" s="5" t="e">
        <f t="shared" si="203"/>
        <v>#REF!</v>
      </c>
      <c r="S420" s="5" t="e">
        <f t="shared" si="203"/>
        <v>#REF!</v>
      </c>
    </row>
    <row r="421" spans="1:19" x14ac:dyDescent="0.25">
      <c r="A421" s="31" t="e">
        <f>#REF!</f>
        <v>#REF!</v>
      </c>
      <c r="B421" s="31"/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177"/>
        <v>#REF!</v>
      </c>
      <c r="J421" s="5" t="e">
        <f t="shared" si="196"/>
        <v>#REF!</v>
      </c>
      <c r="K421" s="5" t="e">
        <f t="shared" si="196"/>
        <v>#REF!</v>
      </c>
      <c r="L421" s="5" t="e">
        <f t="shared" si="196"/>
        <v>#REF!</v>
      </c>
      <c r="M421" s="5" t="e">
        <f t="shared" si="196"/>
        <v>#REF!</v>
      </c>
      <c r="N421" s="5" t="e">
        <f t="shared" si="196"/>
        <v>#REF!</v>
      </c>
      <c r="O421" s="5" t="e">
        <f t="shared" si="196"/>
        <v>#REF!</v>
      </c>
      <c r="P421" s="5" t="e">
        <f t="shared" si="196"/>
        <v>#REF!</v>
      </c>
      <c r="Q421" s="5" t="e">
        <f t="shared" ref="Q421:S421" si="204">P421</f>
        <v>#REF!</v>
      </c>
      <c r="R421" s="5" t="e">
        <f t="shared" si="204"/>
        <v>#REF!</v>
      </c>
      <c r="S421" s="5" t="e">
        <f t="shared" si="204"/>
        <v>#REF!</v>
      </c>
    </row>
    <row r="422" spans="1:19" x14ac:dyDescent="0.25">
      <c r="A422" s="31" t="e">
        <f>#REF!</f>
        <v>#REF!</v>
      </c>
      <c r="B422" s="31"/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177"/>
        <v>#REF!</v>
      </c>
      <c r="J422" s="5" t="e">
        <f t="shared" si="196"/>
        <v>#REF!</v>
      </c>
      <c r="K422" s="5" t="e">
        <f t="shared" si="196"/>
        <v>#REF!</v>
      </c>
      <c r="L422" s="5" t="e">
        <f t="shared" si="196"/>
        <v>#REF!</v>
      </c>
      <c r="M422" s="5" t="e">
        <f t="shared" si="196"/>
        <v>#REF!</v>
      </c>
      <c r="N422" s="5" t="e">
        <f t="shared" si="196"/>
        <v>#REF!</v>
      </c>
      <c r="O422" s="5" t="e">
        <f t="shared" si="196"/>
        <v>#REF!</v>
      </c>
      <c r="P422" s="5" t="e">
        <f t="shared" si="196"/>
        <v>#REF!</v>
      </c>
      <c r="Q422" s="5" t="e">
        <f t="shared" ref="Q422:S422" si="205">P422</f>
        <v>#REF!</v>
      </c>
      <c r="R422" s="5" t="e">
        <f t="shared" si="205"/>
        <v>#REF!</v>
      </c>
      <c r="S422" s="5" t="e">
        <f t="shared" si="205"/>
        <v>#REF!</v>
      </c>
    </row>
    <row r="423" spans="1:19" x14ac:dyDescent="0.25">
      <c r="A423" s="31" t="e">
        <f>#REF!</f>
        <v>#REF!</v>
      </c>
      <c r="B423" s="31"/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177"/>
        <v>#REF!</v>
      </c>
      <c r="J423" s="5" t="e">
        <f t="shared" si="196"/>
        <v>#REF!</v>
      </c>
      <c r="K423" s="5" t="e">
        <f t="shared" si="196"/>
        <v>#REF!</v>
      </c>
      <c r="L423" s="5" t="e">
        <f t="shared" si="196"/>
        <v>#REF!</v>
      </c>
      <c r="M423" s="5" t="e">
        <f t="shared" si="196"/>
        <v>#REF!</v>
      </c>
      <c r="N423" s="5" t="e">
        <f t="shared" si="196"/>
        <v>#REF!</v>
      </c>
      <c r="O423" s="5" t="e">
        <f t="shared" si="196"/>
        <v>#REF!</v>
      </c>
      <c r="P423" s="5" t="e">
        <f t="shared" si="196"/>
        <v>#REF!</v>
      </c>
      <c r="Q423" s="5" t="e">
        <f t="shared" ref="Q423:S423" si="206">P423</f>
        <v>#REF!</v>
      </c>
      <c r="R423" s="5" t="e">
        <f t="shared" si="206"/>
        <v>#REF!</v>
      </c>
      <c r="S423" s="5" t="e">
        <f t="shared" si="206"/>
        <v>#REF!</v>
      </c>
    </row>
    <row r="424" spans="1:19" x14ac:dyDescent="0.25">
      <c r="A424" s="31" t="e">
        <f>#REF!</f>
        <v>#REF!</v>
      </c>
      <c r="B424" s="31"/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177"/>
        <v>#REF!</v>
      </c>
      <c r="J424" s="5" t="e">
        <f t="shared" si="196"/>
        <v>#REF!</v>
      </c>
      <c r="K424" s="5" t="e">
        <f t="shared" si="196"/>
        <v>#REF!</v>
      </c>
      <c r="L424" s="5" t="e">
        <f t="shared" si="196"/>
        <v>#REF!</v>
      </c>
      <c r="M424" s="5" t="e">
        <f t="shared" si="196"/>
        <v>#REF!</v>
      </c>
      <c r="N424" s="5" t="e">
        <f t="shared" si="196"/>
        <v>#REF!</v>
      </c>
      <c r="O424" s="5" t="e">
        <f t="shared" si="196"/>
        <v>#REF!</v>
      </c>
      <c r="P424" s="5" t="e">
        <f t="shared" si="196"/>
        <v>#REF!</v>
      </c>
      <c r="Q424" s="5" t="e">
        <f t="shared" ref="Q424:S424" si="207">P424</f>
        <v>#REF!</v>
      </c>
      <c r="R424" s="5" t="e">
        <f t="shared" si="207"/>
        <v>#REF!</v>
      </c>
      <c r="S424" s="5" t="e">
        <f t="shared" si="207"/>
        <v>#REF!</v>
      </c>
    </row>
    <row r="425" spans="1:19" x14ac:dyDescent="0.25">
      <c r="A425" s="31" t="e">
        <f>#REF!</f>
        <v>#REF!</v>
      </c>
      <c r="B425" s="31"/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177"/>
        <v>#REF!</v>
      </c>
      <c r="J425" s="5" t="e">
        <f t="shared" si="196"/>
        <v>#REF!</v>
      </c>
      <c r="K425" s="5" t="e">
        <f t="shared" si="196"/>
        <v>#REF!</v>
      </c>
      <c r="L425" s="5" t="e">
        <f t="shared" si="196"/>
        <v>#REF!</v>
      </c>
      <c r="M425" s="5" t="e">
        <f t="shared" si="196"/>
        <v>#REF!</v>
      </c>
      <c r="N425" s="5" t="e">
        <f t="shared" si="196"/>
        <v>#REF!</v>
      </c>
      <c r="O425" s="5" t="e">
        <f t="shared" si="196"/>
        <v>#REF!</v>
      </c>
      <c r="P425" s="5" t="e">
        <f t="shared" si="196"/>
        <v>#REF!</v>
      </c>
      <c r="Q425" s="5" t="e">
        <f t="shared" ref="Q425:S425" si="208">P425</f>
        <v>#REF!</v>
      </c>
      <c r="R425" s="5" t="e">
        <f t="shared" si="208"/>
        <v>#REF!</v>
      </c>
      <c r="S425" s="5" t="e">
        <f t="shared" si="208"/>
        <v>#REF!</v>
      </c>
    </row>
    <row r="426" spans="1:19" x14ac:dyDescent="0.25">
      <c r="A426" s="31" t="e">
        <f>#REF!</f>
        <v>#REF!</v>
      </c>
      <c r="B426" s="31"/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177"/>
        <v>#REF!</v>
      </c>
      <c r="J426" s="5" t="e">
        <f t="shared" si="196"/>
        <v>#REF!</v>
      </c>
      <c r="K426" s="5" t="e">
        <f t="shared" si="196"/>
        <v>#REF!</v>
      </c>
      <c r="L426" s="5" t="e">
        <f t="shared" si="196"/>
        <v>#REF!</v>
      </c>
      <c r="M426" s="5" t="e">
        <f t="shared" si="196"/>
        <v>#REF!</v>
      </c>
      <c r="N426" s="5" t="e">
        <f t="shared" si="196"/>
        <v>#REF!</v>
      </c>
      <c r="O426" s="5" t="e">
        <f t="shared" si="196"/>
        <v>#REF!</v>
      </c>
      <c r="P426" s="5" t="e">
        <f t="shared" si="196"/>
        <v>#REF!</v>
      </c>
      <c r="Q426" s="5" t="e">
        <f t="shared" ref="Q426:S426" si="209">P426</f>
        <v>#REF!</v>
      </c>
      <c r="R426" s="5" t="e">
        <f t="shared" si="209"/>
        <v>#REF!</v>
      </c>
      <c r="S426" s="5" t="e">
        <f t="shared" si="209"/>
        <v>#REF!</v>
      </c>
    </row>
    <row r="427" spans="1:19" x14ac:dyDescent="0.25">
      <c r="A427" s="31" t="e">
        <f>#REF!</f>
        <v>#REF!</v>
      </c>
      <c r="B427" s="31"/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177"/>
        <v>#REF!</v>
      </c>
      <c r="J427" s="5" t="e">
        <f t="shared" si="196"/>
        <v>#REF!</v>
      </c>
      <c r="K427" s="5" t="e">
        <f t="shared" si="196"/>
        <v>#REF!</v>
      </c>
      <c r="L427" s="5" t="e">
        <f t="shared" si="196"/>
        <v>#REF!</v>
      </c>
      <c r="M427" s="5" t="e">
        <f t="shared" si="196"/>
        <v>#REF!</v>
      </c>
      <c r="N427" s="5" t="e">
        <f t="shared" si="196"/>
        <v>#REF!</v>
      </c>
      <c r="O427" s="5" t="e">
        <f t="shared" si="196"/>
        <v>#REF!</v>
      </c>
      <c r="P427" s="5" t="e">
        <f t="shared" si="196"/>
        <v>#REF!</v>
      </c>
      <c r="Q427" s="5" t="e">
        <f t="shared" ref="Q427:S427" si="210">P427</f>
        <v>#REF!</v>
      </c>
      <c r="R427" s="5" t="e">
        <f t="shared" si="210"/>
        <v>#REF!</v>
      </c>
      <c r="S427" s="5" t="e">
        <f t="shared" si="210"/>
        <v>#REF!</v>
      </c>
    </row>
    <row r="428" spans="1:19" x14ac:dyDescent="0.25">
      <c r="A428" s="31" t="e">
        <f>#REF!</f>
        <v>#REF!</v>
      </c>
      <c r="B428" s="31"/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177"/>
        <v>#REF!</v>
      </c>
      <c r="J428" s="5" t="e">
        <f t="shared" si="196"/>
        <v>#REF!</v>
      </c>
      <c r="K428" s="5" t="e">
        <f t="shared" si="196"/>
        <v>#REF!</v>
      </c>
      <c r="L428" s="5" t="e">
        <f t="shared" si="196"/>
        <v>#REF!</v>
      </c>
      <c r="M428" s="5" t="e">
        <f t="shared" si="196"/>
        <v>#REF!</v>
      </c>
      <c r="N428" s="5" t="e">
        <f t="shared" si="196"/>
        <v>#REF!</v>
      </c>
      <c r="O428" s="5" t="e">
        <f t="shared" si="196"/>
        <v>#REF!</v>
      </c>
      <c r="P428" s="5" t="e">
        <f t="shared" si="196"/>
        <v>#REF!</v>
      </c>
      <c r="Q428" s="5" t="e">
        <f t="shared" ref="Q428:S428" si="211">P428</f>
        <v>#REF!</v>
      </c>
      <c r="R428" s="5" t="e">
        <f t="shared" si="211"/>
        <v>#REF!</v>
      </c>
      <c r="S428" s="5" t="e">
        <f t="shared" si="211"/>
        <v>#REF!</v>
      </c>
    </row>
    <row r="429" spans="1:19" x14ac:dyDescent="0.25">
      <c r="A429" s="31" t="e">
        <f>#REF!</f>
        <v>#REF!</v>
      </c>
      <c r="B429" s="31"/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177"/>
        <v>#REF!</v>
      </c>
      <c r="J429" s="5" t="e">
        <f t="shared" si="196"/>
        <v>#REF!</v>
      </c>
      <c r="K429" s="5" t="e">
        <f t="shared" si="196"/>
        <v>#REF!</v>
      </c>
      <c r="L429" s="5" t="e">
        <f t="shared" si="196"/>
        <v>#REF!</v>
      </c>
      <c r="M429" s="5" t="e">
        <f t="shared" si="196"/>
        <v>#REF!</v>
      </c>
      <c r="N429" s="5" t="e">
        <f t="shared" si="196"/>
        <v>#REF!</v>
      </c>
      <c r="O429" s="5" t="e">
        <f t="shared" si="196"/>
        <v>#REF!</v>
      </c>
      <c r="P429" s="5" t="e">
        <f t="shared" si="196"/>
        <v>#REF!</v>
      </c>
      <c r="Q429" s="5" t="e">
        <f t="shared" ref="Q429:S429" si="212">P429</f>
        <v>#REF!</v>
      </c>
      <c r="R429" s="5" t="e">
        <f t="shared" si="212"/>
        <v>#REF!</v>
      </c>
      <c r="S429" s="5" t="e">
        <f t="shared" si="212"/>
        <v>#REF!</v>
      </c>
    </row>
    <row r="430" spans="1:19" x14ac:dyDescent="0.25">
      <c r="A430" s="31" t="e">
        <f>#REF!</f>
        <v>#REF!</v>
      </c>
      <c r="B430" s="31"/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177"/>
        <v>#REF!</v>
      </c>
      <c r="J430" s="5" t="e">
        <f t="shared" ref="J430:P434" si="213">I430</f>
        <v>#REF!</v>
      </c>
      <c r="K430" s="5" t="e">
        <f t="shared" si="213"/>
        <v>#REF!</v>
      </c>
      <c r="L430" s="5" t="e">
        <f t="shared" si="213"/>
        <v>#REF!</v>
      </c>
      <c r="M430" s="5" t="e">
        <f t="shared" si="213"/>
        <v>#REF!</v>
      </c>
      <c r="N430" s="5" t="e">
        <f t="shared" si="213"/>
        <v>#REF!</v>
      </c>
      <c r="O430" s="5" t="e">
        <f t="shared" si="213"/>
        <v>#REF!</v>
      </c>
      <c r="P430" s="5" t="e">
        <f t="shared" si="213"/>
        <v>#REF!</v>
      </c>
      <c r="Q430" s="5" t="e">
        <f t="shared" ref="Q430:S430" si="214">P430</f>
        <v>#REF!</v>
      </c>
      <c r="R430" s="5" t="e">
        <f t="shared" si="214"/>
        <v>#REF!</v>
      </c>
      <c r="S430" s="5" t="e">
        <f t="shared" si="214"/>
        <v>#REF!</v>
      </c>
    </row>
    <row r="431" spans="1:19" x14ac:dyDescent="0.25">
      <c r="A431" s="31" t="e">
        <f>#REF!</f>
        <v>#REF!</v>
      </c>
      <c r="B431" s="31"/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177"/>
        <v>#REF!</v>
      </c>
      <c r="J431" s="5" t="e">
        <f t="shared" si="213"/>
        <v>#REF!</v>
      </c>
      <c r="K431" s="5" t="e">
        <f t="shared" si="213"/>
        <v>#REF!</v>
      </c>
      <c r="L431" s="5" t="e">
        <f t="shared" si="213"/>
        <v>#REF!</v>
      </c>
      <c r="M431" s="5" t="e">
        <f t="shared" si="213"/>
        <v>#REF!</v>
      </c>
      <c r="N431" s="5" t="e">
        <f t="shared" si="213"/>
        <v>#REF!</v>
      </c>
      <c r="O431" s="5" t="e">
        <f t="shared" si="213"/>
        <v>#REF!</v>
      </c>
      <c r="P431" s="5" t="e">
        <f t="shared" si="213"/>
        <v>#REF!</v>
      </c>
      <c r="Q431" s="5" t="e">
        <f t="shared" ref="Q431:S431" si="215">P431</f>
        <v>#REF!</v>
      </c>
      <c r="R431" s="5" t="e">
        <f t="shared" si="215"/>
        <v>#REF!</v>
      </c>
      <c r="S431" s="5" t="e">
        <f t="shared" si="215"/>
        <v>#REF!</v>
      </c>
    </row>
    <row r="432" spans="1:19" x14ac:dyDescent="0.25">
      <c r="A432" s="31" t="e">
        <f>#REF!</f>
        <v>#REF!</v>
      </c>
      <c r="B432" s="31"/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177"/>
        <v>#REF!</v>
      </c>
      <c r="J432" s="5" t="e">
        <f t="shared" si="213"/>
        <v>#REF!</v>
      </c>
      <c r="K432" s="5" t="e">
        <f t="shared" si="213"/>
        <v>#REF!</v>
      </c>
      <c r="L432" s="5" t="e">
        <f t="shared" si="213"/>
        <v>#REF!</v>
      </c>
      <c r="M432" s="5" t="e">
        <f t="shared" si="213"/>
        <v>#REF!</v>
      </c>
      <c r="N432" s="5" t="e">
        <f t="shared" si="213"/>
        <v>#REF!</v>
      </c>
      <c r="O432" s="5" t="e">
        <f t="shared" si="213"/>
        <v>#REF!</v>
      </c>
      <c r="P432" s="5" t="e">
        <f t="shared" si="213"/>
        <v>#REF!</v>
      </c>
      <c r="Q432" s="5" t="e">
        <f t="shared" ref="Q432:S432" si="216">P432</f>
        <v>#REF!</v>
      </c>
      <c r="R432" s="5" t="e">
        <f t="shared" si="216"/>
        <v>#REF!</v>
      </c>
      <c r="S432" s="5" t="e">
        <f t="shared" si="216"/>
        <v>#REF!</v>
      </c>
    </row>
    <row r="433" spans="1:19" x14ac:dyDescent="0.25">
      <c r="A433" s="31" t="e">
        <f>#REF!</f>
        <v>#REF!</v>
      </c>
      <c r="B433" s="31"/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177"/>
        <v>#REF!</v>
      </c>
      <c r="J433" s="5" t="e">
        <f t="shared" si="213"/>
        <v>#REF!</v>
      </c>
      <c r="K433" s="5" t="e">
        <f t="shared" si="213"/>
        <v>#REF!</v>
      </c>
      <c r="L433" s="5" t="e">
        <f t="shared" si="213"/>
        <v>#REF!</v>
      </c>
      <c r="M433" s="5" t="e">
        <f t="shared" si="213"/>
        <v>#REF!</v>
      </c>
      <c r="N433" s="5" t="e">
        <f t="shared" si="213"/>
        <v>#REF!</v>
      </c>
      <c r="O433" s="5" t="e">
        <f t="shared" si="213"/>
        <v>#REF!</v>
      </c>
      <c r="P433" s="5" t="e">
        <f t="shared" si="213"/>
        <v>#REF!</v>
      </c>
      <c r="Q433" s="5" t="e">
        <f t="shared" ref="Q433:S433" si="217">P433</f>
        <v>#REF!</v>
      </c>
      <c r="R433" s="5" t="e">
        <f t="shared" si="217"/>
        <v>#REF!</v>
      </c>
      <c r="S433" s="5" t="e">
        <f t="shared" si="217"/>
        <v>#REF!</v>
      </c>
    </row>
    <row r="434" spans="1:19" x14ac:dyDescent="0.25">
      <c r="A434" s="31" t="e">
        <f>#REF!</f>
        <v>#REF!</v>
      </c>
      <c r="B434" s="31"/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177"/>
        <v>#REF!</v>
      </c>
      <c r="J434" s="5" t="e">
        <f t="shared" si="213"/>
        <v>#REF!</v>
      </c>
      <c r="K434" s="5" t="e">
        <f t="shared" si="213"/>
        <v>#REF!</v>
      </c>
      <c r="L434" s="5" t="e">
        <f t="shared" si="213"/>
        <v>#REF!</v>
      </c>
      <c r="M434" s="5" t="e">
        <f t="shared" si="213"/>
        <v>#REF!</v>
      </c>
      <c r="N434" s="5" t="e">
        <f t="shared" si="213"/>
        <v>#REF!</v>
      </c>
      <c r="O434" s="5" t="e">
        <f t="shared" si="213"/>
        <v>#REF!</v>
      </c>
      <c r="P434" s="5" t="e">
        <f t="shared" si="213"/>
        <v>#REF!</v>
      </c>
      <c r="Q434" s="5" t="e">
        <f t="shared" ref="Q434:S449" si="218">P434</f>
        <v>#REF!</v>
      </c>
      <c r="R434" s="5" t="e">
        <f t="shared" si="218"/>
        <v>#REF!</v>
      </c>
      <c r="S434" s="5" t="e">
        <f t="shared" si="218"/>
        <v>#REF!</v>
      </c>
    </row>
    <row r="435" spans="1:19" x14ac:dyDescent="0.25">
      <c r="A435" s="31" t="e">
        <f>#REF!</f>
        <v>#REF!</v>
      </c>
      <c r="B435" s="31"/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P473" si="219">H435</f>
        <v>#REF!</v>
      </c>
      <c r="J435" s="5" t="e">
        <f t="shared" si="219"/>
        <v>#REF!</v>
      </c>
      <c r="K435" s="5" t="e">
        <f t="shared" si="219"/>
        <v>#REF!</v>
      </c>
      <c r="L435" s="5" t="e">
        <f t="shared" si="219"/>
        <v>#REF!</v>
      </c>
      <c r="M435" s="5" t="e">
        <f t="shared" si="219"/>
        <v>#REF!</v>
      </c>
      <c r="N435" s="5" t="e">
        <f t="shared" si="219"/>
        <v>#REF!</v>
      </c>
      <c r="O435" s="5" t="e">
        <f t="shared" si="219"/>
        <v>#REF!</v>
      </c>
      <c r="P435" s="5" t="e">
        <f t="shared" si="219"/>
        <v>#REF!</v>
      </c>
      <c r="Q435" s="5" t="e">
        <f t="shared" si="218"/>
        <v>#REF!</v>
      </c>
      <c r="R435" s="5" t="e">
        <f t="shared" si="218"/>
        <v>#REF!</v>
      </c>
      <c r="S435" s="5" t="e">
        <f t="shared" si="218"/>
        <v>#REF!</v>
      </c>
    </row>
    <row r="436" spans="1:19" x14ac:dyDescent="0.25">
      <c r="A436" s="31" t="e">
        <f>#REF!</f>
        <v>#REF!</v>
      </c>
      <c r="B436" s="31"/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19"/>
        <v>#REF!</v>
      </c>
      <c r="J436" s="5" t="e">
        <f t="shared" si="219"/>
        <v>#REF!</v>
      </c>
      <c r="K436" s="5" t="e">
        <f t="shared" si="219"/>
        <v>#REF!</v>
      </c>
      <c r="L436" s="5" t="e">
        <f t="shared" si="219"/>
        <v>#REF!</v>
      </c>
      <c r="M436" s="5" t="e">
        <f t="shared" si="219"/>
        <v>#REF!</v>
      </c>
      <c r="N436" s="5" t="e">
        <f t="shared" si="219"/>
        <v>#REF!</v>
      </c>
      <c r="O436" s="5" t="e">
        <f t="shared" si="219"/>
        <v>#REF!</v>
      </c>
      <c r="P436" s="5" t="e">
        <f t="shared" si="219"/>
        <v>#REF!</v>
      </c>
      <c r="Q436" s="5" t="e">
        <f t="shared" si="218"/>
        <v>#REF!</v>
      </c>
      <c r="R436" s="5" t="e">
        <f t="shared" si="218"/>
        <v>#REF!</v>
      </c>
      <c r="S436" s="5" t="e">
        <f t="shared" si="218"/>
        <v>#REF!</v>
      </c>
    </row>
    <row r="437" spans="1:19" x14ac:dyDescent="0.25">
      <c r="A437" s="31" t="e">
        <f>#REF!</f>
        <v>#REF!</v>
      </c>
      <c r="B437" s="31"/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19"/>
        <v>#REF!</v>
      </c>
      <c r="J437" s="5" t="e">
        <f t="shared" si="219"/>
        <v>#REF!</v>
      </c>
      <c r="K437" s="5" t="e">
        <f t="shared" si="219"/>
        <v>#REF!</v>
      </c>
      <c r="L437" s="5" t="e">
        <f t="shared" si="219"/>
        <v>#REF!</v>
      </c>
      <c r="M437" s="5" t="e">
        <f t="shared" si="219"/>
        <v>#REF!</v>
      </c>
      <c r="N437" s="5" t="e">
        <f t="shared" si="219"/>
        <v>#REF!</v>
      </c>
      <c r="O437" s="5" t="e">
        <f t="shared" si="219"/>
        <v>#REF!</v>
      </c>
      <c r="P437" s="5" t="e">
        <f t="shared" si="219"/>
        <v>#REF!</v>
      </c>
      <c r="Q437" s="5" t="e">
        <f t="shared" si="218"/>
        <v>#REF!</v>
      </c>
      <c r="R437" s="5" t="e">
        <f t="shared" si="218"/>
        <v>#REF!</v>
      </c>
      <c r="S437" s="5" t="e">
        <f t="shared" si="218"/>
        <v>#REF!</v>
      </c>
    </row>
    <row r="438" spans="1:19" x14ac:dyDescent="0.25">
      <c r="A438" s="31" t="e">
        <f>#REF!</f>
        <v>#REF!</v>
      </c>
      <c r="B438" s="31"/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19"/>
        <v>#REF!</v>
      </c>
      <c r="J438" s="5" t="e">
        <f t="shared" si="219"/>
        <v>#REF!</v>
      </c>
      <c r="K438" s="5" t="e">
        <f t="shared" si="219"/>
        <v>#REF!</v>
      </c>
      <c r="L438" s="5" t="e">
        <f t="shared" si="219"/>
        <v>#REF!</v>
      </c>
      <c r="M438" s="5" t="e">
        <f t="shared" si="219"/>
        <v>#REF!</v>
      </c>
      <c r="N438" s="5" t="e">
        <f t="shared" si="219"/>
        <v>#REF!</v>
      </c>
      <c r="O438" s="5" t="e">
        <f t="shared" si="219"/>
        <v>#REF!</v>
      </c>
      <c r="P438" s="5" t="e">
        <f t="shared" si="219"/>
        <v>#REF!</v>
      </c>
      <c r="Q438" s="5" t="e">
        <f t="shared" si="218"/>
        <v>#REF!</v>
      </c>
      <c r="R438" s="5" t="e">
        <f t="shared" si="218"/>
        <v>#REF!</v>
      </c>
      <c r="S438" s="5" t="e">
        <f t="shared" si="218"/>
        <v>#REF!</v>
      </c>
    </row>
    <row r="439" spans="1:19" x14ac:dyDescent="0.25">
      <c r="A439" s="31" t="e">
        <f>#REF!</f>
        <v>#REF!</v>
      </c>
      <c r="B439" s="31"/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19"/>
        <v>#REF!</v>
      </c>
      <c r="J439" s="5" t="e">
        <f t="shared" si="219"/>
        <v>#REF!</v>
      </c>
      <c r="K439" s="5" t="e">
        <f t="shared" si="219"/>
        <v>#REF!</v>
      </c>
      <c r="L439" s="5" t="e">
        <f t="shared" si="219"/>
        <v>#REF!</v>
      </c>
      <c r="M439" s="5" t="e">
        <f t="shared" si="219"/>
        <v>#REF!</v>
      </c>
      <c r="N439" s="5" t="e">
        <f t="shared" si="219"/>
        <v>#REF!</v>
      </c>
      <c r="O439" s="5" t="e">
        <f t="shared" si="219"/>
        <v>#REF!</v>
      </c>
      <c r="P439" s="5" t="e">
        <f t="shared" si="219"/>
        <v>#REF!</v>
      </c>
      <c r="Q439" s="5" t="e">
        <f t="shared" si="218"/>
        <v>#REF!</v>
      </c>
      <c r="R439" s="5" t="e">
        <f t="shared" si="218"/>
        <v>#REF!</v>
      </c>
      <c r="S439" s="5" t="e">
        <f t="shared" si="218"/>
        <v>#REF!</v>
      </c>
    </row>
    <row r="440" spans="1:19" x14ac:dyDescent="0.25">
      <c r="A440" s="31" t="e">
        <f>#REF!</f>
        <v>#REF!</v>
      </c>
      <c r="B440" s="31"/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19"/>
        <v>#REF!</v>
      </c>
      <c r="J440" s="5" t="e">
        <f t="shared" si="219"/>
        <v>#REF!</v>
      </c>
      <c r="K440" s="5" t="e">
        <f t="shared" si="219"/>
        <v>#REF!</v>
      </c>
      <c r="L440" s="5" t="e">
        <f t="shared" si="219"/>
        <v>#REF!</v>
      </c>
      <c r="M440" s="5" t="e">
        <f t="shared" si="219"/>
        <v>#REF!</v>
      </c>
      <c r="N440" s="5" t="e">
        <f t="shared" si="219"/>
        <v>#REF!</v>
      </c>
      <c r="O440" s="5" t="e">
        <f t="shared" si="219"/>
        <v>#REF!</v>
      </c>
      <c r="P440" s="5" t="e">
        <f t="shared" si="219"/>
        <v>#REF!</v>
      </c>
      <c r="Q440" s="5" t="e">
        <f t="shared" si="218"/>
        <v>#REF!</v>
      </c>
      <c r="R440" s="5" t="e">
        <f t="shared" si="218"/>
        <v>#REF!</v>
      </c>
      <c r="S440" s="5" t="e">
        <f t="shared" si="218"/>
        <v>#REF!</v>
      </c>
    </row>
    <row r="441" spans="1:19" x14ac:dyDescent="0.25">
      <c r="A441" s="31" t="e">
        <f>#REF!</f>
        <v>#REF!</v>
      </c>
      <c r="B441" s="31"/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19"/>
        <v>#REF!</v>
      </c>
      <c r="J441" s="5" t="e">
        <f t="shared" si="219"/>
        <v>#REF!</v>
      </c>
      <c r="K441" s="5" t="e">
        <f t="shared" si="219"/>
        <v>#REF!</v>
      </c>
      <c r="L441" s="5" t="e">
        <f t="shared" si="219"/>
        <v>#REF!</v>
      </c>
      <c r="M441" s="5" t="e">
        <f t="shared" si="219"/>
        <v>#REF!</v>
      </c>
      <c r="N441" s="5" t="e">
        <f t="shared" si="219"/>
        <v>#REF!</v>
      </c>
      <c r="O441" s="5" t="e">
        <f t="shared" si="219"/>
        <v>#REF!</v>
      </c>
      <c r="P441" s="5" t="e">
        <f t="shared" si="219"/>
        <v>#REF!</v>
      </c>
      <c r="Q441" s="5" t="e">
        <f t="shared" si="218"/>
        <v>#REF!</v>
      </c>
      <c r="R441" s="5" t="e">
        <f t="shared" si="218"/>
        <v>#REF!</v>
      </c>
      <c r="S441" s="5" t="e">
        <f t="shared" si="218"/>
        <v>#REF!</v>
      </c>
    </row>
    <row r="442" spans="1:19" x14ac:dyDescent="0.25">
      <c r="A442" s="31" t="e">
        <f>#REF!</f>
        <v>#REF!</v>
      </c>
      <c r="B442" s="31"/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19"/>
        <v>#REF!</v>
      </c>
      <c r="J442" s="5" t="e">
        <f t="shared" si="219"/>
        <v>#REF!</v>
      </c>
      <c r="K442" s="5" t="e">
        <f t="shared" si="219"/>
        <v>#REF!</v>
      </c>
      <c r="L442" s="5" t="e">
        <f t="shared" si="219"/>
        <v>#REF!</v>
      </c>
      <c r="M442" s="5" t="e">
        <f t="shared" si="219"/>
        <v>#REF!</v>
      </c>
      <c r="N442" s="5" t="e">
        <f t="shared" si="219"/>
        <v>#REF!</v>
      </c>
      <c r="O442" s="5" t="e">
        <f t="shared" si="219"/>
        <v>#REF!</v>
      </c>
      <c r="P442" s="5" t="e">
        <f t="shared" si="219"/>
        <v>#REF!</v>
      </c>
      <c r="Q442" s="5" t="e">
        <f t="shared" si="218"/>
        <v>#REF!</v>
      </c>
      <c r="R442" s="5" t="e">
        <f t="shared" si="218"/>
        <v>#REF!</v>
      </c>
      <c r="S442" s="5" t="e">
        <f t="shared" si="218"/>
        <v>#REF!</v>
      </c>
    </row>
    <row r="443" spans="1:19" x14ac:dyDescent="0.25">
      <c r="A443" s="31" t="e">
        <f>#REF!</f>
        <v>#REF!</v>
      </c>
      <c r="B443" s="31"/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19"/>
        <v>#REF!</v>
      </c>
      <c r="J443" s="5" t="e">
        <f t="shared" si="219"/>
        <v>#REF!</v>
      </c>
      <c r="K443" s="5" t="e">
        <f t="shared" si="219"/>
        <v>#REF!</v>
      </c>
      <c r="L443" s="5" t="e">
        <f t="shared" si="219"/>
        <v>#REF!</v>
      </c>
      <c r="M443" s="5" t="e">
        <f t="shared" si="219"/>
        <v>#REF!</v>
      </c>
      <c r="N443" s="5" t="e">
        <f t="shared" si="219"/>
        <v>#REF!</v>
      </c>
      <c r="O443" s="5" t="e">
        <f t="shared" si="219"/>
        <v>#REF!</v>
      </c>
      <c r="P443" s="5" t="e">
        <f t="shared" si="219"/>
        <v>#REF!</v>
      </c>
      <c r="Q443" s="5" t="e">
        <f t="shared" si="218"/>
        <v>#REF!</v>
      </c>
      <c r="R443" s="5" t="e">
        <f t="shared" si="218"/>
        <v>#REF!</v>
      </c>
      <c r="S443" s="5" t="e">
        <f t="shared" si="218"/>
        <v>#REF!</v>
      </c>
    </row>
    <row r="444" spans="1:19" x14ac:dyDescent="0.25">
      <c r="A444" s="31" t="e">
        <f>#REF!</f>
        <v>#REF!</v>
      </c>
      <c r="B444" s="31"/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19"/>
        <v>#REF!</v>
      </c>
      <c r="J444" s="5" t="e">
        <f t="shared" si="219"/>
        <v>#REF!</v>
      </c>
      <c r="K444" s="5" t="e">
        <f t="shared" si="219"/>
        <v>#REF!</v>
      </c>
      <c r="L444" s="5" t="e">
        <f t="shared" si="219"/>
        <v>#REF!</v>
      </c>
      <c r="M444" s="5" t="e">
        <f t="shared" si="219"/>
        <v>#REF!</v>
      </c>
      <c r="N444" s="5" t="e">
        <f t="shared" si="219"/>
        <v>#REF!</v>
      </c>
      <c r="O444" s="5" t="e">
        <f t="shared" si="219"/>
        <v>#REF!</v>
      </c>
      <c r="P444" s="5" t="e">
        <f t="shared" si="219"/>
        <v>#REF!</v>
      </c>
      <c r="Q444" s="5" t="e">
        <f t="shared" si="218"/>
        <v>#REF!</v>
      </c>
      <c r="R444" s="5" t="e">
        <f t="shared" si="218"/>
        <v>#REF!</v>
      </c>
      <c r="S444" s="5" t="e">
        <f t="shared" si="218"/>
        <v>#REF!</v>
      </c>
    </row>
    <row r="445" spans="1:19" x14ac:dyDescent="0.25">
      <c r="A445" s="31" t="e">
        <f>#REF!</f>
        <v>#REF!</v>
      </c>
      <c r="B445" s="31"/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19"/>
        <v>#REF!</v>
      </c>
      <c r="J445" s="5" t="e">
        <f t="shared" si="219"/>
        <v>#REF!</v>
      </c>
      <c r="K445" s="5" t="e">
        <f t="shared" si="219"/>
        <v>#REF!</v>
      </c>
      <c r="L445" s="5" t="e">
        <f t="shared" si="219"/>
        <v>#REF!</v>
      </c>
      <c r="M445" s="5" t="e">
        <f t="shared" si="219"/>
        <v>#REF!</v>
      </c>
      <c r="N445" s="5" t="e">
        <f t="shared" si="219"/>
        <v>#REF!</v>
      </c>
      <c r="O445" s="5" t="e">
        <f t="shared" si="219"/>
        <v>#REF!</v>
      </c>
      <c r="P445" s="5" t="e">
        <f t="shared" si="219"/>
        <v>#REF!</v>
      </c>
      <c r="Q445" s="5" t="e">
        <f t="shared" si="218"/>
        <v>#REF!</v>
      </c>
      <c r="R445" s="5" t="e">
        <f t="shared" si="218"/>
        <v>#REF!</v>
      </c>
      <c r="S445" s="5" t="e">
        <f t="shared" si="218"/>
        <v>#REF!</v>
      </c>
    </row>
    <row r="446" spans="1:19" x14ac:dyDescent="0.25">
      <c r="A446" s="31" t="e">
        <f>#REF!</f>
        <v>#REF!</v>
      </c>
      <c r="B446" s="31"/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19"/>
        <v>#REF!</v>
      </c>
      <c r="J446" s="5" t="e">
        <f t="shared" si="219"/>
        <v>#REF!</v>
      </c>
      <c r="K446" s="5" t="e">
        <f t="shared" si="219"/>
        <v>#REF!</v>
      </c>
      <c r="L446" s="5" t="e">
        <f t="shared" si="219"/>
        <v>#REF!</v>
      </c>
      <c r="M446" s="5" t="e">
        <f t="shared" si="219"/>
        <v>#REF!</v>
      </c>
      <c r="N446" s="5" t="e">
        <f t="shared" si="219"/>
        <v>#REF!</v>
      </c>
      <c r="O446" s="5" t="e">
        <f t="shared" si="219"/>
        <v>#REF!</v>
      </c>
      <c r="P446" s="5" t="e">
        <f t="shared" si="219"/>
        <v>#REF!</v>
      </c>
      <c r="Q446" s="5" t="e">
        <f t="shared" si="218"/>
        <v>#REF!</v>
      </c>
      <c r="R446" s="5" t="e">
        <f t="shared" si="218"/>
        <v>#REF!</v>
      </c>
      <c r="S446" s="5" t="e">
        <f t="shared" si="218"/>
        <v>#REF!</v>
      </c>
    </row>
    <row r="447" spans="1:19" x14ac:dyDescent="0.25">
      <c r="A447" s="31" t="e">
        <f>#REF!</f>
        <v>#REF!</v>
      </c>
      <c r="B447" s="31"/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19"/>
        <v>#REF!</v>
      </c>
      <c r="J447" s="5" t="e">
        <f t="shared" si="219"/>
        <v>#REF!</v>
      </c>
      <c r="K447" s="5" t="e">
        <f t="shared" si="219"/>
        <v>#REF!</v>
      </c>
      <c r="L447" s="5" t="e">
        <f t="shared" si="219"/>
        <v>#REF!</v>
      </c>
      <c r="M447" s="5" t="e">
        <f t="shared" si="219"/>
        <v>#REF!</v>
      </c>
      <c r="N447" s="5" t="e">
        <f t="shared" si="219"/>
        <v>#REF!</v>
      </c>
      <c r="O447" s="5" t="e">
        <f t="shared" si="219"/>
        <v>#REF!</v>
      </c>
      <c r="P447" s="5" t="e">
        <f t="shared" si="219"/>
        <v>#REF!</v>
      </c>
      <c r="Q447" s="5" t="e">
        <f t="shared" si="218"/>
        <v>#REF!</v>
      </c>
      <c r="R447" s="5" t="e">
        <f t="shared" si="218"/>
        <v>#REF!</v>
      </c>
      <c r="S447" s="5" t="e">
        <f t="shared" si="218"/>
        <v>#REF!</v>
      </c>
    </row>
    <row r="448" spans="1:19" x14ac:dyDescent="0.25">
      <c r="A448" s="31" t="e">
        <f>#REF!</f>
        <v>#REF!</v>
      </c>
      <c r="B448" s="31"/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19"/>
        <v>#REF!</v>
      </c>
      <c r="J448" s="5" t="e">
        <f t="shared" si="219"/>
        <v>#REF!</v>
      </c>
      <c r="K448" s="5" t="e">
        <f t="shared" si="219"/>
        <v>#REF!</v>
      </c>
      <c r="L448" s="5" t="e">
        <f t="shared" si="219"/>
        <v>#REF!</v>
      </c>
      <c r="M448" s="5" t="e">
        <f t="shared" si="219"/>
        <v>#REF!</v>
      </c>
      <c r="N448" s="5" t="e">
        <f t="shared" si="219"/>
        <v>#REF!</v>
      </c>
      <c r="O448" s="5" t="e">
        <f t="shared" si="219"/>
        <v>#REF!</v>
      </c>
      <c r="P448" s="5" t="e">
        <f t="shared" si="219"/>
        <v>#REF!</v>
      </c>
      <c r="Q448" s="5" t="e">
        <f t="shared" si="218"/>
        <v>#REF!</v>
      </c>
      <c r="R448" s="5" t="e">
        <f t="shared" si="218"/>
        <v>#REF!</v>
      </c>
      <c r="S448" s="5" t="e">
        <f t="shared" si="218"/>
        <v>#REF!</v>
      </c>
    </row>
    <row r="449" spans="1:19" x14ac:dyDescent="0.25">
      <c r="A449" s="31" t="e">
        <f>#REF!</f>
        <v>#REF!</v>
      </c>
      <c r="B449" s="31"/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19"/>
        <v>#REF!</v>
      </c>
      <c r="J449" s="5" t="e">
        <f t="shared" si="219"/>
        <v>#REF!</v>
      </c>
      <c r="K449" s="5" t="e">
        <f t="shared" si="219"/>
        <v>#REF!</v>
      </c>
      <c r="L449" s="5" t="e">
        <f t="shared" si="219"/>
        <v>#REF!</v>
      </c>
      <c r="M449" s="5" t="e">
        <f t="shared" si="219"/>
        <v>#REF!</v>
      </c>
      <c r="N449" s="5" t="e">
        <f t="shared" si="219"/>
        <v>#REF!</v>
      </c>
      <c r="O449" s="5" t="e">
        <f t="shared" si="219"/>
        <v>#REF!</v>
      </c>
      <c r="P449" s="5" t="e">
        <f t="shared" si="219"/>
        <v>#REF!</v>
      </c>
      <c r="Q449" s="5" t="e">
        <f t="shared" si="218"/>
        <v>#REF!</v>
      </c>
      <c r="R449" s="5" t="e">
        <f t="shared" si="218"/>
        <v>#REF!</v>
      </c>
      <c r="S449" s="5" t="e">
        <f t="shared" si="218"/>
        <v>#REF!</v>
      </c>
    </row>
    <row r="450" spans="1:19" x14ac:dyDescent="0.25">
      <c r="A450" s="31" t="e">
        <f>#REF!</f>
        <v>#REF!</v>
      </c>
      <c r="B450" s="31"/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19"/>
        <v>#REF!</v>
      </c>
      <c r="J450" s="5" t="e">
        <f t="shared" si="219"/>
        <v>#REF!</v>
      </c>
      <c r="K450" s="5" t="e">
        <f t="shared" si="219"/>
        <v>#REF!</v>
      </c>
      <c r="L450" s="5" t="e">
        <f t="shared" si="219"/>
        <v>#REF!</v>
      </c>
      <c r="M450" s="5" t="e">
        <f t="shared" si="219"/>
        <v>#REF!</v>
      </c>
      <c r="N450" s="5" t="e">
        <f t="shared" si="219"/>
        <v>#REF!</v>
      </c>
      <c r="O450" s="5" t="e">
        <f t="shared" si="219"/>
        <v>#REF!</v>
      </c>
      <c r="P450" s="5" t="e">
        <f t="shared" si="219"/>
        <v>#REF!</v>
      </c>
      <c r="Q450" s="5" t="e">
        <f t="shared" ref="Q450:S464" si="220">P450</f>
        <v>#REF!</v>
      </c>
      <c r="R450" s="5" t="e">
        <f t="shared" si="220"/>
        <v>#REF!</v>
      </c>
      <c r="S450" s="5" t="e">
        <f t="shared" si="220"/>
        <v>#REF!</v>
      </c>
    </row>
    <row r="451" spans="1:19" x14ac:dyDescent="0.25">
      <c r="A451" s="31" t="e">
        <f>#REF!</f>
        <v>#REF!</v>
      </c>
      <c r="B451" s="31"/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si="219"/>
        <v>#REF!</v>
      </c>
      <c r="J451" s="5" t="e">
        <f t="shared" si="219"/>
        <v>#REF!</v>
      </c>
      <c r="K451" s="5" t="e">
        <f t="shared" si="219"/>
        <v>#REF!</v>
      </c>
      <c r="L451" s="5" t="e">
        <f t="shared" si="219"/>
        <v>#REF!</v>
      </c>
      <c r="M451" s="5" t="e">
        <f t="shared" si="219"/>
        <v>#REF!</v>
      </c>
      <c r="N451" s="5" t="e">
        <f t="shared" si="219"/>
        <v>#REF!</v>
      </c>
      <c r="O451" s="5" t="e">
        <f t="shared" si="219"/>
        <v>#REF!</v>
      </c>
      <c r="P451" s="5" t="e">
        <f t="shared" si="219"/>
        <v>#REF!</v>
      </c>
      <c r="Q451" s="5" t="e">
        <f t="shared" si="220"/>
        <v>#REF!</v>
      </c>
      <c r="R451" s="5" t="e">
        <f t="shared" si="220"/>
        <v>#REF!</v>
      </c>
      <c r="S451" s="5" t="e">
        <f t="shared" si="220"/>
        <v>#REF!</v>
      </c>
    </row>
    <row r="452" spans="1:19" x14ac:dyDescent="0.25">
      <c r="A452" s="31" t="e">
        <f>#REF!</f>
        <v>#REF!</v>
      </c>
      <c r="B452" s="31"/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19"/>
        <v>#REF!</v>
      </c>
      <c r="J452" s="5" t="e">
        <f t="shared" si="219"/>
        <v>#REF!</v>
      </c>
      <c r="K452" s="5" t="e">
        <f t="shared" si="219"/>
        <v>#REF!</v>
      </c>
      <c r="L452" s="5" t="e">
        <f t="shared" si="219"/>
        <v>#REF!</v>
      </c>
      <c r="M452" s="5" t="e">
        <f t="shared" si="219"/>
        <v>#REF!</v>
      </c>
      <c r="N452" s="5" t="e">
        <f t="shared" si="219"/>
        <v>#REF!</v>
      </c>
      <c r="O452" s="5" t="e">
        <f t="shared" si="219"/>
        <v>#REF!</v>
      </c>
      <c r="P452" s="5" t="e">
        <f t="shared" si="219"/>
        <v>#REF!</v>
      </c>
      <c r="Q452" s="5" t="e">
        <f t="shared" si="220"/>
        <v>#REF!</v>
      </c>
      <c r="R452" s="5" t="e">
        <f t="shared" si="220"/>
        <v>#REF!</v>
      </c>
      <c r="S452" s="5" t="e">
        <f t="shared" si="220"/>
        <v>#REF!</v>
      </c>
    </row>
    <row r="453" spans="1:19" x14ac:dyDescent="0.25">
      <c r="A453" s="31" t="e">
        <f>#REF!</f>
        <v>#REF!</v>
      </c>
      <c r="B453" s="31"/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19"/>
        <v>#REF!</v>
      </c>
      <c r="J453" s="5" t="e">
        <f t="shared" si="219"/>
        <v>#REF!</v>
      </c>
      <c r="K453" s="5" t="e">
        <f t="shared" si="219"/>
        <v>#REF!</v>
      </c>
      <c r="L453" s="5" t="e">
        <f t="shared" si="219"/>
        <v>#REF!</v>
      </c>
      <c r="M453" s="5" t="e">
        <f t="shared" si="219"/>
        <v>#REF!</v>
      </c>
      <c r="N453" s="5" t="e">
        <f t="shared" si="219"/>
        <v>#REF!</v>
      </c>
      <c r="O453" s="5" t="e">
        <f t="shared" si="219"/>
        <v>#REF!</v>
      </c>
      <c r="P453" s="5" t="e">
        <f t="shared" si="219"/>
        <v>#REF!</v>
      </c>
      <c r="Q453" s="5" t="e">
        <f t="shared" si="220"/>
        <v>#REF!</v>
      </c>
      <c r="R453" s="5" t="e">
        <f t="shared" si="220"/>
        <v>#REF!</v>
      </c>
      <c r="S453" s="5" t="e">
        <f t="shared" si="220"/>
        <v>#REF!</v>
      </c>
    </row>
    <row r="454" spans="1:19" x14ac:dyDescent="0.25">
      <c r="A454" s="31" t="e">
        <f>#REF!</f>
        <v>#REF!</v>
      </c>
      <c r="B454" s="31"/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19"/>
        <v>#REF!</v>
      </c>
      <c r="J454" s="5" t="e">
        <f t="shared" si="219"/>
        <v>#REF!</v>
      </c>
      <c r="K454" s="5" t="e">
        <f t="shared" si="219"/>
        <v>#REF!</v>
      </c>
      <c r="L454" s="5" t="e">
        <f t="shared" si="219"/>
        <v>#REF!</v>
      </c>
      <c r="M454" s="5" t="e">
        <f t="shared" si="219"/>
        <v>#REF!</v>
      </c>
      <c r="N454" s="5" t="e">
        <f t="shared" si="219"/>
        <v>#REF!</v>
      </c>
      <c r="O454" s="5" t="e">
        <f t="shared" si="219"/>
        <v>#REF!</v>
      </c>
      <c r="P454" s="5" t="e">
        <f t="shared" si="219"/>
        <v>#REF!</v>
      </c>
      <c r="Q454" s="5" t="e">
        <f t="shared" si="220"/>
        <v>#REF!</v>
      </c>
      <c r="R454" s="5" t="e">
        <f t="shared" si="220"/>
        <v>#REF!</v>
      </c>
      <c r="S454" s="5" t="e">
        <f t="shared" si="220"/>
        <v>#REF!</v>
      </c>
    </row>
    <row r="455" spans="1:19" x14ac:dyDescent="0.25">
      <c r="A455" s="31" t="e">
        <f>#REF!</f>
        <v>#REF!</v>
      </c>
      <c r="B455" s="31"/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19"/>
        <v>#REF!</v>
      </c>
      <c r="J455" s="5" t="e">
        <f t="shared" si="219"/>
        <v>#REF!</v>
      </c>
      <c r="K455" s="5" t="e">
        <f t="shared" si="219"/>
        <v>#REF!</v>
      </c>
      <c r="L455" s="5" t="e">
        <f t="shared" si="219"/>
        <v>#REF!</v>
      </c>
      <c r="M455" s="5" t="e">
        <f t="shared" si="219"/>
        <v>#REF!</v>
      </c>
      <c r="N455" s="5" t="e">
        <f t="shared" si="219"/>
        <v>#REF!</v>
      </c>
      <c r="O455" s="5" t="e">
        <f t="shared" si="219"/>
        <v>#REF!</v>
      </c>
      <c r="P455" s="5" t="e">
        <f t="shared" si="219"/>
        <v>#REF!</v>
      </c>
      <c r="Q455" s="5" t="e">
        <f t="shared" si="220"/>
        <v>#REF!</v>
      </c>
      <c r="R455" s="5" t="e">
        <f t="shared" si="220"/>
        <v>#REF!</v>
      </c>
      <c r="S455" s="5" t="e">
        <f t="shared" si="220"/>
        <v>#REF!</v>
      </c>
    </row>
    <row r="456" spans="1:19" x14ac:dyDescent="0.25">
      <c r="A456" s="31" t="e">
        <f>#REF!</f>
        <v>#REF!</v>
      </c>
      <c r="B456" s="31"/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19"/>
        <v>#REF!</v>
      </c>
      <c r="J456" s="5" t="e">
        <f t="shared" si="219"/>
        <v>#REF!</v>
      </c>
      <c r="K456" s="5" t="e">
        <f t="shared" si="219"/>
        <v>#REF!</v>
      </c>
      <c r="L456" s="5" t="e">
        <f t="shared" si="219"/>
        <v>#REF!</v>
      </c>
      <c r="M456" s="5" t="e">
        <f t="shared" si="219"/>
        <v>#REF!</v>
      </c>
      <c r="N456" s="5" t="e">
        <f t="shared" si="219"/>
        <v>#REF!</v>
      </c>
      <c r="O456" s="5" t="e">
        <f t="shared" si="219"/>
        <v>#REF!</v>
      </c>
      <c r="P456" s="5" t="e">
        <f t="shared" si="219"/>
        <v>#REF!</v>
      </c>
      <c r="Q456" s="5" t="e">
        <f t="shared" si="220"/>
        <v>#REF!</v>
      </c>
      <c r="R456" s="5" t="e">
        <f t="shared" si="220"/>
        <v>#REF!</v>
      </c>
      <c r="S456" s="5" t="e">
        <f t="shared" si="220"/>
        <v>#REF!</v>
      </c>
    </row>
    <row r="457" spans="1:19" x14ac:dyDescent="0.25">
      <c r="A457" s="31" t="e">
        <f>#REF!</f>
        <v>#REF!</v>
      </c>
      <c r="B457" s="31"/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19"/>
        <v>#REF!</v>
      </c>
      <c r="J457" s="5" t="e">
        <f t="shared" si="219"/>
        <v>#REF!</v>
      </c>
      <c r="K457" s="5" t="e">
        <f t="shared" si="219"/>
        <v>#REF!</v>
      </c>
      <c r="L457" s="5" t="e">
        <f t="shared" si="219"/>
        <v>#REF!</v>
      </c>
      <c r="M457" s="5" t="e">
        <f t="shared" si="219"/>
        <v>#REF!</v>
      </c>
      <c r="N457" s="5" t="e">
        <f t="shared" si="219"/>
        <v>#REF!</v>
      </c>
      <c r="O457" s="5" t="e">
        <f t="shared" si="219"/>
        <v>#REF!</v>
      </c>
      <c r="P457" s="5" t="e">
        <f t="shared" si="219"/>
        <v>#REF!</v>
      </c>
      <c r="Q457" s="5" t="e">
        <f t="shared" si="220"/>
        <v>#REF!</v>
      </c>
      <c r="R457" s="5" t="e">
        <f t="shared" si="220"/>
        <v>#REF!</v>
      </c>
      <c r="S457" s="5" t="e">
        <f t="shared" si="220"/>
        <v>#REF!</v>
      </c>
    </row>
    <row r="458" spans="1:19" x14ac:dyDescent="0.25">
      <c r="A458" s="31" t="e">
        <f>#REF!</f>
        <v>#REF!</v>
      </c>
      <c r="B458" s="31"/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19"/>
        <v>#REF!</v>
      </c>
      <c r="J458" s="5" t="e">
        <f t="shared" si="219"/>
        <v>#REF!</v>
      </c>
      <c r="K458" s="5" t="e">
        <f t="shared" si="219"/>
        <v>#REF!</v>
      </c>
      <c r="L458" s="5" t="e">
        <f t="shared" si="219"/>
        <v>#REF!</v>
      </c>
      <c r="M458" s="5" t="e">
        <f t="shared" si="219"/>
        <v>#REF!</v>
      </c>
      <c r="N458" s="5" t="e">
        <f t="shared" si="219"/>
        <v>#REF!</v>
      </c>
      <c r="O458" s="5" t="e">
        <f t="shared" si="219"/>
        <v>#REF!</v>
      </c>
      <c r="P458" s="5" t="e">
        <f t="shared" si="219"/>
        <v>#REF!</v>
      </c>
      <c r="Q458" s="5" t="e">
        <f t="shared" si="220"/>
        <v>#REF!</v>
      </c>
      <c r="R458" s="5" t="e">
        <f t="shared" si="220"/>
        <v>#REF!</v>
      </c>
      <c r="S458" s="5" t="e">
        <f t="shared" si="220"/>
        <v>#REF!</v>
      </c>
    </row>
    <row r="459" spans="1:19" x14ac:dyDescent="0.25">
      <c r="A459" s="31" t="e">
        <f>#REF!</f>
        <v>#REF!</v>
      </c>
      <c r="B459" s="31"/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19"/>
        <v>#REF!</v>
      </c>
      <c r="J459" s="5" t="e">
        <f t="shared" si="219"/>
        <v>#REF!</v>
      </c>
      <c r="K459" s="5" t="e">
        <f t="shared" si="219"/>
        <v>#REF!</v>
      </c>
      <c r="L459" s="5" t="e">
        <f t="shared" si="219"/>
        <v>#REF!</v>
      </c>
      <c r="M459" s="5" t="e">
        <f t="shared" si="219"/>
        <v>#REF!</v>
      </c>
      <c r="N459" s="5" t="e">
        <f t="shared" si="219"/>
        <v>#REF!</v>
      </c>
      <c r="O459" s="5" t="e">
        <f t="shared" si="219"/>
        <v>#REF!</v>
      </c>
      <c r="P459" s="5" t="e">
        <f t="shared" si="219"/>
        <v>#REF!</v>
      </c>
      <c r="Q459" s="5" t="e">
        <f t="shared" si="220"/>
        <v>#REF!</v>
      </c>
      <c r="R459" s="5" t="e">
        <f t="shared" si="220"/>
        <v>#REF!</v>
      </c>
      <c r="S459" s="5" t="e">
        <f t="shared" si="220"/>
        <v>#REF!</v>
      </c>
    </row>
    <row r="460" spans="1:19" x14ac:dyDescent="0.25">
      <c r="A460" s="31" t="e">
        <f>#REF!</f>
        <v>#REF!</v>
      </c>
      <c r="B460" s="31"/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19"/>
        <v>#REF!</v>
      </c>
      <c r="J460" s="5" t="e">
        <f t="shared" si="219"/>
        <v>#REF!</v>
      </c>
      <c r="K460" s="5" t="e">
        <f t="shared" si="219"/>
        <v>#REF!</v>
      </c>
      <c r="L460" s="5" t="e">
        <f t="shared" si="219"/>
        <v>#REF!</v>
      </c>
      <c r="M460" s="5" t="e">
        <f t="shared" si="219"/>
        <v>#REF!</v>
      </c>
      <c r="N460" s="5" t="e">
        <f t="shared" si="219"/>
        <v>#REF!</v>
      </c>
      <c r="O460" s="5" t="e">
        <f t="shared" si="219"/>
        <v>#REF!</v>
      </c>
      <c r="P460" s="5" t="e">
        <f t="shared" si="219"/>
        <v>#REF!</v>
      </c>
      <c r="Q460" s="5" t="e">
        <f t="shared" si="220"/>
        <v>#REF!</v>
      </c>
      <c r="R460" s="5" t="e">
        <f t="shared" si="220"/>
        <v>#REF!</v>
      </c>
      <c r="S460" s="5" t="e">
        <f t="shared" si="220"/>
        <v>#REF!</v>
      </c>
    </row>
    <row r="461" spans="1:19" x14ac:dyDescent="0.25">
      <c r="A461" s="31" t="e">
        <f>#REF!</f>
        <v>#REF!</v>
      </c>
      <c r="B461" s="31"/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19"/>
        <v>#REF!</v>
      </c>
      <c r="J461" s="5" t="e">
        <f t="shared" si="219"/>
        <v>#REF!</v>
      </c>
      <c r="K461" s="5" t="e">
        <f t="shared" si="219"/>
        <v>#REF!</v>
      </c>
      <c r="L461" s="5" t="e">
        <f t="shared" si="219"/>
        <v>#REF!</v>
      </c>
      <c r="M461" s="5" t="e">
        <f t="shared" si="219"/>
        <v>#REF!</v>
      </c>
      <c r="N461" s="5" t="e">
        <f t="shared" si="219"/>
        <v>#REF!</v>
      </c>
      <c r="O461" s="5" t="e">
        <f t="shared" si="219"/>
        <v>#REF!</v>
      </c>
      <c r="P461" s="5" t="e">
        <f t="shared" si="219"/>
        <v>#REF!</v>
      </c>
      <c r="Q461" s="5" t="e">
        <f t="shared" si="220"/>
        <v>#REF!</v>
      </c>
      <c r="R461" s="5" t="e">
        <f t="shared" si="220"/>
        <v>#REF!</v>
      </c>
      <c r="S461" s="5" t="e">
        <f t="shared" si="220"/>
        <v>#REF!</v>
      </c>
    </row>
    <row r="462" spans="1:19" x14ac:dyDescent="0.25">
      <c r="A462" s="31" t="e">
        <f>#REF!</f>
        <v>#REF!</v>
      </c>
      <c r="B462" s="31"/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19"/>
        <v>#REF!</v>
      </c>
      <c r="J462" s="5" t="e">
        <f t="shared" si="219"/>
        <v>#REF!</v>
      </c>
      <c r="K462" s="5" t="e">
        <f t="shared" si="219"/>
        <v>#REF!</v>
      </c>
      <c r="L462" s="5" t="e">
        <f t="shared" si="219"/>
        <v>#REF!</v>
      </c>
      <c r="M462" s="5" t="e">
        <f t="shared" si="219"/>
        <v>#REF!</v>
      </c>
      <c r="N462" s="5" t="e">
        <f t="shared" si="219"/>
        <v>#REF!</v>
      </c>
      <c r="O462" s="5" t="e">
        <f t="shared" si="219"/>
        <v>#REF!</v>
      </c>
      <c r="P462" s="5" t="e">
        <f t="shared" si="219"/>
        <v>#REF!</v>
      </c>
      <c r="Q462" s="5" t="e">
        <f t="shared" si="220"/>
        <v>#REF!</v>
      </c>
      <c r="R462" s="5" t="e">
        <f t="shared" si="220"/>
        <v>#REF!</v>
      </c>
      <c r="S462" s="5" t="e">
        <f t="shared" si="220"/>
        <v>#REF!</v>
      </c>
    </row>
    <row r="463" spans="1:19" x14ac:dyDescent="0.25">
      <c r="A463" s="31" t="e">
        <f>#REF!</f>
        <v>#REF!</v>
      </c>
      <c r="B463" s="31"/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19"/>
        <v>#REF!</v>
      </c>
      <c r="J463" s="5" t="e">
        <f t="shared" si="219"/>
        <v>#REF!</v>
      </c>
      <c r="K463" s="5" t="e">
        <f t="shared" si="219"/>
        <v>#REF!</v>
      </c>
      <c r="L463" s="5" t="e">
        <f t="shared" si="219"/>
        <v>#REF!</v>
      </c>
      <c r="M463" s="5" t="e">
        <f t="shared" si="219"/>
        <v>#REF!</v>
      </c>
      <c r="N463" s="5" t="e">
        <f t="shared" si="219"/>
        <v>#REF!</v>
      </c>
      <c r="O463" s="5" t="e">
        <f t="shared" si="219"/>
        <v>#REF!</v>
      </c>
      <c r="P463" s="5" t="e">
        <f t="shared" si="219"/>
        <v>#REF!</v>
      </c>
      <c r="Q463" s="5" t="e">
        <f t="shared" si="220"/>
        <v>#REF!</v>
      </c>
      <c r="R463" s="5" t="e">
        <f t="shared" si="220"/>
        <v>#REF!</v>
      </c>
      <c r="S463" s="5" t="e">
        <f t="shared" si="220"/>
        <v>#REF!</v>
      </c>
    </row>
    <row r="464" spans="1:19" x14ac:dyDescent="0.25">
      <c r="A464" s="31" t="e">
        <f>#REF!</f>
        <v>#REF!</v>
      </c>
      <c r="B464" s="31"/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19"/>
        <v>#REF!</v>
      </c>
      <c r="J464" s="5" t="e">
        <f t="shared" si="219"/>
        <v>#REF!</v>
      </c>
      <c r="K464" s="5" t="e">
        <f t="shared" si="219"/>
        <v>#REF!</v>
      </c>
      <c r="L464" s="5" t="e">
        <f t="shared" si="219"/>
        <v>#REF!</v>
      </c>
      <c r="M464" s="5" t="e">
        <f t="shared" si="219"/>
        <v>#REF!</v>
      </c>
      <c r="N464" s="5" t="e">
        <f t="shared" si="219"/>
        <v>#REF!</v>
      </c>
      <c r="O464" s="5" t="e">
        <f t="shared" si="219"/>
        <v>#REF!</v>
      </c>
      <c r="P464" s="5" t="e">
        <f t="shared" si="219"/>
        <v>#REF!</v>
      </c>
      <c r="Q464" s="5" t="e">
        <f t="shared" si="220"/>
        <v>#REF!</v>
      </c>
      <c r="R464" s="5" t="e">
        <f t="shared" si="220"/>
        <v>#REF!</v>
      </c>
      <c r="S464" s="5" t="e">
        <f t="shared" si="220"/>
        <v>#REF!</v>
      </c>
    </row>
    <row r="465" spans="1:19" x14ac:dyDescent="0.25">
      <c r="A465" s="31" t="e">
        <f>#REF!</f>
        <v>#REF!</v>
      </c>
      <c r="B465" s="31"/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19"/>
        <v>#REF!</v>
      </c>
      <c r="J465" s="5" t="e">
        <f t="shared" si="219"/>
        <v>#REF!</v>
      </c>
      <c r="K465" s="5" t="e">
        <f t="shared" si="219"/>
        <v>#REF!</v>
      </c>
      <c r="L465" s="5" t="e">
        <f t="shared" si="219"/>
        <v>#REF!</v>
      </c>
      <c r="M465" s="5" t="e">
        <f t="shared" si="219"/>
        <v>#REF!</v>
      </c>
      <c r="N465" s="5" t="e">
        <f t="shared" si="219"/>
        <v>#REF!</v>
      </c>
      <c r="O465" s="5" t="e">
        <f t="shared" si="219"/>
        <v>#REF!</v>
      </c>
      <c r="P465" s="5" t="e">
        <f t="shared" ref="J465:P473" si="221">O465</f>
        <v>#REF!</v>
      </c>
      <c r="Q465" s="5" t="e">
        <f t="shared" ref="Q465:S465" si="222">P465</f>
        <v>#REF!</v>
      </c>
      <c r="R465" s="5" t="e">
        <f t="shared" si="222"/>
        <v>#REF!</v>
      </c>
      <c r="S465" s="5" t="e">
        <f t="shared" si="222"/>
        <v>#REF!</v>
      </c>
    </row>
    <row r="466" spans="1:19" x14ac:dyDescent="0.25">
      <c r="A466" s="31" t="e">
        <f>#REF!</f>
        <v>#REF!</v>
      </c>
      <c r="B466" s="31"/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19"/>
        <v>#REF!</v>
      </c>
      <c r="J466" s="5" t="e">
        <f t="shared" si="221"/>
        <v>#REF!</v>
      </c>
      <c r="K466" s="5" t="e">
        <f t="shared" si="221"/>
        <v>#REF!</v>
      </c>
      <c r="L466" s="5" t="e">
        <f t="shared" si="221"/>
        <v>#REF!</v>
      </c>
      <c r="M466" s="5" t="e">
        <f t="shared" si="221"/>
        <v>#REF!</v>
      </c>
      <c r="N466" s="5" t="e">
        <f t="shared" si="221"/>
        <v>#REF!</v>
      </c>
      <c r="O466" s="5" t="e">
        <f t="shared" si="221"/>
        <v>#REF!</v>
      </c>
      <c r="P466" s="5" t="e">
        <f t="shared" si="221"/>
        <v>#REF!</v>
      </c>
      <c r="Q466" s="5" t="e">
        <f t="shared" ref="Q466:S466" si="223">P466</f>
        <v>#REF!</v>
      </c>
      <c r="R466" s="5" t="e">
        <f t="shared" si="223"/>
        <v>#REF!</v>
      </c>
      <c r="S466" s="5" t="e">
        <f t="shared" si="223"/>
        <v>#REF!</v>
      </c>
    </row>
    <row r="467" spans="1:19" x14ac:dyDescent="0.25">
      <c r="A467" s="31" t="e">
        <f>#REF!</f>
        <v>#REF!</v>
      </c>
      <c r="B467" s="31"/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si="219"/>
        <v>#REF!</v>
      </c>
      <c r="J467" s="5" t="e">
        <f t="shared" si="221"/>
        <v>#REF!</v>
      </c>
      <c r="K467" s="5" t="e">
        <f t="shared" si="221"/>
        <v>#REF!</v>
      </c>
      <c r="L467" s="5" t="e">
        <f t="shared" si="221"/>
        <v>#REF!</v>
      </c>
      <c r="M467" s="5" t="e">
        <f t="shared" si="221"/>
        <v>#REF!</v>
      </c>
      <c r="N467" s="5" t="e">
        <f t="shared" si="221"/>
        <v>#REF!</v>
      </c>
      <c r="O467" s="5" t="e">
        <f t="shared" si="221"/>
        <v>#REF!</v>
      </c>
      <c r="P467" s="5" t="e">
        <f t="shared" si="221"/>
        <v>#REF!</v>
      </c>
      <c r="Q467" s="5" t="e">
        <f t="shared" ref="Q467:S467" si="224">P467</f>
        <v>#REF!</v>
      </c>
      <c r="R467" s="5" t="e">
        <f t="shared" si="224"/>
        <v>#REF!</v>
      </c>
      <c r="S467" s="5" t="e">
        <f t="shared" si="224"/>
        <v>#REF!</v>
      </c>
    </row>
    <row r="468" spans="1:19" x14ac:dyDescent="0.25">
      <c r="A468" s="31" t="e">
        <f>#REF!</f>
        <v>#REF!</v>
      </c>
      <c r="B468" s="31"/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219"/>
        <v>#REF!</v>
      </c>
      <c r="J468" s="5" t="e">
        <f t="shared" si="221"/>
        <v>#REF!</v>
      </c>
      <c r="K468" s="5" t="e">
        <f t="shared" si="221"/>
        <v>#REF!</v>
      </c>
      <c r="L468" s="5" t="e">
        <f t="shared" si="221"/>
        <v>#REF!</v>
      </c>
      <c r="M468" s="5" t="e">
        <f t="shared" si="221"/>
        <v>#REF!</v>
      </c>
      <c r="N468" s="5" t="e">
        <f t="shared" si="221"/>
        <v>#REF!</v>
      </c>
      <c r="O468" s="5" t="e">
        <f t="shared" si="221"/>
        <v>#REF!</v>
      </c>
      <c r="P468" s="5" t="e">
        <f t="shared" si="221"/>
        <v>#REF!</v>
      </c>
      <c r="Q468" s="5" t="e">
        <f t="shared" ref="Q468:S468" si="225">P468</f>
        <v>#REF!</v>
      </c>
      <c r="R468" s="5" t="e">
        <f t="shared" si="225"/>
        <v>#REF!</v>
      </c>
      <c r="S468" s="5" t="e">
        <f t="shared" si="225"/>
        <v>#REF!</v>
      </c>
    </row>
    <row r="469" spans="1:19" x14ac:dyDescent="0.25">
      <c r="A469" s="31" t="e">
        <f>#REF!</f>
        <v>#REF!</v>
      </c>
      <c r="B469" s="31"/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219"/>
        <v>#REF!</v>
      </c>
      <c r="J469" s="5" t="e">
        <f t="shared" si="221"/>
        <v>#REF!</v>
      </c>
      <c r="K469" s="5" t="e">
        <f t="shared" si="221"/>
        <v>#REF!</v>
      </c>
      <c r="L469" s="5" t="e">
        <f t="shared" si="221"/>
        <v>#REF!</v>
      </c>
      <c r="M469" s="5" t="e">
        <f t="shared" si="221"/>
        <v>#REF!</v>
      </c>
      <c r="N469" s="5" t="e">
        <f t="shared" si="221"/>
        <v>#REF!</v>
      </c>
      <c r="O469" s="5" t="e">
        <f t="shared" si="221"/>
        <v>#REF!</v>
      </c>
      <c r="P469" s="5" t="e">
        <f t="shared" si="221"/>
        <v>#REF!</v>
      </c>
      <c r="Q469" s="5" t="e">
        <f t="shared" ref="Q469:S469" si="226">P469</f>
        <v>#REF!</v>
      </c>
      <c r="R469" s="5" t="e">
        <f t="shared" si="226"/>
        <v>#REF!</v>
      </c>
      <c r="S469" s="5" t="e">
        <f t="shared" si="226"/>
        <v>#REF!</v>
      </c>
    </row>
    <row r="470" spans="1:19" x14ac:dyDescent="0.25">
      <c r="A470" s="31" t="e">
        <f>#REF!</f>
        <v>#REF!</v>
      </c>
      <c r="B470" s="31"/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219"/>
        <v>#REF!</v>
      </c>
      <c r="J470" s="5" t="e">
        <f t="shared" si="221"/>
        <v>#REF!</v>
      </c>
      <c r="K470" s="5" t="e">
        <f t="shared" si="221"/>
        <v>#REF!</v>
      </c>
      <c r="L470" s="5" t="e">
        <f t="shared" si="221"/>
        <v>#REF!</v>
      </c>
      <c r="M470" s="5" t="e">
        <f t="shared" si="221"/>
        <v>#REF!</v>
      </c>
      <c r="N470" s="5" t="e">
        <f t="shared" si="221"/>
        <v>#REF!</v>
      </c>
      <c r="O470" s="5" t="e">
        <f t="shared" si="221"/>
        <v>#REF!</v>
      </c>
      <c r="P470" s="5" t="e">
        <f t="shared" si="221"/>
        <v>#REF!</v>
      </c>
      <c r="Q470" s="5" t="e">
        <f t="shared" ref="Q470:S470" si="227">P470</f>
        <v>#REF!</v>
      </c>
      <c r="R470" s="5" t="e">
        <f t="shared" si="227"/>
        <v>#REF!</v>
      </c>
      <c r="S470" s="5" t="e">
        <f t="shared" si="227"/>
        <v>#REF!</v>
      </c>
    </row>
    <row r="471" spans="1:19" x14ac:dyDescent="0.25">
      <c r="A471" s="31" t="e">
        <f>#REF!</f>
        <v>#REF!</v>
      </c>
      <c r="B471" s="31"/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219"/>
        <v>#REF!</v>
      </c>
      <c r="J471" s="5" t="e">
        <f t="shared" si="221"/>
        <v>#REF!</v>
      </c>
      <c r="K471" s="5" t="e">
        <f t="shared" si="221"/>
        <v>#REF!</v>
      </c>
      <c r="L471" s="5" t="e">
        <f t="shared" si="221"/>
        <v>#REF!</v>
      </c>
      <c r="M471" s="5" t="e">
        <f t="shared" si="221"/>
        <v>#REF!</v>
      </c>
      <c r="N471" s="5" t="e">
        <f t="shared" si="221"/>
        <v>#REF!</v>
      </c>
      <c r="O471" s="5" t="e">
        <f t="shared" si="221"/>
        <v>#REF!</v>
      </c>
      <c r="P471" s="5" t="e">
        <f t="shared" si="221"/>
        <v>#REF!</v>
      </c>
      <c r="Q471" s="5" t="e">
        <f t="shared" ref="Q471:S471" si="228">P471</f>
        <v>#REF!</v>
      </c>
      <c r="R471" s="5" t="e">
        <f t="shared" si="228"/>
        <v>#REF!</v>
      </c>
      <c r="S471" s="5" t="e">
        <f t="shared" si="228"/>
        <v>#REF!</v>
      </c>
    </row>
    <row r="472" spans="1:19" x14ac:dyDescent="0.25">
      <c r="A472" s="31" t="e">
        <f>#REF!</f>
        <v>#REF!</v>
      </c>
      <c r="B472" s="31"/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219"/>
        <v>#REF!</v>
      </c>
      <c r="J472" s="5" t="e">
        <f t="shared" si="221"/>
        <v>#REF!</v>
      </c>
      <c r="K472" s="5" t="e">
        <f t="shared" si="221"/>
        <v>#REF!</v>
      </c>
      <c r="L472" s="5" t="e">
        <f t="shared" si="221"/>
        <v>#REF!</v>
      </c>
      <c r="M472" s="5" t="e">
        <f t="shared" si="221"/>
        <v>#REF!</v>
      </c>
      <c r="N472" s="5" t="e">
        <f t="shared" si="221"/>
        <v>#REF!</v>
      </c>
      <c r="O472" s="5" t="e">
        <f t="shared" si="221"/>
        <v>#REF!</v>
      </c>
      <c r="P472" s="5" t="e">
        <f t="shared" si="221"/>
        <v>#REF!</v>
      </c>
      <c r="Q472" s="5" t="e">
        <f t="shared" ref="Q472:S472" si="229">P472</f>
        <v>#REF!</v>
      </c>
      <c r="R472" s="5" t="e">
        <f t="shared" si="229"/>
        <v>#REF!</v>
      </c>
      <c r="S472" s="5" t="e">
        <f t="shared" si="229"/>
        <v>#REF!</v>
      </c>
    </row>
    <row r="473" spans="1:19" x14ac:dyDescent="0.25">
      <c r="A473" s="31" t="e">
        <f>#REF!</f>
        <v>#REF!</v>
      </c>
      <c r="B473" s="31"/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219"/>
        <v>#REF!</v>
      </c>
      <c r="J473" s="5" t="e">
        <f t="shared" si="221"/>
        <v>#REF!</v>
      </c>
      <c r="K473" s="5" t="e">
        <f t="shared" si="221"/>
        <v>#REF!</v>
      </c>
      <c r="L473" s="5" t="e">
        <f t="shared" si="221"/>
        <v>#REF!</v>
      </c>
      <c r="M473" s="5" t="e">
        <f t="shared" si="221"/>
        <v>#REF!</v>
      </c>
      <c r="N473" s="5" t="e">
        <f t="shared" si="221"/>
        <v>#REF!</v>
      </c>
      <c r="O473" s="5" t="e">
        <f t="shared" si="221"/>
        <v>#REF!</v>
      </c>
      <c r="P473" s="5" t="e">
        <f t="shared" si="221"/>
        <v>#REF!</v>
      </c>
      <c r="Q473" s="5" t="e">
        <f t="shared" ref="Q473:S473" si="230">P473</f>
        <v>#REF!</v>
      </c>
      <c r="R473" s="5" t="e">
        <f t="shared" si="230"/>
        <v>#REF!</v>
      </c>
      <c r="S473" s="5" t="e">
        <f t="shared" si="230"/>
        <v>#REF!</v>
      </c>
    </row>
    <row r="474" spans="1:19" x14ac:dyDescent="0.25">
      <c r="A474" s="31"/>
    </row>
    <row r="475" spans="1:19" x14ac:dyDescent="0.25">
      <c r="A475" s="31"/>
    </row>
    <row r="476" spans="1:19" x14ac:dyDescent="0.25">
      <c r="A476" s="31"/>
    </row>
    <row r="477" spans="1:19" x14ac:dyDescent="0.25">
      <c r="A477" s="31"/>
    </row>
    <row r="478" spans="1:19" x14ac:dyDescent="0.25">
      <c r="A478" s="31"/>
    </row>
    <row r="479" spans="1:19" x14ac:dyDescent="0.25">
      <c r="A479" s="31"/>
    </row>
    <row r="480" spans="1:19" x14ac:dyDescent="0.25">
      <c r="A480" s="31"/>
    </row>
    <row r="481" spans="1:1" x14ac:dyDescent="0.25">
      <c r="A481" s="31"/>
    </row>
    <row r="482" spans="1:1" x14ac:dyDescent="0.25">
      <c r="A482" s="31"/>
    </row>
    <row r="483" spans="1:1" x14ac:dyDescent="0.25">
      <c r="A483" s="31"/>
    </row>
    <row r="484" spans="1:1" x14ac:dyDescent="0.25">
      <c r="A484" s="31"/>
    </row>
    <row r="485" spans="1:1" x14ac:dyDescent="0.25">
      <c r="A485" s="31"/>
    </row>
    <row r="486" spans="1:1" x14ac:dyDescent="0.25">
      <c r="A486" s="31"/>
    </row>
    <row r="487" spans="1:1" x14ac:dyDescent="0.25">
      <c r="A487" s="31"/>
    </row>
    <row r="488" spans="1:1" x14ac:dyDescent="0.25">
      <c r="A488" s="31"/>
    </row>
    <row r="489" spans="1:1" x14ac:dyDescent="0.25">
      <c r="A489" s="31"/>
    </row>
    <row r="490" spans="1:1" x14ac:dyDescent="0.25">
      <c r="A490" s="31"/>
    </row>
    <row r="491" spans="1:1" x14ac:dyDescent="0.25">
      <c r="A491" s="31"/>
    </row>
    <row r="492" spans="1:1" x14ac:dyDescent="0.25">
      <c r="A492" s="31"/>
    </row>
    <row r="493" spans="1:1" x14ac:dyDescent="0.25">
      <c r="A493" s="31"/>
    </row>
    <row r="494" spans="1:1" x14ac:dyDescent="0.25">
      <c r="A494" s="31"/>
    </row>
    <row r="495" spans="1:1" x14ac:dyDescent="0.25">
      <c r="A495" s="31"/>
    </row>
    <row r="496" spans="1:1" x14ac:dyDescent="0.25">
      <c r="A496" s="31"/>
    </row>
    <row r="497" spans="1:1" x14ac:dyDescent="0.25">
      <c r="A497" s="31"/>
    </row>
    <row r="498" spans="1:1" x14ac:dyDescent="0.25">
      <c r="A498" s="31"/>
    </row>
    <row r="499" spans="1:1" x14ac:dyDescent="0.25">
      <c r="A499" s="31"/>
    </row>
    <row r="500" spans="1:1" x14ac:dyDescent="0.25">
      <c r="A500" s="31"/>
    </row>
    <row r="501" spans="1:1" x14ac:dyDescent="0.25">
      <c r="A501" s="31"/>
    </row>
    <row r="502" spans="1:1" x14ac:dyDescent="0.25">
      <c r="A502" s="31"/>
    </row>
    <row r="503" spans="1:1" x14ac:dyDescent="0.25">
      <c r="A503" s="31"/>
    </row>
    <row r="504" spans="1:1" x14ac:dyDescent="0.25">
      <c r="A504" s="31"/>
    </row>
    <row r="505" spans="1:1" x14ac:dyDescent="0.25">
      <c r="A505" s="31"/>
    </row>
    <row r="506" spans="1:1" x14ac:dyDescent="0.25">
      <c r="A506" s="31"/>
    </row>
    <row r="507" spans="1:1" x14ac:dyDescent="0.25">
      <c r="A507" s="31"/>
    </row>
    <row r="508" spans="1:1" x14ac:dyDescent="0.25">
      <c r="A508" s="31"/>
    </row>
    <row r="509" spans="1:1" x14ac:dyDescent="0.25">
      <c r="A509" s="31"/>
    </row>
    <row r="510" spans="1:1" x14ac:dyDescent="0.25">
      <c r="A510" s="31"/>
    </row>
    <row r="511" spans="1:1" x14ac:dyDescent="0.25">
      <c r="A511" s="31"/>
    </row>
    <row r="512" spans="1:1" x14ac:dyDescent="0.25">
      <c r="A512" s="31"/>
    </row>
    <row r="513" spans="1:1" x14ac:dyDescent="0.25">
      <c r="A513" s="31"/>
    </row>
    <row r="514" spans="1:1" x14ac:dyDescent="0.25">
      <c r="A514" s="31"/>
    </row>
    <row r="515" spans="1:1" x14ac:dyDescent="0.25">
      <c r="A515" s="31"/>
    </row>
    <row r="516" spans="1:1" x14ac:dyDescent="0.25">
      <c r="A516" s="31"/>
    </row>
    <row r="517" spans="1:1" x14ac:dyDescent="0.25">
      <c r="A517" s="31"/>
    </row>
    <row r="518" spans="1:1" x14ac:dyDescent="0.25">
      <c r="A518" s="31"/>
    </row>
    <row r="519" spans="1:1" x14ac:dyDescent="0.25">
      <c r="A519" s="31"/>
    </row>
    <row r="520" spans="1:1" x14ac:dyDescent="0.25">
      <c r="A520" s="31"/>
    </row>
    <row r="521" spans="1:1" x14ac:dyDescent="0.25">
      <c r="A521" s="31"/>
    </row>
    <row r="522" spans="1:1" x14ac:dyDescent="0.25">
      <c r="A522" s="31"/>
    </row>
    <row r="523" spans="1:1" x14ac:dyDescent="0.25">
      <c r="A523" s="31"/>
    </row>
    <row r="524" spans="1:1" x14ac:dyDescent="0.25">
      <c r="A524" s="31"/>
    </row>
    <row r="525" spans="1:1" x14ac:dyDescent="0.25">
      <c r="A525" s="31"/>
    </row>
    <row r="526" spans="1:1" x14ac:dyDescent="0.25">
      <c r="A526" s="31"/>
    </row>
    <row r="527" spans="1:1" x14ac:dyDescent="0.25">
      <c r="A527" s="31"/>
    </row>
    <row r="528" spans="1:1" x14ac:dyDescent="0.25">
      <c r="A528" s="31"/>
    </row>
    <row r="529" spans="1:1" x14ac:dyDescent="0.25">
      <c r="A529" s="31"/>
    </row>
    <row r="530" spans="1:1" x14ac:dyDescent="0.25">
      <c r="A530" s="31"/>
    </row>
    <row r="531" spans="1:1" x14ac:dyDescent="0.25">
      <c r="A531" s="31"/>
    </row>
    <row r="532" spans="1:1" x14ac:dyDescent="0.25">
      <c r="A532" s="31"/>
    </row>
    <row r="533" spans="1:1" x14ac:dyDescent="0.25">
      <c r="A533" s="31"/>
    </row>
    <row r="534" spans="1:1" x14ac:dyDescent="0.25">
      <c r="A534" s="31"/>
    </row>
    <row r="535" spans="1:1" x14ac:dyDescent="0.25">
      <c r="A535" s="31"/>
    </row>
    <row r="536" spans="1:1" x14ac:dyDescent="0.25">
      <c r="A536" s="31"/>
    </row>
    <row r="537" spans="1:1" x14ac:dyDescent="0.25">
      <c r="A537" s="31"/>
    </row>
    <row r="538" spans="1:1" x14ac:dyDescent="0.25">
      <c r="A538" s="31"/>
    </row>
    <row r="539" spans="1:1" x14ac:dyDescent="0.25">
      <c r="A539" s="31"/>
    </row>
    <row r="540" spans="1:1" x14ac:dyDescent="0.25">
      <c r="A540" s="31"/>
    </row>
    <row r="541" spans="1:1" x14ac:dyDescent="0.25">
      <c r="A541" s="31"/>
    </row>
    <row r="542" spans="1:1" x14ac:dyDescent="0.25">
      <c r="A542" s="31"/>
    </row>
    <row r="543" spans="1:1" x14ac:dyDescent="0.25">
      <c r="A543" s="31"/>
    </row>
    <row r="544" spans="1:1" x14ac:dyDescent="0.25">
      <c r="A544" s="31"/>
    </row>
    <row r="545" spans="1:1" x14ac:dyDescent="0.25">
      <c r="A545" s="31"/>
    </row>
    <row r="546" spans="1:1" x14ac:dyDescent="0.25">
      <c r="A546" s="31"/>
    </row>
    <row r="547" spans="1:1" x14ac:dyDescent="0.25">
      <c r="A547" s="31"/>
    </row>
    <row r="548" spans="1:1" x14ac:dyDescent="0.25">
      <c r="A548" s="31"/>
    </row>
    <row r="549" spans="1:1" x14ac:dyDescent="0.25">
      <c r="A549" s="31"/>
    </row>
    <row r="550" spans="1:1" x14ac:dyDescent="0.25">
      <c r="A550" s="31"/>
    </row>
    <row r="551" spans="1:1" x14ac:dyDescent="0.25">
      <c r="A551" s="31"/>
    </row>
    <row r="552" spans="1:1" x14ac:dyDescent="0.25">
      <c r="A552" s="31"/>
    </row>
    <row r="553" spans="1:1" x14ac:dyDescent="0.25">
      <c r="A553" s="31"/>
    </row>
    <row r="554" spans="1:1" x14ac:dyDescent="0.25">
      <c r="A554" s="31"/>
    </row>
    <row r="555" spans="1:1" x14ac:dyDescent="0.25">
      <c r="A555" s="31"/>
    </row>
    <row r="556" spans="1:1" x14ac:dyDescent="0.25">
      <c r="A556" s="31"/>
    </row>
    <row r="557" spans="1:1" x14ac:dyDescent="0.25">
      <c r="A557" s="31"/>
    </row>
    <row r="558" spans="1:1" x14ac:dyDescent="0.25">
      <c r="A558" s="31"/>
    </row>
    <row r="559" spans="1:1" x14ac:dyDescent="0.25">
      <c r="A559" s="31"/>
    </row>
    <row r="560" spans="1:1" x14ac:dyDescent="0.25">
      <c r="A560" s="31"/>
    </row>
    <row r="561" spans="1:1" x14ac:dyDescent="0.25">
      <c r="A561" s="31"/>
    </row>
    <row r="562" spans="1:1" x14ac:dyDescent="0.25">
      <c r="A562" s="31"/>
    </row>
    <row r="563" spans="1:1" x14ac:dyDescent="0.25">
      <c r="A563" s="31"/>
    </row>
    <row r="564" spans="1:1" x14ac:dyDescent="0.25">
      <c r="A564" s="31"/>
    </row>
    <row r="565" spans="1:1" x14ac:dyDescent="0.25">
      <c r="A565" s="31"/>
    </row>
    <row r="566" spans="1:1" x14ac:dyDescent="0.25">
      <c r="A566" s="31"/>
    </row>
    <row r="567" spans="1:1" x14ac:dyDescent="0.25">
      <c r="A567" s="31"/>
    </row>
    <row r="568" spans="1:1" x14ac:dyDescent="0.25">
      <c r="A568" s="31"/>
    </row>
    <row r="569" spans="1:1" x14ac:dyDescent="0.25">
      <c r="A569" s="31"/>
    </row>
    <row r="570" spans="1:1" x14ac:dyDescent="0.25">
      <c r="A570" s="31"/>
    </row>
    <row r="571" spans="1:1" x14ac:dyDescent="0.25">
      <c r="A571" s="31"/>
    </row>
    <row r="572" spans="1:1" x14ac:dyDescent="0.25">
      <c r="A572" s="31"/>
    </row>
    <row r="573" spans="1:1" x14ac:dyDescent="0.25">
      <c r="A573" s="31"/>
    </row>
    <row r="574" spans="1:1" x14ac:dyDescent="0.25">
      <c r="A574" s="31"/>
    </row>
    <row r="575" spans="1:1" x14ac:dyDescent="0.25">
      <c r="A575" s="31"/>
    </row>
    <row r="576" spans="1:1" x14ac:dyDescent="0.25">
      <c r="A576" s="31"/>
    </row>
    <row r="577" spans="1:1" x14ac:dyDescent="0.25">
      <c r="A577" s="31"/>
    </row>
    <row r="578" spans="1:1" x14ac:dyDescent="0.25">
      <c r="A578" s="31"/>
    </row>
    <row r="579" spans="1:1" x14ac:dyDescent="0.25">
      <c r="A579" s="31"/>
    </row>
    <row r="580" spans="1:1" x14ac:dyDescent="0.25">
      <c r="A580" s="31"/>
    </row>
    <row r="581" spans="1:1" x14ac:dyDescent="0.25">
      <c r="A581" s="31"/>
    </row>
    <row r="582" spans="1:1" x14ac:dyDescent="0.25">
      <c r="A582" s="31"/>
    </row>
    <row r="583" spans="1:1" x14ac:dyDescent="0.25">
      <c r="A583" s="31"/>
    </row>
    <row r="584" spans="1:1" x14ac:dyDescent="0.25">
      <c r="A584" s="31"/>
    </row>
    <row r="585" spans="1:1" x14ac:dyDescent="0.25">
      <c r="A585" s="31"/>
    </row>
    <row r="586" spans="1:1" x14ac:dyDescent="0.25">
      <c r="A586" s="31"/>
    </row>
    <row r="587" spans="1:1" x14ac:dyDescent="0.25">
      <c r="A587" s="31"/>
    </row>
    <row r="588" spans="1:1" x14ac:dyDescent="0.25">
      <c r="A588" s="31"/>
    </row>
    <row r="589" spans="1:1" x14ac:dyDescent="0.25">
      <c r="A589" s="31"/>
    </row>
    <row r="590" spans="1:1" x14ac:dyDescent="0.25">
      <c r="A590" s="31"/>
    </row>
    <row r="591" spans="1:1" x14ac:dyDescent="0.25">
      <c r="A591" s="31"/>
    </row>
    <row r="592" spans="1:1" x14ac:dyDescent="0.25">
      <c r="A592" s="31"/>
    </row>
    <row r="593" spans="1:1" x14ac:dyDescent="0.25">
      <c r="A593" s="31"/>
    </row>
    <row r="594" spans="1:1" x14ac:dyDescent="0.25">
      <c r="A594" s="31"/>
    </row>
    <row r="595" spans="1:1" x14ac:dyDescent="0.25">
      <c r="A595" s="31"/>
    </row>
    <row r="596" spans="1:1" x14ac:dyDescent="0.25">
      <c r="A596" s="31"/>
    </row>
    <row r="597" spans="1:1" x14ac:dyDescent="0.25">
      <c r="A597" s="3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3126-C325-4521-964B-3D1538500A52}">
  <sheetPr>
    <tabColor theme="8" tint="-0.249977111117893"/>
  </sheetPr>
  <dimension ref="A36:S473"/>
  <sheetViews>
    <sheetView topLeftCell="A148"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63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4E64-D009-4020-871F-CAAFB3A8C828}">
  <sheetPr>
    <tabColor rgb="FFFFCCCC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63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46DD5-80F9-42D2-B849-60EFF158027E}">
  <sheetPr>
    <tabColor theme="7" tint="-0.249977111117893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63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6A5C-1C11-4E52-A79E-B314645485EF}">
  <sheetPr>
    <tabColor theme="5" tint="-0.249977111117893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63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AB24-8062-49AF-A734-1DC931FC12B7}">
  <sheetPr>
    <tabColor theme="2" tint="-0.499984740745262"/>
  </sheetPr>
  <dimension ref="A36:S473"/>
  <sheetViews>
    <sheetView topLeftCell="A19"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63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79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63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110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0705-6CE6-4192-A895-A64113759FC6}">
  <sheetPr>
    <tabColor rgb="FFCC0066"/>
  </sheetPr>
  <dimension ref="A1"/>
  <sheetViews>
    <sheetView workbookViewId="0">
      <selection activeCell="G41" sqref="G41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A5D7-1E2D-49E7-B7D6-79DEB2DE530C}">
  <sheetPr>
    <tabColor rgb="FF336600"/>
  </sheetPr>
  <dimension ref="E19"/>
  <sheetViews>
    <sheetView workbookViewId="0">
      <selection activeCell="G41" sqref="G41"/>
    </sheetView>
  </sheetViews>
  <sheetFormatPr defaultRowHeight="15" x14ac:dyDescent="0.25"/>
  <sheetData>
    <row r="19" spans="5:5" x14ac:dyDescent="0.25">
      <c r="E19" s="3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33693-C0F2-4012-A14F-B5EF3D5A9B77}">
  <sheetPr>
    <tabColor theme="9" tint="-0.249977111117893"/>
  </sheetPr>
  <dimension ref="A1"/>
  <sheetViews>
    <sheetView workbookViewId="0">
      <selection activeCell="G41" sqref="G41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2727-0FC0-48E3-8DD4-19AE7C7E0953}">
  <dimension ref="A1:Y120"/>
  <sheetViews>
    <sheetView zoomScaleNormal="100" workbookViewId="0">
      <selection activeCell="A61" sqref="A61"/>
    </sheetView>
  </sheetViews>
  <sheetFormatPr defaultRowHeight="15" x14ac:dyDescent="0.25"/>
  <cols>
    <col min="1" max="1" width="33.28515625" customWidth="1"/>
    <col min="2" max="2" width="17.7109375" bestFit="1" customWidth="1"/>
    <col min="3" max="3" width="18.28515625" customWidth="1"/>
    <col min="4" max="4" width="22" bestFit="1" customWidth="1"/>
    <col min="5" max="5" width="19" customWidth="1"/>
    <col min="6" max="6" width="20.42578125" customWidth="1"/>
    <col min="7" max="7" width="18" bestFit="1" customWidth="1"/>
    <col min="8" max="8" width="18.85546875" bestFit="1" customWidth="1"/>
    <col min="9" max="9" width="26.5703125" customWidth="1"/>
    <col min="10" max="12" width="16.28515625" bestFit="1" customWidth="1"/>
    <col min="13" max="13" width="15.28515625" bestFit="1" customWidth="1"/>
    <col min="14" max="14" width="25.42578125" customWidth="1"/>
    <col min="15" max="15" width="15.28515625" bestFit="1" customWidth="1"/>
    <col min="16" max="16" width="16.28515625" bestFit="1" customWidth="1"/>
    <col min="17" max="17" width="23.5703125" bestFit="1" customWidth="1"/>
    <col min="18" max="23" width="19.140625" bestFit="1" customWidth="1"/>
    <col min="24" max="25" width="16.28515625" bestFit="1" customWidth="1"/>
    <col min="26" max="28" width="12" bestFit="1" customWidth="1"/>
    <col min="29" max="29" width="22.5703125" bestFit="1" customWidth="1"/>
    <col min="30" max="30" width="23" bestFit="1" customWidth="1"/>
    <col min="31" max="34" width="11" bestFit="1" customWidth="1"/>
    <col min="35" max="35" width="12" bestFit="1" customWidth="1"/>
    <col min="36" max="36" width="26.28515625" bestFit="1" customWidth="1"/>
    <col min="37" max="37" width="15.5703125" bestFit="1" customWidth="1"/>
    <col min="38" max="42" width="11" bestFit="1" customWidth="1"/>
    <col min="43" max="43" width="18.7109375" bestFit="1" customWidth="1"/>
    <col min="44" max="44" width="14.5703125" bestFit="1" customWidth="1"/>
    <col min="45" max="49" width="12" bestFit="1" customWidth="1"/>
    <col min="50" max="50" width="17.85546875" bestFit="1" customWidth="1"/>
    <col min="51" max="56" width="12" bestFit="1" customWidth="1"/>
    <col min="57" max="57" width="11" bestFit="1" customWidth="1"/>
  </cols>
  <sheetData>
    <row r="1" s="31" customFormat="1" x14ac:dyDescent="0.25"/>
    <row r="2" s="31" customFormat="1" x14ac:dyDescent="0.25"/>
    <row r="3" s="31" customFormat="1" x14ac:dyDescent="0.25"/>
    <row r="4" s="31" customFormat="1" x14ac:dyDescent="0.25"/>
    <row r="5" s="31" customFormat="1" x14ac:dyDescent="0.25"/>
    <row r="6" s="31" customFormat="1" x14ac:dyDescent="0.25"/>
    <row r="7" s="31" customFormat="1" x14ac:dyDescent="0.25"/>
    <row r="8" s="31" customFormat="1" x14ac:dyDescent="0.25"/>
    <row r="9" s="31" customFormat="1" x14ac:dyDescent="0.25"/>
    <row r="10" s="31" customFormat="1" x14ac:dyDescent="0.25"/>
    <row r="11" s="31" customFormat="1" x14ac:dyDescent="0.25"/>
    <row r="12" s="31" customFormat="1" x14ac:dyDescent="0.25"/>
    <row r="13" s="31" customFormat="1" x14ac:dyDescent="0.25"/>
    <row r="14" s="31" customFormat="1" x14ac:dyDescent="0.25"/>
    <row r="15" s="31" customFormat="1" x14ac:dyDescent="0.25"/>
    <row r="16" s="31" customFormat="1" x14ac:dyDescent="0.25"/>
    <row r="17" spans="1:7" s="31" customFormat="1" x14ac:dyDescent="0.25"/>
    <row r="18" spans="1:7" s="31" customFormat="1" x14ac:dyDescent="0.25"/>
    <row r="19" spans="1:7" s="31" customFormat="1" x14ac:dyDescent="0.25"/>
    <row r="20" spans="1:7" s="89" customFormat="1" x14ac:dyDescent="0.25"/>
    <row r="21" spans="1:7" s="31" customFormat="1" x14ac:dyDescent="0.25"/>
    <row r="22" spans="1:7" x14ac:dyDescent="0.25">
      <c r="A22" s="26" t="s">
        <v>385</v>
      </c>
      <c r="B22" s="26" t="s">
        <v>84</v>
      </c>
    </row>
    <row r="23" spans="1:7" x14ac:dyDescent="0.25">
      <c r="A23" s="26" t="s">
        <v>81</v>
      </c>
      <c r="B23" s="86" t="s">
        <v>128</v>
      </c>
      <c r="C23" s="86" t="s">
        <v>32</v>
      </c>
      <c r="D23" s="86" t="s">
        <v>33</v>
      </c>
      <c r="E23" s="86" t="s">
        <v>34</v>
      </c>
      <c r="F23" s="86" t="s">
        <v>36</v>
      </c>
      <c r="G23" s="86" t="s">
        <v>39</v>
      </c>
    </row>
    <row r="24" spans="1:7" x14ac:dyDescent="0.25">
      <c r="A24" s="27" t="s">
        <v>8</v>
      </c>
      <c r="B24" s="13">
        <v>2807733662.5477371</v>
      </c>
      <c r="C24" s="13">
        <v>2137899500.4216602</v>
      </c>
      <c r="D24" s="13">
        <v>2719981114.5358052</v>
      </c>
      <c r="E24" s="13">
        <v>3059690963.0623112</v>
      </c>
      <c r="F24" s="13">
        <v>2045228199.2464628</v>
      </c>
      <c r="G24" s="13">
        <v>3642740747.0555634</v>
      </c>
    </row>
    <row r="25" spans="1:7" x14ac:dyDescent="0.25">
      <c r="A25" s="27" t="s">
        <v>9</v>
      </c>
      <c r="B25" s="13">
        <v>223983167.86609241</v>
      </c>
      <c r="C25" s="13">
        <v>168685623.35438263</v>
      </c>
      <c r="D25" s="13">
        <v>145514747.73957029</v>
      </c>
      <c r="E25" s="13">
        <v>199728407.91332668</v>
      </c>
      <c r="F25" s="13">
        <v>213602282.25222278</v>
      </c>
      <c r="G25" s="13">
        <v>233080616.05569208</v>
      </c>
    </row>
    <row r="26" spans="1:7" x14ac:dyDescent="0.25">
      <c r="A26" s="27" t="s">
        <v>90</v>
      </c>
      <c r="B26" s="13">
        <v>5875413924.046442</v>
      </c>
      <c r="C26" s="13">
        <v>3044464508.67207</v>
      </c>
      <c r="D26" s="13">
        <v>3443459091.9606371</v>
      </c>
      <c r="E26" s="13">
        <v>3334832249.6264081</v>
      </c>
      <c r="F26" s="13">
        <v>4212198972.0526061</v>
      </c>
      <c r="G26" s="13">
        <v>3335786464.3653483</v>
      </c>
    </row>
    <row r="27" spans="1:7" x14ac:dyDescent="0.25">
      <c r="A27" s="27" t="s">
        <v>5</v>
      </c>
      <c r="B27" s="13">
        <v>41186265414.625694</v>
      </c>
      <c r="C27" s="13">
        <v>37448909302.314651</v>
      </c>
      <c r="D27" s="13">
        <v>40897858608.807022</v>
      </c>
      <c r="E27" s="13">
        <v>41379942945.20134</v>
      </c>
      <c r="F27" s="13">
        <v>47547076180.316536</v>
      </c>
      <c r="G27" s="13">
        <v>43130427324.122261</v>
      </c>
    </row>
    <row r="28" spans="1:7" x14ac:dyDescent="0.25">
      <c r="A28" s="27" t="s">
        <v>6</v>
      </c>
      <c r="B28" s="13">
        <v>7789254559.7352896</v>
      </c>
      <c r="C28" s="13">
        <v>6545814439.711257</v>
      </c>
      <c r="D28" s="13">
        <v>6533218281.3236027</v>
      </c>
      <c r="E28" s="13">
        <v>6799367587.5175657</v>
      </c>
      <c r="F28" s="13">
        <v>6373422709.3424673</v>
      </c>
      <c r="G28" s="13">
        <v>10792465210.306</v>
      </c>
    </row>
    <row r="29" spans="1:7" x14ac:dyDescent="0.25">
      <c r="A29" s="27" t="s">
        <v>10</v>
      </c>
      <c r="B29" s="13">
        <v>2755466733.4071422</v>
      </c>
      <c r="C29" s="13">
        <v>2097797422.3808711</v>
      </c>
      <c r="D29" s="13">
        <v>2141662556.5333641</v>
      </c>
      <c r="E29" s="13">
        <v>2709659549.1139545</v>
      </c>
      <c r="F29" s="13">
        <v>2074583126.9798479</v>
      </c>
      <c r="G29" s="13">
        <v>3948009846.44596</v>
      </c>
    </row>
    <row r="30" spans="1:7" x14ac:dyDescent="0.25">
      <c r="A30" s="27" t="s">
        <v>11</v>
      </c>
      <c r="B30" s="13">
        <v>0</v>
      </c>
      <c r="C30" s="13">
        <v>200431253.53778797</v>
      </c>
      <c r="D30" s="13">
        <v>175307461.32720459</v>
      </c>
      <c r="E30" s="13">
        <v>179885559.24640933</v>
      </c>
      <c r="F30" s="13">
        <v>202659444.47580478</v>
      </c>
      <c r="G30" s="13">
        <v>302040792.60850525</v>
      </c>
    </row>
    <row r="31" spans="1:7" x14ac:dyDescent="0.25">
      <c r="A31" s="27" t="s">
        <v>7</v>
      </c>
      <c r="B31" s="13">
        <v>157552739.62167439</v>
      </c>
      <c r="C31" s="13">
        <v>122861193.40584016</v>
      </c>
      <c r="D31" s="13">
        <v>157166834.45463219</v>
      </c>
      <c r="E31" s="13">
        <v>198715758.57007572</v>
      </c>
      <c r="F31" s="13">
        <v>140095535.3435244</v>
      </c>
      <c r="G31" s="13">
        <v>303409408.69538796</v>
      </c>
    </row>
    <row r="32" spans="1:7" x14ac:dyDescent="0.25">
      <c r="A32" s="27" t="s">
        <v>82</v>
      </c>
      <c r="B32" s="13">
        <v>60795670201.850075</v>
      </c>
      <c r="C32" s="13">
        <v>51766863243.798523</v>
      </c>
      <c r="D32" s="13">
        <v>56214168696.681839</v>
      </c>
      <c r="E32" s="13">
        <v>57861823020.251381</v>
      </c>
      <c r="F32" s="13">
        <v>62808866450.009476</v>
      </c>
      <c r="G32" s="13">
        <v>65687960409.654716</v>
      </c>
    </row>
    <row r="34" spans="1:25" ht="15.75" thickBot="1" x14ac:dyDescent="0.3">
      <c r="A34" s="87" t="s">
        <v>179</v>
      </c>
      <c r="B34" s="86" t="s">
        <v>128</v>
      </c>
      <c r="C34" s="86" t="s">
        <v>32</v>
      </c>
      <c r="D34" s="86" t="s">
        <v>33</v>
      </c>
      <c r="E34" s="86" t="s">
        <v>34</v>
      </c>
      <c r="F34" s="86" t="s">
        <v>36</v>
      </c>
      <c r="G34" s="86" t="s">
        <v>39</v>
      </c>
      <c r="I34" s="87" t="s">
        <v>179</v>
      </c>
      <c r="J34" s="86" t="s">
        <v>128</v>
      </c>
      <c r="K34" s="86" t="s">
        <v>32</v>
      </c>
      <c r="L34" s="86" t="s">
        <v>33</v>
      </c>
      <c r="M34" s="86" t="s">
        <v>34</v>
      </c>
      <c r="N34" s="86" t="s">
        <v>36</v>
      </c>
      <c r="O34" s="86" t="s">
        <v>39</v>
      </c>
      <c r="Q34" s="164" t="s">
        <v>179</v>
      </c>
      <c r="R34" s="165" t="s">
        <v>128</v>
      </c>
      <c r="S34" s="165" t="s">
        <v>32</v>
      </c>
      <c r="T34" s="165" t="s">
        <v>33</v>
      </c>
      <c r="U34" s="165" t="s">
        <v>34</v>
      </c>
      <c r="V34" s="165" t="s">
        <v>36</v>
      </c>
      <c r="W34" s="166" t="s">
        <v>39</v>
      </c>
    </row>
    <row r="35" spans="1:25" ht="15.75" thickTop="1" x14ac:dyDescent="0.25">
      <c r="A35" s="88" t="str">
        <f t="shared" ref="A35:G42" si="0">A24</f>
        <v>Bus</v>
      </c>
      <c r="B35" s="104">
        <f t="shared" si="0"/>
        <v>2807733662.5477371</v>
      </c>
      <c r="C35" s="104">
        <f t="shared" si="0"/>
        <v>2137899500.4216602</v>
      </c>
      <c r="D35" s="104">
        <f t="shared" si="0"/>
        <v>2719981114.5358052</v>
      </c>
      <c r="E35" s="104">
        <f t="shared" si="0"/>
        <v>3059690963.0623112</v>
      </c>
      <c r="F35" s="104">
        <f t="shared" si="0"/>
        <v>2045228199.2464628</v>
      </c>
      <c r="G35" s="104">
        <f t="shared" si="0"/>
        <v>3642740747.0555634</v>
      </c>
      <c r="I35" s="88" t="s">
        <v>8</v>
      </c>
      <c r="J35" s="159">
        <f>Passenger_Kilometre_by_mode_type[[#This Row],[2009]]/1000000000</f>
        <v>2.8077336625477369</v>
      </c>
      <c r="K35" s="159">
        <f>Passenger_Kilometre_by_mode_type[[#This Row],[2012]]/1000000000</f>
        <v>2.1378995004216601</v>
      </c>
      <c r="L35" s="159">
        <f>Passenger_Kilometre_by_mode_type[[#This Row],[2013]]/1000000000</f>
        <v>2.719981114535805</v>
      </c>
      <c r="M35" s="159">
        <f>Passenger_Kilometre_by_mode_type[[#This Row],[2014]]/1000000000</f>
        <v>3.059690963062311</v>
      </c>
      <c r="N35" s="159">
        <f>Passenger_Kilometre_by_mode_type[[#This Row],[2016]]/1000000000</f>
        <v>2.0452281992464627</v>
      </c>
      <c r="O35" s="159">
        <f>Passenger_Kilometre_by_mode_type[[#This Row],[2019]]/1000000000</f>
        <v>3.6427407470555635</v>
      </c>
      <c r="Q35" t="s">
        <v>5</v>
      </c>
      <c r="R35" s="5">
        <f>J38*1000000000</f>
        <v>41186265414.625694</v>
      </c>
      <c r="S35" s="5">
        <f t="shared" ref="S35:W35" si="1">K38*1000000000</f>
        <v>37448909302.314651</v>
      </c>
      <c r="T35" s="5">
        <f t="shared" si="1"/>
        <v>40897858608.807022</v>
      </c>
      <c r="U35" s="5">
        <f t="shared" si="1"/>
        <v>41379942945.20134</v>
      </c>
      <c r="V35" s="5">
        <f t="shared" si="1"/>
        <v>47547076180.316536</v>
      </c>
      <c r="W35" s="5">
        <f t="shared" si="1"/>
        <v>43130427324.122261</v>
      </c>
    </row>
    <row r="36" spans="1:25" x14ac:dyDescent="0.25">
      <c r="A36" s="88" t="str">
        <f t="shared" si="0"/>
        <v>Cycle</v>
      </c>
      <c r="B36" s="104">
        <f t="shared" si="0"/>
        <v>223983167.86609241</v>
      </c>
      <c r="C36" s="104">
        <f t="shared" si="0"/>
        <v>168685623.35438263</v>
      </c>
      <c r="D36" s="104">
        <f t="shared" si="0"/>
        <v>145514747.73957029</v>
      </c>
      <c r="E36" s="104">
        <f t="shared" si="0"/>
        <v>199728407.91332668</v>
      </c>
      <c r="F36" s="104">
        <f t="shared" si="0"/>
        <v>213602282.25222278</v>
      </c>
      <c r="G36" s="104">
        <f t="shared" si="0"/>
        <v>233080616.05569208</v>
      </c>
      <c r="I36" s="88" t="s">
        <v>9</v>
      </c>
      <c r="J36" s="159">
        <f>Passenger_Kilometre_by_mode_type[[#This Row],[2009]]/1000000000</f>
        <v>0.2239831678660924</v>
      </c>
      <c r="K36" s="159">
        <f>Passenger_Kilometre_by_mode_type[[#This Row],[2012]]/1000000000</f>
        <v>0.16868562335438264</v>
      </c>
      <c r="L36" s="159">
        <f>Passenger_Kilometre_by_mode_type[[#This Row],[2013]]/1000000000</f>
        <v>0.14551474773957029</v>
      </c>
      <c r="M36" s="159">
        <f>Passenger_Kilometre_by_mode_type[[#This Row],[2014]]/1000000000</f>
        <v>0.19972840791332669</v>
      </c>
      <c r="N36" s="159">
        <f>Passenger_Kilometre_by_mode_type[[#This Row],[2016]]/1000000000</f>
        <v>0.21360228225222277</v>
      </c>
      <c r="O36" s="159">
        <f>Passenger_Kilometre_by_mode_type[[#This Row],[2019]]/1000000000</f>
        <v>0.23308061605569208</v>
      </c>
      <c r="Q36" s="89" t="s">
        <v>6</v>
      </c>
      <c r="R36" s="5">
        <f>J39*1000000000</f>
        <v>7789254559.7352896</v>
      </c>
      <c r="S36" s="5">
        <f t="shared" ref="S36:W36" si="2">K39*1000000000</f>
        <v>6545814439.711257</v>
      </c>
      <c r="T36" s="5">
        <f t="shared" si="2"/>
        <v>6533218281.3236027</v>
      </c>
      <c r="U36" s="5">
        <f t="shared" si="2"/>
        <v>6799367587.5175657</v>
      </c>
      <c r="V36" s="5">
        <f t="shared" si="2"/>
        <v>6373422709.3424673</v>
      </c>
      <c r="W36" s="5">
        <f t="shared" si="2"/>
        <v>10792465210.306</v>
      </c>
    </row>
    <row r="37" spans="1:25" x14ac:dyDescent="0.25">
      <c r="A37" s="88" t="str">
        <f t="shared" si="0"/>
        <v>Lorry/Motorcycle/Other</v>
      </c>
      <c r="B37" s="104">
        <f t="shared" si="0"/>
        <v>5875413924.046442</v>
      </c>
      <c r="C37" s="104">
        <f t="shared" si="0"/>
        <v>3044464508.67207</v>
      </c>
      <c r="D37" s="104">
        <f t="shared" si="0"/>
        <v>3443459091.9606371</v>
      </c>
      <c r="E37" s="104">
        <f t="shared" si="0"/>
        <v>3334832249.6264081</v>
      </c>
      <c r="F37" s="104">
        <f t="shared" si="0"/>
        <v>4212198972.0526061</v>
      </c>
      <c r="G37" s="104">
        <f t="shared" si="0"/>
        <v>3335786464.3653483</v>
      </c>
      <c r="I37" s="88" t="s">
        <v>90</v>
      </c>
      <c r="J37" s="159">
        <f>Passenger_Kilometre_by_mode_type[[#This Row],[2009]]/1000000000</f>
        <v>5.875413924046442</v>
      </c>
      <c r="K37" s="159">
        <f>Passenger_Kilometre_by_mode_type[[#This Row],[2012]]/1000000000</f>
        <v>3.0444645086720699</v>
      </c>
      <c r="L37" s="159">
        <f>Passenger_Kilometre_by_mode_type[[#This Row],[2013]]/1000000000</f>
        <v>3.4434590919606372</v>
      </c>
      <c r="M37" s="159">
        <f>Passenger_Kilometre_by_mode_type[[#This Row],[2014]]/1000000000</f>
        <v>3.334832249626408</v>
      </c>
      <c r="N37" s="159">
        <f>Passenger_Kilometre_by_mode_type[[#This Row],[2016]]/1000000000</f>
        <v>4.2121989720526063</v>
      </c>
      <c r="O37" s="159">
        <f>Passenger_Kilometre_by_mode_type[[#This Row],[2019]]/1000000000</f>
        <v>3.3357864643653485</v>
      </c>
      <c r="Q37" s="89" t="s">
        <v>7</v>
      </c>
      <c r="R37" s="5">
        <f>J42*1000000000</f>
        <v>157552739.62167439</v>
      </c>
      <c r="S37" s="5">
        <f t="shared" ref="S37:W37" si="3">K42*1000000000</f>
        <v>122861193.40584016</v>
      </c>
      <c r="T37" s="5">
        <f t="shared" si="3"/>
        <v>157166834.45463219</v>
      </c>
      <c r="U37" s="5">
        <f t="shared" si="3"/>
        <v>198715758.57007572</v>
      </c>
      <c r="V37" s="5">
        <f t="shared" si="3"/>
        <v>140095535.3435244</v>
      </c>
      <c r="W37" s="5">
        <f t="shared" si="3"/>
        <v>303409408.69538796</v>
      </c>
    </row>
    <row r="38" spans="1:25" x14ac:dyDescent="0.25">
      <c r="A38" s="88" t="str">
        <f t="shared" si="0"/>
        <v>Private car - Driver</v>
      </c>
      <c r="B38" s="104">
        <f t="shared" si="0"/>
        <v>41186265414.625694</v>
      </c>
      <c r="C38" s="104">
        <f t="shared" si="0"/>
        <v>37448909302.314651</v>
      </c>
      <c r="D38" s="104">
        <f t="shared" si="0"/>
        <v>40897858608.807022</v>
      </c>
      <c r="E38" s="104">
        <f t="shared" si="0"/>
        <v>41379942945.20134</v>
      </c>
      <c r="F38" s="104">
        <f t="shared" si="0"/>
        <v>47547076180.316536</v>
      </c>
      <c r="G38" s="104">
        <f t="shared" si="0"/>
        <v>43130427324.122261</v>
      </c>
      <c r="I38" s="88" t="s">
        <v>5</v>
      </c>
      <c r="J38" s="159">
        <f>Passenger_Kilometre_by_mode_type[[#This Row],[2009]]/1000000000</f>
        <v>41.186265414625694</v>
      </c>
      <c r="K38" s="159">
        <f>Passenger_Kilometre_by_mode_type[[#This Row],[2012]]/1000000000</f>
        <v>37.448909302314654</v>
      </c>
      <c r="L38" s="159">
        <f>Passenger_Kilometre_by_mode_type[[#This Row],[2013]]/1000000000</f>
        <v>40.89785860880702</v>
      </c>
      <c r="M38" s="159">
        <f>Passenger_Kilometre_by_mode_type[[#This Row],[2014]]/1000000000</f>
        <v>41.379942945201343</v>
      </c>
      <c r="N38" s="159">
        <f>Passenger_Kilometre_by_mode_type[[#This Row],[2016]]/1000000000</f>
        <v>47.547076180316537</v>
      </c>
      <c r="O38" s="159">
        <f>Passenger_Kilometre_by_mode_type[[#This Row],[2019]]/1000000000</f>
        <v>43.130427324122259</v>
      </c>
      <c r="Q38" s="89" t="s">
        <v>8</v>
      </c>
      <c r="R38" s="5">
        <f>J35*1000000000</f>
        <v>2807733662.5477371</v>
      </c>
      <c r="S38" s="5">
        <f t="shared" ref="S38:W38" si="4">K35*1000000000</f>
        <v>2137899500.4216602</v>
      </c>
      <c r="T38" s="5">
        <f t="shared" si="4"/>
        <v>2719981114.5358052</v>
      </c>
      <c r="U38" s="5">
        <f t="shared" si="4"/>
        <v>3059690963.0623112</v>
      </c>
      <c r="V38" s="5">
        <f t="shared" si="4"/>
        <v>2045228199.2464628</v>
      </c>
      <c r="W38" s="5">
        <f t="shared" si="4"/>
        <v>3642740747.0555634</v>
      </c>
    </row>
    <row r="39" spans="1:25" x14ac:dyDescent="0.25">
      <c r="A39" s="88" t="str">
        <f t="shared" si="0"/>
        <v>Private car - Passenger</v>
      </c>
      <c r="B39" s="104">
        <f t="shared" si="0"/>
        <v>7789254559.7352896</v>
      </c>
      <c r="C39" s="104">
        <f t="shared" si="0"/>
        <v>6545814439.711257</v>
      </c>
      <c r="D39" s="104">
        <f t="shared" si="0"/>
        <v>6533218281.3236027</v>
      </c>
      <c r="E39" s="104">
        <f t="shared" si="0"/>
        <v>6799367587.5175657</v>
      </c>
      <c r="F39" s="104">
        <f t="shared" si="0"/>
        <v>6373422709.3424673</v>
      </c>
      <c r="G39" s="104">
        <f t="shared" si="0"/>
        <v>10792465210.306</v>
      </c>
      <c r="I39" s="88" t="s">
        <v>6</v>
      </c>
      <c r="J39" s="159">
        <f>Passenger_Kilometre_by_mode_type[[#This Row],[2009]]/1000000000</f>
        <v>7.7892545597352898</v>
      </c>
      <c r="K39" s="159">
        <f>Passenger_Kilometre_by_mode_type[[#This Row],[2012]]/1000000000</f>
        <v>6.5458144397112568</v>
      </c>
      <c r="L39" s="159">
        <f>Passenger_Kilometre_by_mode_type[[#This Row],[2013]]/1000000000</f>
        <v>6.5332182813236024</v>
      </c>
      <c r="M39" s="159">
        <f>Passenger_Kilometre_by_mode_type[[#This Row],[2014]]/1000000000</f>
        <v>6.7993675875175654</v>
      </c>
      <c r="N39" s="159">
        <f>Passenger_Kilometre_by_mode_type[[#This Row],[2016]]/1000000000</f>
        <v>6.3734227093424671</v>
      </c>
      <c r="O39" s="159">
        <f>Passenger_Kilometre_by_mode_type[[#This Row],[2019]]/1000000000</f>
        <v>10.792465210306</v>
      </c>
      <c r="Q39" s="89" t="s">
        <v>9</v>
      </c>
      <c r="R39" s="5">
        <f>J36*1000000000</f>
        <v>223983167.86609241</v>
      </c>
      <c r="S39" s="5">
        <f t="shared" ref="S39:W39" si="5">K36*1000000000</f>
        <v>168685623.35438263</v>
      </c>
      <c r="T39" s="5">
        <f t="shared" si="5"/>
        <v>145514747.73957029</v>
      </c>
      <c r="U39" s="5">
        <f t="shared" si="5"/>
        <v>199728407.91332668</v>
      </c>
      <c r="V39" s="5">
        <f t="shared" si="5"/>
        <v>213602282.25222278</v>
      </c>
      <c r="W39" s="5">
        <f t="shared" si="5"/>
        <v>233080616.05569208</v>
      </c>
    </row>
    <row r="40" spans="1:25" x14ac:dyDescent="0.25">
      <c r="A40" s="88" t="str">
        <f t="shared" si="0"/>
        <v>Rail/Dart/Luas</v>
      </c>
      <c r="B40" s="104">
        <f t="shared" si="0"/>
        <v>2755466733.4071422</v>
      </c>
      <c r="C40" s="104">
        <f t="shared" si="0"/>
        <v>2097797422.3808711</v>
      </c>
      <c r="D40" s="104">
        <f t="shared" si="0"/>
        <v>2141662556.5333641</v>
      </c>
      <c r="E40" s="104">
        <f t="shared" si="0"/>
        <v>2709659549.1139545</v>
      </c>
      <c r="F40" s="104">
        <f t="shared" si="0"/>
        <v>2074583126.9798479</v>
      </c>
      <c r="G40" s="104">
        <f t="shared" si="0"/>
        <v>3948009846.44596</v>
      </c>
      <c r="I40" s="88" t="s">
        <v>10</v>
      </c>
      <c r="J40" s="159">
        <f>Passenger_Kilometre_by_mode_type[[#This Row],[2009]]/1000000000</f>
        <v>2.7554667334071423</v>
      </c>
      <c r="K40" s="159">
        <f>Passenger_Kilometre_by_mode_type[[#This Row],[2012]]/1000000000</f>
        <v>2.0977974223808711</v>
      </c>
      <c r="L40" s="159">
        <f>Passenger_Kilometre_by_mode_type[[#This Row],[2013]]/1000000000</f>
        <v>2.141662556533364</v>
      </c>
      <c r="M40" s="159">
        <f>Passenger_Kilometre_by_mode_type[[#This Row],[2014]]/1000000000</f>
        <v>2.7096595491139546</v>
      </c>
      <c r="N40" s="159">
        <f>Passenger_Kilometre_by_mode_type[[#This Row],[2016]]/1000000000</f>
        <v>2.074583126979848</v>
      </c>
      <c r="O40" s="159">
        <f>Passenger_Kilometre_by_mode_type[[#This Row],[2019]]/1000000000</f>
        <v>3.9480098464459599</v>
      </c>
      <c r="Q40" s="89" t="s">
        <v>10</v>
      </c>
      <c r="R40" s="5">
        <f>Passenger_Kilometre_by_mode_type_in_billions[[#This Row],[2009]]*1000000000</f>
        <v>2755466733.4071422</v>
      </c>
      <c r="S40" s="5">
        <f>Passenger_Kilometre_by_mode_type_in_billions[[#This Row],[2012]]*1000000000</f>
        <v>2097797422.3808711</v>
      </c>
      <c r="T40" s="5">
        <f>Passenger_Kilometre_by_mode_type_in_billions[[#This Row],[2013]]*1000000000</f>
        <v>2141662556.5333641</v>
      </c>
      <c r="U40" s="5">
        <f>Passenger_Kilometre_by_mode_type_in_billions[[#This Row],[2014]]*1000000000</f>
        <v>2709659549.1139545</v>
      </c>
      <c r="V40" s="5">
        <f>Passenger_Kilometre_by_mode_type_in_billions[[#This Row],[2016]]*1000000000</f>
        <v>2074583126.9798481</v>
      </c>
      <c r="W40" s="5">
        <f>Passenger_Kilometre_by_mode_type_in_billions[[#This Row],[2019]]*1000000000</f>
        <v>3948009846.44596</v>
      </c>
    </row>
    <row r="41" spans="1:25" x14ac:dyDescent="0.25">
      <c r="A41" s="88" t="str">
        <f t="shared" si="0"/>
        <v>Taxi/hackney</v>
      </c>
      <c r="B41" s="104">
        <f t="shared" si="0"/>
        <v>0</v>
      </c>
      <c r="C41" s="104">
        <f t="shared" si="0"/>
        <v>200431253.53778797</v>
      </c>
      <c r="D41" s="104">
        <f t="shared" si="0"/>
        <v>175307461.32720459</v>
      </c>
      <c r="E41" s="104">
        <f t="shared" si="0"/>
        <v>179885559.24640933</v>
      </c>
      <c r="F41" s="104">
        <f t="shared" si="0"/>
        <v>202659444.47580478</v>
      </c>
      <c r="G41" s="104">
        <f t="shared" si="0"/>
        <v>302040792.60850525</v>
      </c>
      <c r="I41" s="88" t="s">
        <v>11</v>
      </c>
      <c r="J41" s="159">
        <f>Passenger_Kilometre_by_mode_type[[#This Row],[2009]]/1000000000</f>
        <v>0</v>
      </c>
      <c r="K41" s="159">
        <f>Passenger_Kilometre_by_mode_type[[#This Row],[2012]]/1000000000</f>
        <v>0.20043125353778798</v>
      </c>
      <c r="L41" s="159">
        <f>Passenger_Kilometre_by_mode_type[[#This Row],[2013]]/1000000000</f>
        <v>0.17530746132720459</v>
      </c>
      <c r="M41" s="159">
        <f>Passenger_Kilometre_by_mode_type[[#This Row],[2014]]/1000000000</f>
        <v>0.17988555924640934</v>
      </c>
      <c r="N41" s="159">
        <f>Passenger_Kilometre_by_mode_type[[#This Row],[2016]]/1000000000</f>
        <v>0.20265944447580478</v>
      </c>
      <c r="O41" s="159">
        <f>Passenger_Kilometre_by_mode_type[[#This Row],[2019]]/1000000000</f>
        <v>0.30204079260850525</v>
      </c>
      <c r="Q41" s="89" t="s">
        <v>11</v>
      </c>
      <c r="R41" s="5">
        <f>Passenger_Kilometre_by_mode_type_in_billions[[#This Row],[2009]]*1000000000</f>
        <v>0</v>
      </c>
      <c r="S41" s="5">
        <f>Passenger_Kilometre_by_mode_type_in_billions[[#This Row],[2012]]*1000000000</f>
        <v>200431253.53778797</v>
      </c>
      <c r="T41" s="5">
        <f>Passenger_Kilometre_by_mode_type_in_billions[[#This Row],[2013]]*1000000000</f>
        <v>175307461.32720459</v>
      </c>
      <c r="U41" s="5">
        <f>Passenger_Kilometre_by_mode_type_in_billions[[#This Row],[2014]]*1000000000</f>
        <v>179885559.24640933</v>
      </c>
      <c r="V41" s="5">
        <f>Passenger_Kilometre_by_mode_type_in_billions[[#This Row],[2016]]*1000000000</f>
        <v>202659444.47580478</v>
      </c>
      <c r="W41" s="5">
        <f>Passenger_Kilometre_by_mode_type_in_billions[[#This Row],[2019]]*1000000000</f>
        <v>302040792.60850525</v>
      </c>
    </row>
    <row r="42" spans="1:25" x14ac:dyDescent="0.25">
      <c r="A42" s="88" t="str">
        <f t="shared" si="0"/>
        <v>Walk</v>
      </c>
      <c r="B42" s="104">
        <f t="shared" si="0"/>
        <v>157552739.62167439</v>
      </c>
      <c r="C42" s="104">
        <f t="shared" si="0"/>
        <v>122861193.40584016</v>
      </c>
      <c r="D42" s="104">
        <f t="shared" si="0"/>
        <v>157166834.45463219</v>
      </c>
      <c r="E42" s="104">
        <f t="shared" si="0"/>
        <v>198715758.57007572</v>
      </c>
      <c r="F42" s="104">
        <f t="shared" si="0"/>
        <v>140095535.3435244</v>
      </c>
      <c r="G42" s="104">
        <f t="shared" si="0"/>
        <v>303409408.69538796</v>
      </c>
      <c r="I42" s="88" t="s">
        <v>7</v>
      </c>
      <c r="J42" s="159">
        <f>Passenger_Kilometre_by_mode_type[[#This Row],[2009]]/1000000000</f>
        <v>0.15755273962167438</v>
      </c>
      <c r="K42" s="159">
        <f>Passenger_Kilometre_by_mode_type[[#This Row],[2012]]/1000000000</f>
        <v>0.12286119340584016</v>
      </c>
      <c r="L42" s="159">
        <f>Passenger_Kilometre_by_mode_type[[#This Row],[2013]]/1000000000</f>
        <v>0.1571668344546322</v>
      </c>
      <c r="M42" s="159">
        <f>Passenger_Kilometre_by_mode_type[[#This Row],[2014]]/1000000000</f>
        <v>0.19871575857007573</v>
      </c>
      <c r="N42" s="159">
        <f>Passenger_Kilometre_by_mode_type[[#This Row],[2016]]/1000000000</f>
        <v>0.1400955353435244</v>
      </c>
      <c r="O42" s="159">
        <f>Passenger_Kilometre_by_mode_type[[#This Row],[2019]]/1000000000</f>
        <v>0.30340940869538796</v>
      </c>
      <c r="Q42" s="89" t="s">
        <v>90</v>
      </c>
      <c r="R42" s="5">
        <f>J37*1000000000</f>
        <v>5875413924.046442</v>
      </c>
      <c r="S42" s="5">
        <f t="shared" ref="S42:W42" si="6">K37*1000000000</f>
        <v>3044464508.67207</v>
      </c>
      <c r="T42" s="5">
        <f t="shared" si="6"/>
        <v>3443459091.9606371</v>
      </c>
      <c r="U42" s="5">
        <f t="shared" si="6"/>
        <v>3334832249.6264081</v>
      </c>
      <c r="V42" s="5">
        <f t="shared" si="6"/>
        <v>4212198972.0526061</v>
      </c>
      <c r="W42" s="5">
        <f t="shared" si="6"/>
        <v>3335786464.3653483</v>
      </c>
    </row>
    <row r="43" spans="1:25" x14ac:dyDescent="0.25">
      <c r="A43" s="138" t="s">
        <v>4</v>
      </c>
      <c r="B43" s="139">
        <f>SUBTOTAL(109,Passenger_Kilometre_by_mode_type[2009])</f>
        <v>60795670201.850075</v>
      </c>
      <c r="C43" s="139">
        <f>SUBTOTAL(109,Passenger_Kilometre_by_mode_type[2012])</f>
        <v>51766863243.798523</v>
      </c>
      <c r="D43" s="139">
        <f>SUBTOTAL(109,Passenger_Kilometre_by_mode_type[2013])</f>
        <v>56214168696.681839</v>
      </c>
      <c r="E43" s="139">
        <f>SUBTOTAL(109,Passenger_Kilometre_by_mode_type[2014])</f>
        <v>57861823020.251381</v>
      </c>
      <c r="F43" s="139">
        <f>SUBTOTAL(109,Passenger_Kilometre_by_mode_type[2016])</f>
        <v>62808866450.009476</v>
      </c>
      <c r="G43" s="139">
        <f>SUBTOTAL(109,Passenger_Kilometre_by_mode_type[2019])</f>
        <v>65687960409.654716</v>
      </c>
      <c r="I43" s="138" t="s">
        <v>4</v>
      </c>
      <c r="J43" s="104">
        <f>Passenger_Kilometre_by_mode_type[[#Totals],[2009]]/1000000000</f>
        <v>60.795670201850072</v>
      </c>
      <c r="K43" s="104">
        <f>Passenger_Kilometre_by_mode_type[[#Totals],[2012]]/1000000000</f>
        <v>51.766863243798525</v>
      </c>
      <c r="L43" s="104">
        <f>Passenger_Kilometre_by_mode_type[[#Totals],[2013]]/1000000000</f>
        <v>56.214168696681838</v>
      </c>
      <c r="M43" s="104">
        <f>Passenger_Kilometre_by_mode_type[[#Totals],[2014]]/1000000000</f>
        <v>57.861823020251379</v>
      </c>
      <c r="N43" s="104">
        <f>Passenger_Kilometre_by_mode_type[[#Totals],[2016]]/1000000000</f>
        <v>62.808866450009475</v>
      </c>
      <c r="O43" s="104">
        <f>Passenger_Kilometre_by_mode_type[[#Totals],[2019]]/1000000000</f>
        <v>65.687960409654721</v>
      </c>
      <c r="Q43" s="89" t="s">
        <v>4</v>
      </c>
      <c r="R43" s="5">
        <f>SUM(R35:R42)</f>
        <v>60795670201.850067</v>
      </c>
      <c r="S43" s="5">
        <f t="shared" ref="S43:W43" si="7">SUM(S35:S42)</f>
        <v>51766863243.798531</v>
      </c>
      <c r="T43" s="5">
        <f t="shared" si="7"/>
        <v>56214168696.681839</v>
      </c>
      <c r="U43" s="5">
        <f t="shared" si="7"/>
        <v>57861823020.251389</v>
      </c>
      <c r="V43" s="5">
        <f t="shared" si="7"/>
        <v>62808866450.009468</v>
      </c>
      <c r="W43" s="5">
        <f t="shared" si="7"/>
        <v>65687960409.654724</v>
      </c>
    </row>
    <row r="44" spans="1:25" x14ac:dyDescent="0.25">
      <c r="J44" s="13"/>
      <c r="K44" s="13"/>
      <c r="L44" s="13"/>
    </row>
    <row r="45" spans="1:25" s="89" customFormat="1" x14ac:dyDescent="0.25">
      <c r="A45" s="89" t="s">
        <v>437</v>
      </c>
      <c r="B45" s="89" t="s">
        <v>128</v>
      </c>
      <c r="C45" s="89" t="s">
        <v>30</v>
      </c>
      <c r="D45" s="89" t="s">
        <v>31</v>
      </c>
      <c r="E45" s="89" t="s">
        <v>32</v>
      </c>
      <c r="F45" s="89" t="s">
        <v>33</v>
      </c>
      <c r="G45" s="89" t="s">
        <v>34</v>
      </c>
      <c r="H45" s="89" t="s">
        <v>35</v>
      </c>
      <c r="I45" s="89" t="s">
        <v>36</v>
      </c>
      <c r="J45" s="89" t="s">
        <v>37</v>
      </c>
      <c r="K45" s="89" t="s">
        <v>38</v>
      </c>
      <c r="L45" s="89" t="s">
        <v>39</v>
      </c>
      <c r="N45" s="140" t="s">
        <v>445</v>
      </c>
      <c r="O45" s="141" t="s">
        <v>128</v>
      </c>
      <c r="P45" s="141" t="s">
        <v>30</v>
      </c>
      <c r="Q45" s="141" t="s">
        <v>31</v>
      </c>
      <c r="R45" s="141" t="s">
        <v>32</v>
      </c>
      <c r="S45" s="141" t="s">
        <v>33</v>
      </c>
      <c r="T45" s="141" t="s">
        <v>34</v>
      </c>
      <c r="U45" s="141" t="s">
        <v>35</v>
      </c>
      <c r="V45" s="141" t="s">
        <v>36</v>
      </c>
      <c r="W45" s="141" t="s">
        <v>37</v>
      </c>
      <c r="X45" s="141" t="s">
        <v>38</v>
      </c>
      <c r="Y45" s="142" t="s">
        <v>39</v>
      </c>
    </row>
    <row r="46" spans="1:25" s="89" customFormat="1" x14ac:dyDescent="0.25">
      <c r="A46" s="137" t="str">
        <f t="shared" ref="A46" si="8">A35</f>
        <v>Bus</v>
      </c>
      <c r="B46" s="13">
        <f>B35</f>
        <v>2807733662.5477371</v>
      </c>
      <c r="C46" s="13">
        <f>B46+($C35-$B35)/(2012-2009)</f>
        <v>2584455608.5057116</v>
      </c>
      <c r="D46" s="13">
        <f>C46+($C35-$B35)/(2012-2009)</f>
        <v>2361177554.463686</v>
      </c>
      <c r="E46" s="13">
        <f>C35</f>
        <v>2137899500.4216602</v>
      </c>
      <c r="F46" s="13">
        <f>D35</f>
        <v>2719981114.5358052</v>
      </c>
      <c r="G46" s="13">
        <f>E35</f>
        <v>3059690963.0623112</v>
      </c>
      <c r="H46" s="13">
        <f>G46+(F35-E35)/2</f>
        <v>2552459581.154387</v>
      </c>
      <c r="I46" s="13">
        <f>F35</f>
        <v>2045228199.2464628</v>
      </c>
      <c r="J46" s="13">
        <f>I46+($G35-$F35)/($L$45-$I$45)</f>
        <v>2577732381.8494964</v>
      </c>
      <c r="K46" s="13">
        <f>J46+($G35-$F35)/($L$45-$I$45)</f>
        <v>3110236564.4525299</v>
      </c>
      <c r="L46" s="13">
        <f t="shared" ref="L46:L53" si="9">G35</f>
        <v>3642740747.0555634</v>
      </c>
      <c r="N46" s="137" t="s">
        <v>8</v>
      </c>
      <c r="O46" s="158">
        <f>Interpolation_of_passenger_kilometers_by_mode[[#This Row],[2009]]/1000000000</f>
        <v>2.8077336625477369</v>
      </c>
      <c r="P46" s="158">
        <f>Interpolation_of_passenger_kilometers_by_mode[[#This Row],[2010]]/1000000000</f>
        <v>2.5844556085057118</v>
      </c>
      <c r="Q46" s="158">
        <f>Interpolation_of_passenger_kilometers_by_mode[[#This Row],[2011]]/1000000000</f>
        <v>2.3611775544636862</v>
      </c>
      <c r="R46" s="158">
        <f>Interpolation_of_passenger_kilometers_by_mode[[#This Row],[2012]]/1000000000</f>
        <v>2.1378995004216601</v>
      </c>
      <c r="S46" s="158">
        <f>Interpolation_of_passenger_kilometers_by_mode[[#This Row],[2013]]/1000000000</f>
        <v>2.719981114535805</v>
      </c>
      <c r="T46" s="158">
        <f>Interpolation_of_passenger_kilometers_by_mode[[#This Row],[2014]]/1000000000</f>
        <v>3.059690963062311</v>
      </c>
      <c r="U46" s="158">
        <f>Interpolation_of_passenger_kilometers_by_mode[[#This Row],[2015]]/1000000000</f>
        <v>2.5524595811543871</v>
      </c>
      <c r="V46" s="158">
        <f>Interpolation_of_passenger_kilometers_by_mode[[#This Row],[2016]]/1000000000</f>
        <v>2.0452281992464627</v>
      </c>
      <c r="W46" s="158">
        <f>Interpolation_of_passenger_kilometers_by_mode[[#This Row],[2017]]/1000000000</f>
        <v>2.5777323818494962</v>
      </c>
      <c r="X46" s="158">
        <f>Interpolation_of_passenger_kilometers_by_mode[[#This Row],[2018]]/1000000000</f>
        <v>3.1102365644525301</v>
      </c>
      <c r="Y46" s="158">
        <f>Interpolation_of_passenger_kilometers_by_mode[[#This Row],[2019]]/1000000000</f>
        <v>3.6427407470555635</v>
      </c>
    </row>
    <row r="47" spans="1:25" s="89" customFormat="1" x14ac:dyDescent="0.25">
      <c r="A47" s="137" t="str">
        <f t="shared" ref="A47" si="10">A36</f>
        <v>Cycle</v>
      </c>
      <c r="B47" s="13">
        <f t="shared" ref="B47:B53" si="11">B36</f>
        <v>223983167.86609241</v>
      </c>
      <c r="C47" s="13">
        <f t="shared" ref="C47:D54" si="12">B47+($C36-$B36)/(2012-2009)</f>
        <v>205550653.02885583</v>
      </c>
      <c r="D47" s="13">
        <f t="shared" si="12"/>
        <v>187118138.19161925</v>
      </c>
      <c r="E47" s="13">
        <f t="shared" ref="E47:E54" si="13">C36</f>
        <v>168685623.35438263</v>
      </c>
      <c r="F47" s="13">
        <f t="shared" ref="F47:G47" si="14">D36</f>
        <v>145514747.73957029</v>
      </c>
      <c r="G47" s="13">
        <f t="shared" si="14"/>
        <v>199728407.91332668</v>
      </c>
      <c r="H47" s="13">
        <f t="shared" ref="H47:H54" si="15">G47+(F36-E36)/2</f>
        <v>206665345.08277473</v>
      </c>
      <c r="I47" s="13">
        <f t="shared" ref="I47:I53" si="16">F36</f>
        <v>213602282.25222278</v>
      </c>
      <c r="J47" s="13">
        <f t="shared" ref="J47:J53" si="17">I47+($G36-$F36)/($L$45-$I$45)</f>
        <v>220095060.18671253</v>
      </c>
      <c r="K47" s="13">
        <f t="shared" ref="K47:K53" si="18">J47+($G36-$F36)/($L$45-$I$45)</f>
        <v>226587838.12120229</v>
      </c>
      <c r="L47" s="13">
        <f t="shared" si="9"/>
        <v>233080616.05569208</v>
      </c>
      <c r="N47" s="137" t="s">
        <v>9</v>
      </c>
      <c r="O47" s="158">
        <f>Interpolation_of_passenger_kilometers_by_mode[[#This Row],[2009]]/1000000000</f>
        <v>0.2239831678660924</v>
      </c>
      <c r="P47" s="158">
        <f>Interpolation_of_passenger_kilometers_by_mode[[#This Row],[2010]]/1000000000</f>
        <v>0.20555065302885583</v>
      </c>
      <c r="Q47" s="158">
        <f>Interpolation_of_passenger_kilometers_by_mode[[#This Row],[2011]]/1000000000</f>
        <v>0.18711813819161924</v>
      </c>
      <c r="R47" s="158">
        <f>Interpolation_of_passenger_kilometers_by_mode[[#This Row],[2012]]/1000000000</f>
        <v>0.16868562335438264</v>
      </c>
      <c r="S47" s="158">
        <f>Interpolation_of_passenger_kilometers_by_mode[[#This Row],[2013]]/1000000000</f>
        <v>0.14551474773957029</v>
      </c>
      <c r="T47" s="158">
        <f>Interpolation_of_passenger_kilometers_by_mode[[#This Row],[2014]]/1000000000</f>
        <v>0.19972840791332669</v>
      </c>
      <c r="U47" s="158">
        <f>Interpolation_of_passenger_kilometers_by_mode[[#This Row],[2015]]/1000000000</f>
        <v>0.20666534508277473</v>
      </c>
      <c r="V47" s="158">
        <f>Interpolation_of_passenger_kilometers_by_mode[[#This Row],[2016]]/1000000000</f>
        <v>0.21360228225222277</v>
      </c>
      <c r="W47" s="158">
        <f>Interpolation_of_passenger_kilometers_by_mode[[#This Row],[2017]]/1000000000</f>
        <v>0.22009506018671254</v>
      </c>
      <c r="X47" s="158">
        <f>Interpolation_of_passenger_kilometers_by_mode[[#This Row],[2018]]/1000000000</f>
        <v>0.22658783812120228</v>
      </c>
      <c r="Y47" s="158">
        <f>Interpolation_of_passenger_kilometers_by_mode[[#This Row],[2019]]/1000000000</f>
        <v>0.23308061605569208</v>
      </c>
    </row>
    <row r="48" spans="1:25" s="89" customFormat="1" x14ac:dyDescent="0.25">
      <c r="A48" s="137" t="str">
        <f t="shared" ref="A48" si="19">A37</f>
        <v>Lorry/Motorcycle/Other</v>
      </c>
      <c r="B48" s="13">
        <f t="shared" si="11"/>
        <v>5875413924.046442</v>
      </c>
      <c r="C48" s="13">
        <f t="shared" si="12"/>
        <v>4931764118.9216518</v>
      </c>
      <c r="D48" s="13">
        <f t="shared" si="12"/>
        <v>3988114313.7968612</v>
      </c>
      <c r="E48" s="13">
        <f t="shared" si="13"/>
        <v>3044464508.67207</v>
      </c>
      <c r="F48" s="13">
        <f t="shared" ref="F48:G48" si="20">D37</f>
        <v>3443459091.9606371</v>
      </c>
      <c r="G48" s="13">
        <f t="shared" si="20"/>
        <v>3334832249.6264081</v>
      </c>
      <c r="H48" s="13">
        <f t="shared" si="15"/>
        <v>3773515610.8395071</v>
      </c>
      <c r="I48" s="13">
        <f t="shared" si="16"/>
        <v>4212198972.0526061</v>
      </c>
      <c r="J48" s="13">
        <f t="shared" si="17"/>
        <v>3920061469.4901867</v>
      </c>
      <c r="K48" s="13">
        <f t="shared" si="18"/>
        <v>3627923966.9277673</v>
      </c>
      <c r="L48" s="13">
        <f t="shared" si="9"/>
        <v>3335786464.3653483</v>
      </c>
      <c r="N48" s="137" t="s">
        <v>90</v>
      </c>
      <c r="O48" s="158">
        <f>Interpolation_of_passenger_kilometers_by_mode[[#This Row],[2009]]/1000000000</f>
        <v>5.875413924046442</v>
      </c>
      <c r="P48" s="158">
        <f>Interpolation_of_passenger_kilometers_by_mode[[#This Row],[2010]]/1000000000</f>
        <v>4.9317641189216515</v>
      </c>
      <c r="Q48" s="158">
        <f>Interpolation_of_passenger_kilometers_by_mode[[#This Row],[2011]]/1000000000</f>
        <v>3.9881143137968613</v>
      </c>
      <c r="R48" s="158">
        <f>Interpolation_of_passenger_kilometers_by_mode[[#This Row],[2012]]/1000000000</f>
        <v>3.0444645086720699</v>
      </c>
      <c r="S48" s="158">
        <f>Interpolation_of_passenger_kilometers_by_mode[[#This Row],[2013]]/1000000000</f>
        <v>3.4434590919606372</v>
      </c>
      <c r="T48" s="158">
        <f>Interpolation_of_passenger_kilometers_by_mode[[#This Row],[2014]]/1000000000</f>
        <v>3.334832249626408</v>
      </c>
      <c r="U48" s="158">
        <f>Interpolation_of_passenger_kilometers_by_mode[[#This Row],[2015]]/1000000000</f>
        <v>3.7735156108395072</v>
      </c>
      <c r="V48" s="158">
        <f>Interpolation_of_passenger_kilometers_by_mode[[#This Row],[2016]]/1000000000</f>
        <v>4.2121989720526063</v>
      </c>
      <c r="W48" s="158">
        <f>Interpolation_of_passenger_kilometers_by_mode[[#This Row],[2017]]/1000000000</f>
        <v>3.9200614694901867</v>
      </c>
      <c r="X48" s="158">
        <f>Interpolation_of_passenger_kilometers_by_mode[[#This Row],[2018]]/1000000000</f>
        <v>3.6279239669277672</v>
      </c>
      <c r="Y48" s="158">
        <f>Interpolation_of_passenger_kilometers_by_mode[[#This Row],[2019]]/1000000000</f>
        <v>3.3357864643653485</v>
      </c>
    </row>
    <row r="49" spans="1:25" s="89" customFormat="1" x14ac:dyDescent="0.25">
      <c r="A49" s="137" t="str">
        <f t="shared" ref="A49" si="21">A38</f>
        <v>Private car - Driver</v>
      </c>
      <c r="B49" s="13">
        <f t="shared" si="11"/>
        <v>41186265414.625694</v>
      </c>
      <c r="C49" s="13">
        <f t="shared" si="12"/>
        <v>39940480043.855347</v>
      </c>
      <c r="D49" s="13">
        <f t="shared" si="12"/>
        <v>38694694673.084999</v>
      </c>
      <c r="E49" s="13">
        <f t="shared" si="13"/>
        <v>37448909302.314651</v>
      </c>
      <c r="F49" s="13">
        <f t="shared" ref="F49:G49" si="22">D38</f>
        <v>40897858608.807022</v>
      </c>
      <c r="G49" s="13">
        <f t="shared" si="22"/>
        <v>41379942945.20134</v>
      </c>
      <c r="H49" s="13">
        <f t="shared" si="15"/>
        <v>44463509562.758942</v>
      </c>
      <c r="I49" s="13">
        <f t="shared" si="16"/>
        <v>47547076180.316536</v>
      </c>
      <c r="J49" s="13">
        <f t="shared" si="17"/>
        <v>46074859894.918442</v>
      </c>
      <c r="K49" s="13">
        <f t="shared" si="18"/>
        <v>44602643609.520348</v>
      </c>
      <c r="L49" s="13">
        <f t="shared" si="9"/>
        <v>43130427324.122261</v>
      </c>
      <c r="N49" s="137" t="s">
        <v>5</v>
      </c>
      <c r="O49" s="158">
        <f>Interpolation_of_passenger_kilometers_by_mode[[#This Row],[2009]]/1000000000</f>
        <v>41.186265414625694</v>
      </c>
      <c r="P49" s="158">
        <f>Interpolation_of_passenger_kilometers_by_mode[[#This Row],[2010]]/1000000000</f>
        <v>39.940480043855345</v>
      </c>
      <c r="Q49" s="158">
        <f>Interpolation_of_passenger_kilometers_by_mode[[#This Row],[2011]]/1000000000</f>
        <v>38.694694673084996</v>
      </c>
      <c r="R49" s="158">
        <f>Interpolation_of_passenger_kilometers_by_mode[[#This Row],[2012]]/1000000000</f>
        <v>37.448909302314654</v>
      </c>
      <c r="S49" s="158">
        <f>Interpolation_of_passenger_kilometers_by_mode[[#This Row],[2013]]/1000000000</f>
        <v>40.89785860880702</v>
      </c>
      <c r="T49" s="158">
        <f>Interpolation_of_passenger_kilometers_by_mode[[#This Row],[2014]]/1000000000</f>
        <v>41.379942945201343</v>
      </c>
      <c r="U49" s="158">
        <f>Interpolation_of_passenger_kilometers_by_mode[[#This Row],[2015]]/1000000000</f>
        <v>44.463509562758944</v>
      </c>
      <c r="V49" s="158">
        <f>Interpolation_of_passenger_kilometers_by_mode[[#This Row],[2016]]/1000000000</f>
        <v>47.547076180316537</v>
      </c>
      <c r="W49" s="158">
        <f>Interpolation_of_passenger_kilometers_by_mode[[#This Row],[2017]]/1000000000</f>
        <v>46.07485989491844</v>
      </c>
      <c r="X49" s="158">
        <f>Interpolation_of_passenger_kilometers_by_mode[[#This Row],[2018]]/1000000000</f>
        <v>44.602643609520349</v>
      </c>
      <c r="Y49" s="158">
        <f>Interpolation_of_passenger_kilometers_by_mode[[#This Row],[2019]]/1000000000</f>
        <v>43.130427324122259</v>
      </c>
    </row>
    <row r="50" spans="1:25" s="89" customFormat="1" x14ac:dyDescent="0.25">
      <c r="A50" s="137" t="str">
        <f t="shared" ref="A50" si="23">A39</f>
        <v>Private car - Passenger</v>
      </c>
      <c r="B50" s="13">
        <f t="shared" si="11"/>
        <v>7789254559.7352896</v>
      </c>
      <c r="C50" s="13">
        <f t="shared" si="12"/>
        <v>7374774519.7272787</v>
      </c>
      <c r="D50" s="13">
        <f t="shared" si="12"/>
        <v>6960294479.7192678</v>
      </c>
      <c r="E50" s="13">
        <f t="shared" si="13"/>
        <v>6545814439.711257</v>
      </c>
      <c r="F50" s="13">
        <f t="shared" ref="F50:G50" si="24">D39</f>
        <v>6533218281.3236027</v>
      </c>
      <c r="G50" s="13">
        <f t="shared" si="24"/>
        <v>6799367587.5175657</v>
      </c>
      <c r="H50" s="13">
        <f t="shared" si="15"/>
        <v>6586395148.4300165</v>
      </c>
      <c r="I50" s="13">
        <f t="shared" si="16"/>
        <v>6373422709.3424673</v>
      </c>
      <c r="J50" s="13">
        <f t="shared" si="17"/>
        <v>7846436876.3303118</v>
      </c>
      <c r="K50" s="13">
        <f t="shared" si="18"/>
        <v>9319451043.3181553</v>
      </c>
      <c r="L50" s="13">
        <f t="shared" si="9"/>
        <v>10792465210.306</v>
      </c>
      <c r="N50" s="137" t="s">
        <v>6</v>
      </c>
      <c r="O50" s="158">
        <f>Interpolation_of_passenger_kilometers_by_mode[[#This Row],[2009]]/1000000000</f>
        <v>7.7892545597352898</v>
      </c>
      <c r="P50" s="158">
        <f>Interpolation_of_passenger_kilometers_by_mode[[#This Row],[2010]]/1000000000</f>
        <v>7.3747745197272785</v>
      </c>
      <c r="Q50" s="158">
        <f>Interpolation_of_passenger_kilometers_by_mode[[#This Row],[2011]]/1000000000</f>
        <v>6.9602944797192681</v>
      </c>
      <c r="R50" s="158">
        <f>Interpolation_of_passenger_kilometers_by_mode[[#This Row],[2012]]/1000000000</f>
        <v>6.5458144397112568</v>
      </c>
      <c r="S50" s="158">
        <f>Interpolation_of_passenger_kilometers_by_mode[[#This Row],[2013]]/1000000000</f>
        <v>6.5332182813236024</v>
      </c>
      <c r="T50" s="158">
        <f>Interpolation_of_passenger_kilometers_by_mode[[#This Row],[2014]]/1000000000</f>
        <v>6.7993675875175654</v>
      </c>
      <c r="U50" s="158">
        <f>Interpolation_of_passenger_kilometers_by_mode[[#This Row],[2015]]/1000000000</f>
        <v>6.5863951484300163</v>
      </c>
      <c r="V50" s="158">
        <f>Interpolation_of_passenger_kilometers_by_mode[[#This Row],[2016]]/1000000000</f>
        <v>6.3734227093424671</v>
      </c>
      <c r="W50" s="158">
        <f>Interpolation_of_passenger_kilometers_by_mode[[#This Row],[2017]]/1000000000</f>
        <v>7.8464368763303121</v>
      </c>
      <c r="X50" s="158">
        <f>Interpolation_of_passenger_kilometers_by_mode[[#This Row],[2018]]/1000000000</f>
        <v>9.3194510433181552</v>
      </c>
      <c r="Y50" s="158">
        <f>Interpolation_of_passenger_kilometers_by_mode[[#This Row],[2019]]/1000000000</f>
        <v>10.792465210306</v>
      </c>
    </row>
    <row r="51" spans="1:25" s="89" customFormat="1" x14ac:dyDescent="0.25">
      <c r="A51" s="137" t="str">
        <f t="shared" ref="A51" si="25">A40</f>
        <v>Rail/Dart/Luas</v>
      </c>
      <c r="B51" s="13">
        <f t="shared" si="11"/>
        <v>2755466733.4071422</v>
      </c>
      <c r="C51" s="13">
        <f t="shared" si="12"/>
        <v>2536243629.7317185</v>
      </c>
      <c r="D51" s="13">
        <f t="shared" si="12"/>
        <v>2317020526.0562949</v>
      </c>
      <c r="E51" s="13">
        <f t="shared" si="13"/>
        <v>2097797422.3808711</v>
      </c>
      <c r="F51" s="13">
        <f t="shared" ref="F51:G51" si="26">D40</f>
        <v>2141662556.5333641</v>
      </c>
      <c r="G51" s="13">
        <f t="shared" si="26"/>
        <v>2709659549.1139545</v>
      </c>
      <c r="H51" s="13">
        <f t="shared" si="15"/>
        <v>2392121338.0469012</v>
      </c>
      <c r="I51" s="13">
        <f t="shared" si="16"/>
        <v>2074583126.9798479</v>
      </c>
      <c r="J51" s="13">
        <f t="shared" si="17"/>
        <v>2699058700.1352186</v>
      </c>
      <c r="K51" s="13">
        <f t="shared" si="18"/>
        <v>3323534273.2905893</v>
      </c>
      <c r="L51" s="13">
        <f t="shared" si="9"/>
        <v>3948009846.44596</v>
      </c>
      <c r="N51" s="137" t="s">
        <v>10</v>
      </c>
      <c r="O51" s="158">
        <f>Interpolation_of_passenger_kilometers_by_mode[[#This Row],[2009]]/1000000000</f>
        <v>2.7554667334071423</v>
      </c>
      <c r="P51" s="158">
        <f>Interpolation_of_passenger_kilometers_by_mode[[#This Row],[2010]]/1000000000</f>
        <v>2.5362436297317186</v>
      </c>
      <c r="Q51" s="158">
        <f>Interpolation_of_passenger_kilometers_by_mode[[#This Row],[2011]]/1000000000</f>
        <v>2.3170205260562948</v>
      </c>
      <c r="R51" s="158">
        <f>Interpolation_of_passenger_kilometers_by_mode[[#This Row],[2012]]/1000000000</f>
        <v>2.0977974223808711</v>
      </c>
      <c r="S51" s="158">
        <f>Interpolation_of_passenger_kilometers_by_mode[[#This Row],[2013]]/1000000000</f>
        <v>2.141662556533364</v>
      </c>
      <c r="T51" s="158">
        <f>Interpolation_of_passenger_kilometers_by_mode[[#This Row],[2014]]/1000000000</f>
        <v>2.7096595491139546</v>
      </c>
      <c r="U51" s="158">
        <f>Interpolation_of_passenger_kilometers_by_mode[[#This Row],[2015]]/1000000000</f>
        <v>2.3921213380469011</v>
      </c>
      <c r="V51" s="158">
        <f>Interpolation_of_passenger_kilometers_by_mode[[#This Row],[2016]]/1000000000</f>
        <v>2.074583126979848</v>
      </c>
      <c r="W51" s="158">
        <f>Interpolation_of_passenger_kilometers_by_mode[[#This Row],[2017]]/1000000000</f>
        <v>2.6990587001352186</v>
      </c>
      <c r="X51" s="158">
        <f>Interpolation_of_passenger_kilometers_by_mode[[#This Row],[2018]]/1000000000</f>
        <v>3.3235342732905893</v>
      </c>
      <c r="Y51" s="158">
        <f>Interpolation_of_passenger_kilometers_by_mode[[#This Row],[2019]]/1000000000</f>
        <v>3.9480098464459599</v>
      </c>
    </row>
    <row r="52" spans="1:25" s="89" customFormat="1" x14ac:dyDescent="0.25">
      <c r="A52" s="137" t="str">
        <f t="shared" ref="A52" si="27">A41</f>
        <v>Taxi/hackney</v>
      </c>
      <c r="B52" s="13">
        <f t="shared" si="11"/>
        <v>0</v>
      </c>
      <c r="C52" s="13">
        <f t="shared" si="12"/>
        <v>66810417.845929325</v>
      </c>
      <c r="D52" s="13">
        <f t="shared" si="12"/>
        <v>133620835.69185865</v>
      </c>
      <c r="E52" s="13">
        <f t="shared" si="13"/>
        <v>200431253.53778797</v>
      </c>
      <c r="F52" s="13">
        <f t="shared" ref="F52:G52" si="28">D41</f>
        <v>175307461.32720459</v>
      </c>
      <c r="G52" s="13">
        <f t="shared" si="28"/>
        <v>179885559.24640933</v>
      </c>
      <c r="H52" s="13">
        <f t="shared" si="15"/>
        <v>191272501.86110705</v>
      </c>
      <c r="I52" s="13">
        <f t="shared" si="16"/>
        <v>202659444.47580478</v>
      </c>
      <c r="J52" s="13">
        <f t="shared" si="17"/>
        <v>235786560.52003828</v>
      </c>
      <c r="K52" s="13">
        <f t="shared" si="18"/>
        <v>268913676.56427175</v>
      </c>
      <c r="L52" s="13">
        <f t="shared" si="9"/>
        <v>302040792.60850525</v>
      </c>
      <c r="N52" s="137" t="s">
        <v>11</v>
      </c>
      <c r="O52" s="158">
        <f>Interpolation_of_passenger_kilometers_by_mode[[#This Row],[2009]]/1000000000</f>
        <v>0</v>
      </c>
      <c r="P52" s="158">
        <f>Interpolation_of_passenger_kilometers_by_mode[[#This Row],[2010]]/1000000000</f>
        <v>6.6810417845929324E-2</v>
      </c>
      <c r="Q52" s="158">
        <f>Interpolation_of_passenger_kilometers_by_mode[[#This Row],[2011]]/1000000000</f>
        <v>0.13362083569185865</v>
      </c>
      <c r="R52" s="158">
        <f>Interpolation_of_passenger_kilometers_by_mode[[#This Row],[2012]]/1000000000</f>
        <v>0.20043125353778798</v>
      </c>
      <c r="S52" s="158">
        <f>Interpolation_of_passenger_kilometers_by_mode[[#This Row],[2013]]/1000000000</f>
        <v>0.17530746132720459</v>
      </c>
      <c r="T52" s="158">
        <f>Interpolation_of_passenger_kilometers_by_mode[[#This Row],[2014]]/1000000000</f>
        <v>0.17988555924640934</v>
      </c>
      <c r="U52" s="158">
        <f>Interpolation_of_passenger_kilometers_by_mode[[#This Row],[2015]]/1000000000</f>
        <v>0.19127250186110706</v>
      </c>
      <c r="V52" s="158">
        <f>Interpolation_of_passenger_kilometers_by_mode[[#This Row],[2016]]/1000000000</f>
        <v>0.20265944447580478</v>
      </c>
      <c r="W52" s="158">
        <f>Interpolation_of_passenger_kilometers_by_mode[[#This Row],[2017]]/1000000000</f>
        <v>0.23578656052003827</v>
      </c>
      <c r="X52" s="158">
        <f>Interpolation_of_passenger_kilometers_by_mode[[#This Row],[2018]]/1000000000</f>
        <v>0.26891367656427173</v>
      </c>
      <c r="Y52" s="158">
        <f>Interpolation_of_passenger_kilometers_by_mode[[#This Row],[2019]]/1000000000</f>
        <v>0.30204079260850525</v>
      </c>
    </row>
    <row r="53" spans="1:25" s="89" customFormat="1" x14ac:dyDescent="0.25">
      <c r="A53" s="137" t="str">
        <f t="shared" ref="A53" si="29">A42</f>
        <v>Walk</v>
      </c>
      <c r="B53" s="13">
        <f t="shared" si="11"/>
        <v>157552739.62167439</v>
      </c>
      <c r="C53" s="13">
        <f t="shared" si="12"/>
        <v>145988890.88306299</v>
      </c>
      <c r="D53" s="13">
        <f t="shared" si="12"/>
        <v>134425042.14445159</v>
      </c>
      <c r="E53" s="13">
        <f t="shared" si="13"/>
        <v>122861193.40584016</v>
      </c>
      <c r="F53" s="13">
        <f t="shared" ref="F53:G53" si="30">D42</f>
        <v>157166834.45463219</v>
      </c>
      <c r="G53" s="13">
        <f t="shared" si="30"/>
        <v>198715758.57007572</v>
      </c>
      <c r="H53" s="13">
        <f t="shared" si="15"/>
        <v>169405646.95680004</v>
      </c>
      <c r="I53" s="13">
        <f t="shared" si="16"/>
        <v>140095535.3435244</v>
      </c>
      <c r="J53" s="13">
        <f t="shared" si="17"/>
        <v>194533493.12747893</v>
      </c>
      <c r="K53" s="13">
        <f t="shared" si="18"/>
        <v>248971450.91143346</v>
      </c>
      <c r="L53" s="13">
        <f t="shared" si="9"/>
        <v>303409408.69538796</v>
      </c>
      <c r="N53" s="137" t="s">
        <v>7</v>
      </c>
      <c r="O53" s="158">
        <f>Interpolation_of_passenger_kilometers_by_mode[[#This Row],[2009]]/1000000000</f>
        <v>0.15755273962167438</v>
      </c>
      <c r="P53" s="158">
        <f>Interpolation_of_passenger_kilometers_by_mode[[#This Row],[2010]]/1000000000</f>
        <v>0.14598889088306299</v>
      </c>
      <c r="Q53" s="158">
        <f>Interpolation_of_passenger_kilometers_by_mode[[#This Row],[2011]]/1000000000</f>
        <v>0.13442504214445158</v>
      </c>
      <c r="R53" s="158">
        <f>Interpolation_of_passenger_kilometers_by_mode[[#This Row],[2012]]/1000000000</f>
        <v>0.12286119340584016</v>
      </c>
      <c r="S53" s="158">
        <f>Interpolation_of_passenger_kilometers_by_mode[[#This Row],[2013]]/1000000000</f>
        <v>0.1571668344546322</v>
      </c>
      <c r="T53" s="158">
        <f>Interpolation_of_passenger_kilometers_by_mode[[#This Row],[2014]]/1000000000</f>
        <v>0.19871575857007573</v>
      </c>
      <c r="U53" s="158">
        <f>Interpolation_of_passenger_kilometers_by_mode[[#This Row],[2015]]/1000000000</f>
        <v>0.16940564695680005</v>
      </c>
      <c r="V53" s="158">
        <f>Interpolation_of_passenger_kilometers_by_mode[[#This Row],[2016]]/1000000000</f>
        <v>0.1400955353435244</v>
      </c>
      <c r="W53" s="158">
        <f>Interpolation_of_passenger_kilometers_by_mode[[#This Row],[2017]]/1000000000</f>
        <v>0.19453349312747892</v>
      </c>
      <c r="X53" s="158">
        <f>Interpolation_of_passenger_kilometers_by_mode[[#This Row],[2018]]/1000000000</f>
        <v>0.24897145091143347</v>
      </c>
      <c r="Y53" s="158">
        <f>Interpolation_of_passenger_kilometers_by_mode[[#This Row],[2019]]/1000000000</f>
        <v>0.30340940869538796</v>
      </c>
    </row>
    <row r="54" spans="1:25" s="89" customFormat="1" x14ac:dyDescent="0.25">
      <c r="A54" s="32" t="s">
        <v>4</v>
      </c>
      <c r="B54" s="114">
        <f>B43</f>
        <v>60795670201.850075</v>
      </c>
      <c r="C54" s="114">
        <f t="shared" si="12"/>
        <v>57786067882.499557</v>
      </c>
      <c r="D54" s="114">
        <f t="shared" si="12"/>
        <v>54776465563.14904</v>
      </c>
      <c r="E54" s="114">
        <f t="shared" si="13"/>
        <v>51766863243.798523</v>
      </c>
      <c r="F54" s="114">
        <f t="shared" ref="F54:G54" si="31">D43</f>
        <v>56214168696.681839</v>
      </c>
      <c r="G54" s="114">
        <f t="shared" si="31"/>
        <v>57861823020.251381</v>
      </c>
      <c r="H54" s="114">
        <f t="shared" si="15"/>
        <v>60335344735.130432</v>
      </c>
      <c r="I54" s="114">
        <f>SUM(I46:I53)</f>
        <v>62808866450.009476</v>
      </c>
      <c r="J54" s="114">
        <f>SUM(J46:J53)</f>
        <v>63768564436.557884</v>
      </c>
      <c r="K54" s="114">
        <f>SUM(K46:K53)</f>
        <v>64728262423.106293</v>
      </c>
      <c r="L54" s="114">
        <f>SUM(L46:L53)</f>
        <v>65687960409.654716</v>
      </c>
      <c r="N54" s="160" t="s">
        <v>4</v>
      </c>
      <c r="O54" s="161">
        <f>Interpolation_of_passenger_kilometers_by_mode[[#This Row],[2009]]/1000000000</f>
        <v>60.795670201850072</v>
      </c>
      <c r="P54" s="161">
        <f>Interpolation_of_passenger_kilometers_by_mode[[#This Row],[2010]]/1000000000</f>
        <v>57.786067882499559</v>
      </c>
      <c r="Q54" s="161">
        <f>Interpolation_of_passenger_kilometers_by_mode[[#This Row],[2011]]/1000000000</f>
        <v>54.776465563149038</v>
      </c>
      <c r="R54" s="161">
        <f>Interpolation_of_passenger_kilometers_by_mode[[#This Row],[2012]]/1000000000</f>
        <v>51.766863243798525</v>
      </c>
      <c r="S54" s="161">
        <f>Interpolation_of_passenger_kilometers_by_mode[[#This Row],[2013]]/1000000000</f>
        <v>56.214168696681838</v>
      </c>
      <c r="T54" s="161">
        <f>Interpolation_of_passenger_kilometers_by_mode[[#This Row],[2014]]/1000000000</f>
        <v>57.861823020251379</v>
      </c>
      <c r="U54" s="161">
        <f>Interpolation_of_passenger_kilometers_by_mode[[#This Row],[2015]]/1000000000</f>
        <v>60.335344735130434</v>
      </c>
      <c r="V54" s="161">
        <f>Interpolation_of_passenger_kilometers_by_mode[[#This Row],[2016]]/1000000000</f>
        <v>62.808866450009475</v>
      </c>
      <c r="W54" s="161">
        <f>Interpolation_of_passenger_kilometers_by_mode[[#This Row],[2017]]/1000000000</f>
        <v>63.768564436557881</v>
      </c>
      <c r="X54" s="161">
        <f>Interpolation_of_passenger_kilometers_by_mode[[#This Row],[2018]]/1000000000</f>
        <v>64.728262423106287</v>
      </c>
      <c r="Y54" s="161">
        <f>Interpolation_of_passenger_kilometers_by_mode[[#This Row],[2019]]/1000000000</f>
        <v>65.687960409654721</v>
      </c>
    </row>
    <row r="55" spans="1:25" s="89" customFormat="1" x14ac:dyDescent="0.25">
      <c r="A55" s="149"/>
      <c r="B55" s="150"/>
      <c r="C55" s="150"/>
      <c r="D55" s="150"/>
      <c r="E55" s="150"/>
      <c r="F55" s="150"/>
      <c r="G55" s="150"/>
      <c r="H55" s="150"/>
      <c r="I55" s="150"/>
      <c r="J55" s="150">
        <f>J46-I46</f>
        <v>532504182.60303354</v>
      </c>
      <c r="K55" s="150">
        <f t="shared" ref="K55:L55" si="32">K46-J46</f>
        <v>532504182.60303354</v>
      </c>
      <c r="L55" s="150">
        <f t="shared" si="32"/>
        <v>532504182.60303354</v>
      </c>
    </row>
    <row r="56" spans="1:25" s="89" customFormat="1" x14ac:dyDescent="0.25">
      <c r="J56" s="150"/>
      <c r="K56" s="150"/>
      <c r="L56" s="150"/>
    </row>
    <row r="57" spans="1:25" x14ac:dyDescent="0.25">
      <c r="A57" s="26" t="s">
        <v>386</v>
      </c>
      <c r="B57" s="26" t="s">
        <v>84</v>
      </c>
      <c r="J57" s="150"/>
      <c r="K57" s="150"/>
      <c r="L57" s="150"/>
    </row>
    <row r="58" spans="1:25" x14ac:dyDescent="0.25">
      <c r="A58" s="26" t="s">
        <v>81</v>
      </c>
      <c r="B58" s="89" t="s">
        <v>128</v>
      </c>
      <c r="C58" s="89" t="s">
        <v>32</v>
      </c>
      <c r="D58" s="89" t="s">
        <v>33</v>
      </c>
      <c r="E58" s="89" t="s">
        <v>34</v>
      </c>
      <c r="F58" s="89" t="s">
        <v>36</v>
      </c>
      <c r="G58" s="89" t="s">
        <v>39</v>
      </c>
      <c r="J58" s="150"/>
      <c r="K58" s="150"/>
      <c r="L58" s="150"/>
    </row>
    <row r="59" spans="1:25" x14ac:dyDescent="0.25">
      <c r="A59" s="27" t="s">
        <v>49</v>
      </c>
      <c r="B59" s="13">
        <v>4912442902.313571</v>
      </c>
      <c r="C59" s="13">
        <v>7543422006.4335108</v>
      </c>
      <c r="D59" s="13">
        <v>8048756454.5379753</v>
      </c>
      <c r="E59" s="13">
        <v>5756282082.9487886</v>
      </c>
      <c r="F59" s="13">
        <v>7113843532.1462078</v>
      </c>
      <c r="G59" s="13">
        <v>10272282948.647999</v>
      </c>
      <c r="J59" s="150"/>
      <c r="K59" s="150"/>
      <c r="L59" s="150"/>
    </row>
    <row r="60" spans="1:25" x14ac:dyDescent="0.25">
      <c r="A60" s="27" t="s">
        <v>43</v>
      </c>
      <c r="B60" s="13">
        <v>2294831660.2199998</v>
      </c>
      <c r="C60" s="13">
        <v>2141163207.222338</v>
      </c>
      <c r="D60" s="13">
        <v>2777588776.8574338</v>
      </c>
      <c r="E60" s="13">
        <v>1972836667.3669925</v>
      </c>
      <c r="F60" s="13">
        <v>1656867602.8245873</v>
      </c>
      <c r="G60" s="13">
        <v>1719725549.52</v>
      </c>
      <c r="J60" s="150"/>
      <c r="K60" s="150"/>
      <c r="L60" s="150"/>
    </row>
    <row r="61" spans="1:25" x14ac:dyDescent="0.25">
      <c r="A61" s="27" t="s">
        <v>47</v>
      </c>
      <c r="B61" s="13">
        <v>3875062196.0442853</v>
      </c>
      <c r="C61" s="13">
        <v>4701410989.9304457</v>
      </c>
      <c r="D61" s="13">
        <v>7262984713.167099</v>
      </c>
      <c r="E61" s="13">
        <v>5771980169.5604744</v>
      </c>
      <c r="F61" s="13">
        <v>5678479202.9397249</v>
      </c>
      <c r="G61" s="13">
        <v>5927529150.2879992</v>
      </c>
      <c r="J61" s="150"/>
      <c r="K61" s="150"/>
      <c r="L61" s="150"/>
    </row>
    <row r="62" spans="1:25" x14ac:dyDescent="0.25">
      <c r="A62" s="27" t="s">
        <v>50</v>
      </c>
      <c r="B62" s="13">
        <v>5507218473.9235697</v>
      </c>
      <c r="C62" s="13">
        <v>1789030939.040343</v>
      </c>
      <c r="D62" s="13">
        <v>2681463899.1065645</v>
      </c>
      <c r="E62" s="13">
        <v>3012806606.9094148</v>
      </c>
      <c r="F62" s="13">
        <v>2112851864.4577448</v>
      </c>
      <c r="G62" s="13">
        <v>2400579078.5760002</v>
      </c>
      <c r="J62" s="150"/>
      <c r="K62" s="150"/>
      <c r="L62" s="150"/>
    </row>
    <row r="63" spans="1:25" x14ac:dyDescent="0.25">
      <c r="A63" s="27" t="s">
        <v>48</v>
      </c>
      <c r="B63" s="13">
        <v>4968776942.297142</v>
      </c>
      <c r="C63" s="13">
        <v>3236252222.0904484</v>
      </c>
      <c r="D63" s="13">
        <v>3121411922.0722361</v>
      </c>
      <c r="E63" s="13">
        <v>3400424950.5024071</v>
      </c>
      <c r="F63" s="13">
        <v>4101953562.3256531</v>
      </c>
      <c r="G63" s="13">
        <v>3993511021.5359998</v>
      </c>
      <c r="J63" s="150"/>
      <c r="K63" s="150"/>
      <c r="L63" s="150"/>
    </row>
    <row r="64" spans="1:25" x14ac:dyDescent="0.25">
      <c r="A64" s="27" t="s">
        <v>44</v>
      </c>
      <c r="B64" s="13">
        <v>10147549167.737141</v>
      </c>
      <c r="C64" s="13">
        <v>9249623193.2042999</v>
      </c>
      <c r="D64" s="13">
        <v>13438610800.787188</v>
      </c>
      <c r="E64" s="13">
        <v>10992314145.931013</v>
      </c>
      <c r="F64" s="13">
        <v>11308825355.705648</v>
      </c>
      <c r="G64" s="13">
        <v>12311245716.216</v>
      </c>
      <c r="J64" s="150"/>
      <c r="K64" s="150"/>
      <c r="L64" s="150"/>
    </row>
    <row r="65" spans="1:7" x14ac:dyDescent="0.25">
      <c r="A65" s="27" t="s">
        <v>45</v>
      </c>
      <c r="B65" s="13">
        <v>736414184.05499995</v>
      </c>
      <c r="C65" s="13">
        <v>742360774.25889802</v>
      </c>
      <c r="D65" s="13">
        <v>1228135960.7301898</v>
      </c>
      <c r="E65" s="13">
        <v>734268717.88953209</v>
      </c>
      <c r="F65" s="13">
        <v>1001872136.7338737</v>
      </c>
      <c r="G65" s="13">
        <v>1746029369.7119999</v>
      </c>
    </row>
    <row r="66" spans="1:7" x14ac:dyDescent="0.25">
      <c r="A66" s="27" t="s">
        <v>46</v>
      </c>
      <c r="B66" s="13">
        <v>7027564286.1599998</v>
      </c>
      <c r="C66" s="13">
        <v>6560212648.3214722</v>
      </c>
      <c r="D66" s="13">
        <v>5469797669.5738354</v>
      </c>
      <c r="E66" s="13">
        <v>7576455423.9867735</v>
      </c>
      <c r="F66" s="13">
        <v>6533402243.0485096</v>
      </c>
      <c r="G66" s="13">
        <v>7830232286.8319998</v>
      </c>
    </row>
    <row r="67" spans="1:7" x14ac:dyDescent="0.25">
      <c r="A67" s="27" t="s">
        <v>42</v>
      </c>
      <c r="B67" s="13">
        <v>21336198042.177856</v>
      </c>
      <c r="C67" s="13">
        <v>15820470812.154762</v>
      </c>
      <c r="D67" s="13">
        <v>12212433391.061647</v>
      </c>
      <c r="E67" s="13">
        <v>18622699272.893982</v>
      </c>
      <c r="F67" s="13">
        <v>23327562086.774952</v>
      </c>
      <c r="G67" s="13">
        <v>19465135173.191998</v>
      </c>
    </row>
    <row r="68" spans="1:7" x14ac:dyDescent="0.25">
      <c r="A68" s="27" t="s">
        <v>82</v>
      </c>
      <c r="B68" s="13">
        <v>60806057854.928566</v>
      </c>
      <c r="C68" s="13">
        <v>51783946792.656517</v>
      </c>
      <c r="D68" s="13">
        <v>56241183587.894165</v>
      </c>
      <c r="E68" s="13">
        <v>57840068037.98938</v>
      </c>
      <c r="F68" s="13">
        <v>62835657586.956909</v>
      </c>
      <c r="G68" s="13">
        <v>65666270294.519989</v>
      </c>
    </row>
    <row r="70" spans="1:7" ht="15.75" thickBot="1" x14ac:dyDescent="0.3">
      <c r="A70" s="87" t="s">
        <v>226</v>
      </c>
      <c r="B70" s="87" t="s">
        <v>128</v>
      </c>
      <c r="C70" s="87" t="s">
        <v>32</v>
      </c>
      <c r="D70" s="87" t="s">
        <v>33</v>
      </c>
      <c r="E70" s="87" t="s">
        <v>34</v>
      </c>
      <c r="F70" s="87" t="s">
        <v>36</v>
      </c>
      <c r="G70" s="87" t="s">
        <v>39</v>
      </c>
    </row>
    <row r="71" spans="1:7" ht="15.75" thickTop="1" x14ac:dyDescent="0.25">
      <c r="A71" s="88" t="s">
        <v>49</v>
      </c>
      <c r="B71" s="104">
        <f>GETPIVOTDATA("Total Passenger Kilometres",$A$57,"Year","2009","Trip purpose","Companion / escort journey")</f>
        <v>4912442902.313571</v>
      </c>
      <c r="C71" s="104">
        <f>GETPIVOTDATA("Total Passenger Kilometres",$A$57,"Year","2012","Trip purpose","Companion / escort journey")</f>
        <v>7543422006.4335108</v>
      </c>
      <c r="D71" s="104">
        <f>GETPIVOTDATA("Total Passenger Kilometres",$A$57,"Year","2013","Trip purpose","Companion / escort journey")</f>
        <v>8048756454.5379753</v>
      </c>
      <c r="E71" s="104">
        <f>GETPIVOTDATA("Total Passenger Kilometres",$A$57,"Year","2014","Trip purpose","Companion / escort journey")</f>
        <v>5756282082.9487886</v>
      </c>
      <c r="F71" s="104">
        <f>GETPIVOTDATA("Total Passenger Kilometres",$A$57,"Year","2016","Trip purpose","Companion / escort journey")</f>
        <v>7113843532.1462078</v>
      </c>
      <c r="G71" s="104">
        <f>GETPIVOTDATA("Total Passenger Kilometres",$A$57,"Year","2019","Trip purpose","Companion / escort journey")</f>
        <v>10272282948.647999</v>
      </c>
    </row>
    <row r="72" spans="1:7" x14ac:dyDescent="0.25">
      <c r="A72" s="88" t="s">
        <v>43</v>
      </c>
      <c r="B72" s="104">
        <f>GETPIVOTDATA("Total Passenger Kilometres",$A$57,"Year","2009","Trip purpose","Education")</f>
        <v>2294831660.2199998</v>
      </c>
      <c r="C72" s="104">
        <f>GETPIVOTDATA("Total Passenger Kilometres",$A$57,"Year","2012","Trip purpose","Education")</f>
        <v>2141163207.222338</v>
      </c>
      <c r="D72" s="104">
        <f>GETPIVOTDATA("Total Passenger Kilometres",$A$57,"Year","2013","Trip purpose","Education")</f>
        <v>2777588776.8574338</v>
      </c>
      <c r="E72" s="104">
        <f>GETPIVOTDATA("Total Passenger Kilometres",$A$57,"Year","2014","Trip purpose","Education")</f>
        <v>1972836667.3669925</v>
      </c>
      <c r="F72" s="104">
        <f>GETPIVOTDATA("Total Passenger Kilometres",$A$57,"Year","2016","Trip purpose","Education")</f>
        <v>1656867602.8245873</v>
      </c>
      <c r="G72" s="104">
        <f>GETPIVOTDATA("Total Passenger Kilometres",$A$57,"Year","2019","Trip purpose","Education")</f>
        <v>1719725549.52</v>
      </c>
    </row>
    <row r="73" spans="1:7" x14ac:dyDescent="0.25">
      <c r="A73" s="88" t="s">
        <v>47</v>
      </c>
      <c r="B73" s="104">
        <f>GETPIVOTDATA("Total Passenger Kilometres",$A$57,"Year","2009","Trip purpose","Entertainment / leisure / sports")</f>
        <v>3875062196.0442853</v>
      </c>
      <c r="C73" s="104">
        <f>GETPIVOTDATA("Total Passenger Kilometres",$A$57,"Year","2012","Trip purpose","Entertainment / leisure / sports")</f>
        <v>4701410989.9304457</v>
      </c>
      <c r="D73" s="104">
        <f>GETPIVOTDATA("Total Passenger Kilometres",$A$57,"Year","2013","Trip purpose","Entertainment / leisure / sports")</f>
        <v>7262984713.167099</v>
      </c>
      <c r="E73" s="104">
        <f>GETPIVOTDATA("Total Passenger Kilometres",$A$57,"Year","2014","Trip purpose","Entertainment / leisure / sports")</f>
        <v>5771980169.5604744</v>
      </c>
      <c r="F73" s="104">
        <f>GETPIVOTDATA("Total Passenger Kilometres",$A$57,"Year","2016","Trip purpose","Entertainment / leisure / sports")</f>
        <v>5678479202.9397249</v>
      </c>
      <c r="G73" s="104">
        <f>GETPIVOTDATA("Total Passenger Kilometres",$A$57,"Year","2019","Trip purpose","Entertainment / leisure / sports")</f>
        <v>5927529150.2879992</v>
      </c>
    </row>
    <row r="74" spans="1:7" x14ac:dyDescent="0.25">
      <c r="A74" s="88" t="s">
        <v>50</v>
      </c>
      <c r="B74" s="104">
        <f>GETPIVOTDATA("Total Passenger Kilometres",$A$57,"Year","2009","Trip purpose","Other")</f>
        <v>5507218473.9235697</v>
      </c>
      <c r="C74" s="104">
        <f>GETPIVOTDATA("Total Passenger Kilometres",$A$57,"Year","2012","Trip purpose","Other")</f>
        <v>1789030939.040343</v>
      </c>
      <c r="D74" s="104">
        <f>GETPIVOTDATA("Total Passenger Kilometres",$A$57,"Year","2013","Trip purpose","Other")</f>
        <v>2681463899.1065645</v>
      </c>
      <c r="E74" s="104">
        <f>GETPIVOTDATA("Total Passenger Kilometres",$A$57,"Year","2014","Trip purpose","Other")</f>
        <v>3012806606.9094148</v>
      </c>
      <c r="F74" s="104">
        <f>GETPIVOTDATA("Total Passenger Kilometres",$A$57,"Year","2016","Trip purpose","Other")</f>
        <v>2112851864.4577448</v>
      </c>
      <c r="G74" s="104">
        <f>GETPIVOTDATA("Total Passenger Kilometres",$A$57,"Year","2019","Trip purpose","Other")</f>
        <v>2400579078.5760002</v>
      </c>
    </row>
    <row r="75" spans="1:7" x14ac:dyDescent="0.25">
      <c r="A75" s="88" t="s">
        <v>48</v>
      </c>
      <c r="B75" s="104">
        <f>GETPIVOTDATA("Total Passenger Kilometres",$A$57,"Year","2009","Trip purpose","Personal business")</f>
        <v>4968776942.297142</v>
      </c>
      <c r="C75" s="104">
        <f>GETPIVOTDATA("Total Passenger Kilometres",$A$57,"Year","2012","Trip purpose","Personal business")</f>
        <v>3236252222.0904484</v>
      </c>
      <c r="D75" s="104">
        <f>GETPIVOTDATA("Total Passenger Kilometres",$A$57,"Year","2013","Trip purpose","Personal business")</f>
        <v>3121411922.0722361</v>
      </c>
      <c r="E75" s="104">
        <f>GETPIVOTDATA("Total Passenger Kilometres",$A$57,"Year","2014","Trip purpose","Personal business")</f>
        <v>3400424950.5024071</v>
      </c>
      <c r="F75" s="104">
        <f>GETPIVOTDATA("Total Passenger Kilometres",$A$57,"Year","2016","Trip purpose","Personal business")</f>
        <v>4101953562.3256531</v>
      </c>
      <c r="G75" s="104">
        <f>GETPIVOTDATA("Total Passenger Kilometres",$A$57,"Year","2019","Trip purpose","Personal business")</f>
        <v>3993511021.5359998</v>
      </c>
    </row>
    <row r="76" spans="1:7" x14ac:dyDescent="0.25">
      <c r="A76" s="88" t="s">
        <v>44</v>
      </c>
      <c r="B76" s="104">
        <f>GETPIVOTDATA("Total Passenger Kilometres",$A$57,"Year","2009","Trip purpose","Shopping")</f>
        <v>10147549167.737141</v>
      </c>
      <c r="C76" s="104">
        <f>GETPIVOTDATA("Total Passenger Kilometres",$A$57,"Year","2012","Trip purpose","Shopping")</f>
        <v>9249623193.2042999</v>
      </c>
      <c r="D76" s="104">
        <f>GETPIVOTDATA("Total Passenger Kilometres",$A$57,"Year","2013","Trip purpose","Shopping")</f>
        <v>13438610800.787188</v>
      </c>
      <c r="E76" s="104">
        <f>GETPIVOTDATA("Total Passenger Kilometres",$A$57,"Year","2014","Trip purpose","Shopping")</f>
        <v>10992314145.931013</v>
      </c>
      <c r="F76" s="104">
        <f>GETPIVOTDATA("Total Passenger Kilometres",$A$57,"Year","2016","Trip purpose","Shopping")</f>
        <v>11308825355.705648</v>
      </c>
      <c r="G76" s="104">
        <f>GETPIVOTDATA("Total Passenger Kilometres",$A$57,"Year","2019","Trip purpose","Shopping")</f>
        <v>12311245716.216</v>
      </c>
    </row>
    <row r="77" spans="1:7" x14ac:dyDescent="0.25">
      <c r="A77" s="88" t="s">
        <v>45</v>
      </c>
      <c r="B77" s="104">
        <f>GETPIVOTDATA("Total Passenger Kilometres",$A$57,"Year","2009","Trip purpose","To eat or drink")</f>
        <v>736414184.05499995</v>
      </c>
      <c r="C77" s="104">
        <f>GETPIVOTDATA("Total Passenger Kilometres",$A$57,"Year","2012","Trip purpose","To eat or drink")</f>
        <v>742360774.25889802</v>
      </c>
      <c r="D77" s="104">
        <f>GETPIVOTDATA("Total Passenger Kilometres",$A$57,"Year","2013","Trip purpose","To eat or drink")</f>
        <v>1228135960.7301898</v>
      </c>
      <c r="E77" s="104">
        <f>GETPIVOTDATA("Total Passenger Kilometres",$A$57,"Year","2014","Trip purpose","To eat or drink")</f>
        <v>734268717.88953209</v>
      </c>
      <c r="F77" s="104">
        <f>GETPIVOTDATA("Total Passenger Kilometres",$A$57,"Year","2016","Trip purpose","To eat or drink")</f>
        <v>1001872136.7338737</v>
      </c>
      <c r="G77" s="104">
        <f>GETPIVOTDATA("Total Passenger Kilometres",$A$57,"Year","2019","Trip purpose","To eat or drink")</f>
        <v>1746029369.7119999</v>
      </c>
    </row>
    <row r="78" spans="1:7" x14ac:dyDescent="0.25">
      <c r="A78" s="88" t="s">
        <v>46</v>
      </c>
      <c r="B78" s="104">
        <f>GETPIVOTDATA("Total Passenger Kilometres",$A$57,"Year","2009","Trip purpose","Visit family / friends")</f>
        <v>7027564286.1599998</v>
      </c>
      <c r="C78" s="104">
        <f>GETPIVOTDATA("Total Passenger Kilometres",$A$57,"Year","2012","Trip purpose","Visit family / friends")</f>
        <v>6560212648.3214722</v>
      </c>
      <c r="D78" s="104">
        <f>GETPIVOTDATA("Total Passenger Kilometres",$A$57,"Year","2013","Trip purpose","Visit family / friends")</f>
        <v>5469797669.5738354</v>
      </c>
      <c r="E78" s="104">
        <f>GETPIVOTDATA("Total Passenger Kilometres",$A$57,"Year","2014","Trip purpose","Visit family / friends")</f>
        <v>7576455423.9867735</v>
      </c>
      <c r="F78" s="104">
        <f>GETPIVOTDATA("Total Passenger Kilometres",$A$57,"Year","2016","Trip purpose","Visit family / friends")</f>
        <v>6533402243.0485096</v>
      </c>
      <c r="G78" s="104">
        <f>GETPIVOTDATA("Total Passenger Kilometres",$A$57,"Year","2019","Trip purpose","Visit family / friends")</f>
        <v>7830232286.8319998</v>
      </c>
    </row>
    <row r="79" spans="1:7" x14ac:dyDescent="0.25">
      <c r="A79" s="88" t="s">
        <v>42</v>
      </c>
      <c r="B79" s="104">
        <f>GETPIVOTDATA("Total Passenger Kilometres",$A$57,"Year","2009","Trip purpose","Work")</f>
        <v>21336198042.177856</v>
      </c>
      <c r="C79" s="104">
        <f>GETPIVOTDATA("Total Passenger Kilometres",$A$57,"Year","2012","Trip purpose","Work")</f>
        <v>15820470812.154762</v>
      </c>
      <c r="D79" s="104">
        <f>GETPIVOTDATA("Total Passenger Kilometres",$A$57,"Year","2013","Trip purpose","Work")</f>
        <v>12212433391.061647</v>
      </c>
      <c r="E79" s="104">
        <f>GETPIVOTDATA("Total Passenger Kilometres",$A$57,"Year","2014","Trip purpose","Work")</f>
        <v>18622699272.893982</v>
      </c>
      <c r="F79" s="104">
        <f>GETPIVOTDATA("Total Passenger Kilometres",$A$57,"Year","2016","Trip purpose","Work")</f>
        <v>23327562086.774952</v>
      </c>
      <c r="G79" s="104">
        <f>GETPIVOTDATA("Total Passenger Kilometres",$A$57,"Year","2019","Trip purpose","Work")</f>
        <v>19465135173.191998</v>
      </c>
    </row>
    <row r="80" spans="1:7" x14ac:dyDescent="0.25">
      <c r="A80" s="138" t="s">
        <v>4</v>
      </c>
      <c r="B80" s="139">
        <f>SUBTOTAL(109,Table72[2009])</f>
        <v>60806057854.928566</v>
      </c>
      <c r="C80" s="139">
        <f>SUBTOTAL(109,Table72[2012])</f>
        <v>51783946792.656517</v>
      </c>
      <c r="D80" s="139">
        <f>SUBTOTAL(109,Table72[2013])</f>
        <v>56241183587.894165</v>
      </c>
      <c r="E80" s="139">
        <f>SUBTOTAL(109,Table72[2014])</f>
        <v>57840068037.98938</v>
      </c>
      <c r="F80" s="139">
        <f>SUBTOTAL(109,Table72[2016])</f>
        <v>62835657586.956909</v>
      </c>
      <c r="G80" s="139">
        <f>SUBTOTAL(109,Table72[2019])</f>
        <v>65666270294.519989</v>
      </c>
    </row>
    <row r="81" spans="1:12" x14ac:dyDescent="0.25">
      <c r="C81" s="13"/>
      <c r="D81" s="13"/>
      <c r="J81" s="13"/>
      <c r="K81" s="13"/>
      <c r="L81" s="13"/>
    </row>
    <row r="82" spans="1:12" s="89" customFormat="1" x14ac:dyDescent="0.25">
      <c r="A82" s="89" t="s">
        <v>438</v>
      </c>
      <c r="B82" s="89" t="s">
        <v>128</v>
      </c>
      <c r="C82" s="89" t="s">
        <v>30</v>
      </c>
      <c r="D82" s="89" t="s">
        <v>31</v>
      </c>
      <c r="E82" s="89" t="s">
        <v>32</v>
      </c>
      <c r="F82" s="89" t="s">
        <v>33</v>
      </c>
      <c r="G82" s="89" t="s">
        <v>34</v>
      </c>
      <c r="H82" s="89" t="s">
        <v>35</v>
      </c>
      <c r="I82" s="89" t="s">
        <v>36</v>
      </c>
      <c r="J82" s="89" t="s">
        <v>37</v>
      </c>
      <c r="K82" s="89" t="s">
        <v>38</v>
      </c>
      <c r="L82" s="89" t="s">
        <v>39</v>
      </c>
    </row>
    <row r="83" spans="1:12" s="89" customFormat="1" x14ac:dyDescent="0.25">
      <c r="A83" s="137" t="str">
        <f>A71</f>
        <v>Companion / escort journey</v>
      </c>
      <c r="B83" s="13">
        <f>B71</f>
        <v>4912442902.313571</v>
      </c>
      <c r="C83" s="13">
        <f>B83+($C71-$B71)/(2012-2009)</f>
        <v>5789435937.0202179</v>
      </c>
      <c r="D83" s="13">
        <f>C83+($C71-$B71)/(2012-2009)</f>
        <v>6666428971.7268648</v>
      </c>
      <c r="E83" s="13">
        <f>C71</f>
        <v>7543422006.4335108</v>
      </c>
      <c r="F83" s="13">
        <f>D71</f>
        <v>8048756454.5379753</v>
      </c>
      <c r="G83" s="13">
        <f>E71</f>
        <v>5756282082.9487886</v>
      </c>
      <c r="H83" s="13">
        <f>G83+(F71-E71)/2</f>
        <v>6435062807.5474987</v>
      </c>
      <c r="I83" s="13">
        <f>F71</f>
        <v>7113843532.1462078</v>
      </c>
      <c r="J83" s="13">
        <f t="shared" ref="J83:J91" si="33">I83+($G71-$F71)/($L$82-$I$82)</f>
        <v>8166656670.9801378</v>
      </c>
      <c r="K83" s="13">
        <f t="shared" ref="K83:K91" si="34">J83+($G71-$F71)/($L$82-$I$82)</f>
        <v>9219469809.8140678</v>
      </c>
      <c r="L83" s="13">
        <f>G71</f>
        <v>10272282948.647999</v>
      </c>
    </row>
    <row r="84" spans="1:12" s="89" customFormat="1" x14ac:dyDescent="0.25">
      <c r="A84" s="137" t="str">
        <f t="shared" ref="A84:B91" si="35">A72</f>
        <v>Education</v>
      </c>
      <c r="B84" s="13">
        <f>B72</f>
        <v>2294831660.2199998</v>
      </c>
      <c r="C84" s="13">
        <f t="shared" ref="C84:D91" si="36">B84+($C72-$B72)/(2012-2009)</f>
        <v>2243608842.5541124</v>
      </c>
      <c r="D84" s="13">
        <f t="shared" si="36"/>
        <v>2192386024.8882251</v>
      </c>
      <c r="E84" s="13">
        <f t="shared" ref="E84:E91" si="37">C72</f>
        <v>2141163207.222338</v>
      </c>
      <c r="F84" s="13">
        <f t="shared" ref="F84:F91" si="38">D72</f>
        <v>2777588776.8574338</v>
      </c>
      <c r="G84" s="13">
        <f t="shared" ref="G84:G91" si="39">E72</f>
        <v>1972836667.3669925</v>
      </c>
      <c r="H84" s="13">
        <f t="shared" ref="H84:H91" si="40">G84+(F72-E72)/2</f>
        <v>1814852135.0957899</v>
      </c>
      <c r="I84" s="13">
        <f t="shared" ref="I84:I91" si="41">F72</f>
        <v>1656867602.8245873</v>
      </c>
      <c r="J84" s="13">
        <f t="shared" si="33"/>
        <v>1677820251.7230582</v>
      </c>
      <c r="K84" s="13">
        <f t="shared" si="34"/>
        <v>1698772900.6215291</v>
      </c>
      <c r="L84" s="13">
        <f t="shared" ref="L84:L91" si="42">G72</f>
        <v>1719725549.52</v>
      </c>
    </row>
    <row r="85" spans="1:12" s="89" customFormat="1" x14ac:dyDescent="0.25">
      <c r="A85" s="137" t="str">
        <f t="shared" si="35"/>
        <v>Entertainment / leisure / sports</v>
      </c>
      <c r="B85" s="13">
        <f t="shared" si="35"/>
        <v>3875062196.0442853</v>
      </c>
      <c r="C85" s="13">
        <f t="shared" si="36"/>
        <v>4150511794.0063386</v>
      </c>
      <c r="D85" s="13">
        <f t="shared" si="36"/>
        <v>4425961391.9683924</v>
      </c>
      <c r="E85" s="13">
        <f t="shared" si="37"/>
        <v>4701410989.9304457</v>
      </c>
      <c r="F85" s="13">
        <f t="shared" si="38"/>
        <v>7262984713.167099</v>
      </c>
      <c r="G85" s="13">
        <f t="shared" si="39"/>
        <v>5771980169.5604744</v>
      </c>
      <c r="H85" s="13">
        <f t="shared" si="40"/>
        <v>5725229686.2500992</v>
      </c>
      <c r="I85" s="13">
        <f t="shared" si="41"/>
        <v>5678479202.9397249</v>
      </c>
      <c r="J85" s="13">
        <f t="shared" si="33"/>
        <v>5761495852.0558167</v>
      </c>
      <c r="K85" s="13">
        <f t="shared" si="34"/>
        <v>5844512501.1719084</v>
      </c>
      <c r="L85" s="13">
        <f t="shared" si="42"/>
        <v>5927529150.2879992</v>
      </c>
    </row>
    <row r="86" spans="1:12" s="89" customFormat="1" x14ac:dyDescent="0.25">
      <c r="A86" s="137" t="str">
        <f t="shared" si="35"/>
        <v>Other</v>
      </c>
      <c r="B86" s="13">
        <f t="shared" si="35"/>
        <v>5507218473.9235697</v>
      </c>
      <c r="C86" s="13">
        <f t="shared" si="36"/>
        <v>4267822628.9624939</v>
      </c>
      <c r="D86" s="13">
        <f t="shared" si="36"/>
        <v>3028426784.0014181</v>
      </c>
      <c r="E86" s="13">
        <f t="shared" si="37"/>
        <v>1789030939.040343</v>
      </c>
      <c r="F86" s="13">
        <f t="shared" si="38"/>
        <v>2681463899.1065645</v>
      </c>
      <c r="G86" s="13">
        <f t="shared" si="39"/>
        <v>3012806606.9094148</v>
      </c>
      <c r="H86" s="13">
        <f t="shared" si="40"/>
        <v>2562829235.6835799</v>
      </c>
      <c r="I86" s="13">
        <f t="shared" si="41"/>
        <v>2112851864.4577448</v>
      </c>
      <c r="J86" s="13">
        <f t="shared" si="33"/>
        <v>2208760935.8304968</v>
      </c>
      <c r="K86" s="13">
        <f t="shared" si="34"/>
        <v>2304670007.2032485</v>
      </c>
      <c r="L86" s="13">
        <f t="shared" si="42"/>
        <v>2400579078.5760002</v>
      </c>
    </row>
    <row r="87" spans="1:12" s="89" customFormat="1" x14ac:dyDescent="0.25">
      <c r="A87" s="137" t="str">
        <f t="shared" si="35"/>
        <v>Personal business</v>
      </c>
      <c r="B87" s="13">
        <f t="shared" si="35"/>
        <v>4968776942.297142</v>
      </c>
      <c r="C87" s="13">
        <f t="shared" si="36"/>
        <v>4391268702.2282438</v>
      </c>
      <c r="D87" s="13">
        <f t="shared" si="36"/>
        <v>3813760462.1593461</v>
      </c>
      <c r="E87" s="13">
        <f t="shared" si="37"/>
        <v>3236252222.0904484</v>
      </c>
      <c r="F87" s="13">
        <f t="shared" si="38"/>
        <v>3121411922.0722361</v>
      </c>
      <c r="G87" s="13">
        <f t="shared" si="39"/>
        <v>3400424950.5024071</v>
      </c>
      <c r="H87" s="13">
        <f t="shared" si="40"/>
        <v>3751189256.4140301</v>
      </c>
      <c r="I87" s="13">
        <f t="shared" si="41"/>
        <v>4101953562.3256531</v>
      </c>
      <c r="J87" s="13">
        <f t="shared" si="33"/>
        <v>4065806048.7291021</v>
      </c>
      <c r="K87" s="13">
        <f t="shared" si="34"/>
        <v>4029658535.1325512</v>
      </c>
      <c r="L87" s="13">
        <f t="shared" si="42"/>
        <v>3993511021.5359998</v>
      </c>
    </row>
    <row r="88" spans="1:12" s="89" customFormat="1" x14ac:dyDescent="0.25">
      <c r="A88" s="137" t="str">
        <f t="shared" si="35"/>
        <v>Shopping</v>
      </c>
      <c r="B88" s="13">
        <f t="shared" si="35"/>
        <v>10147549167.737141</v>
      </c>
      <c r="C88" s="13">
        <f t="shared" si="36"/>
        <v>9848240509.5595264</v>
      </c>
      <c r="D88" s="13">
        <f t="shared" si="36"/>
        <v>9548931851.3819122</v>
      </c>
      <c r="E88" s="13">
        <f t="shared" si="37"/>
        <v>9249623193.2042999</v>
      </c>
      <c r="F88" s="13">
        <f t="shared" si="38"/>
        <v>13438610800.787188</v>
      </c>
      <c r="G88" s="13">
        <f t="shared" si="39"/>
        <v>10992314145.931013</v>
      </c>
      <c r="H88" s="13">
        <f t="shared" si="40"/>
        <v>11150569750.818331</v>
      </c>
      <c r="I88" s="13">
        <f t="shared" si="41"/>
        <v>11308825355.705648</v>
      </c>
      <c r="J88" s="13">
        <f t="shared" si="33"/>
        <v>11642965475.875765</v>
      </c>
      <c r="K88" s="13">
        <f t="shared" si="34"/>
        <v>11977105596.045881</v>
      </c>
      <c r="L88" s="13">
        <f t="shared" si="42"/>
        <v>12311245716.216</v>
      </c>
    </row>
    <row r="89" spans="1:12" s="89" customFormat="1" x14ac:dyDescent="0.25">
      <c r="A89" s="137" t="str">
        <f t="shared" si="35"/>
        <v>To eat or drink</v>
      </c>
      <c r="B89" s="13">
        <f t="shared" si="35"/>
        <v>736414184.05499995</v>
      </c>
      <c r="C89" s="13">
        <f t="shared" si="36"/>
        <v>738396380.78963268</v>
      </c>
      <c r="D89" s="13">
        <f t="shared" si="36"/>
        <v>740378577.52426541</v>
      </c>
      <c r="E89" s="13">
        <f t="shared" si="37"/>
        <v>742360774.25889802</v>
      </c>
      <c r="F89" s="13">
        <f t="shared" si="38"/>
        <v>1228135960.7301898</v>
      </c>
      <c r="G89" s="13">
        <f t="shared" si="39"/>
        <v>734268717.88953209</v>
      </c>
      <c r="H89" s="13">
        <f t="shared" si="40"/>
        <v>868070427.31170297</v>
      </c>
      <c r="I89" s="13">
        <f t="shared" si="41"/>
        <v>1001872136.7338737</v>
      </c>
      <c r="J89" s="13">
        <f t="shared" si="33"/>
        <v>1249924547.7265825</v>
      </c>
      <c r="K89" s="13">
        <f t="shared" si="34"/>
        <v>1497976958.7192912</v>
      </c>
      <c r="L89" s="13">
        <f t="shared" si="42"/>
        <v>1746029369.7119999</v>
      </c>
    </row>
    <row r="90" spans="1:12" s="89" customFormat="1" x14ac:dyDescent="0.25">
      <c r="A90" s="137" t="str">
        <f t="shared" si="35"/>
        <v>Visit family / friends</v>
      </c>
      <c r="B90" s="13">
        <f t="shared" si="35"/>
        <v>7027564286.1599998</v>
      </c>
      <c r="C90" s="13">
        <f t="shared" si="36"/>
        <v>6871780406.8804903</v>
      </c>
      <c r="D90" s="13">
        <f t="shared" si="36"/>
        <v>6715996527.6009808</v>
      </c>
      <c r="E90" s="13">
        <f t="shared" si="37"/>
        <v>6560212648.3214722</v>
      </c>
      <c r="F90" s="13">
        <f t="shared" si="38"/>
        <v>5469797669.5738354</v>
      </c>
      <c r="G90" s="13">
        <f t="shared" si="39"/>
        <v>7576455423.9867735</v>
      </c>
      <c r="H90" s="13">
        <f t="shared" si="40"/>
        <v>7054928833.5176411</v>
      </c>
      <c r="I90" s="13">
        <f t="shared" si="41"/>
        <v>6533402243.0485096</v>
      </c>
      <c r="J90" s="13">
        <f t="shared" si="33"/>
        <v>6965678924.3096733</v>
      </c>
      <c r="K90" s="13">
        <f t="shared" si="34"/>
        <v>7397955605.570837</v>
      </c>
      <c r="L90" s="13">
        <f t="shared" si="42"/>
        <v>7830232286.8319998</v>
      </c>
    </row>
    <row r="91" spans="1:12" s="89" customFormat="1" x14ac:dyDescent="0.25">
      <c r="A91" s="137" t="str">
        <f t="shared" si="35"/>
        <v>Work</v>
      </c>
      <c r="B91" s="13">
        <f t="shared" si="35"/>
        <v>21336198042.177856</v>
      </c>
      <c r="C91" s="13">
        <f t="shared" si="36"/>
        <v>19497622298.836826</v>
      </c>
      <c r="D91" s="13">
        <f t="shared" si="36"/>
        <v>17659046555.495796</v>
      </c>
      <c r="E91" s="13">
        <f t="shared" si="37"/>
        <v>15820470812.154762</v>
      </c>
      <c r="F91" s="13">
        <f t="shared" si="38"/>
        <v>12212433391.061647</v>
      </c>
      <c r="G91" s="13">
        <f t="shared" si="39"/>
        <v>18622699272.893982</v>
      </c>
      <c r="H91" s="13">
        <f t="shared" si="40"/>
        <v>20975130679.834465</v>
      </c>
      <c r="I91" s="13">
        <f t="shared" si="41"/>
        <v>23327562086.774952</v>
      </c>
      <c r="J91" s="13">
        <f t="shared" si="33"/>
        <v>22040086448.913967</v>
      </c>
      <c r="K91" s="13">
        <f t="shared" si="34"/>
        <v>20752610811.052982</v>
      </c>
      <c r="L91" s="13">
        <f t="shared" si="42"/>
        <v>19465135173.191998</v>
      </c>
    </row>
    <row r="92" spans="1:12" s="89" customFormat="1" x14ac:dyDescent="0.25">
      <c r="A92" s="149"/>
      <c r="B92" s="150">
        <f>SUM(Table9092[2009])</f>
        <v>60806057854.928566</v>
      </c>
      <c r="C92" s="150">
        <f>SUM(Table9092[2010])</f>
        <v>57798687500.837875</v>
      </c>
      <c r="D92" s="150">
        <f>SUM(Table9092[2011])</f>
        <v>54791317146.7472</v>
      </c>
      <c r="E92" s="150">
        <f>SUM(Table9092[2012])</f>
        <v>51783946792.656517</v>
      </c>
      <c r="F92" s="150">
        <f>SUM(Table9092[2013])</f>
        <v>56241183587.894165</v>
      </c>
      <c r="G92" s="150">
        <f>SUM(Table9092[2014])</f>
        <v>57840068037.98938</v>
      </c>
      <c r="H92" s="150">
        <f>SUM(Table9092[2015])</f>
        <v>60337862812.473137</v>
      </c>
      <c r="I92" s="150">
        <f>SUM(Table9092[2016])</f>
        <v>62835657586.956909</v>
      </c>
      <c r="J92" s="150">
        <f>SUM(Table9092[2017])</f>
        <v>63779195156.144608</v>
      </c>
      <c r="K92" s="150">
        <f>SUM(Table9092[2018])</f>
        <v>64722732725.332306</v>
      </c>
      <c r="L92" s="150">
        <f>SUM(Table9092[2019])</f>
        <v>65666270294.519989</v>
      </c>
    </row>
    <row r="93" spans="1:12" s="89" customFormat="1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</row>
    <row r="94" spans="1:12" x14ac:dyDescent="0.25">
      <c r="A94" s="112" t="s">
        <v>387</v>
      </c>
      <c r="B94" s="112" t="s">
        <v>84</v>
      </c>
      <c r="C94" s="13"/>
      <c r="D94" s="13"/>
      <c r="E94" s="13"/>
      <c r="F94" s="13"/>
      <c r="G94" s="13"/>
    </row>
    <row r="95" spans="1:12" x14ac:dyDescent="0.25">
      <c r="A95" s="112" t="s">
        <v>81</v>
      </c>
      <c r="B95" s="13" t="s">
        <v>128</v>
      </c>
      <c r="C95" s="13" t="s">
        <v>32</v>
      </c>
      <c r="D95" s="13" t="s">
        <v>33</v>
      </c>
      <c r="E95" s="13" t="s">
        <v>34</v>
      </c>
      <c r="F95" s="13" t="s">
        <v>36</v>
      </c>
      <c r="G95" s="13" t="s">
        <v>39</v>
      </c>
    </row>
    <row r="96" spans="1:12" x14ac:dyDescent="0.25">
      <c r="A96" s="113" t="s">
        <v>12</v>
      </c>
      <c r="B96" s="13">
        <v>1281662700.57658</v>
      </c>
      <c r="C96" s="13">
        <v>1050890443.4388655</v>
      </c>
      <c r="D96" s="13">
        <v>1066986214.2295119</v>
      </c>
      <c r="E96" s="13">
        <v>1020206120.796986</v>
      </c>
      <c r="F96" s="13">
        <v>1078745173.1233039</v>
      </c>
      <c r="G96" s="13">
        <v>1529258171.0965445</v>
      </c>
    </row>
    <row r="97" spans="1:15" x14ac:dyDescent="0.25">
      <c r="A97" s="113" t="s">
        <v>181</v>
      </c>
      <c r="B97" s="13">
        <v>3844988101.7297411</v>
      </c>
      <c r="C97" s="13">
        <v>3152671330.3165989</v>
      </c>
      <c r="D97" s="13">
        <v>3200958642.6885362</v>
      </c>
      <c r="E97" s="13">
        <v>3060618362.3909559</v>
      </c>
      <c r="F97" s="13">
        <v>3236235519.3699131</v>
      </c>
      <c r="G97" s="13">
        <v>4587774513.2896328</v>
      </c>
    </row>
    <row r="98" spans="1:15" x14ac:dyDescent="0.25">
      <c r="A98" s="113" t="s">
        <v>180</v>
      </c>
      <c r="B98" s="13">
        <v>6408313502.8829012</v>
      </c>
      <c r="C98" s="13">
        <v>5254452217.1943264</v>
      </c>
      <c r="D98" s="13">
        <v>5334931071.1475611</v>
      </c>
      <c r="E98" s="13">
        <v>5101030603.9849291</v>
      </c>
      <c r="F98" s="13">
        <v>5393725865.6165266</v>
      </c>
      <c r="G98" s="13">
        <v>7646290855.4827185</v>
      </c>
    </row>
    <row r="99" spans="1:15" x14ac:dyDescent="0.25">
      <c r="A99" s="113" t="s">
        <v>182</v>
      </c>
      <c r="B99" s="13">
        <v>8971638904.0360603</v>
      </c>
      <c r="C99" s="13">
        <v>7356233104.0720558</v>
      </c>
      <c r="D99" s="13">
        <v>7468903499.6065788</v>
      </c>
      <c r="E99" s="13">
        <v>7141442845.5789032</v>
      </c>
      <c r="F99" s="13">
        <v>7551216211.8631325</v>
      </c>
      <c r="G99" s="13">
        <v>10704807197.675808</v>
      </c>
    </row>
    <row r="100" spans="1:15" x14ac:dyDescent="0.25">
      <c r="A100" s="113" t="s">
        <v>1</v>
      </c>
      <c r="B100" s="13">
        <v>40289066992.624802</v>
      </c>
      <c r="C100" s="13">
        <v>34952616148.776672</v>
      </c>
      <c r="D100" s="13">
        <v>39142389269.009659</v>
      </c>
      <c r="E100" s="13">
        <v>41542793238.853279</v>
      </c>
      <c r="F100" s="13">
        <v>45544621209.265915</v>
      </c>
      <c r="G100" s="13">
        <v>41213507711.051857</v>
      </c>
    </row>
    <row r="101" spans="1:15" x14ac:dyDescent="0.25">
      <c r="A101" s="113" t="s">
        <v>82</v>
      </c>
      <c r="B101" s="13">
        <v>60795670201.850082</v>
      </c>
      <c r="C101" s="13">
        <v>51766863243.798523</v>
      </c>
      <c r="D101" s="13">
        <v>56214168696.681847</v>
      </c>
      <c r="E101" s="13">
        <v>57866091171.605057</v>
      </c>
      <c r="F101" s="13">
        <v>62804543979.238792</v>
      </c>
      <c r="G101" s="13">
        <v>65681638448.596558</v>
      </c>
    </row>
    <row r="103" spans="1:15" ht="15.75" thickBot="1" x14ac:dyDescent="0.3">
      <c r="A103" s="87" t="s">
        <v>242</v>
      </c>
      <c r="B103" s="87" t="s">
        <v>128</v>
      </c>
      <c r="C103" s="87" t="s">
        <v>32</v>
      </c>
      <c r="D103" s="87" t="s">
        <v>33</v>
      </c>
      <c r="E103" s="87" t="s">
        <v>34</v>
      </c>
      <c r="F103" s="87" t="s">
        <v>36</v>
      </c>
      <c r="G103" s="87" t="s">
        <v>39</v>
      </c>
      <c r="I103" s="87" t="s">
        <v>242</v>
      </c>
      <c r="J103" s="87" t="s">
        <v>128</v>
      </c>
      <c r="K103" s="87" t="s">
        <v>32</v>
      </c>
      <c r="L103" s="87" t="s">
        <v>33</v>
      </c>
      <c r="M103" s="87" t="s">
        <v>34</v>
      </c>
      <c r="N103" s="87" t="s">
        <v>36</v>
      </c>
      <c r="O103" s="87" t="s">
        <v>39</v>
      </c>
    </row>
    <row r="104" spans="1:15" ht="15.75" thickTop="1" x14ac:dyDescent="0.25">
      <c r="A104" s="88" t="str">
        <f>A96</f>
        <v>&lt;2 kilometres</v>
      </c>
      <c r="B104" s="104">
        <f>B96</f>
        <v>1281662700.57658</v>
      </c>
      <c r="C104" s="104">
        <f>C96</f>
        <v>1050890443.4388655</v>
      </c>
      <c r="D104" s="104">
        <f t="shared" ref="D104:G104" si="43">D96</f>
        <v>1066986214.2295119</v>
      </c>
      <c r="E104" s="104">
        <f t="shared" si="43"/>
        <v>1020206120.796986</v>
      </c>
      <c r="F104" s="104">
        <f t="shared" si="43"/>
        <v>1078745173.1233039</v>
      </c>
      <c r="G104" s="104">
        <f t="shared" si="43"/>
        <v>1529258171.0965445</v>
      </c>
      <c r="I104" s="88" t="s">
        <v>447</v>
      </c>
      <c r="J104" s="104">
        <v>1281662700.57658</v>
      </c>
      <c r="K104" s="104">
        <v>1050890443.4388655</v>
      </c>
      <c r="L104" s="104">
        <v>1066986214.2295119</v>
      </c>
      <c r="M104" s="104">
        <v>1020206120.796986</v>
      </c>
      <c r="N104" s="104">
        <v>1078745173.1233039</v>
      </c>
      <c r="O104" s="104">
        <v>1529258171.0965445</v>
      </c>
    </row>
    <row r="105" spans="1:15" x14ac:dyDescent="0.25">
      <c r="A105" s="88" t="str">
        <f t="shared" ref="A105:G108" si="44">A97</f>
        <v>2-4 kilometres</v>
      </c>
      <c r="B105" s="104">
        <f t="shared" si="44"/>
        <v>3844988101.7297411</v>
      </c>
      <c r="C105" s="104">
        <f t="shared" si="44"/>
        <v>3152671330.3165989</v>
      </c>
      <c r="D105" s="104">
        <f t="shared" si="44"/>
        <v>3200958642.6885362</v>
      </c>
      <c r="E105" s="104">
        <f t="shared" si="44"/>
        <v>3060618362.3909559</v>
      </c>
      <c r="F105" s="104">
        <f t="shared" si="44"/>
        <v>3236235519.3699131</v>
      </c>
      <c r="G105" s="104">
        <f t="shared" si="44"/>
        <v>4587774513.2896328</v>
      </c>
      <c r="I105" s="88" t="s">
        <v>181</v>
      </c>
      <c r="J105" s="104">
        <v>3844988101.7297411</v>
      </c>
      <c r="K105" s="104">
        <v>3152671330.3165989</v>
      </c>
      <c r="L105" s="104">
        <v>3200958642.6885362</v>
      </c>
      <c r="M105" s="104">
        <v>3060618362.3909559</v>
      </c>
      <c r="N105" s="104">
        <v>3236235519.3699131</v>
      </c>
      <c r="O105" s="104">
        <v>4587774513.2896328</v>
      </c>
    </row>
    <row r="106" spans="1:15" x14ac:dyDescent="0.25">
      <c r="A106" s="88" t="str">
        <f t="shared" si="44"/>
        <v>4-6 kilometres</v>
      </c>
      <c r="B106" s="104">
        <f t="shared" si="44"/>
        <v>6408313502.8829012</v>
      </c>
      <c r="C106" s="104">
        <f t="shared" si="44"/>
        <v>5254452217.1943264</v>
      </c>
      <c r="D106" s="104">
        <f t="shared" si="44"/>
        <v>5334931071.1475611</v>
      </c>
      <c r="E106" s="104">
        <f t="shared" si="44"/>
        <v>5101030603.9849291</v>
      </c>
      <c r="F106" s="104">
        <f t="shared" si="44"/>
        <v>5393725865.6165266</v>
      </c>
      <c r="G106" s="104">
        <f t="shared" si="44"/>
        <v>7646290855.4827185</v>
      </c>
      <c r="I106" s="88" t="s">
        <v>180</v>
      </c>
      <c r="J106" s="104">
        <v>6408313502.8829012</v>
      </c>
      <c r="K106" s="104">
        <v>5254452217.1943264</v>
      </c>
      <c r="L106" s="104">
        <v>5334931071.1475611</v>
      </c>
      <c r="M106" s="104">
        <v>5101030603.9849291</v>
      </c>
      <c r="N106" s="104">
        <v>5393725865.6165266</v>
      </c>
      <c r="O106" s="104">
        <v>7646290855.4827185</v>
      </c>
    </row>
    <row r="107" spans="1:15" x14ac:dyDescent="0.25">
      <c r="A107" s="88" t="str">
        <f t="shared" si="44"/>
        <v>6-8 kilometres</v>
      </c>
      <c r="B107" s="104">
        <f t="shared" si="44"/>
        <v>8971638904.0360603</v>
      </c>
      <c r="C107" s="104">
        <f t="shared" si="44"/>
        <v>7356233104.0720558</v>
      </c>
      <c r="D107" s="104">
        <f t="shared" si="44"/>
        <v>7468903499.6065788</v>
      </c>
      <c r="E107" s="104">
        <f t="shared" si="44"/>
        <v>7141442845.5789032</v>
      </c>
      <c r="F107" s="104">
        <f t="shared" si="44"/>
        <v>7551216211.8631325</v>
      </c>
      <c r="G107" s="104">
        <f t="shared" si="44"/>
        <v>10704807197.675808</v>
      </c>
      <c r="I107" s="88" t="s">
        <v>182</v>
      </c>
      <c r="J107" s="104">
        <v>8971638904.0360603</v>
      </c>
      <c r="K107" s="104">
        <v>7356233104.0720558</v>
      </c>
      <c r="L107" s="104">
        <v>7468903499.6065788</v>
      </c>
      <c r="M107" s="104">
        <v>7141442845.5789032</v>
      </c>
      <c r="N107" s="104">
        <v>7551216211.8631325</v>
      </c>
      <c r="O107" s="104">
        <v>10704807197.675808</v>
      </c>
    </row>
    <row r="108" spans="1:15" x14ac:dyDescent="0.25">
      <c r="A108" s="88" t="str">
        <f t="shared" si="44"/>
        <v>8+ kilometres</v>
      </c>
      <c r="B108" s="104">
        <f t="shared" si="44"/>
        <v>40289066992.624802</v>
      </c>
      <c r="C108" s="104">
        <f t="shared" si="44"/>
        <v>34952616148.776672</v>
      </c>
      <c r="D108" s="104">
        <f t="shared" si="44"/>
        <v>39142389269.009659</v>
      </c>
      <c r="E108" s="104">
        <f t="shared" si="44"/>
        <v>41542793238.853279</v>
      </c>
      <c r="F108" s="104">
        <f t="shared" si="44"/>
        <v>45544621209.265915</v>
      </c>
      <c r="G108" s="104">
        <f t="shared" si="44"/>
        <v>41213507711.051857</v>
      </c>
      <c r="I108" s="88" t="s">
        <v>1</v>
      </c>
      <c r="J108" s="104">
        <v>40289066992.624802</v>
      </c>
      <c r="K108" s="104">
        <v>34952616148.776672</v>
      </c>
      <c r="L108" s="104">
        <v>39142389269.009659</v>
      </c>
      <c r="M108" s="104">
        <v>41542793238.853279</v>
      </c>
      <c r="N108" s="104">
        <v>45544621209.265915</v>
      </c>
      <c r="O108" s="104">
        <v>41213507711.051857</v>
      </c>
    </row>
    <row r="109" spans="1:15" x14ac:dyDescent="0.25">
      <c r="A109" s="138" t="s">
        <v>4</v>
      </c>
      <c r="B109" s="139">
        <f>SUBTOTAL(109,Table73[2009])</f>
        <v>60795670201.850082</v>
      </c>
      <c r="C109" s="139">
        <f>SUBTOTAL(109,Table73[2012])</f>
        <v>51766863243.798523</v>
      </c>
      <c r="D109" s="139">
        <f>SUBTOTAL(109,Table73[2013])</f>
        <v>56214168696.681847</v>
      </c>
      <c r="E109" s="139">
        <f>SUBTOTAL(109,Table73[2014])</f>
        <v>57866091171.605057</v>
      </c>
      <c r="F109" s="139">
        <f>SUBTOTAL(109,Table73[2016])</f>
        <v>62804543979.238792</v>
      </c>
      <c r="G109" s="139">
        <f>SUBTOTAL(109,Table73[2019])</f>
        <v>65681638448.596558</v>
      </c>
      <c r="I109" s="138" t="s">
        <v>4</v>
      </c>
      <c r="J109" s="139">
        <v>60795670201.850082</v>
      </c>
      <c r="K109" s="139">
        <v>51766863243.798523</v>
      </c>
      <c r="L109" s="139">
        <v>56214168696.681847</v>
      </c>
      <c r="M109" s="139">
        <v>57866091171.605057</v>
      </c>
      <c r="N109" s="139">
        <v>62804543979.238792</v>
      </c>
      <c r="O109" s="139">
        <v>65681638448.596558</v>
      </c>
    </row>
    <row r="110" spans="1:15" x14ac:dyDescent="0.25">
      <c r="A110" s="13"/>
      <c r="B110" s="13"/>
      <c r="C110" s="13"/>
      <c r="D110" s="13"/>
      <c r="E110" s="13"/>
      <c r="F110" s="13"/>
      <c r="G110" s="13"/>
      <c r="J110" s="13"/>
      <c r="K110" s="13"/>
    </row>
    <row r="111" spans="1:15" x14ac:dyDescent="0.25">
      <c r="A111" s="89" t="s">
        <v>439</v>
      </c>
      <c r="B111" s="89" t="s">
        <v>128</v>
      </c>
      <c r="C111" s="89" t="s">
        <v>30</v>
      </c>
      <c r="D111" s="89" t="s">
        <v>31</v>
      </c>
      <c r="E111" s="89" t="s">
        <v>32</v>
      </c>
      <c r="F111" s="89" t="s">
        <v>33</v>
      </c>
      <c r="G111" s="89" t="s">
        <v>34</v>
      </c>
      <c r="H111" s="89" t="s">
        <v>35</v>
      </c>
      <c r="I111" s="89" t="s">
        <v>36</v>
      </c>
      <c r="J111" s="89" t="s">
        <v>37</v>
      </c>
      <c r="K111" s="89" t="s">
        <v>38</v>
      </c>
      <c r="L111" s="89" t="s">
        <v>39</v>
      </c>
    </row>
    <row r="112" spans="1:15" x14ac:dyDescent="0.25">
      <c r="A112" s="137" t="str">
        <f t="shared" ref="A112:A116" si="45">A104</f>
        <v>&lt;2 kilometres</v>
      </c>
      <c r="B112" s="13">
        <f t="shared" ref="B112:B116" si="46">B104</f>
        <v>1281662700.57658</v>
      </c>
      <c r="C112" s="13">
        <f t="shared" ref="C112:C116" si="47">B112+($C104-$B104)/(2012-2009)</f>
        <v>1204738614.8640084</v>
      </c>
      <c r="D112" s="13">
        <f t="shared" ref="D112:D116" si="48">C112+($C104-$B104)/(2012-2009)</f>
        <v>1127814529.1514368</v>
      </c>
      <c r="E112" s="13">
        <f>C104</f>
        <v>1050890443.4388655</v>
      </c>
      <c r="F112" s="13">
        <f t="shared" ref="F112:F116" si="49">D104</f>
        <v>1066986214.2295119</v>
      </c>
      <c r="G112" s="13">
        <f t="shared" ref="G112:G116" si="50">E104</f>
        <v>1020206120.796986</v>
      </c>
      <c r="H112" s="13">
        <f t="shared" ref="H112:H116" si="51">G112+(F104-E104)/2</f>
        <v>1049475646.960145</v>
      </c>
      <c r="I112" s="13">
        <f t="shared" ref="I112:I116" si="52">F104</f>
        <v>1078745173.1233039</v>
      </c>
      <c r="J112" s="13">
        <f t="shared" ref="J112:J116" si="53">I112+($G104-$F104)/($L111-$I111)</f>
        <v>1228916172.4477174</v>
      </c>
      <c r="K112" s="13">
        <f t="shared" ref="K112:K115" si="54">J112+($G104-$F104)/($L$111-$I$111)</f>
        <v>1379087171.772131</v>
      </c>
      <c r="L112" s="13">
        <f>G104</f>
        <v>1529258171.0965445</v>
      </c>
    </row>
    <row r="113" spans="1:12" x14ac:dyDescent="0.25">
      <c r="A113" s="137" t="str">
        <f t="shared" si="45"/>
        <v>2-4 kilometres</v>
      </c>
      <c r="B113" s="13">
        <f t="shared" si="46"/>
        <v>3844988101.7297411</v>
      </c>
      <c r="C113" s="13">
        <f t="shared" si="47"/>
        <v>3614215844.5920272</v>
      </c>
      <c r="D113" s="13">
        <f t="shared" si="48"/>
        <v>3383443587.4543133</v>
      </c>
      <c r="E113" s="13">
        <f t="shared" ref="E113:E116" si="55">C105</f>
        <v>3152671330.3165989</v>
      </c>
      <c r="F113" s="13">
        <f t="shared" si="49"/>
        <v>3200958642.6885362</v>
      </c>
      <c r="G113" s="13">
        <f t="shared" si="50"/>
        <v>3060618362.3909559</v>
      </c>
      <c r="H113" s="13">
        <f t="shared" si="51"/>
        <v>3148426940.8804345</v>
      </c>
      <c r="I113" s="13">
        <f t="shared" si="52"/>
        <v>3236235519.3699131</v>
      </c>
      <c r="J113" s="13">
        <f t="shared" si="53"/>
        <v>3236235522.3699131</v>
      </c>
      <c r="K113" s="13">
        <f t="shared" si="54"/>
        <v>3686748520.343153</v>
      </c>
      <c r="L113" s="13">
        <f t="shared" ref="L113:L116" si="56">G105</f>
        <v>4587774513.2896328</v>
      </c>
    </row>
    <row r="114" spans="1:12" x14ac:dyDescent="0.25">
      <c r="A114" s="137" t="str">
        <f t="shared" si="45"/>
        <v>4-6 kilometres</v>
      </c>
      <c r="B114" s="13">
        <f t="shared" si="46"/>
        <v>6408313502.8829012</v>
      </c>
      <c r="C114" s="13">
        <f t="shared" si="47"/>
        <v>6023693074.3200426</v>
      </c>
      <c r="D114" s="13">
        <f t="shared" si="48"/>
        <v>5639072645.757184</v>
      </c>
      <c r="E114" s="13">
        <f t="shared" si="55"/>
        <v>5254452217.1943264</v>
      </c>
      <c r="F114" s="13">
        <f t="shared" si="49"/>
        <v>5334931071.1475611</v>
      </c>
      <c r="G114" s="13">
        <f t="shared" si="50"/>
        <v>5101030603.9849291</v>
      </c>
      <c r="H114" s="13">
        <f t="shared" si="51"/>
        <v>5247378234.8007278</v>
      </c>
      <c r="I114" s="13">
        <f t="shared" si="52"/>
        <v>5393725865.6165266</v>
      </c>
      <c r="J114" s="13">
        <f t="shared" si="53"/>
        <v>5393725867.2831936</v>
      </c>
      <c r="K114" s="13">
        <f t="shared" si="54"/>
        <v>6144580863.9052572</v>
      </c>
      <c r="L114" s="13">
        <f t="shared" si="56"/>
        <v>7646290855.4827185</v>
      </c>
    </row>
    <row r="115" spans="1:12" x14ac:dyDescent="0.25">
      <c r="A115" s="137" t="str">
        <f t="shared" si="45"/>
        <v>6-8 kilometres</v>
      </c>
      <c r="B115" s="13">
        <f t="shared" si="46"/>
        <v>8971638904.0360603</v>
      </c>
      <c r="C115" s="13">
        <f t="shared" si="47"/>
        <v>8433170304.0480585</v>
      </c>
      <c r="D115" s="13">
        <f t="shared" si="48"/>
        <v>7894701704.0600567</v>
      </c>
      <c r="E115" s="13">
        <f t="shared" si="55"/>
        <v>7356233104.0720558</v>
      </c>
      <c r="F115" s="13">
        <f t="shared" si="49"/>
        <v>7468903499.6065788</v>
      </c>
      <c r="G115" s="13">
        <f t="shared" si="50"/>
        <v>7141442845.5789032</v>
      </c>
      <c r="H115" s="13">
        <f t="shared" si="51"/>
        <v>7346329528.7210178</v>
      </c>
      <c r="I115" s="13">
        <f t="shared" si="52"/>
        <v>7551216211.8631325</v>
      </c>
      <c r="J115" s="13">
        <f t="shared" si="53"/>
        <v>7551216213.2631321</v>
      </c>
      <c r="K115" s="13">
        <f t="shared" si="54"/>
        <v>8602413208.5340233</v>
      </c>
      <c r="L115" s="13">
        <f t="shared" si="56"/>
        <v>10704807197.675808</v>
      </c>
    </row>
    <row r="116" spans="1:12" x14ac:dyDescent="0.25">
      <c r="A116" s="137" t="str">
        <f t="shared" si="45"/>
        <v>8+ kilometres</v>
      </c>
      <c r="B116" s="13">
        <f t="shared" si="46"/>
        <v>40289066992.624802</v>
      </c>
      <c r="C116" s="13">
        <f t="shared" si="47"/>
        <v>38510250044.675423</v>
      </c>
      <c r="D116" s="13">
        <f t="shared" si="48"/>
        <v>36731433096.726044</v>
      </c>
      <c r="E116" s="13">
        <f t="shared" si="55"/>
        <v>34952616148.776672</v>
      </c>
      <c r="F116" s="13">
        <f t="shared" si="49"/>
        <v>39142389269.009659</v>
      </c>
      <c r="G116" s="13">
        <f t="shared" si="50"/>
        <v>41542793238.853279</v>
      </c>
      <c r="H116" s="13">
        <f t="shared" si="51"/>
        <v>43543707224.059601</v>
      </c>
      <c r="I116" s="13">
        <f t="shared" si="52"/>
        <v>45544621209.265915</v>
      </c>
      <c r="J116" s="13">
        <f t="shared" si="53"/>
        <v>45544621207.892525</v>
      </c>
      <c r="K116" s="13">
        <f>J116+($G108-$F108)/($L$111-$I$111)</f>
        <v>44100916708.487839</v>
      </c>
      <c r="L116" s="13">
        <f t="shared" si="56"/>
        <v>41213507711.051857</v>
      </c>
    </row>
    <row r="117" spans="1:12" x14ac:dyDescent="0.25">
      <c r="A117" s="151"/>
      <c r="B117" s="150">
        <f>SUM(Table909293[2009])</f>
        <v>60795670201.850082</v>
      </c>
      <c r="C117" s="150">
        <f>SUM(Table909293[2010])</f>
        <v>57786067882.499557</v>
      </c>
      <c r="D117" s="150">
        <f>SUM(Table909293[2011])</f>
        <v>54776465563.149033</v>
      </c>
      <c r="E117" s="150">
        <f>SUM(Table909293[2012])</f>
        <v>51766863243.798523</v>
      </c>
      <c r="F117" s="150">
        <f>SUM(Table909293[2013])</f>
        <v>56214168696.681847</v>
      </c>
      <c r="G117" s="150">
        <f>SUM(Table909293[2014])</f>
        <v>57866091171.605057</v>
      </c>
      <c r="H117" s="150">
        <f>SUM(Table909293[2015])</f>
        <v>60335317575.421928</v>
      </c>
      <c r="I117" s="150">
        <f>SUM(Table909293[2016])</f>
        <v>62804543979.238792</v>
      </c>
      <c r="J117" s="150">
        <f>SUM(Table909293[2017])</f>
        <v>62954714983.256485</v>
      </c>
      <c r="K117" s="150">
        <f>SUM(Table909293[2018])</f>
        <v>63913746473.042404</v>
      </c>
      <c r="L117" s="150">
        <f>SUM(Table909293[2019])</f>
        <v>65681638448.596558</v>
      </c>
    </row>
    <row r="119" spans="1:12" x14ac:dyDescent="0.25">
      <c r="K119" s="13"/>
      <c r="L119" s="13"/>
    </row>
    <row r="120" spans="1:12" x14ac:dyDescent="0.25">
      <c r="A120" s="32"/>
    </row>
  </sheetData>
  <pageMargins left="0.7" right="0.7" top="0.75" bottom="0.75" header="0.3" footer="0.3"/>
  <pageSetup paperSize="9" orientation="portrait" r:id="rId4"/>
  <drawing r:id="rId5"/>
  <legacyDrawing r:id="rId6"/>
  <tableParts count="9"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0653-3A71-4E55-90E4-E6266C6461D2}">
  <dimension ref="A1:N272"/>
  <sheetViews>
    <sheetView workbookViewId="0">
      <selection sqref="A1:N272"/>
    </sheetView>
  </sheetViews>
  <sheetFormatPr defaultRowHeight="15" x14ac:dyDescent="0.25"/>
  <cols>
    <col min="1" max="1" width="8.42578125" style="89" customWidth="1"/>
    <col min="2" max="3" width="15.28515625" style="89" bestFit="1" customWidth="1"/>
    <col min="4" max="4" width="65.7109375" style="89" bestFit="1" customWidth="1"/>
    <col min="5" max="7" width="15.28515625" style="89" bestFit="1" customWidth="1"/>
    <col min="8" max="11" width="9.140625" style="89"/>
    <col min="12" max="12" width="20.42578125" style="89" bestFit="1" customWidth="1"/>
    <col min="13" max="13" width="27" style="89" bestFit="1" customWidth="1"/>
    <col min="14" max="14" width="24.5703125" style="89" bestFit="1" customWidth="1"/>
  </cols>
  <sheetData>
    <row r="1" spans="1:14" ht="15.75" thickBot="1" x14ac:dyDescent="0.3">
      <c r="A1" s="199" t="s">
        <v>235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</row>
    <row r="2" spans="1:14" ht="15.75" thickBot="1" x14ac:dyDescent="0.3">
      <c r="A2" s="98" t="s">
        <v>63</v>
      </c>
      <c r="B2" s="99" t="s">
        <v>178</v>
      </c>
      <c r="C2" s="99" t="s">
        <v>226</v>
      </c>
      <c r="D2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2" s="99" t="s">
        <v>134</v>
      </c>
      <c r="F2" s="99" t="s">
        <v>231</v>
      </c>
      <c r="G2" s="99" t="s">
        <v>232</v>
      </c>
      <c r="H2" s="99" t="s">
        <v>233</v>
      </c>
      <c r="I2" s="99" t="s">
        <v>234</v>
      </c>
      <c r="J2" s="99" t="s">
        <v>183</v>
      </c>
      <c r="K2" s="99" t="s">
        <v>446</v>
      </c>
      <c r="L2" s="99" t="str">
        <f>Total_Journeys_Per_Year[Total journeys per year total, National Travel Survey, 2009 - 2019]</f>
        <v>Number of journeys</v>
      </c>
      <c r="M2" s="99" t="s">
        <v>188</v>
      </c>
      <c r="N2" s="97" t="s">
        <v>200</v>
      </c>
    </row>
    <row r="3" spans="1:14" x14ac:dyDescent="0.25">
      <c r="A3" s="79" t="s">
        <v>128</v>
      </c>
      <c r="B3" s="13" t="s">
        <v>12</v>
      </c>
      <c r="C3" s="13" t="s">
        <v>42</v>
      </c>
      <c r="D3" s="5">
        <f>VLOOKUP(B3,Percentage_distribution_of_journey_distance_for_all_regions[#All],MATCH(A3,Percentage_distribution_of_journey_distance_for_all_regions[#Headers],0),0)/100</f>
        <v>0.22</v>
      </c>
      <c r="E3" s="71">
        <f>IF(B3="&lt;2 kilometres",1,0)*VLOOKUP(C3, Percentage_dist_journeys_by_purpose_and_distance_to_2km[#All],MATCH(A3, Percentage_dist_journeys_by_purpose_and_distance_to_2km[#Headers],0),0)/100</f>
        <v>0.13</v>
      </c>
      <c r="F3" s="4">
        <f>IF(B3="2-4 kilometres",1,0)*VLOOKUP(C3, Percentage_dist_journeys_by_purpose_and_distance_2_to_4km[#All],MATCH(A3, Percentage_dist_journeys_by_purpose_and_distance_2_to_4km[#Headers],0),0)/100</f>
        <v>0</v>
      </c>
      <c r="G3" s="72">
        <f>IF(B3="4-6 kilometres",1,0)*VLOOKUP(C3, Percentage_dist_journeys_by_purpose_and_distance_4_to_6km[#All],MATCH(A3, Percentage_dist_journeys_by_purpose_and_distance_4_to_6km[#Headers],0),0)/100</f>
        <v>0</v>
      </c>
      <c r="H3" s="4">
        <f>IF(B3="6-8 kilometres",1,0)*VLOOKUP(C3, Percentage_dist_journeys_by_purpose_and_distance_6_to_8km[#All],MATCH(A3, Percentage_dist_journeys_by_purpose_and_distance_6_to_8km[#Headers],0),0)/100</f>
        <v>0</v>
      </c>
      <c r="I3" s="72">
        <f>IF(B3="8+ kilometres",1,0)*VLOOKUP(C3, Percentage_dist_journeys_by_purpose_and_distance_8km[#All],MATCH(A3, Percentage_dist_journeys_by_purpose_and_distance_8km[#Headers],0),0)/100</f>
        <v>0</v>
      </c>
      <c r="J3" s="73">
        <f>VLOOKUP(B3,Average_Distance_by_kilometres_grouping_for_trip_purpose[#All],MATCH(A3,Average_Distance_by_kilometres_grouping_for_trip_purpose[#Headers],0),0)</f>
        <v>1</v>
      </c>
      <c r="K3" s="77">
        <f>VLOOKUP(C3, Adjustment_factor_for_distance_based_on_trip_purpose[#All],MATCH(A3, Adjustment_factor_for_distance_based_on_trip_purpose[#Headers],0),0)</f>
        <v>1</v>
      </c>
      <c r="L3" s="78">
        <f>VLOOKUP($L$2, Total_Journeys_Per_Year[#All],MATCH(A3, Total_Journeys_Per_Year[#Headers],0),0)</f>
        <v>4007543571.4285707</v>
      </c>
      <c r="M3" s="35">
        <f>D3*(SUM(E3:I3))*J3*L3</f>
        <v>114615746.14285712</v>
      </c>
      <c r="N3" s="35">
        <f>VLOOKUP($N$2, Private_Vehicle_Kilometres_Car_Stock[#All],MATCH(A3, Private_Vehicle_Kilometres_Car_Stock[#Headers],0),0)</f>
        <v>32873713915</v>
      </c>
    </row>
    <row r="4" spans="1:14" x14ac:dyDescent="0.25">
      <c r="A4" s="79" t="s">
        <v>128</v>
      </c>
      <c r="B4" s="13" t="s">
        <v>181</v>
      </c>
      <c r="C4" s="13" t="s">
        <v>42</v>
      </c>
      <c r="D4" s="5">
        <f>VLOOKUP(B4,Percentage_distribution_of_journey_distance_for_all_regions[#All],MATCH(A4,Percentage_distribution_of_journey_distance_for_all_regions[#Headers],0),0)/100</f>
        <v>0.19</v>
      </c>
      <c r="E4" s="71">
        <f>IF(B4="&lt;2 kilometres",1,0)*VLOOKUP(C4, Percentage_dist_journeys_by_purpose_and_distance_to_2km[#All],MATCH(A4, Percentage_dist_journeys_by_purpose_and_distance_to_2km[#Headers],0),0)/100</f>
        <v>0</v>
      </c>
      <c r="F4" s="4">
        <f>IF(B4="2-4 kilometres",1,0)*VLOOKUP(C4, Percentage_dist_journeys_by_purpose_and_distance_2_to_4km[#All],MATCH(A4, Percentage_dist_journeys_by_purpose_and_distance_2_to_4km[#Headers],0),0)/100</f>
        <v>0.17</v>
      </c>
      <c r="G4" s="72">
        <f>IF(B4="4-6 kilometres",1,0)*VLOOKUP(C4, Percentage_dist_journeys_by_purpose_and_distance_4_to_6km[#All],MATCH(A4, Percentage_dist_journeys_by_purpose_and_distance_4_to_6km[#Headers],0),0)/100</f>
        <v>0</v>
      </c>
      <c r="H4" s="4">
        <f>IF(B4="6-8 kilometres",1,0)*VLOOKUP(C4, Percentage_dist_journeys_by_purpose_and_distance_6_to_8km[#All],MATCH(A4, Percentage_dist_journeys_by_purpose_and_distance_6_to_8km[#Headers],0),0)/100</f>
        <v>0</v>
      </c>
      <c r="I4" s="72">
        <f>IF(B4="8+ kilometres",1,0)*VLOOKUP(C4, Percentage_dist_journeys_by_purpose_and_distance_8km[#All],MATCH(A4, Percentage_dist_journeys_by_purpose_and_distance_8km[#Headers],0),0)/100</f>
        <v>0</v>
      </c>
      <c r="J4" s="73">
        <f>VLOOKUP(B4,Average_Distance_by_kilometres_grouping_for_trip_purpose[#All],MATCH(A4,Average_Distance_by_kilometres_grouping_for_trip_purpose[#Headers],0),0)</f>
        <v>3</v>
      </c>
      <c r="K4" s="77">
        <f>VLOOKUP(C4, Adjustment_factor_for_distance_based_on_trip_purpose[#All],MATCH(A4, Adjustment_factor_for_distance_based_on_trip_purpose[#Headers],0),0)</f>
        <v>1</v>
      </c>
      <c r="L4" s="78">
        <f>VLOOKUP($L$2, Total_Journeys_Per_Year[#All],MATCH(A4, Total_Journeys_Per_Year[#Headers],0),0)</f>
        <v>4007543571.4285707</v>
      </c>
      <c r="M4" s="35">
        <f t="shared" ref="M4:M67" si="0">D4*(SUM(E4:I4))*J4*L4</f>
        <v>388330972.07142854</v>
      </c>
      <c r="N4" s="35">
        <f>VLOOKUP($N$2, Private_Vehicle_Kilometres_Car_Stock[#All],MATCH(A4, Private_Vehicle_Kilometres_Car_Stock[#Headers],0),0)</f>
        <v>32873713915</v>
      </c>
    </row>
    <row r="5" spans="1:14" x14ac:dyDescent="0.25">
      <c r="A5" s="79" t="s">
        <v>128</v>
      </c>
      <c r="B5" s="13" t="s">
        <v>180</v>
      </c>
      <c r="C5" s="13" t="s">
        <v>42</v>
      </c>
      <c r="D5" s="5">
        <f>VLOOKUP(B5,Percentage_distribution_of_journey_distance_for_all_regions[#All],MATCH(A5,Percentage_distribution_of_journey_distance_for_all_regions[#Headers],0),0)/100</f>
        <v>0.11</v>
      </c>
      <c r="E5" s="71">
        <f>IF(B5="&lt;2 kilometres",1,0)*VLOOKUP(C5, Percentage_dist_journeys_by_purpose_and_distance_to_2km[#All],MATCH(A5, Percentage_dist_journeys_by_purpose_and_distance_to_2km[#Headers],0),0)/100</f>
        <v>0</v>
      </c>
      <c r="F5" s="4">
        <f>IF(B5="2-4 kilometres",1,0)*VLOOKUP(C5, Percentage_dist_journeys_by_purpose_and_distance_2_to_4km[#All],MATCH(A5, Percentage_dist_journeys_by_purpose_and_distance_2_to_4km[#Headers],0),0)/100</f>
        <v>0</v>
      </c>
      <c r="G5" s="72">
        <f>IF(B5="4-6 kilometres",1,0)*VLOOKUP(C5, Percentage_dist_journeys_by_purpose_and_distance_4_to_6km[#All],MATCH(A5, Percentage_dist_journeys_by_purpose_and_distance_4_to_6km[#Headers],0),0)/100</f>
        <v>0.23</v>
      </c>
      <c r="H5" s="4">
        <f>IF(B5="6-8 kilometres",1,0)*VLOOKUP(C5, Percentage_dist_journeys_by_purpose_and_distance_6_to_8km[#All],MATCH(A5, Percentage_dist_journeys_by_purpose_and_distance_6_to_8km[#Headers],0),0)/100</f>
        <v>0</v>
      </c>
      <c r="I5" s="72">
        <f>IF(B5="8+ kilometres",1,0)*VLOOKUP(C5, Percentage_dist_journeys_by_purpose_and_distance_8km[#All],MATCH(A5, Percentage_dist_journeys_by_purpose_and_distance_8km[#Headers],0),0)/100</f>
        <v>0</v>
      </c>
      <c r="J5" s="73">
        <f>VLOOKUP(B5,Average_Distance_by_kilometres_grouping_for_trip_purpose[#All],MATCH(A5,Average_Distance_by_kilometres_grouping_for_trip_purpose[#Headers],0),0)</f>
        <v>5</v>
      </c>
      <c r="K5" s="77">
        <f>VLOOKUP(C5, Adjustment_factor_for_distance_based_on_trip_purpose[#All],MATCH(A5, Adjustment_factor_for_distance_based_on_trip_purpose[#Headers],0),0)</f>
        <v>1</v>
      </c>
      <c r="L5" s="78">
        <f>VLOOKUP($L$2, Total_Journeys_Per_Year[#All],MATCH(A5, Total_Journeys_Per_Year[#Headers],0),0)</f>
        <v>4007543571.4285707</v>
      </c>
      <c r="M5" s="35">
        <f t="shared" si="0"/>
        <v>506954261.78571421</v>
      </c>
      <c r="N5" s="35">
        <f>VLOOKUP($N$2, Private_Vehicle_Kilometres_Car_Stock[#All],MATCH(A5, Private_Vehicle_Kilometres_Car_Stock[#Headers],0),0)</f>
        <v>32873713915</v>
      </c>
    </row>
    <row r="6" spans="1:14" x14ac:dyDescent="0.25">
      <c r="A6" s="79" t="s">
        <v>128</v>
      </c>
      <c r="B6" s="13" t="s">
        <v>182</v>
      </c>
      <c r="C6" s="13" t="s">
        <v>42</v>
      </c>
      <c r="D6" s="5">
        <f>VLOOKUP(B6,Percentage_distribution_of_journey_distance_for_all_regions[#All],MATCH(A6,Percentage_distribution_of_journey_distance_for_all_regions[#Headers],0),0)/100</f>
        <v>0.06</v>
      </c>
      <c r="E6" s="71">
        <f>IF(B6="&lt;2 kilometres",1,0)*VLOOKUP(C6, Percentage_dist_journeys_by_purpose_and_distance_to_2km[#All],MATCH(A6, Percentage_dist_journeys_by_purpose_and_distance_to_2km[#Headers],0),0)/100</f>
        <v>0</v>
      </c>
      <c r="F6" s="4">
        <f>IF(B6="2-4 kilometres",1,0)*VLOOKUP(C6, Percentage_dist_journeys_by_purpose_and_distance_2_to_4km[#All],MATCH(A6, Percentage_dist_journeys_by_purpose_and_distance_2_to_4km[#Headers],0),0)/100</f>
        <v>0</v>
      </c>
      <c r="G6" s="72">
        <f>IF(B6="4-6 kilometres",1,0)*VLOOKUP(C6, Percentage_dist_journeys_by_purpose_and_distance_4_to_6km[#All],MATCH(A6, Percentage_dist_journeys_by_purpose_and_distance_4_to_6km[#Headers],0),0)/100</f>
        <v>0</v>
      </c>
      <c r="H6" s="4">
        <f>IF(B6="6-8 kilometres",1,0)*VLOOKUP(C6, Percentage_dist_journeys_by_purpose_and_distance_6_to_8km[#All],MATCH(A6, Percentage_dist_journeys_by_purpose_and_distance_6_to_8km[#Headers],0),0)/100</f>
        <v>0.24</v>
      </c>
      <c r="I6" s="72">
        <f>IF(B6="8+ kilometres",1,0)*VLOOKUP(C6, Percentage_dist_journeys_by_purpose_and_distance_8km[#All],MATCH(A6, Percentage_dist_journeys_by_purpose_and_distance_8km[#Headers],0),0)/100</f>
        <v>0</v>
      </c>
      <c r="J6" s="73">
        <f>VLOOKUP(B6,Average_Distance_by_kilometres_grouping_for_trip_purpose[#All],MATCH(A6,Average_Distance_by_kilometres_grouping_for_trip_purpose[#Headers],0),0)</f>
        <v>7</v>
      </c>
      <c r="K6" s="77">
        <f>VLOOKUP(C6, Adjustment_factor_for_distance_based_on_trip_purpose[#All],MATCH(A6, Adjustment_factor_for_distance_based_on_trip_purpose[#Headers],0),0)</f>
        <v>1</v>
      </c>
      <c r="L6" s="78">
        <f>VLOOKUP($L$2, Total_Journeys_Per_Year[#All],MATCH(A6, Total_Journeys_Per_Year[#Headers],0),0)</f>
        <v>4007543571.4285707</v>
      </c>
      <c r="M6" s="35">
        <f t="shared" si="0"/>
        <v>403960391.99999994</v>
      </c>
      <c r="N6" s="35">
        <f>VLOOKUP($N$2, Private_Vehicle_Kilometres_Car_Stock[#All],MATCH(A6, Private_Vehicle_Kilometres_Car_Stock[#Headers],0),0)</f>
        <v>32873713915</v>
      </c>
    </row>
    <row r="7" spans="1:14" x14ac:dyDescent="0.25">
      <c r="A7" s="79" t="s">
        <v>128</v>
      </c>
      <c r="B7" s="13" t="s">
        <v>1</v>
      </c>
      <c r="C7" s="13" t="s">
        <v>42</v>
      </c>
      <c r="D7" s="5">
        <f>VLOOKUP(B7,Percentage_distribution_of_journey_distance_for_all_regions[#All],MATCH(A7,Percentage_distribution_of_journey_distance_for_all_regions[#Headers],0),0)/100</f>
        <v>0.41</v>
      </c>
      <c r="E7" s="71">
        <f>IF(B7="&lt;2 kilometres",1,0)*VLOOKUP(C7, Percentage_dist_journeys_by_purpose_and_distance_to_2km[#All],MATCH(A7, Percentage_dist_journeys_by_purpose_and_distance_to_2km[#Headers],0),0)/100</f>
        <v>0</v>
      </c>
      <c r="F7" s="4">
        <f>IF(B7="2-4 kilometres",1,0)*VLOOKUP(C7, Percentage_dist_journeys_by_purpose_and_distance_2_to_4km[#All],MATCH(A7, Percentage_dist_journeys_by_purpose_and_distance_2_to_4km[#Headers],0),0)/100</f>
        <v>0</v>
      </c>
      <c r="G7" s="72">
        <f>IF(B7="4-6 kilometres",1,0)*VLOOKUP(C7, Percentage_dist_journeys_by_purpose_and_distance_4_to_6km[#All],MATCH(A7, Percentage_dist_journeys_by_purpose_and_distance_4_to_6km[#Headers],0),0)/100</f>
        <v>0</v>
      </c>
      <c r="H7" s="4">
        <f>IF(B7="6-8 kilometres",1,0)*VLOOKUP(C7, Percentage_dist_journeys_by_purpose_and_distance_6_to_8km[#All],MATCH(A7, Percentage_dist_journeys_by_purpose_and_distance_6_to_8km[#Headers],0),0)/100</f>
        <v>0</v>
      </c>
      <c r="I7" s="72">
        <f>IF(B7="8+ kilometres",1,0)*VLOOKUP(C7, Percentage_dist_journeys_by_purpose_and_distance_8km[#All],MATCH(A7, Percentage_dist_journeys_by_purpose_and_distance_8km[#Headers],0),0)/100</f>
        <v>0.37</v>
      </c>
      <c r="J7" s="73">
        <f>VLOOKUP(B7,Average_Distance_by_kilometres_grouping_for_trip_purpose[#All],MATCH(A7,Average_Distance_by_kilometres_grouping_for_trip_purpose[#Headers],0),0)</f>
        <v>32.770000000000003</v>
      </c>
      <c r="K7" s="77">
        <f>VLOOKUP(C7, Adjustment_factor_for_distance_based_on_trip_purpose[#All],MATCH(A7, Adjustment_factor_for_distance_based_on_trip_purpose[#Headers],0),0)</f>
        <v>1</v>
      </c>
      <c r="L7" s="78">
        <f>VLOOKUP($L$2, Total_Journeys_Per_Year[#All],MATCH(A7, Total_Journeys_Per_Year[#Headers],0),0)</f>
        <v>4007543571.4285707</v>
      </c>
      <c r="M7" s="35">
        <f t="shared" si="0"/>
        <v>19922336670.177856</v>
      </c>
      <c r="N7" s="35">
        <f>VLOOKUP($N$2, Private_Vehicle_Kilometres_Car_Stock[#All],MATCH(A7, Private_Vehicle_Kilometres_Car_Stock[#Headers],0),0)</f>
        <v>32873713915</v>
      </c>
    </row>
    <row r="8" spans="1:14" x14ac:dyDescent="0.25">
      <c r="A8" s="79" t="s">
        <v>128</v>
      </c>
      <c r="B8" s="13" t="s">
        <v>12</v>
      </c>
      <c r="C8" s="13" t="s">
        <v>43</v>
      </c>
      <c r="D8" s="5">
        <f>VLOOKUP(B8,Percentage_distribution_of_journey_distance_for_all_regions[#All],MATCH(A8,Percentage_distribution_of_journey_distance_for_all_regions[#Headers],0),0)/100</f>
        <v>0.22</v>
      </c>
      <c r="E8" s="71">
        <f>IF(B8="&lt;2 kilometres",1,0)*VLOOKUP(C8, Percentage_dist_journeys_by_purpose_and_distance_to_2km[#All],MATCH(A8, Percentage_dist_journeys_by_purpose_and_distance_to_2km[#Headers],0),0)/100</f>
        <v>0.02</v>
      </c>
      <c r="F8" s="4">
        <f>IF(B8="2-4 kilometres",1,0)*VLOOKUP(C8, Percentage_dist_journeys_by_purpose_and_distance_2_to_4km[#All],MATCH(A8, Percentage_dist_journeys_by_purpose_and_distance_2_to_4km[#Headers],0),0)/100</f>
        <v>0</v>
      </c>
      <c r="G8" s="72">
        <f>IF(B8="4-6 kilometres",1,0)*VLOOKUP(C8, Percentage_dist_journeys_by_purpose_and_distance_4_to_6km[#All],MATCH(A8, Percentage_dist_journeys_by_purpose_and_distance_4_to_6km[#Headers],0),0)/100</f>
        <v>0</v>
      </c>
      <c r="H8" s="4">
        <f>IF(B8="6-8 kilometres",1,0)*VLOOKUP(C8, Percentage_dist_journeys_by_purpose_and_distance_6_to_8km[#All],MATCH(A8, Percentage_dist_journeys_by_purpose_and_distance_6_to_8km[#Headers],0),0)/100</f>
        <v>0</v>
      </c>
      <c r="I8" s="72">
        <f>IF(B8="8+ kilometres",1,0)*VLOOKUP(C8, Percentage_dist_journeys_by_purpose_and_distance_8km[#All],MATCH(A8, Percentage_dist_journeys_by_purpose_and_distance_8km[#Headers],0),0)/100</f>
        <v>0</v>
      </c>
      <c r="J8" s="73">
        <f>VLOOKUP(B8,Average_Distance_by_kilometres_grouping_for_trip_purpose[#All],MATCH(A8,Average_Distance_by_kilometres_grouping_for_trip_purpose[#Headers],0),0)</f>
        <v>1</v>
      </c>
      <c r="K8" s="77">
        <f>VLOOKUP(C8, Adjustment_factor_for_distance_based_on_trip_purpose[#All],MATCH(A8, Adjustment_factor_for_distance_based_on_trip_purpose[#Headers],0),0)</f>
        <v>0.88888888888888884</v>
      </c>
      <c r="L8" s="78">
        <f>VLOOKUP($L$2, Total_Journeys_Per_Year[#All],MATCH(A8, Total_Journeys_Per_Year[#Headers],0),0)</f>
        <v>4007543571.4285707</v>
      </c>
      <c r="M8" s="35">
        <f t="shared" si="0"/>
        <v>17633191.714285713</v>
      </c>
      <c r="N8" s="35">
        <f>VLOOKUP($N$2, Private_Vehicle_Kilometres_Car_Stock[#All],MATCH(A8, Private_Vehicle_Kilometres_Car_Stock[#Headers],0),0)</f>
        <v>32873713915</v>
      </c>
    </row>
    <row r="9" spans="1:14" x14ac:dyDescent="0.25">
      <c r="A9" s="79" t="s">
        <v>128</v>
      </c>
      <c r="B9" s="13" t="s">
        <v>181</v>
      </c>
      <c r="C9" s="13" t="s">
        <v>43</v>
      </c>
      <c r="D9" s="5">
        <f>VLOOKUP(B9,Percentage_distribution_of_journey_distance_for_all_regions[#All],MATCH(A9,Percentage_distribution_of_journey_distance_for_all_regions[#Headers],0),0)/100</f>
        <v>0.19</v>
      </c>
      <c r="E9" s="71">
        <f>IF(B9="&lt;2 kilometres",1,0)*VLOOKUP(C9, Percentage_dist_journeys_by_purpose_and_distance_to_2km[#All],MATCH(A9, Percentage_dist_journeys_by_purpose_and_distance_to_2km[#Headers],0),0)/100</f>
        <v>0</v>
      </c>
      <c r="F9" s="4">
        <f>IF(B9="2-4 kilometres",1,0)*VLOOKUP(C9, Percentage_dist_journeys_by_purpose_and_distance_2_to_4km[#All],MATCH(A9, Percentage_dist_journeys_by_purpose_and_distance_2_to_4km[#Headers],0),0)/100</f>
        <v>0.02</v>
      </c>
      <c r="G9" s="72">
        <f>IF(B9="4-6 kilometres",1,0)*VLOOKUP(C9, Percentage_dist_journeys_by_purpose_and_distance_4_to_6km[#All],MATCH(A9, Percentage_dist_journeys_by_purpose_and_distance_4_to_6km[#Headers],0),0)/100</f>
        <v>0</v>
      </c>
      <c r="H9" s="4">
        <f>IF(B9="6-8 kilometres",1,0)*VLOOKUP(C9, Percentage_dist_journeys_by_purpose_and_distance_6_to_8km[#All],MATCH(A9, Percentage_dist_journeys_by_purpose_and_distance_6_to_8km[#Headers],0),0)/100</f>
        <v>0</v>
      </c>
      <c r="I9" s="72">
        <f>IF(B9="8+ kilometres",1,0)*VLOOKUP(C9, Percentage_dist_journeys_by_purpose_and_distance_8km[#All],MATCH(A9, Percentage_dist_journeys_by_purpose_and_distance_8km[#Headers],0),0)/100</f>
        <v>0</v>
      </c>
      <c r="J9" s="73">
        <f>VLOOKUP(B9,Average_Distance_by_kilometres_grouping_for_trip_purpose[#All],MATCH(A9,Average_Distance_by_kilometres_grouping_for_trip_purpose[#Headers],0),0)</f>
        <v>3</v>
      </c>
      <c r="K9" s="77">
        <f>VLOOKUP(C9, Adjustment_factor_for_distance_based_on_trip_purpose[#All],MATCH(A9, Adjustment_factor_for_distance_based_on_trip_purpose[#Headers],0),0)</f>
        <v>0.88888888888888884</v>
      </c>
      <c r="L9" s="78">
        <f>VLOOKUP($L$2, Total_Journeys_Per_Year[#All],MATCH(A9, Total_Journeys_Per_Year[#Headers],0),0)</f>
        <v>4007543571.4285707</v>
      </c>
      <c r="M9" s="35">
        <f t="shared" si="0"/>
        <v>45685996.714285709</v>
      </c>
      <c r="N9" s="35">
        <f>VLOOKUP($N$2, Private_Vehicle_Kilometres_Car_Stock[#All],MATCH(A9, Private_Vehicle_Kilometres_Car_Stock[#Headers],0),0)</f>
        <v>32873713915</v>
      </c>
    </row>
    <row r="10" spans="1:14" x14ac:dyDescent="0.25">
      <c r="A10" s="79" t="s">
        <v>128</v>
      </c>
      <c r="B10" s="13" t="s">
        <v>180</v>
      </c>
      <c r="C10" s="13" t="s">
        <v>43</v>
      </c>
      <c r="D10" s="5">
        <f>VLOOKUP(B10,Percentage_distribution_of_journey_distance_for_all_regions[#All],MATCH(A10,Percentage_distribution_of_journey_distance_for_all_regions[#Headers],0),0)/100</f>
        <v>0.11</v>
      </c>
      <c r="E10" s="71">
        <f>IF(B10="&lt;2 kilometres",1,0)*VLOOKUP(C10, Percentage_dist_journeys_by_purpose_and_distance_to_2km[#All],MATCH(A10, Percentage_dist_journeys_by_purpose_and_distance_to_2km[#Headers],0),0)/100</f>
        <v>0</v>
      </c>
      <c r="F10" s="4">
        <f>IF(B10="2-4 kilometres",1,0)*VLOOKUP(C10, Percentage_dist_journeys_by_purpose_and_distance_2_to_4km[#All],MATCH(A10, Percentage_dist_journeys_by_purpose_and_distance_2_to_4km[#Headers],0),0)/100</f>
        <v>0</v>
      </c>
      <c r="G10" s="72">
        <f>IF(B10="4-6 kilometres",1,0)*VLOOKUP(C10, Percentage_dist_journeys_by_purpose_and_distance_4_to_6km[#All],MATCH(A10, Percentage_dist_journeys_by_purpose_and_distance_4_to_6km[#Headers],0),0)/100</f>
        <v>0.02</v>
      </c>
      <c r="H10" s="4">
        <f>IF(B10="6-8 kilometres",1,0)*VLOOKUP(C10, Percentage_dist_journeys_by_purpose_and_distance_6_to_8km[#All],MATCH(A10, Percentage_dist_journeys_by_purpose_and_distance_6_to_8km[#Headers],0),0)/100</f>
        <v>0</v>
      </c>
      <c r="I10" s="72">
        <f>IF(B10="8+ kilometres",1,0)*VLOOKUP(C10, Percentage_dist_journeys_by_purpose_and_distance_8km[#All],MATCH(A10, Percentage_dist_journeys_by_purpose_and_distance_8km[#Headers],0),0)/100</f>
        <v>0</v>
      </c>
      <c r="J10" s="73">
        <f>VLOOKUP(B10,Average_Distance_by_kilometres_grouping_for_trip_purpose[#All],MATCH(A10,Average_Distance_by_kilometres_grouping_for_trip_purpose[#Headers],0),0)</f>
        <v>5</v>
      </c>
      <c r="K10" s="77">
        <f>VLOOKUP(C10, Adjustment_factor_for_distance_based_on_trip_purpose[#All],MATCH(A10, Adjustment_factor_for_distance_based_on_trip_purpose[#Headers],0),0)</f>
        <v>0.88888888888888884</v>
      </c>
      <c r="L10" s="78">
        <f>VLOOKUP($L$2, Total_Journeys_Per_Year[#All],MATCH(A10, Total_Journeys_Per_Year[#Headers],0),0)</f>
        <v>4007543571.4285707</v>
      </c>
      <c r="M10" s="35">
        <f t="shared" si="0"/>
        <v>44082979.285714284</v>
      </c>
      <c r="N10" s="35">
        <f>VLOOKUP($N$2, Private_Vehicle_Kilometres_Car_Stock[#All],MATCH(A10, Private_Vehicle_Kilometres_Car_Stock[#Headers],0),0)</f>
        <v>32873713915</v>
      </c>
    </row>
    <row r="11" spans="1:14" x14ac:dyDescent="0.25">
      <c r="A11" s="79" t="s">
        <v>128</v>
      </c>
      <c r="B11" s="13" t="s">
        <v>182</v>
      </c>
      <c r="C11" s="13" t="s">
        <v>43</v>
      </c>
      <c r="D11" s="5">
        <f>VLOOKUP(B11,Percentage_distribution_of_journey_distance_for_all_regions[#All],MATCH(A11,Percentage_distribution_of_journey_distance_for_all_regions[#Headers],0),0)/100</f>
        <v>0.06</v>
      </c>
      <c r="E11" s="71">
        <f>IF(B11="&lt;2 kilometres",1,0)*VLOOKUP(C11, Percentage_dist_journeys_by_purpose_and_distance_to_2km[#All],MATCH(A11, Percentage_dist_journeys_by_purpose_and_distance_to_2km[#Headers],0),0)/100</f>
        <v>0</v>
      </c>
      <c r="F11" s="4">
        <f>IF(B11="2-4 kilometres",1,0)*VLOOKUP(C11, Percentage_dist_journeys_by_purpose_and_distance_2_to_4km[#All],MATCH(A11, Percentage_dist_journeys_by_purpose_and_distance_2_to_4km[#Headers],0),0)/100</f>
        <v>0</v>
      </c>
      <c r="G11" s="72">
        <f>IF(B11="4-6 kilometres",1,0)*VLOOKUP(C11, Percentage_dist_journeys_by_purpose_and_distance_4_to_6km[#All],MATCH(A11, Percentage_dist_journeys_by_purpose_and_distance_4_to_6km[#Headers],0),0)/100</f>
        <v>0</v>
      </c>
      <c r="H11" s="4">
        <f>IF(B11="6-8 kilometres",1,0)*VLOOKUP(C11, Percentage_dist_journeys_by_purpose_and_distance_6_to_8km[#All],MATCH(A11, Percentage_dist_journeys_by_purpose_and_distance_6_to_8km[#Headers],0),0)/100</f>
        <v>0.02</v>
      </c>
      <c r="I11" s="72">
        <f>IF(B11="8+ kilometres",1,0)*VLOOKUP(C11, Percentage_dist_journeys_by_purpose_and_distance_8km[#All],MATCH(A11, Percentage_dist_journeys_by_purpose_and_distance_8km[#Headers],0),0)/100</f>
        <v>0</v>
      </c>
      <c r="J11" s="73">
        <f>VLOOKUP(B11,Average_Distance_by_kilometres_grouping_for_trip_purpose[#All],MATCH(A11,Average_Distance_by_kilometres_grouping_for_trip_purpose[#Headers],0),0)</f>
        <v>7</v>
      </c>
      <c r="K11" s="77">
        <f>VLOOKUP(C11, Adjustment_factor_for_distance_based_on_trip_purpose[#All],MATCH(A11, Adjustment_factor_for_distance_based_on_trip_purpose[#Headers],0),0)</f>
        <v>0.88888888888888884</v>
      </c>
      <c r="L11" s="78">
        <f>VLOOKUP($L$2, Total_Journeys_Per_Year[#All],MATCH(A11, Total_Journeys_Per_Year[#Headers],0),0)</f>
        <v>4007543571.4285707</v>
      </c>
      <c r="M11" s="35">
        <f t="shared" si="0"/>
        <v>33663365.999999993</v>
      </c>
      <c r="N11" s="35">
        <f>VLOOKUP($N$2, Private_Vehicle_Kilometres_Car_Stock[#All],MATCH(A11, Private_Vehicle_Kilometres_Car_Stock[#Headers],0),0)</f>
        <v>32873713915</v>
      </c>
    </row>
    <row r="12" spans="1:14" x14ac:dyDescent="0.25">
      <c r="A12" s="79" t="s">
        <v>128</v>
      </c>
      <c r="B12" s="13" t="s">
        <v>1</v>
      </c>
      <c r="C12" s="13" t="s">
        <v>43</v>
      </c>
      <c r="D12" s="5">
        <f>VLOOKUP(B12,Percentage_distribution_of_journey_distance_for_all_regions[#All],MATCH(A12,Percentage_distribution_of_journey_distance_for_all_regions[#Headers],0),0)/100</f>
        <v>0.41</v>
      </c>
      <c r="E12" s="71">
        <f>IF(B12="&lt;2 kilometres",1,0)*VLOOKUP(C12, Percentage_dist_journeys_by_purpose_and_distance_to_2km[#All],MATCH(A12, Percentage_dist_journeys_by_purpose_and_distance_to_2km[#Headers],0),0)/100</f>
        <v>0</v>
      </c>
      <c r="F12" s="4">
        <f>IF(B12="2-4 kilometres",1,0)*VLOOKUP(C12, Percentage_dist_journeys_by_purpose_and_distance_2_to_4km[#All],MATCH(A12, Percentage_dist_journeys_by_purpose_and_distance_2_to_4km[#Headers],0),0)/100</f>
        <v>0</v>
      </c>
      <c r="G12" s="72">
        <f>IF(B12="4-6 kilometres",1,0)*VLOOKUP(C12, Percentage_dist_journeys_by_purpose_and_distance_4_to_6km[#All],MATCH(A12, Percentage_dist_journeys_by_purpose_and_distance_4_to_6km[#Headers],0),0)/100</f>
        <v>0</v>
      </c>
      <c r="H12" s="4">
        <f>IF(B12="6-8 kilometres",1,0)*VLOOKUP(C12, Percentage_dist_journeys_by_purpose_and_distance_6_to_8km[#All],MATCH(A12, Percentage_dist_journeys_by_purpose_and_distance_6_to_8km[#Headers],0),0)/100</f>
        <v>0</v>
      </c>
      <c r="I12" s="72">
        <f>IF(B12="8+ kilometres",1,0)*VLOOKUP(C12, Percentage_dist_journeys_by_purpose_and_distance_8km[#All],MATCH(A12, Percentage_dist_journeys_by_purpose_and_distance_8km[#Headers],0),0)/100</f>
        <v>0.04</v>
      </c>
      <c r="J12" s="73">
        <f>VLOOKUP(B12,Average_Distance_by_kilometres_grouping_for_trip_purpose[#All],MATCH(A12,Average_Distance_by_kilometres_grouping_for_trip_purpose[#Headers],0),0)</f>
        <v>32.770000000000003</v>
      </c>
      <c r="K12" s="77">
        <f>VLOOKUP(C12, Adjustment_factor_for_distance_based_on_trip_purpose[#All],MATCH(A12, Adjustment_factor_for_distance_based_on_trip_purpose[#Headers],0),0)</f>
        <v>0.88888888888888884</v>
      </c>
      <c r="L12" s="78">
        <f>VLOOKUP($L$2, Total_Journeys_Per_Year[#All],MATCH(A12, Total_Journeys_Per_Year[#Headers],0),0)</f>
        <v>4007543571.4285707</v>
      </c>
      <c r="M12" s="35">
        <f t="shared" si="0"/>
        <v>2153766126.5057139</v>
      </c>
      <c r="N12" s="35">
        <f>VLOOKUP($N$2, Private_Vehicle_Kilometres_Car_Stock[#All],MATCH(A12, Private_Vehicle_Kilometres_Car_Stock[#Headers],0),0)</f>
        <v>32873713915</v>
      </c>
    </row>
    <row r="13" spans="1:14" x14ac:dyDescent="0.25">
      <c r="A13" s="79" t="s">
        <v>128</v>
      </c>
      <c r="B13" s="13" t="s">
        <v>12</v>
      </c>
      <c r="C13" s="13" t="s">
        <v>44</v>
      </c>
      <c r="D13" s="5">
        <f>VLOOKUP(B13,Percentage_distribution_of_journey_distance_for_all_regions[#All],MATCH(A13,Percentage_distribution_of_journey_distance_for_all_regions[#Headers],0),0)/100</f>
        <v>0.22</v>
      </c>
      <c r="E13" s="71">
        <f>IF(B13="&lt;2 kilometres",1,0)*VLOOKUP(C13, Percentage_dist_journeys_by_purpose_and_distance_to_2km[#All],MATCH(A13, Percentage_dist_journeys_by_purpose_and_distance_to_2km[#Headers],0),0)/100</f>
        <v>0.28000000000000003</v>
      </c>
      <c r="F13" s="4">
        <f>IF(B13="2-4 kilometres",1,0)*VLOOKUP(C13, Percentage_dist_journeys_by_purpose_and_distance_2_to_4km[#All],MATCH(A13, Percentage_dist_journeys_by_purpose_and_distance_2_to_4km[#Headers],0),0)/100</f>
        <v>0</v>
      </c>
      <c r="G13" s="72">
        <f>IF(B13="4-6 kilometres",1,0)*VLOOKUP(C13, Percentage_dist_journeys_by_purpose_and_distance_4_to_6km[#All],MATCH(A13, Percentage_dist_journeys_by_purpose_and_distance_4_to_6km[#Headers],0),0)/100</f>
        <v>0</v>
      </c>
      <c r="H13" s="4">
        <f>IF(B13="6-8 kilometres",1,0)*VLOOKUP(C13, Percentage_dist_journeys_by_purpose_and_distance_6_to_8km[#All],MATCH(A13, Percentage_dist_journeys_by_purpose_and_distance_6_to_8km[#Headers],0),0)/100</f>
        <v>0</v>
      </c>
      <c r="I13" s="72">
        <f>IF(B13="8+ kilometres",1,0)*VLOOKUP(C13, Percentage_dist_journeys_by_purpose_and_distance_8km[#All],MATCH(A13, Percentage_dist_journeys_by_purpose_and_distance_8km[#Headers],0),0)/100</f>
        <v>0</v>
      </c>
      <c r="J13" s="73">
        <f>VLOOKUP(B13,Average_Distance_by_kilometres_grouping_for_trip_purpose[#All],MATCH(A13,Average_Distance_by_kilometres_grouping_for_trip_purpose[#Headers],0),0)</f>
        <v>1</v>
      </c>
      <c r="K13" s="77">
        <f>VLOOKUP(C13, Adjustment_factor_for_distance_based_on_trip_purpose[#All],MATCH(A13, Adjustment_factor_for_distance_based_on_trip_purpose[#Headers],0),0)</f>
        <v>0.44444444444444442</v>
      </c>
      <c r="L13" s="78">
        <f>VLOOKUP($L$2, Total_Journeys_Per_Year[#All],MATCH(A13, Total_Journeys_Per_Year[#Headers],0),0)</f>
        <v>4007543571.4285707</v>
      </c>
      <c r="M13" s="35">
        <f t="shared" si="0"/>
        <v>246864684</v>
      </c>
      <c r="N13" s="35">
        <f>VLOOKUP($N$2, Private_Vehicle_Kilometres_Car_Stock[#All],MATCH(A13, Private_Vehicle_Kilometres_Car_Stock[#Headers],0),0)</f>
        <v>32873713915</v>
      </c>
    </row>
    <row r="14" spans="1:14" x14ac:dyDescent="0.25">
      <c r="A14" s="79" t="s">
        <v>128</v>
      </c>
      <c r="B14" s="13" t="s">
        <v>181</v>
      </c>
      <c r="C14" s="13" t="s">
        <v>44</v>
      </c>
      <c r="D14" s="5">
        <f>VLOOKUP(B14,Percentage_distribution_of_journey_distance_for_all_regions[#All],MATCH(A14,Percentage_distribution_of_journey_distance_for_all_regions[#Headers],0),0)/100</f>
        <v>0.19</v>
      </c>
      <c r="E14" s="71">
        <f>IF(B14="&lt;2 kilometres",1,0)*VLOOKUP(C14, Percentage_dist_journeys_by_purpose_and_distance_to_2km[#All],MATCH(A14, Percentage_dist_journeys_by_purpose_and_distance_to_2km[#Headers],0),0)/100</f>
        <v>0</v>
      </c>
      <c r="F14" s="4">
        <f>IF(B14="2-4 kilometres",1,0)*VLOOKUP(C14, Percentage_dist_journeys_by_purpose_and_distance_2_to_4km[#All],MATCH(A14, Percentage_dist_journeys_by_purpose_and_distance_2_to_4km[#Headers],0),0)/100</f>
        <v>0.22500000000000001</v>
      </c>
      <c r="G14" s="72">
        <f>IF(B14="4-6 kilometres",1,0)*VLOOKUP(C14, Percentage_dist_journeys_by_purpose_and_distance_4_to_6km[#All],MATCH(A14, Percentage_dist_journeys_by_purpose_and_distance_4_to_6km[#Headers],0),0)/100</f>
        <v>0</v>
      </c>
      <c r="H14" s="4">
        <f>IF(B14="6-8 kilometres",1,0)*VLOOKUP(C14, Percentage_dist_journeys_by_purpose_and_distance_6_to_8km[#All],MATCH(A14, Percentage_dist_journeys_by_purpose_and_distance_6_to_8km[#Headers],0),0)/100</f>
        <v>0</v>
      </c>
      <c r="I14" s="72">
        <f>IF(B14="8+ kilometres",1,0)*VLOOKUP(C14, Percentage_dist_journeys_by_purpose_and_distance_8km[#All],MATCH(A14, Percentage_dist_journeys_by_purpose_and_distance_8km[#Headers],0),0)/100</f>
        <v>0</v>
      </c>
      <c r="J14" s="73">
        <f>VLOOKUP(B14,Average_Distance_by_kilometres_grouping_for_trip_purpose[#All],MATCH(A14,Average_Distance_by_kilometres_grouping_for_trip_purpose[#Headers],0),0)</f>
        <v>3</v>
      </c>
      <c r="K14" s="77">
        <f>VLOOKUP(C14, Adjustment_factor_for_distance_based_on_trip_purpose[#All],MATCH(A14, Adjustment_factor_for_distance_based_on_trip_purpose[#Headers],0),0)</f>
        <v>0.44444444444444442</v>
      </c>
      <c r="L14" s="78">
        <f>VLOOKUP($L$2, Total_Journeys_Per_Year[#All],MATCH(A14, Total_Journeys_Per_Year[#Headers],0),0)</f>
        <v>4007543571.4285707</v>
      </c>
      <c r="M14" s="35">
        <f t="shared" si="0"/>
        <v>513967463.03571421</v>
      </c>
      <c r="N14" s="35">
        <f>VLOOKUP($N$2, Private_Vehicle_Kilometres_Car_Stock[#All],MATCH(A14, Private_Vehicle_Kilometres_Car_Stock[#Headers],0),0)</f>
        <v>32873713915</v>
      </c>
    </row>
    <row r="15" spans="1:14" x14ac:dyDescent="0.25">
      <c r="A15" s="79" t="s">
        <v>128</v>
      </c>
      <c r="B15" s="13" t="s">
        <v>180</v>
      </c>
      <c r="C15" s="13" t="s">
        <v>44</v>
      </c>
      <c r="D15" s="5">
        <f>VLOOKUP(B15,Percentage_distribution_of_journey_distance_for_all_regions[#All],MATCH(A15,Percentage_distribution_of_journey_distance_for_all_regions[#Headers],0),0)/100</f>
        <v>0.11</v>
      </c>
      <c r="E15" s="71">
        <f>IF(B15="&lt;2 kilometres",1,0)*VLOOKUP(C15, Percentage_dist_journeys_by_purpose_and_distance_to_2km[#All],MATCH(A15, Percentage_dist_journeys_by_purpose_and_distance_to_2km[#Headers],0),0)/100</f>
        <v>0</v>
      </c>
      <c r="F15" s="4">
        <f>IF(B15="2-4 kilometres",1,0)*VLOOKUP(C15, Percentage_dist_journeys_by_purpose_and_distance_2_to_4km[#All],MATCH(A15, Percentage_dist_journeys_by_purpose_and_distance_2_to_4km[#Headers],0),0)/100</f>
        <v>0</v>
      </c>
      <c r="G15" s="72">
        <f>IF(B15="4-6 kilometres",1,0)*VLOOKUP(C15, Percentage_dist_journeys_by_purpose_and_distance_4_to_6km[#All],MATCH(A15, Percentage_dist_journeys_by_purpose_and_distance_4_to_6km[#Headers],0),0)/100</f>
        <v>0.20499999999999999</v>
      </c>
      <c r="H15" s="4">
        <f>IF(B15="6-8 kilometres",1,0)*VLOOKUP(C15, Percentage_dist_journeys_by_purpose_and_distance_6_to_8km[#All],MATCH(A15, Percentage_dist_journeys_by_purpose_and_distance_6_to_8km[#Headers],0),0)/100</f>
        <v>0</v>
      </c>
      <c r="I15" s="72">
        <f>IF(B15="8+ kilometres",1,0)*VLOOKUP(C15, Percentage_dist_journeys_by_purpose_and_distance_8km[#All],MATCH(A15, Percentage_dist_journeys_by_purpose_and_distance_8km[#Headers],0),0)/100</f>
        <v>0</v>
      </c>
      <c r="J15" s="73">
        <f>VLOOKUP(B15,Average_Distance_by_kilometres_grouping_for_trip_purpose[#All],MATCH(A15,Average_Distance_by_kilometres_grouping_for_trip_purpose[#Headers],0),0)</f>
        <v>5</v>
      </c>
      <c r="K15" s="77">
        <f>VLOOKUP(C15, Adjustment_factor_for_distance_based_on_trip_purpose[#All],MATCH(A15, Adjustment_factor_for_distance_based_on_trip_purpose[#Headers],0),0)</f>
        <v>0.44444444444444442</v>
      </c>
      <c r="L15" s="78">
        <f>VLOOKUP($L$2, Total_Journeys_Per_Year[#All],MATCH(A15, Total_Journeys_Per_Year[#Headers],0),0)</f>
        <v>4007543571.4285707</v>
      </c>
      <c r="M15" s="35">
        <f t="shared" si="0"/>
        <v>451850537.67857128</v>
      </c>
      <c r="N15" s="35">
        <f>VLOOKUP($N$2, Private_Vehicle_Kilometres_Car_Stock[#All],MATCH(A15, Private_Vehicle_Kilometres_Car_Stock[#Headers],0),0)</f>
        <v>32873713915</v>
      </c>
    </row>
    <row r="16" spans="1:14" x14ac:dyDescent="0.25">
      <c r="A16" s="79" t="s">
        <v>128</v>
      </c>
      <c r="B16" s="13" t="s">
        <v>182</v>
      </c>
      <c r="C16" s="13" t="s">
        <v>44</v>
      </c>
      <c r="D16" s="5">
        <f>VLOOKUP(B16,Percentage_distribution_of_journey_distance_for_all_regions[#All],MATCH(A16,Percentage_distribution_of_journey_distance_for_all_regions[#Headers],0),0)/100</f>
        <v>0.06</v>
      </c>
      <c r="E16" s="71">
        <f>IF(B16="&lt;2 kilometres",1,0)*VLOOKUP(C16, Percentage_dist_journeys_by_purpose_and_distance_to_2km[#All],MATCH(A16, Percentage_dist_journeys_by_purpose_and_distance_to_2km[#Headers],0),0)/100</f>
        <v>0</v>
      </c>
      <c r="F16" s="4">
        <f>IF(B16="2-4 kilometres",1,0)*VLOOKUP(C16, Percentage_dist_journeys_by_purpose_and_distance_2_to_4km[#All],MATCH(A16, Percentage_dist_journeys_by_purpose_and_distance_2_to_4km[#Headers],0),0)/100</f>
        <v>0</v>
      </c>
      <c r="G16" s="72">
        <f>IF(B16="4-6 kilometres",1,0)*VLOOKUP(C16, Percentage_dist_journeys_by_purpose_and_distance_4_to_6km[#All],MATCH(A16, Percentage_dist_journeys_by_purpose_and_distance_4_to_6km[#Headers],0),0)/100</f>
        <v>0</v>
      </c>
      <c r="H16" s="4">
        <f>IF(B16="6-8 kilometres",1,0)*VLOOKUP(C16, Percentage_dist_journeys_by_purpose_and_distance_6_to_8km[#All],MATCH(A16, Percentage_dist_journeys_by_purpose_and_distance_6_to_8km[#Headers],0),0)/100</f>
        <v>0.19</v>
      </c>
      <c r="I16" s="72">
        <f>IF(B16="8+ kilometres",1,0)*VLOOKUP(C16, Percentage_dist_journeys_by_purpose_and_distance_8km[#All],MATCH(A16, Percentage_dist_journeys_by_purpose_and_distance_8km[#Headers],0),0)/100</f>
        <v>0</v>
      </c>
      <c r="J16" s="73">
        <f>VLOOKUP(B16,Average_Distance_by_kilometres_grouping_for_trip_purpose[#All],MATCH(A16,Average_Distance_by_kilometres_grouping_for_trip_purpose[#Headers],0),0)</f>
        <v>7</v>
      </c>
      <c r="K16" s="77">
        <f>VLOOKUP(C16, Adjustment_factor_for_distance_based_on_trip_purpose[#All],MATCH(A16, Adjustment_factor_for_distance_based_on_trip_purpose[#Headers],0),0)</f>
        <v>0.44444444444444442</v>
      </c>
      <c r="L16" s="78">
        <f>VLOOKUP($L$2, Total_Journeys_Per_Year[#All],MATCH(A16, Total_Journeys_Per_Year[#Headers],0),0)</f>
        <v>4007543571.4285707</v>
      </c>
      <c r="M16" s="35">
        <f t="shared" si="0"/>
        <v>319801977</v>
      </c>
      <c r="N16" s="35">
        <f>VLOOKUP($N$2, Private_Vehicle_Kilometres_Car_Stock[#All],MATCH(A16, Private_Vehicle_Kilometres_Car_Stock[#Headers],0),0)</f>
        <v>32873713915</v>
      </c>
    </row>
    <row r="17" spans="1:14" x14ac:dyDescent="0.25">
      <c r="A17" s="79" t="s">
        <v>128</v>
      </c>
      <c r="B17" s="13" t="s">
        <v>1</v>
      </c>
      <c r="C17" s="13" t="s">
        <v>44</v>
      </c>
      <c r="D17" s="5">
        <f>VLOOKUP(B17,Percentage_distribution_of_journey_distance_for_all_regions[#All],MATCH(A17,Percentage_distribution_of_journey_distance_for_all_regions[#Headers],0),0)/100</f>
        <v>0.41</v>
      </c>
      <c r="E17" s="71">
        <f>IF(B17="&lt;2 kilometres",1,0)*VLOOKUP(C17, Percentage_dist_journeys_by_purpose_and_distance_to_2km[#All],MATCH(A17, Percentage_dist_journeys_by_purpose_and_distance_to_2km[#Headers],0),0)/100</f>
        <v>0</v>
      </c>
      <c r="F17" s="4">
        <f>IF(B17="2-4 kilometres",1,0)*VLOOKUP(C17, Percentage_dist_journeys_by_purpose_and_distance_2_to_4km[#All],MATCH(A17, Percentage_dist_journeys_by_purpose_and_distance_2_to_4km[#Headers],0),0)/100</f>
        <v>0</v>
      </c>
      <c r="G17" s="72">
        <f>IF(B17="4-6 kilometres",1,0)*VLOOKUP(C17, Percentage_dist_journeys_by_purpose_and_distance_4_to_6km[#All],MATCH(A17, Percentage_dist_journeys_by_purpose_and_distance_4_to_6km[#Headers],0),0)/100</f>
        <v>0</v>
      </c>
      <c r="H17" s="4">
        <f>IF(B17="6-8 kilometres",1,0)*VLOOKUP(C17, Percentage_dist_journeys_by_purpose_and_distance_6_to_8km[#All],MATCH(A17, Percentage_dist_journeys_by_purpose_and_distance_6_to_8km[#Headers],0),0)/100</f>
        <v>0</v>
      </c>
      <c r="I17" s="72">
        <f>IF(B17="8+ kilometres",1,0)*VLOOKUP(C17, Percentage_dist_journeys_by_purpose_and_distance_8km[#All],MATCH(A17, Percentage_dist_journeys_by_purpose_and_distance_8km[#Headers],0),0)/100</f>
        <v>0.16</v>
      </c>
      <c r="J17" s="73">
        <f>VLOOKUP(B17,Average_Distance_by_kilometres_grouping_for_trip_purpose[#All],MATCH(A17,Average_Distance_by_kilometres_grouping_for_trip_purpose[#Headers],0),0)</f>
        <v>32.770000000000003</v>
      </c>
      <c r="K17" s="77">
        <f>VLOOKUP(C17, Adjustment_factor_for_distance_based_on_trip_purpose[#All],MATCH(A17, Adjustment_factor_for_distance_based_on_trip_purpose[#Headers],0),0)</f>
        <v>0.44444444444444442</v>
      </c>
      <c r="L17" s="78">
        <f>VLOOKUP($L$2, Total_Journeys_Per_Year[#All],MATCH(A17, Total_Journeys_Per_Year[#Headers],0),0)</f>
        <v>4007543571.4285707</v>
      </c>
      <c r="M17" s="35">
        <f t="shared" si="0"/>
        <v>8615064506.0228558</v>
      </c>
      <c r="N17" s="35">
        <f>VLOOKUP($N$2, Private_Vehicle_Kilometres_Car_Stock[#All],MATCH(A17, Private_Vehicle_Kilometres_Car_Stock[#Headers],0),0)</f>
        <v>32873713915</v>
      </c>
    </row>
    <row r="18" spans="1:14" x14ac:dyDescent="0.25">
      <c r="A18" s="79" t="s">
        <v>128</v>
      </c>
      <c r="B18" s="13" t="s">
        <v>12</v>
      </c>
      <c r="C18" s="13" t="s">
        <v>45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Percentage_dist_journeys_by_purpose_and_distance_to_2km[#All],MATCH(A18, Percentage_dist_journeys_by_purpose_and_distance_to_2km[#Headers],0),0)/100</f>
        <v>0.04</v>
      </c>
      <c r="F18" s="4">
        <f>IF(B18="2-4 kilometres",1,0)*VLOOKUP(C18, Percentage_dist_journeys_by_purpose_and_distance_2_to_4km[#All],MATCH(A18, Percentage_dist_journeys_by_purpose_and_distance_2_to_4km[#Headers],0),0)/100</f>
        <v>0</v>
      </c>
      <c r="G18" s="72">
        <f>IF(B18="4-6 kilometres",1,0)*VLOOKUP(C18, Percentage_dist_journeys_by_purpose_and_distance_4_to_6km[#All],MATCH(A18, Percentage_dist_journeys_by_purpose_and_distance_4_to_6km[#Headers],0),0)/100</f>
        <v>0</v>
      </c>
      <c r="H18" s="4">
        <f>IF(B18="6-8 kilometres",1,0)*VLOOKUP(C18, Percentage_dist_journeys_by_purpose_and_distance_6_to_8km[#All],MATCH(A18, Percentage_dist_journeys_by_purpose_and_distance_6_to_8km[#Headers],0),0)/100</f>
        <v>0</v>
      </c>
      <c r="I18" s="72">
        <f>IF(B18="8+ kilometres",1,0)*VLOOKUP(C18, Percentage_dist_journeys_by_purpose_and_distance_8km[#All],MATCH(A18, Percentage_dist_journeys_by_purpose_and_distance_8km[#Headers],0),0)/100</f>
        <v>0</v>
      </c>
      <c r="J18" s="73">
        <f>VLOOKUP(B18,Average_Distance_by_kilometres_grouping_for_trip_purpose[#All],MATCH(A18,Average_Distance_by_kilometres_grouping_for_trip_purpose[#Headers],0),0)</f>
        <v>1</v>
      </c>
      <c r="K18" s="77">
        <f>VLOOKUP(C18, Adjustment_factor_for_distance_based_on_trip_purpose[#All],MATCH(A18, Adjustment_factor_for_distance_based_on_trip_purpose[#Headers],0),0)</f>
        <v>0.44444444444444442</v>
      </c>
      <c r="L18" s="78">
        <f>VLOOKUP($L$2, Total_Journeys_Per_Year[#All],MATCH(A18, Total_Journeys_Per_Year[#Headers],0),0)</f>
        <v>4007543571.4285707</v>
      </c>
      <c r="M18" s="35">
        <f t="shared" si="0"/>
        <v>35266383.428571425</v>
      </c>
      <c r="N18" s="35">
        <f>VLOOKUP($N$2, Private_Vehicle_Kilometres_Car_Stock[#All],MATCH(A18, Private_Vehicle_Kilometres_Car_Stock[#Headers],0),0)</f>
        <v>32873713915</v>
      </c>
    </row>
    <row r="19" spans="1:14" x14ac:dyDescent="0.25">
      <c r="A19" s="79" t="s">
        <v>128</v>
      </c>
      <c r="B19" s="13" t="s">
        <v>181</v>
      </c>
      <c r="C19" s="13" t="s">
        <v>45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Percentage_dist_journeys_by_purpose_and_distance_to_2km[#All],MATCH(A19, Percentage_dist_journeys_by_purpose_and_distance_to_2km[#Headers],0),0)/100</f>
        <v>0</v>
      </c>
      <c r="F19" s="4">
        <f>IF(B19="2-4 kilometres",1,0)*VLOOKUP(C19, Percentage_dist_journeys_by_purpose_and_distance_2_to_4km[#All],MATCH(A19, Percentage_dist_journeys_by_purpose_and_distance_2_to_4km[#Headers],0),0)/100</f>
        <v>2.5000000000000001E-2</v>
      </c>
      <c r="G19" s="72">
        <f>IF(B19="4-6 kilometres",1,0)*VLOOKUP(C19, Percentage_dist_journeys_by_purpose_and_distance_4_to_6km[#All],MATCH(A19, Percentage_dist_journeys_by_purpose_and_distance_4_to_6km[#Headers],0),0)/100</f>
        <v>0</v>
      </c>
      <c r="H19" s="4">
        <f>IF(B19="6-8 kilometres",1,0)*VLOOKUP(C19, Percentage_dist_journeys_by_purpose_and_distance_6_to_8km[#All],MATCH(A19, Percentage_dist_journeys_by_purpose_and_distance_6_to_8km[#Headers],0),0)/100</f>
        <v>0</v>
      </c>
      <c r="I19" s="72">
        <f>IF(B19="8+ kilometres",1,0)*VLOOKUP(C19, Percentage_dist_journeys_by_purpose_and_distance_8km[#All],MATCH(A19, Percentage_dist_journeys_by_purpose_and_distance_8km[#Headers],0),0)/100</f>
        <v>0</v>
      </c>
      <c r="J19" s="73">
        <f>VLOOKUP(B19,Average_Distance_by_kilometres_grouping_for_trip_purpose[#All],MATCH(A19,Average_Distance_by_kilometres_grouping_for_trip_purpose[#Headers],0),0)</f>
        <v>3</v>
      </c>
      <c r="K19" s="77">
        <f>VLOOKUP(C19, Adjustment_factor_for_distance_based_on_trip_purpose[#All],MATCH(A19, Adjustment_factor_for_distance_based_on_trip_purpose[#Headers],0),0)</f>
        <v>0.44444444444444442</v>
      </c>
      <c r="L19" s="78">
        <f>VLOOKUP($L$2, Total_Journeys_Per_Year[#All],MATCH(A19, Total_Journeys_Per_Year[#Headers],0),0)</f>
        <v>4007543571.4285707</v>
      </c>
      <c r="M19" s="35">
        <f t="shared" si="0"/>
        <v>57107495.892857142</v>
      </c>
      <c r="N19" s="35">
        <f>VLOOKUP($N$2, Private_Vehicle_Kilometres_Car_Stock[#All],MATCH(A19, Private_Vehicle_Kilometres_Car_Stock[#Headers],0),0)</f>
        <v>32873713915</v>
      </c>
    </row>
    <row r="20" spans="1:14" x14ac:dyDescent="0.25">
      <c r="A20" s="79" t="s">
        <v>128</v>
      </c>
      <c r="B20" s="13" t="s">
        <v>180</v>
      </c>
      <c r="C20" s="13" t="s">
        <v>45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Percentage_dist_journeys_by_purpose_and_distance_to_2km[#All],MATCH(A20, Percentage_dist_journeys_by_purpose_and_distance_to_2km[#Headers],0),0)/100</f>
        <v>0</v>
      </c>
      <c r="F20" s="4">
        <f>IF(B20="2-4 kilometres",1,0)*VLOOKUP(C20, Percentage_dist_journeys_by_purpose_and_distance_2_to_4km[#All],MATCH(A20, Percentage_dist_journeys_by_purpose_and_distance_2_to_4km[#Headers],0),0)/100</f>
        <v>0</v>
      </c>
      <c r="G20" s="72">
        <f>IF(B20="4-6 kilometres",1,0)*VLOOKUP(C20, Percentage_dist_journeys_by_purpose_and_distance_4_to_6km[#All],MATCH(A20, Percentage_dist_journeys_by_purpose_and_distance_4_to_6km[#Headers],0),0)/100</f>
        <v>2.5000000000000001E-2</v>
      </c>
      <c r="H20" s="4">
        <f>IF(B20="6-8 kilometres",1,0)*VLOOKUP(C20, Percentage_dist_journeys_by_purpose_and_distance_6_to_8km[#All],MATCH(A20, Percentage_dist_journeys_by_purpose_and_distance_6_to_8km[#Headers],0),0)/100</f>
        <v>0</v>
      </c>
      <c r="I20" s="72">
        <f>IF(B20="8+ kilometres",1,0)*VLOOKUP(C20, Percentage_dist_journeys_by_purpose_and_distance_8km[#All],MATCH(A20, Percentage_dist_journeys_by_purpose_and_distance_8km[#Headers],0),0)/100</f>
        <v>0</v>
      </c>
      <c r="J20" s="73">
        <f>VLOOKUP(B20,Average_Distance_by_kilometres_grouping_for_trip_purpose[#All],MATCH(A20,Average_Distance_by_kilometres_grouping_for_trip_purpose[#Headers],0),0)</f>
        <v>5</v>
      </c>
      <c r="K20" s="77">
        <f>VLOOKUP(C20, Adjustment_factor_for_distance_based_on_trip_purpose[#All],MATCH(A20, Adjustment_factor_for_distance_based_on_trip_purpose[#Headers],0),0)</f>
        <v>0.44444444444444442</v>
      </c>
      <c r="L20" s="78">
        <f>VLOOKUP($L$2, Total_Journeys_Per_Year[#All],MATCH(A20, Total_Journeys_Per_Year[#Headers],0),0)</f>
        <v>4007543571.4285707</v>
      </c>
      <c r="M20" s="35">
        <f t="shared" si="0"/>
        <v>55103724.107142858</v>
      </c>
      <c r="N20" s="35">
        <f>VLOOKUP($N$2, Private_Vehicle_Kilometres_Car_Stock[#All],MATCH(A20, Private_Vehicle_Kilometres_Car_Stock[#Headers],0),0)</f>
        <v>32873713915</v>
      </c>
    </row>
    <row r="21" spans="1:14" x14ac:dyDescent="0.25">
      <c r="A21" s="79" t="s">
        <v>128</v>
      </c>
      <c r="B21" s="13" t="s">
        <v>182</v>
      </c>
      <c r="C21" s="13" t="s">
        <v>45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Percentage_dist_journeys_by_purpose_and_distance_to_2km[#All],MATCH(A21, Percentage_dist_journeys_by_purpose_and_distance_to_2km[#Headers],0),0)/100</f>
        <v>0</v>
      </c>
      <c r="F21" s="4">
        <f>IF(B21="2-4 kilometres",1,0)*VLOOKUP(C21, Percentage_dist_journeys_by_purpose_and_distance_2_to_4km[#All],MATCH(A21, Percentage_dist_journeys_by_purpose_and_distance_2_to_4km[#Headers],0),0)/100</f>
        <v>0</v>
      </c>
      <c r="G21" s="72">
        <f>IF(B21="4-6 kilometres",1,0)*VLOOKUP(C21, Percentage_dist_journeys_by_purpose_and_distance_4_to_6km[#All],MATCH(A21, Percentage_dist_journeys_by_purpose_and_distance_4_to_6km[#Headers],0),0)/100</f>
        <v>0</v>
      </c>
      <c r="H21" s="4">
        <f>IF(B21="6-8 kilometres",1,0)*VLOOKUP(C21, Percentage_dist_journeys_by_purpose_and_distance_6_to_8km[#All],MATCH(A21, Percentage_dist_journeys_by_purpose_and_distance_6_to_8km[#Headers],0),0)/100</f>
        <v>0.03</v>
      </c>
      <c r="I21" s="72">
        <f>IF(B21="8+ kilometres",1,0)*VLOOKUP(C21, Percentage_dist_journeys_by_purpose_and_distance_8km[#All],MATCH(A21, Percentage_dist_journeys_by_purpose_and_distance_8km[#Headers],0),0)/100</f>
        <v>0</v>
      </c>
      <c r="J21" s="73">
        <f>VLOOKUP(B21,Average_Distance_by_kilometres_grouping_for_trip_purpose[#All],MATCH(A21,Average_Distance_by_kilometres_grouping_for_trip_purpose[#Headers],0),0)</f>
        <v>7</v>
      </c>
      <c r="K21" s="77">
        <f>VLOOKUP(C21, Adjustment_factor_for_distance_based_on_trip_purpose[#All],MATCH(A21, Adjustment_factor_for_distance_based_on_trip_purpose[#Headers],0),0)</f>
        <v>0.44444444444444442</v>
      </c>
      <c r="L21" s="78">
        <f>VLOOKUP($L$2, Total_Journeys_Per_Year[#All],MATCH(A21, Total_Journeys_Per_Year[#Headers],0),0)</f>
        <v>4007543571.4285707</v>
      </c>
      <c r="M21" s="35">
        <f t="shared" si="0"/>
        <v>50495048.999999993</v>
      </c>
      <c r="N21" s="35">
        <f>VLOOKUP($N$2, Private_Vehicle_Kilometres_Car_Stock[#All],MATCH(A21, Private_Vehicle_Kilometres_Car_Stock[#Headers],0),0)</f>
        <v>32873713915</v>
      </c>
    </row>
    <row r="22" spans="1:14" x14ac:dyDescent="0.25">
      <c r="A22" s="79" t="s">
        <v>128</v>
      </c>
      <c r="B22" s="13" t="s">
        <v>1</v>
      </c>
      <c r="C22" s="13" t="s">
        <v>45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Percentage_dist_journeys_by_purpose_and_distance_to_2km[#All],MATCH(A22, Percentage_dist_journeys_by_purpose_and_distance_to_2km[#Headers],0),0)/100</f>
        <v>0</v>
      </c>
      <c r="F22" s="4">
        <f>IF(B22="2-4 kilometres",1,0)*VLOOKUP(C22, Percentage_dist_journeys_by_purpose_and_distance_2_to_4km[#All],MATCH(A22, Percentage_dist_journeys_by_purpose_and_distance_2_to_4km[#Headers],0),0)/100</f>
        <v>0</v>
      </c>
      <c r="G22" s="72">
        <f>IF(B22="4-6 kilometres",1,0)*VLOOKUP(C22, Percentage_dist_journeys_by_purpose_and_distance_4_to_6km[#All],MATCH(A22, Percentage_dist_journeys_by_purpose_and_distance_4_to_6km[#Headers],0),0)/100</f>
        <v>0</v>
      </c>
      <c r="H22" s="4">
        <f>IF(B22="6-8 kilometres",1,0)*VLOOKUP(C22, Percentage_dist_journeys_by_purpose_and_distance_6_to_8km[#All],MATCH(A22, Percentage_dist_journeys_by_purpose_and_distance_6_to_8km[#Headers],0),0)/100</f>
        <v>0</v>
      </c>
      <c r="I22" s="72">
        <f>IF(B22="8+ kilometres",1,0)*VLOOKUP(C22, Percentage_dist_journeys_by_purpose_and_distance_8km[#All],MATCH(A22, Percentage_dist_journeys_by_purpose_and_distance_8km[#Headers],0),0)/100</f>
        <v>0.01</v>
      </c>
      <c r="J22" s="73">
        <f>VLOOKUP(B22,Average_Distance_by_kilometres_grouping_for_trip_purpose[#All],MATCH(A22,Average_Distance_by_kilometres_grouping_for_trip_purpose[#Headers],0),0)</f>
        <v>32.770000000000003</v>
      </c>
      <c r="K22" s="77">
        <f>VLOOKUP(C22, Adjustment_factor_for_distance_based_on_trip_purpose[#All],MATCH(A22, Adjustment_factor_for_distance_based_on_trip_purpose[#Headers],0),0)</f>
        <v>0.44444444444444442</v>
      </c>
      <c r="L22" s="78">
        <f>VLOOKUP($L$2, Total_Journeys_Per_Year[#All],MATCH(A22, Total_Journeys_Per_Year[#Headers],0),0)</f>
        <v>4007543571.4285707</v>
      </c>
      <c r="M22" s="35">
        <f t="shared" si="0"/>
        <v>538441531.62642848</v>
      </c>
      <c r="N22" s="35">
        <f>VLOOKUP($N$2, Private_Vehicle_Kilometres_Car_Stock[#All],MATCH(A22, Private_Vehicle_Kilometres_Car_Stock[#Headers],0),0)</f>
        <v>32873713915</v>
      </c>
    </row>
    <row r="23" spans="1:14" x14ac:dyDescent="0.25">
      <c r="A23" s="79" t="s">
        <v>128</v>
      </c>
      <c r="B23" s="13" t="s">
        <v>12</v>
      </c>
      <c r="C23" s="13" t="s">
        <v>46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Percentage_dist_journeys_by_purpose_and_distance_to_2km[#All],MATCH(A23, Percentage_dist_journeys_by_purpose_and_distance_to_2km[#Headers],0),0)/100</f>
        <v>9.5000000000000001E-2</v>
      </c>
      <c r="F23" s="4">
        <f>IF(B23="2-4 kilometres",1,0)*VLOOKUP(C23, Percentage_dist_journeys_by_purpose_and_distance_2_to_4km[#All],MATCH(A23, Percentage_dist_journeys_by_purpose_and_distance_2_to_4km[#Headers],0),0)/100</f>
        <v>0</v>
      </c>
      <c r="G23" s="72">
        <f>IF(B23="4-6 kilometres",1,0)*VLOOKUP(C23, Percentage_dist_journeys_by_purpose_and_distance_4_to_6km[#All],MATCH(A23, Percentage_dist_journeys_by_purpose_and_distance_4_to_6km[#Headers],0),0)/100</f>
        <v>0</v>
      </c>
      <c r="H23" s="4">
        <f>IF(B23="6-8 kilometres",1,0)*VLOOKUP(C23, Percentage_dist_journeys_by_purpose_and_distance_6_to_8km[#All],MATCH(A23, Percentage_dist_journeys_by_purpose_and_distance_6_to_8km[#Headers],0),0)/100</f>
        <v>0</v>
      </c>
      <c r="I23" s="72">
        <f>IF(B23="8+ kilometres",1,0)*VLOOKUP(C23, Percentage_dist_journeys_by_purpose_and_distance_8km[#All],MATCH(A23, Percentage_dist_journeys_by_purpose_and_distance_8km[#Headers],0),0)/100</f>
        <v>0</v>
      </c>
      <c r="J23" s="73">
        <f>VLOOKUP(B23,Average_Distance_by_kilometres_grouping_for_trip_purpose[#All],MATCH(A23,Average_Distance_by_kilometres_grouping_for_trip_purpose[#Headers],0),0)</f>
        <v>1</v>
      </c>
      <c r="K23" s="77">
        <f>VLOOKUP(C23, Adjustment_factor_for_distance_based_on_trip_purpose[#All],MATCH(A23, Adjustment_factor_for_distance_based_on_trip_purpose[#Headers],0),0)</f>
        <v>0.94444444444444442</v>
      </c>
      <c r="L23" s="78">
        <f>VLOOKUP($L$2, Total_Journeys_Per_Year[#All],MATCH(A23, Total_Journeys_Per_Year[#Headers],0),0)</f>
        <v>4007543571.4285707</v>
      </c>
      <c r="M23" s="35">
        <f t="shared" si="0"/>
        <v>83757660.642857134</v>
      </c>
      <c r="N23" s="35">
        <f>VLOOKUP($N$2, Private_Vehicle_Kilometres_Car_Stock[#All],MATCH(A23, Private_Vehicle_Kilometres_Car_Stock[#Headers],0),0)</f>
        <v>32873713915</v>
      </c>
    </row>
    <row r="24" spans="1:14" x14ac:dyDescent="0.25">
      <c r="A24" s="79" t="s">
        <v>128</v>
      </c>
      <c r="B24" s="13" t="s">
        <v>181</v>
      </c>
      <c r="C24" s="13" t="s">
        <v>46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Percentage_dist_journeys_by_purpose_and_distance_to_2km[#All],MATCH(A24, Percentage_dist_journeys_by_purpose_and_distance_to_2km[#Headers],0),0)/100</f>
        <v>0</v>
      </c>
      <c r="F24" s="4">
        <f>IF(B24="2-4 kilometres",1,0)*VLOOKUP(C24, Percentage_dist_journeys_by_purpose_and_distance_2_to_4km[#All],MATCH(A24, Percentage_dist_journeys_by_purpose_and_distance_2_to_4km[#Headers],0),0)/100</f>
        <v>7.0000000000000007E-2</v>
      </c>
      <c r="G24" s="72">
        <f>IF(B24="4-6 kilometres",1,0)*VLOOKUP(C24, Percentage_dist_journeys_by_purpose_and_distance_4_to_6km[#All],MATCH(A24, Percentage_dist_journeys_by_purpose_and_distance_4_to_6km[#Headers],0),0)/100</f>
        <v>0</v>
      </c>
      <c r="H24" s="4">
        <f>IF(B24="6-8 kilometres",1,0)*VLOOKUP(C24, Percentage_dist_journeys_by_purpose_and_distance_6_to_8km[#All],MATCH(A24, Percentage_dist_journeys_by_purpose_and_distance_6_to_8km[#Headers],0),0)/100</f>
        <v>0</v>
      </c>
      <c r="I24" s="72">
        <f>IF(B24="8+ kilometres",1,0)*VLOOKUP(C24, Percentage_dist_journeys_by_purpose_and_distance_8km[#All],MATCH(A24, Percentage_dist_journeys_by_purpose_and_distance_8km[#Headers],0),0)/100</f>
        <v>0</v>
      </c>
      <c r="J24" s="73">
        <f>VLOOKUP(B24,Average_Distance_by_kilometres_grouping_for_trip_purpose[#All],MATCH(A24,Average_Distance_by_kilometres_grouping_for_trip_purpose[#Headers],0),0)</f>
        <v>3</v>
      </c>
      <c r="K24" s="77">
        <f>VLOOKUP(C24, Adjustment_factor_for_distance_based_on_trip_purpose[#All],MATCH(A24, Adjustment_factor_for_distance_based_on_trip_purpose[#Headers],0),0)</f>
        <v>0.94444444444444442</v>
      </c>
      <c r="L24" s="78">
        <f>VLOOKUP($L$2, Total_Journeys_Per_Year[#All],MATCH(A24, Total_Journeys_Per_Year[#Headers],0),0)</f>
        <v>4007543571.4285707</v>
      </c>
      <c r="M24" s="35">
        <f t="shared" si="0"/>
        <v>159900988.5</v>
      </c>
      <c r="N24" s="35">
        <f>VLOOKUP($N$2, Private_Vehicle_Kilometres_Car_Stock[#All],MATCH(A24, Private_Vehicle_Kilometres_Car_Stock[#Headers],0),0)</f>
        <v>32873713915</v>
      </c>
    </row>
    <row r="25" spans="1:14" x14ac:dyDescent="0.25">
      <c r="A25" s="79" t="s">
        <v>128</v>
      </c>
      <c r="B25" s="13" t="s">
        <v>180</v>
      </c>
      <c r="C25" s="13" t="s">
        <v>46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Percentage_dist_journeys_by_purpose_and_distance_to_2km[#All],MATCH(A25, Percentage_dist_journeys_by_purpose_and_distance_to_2km[#Headers],0),0)/100</f>
        <v>0</v>
      </c>
      <c r="F25" s="4">
        <f>IF(B25="2-4 kilometres",1,0)*VLOOKUP(C25, Percentage_dist_journeys_by_purpose_and_distance_2_to_4km[#All],MATCH(A25, Percentage_dist_journeys_by_purpose_and_distance_2_to_4km[#Headers],0),0)/100</f>
        <v>0</v>
      </c>
      <c r="G25" s="72">
        <f>IF(B25="4-6 kilometres",1,0)*VLOOKUP(C25, Percentage_dist_journeys_by_purpose_and_distance_4_to_6km[#All],MATCH(A25, Percentage_dist_journeys_by_purpose_and_distance_4_to_6km[#Headers],0),0)/100</f>
        <v>7.0000000000000007E-2</v>
      </c>
      <c r="H25" s="4">
        <f>IF(B25="6-8 kilometres",1,0)*VLOOKUP(C25, Percentage_dist_journeys_by_purpose_and_distance_6_to_8km[#All],MATCH(A25, Percentage_dist_journeys_by_purpose_and_distance_6_to_8km[#Headers],0),0)/100</f>
        <v>0</v>
      </c>
      <c r="I25" s="72">
        <f>IF(B25="8+ kilometres",1,0)*VLOOKUP(C25, Percentage_dist_journeys_by_purpose_and_distance_8km[#All],MATCH(A25, Percentage_dist_journeys_by_purpose_and_distance_8km[#Headers],0),0)/100</f>
        <v>0</v>
      </c>
      <c r="J25" s="73">
        <f>VLOOKUP(B25,Average_Distance_by_kilometres_grouping_for_trip_purpose[#All],MATCH(A25,Average_Distance_by_kilometres_grouping_for_trip_purpose[#Headers],0),0)</f>
        <v>5</v>
      </c>
      <c r="K25" s="77">
        <f>VLOOKUP(C25, Adjustment_factor_for_distance_based_on_trip_purpose[#All],MATCH(A25, Adjustment_factor_for_distance_based_on_trip_purpose[#Headers],0),0)</f>
        <v>0.94444444444444442</v>
      </c>
      <c r="L25" s="78">
        <f>VLOOKUP($L$2, Total_Journeys_Per_Year[#All],MATCH(A25, Total_Journeys_Per_Year[#Headers],0),0)</f>
        <v>4007543571.4285707</v>
      </c>
      <c r="M25" s="35">
        <f t="shared" si="0"/>
        <v>154290427.5</v>
      </c>
      <c r="N25" s="35">
        <f>VLOOKUP($N$2, Private_Vehicle_Kilometres_Car_Stock[#All],MATCH(A25, Private_Vehicle_Kilometres_Car_Stock[#Headers],0),0)</f>
        <v>32873713915</v>
      </c>
    </row>
    <row r="26" spans="1:14" x14ac:dyDescent="0.25">
      <c r="A26" s="79" t="s">
        <v>128</v>
      </c>
      <c r="B26" s="13" t="s">
        <v>182</v>
      </c>
      <c r="C26" s="13" t="s">
        <v>46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Percentage_dist_journeys_by_purpose_and_distance_to_2km[#All],MATCH(A26, Percentage_dist_journeys_by_purpose_and_distance_to_2km[#Headers],0),0)/100</f>
        <v>0</v>
      </c>
      <c r="F26" s="4">
        <f>IF(B26="2-4 kilometres",1,0)*VLOOKUP(C26, Percentage_dist_journeys_by_purpose_and_distance_2_to_4km[#All],MATCH(A26, Percentage_dist_journeys_by_purpose_and_distance_2_to_4km[#Headers],0),0)/100</f>
        <v>0</v>
      </c>
      <c r="G26" s="72">
        <f>IF(B26="4-6 kilometres",1,0)*VLOOKUP(C26, Percentage_dist_journeys_by_purpose_and_distance_4_to_6km[#All],MATCH(A26, Percentage_dist_journeys_by_purpose_and_distance_4_to_6km[#Headers],0),0)/100</f>
        <v>0</v>
      </c>
      <c r="H26" s="4">
        <f>IF(B26="6-8 kilometres",1,0)*VLOOKUP(C26, Percentage_dist_journeys_by_purpose_and_distance_6_to_8km[#All],MATCH(A26, Percentage_dist_journeys_by_purpose_and_distance_6_to_8km[#Headers],0),0)/100</f>
        <v>0.1</v>
      </c>
      <c r="I26" s="72">
        <f>IF(B26="8+ kilometres",1,0)*VLOOKUP(C26, Percentage_dist_journeys_by_purpose_and_distance_8km[#All],MATCH(A26, Percentage_dist_journeys_by_purpose_and_distance_8km[#Headers],0),0)/100</f>
        <v>0</v>
      </c>
      <c r="J26" s="73">
        <f>VLOOKUP(B26,Average_Distance_by_kilometres_grouping_for_trip_purpose[#All],MATCH(A26,Average_Distance_by_kilometres_grouping_for_trip_purpose[#Headers],0),0)</f>
        <v>7</v>
      </c>
      <c r="K26" s="77">
        <f>VLOOKUP(C26, Adjustment_factor_for_distance_based_on_trip_purpose[#All],MATCH(A26, Adjustment_factor_for_distance_based_on_trip_purpose[#Headers],0),0)</f>
        <v>0.94444444444444442</v>
      </c>
      <c r="L26" s="78">
        <f>VLOOKUP($L$2, Total_Journeys_Per_Year[#All],MATCH(A26, Total_Journeys_Per_Year[#Headers],0),0)</f>
        <v>4007543571.4285707</v>
      </c>
      <c r="M26" s="35">
        <f t="shared" si="0"/>
        <v>168316829.99999997</v>
      </c>
      <c r="N26" s="35">
        <f>VLOOKUP($N$2, Private_Vehicle_Kilometres_Car_Stock[#All],MATCH(A26, Private_Vehicle_Kilometres_Car_Stock[#Headers],0),0)</f>
        <v>32873713915</v>
      </c>
    </row>
    <row r="27" spans="1:14" x14ac:dyDescent="0.25">
      <c r="A27" s="79" t="s">
        <v>128</v>
      </c>
      <c r="B27" s="13" t="s">
        <v>1</v>
      </c>
      <c r="C27" s="13" t="s">
        <v>46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Percentage_dist_journeys_by_purpose_and_distance_to_2km[#All],MATCH(A27, Percentage_dist_journeys_by_purpose_and_distance_to_2km[#Headers],0),0)/100</f>
        <v>0</v>
      </c>
      <c r="F27" s="4">
        <f>IF(B27="2-4 kilometres",1,0)*VLOOKUP(C27, Percentage_dist_journeys_by_purpose_and_distance_2_to_4km[#All],MATCH(A27, Percentage_dist_journeys_by_purpose_and_distance_2_to_4km[#Headers],0),0)/100</f>
        <v>0</v>
      </c>
      <c r="G27" s="72">
        <f>IF(B27="4-6 kilometres",1,0)*VLOOKUP(C27, Percentage_dist_journeys_by_purpose_and_distance_4_to_6km[#All],MATCH(A27, Percentage_dist_journeys_by_purpose_and_distance_4_to_6km[#Headers],0),0)/100</f>
        <v>0</v>
      </c>
      <c r="H27" s="4">
        <f>IF(B27="6-8 kilometres",1,0)*VLOOKUP(C27, Percentage_dist_journeys_by_purpose_and_distance_6_to_8km[#All],MATCH(A27, Percentage_dist_journeys_by_purpose_and_distance_6_to_8km[#Headers],0),0)/100</f>
        <v>0</v>
      </c>
      <c r="I27" s="72">
        <f>IF(B27="8+ kilometres",1,0)*VLOOKUP(C27, Percentage_dist_journeys_by_purpose_and_distance_8km[#All],MATCH(A27, Percentage_dist_journeys_by_purpose_and_distance_8km[#Headers],0),0)/100</f>
        <v>0.12</v>
      </c>
      <c r="J27" s="73">
        <f>VLOOKUP(B27,Average_Distance_by_kilometres_grouping_for_trip_purpose[#All],MATCH(A27,Average_Distance_by_kilometres_grouping_for_trip_purpose[#Headers],0),0)</f>
        <v>32.770000000000003</v>
      </c>
      <c r="K27" s="77">
        <f>VLOOKUP(C27, Adjustment_factor_for_distance_based_on_trip_purpose[#All],MATCH(A27, Adjustment_factor_for_distance_based_on_trip_purpose[#Headers],0),0)</f>
        <v>0.94444444444444442</v>
      </c>
      <c r="L27" s="78">
        <f>VLOOKUP($L$2, Total_Journeys_Per_Year[#All],MATCH(A27, Total_Journeys_Per_Year[#Headers],0),0)</f>
        <v>4007543571.4285707</v>
      </c>
      <c r="M27" s="35">
        <f t="shared" si="0"/>
        <v>6461298379.5171423</v>
      </c>
      <c r="N27" s="35">
        <f>VLOOKUP($N$2, Private_Vehicle_Kilometres_Car_Stock[#All],MATCH(A27, Private_Vehicle_Kilometres_Car_Stock[#Headers],0),0)</f>
        <v>32873713915</v>
      </c>
    </row>
    <row r="28" spans="1:14" x14ac:dyDescent="0.25">
      <c r="A28" s="79" t="s">
        <v>128</v>
      </c>
      <c r="B28" s="13" t="s">
        <v>12</v>
      </c>
      <c r="C28" s="13" t="s">
        <v>47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Percentage_dist_journeys_by_purpose_and_distance_to_2km[#All],MATCH(A28, Percentage_dist_journeys_by_purpose_and_distance_to_2km[#Headers],0),0)/100</f>
        <v>7.4999999999999997E-2</v>
      </c>
      <c r="F28" s="4">
        <f>IF(B28="2-4 kilometres",1,0)*VLOOKUP(C28, Percentage_dist_journeys_by_purpose_and_distance_2_to_4km[#All],MATCH(A28, Percentage_dist_journeys_by_purpose_and_distance_2_to_4km[#Headers],0),0)/100</f>
        <v>0</v>
      </c>
      <c r="G28" s="72">
        <f>IF(B28="4-6 kilometres",1,0)*VLOOKUP(C28, Percentage_dist_journeys_by_purpose_and_distance_4_to_6km[#All],MATCH(A28, Percentage_dist_journeys_by_purpose_and_distance_4_to_6km[#Headers],0),0)/100</f>
        <v>0</v>
      </c>
      <c r="H28" s="4">
        <f>IF(B28="6-8 kilometres",1,0)*VLOOKUP(C28, Percentage_dist_journeys_by_purpose_and_distance_6_to_8km[#All],MATCH(A28, Percentage_dist_journeys_by_purpose_and_distance_6_to_8km[#Headers],0),0)/100</f>
        <v>0</v>
      </c>
      <c r="I28" s="72">
        <f>IF(B28="8+ kilometres",1,0)*VLOOKUP(C28, Percentage_dist_journeys_by_purpose_and_distance_8km[#All],MATCH(A28, Percentage_dist_journeys_by_purpose_and_distance_8km[#Headers],0),0)/100</f>
        <v>0</v>
      </c>
      <c r="J28" s="73">
        <f>VLOOKUP(B28,Average_Distance_by_kilometres_grouping_for_trip_purpose[#All],MATCH(A28,Average_Distance_by_kilometres_grouping_for_trip_purpose[#Headers],0),0)</f>
        <v>1</v>
      </c>
      <c r="K28" s="77">
        <f>VLOOKUP(C28, Adjustment_factor_for_distance_based_on_trip_purpose[#All],MATCH(A28, Adjustment_factor_for_distance_based_on_trip_purpose[#Headers],0),0)</f>
        <v>0.94444444444444442</v>
      </c>
      <c r="L28" s="78">
        <f>VLOOKUP($L$2, Total_Journeys_Per_Year[#All],MATCH(A28, Total_Journeys_Per_Year[#Headers],0),0)</f>
        <v>4007543571.4285707</v>
      </c>
      <c r="M28" s="35">
        <f t="shared" si="0"/>
        <v>66124468.928571418</v>
      </c>
      <c r="N28" s="35">
        <f>VLOOKUP($N$2, Private_Vehicle_Kilometres_Car_Stock[#All],MATCH(A28, Private_Vehicle_Kilometres_Car_Stock[#Headers],0),0)</f>
        <v>32873713915</v>
      </c>
    </row>
    <row r="29" spans="1:14" x14ac:dyDescent="0.25">
      <c r="A29" s="79" t="s">
        <v>128</v>
      </c>
      <c r="B29" s="13" t="s">
        <v>181</v>
      </c>
      <c r="C29" s="13" t="s">
        <v>47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Percentage_dist_journeys_by_purpose_and_distance_to_2km[#All],MATCH(A29, Percentage_dist_journeys_by_purpose_and_distance_to_2km[#Headers],0),0)/100</f>
        <v>0</v>
      </c>
      <c r="F29" s="4">
        <f>IF(B29="2-4 kilometres",1,0)*VLOOKUP(C29, Percentage_dist_journeys_by_purpose_and_distance_2_to_4km[#All],MATCH(A29, Percentage_dist_journeys_by_purpose_and_distance_2_to_4km[#Headers],0),0)/100</f>
        <v>0.1</v>
      </c>
      <c r="G29" s="72">
        <f>IF(B29="4-6 kilometres",1,0)*VLOOKUP(C29, Percentage_dist_journeys_by_purpose_and_distance_4_to_6km[#All],MATCH(A29, Percentage_dist_journeys_by_purpose_and_distance_4_to_6km[#Headers],0),0)/100</f>
        <v>0</v>
      </c>
      <c r="H29" s="4">
        <f>IF(B29="6-8 kilometres",1,0)*VLOOKUP(C29, Percentage_dist_journeys_by_purpose_and_distance_6_to_8km[#All],MATCH(A29, Percentage_dist_journeys_by_purpose_and_distance_6_to_8km[#Headers],0),0)/100</f>
        <v>0</v>
      </c>
      <c r="I29" s="72">
        <f>IF(B29="8+ kilometres",1,0)*VLOOKUP(C29, Percentage_dist_journeys_by_purpose_and_distance_8km[#All],MATCH(A29, Percentage_dist_journeys_by_purpose_and_distance_8km[#Headers],0),0)/100</f>
        <v>0</v>
      </c>
      <c r="J29" s="73">
        <f>VLOOKUP(B29,Average_Distance_by_kilometres_grouping_for_trip_purpose[#All],MATCH(A29,Average_Distance_by_kilometres_grouping_for_trip_purpose[#Headers],0),0)</f>
        <v>3</v>
      </c>
      <c r="K29" s="77">
        <f>VLOOKUP(C29, Adjustment_factor_for_distance_based_on_trip_purpose[#All],MATCH(A29, Adjustment_factor_for_distance_based_on_trip_purpose[#Headers],0),0)</f>
        <v>0.94444444444444442</v>
      </c>
      <c r="L29" s="78">
        <f>VLOOKUP($L$2, Total_Journeys_Per_Year[#All],MATCH(A29, Total_Journeys_Per_Year[#Headers],0),0)</f>
        <v>4007543571.4285707</v>
      </c>
      <c r="M29" s="35">
        <f t="shared" si="0"/>
        <v>228429983.57142857</v>
      </c>
      <c r="N29" s="35">
        <f>VLOOKUP($N$2, Private_Vehicle_Kilometres_Car_Stock[#All],MATCH(A29, Private_Vehicle_Kilometres_Car_Stock[#Headers],0),0)</f>
        <v>32873713915</v>
      </c>
    </row>
    <row r="30" spans="1:14" x14ac:dyDescent="0.25">
      <c r="A30" s="79" t="s">
        <v>128</v>
      </c>
      <c r="B30" s="13" t="s">
        <v>180</v>
      </c>
      <c r="C30" s="13" t="s">
        <v>47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Percentage_dist_journeys_by_purpose_and_distance_to_2km[#All],MATCH(A30, Percentage_dist_journeys_by_purpose_and_distance_to_2km[#Headers],0),0)/100</f>
        <v>0</v>
      </c>
      <c r="F30" s="4">
        <f>IF(B30="2-4 kilometres",1,0)*VLOOKUP(C30, Percentage_dist_journeys_by_purpose_and_distance_2_to_4km[#All],MATCH(A30, Percentage_dist_journeys_by_purpose_and_distance_2_to_4km[#Headers],0),0)/100</f>
        <v>0</v>
      </c>
      <c r="G30" s="72">
        <f>IF(B30="4-6 kilometres",1,0)*VLOOKUP(C30, Percentage_dist_journeys_by_purpose_and_distance_4_to_6km[#All],MATCH(A30, Percentage_dist_journeys_by_purpose_and_distance_4_to_6km[#Headers],0),0)/100</f>
        <v>0.09</v>
      </c>
      <c r="H30" s="4">
        <f>IF(B30="6-8 kilometres",1,0)*VLOOKUP(C30, Percentage_dist_journeys_by_purpose_and_distance_6_to_8km[#All],MATCH(A30, Percentage_dist_journeys_by_purpose_and_distance_6_to_8km[#Headers],0),0)/100</f>
        <v>0</v>
      </c>
      <c r="I30" s="72">
        <f>IF(B30="8+ kilometres",1,0)*VLOOKUP(C30, Percentage_dist_journeys_by_purpose_and_distance_8km[#All],MATCH(A30, Percentage_dist_journeys_by_purpose_and_distance_8km[#Headers],0),0)/100</f>
        <v>0</v>
      </c>
      <c r="J30" s="73">
        <f>VLOOKUP(B30,Average_Distance_by_kilometres_grouping_for_trip_purpose[#All],MATCH(A30,Average_Distance_by_kilometres_grouping_for_trip_purpose[#Headers],0),0)</f>
        <v>5</v>
      </c>
      <c r="K30" s="77">
        <f>VLOOKUP(C30, Adjustment_factor_for_distance_based_on_trip_purpose[#All],MATCH(A30, Adjustment_factor_for_distance_based_on_trip_purpose[#Headers],0),0)</f>
        <v>0.94444444444444442</v>
      </c>
      <c r="L30" s="78">
        <f>VLOOKUP($L$2, Total_Journeys_Per_Year[#All],MATCH(A30, Total_Journeys_Per_Year[#Headers],0),0)</f>
        <v>4007543571.4285707</v>
      </c>
      <c r="M30" s="35">
        <f t="shared" si="0"/>
        <v>198373406.78571424</v>
      </c>
      <c r="N30" s="35">
        <f>VLOOKUP($N$2, Private_Vehicle_Kilometres_Car_Stock[#All],MATCH(A30, Private_Vehicle_Kilometres_Car_Stock[#Headers],0),0)</f>
        <v>32873713915</v>
      </c>
    </row>
    <row r="31" spans="1:14" x14ac:dyDescent="0.25">
      <c r="A31" s="79" t="s">
        <v>128</v>
      </c>
      <c r="B31" s="13" t="s">
        <v>182</v>
      </c>
      <c r="C31" s="13" t="s">
        <v>47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Percentage_dist_journeys_by_purpose_and_distance_to_2km[#All],MATCH(A31, Percentage_dist_journeys_by_purpose_and_distance_to_2km[#Headers],0),0)/100</f>
        <v>0</v>
      </c>
      <c r="F31" s="4">
        <f>IF(B31="2-4 kilometres",1,0)*VLOOKUP(C31, Percentage_dist_journeys_by_purpose_and_distance_2_to_4km[#All],MATCH(A31, Percentage_dist_journeys_by_purpose_and_distance_2_to_4km[#Headers],0),0)/100</f>
        <v>0</v>
      </c>
      <c r="G31" s="72">
        <f>IF(B31="4-6 kilometres",1,0)*VLOOKUP(C31, Percentage_dist_journeys_by_purpose_and_distance_4_to_6km[#All],MATCH(A31, Percentage_dist_journeys_by_purpose_and_distance_4_to_6km[#Headers],0),0)/100</f>
        <v>0</v>
      </c>
      <c r="H31" s="4">
        <f>IF(B31="6-8 kilometres",1,0)*VLOOKUP(C31, Percentage_dist_journeys_by_purpose_and_distance_6_to_8km[#All],MATCH(A31, Percentage_dist_journeys_by_purpose_and_distance_6_to_8km[#Headers],0),0)/100</f>
        <v>0.09</v>
      </c>
      <c r="I31" s="72">
        <f>IF(B31="8+ kilometres",1,0)*VLOOKUP(C31, Percentage_dist_journeys_by_purpose_and_distance_8km[#All],MATCH(A31, Percentage_dist_journeys_by_purpose_and_distance_8km[#Headers],0),0)/100</f>
        <v>0</v>
      </c>
      <c r="J31" s="73">
        <f>VLOOKUP(B31,Average_Distance_by_kilometres_grouping_for_trip_purpose[#All],MATCH(A31,Average_Distance_by_kilometres_grouping_for_trip_purpose[#Headers],0),0)</f>
        <v>7</v>
      </c>
      <c r="K31" s="77">
        <f>VLOOKUP(C31, Adjustment_factor_for_distance_based_on_trip_purpose[#All],MATCH(A31, Adjustment_factor_for_distance_based_on_trip_purpose[#Headers],0),0)</f>
        <v>0.94444444444444442</v>
      </c>
      <c r="L31" s="78">
        <f>VLOOKUP($L$2, Total_Journeys_Per_Year[#All],MATCH(A31, Total_Journeys_Per_Year[#Headers],0),0)</f>
        <v>4007543571.4285707</v>
      </c>
      <c r="M31" s="35">
        <f t="shared" si="0"/>
        <v>151485146.99999994</v>
      </c>
      <c r="N31" s="35">
        <f>VLOOKUP($N$2, Private_Vehicle_Kilometres_Car_Stock[#All],MATCH(A31, Private_Vehicle_Kilometres_Car_Stock[#Headers],0),0)</f>
        <v>32873713915</v>
      </c>
    </row>
    <row r="32" spans="1:14" x14ac:dyDescent="0.25">
      <c r="A32" s="79" t="s">
        <v>128</v>
      </c>
      <c r="B32" s="13" t="s">
        <v>1</v>
      </c>
      <c r="C32" s="13" t="s">
        <v>47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Percentage_dist_journeys_by_purpose_and_distance_to_2km[#All],MATCH(A32, Percentage_dist_journeys_by_purpose_and_distance_to_2km[#Headers],0),0)/100</f>
        <v>0</v>
      </c>
      <c r="F32" s="4">
        <f>IF(B32="2-4 kilometres",1,0)*VLOOKUP(C32, Percentage_dist_journeys_by_purpose_and_distance_2_to_4km[#All],MATCH(A32, Percentage_dist_journeys_by_purpose_and_distance_2_to_4km[#Headers],0),0)/100</f>
        <v>0</v>
      </c>
      <c r="G32" s="72">
        <f>IF(B32="4-6 kilometres",1,0)*VLOOKUP(C32, Percentage_dist_journeys_by_purpose_and_distance_4_to_6km[#All],MATCH(A32, Percentage_dist_journeys_by_purpose_and_distance_4_to_6km[#Headers],0),0)/100</f>
        <v>0</v>
      </c>
      <c r="H32" s="4">
        <f>IF(B32="6-8 kilometres",1,0)*VLOOKUP(C32, Percentage_dist_journeys_by_purpose_and_distance_6_to_8km[#All],MATCH(A32, Percentage_dist_journeys_by_purpose_and_distance_6_to_8km[#Headers],0),0)/100</f>
        <v>0</v>
      </c>
      <c r="I32" s="72">
        <f>IF(B32="8+ kilometres",1,0)*VLOOKUP(C32, Percentage_dist_journeys_by_purpose_and_distance_8km[#All],MATCH(A32, Percentage_dist_journeys_by_purpose_and_distance_8km[#Headers],0),0)/100</f>
        <v>0.06</v>
      </c>
      <c r="J32" s="73">
        <f>VLOOKUP(B32,Average_Distance_by_kilometres_grouping_for_trip_purpose[#All],MATCH(A32,Average_Distance_by_kilometres_grouping_for_trip_purpose[#Headers],0),0)</f>
        <v>32.770000000000003</v>
      </c>
      <c r="K32" s="77">
        <f>VLOOKUP(C32, Adjustment_factor_for_distance_based_on_trip_purpose[#All],MATCH(A32, Adjustment_factor_for_distance_based_on_trip_purpose[#Headers],0),0)</f>
        <v>0.94444444444444442</v>
      </c>
      <c r="L32" s="78">
        <f>VLOOKUP($L$2, Total_Journeys_Per_Year[#All],MATCH(A32, Total_Journeys_Per_Year[#Headers],0),0)</f>
        <v>4007543571.4285707</v>
      </c>
      <c r="M32" s="35">
        <f t="shared" si="0"/>
        <v>3230649189.7585711</v>
      </c>
      <c r="N32" s="35">
        <f>VLOOKUP($N$2, Private_Vehicle_Kilometres_Car_Stock[#All],MATCH(A32, Private_Vehicle_Kilometres_Car_Stock[#Headers],0),0)</f>
        <v>32873713915</v>
      </c>
    </row>
    <row r="33" spans="1:14" x14ac:dyDescent="0.25">
      <c r="A33" s="79" t="s">
        <v>128</v>
      </c>
      <c r="B33" s="13" t="s">
        <v>12</v>
      </c>
      <c r="C33" s="13" t="s">
        <v>48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Percentage_dist_journeys_by_purpose_and_distance_to_2km[#All],MATCH(A33, Percentage_dist_journeys_by_purpose_and_distance_to_2km[#Headers],0),0)/100</f>
        <v>0.1</v>
      </c>
      <c r="F33" s="4">
        <f>IF(B33="2-4 kilometres",1,0)*VLOOKUP(C33, Percentage_dist_journeys_by_purpose_and_distance_2_to_4km[#All],MATCH(A33, Percentage_dist_journeys_by_purpose_and_distance_2_to_4km[#Headers],0),0)/100</f>
        <v>0</v>
      </c>
      <c r="G33" s="72">
        <f>IF(B33="4-6 kilometres",1,0)*VLOOKUP(C33, Percentage_dist_journeys_by_purpose_and_distance_4_to_6km[#All],MATCH(A33, Percentage_dist_journeys_by_purpose_and_distance_4_to_6km[#Headers],0),0)/100</f>
        <v>0</v>
      </c>
      <c r="H33" s="4">
        <f>IF(B33="6-8 kilometres",1,0)*VLOOKUP(C33, Percentage_dist_journeys_by_purpose_and_distance_6_to_8km[#All],MATCH(A33, Percentage_dist_journeys_by_purpose_and_distance_6_to_8km[#Headers],0),0)/100</f>
        <v>0</v>
      </c>
      <c r="I33" s="72">
        <f>IF(B33="8+ kilometres",1,0)*VLOOKUP(C33, Percentage_dist_journeys_by_purpose_and_distance_8km[#All],MATCH(A33, Percentage_dist_journeys_by_purpose_and_distance_8km[#Headers],0),0)/100</f>
        <v>0</v>
      </c>
      <c r="J33" s="73">
        <f>VLOOKUP(B33,Average_Distance_by_kilometres_grouping_for_trip_purpose[#All],MATCH(A33,Average_Distance_by_kilometres_grouping_for_trip_purpose[#Headers],0),0)</f>
        <v>1</v>
      </c>
      <c r="K33" s="77">
        <f>VLOOKUP(C33, Adjustment_factor_for_distance_based_on_trip_purpose[#All],MATCH(A33, Adjustment_factor_for_distance_based_on_trip_purpose[#Headers],0),0)</f>
        <v>0.66666666666666663</v>
      </c>
      <c r="L33" s="78">
        <f>VLOOKUP($L$2, Total_Journeys_Per_Year[#All],MATCH(A33, Total_Journeys_Per_Year[#Headers],0),0)</f>
        <v>4007543571.4285707</v>
      </c>
      <c r="M33" s="35">
        <f t="shared" si="0"/>
        <v>88165958.571428567</v>
      </c>
      <c r="N33" s="35">
        <f>VLOOKUP($N$2, Private_Vehicle_Kilometres_Car_Stock[#All],MATCH(A33, Private_Vehicle_Kilometres_Car_Stock[#Headers],0),0)</f>
        <v>32873713915</v>
      </c>
    </row>
    <row r="34" spans="1:14" x14ac:dyDescent="0.25">
      <c r="A34" s="79" t="s">
        <v>128</v>
      </c>
      <c r="B34" s="13" t="s">
        <v>181</v>
      </c>
      <c r="C34" s="13" t="s">
        <v>48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Percentage_dist_journeys_by_purpose_and_distance_to_2km[#All],MATCH(A34, Percentage_dist_journeys_by_purpose_and_distance_to_2km[#Headers],0),0)/100</f>
        <v>0</v>
      </c>
      <c r="F34" s="4">
        <f>IF(B34="2-4 kilometres",1,0)*VLOOKUP(C34, Percentage_dist_journeys_by_purpose_and_distance_2_to_4km[#All],MATCH(A34, Percentage_dist_journeys_by_purpose_and_distance_2_to_4km[#Headers],0),0)/100</f>
        <v>0.1</v>
      </c>
      <c r="G34" s="72">
        <f>IF(B34="4-6 kilometres",1,0)*VLOOKUP(C34, Percentage_dist_journeys_by_purpose_and_distance_4_to_6km[#All],MATCH(A34, Percentage_dist_journeys_by_purpose_and_distance_4_to_6km[#Headers],0),0)/100</f>
        <v>0</v>
      </c>
      <c r="H34" s="4">
        <f>IF(B34="6-8 kilometres",1,0)*VLOOKUP(C34, Percentage_dist_journeys_by_purpose_and_distance_6_to_8km[#All],MATCH(A34, Percentage_dist_journeys_by_purpose_and_distance_6_to_8km[#Headers],0),0)/100</f>
        <v>0</v>
      </c>
      <c r="I34" s="72">
        <f>IF(B34="8+ kilometres",1,0)*VLOOKUP(C34, Percentage_dist_journeys_by_purpose_and_distance_8km[#All],MATCH(A34, Percentage_dist_journeys_by_purpose_and_distance_8km[#Headers],0),0)/100</f>
        <v>0</v>
      </c>
      <c r="J34" s="73">
        <f>VLOOKUP(B34,Average_Distance_by_kilometres_grouping_for_trip_purpose[#All],MATCH(A34,Average_Distance_by_kilometres_grouping_for_trip_purpose[#Headers],0),0)</f>
        <v>3</v>
      </c>
      <c r="K34" s="77">
        <f>VLOOKUP(C34, Adjustment_factor_for_distance_based_on_trip_purpose[#All],MATCH(A34, Adjustment_factor_for_distance_based_on_trip_purpose[#Headers],0),0)</f>
        <v>0.66666666666666663</v>
      </c>
      <c r="L34" s="78">
        <f>VLOOKUP($L$2, Total_Journeys_Per_Year[#All],MATCH(A34, Total_Journeys_Per_Year[#Headers],0),0)</f>
        <v>4007543571.4285707</v>
      </c>
      <c r="M34" s="35">
        <f t="shared" si="0"/>
        <v>228429983.57142857</v>
      </c>
      <c r="N34" s="35">
        <f>VLOOKUP($N$2, Private_Vehicle_Kilometres_Car_Stock[#All],MATCH(A34, Private_Vehicle_Kilometres_Car_Stock[#Headers],0),0)</f>
        <v>32873713915</v>
      </c>
    </row>
    <row r="35" spans="1:14" x14ac:dyDescent="0.25">
      <c r="A35" s="79" t="s">
        <v>128</v>
      </c>
      <c r="B35" s="13" t="s">
        <v>180</v>
      </c>
      <c r="C35" s="13" t="s">
        <v>48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Percentage_dist_journeys_by_purpose_and_distance_to_2km[#All],MATCH(A35, Percentage_dist_journeys_by_purpose_and_distance_to_2km[#Headers],0),0)/100</f>
        <v>0</v>
      </c>
      <c r="F35" s="4">
        <f>IF(B35="2-4 kilometres",1,0)*VLOOKUP(C35, Percentage_dist_journeys_by_purpose_and_distance_2_to_4km[#All],MATCH(A35, Percentage_dist_journeys_by_purpose_and_distance_2_to_4km[#Headers],0),0)/100</f>
        <v>0</v>
      </c>
      <c r="G35" s="72">
        <f>IF(B35="4-6 kilometres",1,0)*VLOOKUP(C35, Percentage_dist_journeys_by_purpose_and_distance_4_to_6km[#All],MATCH(A35, Percentage_dist_journeys_by_purpose_and_distance_4_to_6km[#Headers],0),0)/100</f>
        <v>0.08</v>
      </c>
      <c r="H35" s="4">
        <f>IF(B35="6-8 kilometres",1,0)*VLOOKUP(C35, Percentage_dist_journeys_by_purpose_and_distance_6_to_8km[#All],MATCH(A35, Percentage_dist_journeys_by_purpose_and_distance_6_to_8km[#Headers],0),0)/100</f>
        <v>0</v>
      </c>
      <c r="I35" s="72">
        <f>IF(B35="8+ kilometres",1,0)*VLOOKUP(C35, Percentage_dist_journeys_by_purpose_and_distance_8km[#All],MATCH(A35, Percentage_dist_journeys_by_purpose_and_distance_8km[#Headers],0),0)/100</f>
        <v>0</v>
      </c>
      <c r="J35" s="73">
        <f>VLOOKUP(B35,Average_Distance_by_kilometres_grouping_for_trip_purpose[#All],MATCH(A35,Average_Distance_by_kilometres_grouping_for_trip_purpose[#Headers],0),0)</f>
        <v>5</v>
      </c>
      <c r="K35" s="77">
        <f>VLOOKUP(C35, Adjustment_factor_for_distance_based_on_trip_purpose[#All],MATCH(A35, Adjustment_factor_for_distance_based_on_trip_purpose[#Headers],0),0)</f>
        <v>0.66666666666666663</v>
      </c>
      <c r="L35" s="78">
        <f>VLOOKUP($L$2, Total_Journeys_Per_Year[#All],MATCH(A35, Total_Journeys_Per_Year[#Headers],0),0)</f>
        <v>4007543571.4285707</v>
      </c>
      <c r="M35" s="35">
        <f t="shared" si="0"/>
        <v>176331917.14285713</v>
      </c>
      <c r="N35" s="35">
        <f>VLOOKUP($N$2, Private_Vehicle_Kilometres_Car_Stock[#All],MATCH(A35, Private_Vehicle_Kilometres_Car_Stock[#Headers],0),0)</f>
        <v>32873713915</v>
      </c>
    </row>
    <row r="36" spans="1:14" x14ac:dyDescent="0.25">
      <c r="A36" s="79" t="s">
        <v>128</v>
      </c>
      <c r="B36" s="13" t="s">
        <v>182</v>
      </c>
      <c r="C36" s="13" t="s">
        <v>48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Percentage_dist_journeys_by_purpose_and_distance_to_2km[#All],MATCH(A36, Percentage_dist_journeys_by_purpose_and_distance_to_2km[#Headers],0),0)/100</f>
        <v>0</v>
      </c>
      <c r="F36" s="4">
        <f>IF(B36="2-4 kilometres",1,0)*VLOOKUP(C36, Percentage_dist_journeys_by_purpose_and_distance_2_to_4km[#All],MATCH(A36, Percentage_dist_journeys_by_purpose_and_distance_2_to_4km[#Headers],0),0)/100</f>
        <v>0</v>
      </c>
      <c r="G36" s="72">
        <f>IF(B36="4-6 kilometres",1,0)*VLOOKUP(C36, Percentage_dist_journeys_by_purpose_and_distance_4_to_6km[#All],MATCH(A36, Percentage_dist_journeys_by_purpose_and_distance_4_to_6km[#Headers],0),0)/100</f>
        <v>0</v>
      </c>
      <c r="H36" s="4">
        <f>IF(B36="6-8 kilometres",1,0)*VLOOKUP(C36, Percentage_dist_journeys_by_purpose_and_distance_6_to_8km[#All],MATCH(A36, Percentage_dist_journeys_by_purpose_and_distance_6_to_8km[#Headers],0),0)/100</f>
        <v>0.1</v>
      </c>
      <c r="I36" s="72">
        <f>IF(B36="8+ kilometres",1,0)*VLOOKUP(C36, Percentage_dist_journeys_by_purpose_and_distance_8km[#All],MATCH(A36, Percentage_dist_journeys_by_purpose_and_distance_8km[#Headers],0),0)/100</f>
        <v>0</v>
      </c>
      <c r="J36" s="73">
        <f>VLOOKUP(B36,Average_Distance_by_kilometres_grouping_for_trip_purpose[#All],MATCH(A36,Average_Distance_by_kilometres_grouping_for_trip_purpose[#Headers],0),0)</f>
        <v>7</v>
      </c>
      <c r="K36" s="77">
        <f>VLOOKUP(C36, Adjustment_factor_for_distance_based_on_trip_purpose[#All],MATCH(A36, Adjustment_factor_for_distance_based_on_trip_purpose[#Headers],0),0)</f>
        <v>0.66666666666666663</v>
      </c>
      <c r="L36" s="78">
        <f>VLOOKUP($L$2, Total_Journeys_Per_Year[#All],MATCH(A36, Total_Journeys_Per_Year[#Headers],0),0)</f>
        <v>4007543571.4285707</v>
      </c>
      <c r="M36" s="35">
        <f t="shared" si="0"/>
        <v>168316829.99999997</v>
      </c>
      <c r="N36" s="35">
        <f>VLOOKUP($N$2, Private_Vehicle_Kilometres_Car_Stock[#All],MATCH(A36, Private_Vehicle_Kilometres_Car_Stock[#Headers],0),0)</f>
        <v>32873713915</v>
      </c>
    </row>
    <row r="37" spans="1:14" x14ac:dyDescent="0.25">
      <c r="A37" s="79" t="s">
        <v>128</v>
      </c>
      <c r="B37" s="13" t="s">
        <v>1</v>
      </c>
      <c r="C37" s="13" t="s">
        <v>48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Percentage_dist_journeys_by_purpose_and_distance_to_2km[#All],MATCH(A37, Percentage_dist_journeys_by_purpose_and_distance_to_2km[#Headers],0),0)/100</f>
        <v>0</v>
      </c>
      <c r="F37" s="4">
        <f>IF(B37="2-4 kilometres",1,0)*VLOOKUP(C37, Percentage_dist_journeys_by_purpose_and_distance_2_to_4km[#All],MATCH(A37, Percentage_dist_journeys_by_purpose_and_distance_2_to_4km[#Headers],0),0)/100</f>
        <v>0</v>
      </c>
      <c r="G37" s="72">
        <f>IF(B37="4-6 kilometres",1,0)*VLOOKUP(C37, Percentage_dist_journeys_by_purpose_and_distance_4_to_6km[#All],MATCH(A37, Percentage_dist_journeys_by_purpose_and_distance_4_to_6km[#Headers],0),0)/100</f>
        <v>0</v>
      </c>
      <c r="H37" s="4">
        <f>IF(B37="6-8 kilometres",1,0)*VLOOKUP(C37, Percentage_dist_journeys_by_purpose_and_distance_6_to_8km[#All],MATCH(A37, Percentage_dist_journeys_by_purpose_and_distance_6_to_8km[#Headers],0),0)/100</f>
        <v>0</v>
      </c>
      <c r="I37" s="72">
        <f>IF(B37="8+ kilometres",1,0)*VLOOKUP(C37, Percentage_dist_journeys_by_purpose_and_distance_8km[#All],MATCH(A37, Percentage_dist_journeys_by_purpose_and_distance_8km[#Headers],0),0)/100</f>
        <v>0.08</v>
      </c>
      <c r="J37" s="73">
        <f>VLOOKUP(B37,Average_Distance_by_kilometres_grouping_for_trip_purpose[#All],MATCH(A37,Average_Distance_by_kilometres_grouping_for_trip_purpose[#Headers],0),0)</f>
        <v>32.770000000000003</v>
      </c>
      <c r="K37" s="77">
        <f>VLOOKUP(C37, Adjustment_factor_for_distance_based_on_trip_purpose[#All],MATCH(A37, Adjustment_factor_for_distance_based_on_trip_purpose[#Headers],0),0)</f>
        <v>0.66666666666666663</v>
      </c>
      <c r="L37" s="78">
        <f>VLOOKUP($L$2, Total_Journeys_Per_Year[#All],MATCH(A37, Total_Journeys_Per_Year[#Headers],0),0)</f>
        <v>4007543571.4285707</v>
      </c>
      <c r="M37" s="35">
        <f t="shared" si="0"/>
        <v>4307532253.0114279</v>
      </c>
      <c r="N37" s="35">
        <f>VLOOKUP($N$2, Private_Vehicle_Kilometres_Car_Stock[#All],MATCH(A37, Private_Vehicle_Kilometres_Car_Stock[#Headers],0),0)</f>
        <v>32873713915</v>
      </c>
    </row>
    <row r="38" spans="1:14" x14ac:dyDescent="0.25">
      <c r="A38" s="79" t="s">
        <v>128</v>
      </c>
      <c r="B38" s="13" t="s">
        <v>12</v>
      </c>
      <c r="C38" s="13" t="s">
        <v>49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Percentage_dist_journeys_by_purpose_and_distance_to_2km[#All],MATCH(A38, Percentage_dist_journeys_by_purpose_and_distance_to_2km[#Headers],0),0)/100</f>
        <v>0.17</v>
      </c>
      <c r="F38" s="4">
        <f>IF(B38="2-4 kilometres",1,0)*VLOOKUP(C38, Percentage_dist_journeys_by_purpose_and_distance_2_to_4km[#All],MATCH(A38, Percentage_dist_journeys_by_purpose_and_distance_2_to_4km[#Headers],0),0)/100</f>
        <v>0</v>
      </c>
      <c r="G38" s="72">
        <f>IF(B38="4-6 kilometres",1,0)*VLOOKUP(C38, Percentage_dist_journeys_by_purpose_and_distance_4_to_6km[#All],MATCH(A38, Percentage_dist_journeys_by_purpose_and_distance_4_to_6km[#Headers],0),0)/100</f>
        <v>0</v>
      </c>
      <c r="H38" s="4">
        <f>IF(B38="6-8 kilometres",1,0)*VLOOKUP(C38, Percentage_dist_journeys_by_purpose_and_distance_6_to_8km[#All],MATCH(A38, Percentage_dist_journeys_by_purpose_and_distance_6_to_8km[#Headers],0),0)/100</f>
        <v>0</v>
      </c>
      <c r="I38" s="72">
        <f>IF(B38="8+ kilometres",1,0)*VLOOKUP(C38, Percentage_dist_journeys_by_purpose_and_distance_8km[#All],MATCH(A38, Percentage_dist_journeys_by_purpose_and_distance_8km[#Headers],0),0)/100</f>
        <v>0</v>
      </c>
      <c r="J38" s="73">
        <f>VLOOKUP(B38,Average_Distance_by_kilometres_grouping_for_trip_purpose[#All],MATCH(A38,Average_Distance_by_kilometres_grouping_for_trip_purpose[#Headers],0),0)</f>
        <v>1</v>
      </c>
      <c r="K38" s="77">
        <f>VLOOKUP(C38, Adjustment_factor_for_distance_based_on_trip_purpose[#All],MATCH(A38, Adjustment_factor_for_distance_based_on_trip_purpose[#Headers],0),0)</f>
        <v>1.2222222222222223</v>
      </c>
      <c r="L38" s="78">
        <f>VLOOKUP($L$2, Total_Journeys_Per_Year[#All],MATCH(A38, Total_Journeys_Per_Year[#Headers],0),0)</f>
        <v>4007543571.4285707</v>
      </c>
      <c r="M38" s="35">
        <f t="shared" si="0"/>
        <v>149882129.57142857</v>
      </c>
      <c r="N38" s="35">
        <f>VLOOKUP($N$2, Private_Vehicle_Kilometres_Car_Stock[#All],MATCH(A38, Private_Vehicle_Kilometres_Car_Stock[#Headers],0),0)</f>
        <v>32873713915</v>
      </c>
    </row>
    <row r="39" spans="1:14" x14ac:dyDescent="0.25">
      <c r="A39" s="79" t="s">
        <v>128</v>
      </c>
      <c r="B39" s="13" t="s">
        <v>181</v>
      </c>
      <c r="C39" s="13" t="s">
        <v>49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Percentage_dist_journeys_by_purpose_and_distance_to_2km[#All],MATCH(A39, Percentage_dist_journeys_by_purpose_and_distance_to_2km[#Headers],0),0)/100</f>
        <v>0</v>
      </c>
      <c r="F39" s="4">
        <f>IF(B39="2-4 kilometres",1,0)*VLOOKUP(C39, Percentage_dist_journeys_by_purpose_and_distance_2_to_4km[#All],MATCH(A39, Percentage_dist_journeys_by_purpose_and_distance_2_to_4km[#Headers],0),0)/100</f>
        <v>0.17</v>
      </c>
      <c r="G39" s="72">
        <f>IF(B39="4-6 kilometres",1,0)*VLOOKUP(C39, Percentage_dist_journeys_by_purpose_and_distance_4_to_6km[#All],MATCH(A39, Percentage_dist_journeys_by_purpose_and_distance_4_to_6km[#Headers],0),0)/100</f>
        <v>0</v>
      </c>
      <c r="H39" s="4">
        <f>IF(B39="6-8 kilometres",1,0)*VLOOKUP(C39, Percentage_dist_journeys_by_purpose_and_distance_6_to_8km[#All],MATCH(A39, Percentage_dist_journeys_by_purpose_and_distance_6_to_8km[#Headers],0),0)/100</f>
        <v>0</v>
      </c>
      <c r="I39" s="72">
        <f>IF(B39="8+ kilometres",1,0)*VLOOKUP(C39, Percentage_dist_journeys_by_purpose_and_distance_8km[#All],MATCH(A39, Percentage_dist_journeys_by_purpose_and_distance_8km[#Headers],0),0)/100</f>
        <v>0</v>
      </c>
      <c r="J39" s="73">
        <f>VLOOKUP(B39,Average_Distance_by_kilometres_grouping_for_trip_purpose[#All],MATCH(A39,Average_Distance_by_kilometres_grouping_for_trip_purpose[#Headers],0),0)</f>
        <v>3</v>
      </c>
      <c r="K39" s="77">
        <f>VLOOKUP(C39, Adjustment_factor_for_distance_based_on_trip_purpose[#All],MATCH(A39, Adjustment_factor_for_distance_based_on_trip_purpose[#Headers],0),0)</f>
        <v>1.2222222222222223</v>
      </c>
      <c r="L39" s="78">
        <f>VLOOKUP($L$2, Total_Journeys_Per_Year[#All],MATCH(A39, Total_Journeys_Per_Year[#Headers],0),0)</f>
        <v>4007543571.4285707</v>
      </c>
      <c r="M39" s="35">
        <f t="shared" si="0"/>
        <v>388330972.07142854</v>
      </c>
      <c r="N39" s="35">
        <f>VLOOKUP($N$2, Private_Vehicle_Kilometres_Car_Stock[#All],MATCH(A39, Private_Vehicle_Kilometres_Car_Stock[#Headers],0),0)</f>
        <v>32873713915</v>
      </c>
    </row>
    <row r="40" spans="1:14" x14ac:dyDescent="0.25">
      <c r="A40" s="79" t="s">
        <v>128</v>
      </c>
      <c r="B40" s="13" t="s">
        <v>180</v>
      </c>
      <c r="C40" s="13" t="s">
        <v>49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Percentage_dist_journeys_by_purpose_and_distance_to_2km[#All],MATCH(A40, Percentage_dist_journeys_by_purpose_and_distance_to_2km[#Headers],0),0)/100</f>
        <v>0</v>
      </c>
      <c r="F40" s="4">
        <f>IF(B40="2-4 kilometres",1,0)*VLOOKUP(C40, Percentage_dist_journeys_by_purpose_and_distance_2_to_4km[#All],MATCH(A40, Percentage_dist_journeys_by_purpose_and_distance_2_to_4km[#Headers],0),0)/100</f>
        <v>0</v>
      </c>
      <c r="G40" s="72">
        <f>IF(B40="4-6 kilometres",1,0)*VLOOKUP(C40, Percentage_dist_journeys_by_purpose_and_distance_4_to_6km[#All],MATCH(A40, Percentage_dist_journeys_by_purpose_and_distance_4_to_6km[#Headers],0),0)/100</f>
        <v>0.16</v>
      </c>
      <c r="H40" s="4">
        <f>IF(B40="6-8 kilometres",1,0)*VLOOKUP(C40, Percentage_dist_journeys_by_purpose_and_distance_6_to_8km[#All],MATCH(A40, Percentage_dist_journeys_by_purpose_and_distance_6_to_8km[#Headers],0),0)/100</f>
        <v>0</v>
      </c>
      <c r="I40" s="72">
        <f>IF(B40="8+ kilometres",1,0)*VLOOKUP(C40, Percentage_dist_journeys_by_purpose_and_distance_8km[#All],MATCH(A40, Percentage_dist_journeys_by_purpose_and_distance_8km[#Headers],0),0)/100</f>
        <v>0</v>
      </c>
      <c r="J40" s="73">
        <f>VLOOKUP(B40,Average_Distance_by_kilometres_grouping_for_trip_purpose[#All],MATCH(A40,Average_Distance_by_kilometres_grouping_for_trip_purpose[#Headers],0),0)</f>
        <v>5</v>
      </c>
      <c r="K40" s="77">
        <f>VLOOKUP(C40, Adjustment_factor_for_distance_based_on_trip_purpose[#All],MATCH(A40, Adjustment_factor_for_distance_based_on_trip_purpose[#Headers],0),0)</f>
        <v>1.2222222222222223</v>
      </c>
      <c r="L40" s="78">
        <f>VLOOKUP($L$2, Total_Journeys_Per_Year[#All],MATCH(A40, Total_Journeys_Per_Year[#Headers],0),0)</f>
        <v>4007543571.4285707</v>
      </c>
      <c r="M40" s="35">
        <f t="shared" si="0"/>
        <v>352663834.28571427</v>
      </c>
      <c r="N40" s="35">
        <f>VLOOKUP($N$2, Private_Vehicle_Kilometres_Car_Stock[#All],MATCH(A40, Private_Vehicle_Kilometres_Car_Stock[#Headers],0),0)</f>
        <v>32873713915</v>
      </c>
    </row>
    <row r="41" spans="1:14" x14ac:dyDescent="0.25">
      <c r="A41" s="79" t="s">
        <v>128</v>
      </c>
      <c r="B41" s="13" t="s">
        <v>182</v>
      </c>
      <c r="C41" s="13" t="s">
        <v>49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Percentage_dist_journeys_by_purpose_and_distance_to_2km[#All],MATCH(A41, Percentage_dist_journeys_by_purpose_and_distance_to_2km[#Headers],0),0)/100</f>
        <v>0</v>
      </c>
      <c r="F41" s="4">
        <f>IF(B41="2-4 kilometres",1,0)*VLOOKUP(C41, Percentage_dist_journeys_by_purpose_and_distance_2_to_4km[#All],MATCH(A41, Percentage_dist_journeys_by_purpose_and_distance_2_to_4km[#Headers],0),0)/100</f>
        <v>0</v>
      </c>
      <c r="G41" s="72">
        <f>IF(B41="4-6 kilometres",1,0)*VLOOKUP(C41, Percentage_dist_journeys_by_purpose_and_distance_4_to_6km[#All],MATCH(A41, Percentage_dist_journeys_by_purpose_and_distance_4_to_6km[#Headers],0),0)/100</f>
        <v>0</v>
      </c>
      <c r="H41" s="4">
        <f>IF(B41="6-8 kilometres",1,0)*VLOOKUP(C41, Percentage_dist_journeys_by_purpose_and_distance_6_to_8km[#All],MATCH(A41, Percentage_dist_journeys_by_purpose_and_distance_6_to_8km[#Headers],0),0)/100</f>
        <v>0.15</v>
      </c>
      <c r="I41" s="72">
        <f>IF(B41="8+ kilometres",1,0)*VLOOKUP(C41, Percentage_dist_journeys_by_purpose_and_distance_8km[#All],MATCH(A41, Percentage_dist_journeys_by_purpose_and_distance_8km[#Headers],0),0)/100</f>
        <v>0</v>
      </c>
      <c r="J41" s="73">
        <f>VLOOKUP(B41,Average_Distance_by_kilometres_grouping_for_trip_purpose[#All],MATCH(A41,Average_Distance_by_kilometres_grouping_for_trip_purpose[#Headers],0),0)</f>
        <v>7</v>
      </c>
      <c r="K41" s="77">
        <f>VLOOKUP(C41, Adjustment_factor_for_distance_based_on_trip_purpose[#All],MATCH(A41, Adjustment_factor_for_distance_based_on_trip_purpose[#Headers],0),0)</f>
        <v>1.2222222222222223</v>
      </c>
      <c r="L41" s="78">
        <f>VLOOKUP($L$2, Total_Journeys_Per_Year[#All],MATCH(A41, Total_Journeys_Per_Year[#Headers],0),0)</f>
        <v>4007543571.4285707</v>
      </c>
      <c r="M41" s="35">
        <f t="shared" si="0"/>
        <v>252475244.99999997</v>
      </c>
      <c r="N41" s="35">
        <f>VLOOKUP($N$2, Private_Vehicle_Kilometres_Car_Stock[#All],MATCH(A41, Private_Vehicle_Kilometres_Car_Stock[#Headers],0),0)</f>
        <v>32873713915</v>
      </c>
    </row>
    <row r="42" spans="1:14" x14ac:dyDescent="0.25">
      <c r="A42" s="79" t="s">
        <v>128</v>
      </c>
      <c r="B42" s="13" t="s">
        <v>1</v>
      </c>
      <c r="C42" s="13" t="s">
        <v>49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Percentage_dist_journeys_by_purpose_and_distance_to_2km[#All],MATCH(A42, Percentage_dist_journeys_by_purpose_and_distance_to_2km[#Headers],0),0)/100</f>
        <v>0</v>
      </c>
      <c r="F42" s="4">
        <f>IF(B42="2-4 kilometres",1,0)*VLOOKUP(C42, Percentage_dist_journeys_by_purpose_and_distance_2_to_4km[#All],MATCH(A42, Percentage_dist_journeys_by_purpose_and_distance_2_to_4km[#Headers],0),0)/100</f>
        <v>0</v>
      </c>
      <c r="G42" s="72">
        <f>IF(B42="4-6 kilometres",1,0)*VLOOKUP(C42, Percentage_dist_journeys_by_purpose_and_distance_4_to_6km[#All],MATCH(A42, Percentage_dist_journeys_by_purpose_and_distance_4_to_6km[#Headers],0),0)/100</f>
        <v>0</v>
      </c>
      <c r="H42" s="4">
        <f>IF(B42="6-8 kilometres",1,0)*VLOOKUP(C42, Percentage_dist_journeys_by_purpose_and_distance_6_to_8km[#All],MATCH(A42, Percentage_dist_journeys_by_purpose_and_distance_6_to_8km[#Headers],0),0)/100</f>
        <v>0</v>
      </c>
      <c r="I42" s="72">
        <f>IF(B42="8+ kilometres",1,0)*VLOOKUP(C42, Percentage_dist_journeys_by_purpose_and_distance_8km[#All],MATCH(A42, Percentage_dist_journeys_by_purpose_and_distance_8km[#Headers],0),0)/100</f>
        <v>7.0000000000000007E-2</v>
      </c>
      <c r="J42" s="73">
        <f>VLOOKUP(B42,Average_Distance_by_kilometres_grouping_for_trip_purpose[#All],MATCH(A42,Average_Distance_by_kilometres_grouping_for_trip_purpose[#Headers],0),0)</f>
        <v>32.770000000000003</v>
      </c>
      <c r="K42" s="77">
        <f>VLOOKUP(C42, Adjustment_factor_for_distance_based_on_trip_purpose[#All],MATCH(A42, Adjustment_factor_for_distance_based_on_trip_purpose[#Headers],0),0)</f>
        <v>1.2222222222222223</v>
      </c>
      <c r="L42" s="78">
        <f>VLOOKUP($L$2, Total_Journeys_Per_Year[#All],MATCH(A42, Total_Journeys_Per_Year[#Headers],0),0)</f>
        <v>4007543571.4285707</v>
      </c>
      <c r="M42" s="35">
        <f t="shared" si="0"/>
        <v>3769090721.3849998</v>
      </c>
      <c r="N42" s="35">
        <f>VLOOKUP($N$2, Private_Vehicle_Kilometres_Car_Stock[#All],MATCH(A42, Private_Vehicle_Kilometres_Car_Stock[#Headers],0),0)</f>
        <v>32873713915</v>
      </c>
    </row>
    <row r="43" spans="1:14" x14ac:dyDescent="0.25">
      <c r="A43" s="79" t="s">
        <v>128</v>
      </c>
      <c r="B43" s="13" t="s">
        <v>12</v>
      </c>
      <c r="C43" s="13" t="s">
        <v>50</v>
      </c>
      <c r="D43" s="5">
        <f>VLOOKUP(B43,Percentage_distribution_of_journey_distance_for_all_regions[#All],MATCH(A43,Percentage_distribution_of_journey_distance_for_all_regions[#Headers],0),0)/100</f>
        <v>0.22</v>
      </c>
      <c r="E43" s="71">
        <f>IF(B43="&lt;2 kilometres",1,0)*VLOOKUP(C43, Percentage_dist_journeys_by_purpose_and_distance_to_2km[#All],MATCH(A43, Percentage_dist_journeys_by_purpose_and_distance_to_2km[#Headers],0),0)/100</f>
        <v>0.09</v>
      </c>
      <c r="F43" s="4">
        <f>IF(B43="2-4 kilometres",1,0)*VLOOKUP(C43, Percentage_dist_journeys_by_purpose_and_distance_2_to_4km[#All],MATCH(A43, Percentage_dist_journeys_by_purpose_and_distance_2_to_4km[#Headers],0),0)/100</f>
        <v>0</v>
      </c>
      <c r="G43" s="72">
        <f>IF(B43="4-6 kilometres",1,0)*VLOOKUP(C43, Percentage_dist_journeys_by_purpose_and_distance_4_to_6km[#All],MATCH(A43, Percentage_dist_journeys_by_purpose_and_distance_4_to_6km[#Headers],0),0)/100</f>
        <v>0</v>
      </c>
      <c r="H43" s="4">
        <f>IF(B43="6-8 kilometres",1,0)*VLOOKUP(C43, Percentage_dist_journeys_by_purpose_and_distance_6_to_8km[#All],MATCH(A43, Percentage_dist_journeys_by_purpose_and_distance_6_to_8km[#Headers],0),0)/100</f>
        <v>0</v>
      </c>
      <c r="I43" s="72">
        <f>IF(B43="8+ kilometres",1,0)*VLOOKUP(C43, Percentage_dist_journeys_by_purpose_and_distance_8km[#All],MATCH(A43, Percentage_dist_journeys_by_purpose_and_distance_8km[#Headers],0),0)/100</f>
        <v>0</v>
      </c>
      <c r="J43" s="73">
        <f>VLOOKUP(B43,Average_Distance_by_kilometres_grouping_for_trip_purpose[#All],MATCH(A43,Average_Distance_by_kilometres_grouping_for_trip_purpose[#Headers],0),0)</f>
        <v>1</v>
      </c>
      <c r="K43" s="77">
        <f>VLOOKUP(C43, Adjustment_factor_for_distance_based_on_trip_purpose[#All],MATCH(A43, Adjustment_factor_for_distance_based_on_trip_purpose[#Headers],0),0)</f>
        <v>0.77777777777777779</v>
      </c>
      <c r="L43" s="78">
        <f>VLOOKUP($L$2, Total_Journeys_Per_Year[#All],MATCH(A43, Total_Journeys_Per_Year[#Headers],0),0)</f>
        <v>4007543571.4285707</v>
      </c>
      <c r="M43" s="35">
        <f t="shared" si="0"/>
        <v>79349362.714285687</v>
      </c>
      <c r="N43" s="35">
        <f>VLOOKUP($N$2, Private_Vehicle_Kilometres_Car_Stock[#All],MATCH(A43, Private_Vehicle_Kilometres_Car_Stock[#Headers],0),0)</f>
        <v>32873713915</v>
      </c>
    </row>
    <row r="44" spans="1:14" x14ac:dyDescent="0.25">
      <c r="A44" s="79" t="s">
        <v>128</v>
      </c>
      <c r="B44" s="13" t="s">
        <v>181</v>
      </c>
      <c r="C44" s="13" t="s">
        <v>50</v>
      </c>
      <c r="D44" s="5">
        <f>VLOOKUP(B44,Percentage_distribution_of_journey_distance_for_all_regions[#All],MATCH(A44,Percentage_distribution_of_journey_distance_for_all_regions[#Headers],0),0)/100</f>
        <v>0.19</v>
      </c>
      <c r="E44" s="71">
        <f>IF(B44="&lt;2 kilometres",1,0)*VLOOKUP(C44, Percentage_dist_journeys_by_purpose_and_distance_to_2km[#All],MATCH(A44, Percentage_dist_journeys_by_purpose_and_distance_to_2km[#Headers],0),0)/100</f>
        <v>0</v>
      </c>
      <c r="F44" s="4">
        <f>IF(B44="2-4 kilometres",1,0)*VLOOKUP(C44, Percentage_dist_journeys_by_purpose_and_distance_2_to_4km[#All],MATCH(A44, Percentage_dist_journeys_by_purpose_and_distance_2_to_4km[#Headers],0),0)/100</f>
        <v>0.08</v>
      </c>
      <c r="G44" s="72">
        <f>IF(B44="4-6 kilometres",1,0)*VLOOKUP(C44, Percentage_dist_journeys_by_purpose_and_distance_4_to_6km[#All],MATCH(A44, Percentage_dist_journeys_by_purpose_and_distance_4_to_6km[#Headers],0),0)/100</f>
        <v>0</v>
      </c>
      <c r="H44" s="4">
        <f>IF(B44="6-8 kilometres",1,0)*VLOOKUP(C44, Percentage_dist_journeys_by_purpose_and_distance_6_to_8km[#All],MATCH(A44, Percentage_dist_journeys_by_purpose_and_distance_6_to_8km[#Headers],0),0)/100</f>
        <v>0</v>
      </c>
      <c r="I44" s="72">
        <f>IF(B44="8+ kilometres",1,0)*VLOOKUP(C44, Percentage_dist_journeys_by_purpose_and_distance_8km[#All],MATCH(A44, Percentage_dist_journeys_by_purpose_and_distance_8km[#Headers],0),0)/100</f>
        <v>0</v>
      </c>
      <c r="J44" s="73">
        <f>VLOOKUP(B44,Average_Distance_by_kilometres_grouping_for_trip_purpose[#All],MATCH(A44,Average_Distance_by_kilometres_grouping_for_trip_purpose[#Headers],0),0)</f>
        <v>3</v>
      </c>
      <c r="K44" s="77">
        <f>VLOOKUP(C44, Adjustment_factor_for_distance_based_on_trip_purpose[#All],MATCH(A44, Adjustment_factor_for_distance_based_on_trip_purpose[#Headers],0),0)</f>
        <v>0.77777777777777779</v>
      </c>
      <c r="L44" s="78">
        <f>VLOOKUP($L$2, Total_Journeys_Per_Year[#All],MATCH(A44, Total_Journeys_Per_Year[#Headers],0),0)</f>
        <v>4007543571.4285707</v>
      </c>
      <c r="M44" s="35">
        <f t="shared" si="0"/>
        <v>182743986.85714284</v>
      </c>
      <c r="N44" s="35">
        <f>VLOOKUP($N$2, Private_Vehicle_Kilometres_Car_Stock[#All],MATCH(A44, Private_Vehicle_Kilometres_Car_Stock[#Headers],0),0)</f>
        <v>32873713915</v>
      </c>
    </row>
    <row r="45" spans="1:14" x14ac:dyDescent="0.25">
      <c r="A45" s="79" t="s">
        <v>128</v>
      </c>
      <c r="B45" s="13" t="s">
        <v>180</v>
      </c>
      <c r="C45" s="13" t="s">
        <v>50</v>
      </c>
      <c r="D45" s="5">
        <f>VLOOKUP(B45,Percentage_distribution_of_journey_distance_for_all_regions[#All],MATCH(A45,Percentage_distribution_of_journey_distance_for_all_regions[#Headers],0),0)/100</f>
        <v>0.11</v>
      </c>
      <c r="E45" s="71">
        <f>IF(B45="&lt;2 kilometres",1,0)*VLOOKUP(C45, Percentage_dist_journeys_by_purpose_and_distance_to_2km[#All],MATCH(A45, Percentage_dist_journeys_by_purpose_and_distance_to_2km[#Headers],0),0)/100</f>
        <v>0</v>
      </c>
      <c r="F45" s="4">
        <f>IF(B45="2-4 kilometres",1,0)*VLOOKUP(C45, Percentage_dist_journeys_by_purpose_and_distance_2_to_4km[#All],MATCH(A45, Percentage_dist_journeys_by_purpose_and_distance_2_to_4km[#Headers],0),0)/100</f>
        <v>0</v>
      </c>
      <c r="G45" s="72">
        <f>IF(B45="4-6 kilometres",1,0)*VLOOKUP(C45, Percentage_dist_journeys_by_purpose_and_distance_4_to_6km[#All],MATCH(A45, Percentage_dist_journeys_by_purpose_and_distance_4_to_6km[#Headers],0),0)/100</f>
        <v>0.12</v>
      </c>
      <c r="H45" s="4">
        <f>IF(B45="6-8 kilometres",1,0)*VLOOKUP(C45, Percentage_dist_journeys_by_purpose_and_distance_6_to_8km[#All],MATCH(A45, Percentage_dist_journeys_by_purpose_and_distance_6_to_8km[#Headers],0),0)/100</f>
        <v>0</v>
      </c>
      <c r="I45" s="72">
        <f>IF(B45="8+ kilometres",1,0)*VLOOKUP(C45, Percentage_dist_journeys_by_purpose_and_distance_8km[#All],MATCH(A45, Percentage_dist_journeys_by_purpose_and_distance_8km[#Headers],0),0)/100</f>
        <v>0</v>
      </c>
      <c r="J45" s="73">
        <f>VLOOKUP(B45,Average_Distance_by_kilometres_grouping_for_trip_purpose[#All],MATCH(A45,Average_Distance_by_kilometres_grouping_for_trip_purpose[#Headers],0),0)</f>
        <v>5</v>
      </c>
      <c r="K45" s="77">
        <f>VLOOKUP(C45, Adjustment_factor_for_distance_based_on_trip_purpose[#All],MATCH(A45, Adjustment_factor_for_distance_based_on_trip_purpose[#Headers],0),0)</f>
        <v>0.77777777777777779</v>
      </c>
      <c r="L45" s="78">
        <f>VLOOKUP($L$2, Total_Journeys_Per_Year[#All],MATCH(A45, Total_Journeys_Per_Year[#Headers],0),0)</f>
        <v>4007543571.4285707</v>
      </c>
      <c r="M45" s="35">
        <f t="shared" si="0"/>
        <v>264497875.71428567</v>
      </c>
      <c r="N45" s="35">
        <f>VLOOKUP($N$2, Private_Vehicle_Kilometres_Car_Stock[#All],MATCH(A45, Private_Vehicle_Kilometres_Car_Stock[#Headers],0),0)</f>
        <v>32873713915</v>
      </c>
    </row>
    <row r="46" spans="1:14" x14ac:dyDescent="0.25">
      <c r="A46" s="79" t="s">
        <v>128</v>
      </c>
      <c r="B46" s="13" t="s">
        <v>182</v>
      </c>
      <c r="C46" s="13" t="s">
        <v>50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Percentage_dist_journeys_by_purpose_and_distance_to_2km[#All],MATCH(A46, Percentage_dist_journeys_by_purpose_and_distance_to_2km[#Headers],0),0)/100</f>
        <v>0</v>
      </c>
      <c r="F46" s="4">
        <f>IF(B46="2-4 kilometres",1,0)*VLOOKUP(C46, Percentage_dist_journeys_by_purpose_and_distance_2_to_4km[#All],MATCH(A46, Percentage_dist_journeys_by_purpose_and_distance_2_to_4km[#Headers],0),0)/100</f>
        <v>0</v>
      </c>
      <c r="G46" s="72">
        <f>IF(B46="4-6 kilometres",1,0)*VLOOKUP(C46, Percentage_dist_journeys_by_purpose_and_distance_4_to_6km[#All],MATCH(A46, Percentage_dist_journeys_by_purpose_and_distance_4_to_6km[#Headers],0),0)/100</f>
        <v>0</v>
      </c>
      <c r="H46" s="4">
        <f>IF(B46="6-8 kilometres",1,0)*VLOOKUP(C46, Percentage_dist_journeys_by_purpose_and_distance_6_to_8km[#All],MATCH(A46, Percentage_dist_journeys_by_purpose_and_distance_6_to_8km[#Headers],0),0)/100</f>
        <v>0.08</v>
      </c>
      <c r="I46" s="72">
        <f>IF(B46="8+ kilometres",1,0)*VLOOKUP(C46, Percentage_dist_journeys_by_purpose_and_distance_8km[#All],MATCH(A46, Percentage_dist_journeys_by_purpose_and_distance_8km[#Headers],0),0)/100</f>
        <v>0</v>
      </c>
      <c r="J46" s="73">
        <f>VLOOKUP(B46,Average_Distance_by_kilometres_grouping_for_trip_purpose[#All],MATCH(A46,Average_Distance_by_kilometres_grouping_for_trip_purpose[#Headers],0),0)</f>
        <v>7</v>
      </c>
      <c r="K46" s="77">
        <f>VLOOKUP(C46, Adjustment_factor_for_distance_based_on_trip_purpose[#All],MATCH(A46, Adjustment_factor_for_distance_based_on_trip_purpose[#Headers],0),0)</f>
        <v>0.77777777777777779</v>
      </c>
      <c r="L46" s="78">
        <f>VLOOKUP($L$2, Total_Journeys_Per_Year[#All],MATCH(A46, Total_Journeys_Per_Year[#Headers],0),0)</f>
        <v>4007543571.4285707</v>
      </c>
      <c r="M46" s="35">
        <f t="shared" si="0"/>
        <v>134653463.99999997</v>
      </c>
      <c r="N46" s="35">
        <f>VLOOKUP($N$2, Private_Vehicle_Kilometres_Car_Stock[#All],MATCH(A46, Private_Vehicle_Kilometres_Car_Stock[#Headers],0),0)</f>
        <v>32873713915</v>
      </c>
    </row>
    <row r="47" spans="1:14" x14ac:dyDescent="0.25">
      <c r="A47" s="79" t="s">
        <v>128</v>
      </c>
      <c r="B47" s="13" t="s">
        <v>1</v>
      </c>
      <c r="C47" s="13" t="s">
        <v>50</v>
      </c>
      <c r="D47" s="5">
        <f>VLOOKUP(B47,Percentage_distribution_of_journey_distance_for_all_regions[#All],MATCH(A47,Percentage_distribution_of_journey_distance_for_all_regions[#Headers],0),0)/100</f>
        <v>0.41</v>
      </c>
      <c r="E47" s="71">
        <f>IF(B47="&lt;2 kilometres",1,0)*VLOOKUP(C47, Percentage_dist_journeys_by_purpose_and_distance_to_2km[#All],MATCH(A47, Percentage_dist_journeys_by_purpose_and_distance_to_2km[#Headers],0),0)/100</f>
        <v>0</v>
      </c>
      <c r="F47" s="4">
        <f>IF(B47="2-4 kilometres",1,0)*VLOOKUP(C47, Percentage_dist_journeys_by_purpose_and_distance_2_to_4km[#All],MATCH(A47, Percentage_dist_journeys_by_purpose_and_distance_2_to_4km[#Headers],0),0)/100</f>
        <v>0</v>
      </c>
      <c r="G47" s="72">
        <f>IF(B47="4-6 kilometres",1,0)*VLOOKUP(C47, Percentage_dist_journeys_by_purpose_and_distance_4_to_6km[#All],MATCH(A47, Percentage_dist_journeys_by_purpose_and_distance_4_to_6km[#Headers],0),0)/100</f>
        <v>0</v>
      </c>
      <c r="H47" s="4">
        <f>IF(B47="6-8 kilometres",1,0)*VLOOKUP(C47, Percentage_dist_journeys_by_purpose_and_distance_6_to_8km[#All],MATCH(A47, Percentage_dist_journeys_by_purpose_and_distance_6_to_8km[#Headers],0),0)/100</f>
        <v>0</v>
      </c>
      <c r="I47" s="72">
        <f>IF(B47="8+ kilometres",1,0)*VLOOKUP(C47, Percentage_dist_journeys_by_purpose_and_distance_8km[#All],MATCH(A47, Percentage_dist_journeys_by_purpose_and_distance_8km[#Headers],0),0)/100</f>
        <v>0.09</v>
      </c>
      <c r="J47" s="73">
        <f>VLOOKUP(B47,Average_Distance_by_kilometres_grouping_for_trip_purpose[#All],MATCH(A47,Average_Distance_by_kilometres_grouping_for_trip_purpose[#Headers],0),0)</f>
        <v>32.770000000000003</v>
      </c>
      <c r="K47" s="77">
        <f>VLOOKUP(C47, Adjustment_factor_for_distance_based_on_trip_purpose[#All],MATCH(A47, Adjustment_factor_for_distance_based_on_trip_purpose[#Headers],0),0)</f>
        <v>0.77777777777777779</v>
      </c>
      <c r="L47" s="78">
        <f>VLOOKUP($L$2, Total_Journeys_Per_Year[#All],MATCH(A47, Total_Journeys_Per_Year[#Headers],0),0)</f>
        <v>4007543571.4285707</v>
      </c>
      <c r="M47" s="35">
        <f t="shared" si="0"/>
        <v>4845973784.6378555</v>
      </c>
      <c r="N47" s="35">
        <f>VLOOKUP($N$2, Private_Vehicle_Kilometres_Car_Stock[#All],MATCH(A47, Private_Vehicle_Kilometres_Car_Stock[#Headers],0),0)</f>
        <v>32873713915</v>
      </c>
    </row>
    <row r="48" spans="1:14" x14ac:dyDescent="0.25">
      <c r="A48" s="79" t="s">
        <v>32</v>
      </c>
      <c r="B48" s="13" t="s">
        <v>12</v>
      </c>
      <c r="C48" s="13" t="s">
        <v>42</v>
      </c>
      <c r="D48" s="5">
        <f>VLOOKUP(B48,Percentage_distribution_of_journey_distance_for_all_regions[#All],MATCH(A48,Percentage_distribution_of_journey_distance_for_all_regions[#Headers],0),0)/100</f>
        <v>0.223</v>
      </c>
      <c r="E48" s="71">
        <f>IF(B48="&lt;2 kilometres",1,0)*VLOOKUP(C48, Percentage_dist_journeys_by_purpose_and_distance_to_2km[#All],MATCH(A48, Percentage_dist_journeys_by_purpose_and_distance_to_2km[#Headers],0),0)/100</f>
        <v>0.13600000000000001</v>
      </c>
      <c r="F48" s="4">
        <f>IF(B48="2-4 kilometres",1,0)*VLOOKUP(C48, Percentage_dist_journeys_by_purpose_and_distance_2_to_4km[#All],MATCH(A48, Percentage_dist_journeys_by_purpose_and_distance_2_to_4km[#Headers],0),0)/100</f>
        <v>0</v>
      </c>
      <c r="G48" s="72">
        <f>IF(B48="4-6 kilometres",1,0)*VLOOKUP(C48, Percentage_dist_journeys_by_purpose_and_distance_4_to_6km[#All],MATCH(A48, Percentage_dist_journeys_by_purpose_and_distance_4_to_6km[#Headers],0),0)/100</f>
        <v>0</v>
      </c>
      <c r="H48" s="4">
        <f>IF(B48="6-8 kilometres",1,0)*VLOOKUP(C48, Percentage_dist_journeys_by_purpose_and_distance_6_to_8km[#All],MATCH(A48, Percentage_dist_journeys_by_purpose_and_distance_6_to_8km[#Headers],0),0)/100</f>
        <v>0</v>
      </c>
      <c r="I48" s="72">
        <f>IF(B48="8+ kilometres",1,0)*VLOOKUP(C48, Percentage_dist_journeys_by_purpose_and_distance_8km[#All],MATCH(A48, Percentage_dist_journeys_by_purpose_and_distance_8km[#Headers],0),0)/100</f>
        <v>0</v>
      </c>
      <c r="J48" s="73">
        <f>VLOOKUP(B48,Average_Distance_by_kilometres_grouping_for_trip_purpose[#All],MATCH(A48,Average_Distance_by_kilometres_grouping_for_trip_purpose[#Headers],0),0)</f>
        <v>1</v>
      </c>
      <c r="K48" s="77">
        <f>VLOOKUP(C48, Adjustment_factor_for_distance_based_on_trip_purpose[#All],MATCH(A48, Adjustment_factor_for_distance_based_on_trip_purpose[#Headers],0),0)</f>
        <v>1</v>
      </c>
      <c r="L48" s="78">
        <f>VLOOKUP($L$2, Total_Journeys_Per_Year[#All],MATCH(A48, Total_Journeys_Per_Year[#Headers],0),0)</f>
        <v>3165688023.0367908</v>
      </c>
      <c r="M48" s="35">
        <f t="shared" si="0"/>
        <v>96008986.362659812</v>
      </c>
      <c r="N48" s="35">
        <f>VLOOKUP($N$2, Private_Vehicle_Kilometres_Car_Stock[#All],MATCH(A48, Private_Vehicle_Kilometres_Car_Stock[#Headers],0),0)</f>
        <v>29535056173</v>
      </c>
    </row>
    <row r="49" spans="1:14" x14ac:dyDescent="0.25">
      <c r="A49" s="79" t="s">
        <v>32</v>
      </c>
      <c r="B49" s="13" t="s">
        <v>181</v>
      </c>
      <c r="C49" s="13" t="s">
        <v>42</v>
      </c>
      <c r="D49" s="5">
        <f>VLOOKUP(B49,Percentage_distribution_of_journey_distance_for_all_regions[#All],MATCH(A49,Percentage_distribution_of_journey_distance_for_all_regions[#Headers],0),0)/100</f>
        <v>0.182</v>
      </c>
      <c r="E49" s="71">
        <f>IF(B49="&lt;2 kilometres",1,0)*VLOOKUP(C49, Percentage_dist_journeys_by_purpose_and_distance_to_2km[#All],MATCH(A49, Percentage_dist_journeys_by_purpose_and_distance_to_2km[#Headers],0),0)/100</f>
        <v>0</v>
      </c>
      <c r="F49" s="4">
        <f>IF(B49="2-4 kilometres",1,0)*VLOOKUP(C49, Percentage_dist_journeys_by_purpose_and_distance_2_to_4km[#All],MATCH(A49, Percentage_dist_journeys_by_purpose_and_distance_2_to_4km[#Headers],0),0)/100</f>
        <v>0.16800000000000001</v>
      </c>
      <c r="G49" s="72">
        <f>IF(B49="4-6 kilometres",1,0)*VLOOKUP(C49, Percentage_dist_journeys_by_purpose_and_distance_4_to_6km[#All],MATCH(A49, Percentage_dist_journeys_by_purpose_and_distance_4_to_6km[#Headers],0),0)/100</f>
        <v>0</v>
      </c>
      <c r="H49" s="4">
        <f>IF(B49="6-8 kilometres",1,0)*VLOOKUP(C49, Percentage_dist_journeys_by_purpose_and_distance_6_to_8km[#All],MATCH(A49, Percentage_dist_journeys_by_purpose_and_distance_6_to_8km[#Headers],0),0)/100</f>
        <v>0</v>
      </c>
      <c r="I49" s="72">
        <f>IF(B49="8+ kilometres",1,0)*VLOOKUP(C49, Percentage_dist_journeys_by_purpose_and_distance_8km[#All],MATCH(A49, Percentage_dist_journeys_by_purpose_and_distance_8km[#Headers],0),0)/100</f>
        <v>0</v>
      </c>
      <c r="J49" s="73">
        <f>VLOOKUP(B49,Average_Distance_by_kilometres_grouping_for_trip_purpose[#All],MATCH(A49,Average_Distance_by_kilometres_grouping_for_trip_purpose[#Headers],0),0)</f>
        <v>3</v>
      </c>
      <c r="K49" s="77">
        <f>VLOOKUP(C49, Adjustment_factor_for_distance_based_on_trip_purpose[#All],MATCH(A49, Adjustment_factor_for_distance_based_on_trip_purpose[#Headers],0),0)</f>
        <v>1</v>
      </c>
      <c r="L49" s="78">
        <f>VLOOKUP($L$2, Total_Journeys_Per_Year[#All],MATCH(A49, Total_Journeys_Per_Year[#Headers],0),0)</f>
        <v>3165688023.0367908</v>
      </c>
      <c r="M49" s="35">
        <f t="shared" si="0"/>
        <v>290382230.97711879</v>
      </c>
      <c r="N49" s="35">
        <f>VLOOKUP($N$2, Private_Vehicle_Kilometres_Car_Stock[#All],MATCH(A49, Private_Vehicle_Kilometres_Car_Stock[#Headers],0),0)</f>
        <v>29535056173</v>
      </c>
    </row>
    <row r="50" spans="1:14" x14ac:dyDescent="0.25">
      <c r="A50" s="79" t="s">
        <v>32</v>
      </c>
      <c r="B50" s="13" t="s">
        <v>180</v>
      </c>
      <c r="C50" s="13" t="s">
        <v>42</v>
      </c>
      <c r="D50" s="5">
        <f>VLOOKUP(B50,Percentage_distribution_of_journey_distance_for_all_regions[#All],MATCH(A50,Percentage_distribution_of_journey_distance_for_all_regions[#Headers],0),0)/100</f>
        <v>0.11699999999999999</v>
      </c>
      <c r="E50" s="71">
        <f>IF(B50="&lt;2 kilometres",1,0)*VLOOKUP(C50, Percentage_dist_journeys_by_purpose_and_distance_to_2km[#All],MATCH(A50, Percentage_dist_journeys_by_purpose_and_distance_to_2km[#Headers],0),0)/100</f>
        <v>0</v>
      </c>
      <c r="F50" s="4">
        <f>IF(B50="2-4 kilometres",1,0)*VLOOKUP(C50, Percentage_dist_journeys_by_purpose_and_distance_2_to_4km[#All],MATCH(A50, Percentage_dist_journeys_by_purpose_and_distance_2_to_4km[#Headers],0),0)/100</f>
        <v>0</v>
      </c>
      <c r="G50" s="72">
        <f>IF(B50="4-6 kilometres",1,0)*VLOOKUP(C50, Percentage_dist_journeys_by_purpose_and_distance_4_to_6km[#All],MATCH(A50, Percentage_dist_journeys_by_purpose_and_distance_4_to_6km[#Headers],0),0)/100</f>
        <v>0.18899999999999997</v>
      </c>
      <c r="H50" s="4">
        <f>IF(B50="6-8 kilometres",1,0)*VLOOKUP(C50, Percentage_dist_journeys_by_purpose_and_distance_6_to_8km[#All],MATCH(A50, Percentage_dist_journeys_by_purpose_and_distance_6_to_8km[#Headers],0),0)/100</f>
        <v>0</v>
      </c>
      <c r="I50" s="72">
        <f>IF(B50="8+ kilometres",1,0)*VLOOKUP(C50, Percentage_dist_journeys_by_purpose_and_distance_8km[#All],MATCH(A50, Percentage_dist_journeys_by_purpose_and_distance_8km[#Headers],0),0)/100</f>
        <v>0</v>
      </c>
      <c r="J50" s="73">
        <f>VLOOKUP(B50,Average_Distance_by_kilometres_grouping_for_trip_purpose[#All],MATCH(A50,Average_Distance_by_kilometres_grouping_for_trip_purpose[#Headers],0),0)</f>
        <v>5</v>
      </c>
      <c r="K50" s="77">
        <f>VLOOKUP(C50, Adjustment_factor_for_distance_based_on_trip_purpose[#All],MATCH(A50, Adjustment_factor_for_distance_based_on_trip_purpose[#Headers],0),0)</f>
        <v>1</v>
      </c>
      <c r="L50" s="78">
        <f>VLOOKUP($L$2, Total_Journeys_Per_Year[#All],MATCH(A50, Total_Journeys_Per_Year[#Headers],0),0)</f>
        <v>3165688023.0367908</v>
      </c>
      <c r="M50" s="35">
        <f t="shared" si="0"/>
        <v>350014296.26706272</v>
      </c>
      <c r="N50" s="35">
        <f>VLOOKUP($N$2, Private_Vehicle_Kilometres_Car_Stock[#All],MATCH(A50, Private_Vehicle_Kilometres_Car_Stock[#Headers],0),0)</f>
        <v>29535056173</v>
      </c>
    </row>
    <row r="51" spans="1:14" x14ac:dyDescent="0.25">
      <c r="A51" s="79" t="s">
        <v>32</v>
      </c>
      <c r="B51" s="13" t="s">
        <v>182</v>
      </c>
      <c r="C51" s="13" t="s">
        <v>42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Percentage_dist_journeys_by_purpose_and_distance_to_2km[#All],MATCH(A51, Percentage_dist_journeys_by_purpose_and_distance_to_2km[#Headers],0),0)/100</f>
        <v>0</v>
      </c>
      <c r="F51" s="4">
        <f>IF(B51="2-4 kilometres",1,0)*VLOOKUP(C51, Percentage_dist_journeys_by_purpose_and_distance_2_to_4km[#All],MATCH(A51, Percentage_dist_journeys_by_purpose_and_distance_2_to_4km[#Headers],0),0)/100</f>
        <v>0</v>
      </c>
      <c r="G51" s="72">
        <f>IF(B51="4-6 kilometres",1,0)*VLOOKUP(C51, Percentage_dist_journeys_by_purpose_and_distance_4_to_6km[#All],MATCH(A51, Percentage_dist_journeys_by_purpose_and_distance_4_to_6km[#Headers],0),0)/100</f>
        <v>0</v>
      </c>
      <c r="H51" s="4">
        <f>IF(B51="6-8 kilometres",1,0)*VLOOKUP(C51, Percentage_dist_journeys_by_purpose_and_distance_6_to_8km[#All],MATCH(A51, Percentage_dist_journeys_by_purpose_and_distance_6_to_8km[#Headers],0),0)/100</f>
        <v>0.245</v>
      </c>
      <c r="I51" s="72">
        <f>IF(B51="8+ kilometres",1,0)*VLOOKUP(C51, Percentage_dist_journeys_by_purpose_and_distance_8km[#All],MATCH(A51, Percentage_dist_journeys_by_purpose_and_distance_8km[#Headers],0),0)/100</f>
        <v>0</v>
      </c>
      <c r="J51" s="73">
        <f>VLOOKUP(B51,Average_Distance_by_kilometres_grouping_for_trip_purpose[#All],MATCH(A51,Average_Distance_by_kilometres_grouping_for_trip_purpose[#Headers],0),0)</f>
        <v>7</v>
      </c>
      <c r="K51" s="77">
        <f>VLOOKUP(C51, Adjustment_factor_for_distance_based_on_trip_purpose[#All],MATCH(A51, Adjustment_factor_for_distance_based_on_trip_purpose[#Headers],0),0)</f>
        <v>1</v>
      </c>
      <c r="L51" s="78">
        <f>VLOOKUP($L$2, Total_Journeys_Per_Year[#All],MATCH(A51, Total_Journeys_Per_Year[#Headers],0),0)</f>
        <v>3165688023.0367908</v>
      </c>
      <c r="M51" s="35">
        <f t="shared" si="0"/>
        <v>325749297.57048577</v>
      </c>
      <c r="N51" s="35">
        <f>VLOOKUP($N$2, Private_Vehicle_Kilometres_Car_Stock[#All],MATCH(A51, Private_Vehicle_Kilometres_Car_Stock[#Headers],0),0)</f>
        <v>29535056173</v>
      </c>
    </row>
    <row r="52" spans="1:14" x14ac:dyDescent="0.25">
      <c r="A52" s="79" t="s">
        <v>32</v>
      </c>
      <c r="B52" s="13" t="s">
        <v>1</v>
      </c>
      <c r="C52" s="13" t="s">
        <v>42</v>
      </c>
      <c r="D52" s="5">
        <f>VLOOKUP(B52,Percentage_distribution_of_journey_distance_for_all_regions[#All],MATCH(A52,Percentage_distribution_of_journey_distance_for_all_regions[#Headers],0),0)/100</f>
        <v>0.41899999999999998</v>
      </c>
      <c r="E52" s="71">
        <f>IF(B52="&lt;2 kilometres",1,0)*VLOOKUP(C52, Percentage_dist_journeys_by_purpose_and_distance_to_2km[#All],MATCH(A52, Percentage_dist_journeys_by_purpose_and_distance_to_2km[#Headers],0),0)/100</f>
        <v>0</v>
      </c>
      <c r="F52" s="4">
        <f>IF(B52="2-4 kilometres",1,0)*VLOOKUP(C52, Percentage_dist_journeys_by_purpose_and_distance_2_to_4km[#All],MATCH(A52, Percentage_dist_journeys_by_purpose_and_distance_2_to_4km[#Headers],0),0)/100</f>
        <v>0</v>
      </c>
      <c r="G52" s="72">
        <f>IF(B52="4-6 kilometres",1,0)*VLOOKUP(C52, Percentage_dist_journeys_by_purpose_and_distance_4_to_6km[#All],MATCH(A52, Percentage_dist_journeys_by_purpose_and_distance_4_to_6km[#Headers],0),0)/100</f>
        <v>0</v>
      </c>
      <c r="H52" s="4">
        <f>IF(B52="6-8 kilometres",1,0)*VLOOKUP(C52, Percentage_dist_journeys_by_purpose_and_distance_6_to_8km[#All],MATCH(A52, Percentage_dist_journeys_by_purpose_and_distance_6_to_8km[#Headers],0),0)/100</f>
        <v>0</v>
      </c>
      <c r="I52" s="72">
        <f>IF(B52="8+ kilometres",1,0)*VLOOKUP(C52, Percentage_dist_journeys_by_purpose_and_distance_8km[#All],MATCH(A52, Percentage_dist_journeys_by_purpose_and_distance_8km[#Headers],0),0)/100</f>
        <v>0.32</v>
      </c>
      <c r="J52" s="73">
        <f>VLOOKUP(B52,Average_Distance_by_kilometres_grouping_for_trip_purpose[#All],MATCH(A52,Average_Distance_by_kilometres_grouping_for_trip_purpose[#Headers],0),0)</f>
        <v>34.770000000000003</v>
      </c>
      <c r="K52" s="77">
        <f>VLOOKUP(C52, Adjustment_factor_for_distance_based_on_trip_purpose[#All],MATCH(A52, Adjustment_factor_for_distance_based_on_trip_purpose[#Headers],0),0)</f>
        <v>1</v>
      </c>
      <c r="L52" s="78">
        <f>VLOOKUP($L$2, Total_Journeys_Per_Year[#All],MATCH(A52, Total_Journeys_Per_Year[#Headers],0),0)</f>
        <v>3165688023.0367908</v>
      </c>
      <c r="M52" s="35">
        <f t="shared" si="0"/>
        <v>14758316000.977436</v>
      </c>
      <c r="N52" s="35">
        <f>VLOOKUP($N$2, Private_Vehicle_Kilometres_Car_Stock[#All],MATCH(A52, Private_Vehicle_Kilometres_Car_Stock[#Headers],0),0)</f>
        <v>29535056173</v>
      </c>
    </row>
    <row r="53" spans="1:14" x14ac:dyDescent="0.25">
      <c r="A53" s="79" t="s">
        <v>32</v>
      </c>
      <c r="B53" s="13" t="s">
        <v>12</v>
      </c>
      <c r="C53" s="13" t="s">
        <v>43</v>
      </c>
      <c r="D53" s="5">
        <f>VLOOKUP(B53,Percentage_distribution_of_journey_distance_for_all_regions[#All],MATCH(A53,Percentage_distribution_of_journey_distance_for_all_regions[#Headers],0),0)/100</f>
        <v>0.223</v>
      </c>
      <c r="E53" s="71">
        <f>IF(B53="&lt;2 kilometres",1,0)*VLOOKUP(C53, Percentage_dist_journeys_by_purpose_and_distance_to_2km[#All],MATCH(A53, Percentage_dist_journeys_by_purpose_and_distance_to_2km[#Headers],0),0)/100</f>
        <v>7.0999999999999994E-2</v>
      </c>
      <c r="F53" s="4">
        <f>IF(B53="2-4 kilometres",1,0)*VLOOKUP(C53, Percentage_dist_journeys_by_purpose_and_distance_2_to_4km[#All],MATCH(A53, Percentage_dist_journeys_by_purpose_and_distance_2_to_4km[#Headers],0),0)/100</f>
        <v>0</v>
      </c>
      <c r="G53" s="72">
        <f>IF(B53="4-6 kilometres",1,0)*VLOOKUP(C53, Percentage_dist_journeys_by_purpose_and_distance_4_to_6km[#All],MATCH(A53, Percentage_dist_journeys_by_purpose_and_distance_4_to_6km[#Headers],0),0)/100</f>
        <v>0</v>
      </c>
      <c r="H53" s="4">
        <f>IF(B53="6-8 kilometres",1,0)*VLOOKUP(C53, Percentage_dist_journeys_by_purpose_and_distance_6_to_8km[#All],MATCH(A53, Percentage_dist_journeys_by_purpose_and_distance_6_to_8km[#Headers],0),0)/100</f>
        <v>0</v>
      </c>
      <c r="I53" s="72">
        <f>IF(B53="8+ kilometres",1,0)*VLOOKUP(C53, Percentage_dist_journeys_by_purpose_and_distance_8km[#All],MATCH(A53, Percentage_dist_journeys_by_purpose_and_distance_8km[#Headers],0),0)/100</f>
        <v>0</v>
      </c>
      <c r="J53" s="73">
        <f>VLOOKUP(B53,Average_Distance_by_kilometres_grouping_for_trip_purpose[#All],MATCH(A53,Average_Distance_by_kilometres_grouping_for_trip_purpose[#Headers],0),0)</f>
        <v>1</v>
      </c>
      <c r="K53" s="77">
        <f>VLOOKUP(C53, Adjustment_factor_for_distance_based_on_trip_purpose[#All],MATCH(A53, Adjustment_factor_for_distance_based_on_trip_purpose[#Headers],0),0)</f>
        <v>0.88888888888888884</v>
      </c>
      <c r="L53" s="78">
        <f>VLOOKUP($L$2, Total_Journeys_Per_Year[#All],MATCH(A53, Total_Journeys_Per_Year[#Headers],0),0)</f>
        <v>3165688023.0367908</v>
      </c>
      <c r="M53" s="35">
        <f t="shared" si="0"/>
        <v>50122338.468741506</v>
      </c>
      <c r="N53" s="35">
        <f>VLOOKUP($N$2, Private_Vehicle_Kilometres_Car_Stock[#All],MATCH(A53, Private_Vehicle_Kilometres_Car_Stock[#Headers],0),0)</f>
        <v>29535056173</v>
      </c>
    </row>
    <row r="54" spans="1:14" x14ac:dyDescent="0.25">
      <c r="A54" s="79" t="s">
        <v>32</v>
      </c>
      <c r="B54" s="13" t="s">
        <v>181</v>
      </c>
      <c r="C54" s="13" t="s">
        <v>43</v>
      </c>
      <c r="D54" s="5">
        <f>VLOOKUP(B54,Percentage_distribution_of_journey_distance_for_all_regions[#All],MATCH(A54,Percentage_distribution_of_journey_distance_for_all_regions[#Headers],0),0)/100</f>
        <v>0.182</v>
      </c>
      <c r="E54" s="71">
        <f>IF(B54="&lt;2 kilometres",1,0)*VLOOKUP(C54, Percentage_dist_journeys_by_purpose_and_distance_to_2km[#All],MATCH(A54, Percentage_dist_journeys_by_purpose_and_distance_to_2km[#Headers],0),0)/100</f>
        <v>0</v>
      </c>
      <c r="F54" s="4">
        <f>IF(B54="2-4 kilometres",1,0)*VLOOKUP(C54, Percentage_dist_journeys_by_purpose_and_distance_2_to_4km[#All],MATCH(A54, Percentage_dist_journeys_by_purpose_and_distance_2_to_4km[#Headers],0),0)/100</f>
        <v>4.4000000000000004E-2</v>
      </c>
      <c r="G54" s="72">
        <f>IF(B54="4-6 kilometres",1,0)*VLOOKUP(C54, Percentage_dist_journeys_by_purpose_and_distance_4_to_6km[#All],MATCH(A54, Percentage_dist_journeys_by_purpose_and_distance_4_to_6km[#Headers],0),0)/100</f>
        <v>0</v>
      </c>
      <c r="H54" s="4">
        <f>IF(B54="6-8 kilometres",1,0)*VLOOKUP(C54, Percentage_dist_journeys_by_purpose_and_distance_6_to_8km[#All],MATCH(A54, Percentage_dist_journeys_by_purpose_and_distance_6_to_8km[#Headers],0),0)/100</f>
        <v>0</v>
      </c>
      <c r="I54" s="72">
        <f>IF(B54="8+ kilometres",1,0)*VLOOKUP(C54, Percentage_dist_journeys_by_purpose_and_distance_8km[#All],MATCH(A54, Percentage_dist_journeys_by_purpose_and_distance_8km[#Headers],0),0)/100</f>
        <v>0</v>
      </c>
      <c r="J54" s="73">
        <f>VLOOKUP(B54,Average_Distance_by_kilometres_grouping_for_trip_purpose[#All],MATCH(A54,Average_Distance_by_kilometres_grouping_for_trip_purpose[#Headers],0),0)</f>
        <v>3</v>
      </c>
      <c r="K54" s="77">
        <f>VLOOKUP(C54, Adjustment_factor_for_distance_based_on_trip_purpose[#All],MATCH(A54, Adjustment_factor_for_distance_based_on_trip_purpose[#Headers],0),0)</f>
        <v>0.88888888888888884</v>
      </c>
      <c r="L54" s="78">
        <f>VLOOKUP($L$2, Total_Journeys_Per_Year[#All],MATCH(A54, Total_Journeys_Per_Year[#Headers],0),0)</f>
        <v>3165688023.0367908</v>
      </c>
      <c r="M54" s="35">
        <f t="shared" si="0"/>
        <v>76052489.065435871</v>
      </c>
      <c r="N54" s="35">
        <f>VLOOKUP($N$2, Private_Vehicle_Kilometres_Car_Stock[#All],MATCH(A54, Private_Vehicle_Kilometres_Car_Stock[#Headers],0),0)</f>
        <v>29535056173</v>
      </c>
    </row>
    <row r="55" spans="1:14" x14ac:dyDescent="0.25">
      <c r="A55" s="79" t="s">
        <v>32</v>
      </c>
      <c r="B55" s="13" t="s">
        <v>180</v>
      </c>
      <c r="C55" s="13" t="s">
        <v>43</v>
      </c>
      <c r="D55" s="5">
        <f>VLOOKUP(B55,Percentage_distribution_of_journey_distance_for_all_regions[#All],MATCH(A55,Percentage_distribution_of_journey_distance_for_all_regions[#Headers],0),0)/100</f>
        <v>0.11699999999999999</v>
      </c>
      <c r="E55" s="71">
        <f>IF(B55="&lt;2 kilometres",1,0)*VLOOKUP(C55, Percentage_dist_journeys_by_purpose_and_distance_to_2km[#All],MATCH(A55, Percentage_dist_journeys_by_purpose_and_distance_to_2km[#Headers],0),0)/100</f>
        <v>0</v>
      </c>
      <c r="F55" s="4">
        <f>IF(B55="2-4 kilometres",1,0)*VLOOKUP(C55, Percentage_dist_journeys_by_purpose_and_distance_2_to_4km[#All],MATCH(A55, Percentage_dist_journeys_by_purpose_and_distance_2_to_4km[#Headers],0),0)/100</f>
        <v>0</v>
      </c>
      <c r="G55" s="72">
        <f>IF(B55="4-6 kilometres",1,0)*VLOOKUP(C55, Percentage_dist_journeys_by_purpose_and_distance_4_to_6km[#All],MATCH(A55, Percentage_dist_journeys_by_purpose_and_distance_4_to_6km[#Headers],0),0)/100</f>
        <v>3.9E-2</v>
      </c>
      <c r="H55" s="4">
        <f>IF(B55="6-8 kilometres",1,0)*VLOOKUP(C55, Percentage_dist_journeys_by_purpose_and_distance_6_to_8km[#All],MATCH(A55, Percentage_dist_journeys_by_purpose_and_distance_6_to_8km[#Headers],0),0)/100</f>
        <v>0</v>
      </c>
      <c r="I55" s="72">
        <f>IF(B55="8+ kilometres",1,0)*VLOOKUP(C55, Percentage_dist_journeys_by_purpose_and_distance_8km[#All],MATCH(A55, Percentage_dist_journeys_by_purpose_and_distance_8km[#Headers],0),0)/100</f>
        <v>0</v>
      </c>
      <c r="J55" s="73">
        <f>VLOOKUP(B55,Average_Distance_by_kilometres_grouping_for_trip_purpose[#All],MATCH(A55,Average_Distance_by_kilometres_grouping_for_trip_purpose[#Headers],0),0)</f>
        <v>5</v>
      </c>
      <c r="K55" s="77">
        <f>VLOOKUP(C55, Adjustment_factor_for_distance_based_on_trip_purpose[#All],MATCH(A55, Adjustment_factor_for_distance_based_on_trip_purpose[#Headers],0),0)</f>
        <v>0.88888888888888884</v>
      </c>
      <c r="L55" s="78">
        <f>VLOOKUP($L$2, Total_Journeys_Per_Year[#All],MATCH(A55, Total_Journeys_Per_Year[#Headers],0),0)</f>
        <v>3165688023.0367908</v>
      </c>
      <c r="M55" s="35">
        <f t="shared" si="0"/>
        <v>72225172.245584369</v>
      </c>
      <c r="N55" s="35">
        <f>VLOOKUP($N$2, Private_Vehicle_Kilometres_Car_Stock[#All],MATCH(A55, Private_Vehicle_Kilometres_Car_Stock[#Headers],0),0)</f>
        <v>29535056173</v>
      </c>
    </row>
    <row r="56" spans="1:14" x14ac:dyDescent="0.25">
      <c r="A56" s="79" t="s">
        <v>32</v>
      </c>
      <c r="B56" s="13" t="s">
        <v>182</v>
      </c>
      <c r="C56" s="13" t="s">
        <v>43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Percentage_dist_journeys_by_purpose_and_distance_to_2km[#All],MATCH(A56, Percentage_dist_journeys_by_purpose_and_distance_to_2km[#Headers],0),0)/100</f>
        <v>0</v>
      </c>
      <c r="F56" s="4">
        <f>IF(B56="2-4 kilometres",1,0)*VLOOKUP(C56, Percentage_dist_journeys_by_purpose_and_distance_2_to_4km[#All],MATCH(A56, Percentage_dist_journeys_by_purpose_and_distance_2_to_4km[#Headers],0),0)/100</f>
        <v>0</v>
      </c>
      <c r="G56" s="72">
        <f>IF(B56="4-6 kilometres",1,0)*VLOOKUP(C56, Percentage_dist_journeys_by_purpose_and_distance_4_to_6km[#All],MATCH(A56, Percentage_dist_journeys_by_purpose_and_distance_4_to_6km[#Headers],0),0)/100</f>
        <v>0</v>
      </c>
      <c r="H56" s="4">
        <f>IF(B56="6-8 kilometres",1,0)*VLOOKUP(C56, Percentage_dist_journeys_by_purpose_and_distance_6_to_8km[#All],MATCH(A56, Percentage_dist_journeys_by_purpose_and_distance_6_to_8km[#Headers],0),0)/100</f>
        <v>3.9E-2</v>
      </c>
      <c r="I56" s="72">
        <f>IF(B56="8+ kilometres",1,0)*VLOOKUP(C56, Percentage_dist_journeys_by_purpose_and_distance_8km[#All],MATCH(A56, Percentage_dist_journeys_by_purpose_and_distance_8km[#Headers],0),0)/100</f>
        <v>0</v>
      </c>
      <c r="J56" s="73">
        <f>VLOOKUP(B56,Average_Distance_by_kilometres_grouping_for_trip_purpose[#All],MATCH(A56,Average_Distance_by_kilometres_grouping_for_trip_purpose[#Headers],0),0)</f>
        <v>7</v>
      </c>
      <c r="K56" s="77">
        <f>VLOOKUP(C56, Adjustment_factor_for_distance_based_on_trip_purpose[#All],MATCH(A56, Adjustment_factor_for_distance_based_on_trip_purpose[#Headers],0),0)</f>
        <v>0.88888888888888884</v>
      </c>
      <c r="L56" s="78">
        <f>VLOOKUP($L$2, Total_Journeys_Per_Year[#All],MATCH(A56, Total_Journeys_Per_Year[#Headers],0),0)</f>
        <v>3165688023.0367908</v>
      </c>
      <c r="M56" s="35">
        <f t="shared" si="0"/>
        <v>51853969.817342632</v>
      </c>
      <c r="N56" s="35">
        <f>VLOOKUP($N$2, Private_Vehicle_Kilometres_Car_Stock[#All],MATCH(A56, Private_Vehicle_Kilometres_Car_Stock[#Headers],0),0)</f>
        <v>29535056173</v>
      </c>
    </row>
    <row r="57" spans="1:14" x14ac:dyDescent="0.25">
      <c r="A57" s="79" t="s">
        <v>32</v>
      </c>
      <c r="B57" s="13" t="s">
        <v>1</v>
      </c>
      <c r="C57" s="13" t="s">
        <v>43</v>
      </c>
      <c r="D57" s="5">
        <f>VLOOKUP(B57,Percentage_distribution_of_journey_distance_for_all_regions[#All],MATCH(A57,Percentage_distribution_of_journey_distance_for_all_regions[#Headers],0),0)/100</f>
        <v>0.41899999999999998</v>
      </c>
      <c r="E57" s="71">
        <f>IF(B57="&lt;2 kilometres",1,0)*VLOOKUP(C57, Percentage_dist_journeys_by_purpose_and_distance_to_2km[#All],MATCH(A57, Percentage_dist_journeys_by_purpose_and_distance_to_2km[#Headers],0),0)/100</f>
        <v>0</v>
      </c>
      <c r="F57" s="4">
        <f>IF(B57="2-4 kilometres",1,0)*VLOOKUP(C57, Percentage_dist_journeys_by_purpose_and_distance_2_to_4km[#All],MATCH(A57, Percentage_dist_journeys_by_purpose_and_distance_2_to_4km[#Headers],0),0)/100</f>
        <v>0</v>
      </c>
      <c r="G57" s="72">
        <f>IF(B57="4-6 kilometres",1,0)*VLOOKUP(C57, Percentage_dist_journeys_by_purpose_and_distance_4_to_6km[#All],MATCH(A57, Percentage_dist_journeys_by_purpose_and_distance_4_to_6km[#Headers],0),0)/100</f>
        <v>0</v>
      </c>
      <c r="H57" s="4">
        <f>IF(B57="6-8 kilometres",1,0)*VLOOKUP(C57, Percentage_dist_journeys_by_purpose_and_distance_6_to_8km[#All],MATCH(A57, Percentage_dist_journeys_by_purpose_and_distance_6_to_8km[#Headers],0),0)/100</f>
        <v>0</v>
      </c>
      <c r="I57" s="72">
        <f>IF(B57="8+ kilometres",1,0)*VLOOKUP(C57, Percentage_dist_journeys_by_purpose_and_distance_8km[#All],MATCH(A57, Percentage_dist_journeys_by_purpose_and_distance_8km[#Headers],0),0)/100</f>
        <v>4.0999999999999995E-2</v>
      </c>
      <c r="J57" s="73">
        <f>VLOOKUP(B57,Average_Distance_by_kilometres_grouping_for_trip_purpose[#All],MATCH(A57,Average_Distance_by_kilometres_grouping_for_trip_purpose[#Headers],0),0)</f>
        <v>34.770000000000003</v>
      </c>
      <c r="K57" s="77">
        <f>VLOOKUP(C57, Adjustment_factor_for_distance_based_on_trip_purpose[#All],MATCH(A57, Adjustment_factor_for_distance_based_on_trip_purpose[#Headers],0),0)</f>
        <v>0.88888888888888884</v>
      </c>
      <c r="L57" s="78">
        <f>VLOOKUP($L$2, Total_Journeys_Per_Year[#All],MATCH(A57, Total_Journeys_Per_Year[#Headers],0),0)</f>
        <v>3165688023.0367908</v>
      </c>
      <c r="M57" s="35">
        <f t="shared" si="0"/>
        <v>1890909237.6252337</v>
      </c>
      <c r="N57" s="35">
        <f>VLOOKUP($N$2, Private_Vehicle_Kilometres_Car_Stock[#All],MATCH(A57, Private_Vehicle_Kilometres_Car_Stock[#Headers],0),0)</f>
        <v>29535056173</v>
      </c>
    </row>
    <row r="58" spans="1:14" x14ac:dyDescent="0.25">
      <c r="A58" s="79" t="s">
        <v>32</v>
      </c>
      <c r="B58" s="13" t="s">
        <v>12</v>
      </c>
      <c r="C58" s="13" t="s">
        <v>44</v>
      </c>
      <c r="D58" s="5">
        <f>VLOOKUP(B58,Percentage_distribution_of_journey_distance_for_all_regions[#All],MATCH(A58,Percentage_distribution_of_journey_distance_for_all_regions[#Headers],0),0)/100</f>
        <v>0.223</v>
      </c>
      <c r="E58" s="71">
        <f>IF(B58="&lt;2 kilometres",1,0)*VLOOKUP(C58, Percentage_dist_journeys_by_purpose_and_distance_to_2km[#All],MATCH(A58, Percentage_dist_journeys_by_purpose_and_distance_to_2km[#Headers],0),0)/100</f>
        <v>0.27600000000000002</v>
      </c>
      <c r="F58" s="4">
        <f>IF(B58="2-4 kilometres",1,0)*VLOOKUP(C58, Percentage_dist_journeys_by_purpose_and_distance_2_to_4km[#All],MATCH(A58, Percentage_dist_journeys_by_purpose_and_distance_2_to_4km[#Headers],0),0)/100</f>
        <v>0</v>
      </c>
      <c r="G58" s="72">
        <f>IF(B58="4-6 kilometres",1,0)*VLOOKUP(C58, Percentage_dist_journeys_by_purpose_and_distance_4_to_6km[#All],MATCH(A58, Percentage_dist_journeys_by_purpose_and_distance_4_to_6km[#Headers],0),0)/100</f>
        <v>0</v>
      </c>
      <c r="H58" s="4">
        <f>IF(B58="6-8 kilometres",1,0)*VLOOKUP(C58, Percentage_dist_journeys_by_purpose_and_distance_6_to_8km[#All],MATCH(A58, Percentage_dist_journeys_by_purpose_and_distance_6_to_8km[#Headers],0),0)/100</f>
        <v>0</v>
      </c>
      <c r="I58" s="72">
        <f>IF(B58="8+ kilometres",1,0)*VLOOKUP(C58, Percentage_dist_journeys_by_purpose_and_distance_8km[#All],MATCH(A58, Percentage_dist_journeys_by_purpose_and_distance_8km[#Headers],0),0)/100</f>
        <v>0</v>
      </c>
      <c r="J58" s="73">
        <f>VLOOKUP(B58,Average_Distance_by_kilometres_grouping_for_trip_purpose[#All],MATCH(A58,Average_Distance_by_kilometres_grouping_for_trip_purpose[#Headers],0),0)</f>
        <v>1</v>
      </c>
      <c r="K58" s="77">
        <f>VLOOKUP(C58, Adjustment_factor_for_distance_based_on_trip_purpose[#All],MATCH(A58, Adjustment_factor_for_distance_based_on_trip_purpose[#Headers],0),0)</f>
        <v>0.44444444444444442</v>
      </c>
      <c r="L58" s="78">
        <f>VLOOKUP($L$2, Total_Journeys_Per_Year[#All],MATCH(A58, Total_Journeys_Per_Year[#Headers],0),0)</f>
        <v>3165688023.0367908</v>
      </c>
      <c r="M58" s="35">
        <f t="shared" si="0"/>
        <v>194841766.44186842</v>
      </c>
      <c r="N58" s="35">
        <f>VLOOKUP($N$2, Private_Vehicle_Kilometres_Car_Stock[#All],MATCH(A58, Private_Vehicle_Kilometres_Car_Stock[#Headers],0),0)</f>
        <v>29535056173</v>
      </c>
    </row>
    <row r="59" spans="1:14" x14ac:dyDescent="0.25">
      <c r="A59" s="79" t="s">
        <v>32</v>
      </c>
      <c r="B59" s="13" t="s">
        <v>181</v>
      </c>
      <c r="C59" s="13" t="s">
        <v>44</v>
      </c>
      <c r="D59" s="5">
        <f>VLOOKUP(B59,Percentage_distribution_of_journey_distance_for_all_regions[#All],MATCH(A59,Percentage_distribution_of_journey_distance_for_all_regions[#Headers],0),0)/100</f>
        <v>0.182</v>
      </c>
      <c r="E59" s="71">
        <f>IF(B59="&lt;2 kilometres",1,0)*VLOOKUP(C59, Percentage_dist_journeys_by_purpose_and_distance_to_2km[#All],MATCH(A59, Percentage_dist_journeys_by_purpose_and_distance_to_2km[#Headers],0),0)/100</f>
        <v>0</v>
      </c>
      <c r="F59" s="4">
        <f>IF(B59="2-4 kilometres",1,0)*VLOOKUP(C59, Percentage_dist_journeys_by_purpose_and_distance_2_to_4km[#All],MATCH(A59, Percentage_dist_journeys_by_purpose_and_distance_2_to_4km[#Headers],0),0)/100</f>
        <v>0.247</v>
      </c>
      <c r="G59" s="72">
        <f>IF(B59="4-6 kilometres",1,0)*VLOOKUP(C59, Percentage_dist_journeys_by_purpose_and_distance_4_to_6km[#All],MATCH(A59, Percentage_dist_journeys_by_purpose_and_distance_4_to_6km[#Headers],0),0)/100</f>
        <v>0</v>
      </c>
      <c r="H59" s="4">
        <f>IF(B59="6-8 kilometres",1,0)*VLOOKUP(C59, Percentage_dist_journeys_by_purpose_and_distance_6_to_8km[#All],MATCH(A59, Percentage_dist_journeys_by_purpose_and_distance_6_to_8km[#Headers],0),0)/100</f>
        <v>0</v>
      </c>
      <c r="I59" s="72">
        <f>IF(B59="8+ kilometres",1,0)*VLOOKUP(C59, Percentage_dist_journeys_by_purpose_and_distance_8km[#All],MATCH(A59, Percentage_dist_journeys_by_purpose_and_distance_8km[#Headers],0),0)/100</f>
        <v>0</v>
      </c>
      <c r="J59" s="73">
        <f>VLOOKUP(B59,Average_Distance_by_kilometres_grouping_for_trip_purpose[#All],MATCH(A59,Average_Distance_by_kilometres_grouping_for_trip_purpose[#Headers],0),0)</f>
        <v>3</v>
      </c>
      <c r="K59" s="77">
        <f>VLOOKUP(C59, Adjustment_factor_for_distance_based_on_trip_purpose[#All],MATCH(A59, Adjustment_factor_for_distance_based_on_trip_purpose[#Headers],0),0)</f>
        <v>0.44444444444444442</v>
      </c>
      <c r="L59" s="78">
        <f>VLOOKUP($L$2, Total_Journeys_Per_Year[#All],MATCH(A59, Total_Journeys_Per_Year[#Headers],0),0)</f>
        <v>3165688023.0367908</v>
      </c>
      <c r="M59" s="35">
        <f t="shared" si="0"/>
        <v>426931018.16278774</v>
      </c>
      <c r="N59" s="35">
        <f>VLOOKUP($N$2, Private_Vehicle_Kilometres_Car_Stock[#All],MATCH(A59, Private_Vehicle_Kilometres_Car_Stock[#Headers],0),0)</f>
        <v>29535056173</v>
      </c>
    </row>
    <row r="60" spans="1:14" x14ac:dyDescent="0.25">
      <c r="A60" s="79" t="s">
        <v>32</v>
      </c>
      <c r="B60" s="13" t="s">
        <v>180</v>
      </c>
      <c r="C60" s="13" t="s">
        <v>44</v>
      </c>
      <c r="D60" s="5">
        <f>VLOOKUP(B60,Percentage_distribution_of_journey_distance_for_all_regions[#All],MATCH(A60,Percentage_distribution_of_journey_distance_for_all_regions[#Headers],0),0)/100</f>
        <v>0.11699999999999999</v>
      </c>
      <c r="E60" s="71">
        <f>IF(B60="&lt;2 kilometres",1,0)*VLOOKUP(C60, Percentage_dist_journeys_by_purpose_and_distance_to_2km[#All],MATCH(A60, Percentage_dist_journeys_by_purpose_and_distance_to_2km[#Headers],0),0)/100</f>
        <v>0</v>
      </c>
      <c r="F60" s="4">
        <f>IF(B60="2-4 kilometres",1,0)*VLOOKUP(C60, Percentage_dist_journeys_by_purpose_and_distance_2_to_4km[#All],MATCH(A60, Percentage_dist_journeys_by_purpose_and_distance_2_to_4km[#Headers],0),0)/100</f>
        <v>0</v>
      </c>
      <c r="G60" s="72">
        <f>IF(B60="4-6 kilometres",1,0)*VLOOKUP(C60, Percentage_dist_journeys_by_purpose_and_distance_4_to_6km[#All],MATCH(A60, Percentage_dist_journeys_by_purpose_and_distance_4_to_6km[#Headers],0),0)/100</f>
        <v>0.20499999999999999</v>
      </c>
      <c r="H60" s="4">
        <f>IF(B60="6-8 kilometres",1,0)*VLOOKUP(C60, Percentage_dist_journeys_by_purpose_and_distance_6_to_8km[#All],MATCH(A60, Percentage_dist_journeys_by_purpose_and_distance_6_to_8km[#Headers],0),0)/100</f>
        <v>0</v>
      </c>
      <c r="I60" s="72">
        <f>IF(B60="8+ kilometres",1,0)*VLOOKUP(C60, Percentage_dist_journeys_by_purpose_and_distance_8km[#All],MATCH(A60, Percentage_dist_journeys_by_purpose_and_distance_8km[#Headers],0),0)/100</f>
        <v>0</v>
      </c>
      <c r="J60" s="73">
        <f>VLOOKUP(B60,Average_Distance_by_kilometres_grouping_for_trip_purpose[#All],MATCH(A60,Average_Distance_by_kilometres_grouping_for_trip_purpose[#Headers],0),0)</f>
        <v>5</v>
      </c>
      <c r="K60" s="77">
        <f>VLOOKUP(C60, Adjustment_factor_for_distance_based_on_trip_purpose[#All],MATCH(A60, Adjustment_factor_for_distance_based_on_trip_purpose[#Headers],0),0)</f>
        <v>0.44444444444444442</v>
      </c>
      <c r="L60" s="78">
        <f>VLOOKUP($L$2, Total_Journeys_Per_Year[#All],MATCH(A60, Total_Journeys_Per_Year[#Headers],0),0)</f>
        <v>3165688023.0367908</v>
      </c>
      <c r="M60" s="35">
        <f t="shared" si="0"/>
        <v>379645136.16268706</v>
      </c>
      <c r="N60" s="35">
        <f>VLOOKUP($N$2, Private_Vehicle_Kilometres_Car_Stock[#All],MATCH(A60, Private_Vehicle_Kilometres_Car_Stock[#Headers],0),0)</f>
        <v>29535056173</v>
      </c>
    </row>
    <row r="61" spans="1:14" x14ac:dyDescent="0.25">
      <c r="A61" s="79" t="s">
        <v>32</v>
      </c>
      <c r="B61" s="13" t="s">
        <v>182</v>
      </c>
      <c r="C61" s="13" t="s">
        <v>44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Percentage_dist_journeys_by_purpose_and_distance_to_2km[#All],MATCH(A61, Percentage_dist_journeys_by_purpose_and_distance_to_2km[#Headers],0),0)/100</f>
        <v>0</v>
      </c>
      <c r="F61" s="4">
        <f>IF(B61="2-4 kilometres",1,0)*VLOOKUP(C61, Percentage_dist_journeys_by_purpose_and_distance_2_to_4km[#All],MATCH(A61, Percentage_dist_journeys_by_purpose_and_distance_2_to_4km[#Headers],0),0)/100</f>
        <v>0</v>
      </c>
      <c r="G61" s="72">
        <f>IF(B61="4-6 kilometres",1,0)*VLOOKUP(C61, Percentage_dist_journeys_by_purpose_and_distance_4_to_6km[#All],MATCH(A61, Percentage_dist_journeys_by_purpose_and_distance_4_to_6km[#Headers],0),0)/100</f>
        <v>0</v>
      </c>
      <c r="H61" s="4">
        <f>IF(B61="6-8 kilometres",1,0)*VLOOKUP(C61, Percentage_dist_journeys_by_purpose_and_distance_6_to_8km[#All],MATCH(A61, Percentage_dist_journeys_by_purpose_and_distance_6_to_8km[#Headers],0),0)/100</f>
        <v>0.16800000000000001</v>
      </c>
      <c r="I61" s="72">
        <f>IF(B61="8+ kilometres",1,0)*VLOOKUP(C61, Percentage_dist_journeys_by_purpose_and_distance_8km[#All],MATCH(A61, Percentage_dist_journeys_by_purpose_and_distance_8km[#Headers],0),0)/100</f>
        <v>0</v>
      </c>
      <c r="J61" s="73">
        <f>VLOOKUP(B61,Average_Distance_by_kilometres_grouping_for_trip_purpose[#All],MATCH(A61,Average_Distance_by_kilometres_grouping_for_trip_purpose[#Headers],0),0)</f>
        <v>7</v>
      </c>
      <c r="K61" s="77">
        <f>VLOOKUP(C61, Adjustment_factor_for_distance_based_on_trip_purpose[#All],MATCH(A61, Adjustment_factor_for_distance_based_on_trip_purpose[#Headers],0),0)</f>
        <v>0.44444444444444442</v>
      </c>
      <c r="L61" s="78">
        <f>VLOOKUP($L$2, Total_Journeys_Per_Year[#All],MATCH(A61, Total_Journeys_Per_Year[#Headers],0),0)</f>
        <v>3165688023.0367908</v>
      </c>
      <c r="M61" s="35">
        <f t="shared" si="0"/>
        <v>223370946.90547594</v>
      </c>
      <c r="N61" s="35">
        <f>VLOOKUP($N$2, Private_Vehicle_Kilometres_Car_Stock[#All],MATCH(A61, Private_Vehicle_Kilometres_Car_Stock[#Headers],0),0)</f>
        <v>29535056173</v>
      </c>
    </row>
    <row r="62" spans="1:14" x14ac:dyDescent="0.25">
      <c r="A62" s="79" t="s">
        <v>32</v>
      </c>
      <c r="B62" s="13" t="s">
        <v>1</v>
      </c>
      <c r="C62" s="13" t="s">
        <v>44</v>
      </c>
      <c r="D62" s="5">
        <f>VLOOKUP(B62,Percentage_distribution_of_journey_distance_for_all_regions[#All],MATCH(A62,Percentage_distribution_of_journey_distance_for_all_regions[#Headers],0),0)/100</f>
        <v>0.41899999999999998</v>
      </c>
      <c r="E62" s="71">
        <f>IF(B62="&lt;2 kilometres",1,0)*VLOOKUP(C62, Percentage_dist_journeys_by_purpose_and_distance_to_2km[#All],MATCH(A62, Percentage_dist_journeys_by_purpose_and_distance_to_2km[#Headers],0),0)/100</f>
        <v>0</v>
      </c>
      <c r="F62" s="4">
        <f>IF(B62="2-4 kilometres",1,0)*VLOOKUP(C62, Percentage_dist_journeys_by_purpose_and_distance_2_to_4km[#All],MATCH(A62, Percentage_dist_journeys_by_purpose_and_distance_2_to_4km[#Headers],0),0)/100</f>
        <v>0</v>
      </c>
      <c r="G62" s="72">
        <f>IF(B62="4-6 kilometres",1,0)*VLOOKUP(C62, Percentage_dist_journeys_by_purpose_and_distance_4_to_6km[#All],MATCH(A62, Percentage_dist_journeys_by_purpose_and_distance_4_to_6km[#Headers],0),0)/100</f>
        <v>0</v>
      </c>
      <c r="H62" s="4">
        <f>IF(B62="6-8 kilometres",1,0)*VLOOKUP(C62, Percentage_dist_journeys_by_purpose_and_distance_6_to_8km[#All],MATCH(A62, Percentage_dist_journeys_by_purpose_and_distance_6_to_8km[#Headers],0),0)/100</f>
        <v>0</v>
      </c>
      <c r="I62" s="72">
        <f>IF(B62="8+ kilometres",1,0)*VLOOKUP(C62, Percentage_dist_journeys_by_purpose_and_distance_8km[#All],MATCH(A62, Percentage_dist_journeys_by_purpose_and_distance_8km[#Headers],0),0)/100</f>
        <v>0.17399999999999999</v>
      </c>
      <c r="J62" s="73">
        <f>VLOOKUP(B62,Average_Distance_by_kilometres_grouping_for_trip_purpose[#All],MATCH(A62,Average_Distance_by_kilometres_grouping_for_trip_purpose[#Headers],0),0)</f>
        <v>34.770000000000003</v>
      </c>
      <c r="K62" s="77">
        <f>VLOOKUP(C62, Adjustment_factor_for_distance_based_on_trip_purpose[#All],MATCH(A62, Adjustment_factor_for_distance_based_on_trip_purpose[#Headers],0),0)</f>
        <v>0.44444444444444442</v>
      </c>
      <c r="L62" s="78">
        <f>VLOOKUP($L$2, Total_Journeys_Per_Year[#All],MATCH(A62, Total_Journeys_Per_Year[#Headers],0),0)</f>
        <v>3165688023.0367908</v>
      </c>
      <c r="M62" s="35">
        <f t="shared" si="0"/>
        <v>8024834325.5314798</v>
      </c>
      <c r="N62" s="35">
        <f>VLOOKUP($N$2, Private_Vehicle_Kilometres_Car_Stock[#All],MATCH(A62, Private_Vehicle_Kilometres_Car_Stock[#Headers],0),0)</f>
        <v>29535056173</v>
      </c>
    </row>
    <row r="63" spans="1:14" x14ac:dyDescent="0.25">
      <c r="A63" s="79" t="s">
        <v>32</v>
      </c>
      <c r="B63" s="13" t="s">
        <v>12</v>
      </c>
      <c r="C63" s="13" t="s">
        <v>45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Percentage_dist_journeys_by_purpose_and_distance_to_2km[#All],MATCH(A63, Percentage_dist_journeys_by_purpose_and_distance_to_2km[#Headers],0),0)/100</f>
        <v>4.0999999999999995E-2</v>
      </c>
      <c r="F63" s="4">
        <f>IF(B63="2-4 kilometres",1,0)*VLOOKUP(C63, Percentage_dist_journeys_by_purpose_and_distance_2_to_4km[#All],MATCH(A63, Percentage_dist_journeys_by_purpose_and_distance_2_to_4km[#Headers],0),0)/100</f>
        <v>0</v>
      </c>
      <c r="G63" s="72">
        <f>IF(B63="4-6 kilometres",1,0)*VLOOKUP(C63, Percentage_dist_journeys_by_purpose_and_distance_4_to_6km[#All],MATCH(A63, Percentage_dist_journeys_by_purpose_and_distance_4_to_6km[#Headers],0),0)/100</f>
        <v>0</v>
      </c>
      <c r="H63" s="4">
        <f>IF(B63="6-8 kilometres",1,0)*VLOOKUP(C63, Percentage_dist_journeys_by_purpose_and_distance_6_to_8km[#All],MATCH(A63, Percentage_dist_journeys_by_purpose_and_distance_6_to_8km[#Headers],0),0)/100</f>
        <v>0</v>
      </c>
      <c r="I63" s="72">
        <f>IF(B63="8+ kilometres",1,0)*VLOOKUP(C63, Percentage_dist_journeys_by_purpose_and_distance_8km[#All],MATCH(A63, Percentage_dist_journeys_by_purpose_and_distance_8km[#Headers],0),0)/100</f>
        <v>0</v>
      </c>
      <c r="J63" s="73">
        <f>VLOOKUP(B63,Average_Distance_by_kilometres_grouping_for_trip_purpose[#All],MATCH(A63,Average_Distance_by_kilometres_grouping_for_trip_purpose[#Headers],0),0)</f>
        <v>1</v>
      </c>
      <c r="K63" s="77">
        <f>VLOOKUP(C63, Adjustment_factor_for_distance_based_on_trip_purpose[#All],MATCH(A63, Adjustment_factor_for_distance_based_on_trip_purpose[#Headers],0),0)</f>
        <v>0.44444444444444442</v>
      </c>
      <c r="L63" s="78">
        <f>VLOOKUP($L$2, Total_Journeys_Per_Year[#All],MATCH(A63, Total_Journeys_Per_Year[#Headers],0),0)</f>
        <v>3165688023.0367908</v>
      </c>
      <c r="M63" s="35">
        <f t="shared" si="0"/>
        <v>28943885.594625372</v>
      </c>
      <c r="N63" s="35">
        <f>VLOOKUP($N$2, Private_Vehicle_Kilometres_Car_Stock[#All],MATCH(A63, Private_Vehicle_Kilometres_Car_Stock[#Headers],0),0)</f>
        <v>29535056173</v>
      </c>
    </row>
    <row r="64" spans="1:14" x14ac:dyDescent="0.25">
      <c r="A64" s="79" t="s">
        <v>32</v>
      </c>
      <c r="B64" s="13" t="s">
        <v>181</v>
      </c>
      <c r="C64" s="13" t="s">
        <v>45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Percentage_dist_journeys_by_purpose_and_distance_to_2km[#All],MATCH(A64, Percentage_dist_journeys_by_purpose_and_distance_to_2km[#Headers],0),0)/100</f>
        <v>0</v>
      </c>
      <c r="F64" s="4">
        <f>IF(B64="2-4 kilometres",1,0)*VLOOKUP(C64, Percentage_dist_journeys_by_purpose_and_distance_2_to_4km[#All],MATCH(A64, Percentage_dist_journeys_by_purpose_and_distance_2_to_4km[#Headers],0),0)/100</f>
        <v>2.2000000000000002E-2</v>
      </c>
      <c r="G64" s="72">
        <f>IF(B64="4-6 kilometres",1,0)*VLOOKUP(C64, Percentage_dist_journeys_by_purpose_and_distance_4_to_6km[#All],MATCH(A64, Percentage_dist_journeys_by_purpose_and_distance_4_to_6km[#Headers],0),0)/100</f>
        <v>0</v>
      </c>
      <c r="H64" s="4">
        <f>IF(B64="6-8 kilometres",1,0)*VLOOKUP(C64, Percentage_dist_journeys_by_purpose_and_distance_6_to_8km[#All],MATCH(A64, Percentage_dist_journeys_by_purpose_and_distance_6_to_8km[#Headers],0),0)/100</f>
        <v>0</v>
      </c>
      <c r="I64" s="72">
        <f>IF(B64="8+ kilometres",1,0)*VLOOKUP(C64, Percentage_dist_journeys_by_purpose_and_distance_8km[#All],MATCH(A64, Percentage_dist_journeys_by_purpose_and_distance_8km[#Headers],0),0)/100</f>
        <v>0</v>
      </c>
      <c r="J64" s="73">
        <f>VLOOKUP(B64,Average_Distance_by_kilometres_grouping_for_trip_purpose[#All],MATCH(A64,Average_Distance_by_kilometres_grouping_for_trip_purpose[#Headers],0),0)</f>
        <v>3</v>
      </c>
      <c r="K64" s="77">
        <f>VLOOKUP(C64, Adjustment_factor_for_distance_based_on_trip_purpose[#All],MATCH(A64, Adjustment_factor_for_distance_based_on_trip_purpose[#Headers],0),0)</f>
        <v>0.44444444444444442</v>
      </c>
      <c r="L64" s="78">
        <f>VLOOKUP($L$2, Total_Journeys_Per_Year[#All],MATCH(A64, Total_Journeys_Per_Year[#Headers],0),0)</f>
        <v>3165688023.0367908</v>
      </c>
      <c r="M64" s="35">
        <f t="shared" si="0"/>
        <v>38026244.532717936</v>
      </c>
      <c r="N64" s="35">
        <f>VLOOKUP($N$2, Private_Vehicle_Kilometres_Car_Stock[#All],MATCH(A64, Private_Vehicle_Kilometres_Car_Stock[#Headers],0),0)</f>
        <v>29535056173</v>
      </c>
    </row>
    <row r="65" spans="1:14" x14ac:dyDescent="0.25">
      <c r="A65" s="79" t="s">
        <v>32</v>
      </c>
      <c r="B65" s="13" t="s">
        <v>180</v>
      </c>
      <c r="C65" s="13" t="s">
        <v>45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Percentage_dist_journeys_by_purpose_and_distance_to_2km[#All],MATCH(A65, Percentage_dist_journeys_by_purpose_and_distance_to_2km[#Headers],0),0)/100</f>
        <v>0</v>
      </c>
      <c r="F65" s="4">
        <f>IF(B65="2-4 kilometres",1,0)*VLOOKUP(C65, Percentage_dist_journeys_by_purpose_and_distance_2_to_4km[#All],MATCH(A65, Percentage_dist_journeys_by_purpose_and_distance_2_to_4km[#Headers],0),0)/100</f>
        <v>0</v>
      </c>
      <c r="G65" s="72">
        <f>IF(B65="4-6 kilometres",1,0)*VLOOKUP(C65, Percentage_dist_journeys_by_purpose_and_distance_4_to_6km[#All],MATCH(A65, Percentage_dist_journeys_by_purpose_and_distance_4_to_6km[#Headers],0),0)/100</f>
        <v>2.3E-2</v>
      </c>
      <c r="H65" s="4">
        <f>IF(B65="6-8 kilometres",1,0)*VLOOKUP(C65, Percentage_dist_journeys_by_purpose_and_distance_6_to_8km[#All],MATCH(A65, Percentage_dist_journeys_by_purpose_and_distance_6_to_8km[#Headers],0),0)/100</f>
        <v>0</v>
      </c>
      <c r="I65" s="72">
        <f>IF(B65="8+ kilometres",1,0)*VLOOKUP(C65, Percentage_dist_journeys_by_purpose_and_distance_8km[#All],MATCH(A65, Percentage_dist_journeys_by_purpose_and_distance_8km[#Headers],0),0)/100</f>
        <v>0</v>
      </c>
      <c r="J65" s="73">
        <f>VLOOKUP(B65,Average_Distance_by_kilometres_grouping_for_trip_purpose[#All],MATCH(A65,Average_Distance_by_kilometres_grouping_for_trip_purpose[#Headers],0),0)</f>
        <v>5</v>
      </c>
      <c r="K65" s="77">
        <f>VLOOKUP(C65, Adjustment_factor_for_distance_based_on_trip_purpose[#All],MATCH(A65, Adjustment_factor_for_distance_based_on_trip_purpose[#Headers],0),0)</f>
        <v>0.44444444444444442</v>
      </c>
      <c r="L65" s="78">
        <f>VLOOKUP($L$2, Total_Journeys_Per_Year[#All],MATCH(A65, Total_Journeys_Per_Year[#Headers],0),0)</f>
        <v>3165688023.0367908</v>
      </c>
      <c r="M65" s="35">
        <f t="shared" si="0"/>
        <v>42594332.349960014</v>
      </c>
      <c r="N65" s="35">
        <f>VLOOKUP($N$2, Private_Vehicle_Kilometres_Car_Stock[#All],MATCH(A65, Private_Vehicle_Kilometres_Car_Stock[#Headers],0),0)</f>
        <v>29535056173</v>
      </c>
    </row>
    <row r="66" spans="1:14" x14ac:dyDescent="0.25">
      <c r="A66" s="79" t="s">
        <v>32</v>
      </c>
      <c r="B66" s="13" t="s">
        <v>182</v>
      </c>
      <c r="C66" s="13" t="s">
        <v>45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Percentage_dist_journeys_by_purpose_and_distance_to_2km[#All],MATCH(A66, Percentage_dist_journeys_by_purpose_and_distance_to_2km[#Headers],0),0)/100</f>
        <v>0</v>
      </c>
      <c r="F66" s="4">
        <f>IF(B66="2-4 kilometres",1,0)*VLOOKUP(C66, Percentage_dist_journeys_by_purpose_and_distance_2_to_4km[#All],MATCH(A66, Percentage_dist_journeys_by_purpose_and_distance_2_to_4km[#Headers],0),0)/100</f>
        <v>0</v>
      </c>
      <c r="G66" s="72">
        <f>IF(B66="4-6 kilometres",1,0)*VLOOKUP(C66, Percentage_dist_journeys_by_purpose_and_distance_4_to_6km[#All],MATCH(A66, Percentage_dist_journeys_by_purpose_and_distance_4_to_6km[#Headers],0),0)/100</f>
        <v>0</v>
      </c>
      <c r="H66" s="4">
        <f>IF(B66="6-8 kilometres",1,0)*VLOOKUP(C66, Percentage_dist_journeys_by_purpose_and_distance_6_to_8km[#All],MATCH(A66, Percentage_dist_journeys_by_purpose_and_distance_6_to_8km[#Headers],0),0)/100</f>
        <v>2.5000000000000001E-2</v>
      </c>
      <c r="I66" s="72">
        <f>IF(B66="8+ kilometres",1,0)*VLOOKUP(C66, Percentage_dist_journeys_by_purpose_and_distance_8km[#All],MATCH(A66, Percentage_dist_journeys_by_purpose_and_distance_8km[#Headers],0),0)/100</f>
        <v>0</v>
      </c>
      <c r="J66" s="73">
        <f>VLOOKUP(B66,Average_Distance_by_kilometres_grouping_for_trip_purpose[#All],MATCH(A66,Average_Distance_by_kilometres_grouping_for_trip_purpose[#Headers],0),0)</f>
        <v>7</v>
      </c>
      <c r="K66" s="77">
        <f>VLOOKUP(C66, Adjustment_factor_for_distance_based_on_trip_purpose[#All],MATCH(A66, Adjustment_factor_for_distance_based_on_trip_purpose[#Headers],0),0)</f>
        <v>0.44444444444444442</v>
      </c>
      <c r="L66" s="78">
        <f>VLOOKUP($L$2, Total_Journeys_Per_Year[#All],MATCH(A66, Total_Journeys_Per_Year[#Headers],0),0)</f>
        <v>3165688023.0367908</v>
      </c>
      <c r="M66" s="35">
        <f t="shared" si="0"/>
        <v>33239724.241886307</v>
      </c>
      <c r="N66" s="35">
        <f>VLOOKUP($N$2, Private_Vehicle_Kilometres_Car_Stock[#All],MATCH(A66, Private_Vehicle_Kilometres_Car_Stock[#Headers],0),0)</f>
        <v>29535056173</v>
      </c>
    </row>
    <row r="67" spans="1:14" x14ac:dyDescent="0.25">
      <c r="A67" s="79" t="s">
        <v>32</v>
      </c>
      <c r="B67" s="13" t="s">
        <v>1</v>
      </c>
      <c r="C67" s="13" t="s">
        <v>45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Percentage_dist_journeys_by_purpose_and_distance_to_2km[#All],MATCH(A67, Percentage_dist_journeys_by_purpose_and_distance_to_2km[#Headers],0),0)/100</f>
        <v>0</v>
      </c>
      <c r="F67" s="4">
        <f>IF(B67="2-4 kilometres",1,0)*VLOOKUP(C67, Percentage_dist_journeys_by_purpose_and_distance_2_to_4km[#All],MATCH(A67, Percentage_dist_journeys_by_purpose_and_distance_2_to_4km[#Headers],0),0)/100</f>
        <v>0</v>
      </c>
      <c r="G67" s="72">
        <f>IF(B67="4-6 kilometres",1,0)*VLOOKUP(C67, Percentage_dist_journeys_by_purpose_and_distance_4_to_6km[#All],MATCH(A67, Percentage_dist_journeys_by_purpose_and_distance_4_to_6km[#Headers],0),0)/100</f>
        <v>0</v>
      </c>
      <c r="H67" s="4">
        <f>IF(B67="6-8 kilometres",1,0)*VLOOKUP(C67, Percentage_dist_journeys_by_purpose_and_distance_6_to_8km[#All],MATCH(A67, Percentage_dist_journeys_by_purpose_and_distance_6_to_8km[#Headers],0),0)/100</f>
        <v>0</v>
      </c>
      <c r="I67" s="72">
        <f>IF(B67="8+ kilometres",1,0)*VLOOKUP(C67, Percentage_dist_journeys_by_purpose_and_distance_8km[#All],MATCH(A67, Percentage_dist_journeys_by_purpose_and_distance_8km[#Headers],0),0)/100</f>
        <v>1.3000000000000001E-2</v>
      </c>
      <c r="J67" s="73">
        <f>VLOOKUP(B67,Average_Distance_by_kilometres_grouping_for_trip_purpose[#All],MATCH(A67,Average_Distance_by_kilometres_grouping_for_trip_purpose[#Headers],0),0)</f>
        <v>34.770000000000003</v>
      </c>
      <c r="K67" s="77">
        <f>VLOOKUP(C67, Adjustment_factor_for_distance_based_on_trip_purpose[#All],MATCH(A67, Adjustment_factor_for_distance_based_on_trip_purpose[#Headers],0),0)</f>
        <v>0.44444444444444442</v>
      </c>
      <c r="L67" s="78">
        <f>VLOOKUP($L$2, Total_Journeys_Per_Year[#All],MATCH(A67, Total_Journeys_Per_Year[#Headers],0),0)</f>
        <v>3165688023.0367908</v>
      </c>
      <c r="M67" s="35">
        <f t="shared" si="0"/>
        <v>599556587.53970838</v>
      </c>
      <c r="N67" s="35">
        <f>VLOOKUP($N$2, Private_Vehicle_Kilometres_Car_Stock[#All],MATCH(A67, Private_Vehicle_Kilometres_Car_Stock[#Headers],0),0)</f>
        <v>29535056173</v>
      </c>
    </row>
    <row r="68" spans="1:14" x14ac:dyDescent="0.25">
      <c r="A68" s="79" t="s">
        <v>32</v>
      </c>
      <c r="B68" s="13" t="s">
        <v>12</v>
      </c>
      <c r="C68" s="13" t="s">
        <v>46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Percentage_dist_journeys_by_purpose_and_distance_to_2km[#All],MATCH(A68, Percentage_dist_journeys_by_purpose_and_distance_to_2km[#Headers],0),0)/100</f>
        <v>8.5999999999999993E-2</v>
      </c>
      <c r="F68" s="4">
        <f>IF(B68="2-4 kilometres",1,0)*VLOOKUP(C68, Percentage_dist_journeys_by_purpose_and_distance_2_to_4km[#All],MATCH(A68, Percentage_dist_journeys_by_purpose_and_distance_2_to_4km[#Headers],0),0)/100</f>
        <v>0</v>
      </c>
      <c r="G68" s="72">
        <f>IF(B68="4-6 kilometres",1,0)*VLOOKUP(C68, Percentage_dist_journeys_by_purpose_and_distance_4_to_6km[#All],MATCH(A68, Percentage_dist_journeys_by_purpose_and_distance_4_to_6km[#Headers],0),0)/100</f>
        <v>0</v>
      </c>
      <c r="H68" s="4">
        <f>IF(B68="6-8 kilometres",1,0)*VLOOKUP(C68, Percentage_dist_journeys_by_purpose_and_distance_6_to_8km[#All],MATCH(A68, Percentage_dist_journeys_by_purpose_and_distance_6_to_8km[#Headers],0),0)/100</f>
        <v>0</v>
      </c>
      <c r="I68" s="72">
        <f>IF(B68="8+ kilometres",1,0)*VLOOKUP(C68, Percentage_dist_journeys_by_purpose_and_distance_8km[#All],MATCH(A68, Percentage_dist_journeys_by_purpose_and_distance_8km[#Headers],0),0)/100</f>
        <v>0</v>
      </c>
      <c r="J68" s="73">
        <f>VLOOKUP(B68,Average_Distance_by_kilometres_grouping_for_trip_purpose[#All],MATCH(A68,Average_Distance_by_kilometres_grouping_for_trip_purpose[#Headers],0),0)</f>
        <v>1</v>
      </c>
      <c r="K68" s="77">
        <f>VLOOKUP(C68, Adjustment_factor_for_distance_based_on_trip_purpose[#All],MATCH(A68, Adjustment_factor_for_distance_based_on_trip_purpose[#Headers],0),0)</f>
        <v>0.94444444444444442</v>
      </c>
      <c r="L68" s="78">
        <f>VLOOKUP($L$2, Total_Journeys_Per_Year[#All],MATCH(A68, Total_Journeys_Per_Year[#Headers],0),0)</f>
        <v>3165688023.0367908</v>
      </c>
      <c r="M68" s="35">
        <f t="shared" ref="M68:M131" si="1">D68*(SUM(E68:I68))*J68*L68</f>
        <v>60711564.905799568</v>
      </c>
      <c r="N68" s="35">
        <f>VLOOKUP($N$2, Private_Vehicle_Kilometres_Car_Stock[#All],MATCH(A68, Private_Vehicle_Kilometres_Car_Stock[#Headers],0),0)</f>
        <v>29535056173</v>
      </c>
    </row>
    <row r="69" spans="1:14" x14ac:dyDescent="0.25">
      <c r="A69" s="79" t="s">
        <v>32</v>
      </c>
      <c r="B69" s="13" t="s">
        <v>181</v>
      </c>
      <c r="C69" s="13" t="s">
        <v>46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Percentage_dist_journeys_by_purpose_and_distance_to_2km[#All],MATCH(A69, Percentage_dist_journeys_by_purpose_and_distance_to_2km[#Headers],0),0)/100</f>
        <v>0</v>
      </c>
      <c r="F69" s="4">
        <f>IF(B69="2-4 kilometres",1,0)*VLOOKUP(C69, Percentage_dist_journeys_by_purpose_and_distance_2_to_4km[#All],MATCH(A69, Percentage_dist_journeys_by_purpose_and_distance_2_to_4km[#Headers],0),0)/100</f>
        <v>7.8E-2</v>
      </c>
      <c r="G69" s="72">
        <f>IF(B69="4-6 kilometres",1,0)*VLOOKUP(C69, Percentage_dist_journeys_by_purpose_and_distance_4_to_6km[#All],MATCH(A69, Percentage_dist_journeys_by_purpose_and_distance_4_to_6km[#Headers],0),0)/100</f>
        <v>0</v>
      </c>
      <c r="H69" s="4">
        <f>IF(B69="6-8 kilometres",1,0)*VLOOKUP(C69, Percentage_dist_journeys_by_purpose_and_distance_6_to_8km[#All],MATCH(A69, Percentage_dist_journeys_by_purpose_and_distance_6_to_8km[#Headers],0),0)/100</f>
        <v>0</v>
      </c>
      <c r="I69" s="72">
        <f>IF(B69="8+ kilometres",1,0)*VLOOKUP(C69, Percentage_dist_journeys_by_purpose_and_distance_8km[#All],MATCH(A69, Percentage_dist_journeys_by_purpose_and_distance_8km[#Headers],0),0)/100</f>
        <v>0</v>
      </c>
      <c r="J69" s="73">
        <f>VLOOKUP(B69,Average_Distance_by_kilometres_grouping_for_trip_purpose[#All],MATCH(A69,Average_Distance_by_kilometres_grouping_for_trip_purpose[#Headers],0),0)</f>
        <v>3</v>
      </c>
      <c r="K69" s="77">
        <f>VLOOKUP(C69, Adjustment_factor_for_distance_based_on_trip_purpose[#All],MATCH(A69, Adjustment_factor_for_distance_based_on_trip_purpose[#Headers],0),0)</f>
        <v>0.94444444444444442</v>
      </c>
      <c r="L69" s="78">
        <f>VLOOKUP($L$2, Total_Journeys_Per_Year[#All],MATCH(A69, Total_Journeys_Per_Year[#Headers],0),0)</f>
        <v>3165688023.0367908</v>
      </c>
      <c r="M69" s="35">
        <f t="shared" si="1"/>
        <v>134820321.52509084</v>
      </c>
      <c r="N69" s="35">
        <f>VLOOKUP($N$2, Private_Vehicle_Kilometres_Car_Stock[#All],MATCH(A69, Private_Vehicle_Kilometres_Car_Stock[#Headers],0),0)</f>
        <v>29535056173</v>
      </c>
    </row>
    <row r="70" spans="1:14" x14ac:dyDescent="0.25">
      <c r="A70" s="79" t="s">
        <v>32</v>
      </c>
      <c r="B70" s="13" t="s">
        <v>180</v>
      </c>
      <c r="C70" s="13" t="s">
        <v>46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Percentage_dist_journeys_by_purpose_and_distance_to_2km[#All],MATCH(A70, Percentage_dist_journeys_by_purpose_and_distance_to_2km[#Headers],0),0)/100</f>
        <v>0</v>
      </c>
      <c r="F70" s="4">
        <f>IF(B70="2-4 kilometres",1,0)*VLOOKUP(C70, Percentage_dist_journeys_by_purpose_and_distance_2_to_4km[#All],MATCH(A70, Percentage_dist_journeys_by_purpose_and_distance_2_to_4km[#Headers],0),0)/100</f>
        <v>0</v>
      </c>
      <c r="G70" s="72">
        <f>IF(B70="4-6 kilometres",1,0)*VLOOKUP(C70, Percentage_dist_journeys_by_purpose_and_distance_4_to_6km[#All],MATCH(A70, Percentage_dist_journeys_by_purpose_and_distance_4_to_6km[#Headers],0),0)/100</f>
        <v>9.4E-2</v>
      </c>
      <c r="H70" s="4">
        <f>IF(B70="6-8 kilometres",1,0)*VLOOKUP(C70, Percentage_dist_journeys_by_purpose_and_distance_6_to_8km[#All],MATCH(A70, Percentage_dist_journeys_by_purpose_and_distance_6_to_8km[#Headers],0),0)/100</f>
        <v>0</v>
      </c>
      <c r="I70" s="72">
        <f>IF(B70="8+ kilometres",1,0)*VLOOKUP(C70, Percentage_dist_journeys_by_purpose_and_distance_8km[#All],MATCH(A70, Percentage_dist_journeys_by_purpose_and_distance_8km[#Headers],0),0)/100</f>
        <v>0</v>
      </c>
      <c r="J70" s="73">
        <f>VLOOKUP(B70,Average_Distance_by_kilometres_grouping_for_trip_purpose[#All],MATCH(A70,Average_Distance_by_kilometres_grouping_for_trip_purpose[#Headers],0),0)</f>
        <v>5</v>
      </c>
      <c r="K70" s="77">
        <f>VLOOKUP(C70, Adjustment_factor_for_distance_based_on_trip_purpose[#All],MATCH(A70, Adjustment_factor_for_distance_based_on_trip_purpose[#Headers],0),0)</f>
        <v>0.94444444444444442</v>
      </c>
      <c r="L70" s="78">
        <f>VLOOKUP($L$2, Total_Journeys_Per_Year[#All],MATCH(A70, Total_Journeys_Per_Year[#Headers],0),0)</f>
        <v>3165688023.0367908</v>
      </c>
      <c r="M70" s="35">
        <f t="shared" si="1"/>
        <v>174081184.38679311</v>
      </c>
      <c r="N70" s="35">
        <f>VLOOKUP($N$2, Private_Vehicle_Kilometres_Car_Stock[#All],MATCH(A70, Private_Vehicle_Kilometres_Car_Stock[#Headers],0),0)</f>
        <v>29535056173</v>
      </c>
    </row>
    <row r="71" spans="1:14" x14ac:dyDescent="0.25">
      <c r="A71" s="79" t="s">
        <v>32</v>
      </c>
      <c r="B71" s="13" t="s">
        <v>182</v>
      </c>
      <c r="C71" s="13" t="s">
        <v>46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Percentage_dist_journeys_by_purpose_and_distance_to_2km[#All],MATCH(A71, Percentage_dist_journeys_by_purpose_and_distance_to_2km[#Headers],0),0)/100</f>
        <v>0</v>
      </c>
      <c r="F71" s="4">
        <f>IF(B71="2-4 kilometres",1,0)*VLOOKUP(C71, Percentage_dist_journeys_by_purpose_and_distance_2_to_4km[#All],MATCH(A71, Percentage_dist_journeys_by_purpose_and_distance_2_to_4km[#Headers],0),0)/100</f>
        <v>0</v>
      </c>
      <c r="G71" s="72">
        <f>IF(B71="4-6 kilometres",1,0)*VLOOKUP(C71, Percentage_dist_journeys_by_purpose_and_distance_4_to_6km[#All],MATCH(A71, Percentage_dist_journeys_by_purpose_and_distance_4_to_6km[#Headers],0),0)/100</f>
        <v>0</v>
      </c>
      <c r="H71" s="4">
        <f>IF(B71="6-8 kilometres",1,0)*VLOOKUP(C71, Percentage_dist_journeys_by_purpose_and_distance_6_to_8km[#All],MATCH(A71, Percentage_dist_journeys_by_purpose_and_distance_6_to_8km[#Headers],0),0)/100</f>
        <v>0.11199999999999999</v>
      </c>
      <c r="I71" s="72">
        <f>IF(B71="8+ kilometres",1,0)*VLOOKUP(C71, Percentage_dist_journeys_by_purpose_and_distance_8km[#All],MATCH(A71, Percentage_dist_journeys_by_purpose_and_distance_8km[#Headers],0),0)/100</f>
        <v>0</v>
      </c>
      <c r="J71" s="73">
        <f>VLOOKUP(B71,Average_Distance_by_kilometres_grouping_for_trip_purpose[#All],MATCH(A71,Average_Distance_by_kilometres_grouping_for_trip_purpose[#Headers],0),0)</f>
        <v>7</v>
      </c>
      <c r="K71" s="77">
        <f>VLOOKUP(C71, Adjustment_factor_for_distance_based_on_trip_purpose[#All],MATCH(A71, Adjustment_factor_for_distance_based_on_trip_purpose[#Headers],0),0)</f>
        <v>0.94444444444444442</v>
      </c>
      <c r="L71" s="78">
        <f>VLOOKUP($L$2, Total_Journeys_Per_Year[#All],MATCH(A71, Total_Journeys_Per_Year[#Headers],0),0)</f>
        <v>3165688023.0367908</v>
      </c>
      <c r="M71" s="35">
        <f t="shared" si="1"/>
        <v>148913964.60365063</v>
      </c>
      <c r="N71" s="35">
        <f>VLOOKUP($N$2, Private_Vehicle_Kilometres_Car_Stock[#All],MATCH(A71, Private_Vehicle_Kilometres_Car_Stock[#Headers],0),0)</f>
        <v>29535056173</v>
      </c>
    </row>
    <row r="72" spans="1:14" x14ac:dyDescent="0.25">
      <c r="A72" s="79" t="s">
        <v>32</v>
      </c>
      <c r="B72" s="13" t="s">
        <v>1</v>
      </c>
      <c r="C72" s="13" t="s">
        <v>46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Percentage_dist_journeys_by_purpose_and_distance_to_2km[#All],MATCH(A72, Percentage_dist_journeys_by_purpose_and_distance_to_2km[#Headers],0),0)/100</f>
        <v>0</v>
      </c>
      <c r="F72" s="4">
        <f>IF(B72="2-4 kilometres",1,0)*VLOOKUP(C72, Percentage_dist_journeys_by_purpose_and_distance_2_to_4km[#All],MATCH(A72, Percentage_dist_journeys_by_purpose_and_distance_2_to_4km[#Headers],0),0)/100</f>
        <v>0</v>
      </c>
      <c r="G72" s="72">
        <f>IF(B72="4-6 kilometres",1,0)*VLOOKUP(C72, Percentage_dist_journeys_by_purpose_and_distance_4_to_6km[#All],MATCH(A72, Percentage_dist_journeys_by_purpose_and_distance_4_to_6km[#Headers],0),0)/100</f>
        <v>0</v>
      </c>
      <c r="H72" s="4">
        <f>IF(B72="6-8 kilometres",1,0)*VLOOKUP(C72, Percentage_dist_journeys_by_purpose_and_distance_6_to_8km[#All],MATCH(A72, Percentage_dist_journeys_by_purpose_and_distance_6_to_8km[#Headers],0),0)/100</f>
        <v>0</v>
      </c>
      <c r="I72" s="72">
        <f>IF(B72="8+ kilometres",1,0)*VLOOKUP(C72, Percentage_dist_journeys_by_purpose_and_distance_8km[#All],MATCH(A72, Percentage_dist_journeys_by_purpose_and_distance_8km[#Headers],0),0)/100</f>
        <v>0.13100000000000001</v>
      </c>
      <c r="J72" s="73">
        <f>VLOOKUP(B72,Average_Distance_by_kilometres_grouping_for_trip_purpose[#All],MATCH(A72,Average_Distance_by_kilometres_grouping_for_trip_purpose[#Headers],0),0)</f>
        <v>34.770000000000003</v>
      </c>
      <c r="K72" s="77">
        <f>VLOOKUP(C72, Adjustment_factor_for_distance_based_on_trip_purpose[#All],MATCH(A72, Adjustment_factor_for_distance_based_on_trip_purpose[#Headers],0),0)</f>
        <v>0.94444444444444442</v>
      </c>
      <c r="L72" s="78">
        <f>VLOOKUP($L$2, Total_Journeys_Per_Year[#All],MATCH(A72, Total_Journeys_Per_Year[#Headers],0),0)</f>
        <v>3165688023.0367908</v>
      </c>
      <c r="M72" s="35">
        <f t="shared" si="1"/>
        <v>6041685612.9001379</v>
      </c>
      <c r="N72" s="35">
        <f>VLOOKUP($N$2, Private_Vehicle_Kilometres_Car_Stock[#All],MATCH(A72, Private_Vehicle_Kilometres_Car_Stock[#Headers],0),0)</f>
        <v>29535056173</v>
      </c>
    </row>
    <row r="73" spans="1:14" x14ac:dyDescent="0.25">
      <c r="A73" s="79" t="s">
        <v>32</v>
      </c>
      <c r="B73" s="13" t="s">
        <v>12</v>
      </c>
      <c r="C73" s="13" t="s">
        <v>47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Percentage_dist_journeys_by_purpose_and_distance_to_2km[#All],MATCH(A73, Percentage_dist_journeys_by_purpose_and_distance_to_2km[#Headers],0),0)/100</f>
        <v>6.2E-2</v>
      </c>
      <c r="F73" s="4">
        <f>IF(B73="2-4 kilometres",1,0)*VLOOKUP(C73, Percentage_dist_journeys_by_purpose_and_distance_2_to_4km[#All],MATCH(A73, Percentage_dist_journeys_by_purpose_and_distance_2_to_4km[#Headers],0),0)/100</f>
        <v>0</v>
      </c>
      <c r="G73" s="72">
        <f>IF(B73="4-6 kilometres",1,0)*VLOOKUP(C73, Percentage_dist_journeys_by_purpose_and_distance_4_to_6km[#All],MATCH(A73, Percentage_dist_journeys_by_purpose_and_distance_4_to_6km[#Headers],0),0)/100</f>
        <v>0</v>
      </c>
      <c r="H73" s="4">
        <f>IF(B73="6-8 kilometres",1,0)*VLOOKUP(C73, Percentage_dist_journeys_by_purpose_and_distance_6_to_8km[#All],MATCH(A73, Percentage_dist_journeys_by_purpose_and_distance_6_to_8km[#Headers],0),0)/100</f>
        <v>0</v>
      </c>
      <c r="I73" s="72">
        <f>IF(B73="8+ kilometres",1,0)*VLOOKUP(C73, Percentage_dist_journeys_by_purpose_and_distance_8km[#All],MATCH(A73, Percentage_dist_journeys_by_purpose_and_distance_8km[#Headers],0),0)/100</f>
        <v>0</v>
      </c>
      <c r="J73" s="73">
        <f>VLOOKUP(B73,Average_Distance_by_kilometres_grouping_for_trip_purpose[#All],MATCH(A73,Average_Distance_by_kilometres_grouping_for_trip_purpose[#Headers],0),0)</f>
        <v>1</v>
      </c>
      <c r="K73" s="77">
        <f>VLOOKUP(C73, Adjustment_factor_for_distance_based_on_trip_purpose[#All],MATCH(A73, Adjustment_factor_for_distance_based_on_trip_purpose[#Headers],0),0)</f>
        <v>0.94444444444444442</v>
      </c>
      <c r="L73" s="78">
        <f>VLOOKUP($L$2, Total_Journeys_Per_Year[#All],MATCH(A73, Total_Journeys_Per_Year[#Headers],0),0)</f>
        <v>3165688023.0367908</v>
      </c>
      <c r="M73" s="35">
        <f t="shared" si="1"/>
        <v>43768802.606506668</v>
      </c>
      <c r="N73" s="35">
        <f>VLOOKUP($N$2, Private_Vehicle_Kilometres_Car_Stock[#All],MATCH(A73, Private_Vehicle_Kilometres_Car_Stock[#Headers],0),0)</f>
        <v>29535056173</v>
      </c>
    </row>
    <row r="74" spans="1:14" x14ac:dyDescent="0.25">
      <c r="A74" s="79" t="s">
        <v>32</v>
      </c>
      <c r="B74" s="13" t="s">
        <v>181</v>
      </c>
      <c r="C74" s="13" t="s">
        <v>47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Percentage_dist_journeys_by_purpose_and_distance_to_2km[#All],MATCH(A74, Percentage_dist_journeys_by_purpose_and_distance_to_2km[#Headers],0),0)/100</f>
        <v>0</v>
      </c>
      <c r="F74" s="4">
        <f>IF(B74="2-4 kilometres",1,0)*VLOOKUP(C74, Percentage_dist_journeys_by_purpose_and_distance_2_to_4km[#All],MATCH(A74, Percentage_dist_journeys_by_purpose_and_distance_2_to_4km[#Headers],0),0)/100</f>
        <v>0.106</v>
      </c>
      <c r="G74" s="72">
        <f>IF(B74="4-6 kilometres",1,0)*VLOOKUP(C74, Percentage_dist_journeys_by_purpose_and_distance_4_to_6km[#All],MATCH(A74, Percentage_dist_journeys_by_purpose_and_distance_4_to_6km[#Headers],0),0)/100</f>
        <v>0</v>
      </c>
      <c r="H74" s="4">
        <f>IF(B74="6-8 kilometres",1,0)*VLOOKUP(C74, Percentage_dist_journeys_by_purpose_and_distance_6_to_8km[#All],MATCH(A74, Percentage_dist_journeys_by_purpose_and_distance_6_to_8km[#Headers],0),0)/100</f>
        <v>0</v>
      </c>
      <c r="I74" s="72">
        <f>IF(B74="8+ kilometres",1,0)*VLOOKUP(C74, Percentage_dist_journeys_by_purpose_and_distance_8km[#All],MATCH(A74, Percentage_dist_journeys_by_purpose_and_distance_8km[#Headers],0),0)/100</f>
        <v>0</v>
      </c>
      <c r="J74" s="73">
        <f>VLOOKUP(B74,Average_Distance_by_kilometres_grouping_for_trip_purpose[#All],MATCH(A74,Average_Distance_by_kilometres_grouping_for_trip_purpose[#Headers],0),0)</f>
        <v>3</v>
      </c>
      <c r="K74" s="77">
        <f>VLOOKUP(C74, Adjustment_factor_for_distance_based_on_trip_purpose[#All],MATCH(A74, Adjustment_factor_for_distance_based_on_trip_purpose[#Headers],0),0)</f>
        <v>0.94444444444444442</v>
      </c>
      <c r="L74" s="78">
        <f>VLOOKUP($L$2, Total_Journeys_Per_Year[#All],MATCH(A74, Total_Journeys_Per_Year[#Headers],0),0)</f>
        <v>3165688023.0367908</v>
      </c>
      <c r="M74" s="35">
        <f t="shared" si="1"/>
        <v>183217360.02127731</v>
      </c>
      <c r="N74" s="35">
        <f>VLOOKUP($N$2, Private_Vehicle_Kilometres_Car_Stock[#All],MATCH(A74, Private_Vehicle_Kilometres_Car_Stock[#Headers],0),0)</f>
        <v>29535056173</v>
      </c>
    </row>
    <row r="75" spans="1:14" x14ac:dyDescent="0.25">
      <c r="A75" s="79" t="s">
        <v>32</v>
      </c>
      <c r="B75" s="13" t="s">
        <v>180</v>
      </c>
      <c r="C75" s="13" t="s">
        <v>47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Percentage_dist_journeys_by_purpose_and_distance_to_2km[#All],MATCH(A75, Percentage_dist_journeys_by_purpose_and_distance_to_2km[#Headers],0),0)/100</f>
        <v>0</v>
      </c>
      <c r="F75" s="4">
        <f>IF(B75="2-4 kilometres",1,0)*VLOOKUP(C75, Percentage_dist_journeys_by_purpose_and_distance_2_to_4km[#All],MATCH(A75, Percentage_dist_journeys_by_purpose_and_distance_2_to_4km[#Headers],0),0)/100</f>
        <v>0</v>
      </c>
      <c r="G75" s="72">
        <f>IF(B75="4-6 kilometres",1,0)*VLOOKUP(C75, Percentage_dist_journeys_by_purpose_and_distance_4_to_6km[#All],MATCH(A75, Percentage_dist_journeys_by_purpose_and_distance_4_to_6km[#Headers],0),0)/100</f>
        <v>0.125</v>
      </c>
      <c r="H75" s="4">
        <f>IF(B75="6-8 kilometres",1,0)*VLOOKUP(C75, Percentage_dist_journeys_by_purpose_and_distance_6_to_8km[#All],MATCH(A75, Percentage_dist_journeys_by_purpose_and_distance_6_to_8km[#Headers],0),0)/100</f>
        <v>0</v>
      </c>
      <c r="I75" s="72">
        <f>IF(B75="8+ kilometres",1,0)*VLOOKUP(C75, Percentage_dist_journeys_by_purpose_and_distance_8km[#All],MATCH(A75, Percentage_dist_journeys_by_purpose_and_distance_8km[#Headers],0),0)/100</f>
        <v>0</v>
      </c>
      <c r="J75" s="73">
        <f>VLOOKUP(B75,Average_Distance_by_kilometres_grouping_for_trip_purpose[#All],MATCH(A75,Average_Distance_by_kilometres_grouping_for_trip_purpose[#Headers],0),0)</f>
        <v>5</v>
      </c>
      <c r="K75" s="77">
        <f>VLOOKUP(C75, Adjustment_factor_for_distance_based_on_trip_purpose[#All],MATCH(A75, Adjustment_factor_for_distance_based_on_trip_purpose[#Headers],0),0)</f>
        <v>0.94444444444444442</v>
      </c>
      <c r="L75" s="78">
        <f>VLOOKUP($L$2, Total_Journeys_Per_Year[#All],MATCH(A75, Total_Journeys_Per_Year[#Headers],0),0)</f>
        <v>3165688023.0367908</v>
      </c>
      <c r="M75" s="35">
        <f t="shared" si="1"/>
        <v>231490936.68456531</v>
      </c>
      <c r="N75" s="35">
        <f>VLOOKUP($N$2, Private_Vehicle_Kilometres_Car_Stock[#All],MATCH(A75, Private_Vehicle_Kilometres_Car_Stock[#Headers],0),0)</f>
        <v>29535056173</v>
      </c>
    </row>
    <row r="76" spans="1:14" x14ac:dyDescent="0.25">
      <c r="A76" s="79" t="s">
        <v>32</v>
      </c>
      <c r="B76" s="13" t="s">
        <v>182</v>
      </c>
      <c r="C76" s="13" t="s">
        <v>47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Percentage_dist_journeys_by_purpose_and_distance_to_2km[#All],MATCH(A76, Percentage_dist_journeys_by_purpose_and_distance_to_2km[#Headers],0),0)/100</f>
        <v>0</v>
      </c>
      <c r="F76" s="4">
        <f>IF(B76="2-4 kilometres",1,0)*VLOOKUP(C76, Percentage_dist_journeys_by_purpose_and_distance_2_to_4km[#All],MATCH(A76, Percentage_dist_journeys_by_purpose_and_distance_2_to_4km[#Headers],0),0)/100</f>
        <v>0</v>
      </c>
      <c r="G76" s="72">
        <f>IF(B76="4-6 kilometres",1,0)*VLOOKUP(C76, Percentage_dist_journeys_by_purpose_and_distance_4_to_6km[#All],MATCH(A76, Percentage_dist_journeys_by_purpose_and_distance_4_to_6km[#Headers],0),0)/100</f>
        <v>0</v>
      </c>
      <c r="H76" s="4">
        <f>IF(B76="6-8 kilometres",1,0)*VLOOKUP(C76, Percentage_dist_journeys_by_purpose_and_distance_6_to_8km[#All],MATCH(A76, Percentage_dist_journeys_by_purpose_and_distance_6_to_8km[#Headers],0),0)/100</f>
        <v>0.10400000000000001</v>
      </c>
      <c r="I76" s="72">
        <f>IF(B76="8+ kilometres",1,0)*VLOOKUP(C76, Percentage_dist_journeys_by_purpose_and_distance_8km[#All],MATCH(A76, Percentage_dist_journeys_by_purpose_and_distance_8km[#Headers],0),0)/100</f>
        <v>0</v>
      </c>
      <c r="J76" s="73">
        <f>VLOOKUP(B76,Average_Distance_by_kilometres_grouping_for_trip_purpose[#All],MATCH(A76,Average_Distance_by_kilometres_grouping_for_trip_purpose[#Headers],0),0)</f>
        <v>7</v>
      </c>
      <c r="K76" s="77">
        <f>VLOOKUP(C76, Adjustment_factor_for_distance_based_on_trip_purpose[#All],MATCH(A76, Adjustment_factor_for_distance_based_on_trip_purpose[#Headers],0),0)</f>
        <v>0.94444444444444442</v>
      </c>
      <c r="L76" s="78">
        <f>VLOOKUP($L$2, Total_Journeys_Per_Year[#All],MATCH(A76, Total_Journeys_Per_Year[#Headers],0),0)</f>
        <v>3165688023.0367908</v>
      </c>
      <c r="M76" s="35">
        <f t="shared" si="1"/>
        <v>138277252.84624702</v>
      </c>
      <c r="N76" s="35">
        <f>VLOOKUP($N$2, Private_Vehicle_Kilometres_Car_Stock[#All],MATCH(A76, Private_Vehicle_Kilometres_Car_Stock[#Headers],0),0)</f>
        <v>29535056173</v>
      </c>
    </row>
    <row r="77" spans="1:14" x14ac:dyDescent="0.25">
      <c r="A77" s="79" t="s">
        <v>32</v>
      </c>
      <c r="B77" s="13" t="s">
        <v>1</v>
      </c>
      <c r="C77" s="13" t="s">
        <v>47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Percentage_dist_journeys_by_purpose_and_distance_to_2km[#All],MATCH(A77, Percentage_dist_journeys_by_purpose_and_distance_to_2km[#Headers],0),0)/100</f>
        <v>0</v>
      </c>
      <c r="F77" s="4">
        <f>IF(B77="2-4 kilometres",1,0)*VLOOKUP(C77, Percentage_dist_journeys_by_purpose_and_distance_2_to_4km[#All],MATCH(A77, Percentage_dist_journeys_by_purpose_and_distance_2_to_4km[#Headers],0),0)/100</f>
        <v>0</v>
      </c>
      <c r="G77" s="72">
        <f>IF(B77="4-6 kilometres",1,0)*VLOOKUP(C77, Percentage_dist_journeys_by_purpose_and_distance_4_to_6km[#All],MATCH(A77, Percentage_dist_journeys_by_purpose_and_distance_4_to_6km[#Headers],0),0)/100</f>
        <v>0</v>
      </c>
      <c r="H77" s="4">
        <f>IF(B77="6-8 kilometres",1,0)*VLOOKUP(C77, Percentage_dist_journeys_by_purpose_and_distance_6_to_8km[#All],MATCH(A77, Percentage_dist_journeys_by_purpose_and_distance_6_to_8km[#Headers],0),0)/100</f>
        <v>0</v>
      </c>
      <c r="I77" s="72">
        <f>IF(B77="8+ kilometres",1,0)*VLOOKUP(C77, Percentage_dist_journeys_by_purpose_and_distance_8km[#All],MATCH(A77, Percentage_dist_journeys_by_purpose_and_distance_8km[#Headers],0),0)/100</f>
        <v>8.900000000000001E-2</v>
      </c>
      <c r="J77" s="73">
        <f>VLOOKUP(B77,Average_Distance_by_kilometres_grouping_for_trip_purpose[#All],MATCH(A77,Average_Distance_by_kilometres_grouping_for_trip_purpose[#Headers],0),0)</f>
        <v>34.770000000000003</v>
      </c>
      <c r="K77" s="77">
        <f>VLOOKUP(C77, Adjustment_factor_for_distance_based_on_trip_purpose[#All],MATCH(A77, Adjustment_factor_for_distance_based_on_trip_purpose[#Headers],0),0)</f>
        <v>0.94444444444444442</v>
      </c>
      <c r="L77" s="78">
        <f>VLOOKUP($L$2, Total_Journeys_Per_Year[#All],MATCH(A77, Total_Journeys_Per_Year[#Headers],0),0)</f>
        <v>3165688023.0367908</v>
      </c>
      <c r="M77" s="35">
        <f t="shared" si="1"/>
        <v>4104656637.7718496</v>
      </c>
      <c r="N77" s="35">
        <f>VLOOKUP($N$2, Private_Vehicle_Kilometres_Car_Stock[#All],MATCH(A77, Private_Vehicle_Kilometres_Car_Stock[#Headers],0),0)</f>
        <v>29535056173</v>
      </c>
    </row>
    <row r="78" spans="1:14" x14ac:dyDescent="0.25">
      <c r="A78" s="79" t="s">
        <v>32</v>
      </c>
      <c r="B78" s="13" t="s">
        <v>12</v>
      </c>
      <c r="C78" s="13" t="s">
        <v>48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Percentage_dist_journeys_by_purpose_and_distance_to_2km[#All],MATCH(A78, Percentage_dist_journeys_by_purpose_and_distance_to_2km[#Headers],0),0)/100</f>
        <v>0.06</v>
      </c>
      <c r="F78" s="4">
        <f>IF(B78="2-4 kilometres",1,0)*VLOOKUP(C78, Percentage_dist_journeys_by_purpose_and_distance_2_to_4km[#All],MATCH(A78, Percentage_dist_journeys_by_purpose_and_distance_2_to_4km[#Headers],0),0)/100</f>
        <v>0</v>
      </c>
      <c r="G78" s="72">
        <f>IF(B78="4-6 kilometres",1,0)*VLOOKUP(C78, Percentage_dist_journeys_by_purpose_and_distance_4_to_6km[#All],MATCH(A78, Percentage_dist_journeys_by_purpose_and_distance_4_to_6km[#Headers],0),0)/100</f>
        <v>0</v>
      </c>
      <c r="H78" s="4">
        <f>IF(B78="6-8 kilometres",1,0)*VLOOKUP(C78, Percentage_dist_journeys_by_purpose_and_distance_6_to_8km[#All],MATCH(A78, Percentage_dist_journeys_by_purpose_and_distance_6_to_8km[#Headers],0),0)/100</f>
        <v>0</v>
      </c>
      <c r="I78" s="72">
        <f>IF(B78="8+ kilometres",1,0)*VLOOKUP(C78, Percentage_dist_journeys_by_purpose_and_distance_8km[#All],MATCH(A78, Percentage_dist_journeys_by_purpose_and_distance_8km[#Headers],0),0)/100</f>
        <v>0</v>
      </c>
      <c r="J78" s="73">
        <f>VLOOKUP(B78,Average_Distance_by_kilometres_grouping_for_trip_purpose[#All],MATCH(A78,Average_Distance_by_kilometres_grouping_for_trip_purpose[#Headers],0),0)</f>
        <v>1</v>
      </c>
      <c r="K78" s="77">
        <f>VLOOKUP(C78, Adjustment_factor_for_distance_based_on_trip_purpose[#All],MATCH(A78, Adjustment_factor_for_distance_based_on_trip_purpose[#Headers],0),0)</f>
        <v>0.66666666666666663</v>
      </c>
      <c r="L78" s="78">
        <f>VLOOKUP($L$2, Total_Journeys_Per_Year[#All],MATCH(A78, Total_Journeys_Per_Year[#Headers],0),0)</f>
        <v>3165688023.0367908</v>
      </c>
      <c r="M78" s="35">
        <f t="shared" si="1"/>
        <v>42356905.74823226</v>
      </c>
      <c r="N78" s="35">
        <f>VLOOKUP($N$2, Private_Vehicle_Kilometres_Car_Stock[#All],MATCH(A78, Private_Vehicle_Kilometres_Car_Stock[#Headers],0),0)</f>
        <v>29535056173</v>
      </c>
    </row>
    <row r="79" spans="1:14" x14ac:dyDescent="0.25">
      <c r="A79" s="79" t="s">
        <v>32</v>
      </c>
      <c r="B79" s="13" t="s">
        <v>181</v>
      </c>
      <c r="C79" s="13" t="s">
        <v>48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Percentage_dist_journeys_by_purpose_and_distance_to_2km[#All],MATCH(A79, Percentage_dist_journeys_by_purpose_and_distance_to_2km[#Headers],0),0)/100</f>
        <v>0</v>
      </c>
      <c r="F79" s="4">
        <f>IF(B79="2-4 kilometres",1,0)*VLOOKUP(C79, Percentage_dist_journeys_by_purpose_and_distance_2_to_4km[#All],MATCH(A79, Percentage_dist_journeys_by_purpose_and_distance_2_to_4km[#Headers],0),0)/100</f>
        <v>5.2999999999999999E-2</v>
      </c>
      <c r="G79" s="72">
        <f>IF(B79="4-6 kilometres",1,0)*VLOOKUP(C79, Percentage_dist_journeys_by_purpose_and_distance_4_to_6km[#All],MATCH(A79, Percentage_dist_journeys_by_purpose_and_distance_4_to_6km[#Headers],0),0)/100</f>
        <v>0</v>
      </c>
      <c r="H79" s="4">
        <f>IF(B79="6-8 kilometres",1,0)*VLOOKUP(C79, Percentage_dist_journeys_by_purpose_and_distance_6_to_8km[#All],MATCH(A79, Percentage_dist_journeys_by_purpose_and_distance_6_to_8km[#Headers],0),0)/100</f>
        <v>0</v>
      </c>
      <c r="I79" s="72">
        <f>IF(B79="8+ kilometres",1,0)*VLOOKUP(C79, Percentage_dist_journeys_by_purpose_and_distance_8km[#All],MATCH(A79, Percentage_dist_journeys_by_purpose_and_distance_8km[#Headers],0),0)/100</f>
        <v>0</v>
      </c>
      <c r="J79" s="73">
        <f>VLOOKUP(B79,Average_Distance_by_kilometres_grouping_for_trip_purpose[#All],MATCH(A79,Average_Distance_by_kilometres_grouping_for_trip_purpose[#Headers],0),0)</f>
        <v>3</v>
      </c>
      <c r="K79" s="77">
        <f>VLOOKUP(C79, Adjustment_factor_for_distance_based_on_trip_purpose[#All],MATCH(A79, Adjustment_factor_for_distance_based_on_trip_purpose[#Headers],0),0)</f>
        <v>0.66666666666666663</v>
      </c>
      <c r="L79" s="78">
        <f>VLOOKUP($L$2, Total_Journeys_Per_Year[#All],MATCH(A79, Total_Journeys_Per_Year[#Headers],0),0)</f>
        <v>3165688023.0367908</v>
      </c>
      <c r="M79" s="35">
        <f t="shared" si="1"/>
        <v>91608680.010638654</v>
      </c>
      <c r="N79" s="35">
        <f>VLOOKUP($N$2, Private_Vehicle_Kilometres_Car_Stock[#All],MATCH(A79, Private_Vehicle_Kilometres_Car_Stock[#Headers],0),0)</f>
        <v>29535056173</v>
      </c>
    </row>
    <row r="80" spans="1:14" x14ac:dyDescent="0.25">
      <c r="A80" s="79" t="s">
        <v>32</v>
      </c>
      <c r="B80" s="13" t="s">
        <v>180</v>
      </c>
      <c r="C80" s="13" t="s">
        <v>48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Percentage_dist_journeys_by_purpose_and_distance_to_2km[#All],MATCH(A80, Percentage_dist_journeys_by_purpose_and_distance_to_2km[#Headers],0),0)/100</f>
        <v>0</v>
      </c>
      <c r="F80" s="4">
        <f>IF(B80="2-4 kilometres",1,0)*VLOOKUP(C80, Percentage_dist_journeys_by_purpose_and_distance_2_to_4km[#All],MATCH(A80, Percentage_dist_journeys_by_purpose_and_distance_2_to_4km[#Headers],0),0)/100</f>
        <v>0</v>
      </c>
      <c r="G80" s="72">
        <f>IF(B80="4-6 kilometres",1,0)*VLOOKUP(C80, Percentage_dist_journeys_by_purpose_and_distance_4_to_6km[#All],MATCH(A80, Percentage_dist_journeys_by_purpose_and_distance_4_to_6km[#Headers],0),0)/100</f>
        <v>4.4000000000000004E-2</v>
      </c>
      <c r="H80" s="4">
        <f>IF(B80="6-8 kilometres",1,0)*VLOOKUP(C80, Percentage_dist_journeys_by_purpose_and_distance_6_to_8km[#All],MATCH(A80, Percentage_dist_journeys_by_purpose_and_distance_6_to_8km[#Headers],0),0)/100</f>
        <v>0</v>
      </c>
      <c r="I80" s="72">
        <f>IF(B80="8+ kilometres",1,0)*VLOOKUP(C80, Percentage_dist_journeys_by_purpose_and_distance_8km[#All],MATCH(A80, Percentage_dist_journeys_by_purpose_and_distance_8km[#Headers],0),0)/100</f>
        <v>0</v>
      </c>
      <c r="J80" s="73">
        <f>VLOOKUP(B80,Average_Distance_by_kilometres_grouping_for_trip_purpose[#All],MATCH(A80,Average_Distance_by_kilometres_grouping_for_trip_purpose[#Headers],0),0)</f>
        <v>5</v>
      </c>
      <c r="K80" s="77">
        <f>VLOOKUP(C80, Adjustment_factor_for_distance_based_on_trip_purpose[#All],MATCH(A80, Adjustment_factor_for_distance_based_on_trip_purpose[#Headers],0),0)</f>
        <v>0.66666666666666663</v>
      </c>
      <c r="L80" s="78">
        <f>VLOOKUP($L$2, Total_Journeys_Per_Year[#All],MATCH(A80, Total_Journeys_Per_Year[#Headers],0),0)</f>
        <v>3165688023.0367908</v>
      </c>
      <c r="M80" s="35">
        <f t="shared" si="1"/>
        <v>81484809.712966993</v>
      </c>
      <c r="N80" s="35">
        <f>VLOOKUP($N$2, Private_Vehicle_Kilometres_Car_Stock[#All],MATCH(A80, Private_Vehicle_Kilometres_Car_Stock[#Headers],0),0)</f>
        <v>29535056173</v>
      </c>
    </row>
    <row r="81" spans="1:14" x14ac:dyDescent="0.25">
      <c r="A81" s="79" t="s">
        <v>32</v>
      </c>
      <c r="B81" s="13" t="s">
        <v>182</v>
      </c>
      <c r="C81" s="13" t="s">
        <v>48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Percentage_dist_journeys_by_purpose_and_distance_to_2km[#All],MATCH(A81, Percentage_dist_journeys_by_purpose_and_distance_to_2km[#Headers],0),0)/100</f>
        <v>0</v>
      </c>
      <c r="F81" s="4">
        <f>IF(B81="2-4 kilometres",1,0)*VLOOKUP(C81, Percentage_dist_journeys_by_purpose_and_distance_2_to_4km[#All],MATCH(A81, Percentage_dist_journeys_by_purpose_and_distance_2_to_4km[#Headers],0),0)/100</f>
        <v>0</v>
      </c>
      <c r="G81" s="72">
        <f>IF(B81="4-6 kilometres",1,0)*VLOOKUP(C81, Percentage_dist_journeys_by_purpose_and_distance_4_to_6km[#All],MATCH(A81, Percentage_dist_journeys_by_purpose_and_distance_4_to_6km[#Headers],0),0)/100</f>
        <v>0</v>
      </c>
      <c r="H81" s="4">
        <f>IF(B81="6-8 kilometres",1,0)*VLOOKUP(C81, Percentage_dist_journeys_by_purpose_and_distance_6_to_8km[#All],MATCH(A81, Percentage_dist_journeys_by_purpose_and_distance_6_to_8km[#Headers],0),0)/100</f>
        <v>5.2000000000000005E-2</v>
      </c>
      <c r="I81" s="72">
        <f>IF(B81="8+ kilometres",1,0)*VLOOKUP(C81, Percentage_dist_journeys_by_purpose_and_distance_8km[#All],MATCH(A81, Percentage_dist_journeys_by_purpose_and_distance_8km[#Headers],0),0)/100</f>
        <v>0</v>
      </c>
      <c r="J81" s="73">
        <f>VLOOKUP(B81,Average_Distance_by_kilometres_grouping_for_trip_purpose[#All],MATCH(A81,Average_Distance_by_kilometres_grouping_for_trip_purpose[#Headers],0),0)</f>
        <v>7</v>
      </c>
      <c r="K81" s="77">
        <f>VLOOKUP(C81, Adjustment_factor_for_distance_based_on_trip_purpose[#All],MATCH(A81, Adjustment_factor_for_distance_based_on_trip_purpose[#Headers],0),0)</f>
        <v>0.66666666666666663</v>
      </c>
      <c r="L81" s="78">
        <f>VLOOKUP($L$2, Total_Journeys_Per_Year[#All],MATCH(A81, Total_Journeys_Per_Year[#Headers],0),0)</f>
        <v>3165688023.0367908</v>
      </c>
      <c r="M81" s="35">
        <f t="shared" si="1"/>
        <v>69138626.423123509</v>
      </c>
      <c r="N81" s="35">
        <f>VLOOKUP($N$2, Private_Vehicle_Kilometres_Car_Stock[#All],MATCH(A81, Private_Vehicle_Kilometres_Car_Stock[#Headers],0),0)</f>
        <v>29535056173</v>
      </c>
    </row>
    <row r="82" spans="1:14" x14ac:dyDescent="0.25">
      <c r="A82" s="79" t="s">
        <v>32</v>
      </c>
      <c r="B82" s="13" t="s">
        <v>1</v>
      </c>
      <c r="C82" s="13" t="s">
        <v>48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Percentage_dist_journeys_by_purpose_and_distance_to_2km[#All],MATCH(A82, Percentage_dist_journeys_by_purpose_and_distance_to_2km[#Headers],0),0)/100</f>
        <v>0</v>
      </c>
      <c r="F82" s="4">
        <f>IF(B82="2-4 kilometres",1,0)*VLOOKUP(C82, Percentage_dist_journeys_by_purpose_and_distance_2_to_4km[#All],MATCH(A82, Percentage_dist_journeys_by_purpose_and_distance_2_to_4km[#Headers],0),0)/100</f>
        <v>0</v>
      </c>
      <c r="G82" s="72">
        <f>IF(B82="4-6 kilometres",1,0)*VLOOKUP(C82, Percentage_dist_journeys_by_purpose_and_distance_4_to_6km[#All],MATCH(A82, Percentage_dist_journeys_by_purpose_and_distance_4_to_6km[#Headers],0),0)/100</f>
        <v>0</v>
      </c>
      <c r="H82" s="4">
        <f>IF(B82="6-8 kilometres",1,0)*VLOOKUP(C82, Percentage_dist_journeys_by_purpose_and_distance_6_to_8km[#All],MATCH(A82, Percentage_dist_journeys_by_purpose_and_distance_6_to_8km[#Headers],0),0)/100</f>
        <v>0</v>
      </c>
      <c r="I82" s="72">
        <f>IF(B82="8+ kilometres",1,0)*VLOOKUP(C82, Percentage_dist_journeys_by_purpose_and_distance_8km[#All],MATCH(A82, Percentage_dist_journeys_by_purpose_and_distance_8km[#Headers],0),0)/100</f>
        <v>6.4000000000000001E-2</v>
      </c>
      <c r="J82" s="73">
        <f>VLOOKUP(B82,Average_Distance_by_kilometres_grouping_for_trip_purpose[#All],MATCH(A82,Average_Distance_by_kilometres_grouping_for_trip_purpose[#Headers],0),0)</f>
        <v>34.770000000000003</v>
      </c>
      <c r="K82" s="77">
        <f>VLOOKUP(C82, Adjustment_factor_for_distance_based_on_trip_purpose[#All],MATCH(A82, Adjustment_factor_for_distance_based_on_trip_purpose[#Headers],0),0)</f>
        <v>0.66666666666666663</v>
      </c>
      <c r="L82" s="78">
        <f>VLOOKUP($L$2, Total_Journeys_Per_Year[#All],MATCH(A82, Total_Journeys_Per_Year[#Headers],0),0)</f>
        <v>3165688023.0367908</v>
      </c>
      <c r="M82" s="35">
        <f t="shared" si="1"/>
        <v>2951663200.195487</v>
      </c>
      <c r="N82" s="35">
        <f>VLOOKUP($N$2, Private_Vehicle_Kilometres_Car_Stock[#All],MATCH(A82, Private_Vehicle_Kilometres_Car_Stock[#Headers],0),0)</f>
        <v>29535056173</v>
      </c>
    </row>
    <row r="83" spans="1:14" x14ac:dyDescent="0.25">
      <c r="A83" s="79" t="s">
        <v>32</v>
      </c>
      <c r="B83" s="13" t="s">
        <v>12</v>
      </c>
      <c r="C83" s="13" t="s">
        <v>49</v>
      </c>
      <c r="D83" s="5">
        <f>VLOOKUP(B83,Percentage_distribution_of_journey_distance_for_all_regions[#All],MATCH(A83,Percentage_distribution_of_journey_distance_for_all_regions[#Headers],0),0)/100</f>
        <v>0.223</v>
      </c>
      <c r="E83" s="71">
        <f>IF(B83="&lt;2 kilometres",1,0)*VLOOKUP(C83, Percentage_dist_journeys_by_purpose_and_distance_to_2km[#All],MATCH(A83, Percentage_dist_journeys_by_purpose_and_distance_to_2km[#Headers],0),0)/100</f>
        <v>0.22600000000000001</v>
      </c>
      <c r="F83" s="4">
        <f>IF(B83="2-4 kilometres",1,0)*VLOOKUP(C83, Percentage_dist_journeys_by_purpose_and_distance_2_to_4km[#All],MATCH(A83, Percentage_dist_journeys_by_purpose_and_distance_2_to_4km[#Headers],0),0)/100</f>
        <v>0</v>
      </c>
      <c r="G83" s="72">
        <f>IF(B83="4-6 kilometres",1,0)*VLOOKUP(C83, Percentage_dist_journeys_by_purpose_and_distance_4_to_6km[#All],MATCH(A83, Percentage_dist_journeys_by_purpose_and_distance_4_to_6km[#Headers],0),0)/100</f>
        <v>0</v>
      </c>
      <c r="H83" s="4">
        <f>IF(B83="6-8 kilometres",1,0)*VLOOKUP(C83, Percentage_dist_journeys_by_purpose_and_distance_6_to_8km[#All],MATCH(A83, Percentage_dist_journeys_by_purpose_and_distance_6_to_8km[#Headers],0),0)/100</f>
        <v>0</v>
      </c>
      <c r="I83" s="72">
        <f>IF(B83="8+ kilometres",1,0)*VLOOKUP(C83, Percentage_dist_journeys_by_purpose_and_distance_8km[#All],MATCH(A83, Percentage_dist_journeys_by_purpose_and_distance_8km[#Headers],0),0)/100</f>
        <v>0</v>
      </c>
      <c r="J83" s="73">
        <f>VLOOKUP(B83,Average_Distance_by_kilometres_grouping_for_trip_purpose[#All],MATCH(A83,Average_Distance_by_kilometres_grouping_for_trip_purpose[#Headers],0),0)</f>
        <v>1</v>
      </c>
      <c r="K83" s="77">
        <f>VLOOKUP(C83, Adjustment_factor_for_distance_based_on_trip_purpose[#All],MATCH(A83, Adjustment_factor_for_distance_based_on_trip_purpose[#Headers],0),0)</f>
        <v>1.2222222222222223</v>
      </c>
      <c r="L83" s="78">
        <f>VLOOKUP($L$2, Total_Journeys_Per_Year[#All],MATCH(A83, Total_Journeys_Per_Year[#Headers],0),0)</f>
        <v>3165688023.0367908</v>
      </c>
      <c r="M83" s="35">
        <f t="shared" si="1"/>
        <v>159544344.98500821</v>
      </c>
      <c r="N83" s="35">
        <f>VLOOKUP($N$2, Private_Vehicle_Kilometres_Car_Stock[#All],MATCH(A83, Private_Vehicle_Kilometres_Car_Stock[#Headers],0),0)</f>
        <v>29535056173</v>
      </c>
    </row>
    <row r="84" spans="1:14" x14ac:dyDescent="0.25">
      <c r="A84" s="79" t="s">
        <v>32</v>
      </c>
      <c r="B84" s="13" t="s">
        <v>181</v>
      </c>
      <c r="C84" s="13" t="s">
        <v>49</v>
      </c>
      <c r="D84" s="5">
        <f>VLOOKUP(B84,Percentage_distribution_of_journey_distance_for_all_regions[#All],MATCH(A84,Percentage_distribution_of_journey_distance_for_all_regions[#Headers],0),0)/100</f>
        <v>0.182</v>
      </c>
      <c r="E84" s="71">
        <f>IF(B84="&lt;2 kilometres",1,0)*VLOOKUP(C84, Percentage_dist_journeys_by_purpose_and_distance_to_2km[#All],MATCH(A84, Percentage_dist_journeys_by_purpose_and_distance_to_2km[#Headers],0),0)/100</f>
        <v>0</v>
      </c>
      <c r="F84" s="4">
        <f>IF(B84="2-4 kilometres",1,0)*VLOOKUP(C84, Percentage_dist_journeys_by_purpose_and_distance_2_to_4km[#All],MATCH(A84, Percentage_dist_journeys_by_purpose_and_distance_2_to_4km[#Headers],0),0)/100</f>
        <v>0.23300000000000001</v>
      </c>
      <c r="G84" s="72">
        <f>IF(B84="4-6 kilometres",1,0)*VLOOKUP(C84, Percentage_dist_journeys_by_purpose_and_distance_4_to_6km[#All],MATCH(A84, Percentage_dist_journeys_by_purpose_and_distance_4_to_6km[#Headers],0),0)/100</f>
        <v>0</v>
      </c>
      <c r="H84" s="4">
        <f>IF(B84="6-8 kilometres",1,0)*VLOOKUP(C84, Percentage_dist_journeys_by_purpose_and_distance_6_to_8km[#All],MATCH(A84, Percentage_dist_journeys_by_purpose_and_distance_6_to_8km[#Headers],0),0)/100</f>
        <v>0</v>
      </c>
      <c r="I84" s="72">
        <f>IF(B84="8+ kilometres",1,0)*VLOOKUP(C84, Percentage_dist_journeys_by_purpose_and_distance_8km[#All],MATCH(A84, Percentage_dist_journeys_by_purpose_and_distance_8km[#Headers],0),0)/100</f>
        <v>0</v>
      </c>
      <c r="J84" s="73">
        <f>VLOOKUP(B84,Average_Distance_by_kilometres_grouping_for_trip_purpose[#All],MATCH(A84,Average_Distance_by_kilometres_grouping_for_trip_purpose[#Headers],0),0)</f>
        <v>3</v>
      </c>
      <c r="K84" s="77">
        <f>VLOOKUP(C84, Adjustment_factor_for_distance_based_on_trip_purpose[#All],MATCH(A84, Adjustment_factor_for_distance_based_on_trip_purpose[#Headers],0),0)</f>
        <v>1.2222222222222223</v>
      </c>
      <c r="L84" s="78">
        <f>VLOOKUP($L$2, Total_Journeys_Per_Year[#All],MATCH(A84, Total_Journeys_Per_Year[#Headers],0),0)</f>
        <v>3165688023.0367908</v>
      </c>
      <c r="M84" s="35">
        <f t="shared" si="1"/>
        <v>402732498.91469443</v>
      </c>
      <c r="N84" s="35">
        <f>VLOOKUP($N$2, Private_Vehicle_Kilometres_Car_Stock[#All],MATCH(A84, Private_Vehicle_Kilometres_Car_Stock[#Headers],0),0)</f>
        <v>29535056173</v>
      </c>
    </row>
    <row r="85" spans="1:14" x14ac:dyDescent="0.25">
      <c r="A85" s="79" t="s">
        <v>32</v>
      </c>
      <c r="B85" s="13" t="s">
        <v>180</v>
      </c>
      <c r="C85" s="13" t="s">
        <v>49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Percentage_dist_journeys_by_purpose_and_distance_to_2km[#All],MATCH(A85, Percentage_dist_journeys_by_purpose_and_distance_to_2km[#Headers],0),0)/100</f>
        <v>0</v>
      </c>
      <c r="F85" s="4">
        <f>IF(B85="2-4 kilometres",1,0)*VLOOKUP(C85, Percentage_dist_journeys_by_purpose_and_distance_2_to_4km[#All],MATCH(A85, Percentage_dist_journeys_by_purpose_and_distance_2_to_4km[#Headers],0),0)/100</f>
        <v>0</v>
      </c>
      <c r="G85" s="72">
        <f>IF(B85="4-6 kilometres",1,0)*VLOOKUP(C85, Percentage_dist_journeys_by_purpose_and_distance_4_to_6km[#All],MATCH(A85, Percentage_dist_journeys_by_purpose_and_distance_4_to_6km[#Headers],0),0)/100</f>
        <v>0.23199999999999998</v>
      </c>
      <c r="H85" s="4">
        <f>IF(B85="6-8 kilometres",1,0)*VLOOKUP(C85, Percentage_dist_journeys_by_purpose_and_distance_6_to_8km[#All],MATCH(A85, Percentage_dist_journeys_by_purpose_and_distance_6_to_8km[#Headers],0),0)/100</f>
        <v>0</v>
      </c>
      <c r="I85" s="72">
        <f>IF(B85="8+ kilometres",1,0)*VLOOKUP(C85, Percentage_dist_journeys_by_purpose_and_distance_8km[#All],MATCH(A85, Percentage_dist_journeys_by_purpose_and_distance_8km[#Headers],0),0)/100</f>
        <v>0</v>
      </c>
      <c r="J85" s="73">
        <f>VLOOKUP(B85,Average_Distance_by_kilometres_grouping_for_trip_purpose[#All],MATCH(A85,Average_Distance_by_kilometres_grouping_for_trip_purpose[#Headers],0),0)</f>
        <v>5</v>
      </c>
      <c r="K85" s="77">
        <f>VLOOKUP(C85, Adjustment_factor_for_distance_based_on_trip_purpose[#All],MATCH(A85, Adjustment_factor_for_distance_based_on_trip_purpose[#Headers],0),0)</f>
        <v>1.2222222222222223</v>
      </c>
      <c r="L85" s="78">
        <f>VLOOKUP($L$2, Total_Journeys_Per_Year[#All],MATCH(A85, Total_Journeys_Per_Year[#Headers],0),0)</f>
        <v>3165688023.0367908</v>
      </c>
      <c r="M85" s="35">
        <f t="shared" si="1"/>
        <v>429647178.48655319</v>
      </c>
      <c r="N85" s="35">
        <f>VLOOKUP($N$2, Private_Vehicle_Kilometres_Car_Stock[#All],MATCH(A85, Private_Vehicle_Kilometres_Car_Stock[#Headers],0),0)</f>
        <v>29535056173</v>
      </c>
    </row>
    <row r="86" spans="1:14" x14ac:dyDescent="0.25">
      <c r="A86" s="79" t="s">
        <v>32</v>
      </c>
      <c r="B86" s="13" t="s">
        <v>182</v>
      </c>
      <c r="C86" s="13" t="s">
        <v>49</v>
      </c>
      <c r="D86" s="5">
        <f>VLOOKUP(B86,Percentage_distribution_of_journey_distance_for_all_regions[#All],MATCH(A86,Percentage_distribution_of_journey_distance_for_all_regions[#Headers],0),0)/100</f>
        <v>0.06</v>
      </c>
      <c r="E86" s="71">
        <f>IF(B86="&lt;2 kilometres",1,0)*VLOOKUP(C86, Percentage_dist_journeys_by_purpose_and_distance_to_2km[#All],MATCH(A86, Percentage_dist_journeys_by_purpose_and_distance_to_2km[#Headers],0),0)/100</f>
        <v>0</v>
      </c>
      <c r="F86" s="4">
        <f>IF(B86="2-4 kilometres",1,0)*VLOOKUP(C86, Percentage_dist_journeys_by_purpose_and_distance_2_to_4km[#All],MATCH(A86, Percentage_dist_journeys_by_purpose_and_distance_2_to_4km[#Headers],0),0)/100</f>
        <v>0</v>
      </c>
      <c r="G86" s="72">
        <f>IF(B86="4-6 kilometres",1,0)*VLOOKUP(C86, Percentage_dist_journeys_by_purpose_and_distance_4_to_6km[#All],MATCH(A86, Percentage_dist_journeys_by_purpose_and_distance_4_to_6km[#Headers],0),0)/100</f>
        <v>0</v>
      </c>
      <c r="H86" s="4">
        <f>IF(B86="6-8 kilometres",1,0)*VLOOKUP(C86, Percentage_dist_journeys_by_purpose_and_distance_6_to_8km[#All],MATCH(A86, Percentage_dist_journeys_by_purpose_and_distance_6_to_8km[#Headers],0),0)/100</f>
        <v>0.21</v>
      </c>
      <c r="I86" s="72">
        <f>IF(B86="8+ kilometres",1,0)*VLOOKUP(C86, Percentage_dist_journeys_by_purpose_and_distance_8km[#All],MATCH(A86, Percentage_dist_journeys_by_purpose_and_distance_8km[#Headers],0),0)/100</f>
        <v>0</v>
      </c>
      <c r="J86" s="73">
        <f>VLOOKUP(B86,Average_Distance_by_kilometres_grouping_for_trip_purpose[#All],MATCH(A86,Average_Distance_by_kilometres_grouping_for_trip_purpose[#Headers],0),0)</f>
        <v>7</v>
      </c>
      <c r="K86" s="77">
        <f>VLOOKUP(C86, Adjustment_factor_for_distance_based_on_trip_purpose[#All],MATCH(A86, Adjustment_factor_for_distance_based_on_trip_purpose[#Headers],0),0)</f>
        <v>1.2222222222222223</v>
      </c>
      <c r="L86" s="78">
        <f>VLOOKUP($L$2, Total_Journeys_Per_Year[#All],MATCH(A86, Total_Journeys_Per_Year[#Headers],0),0)</f>
        <v>3165688023.0367908</v>
      </c>
      <c r="M86" s="35">
        <f t="shared" si="1"/>
        <v>279213683.63184494</v>
      </c>
      <c r="N86" s="35">
        <f>VLOOKUP($N$2, Private_Vehicle_Kilometres_Car_Stock[#All],MATCH(A86, Private_Vehicle_Kilometres_Car_Stock[#Headers],0),0)</f>
        <v>29535056173</v>
      </c>
    </row>
    <row r="87" spans="1:14" x14ac:dyDescent="0.25">
      <c r="A87" s="79" t="s">
        <v>32</v>
      </c>
      <c r="B87" s="13" t="s">
        <v>1</v>
      </c>
      <c r="C87" s="13" t="s">
        <v>49</v>
      </c>
      <c r="D87" s="5">
        <f>VLOOKUP(B87,Percentage_distribution_of_journey_distance_for_all_regions[#All],MATCH(A87,Percentage_distribution_of_journey_distance_for_all_regions[#Headers],0),0)/100</f>
        <v>0.41899999999999998</v>
      </c>
      <c r="E87" s="71">
        <f>IF(B87="&lt;2 kilometres",1,0)*VLOOKUP(C87, Percentage_dist_journeys_by_purpose_and_distance_to_2km[#All],MATCH(A87, Percentage_dist_journeys_by_purpose_and_distance_to_2km[#Headers],0),0)/100</f>
        <v>0</v>
      </c>
      <c r="F87" s="4">
        <f>IF(B87="2-4 kilometres",1,0)*VLOOKUP(C87, Percentage_dist_journeys_by_purpose_and_distance_2_to_4km[#All],MATCH(A87, Percentage_dist_journeys_by_purpose_and_distance_2_to_4km[#Headers],0),0)/100</f>
        <v>0</v>
      </c>
      <c r="G87" s="72">
        <f>IF(B87="4-6 kilometres",1,0)*VLOOKUP(C87, Percentage_dist_journeys_by_purpose_and_distance_4_to_6km[#All],MATCH(A87, Percentage_dist_journeys_by_purpose_and_distance_4_to_6km[#Headers],0),0)/100</f>
        <v>0</v>
      </c>
      <c r="H87" s="4">
        <f>IF(B87="6-8 kilometres",1,0)*VLOOKUP(C87, Percentage_dist_journeys_by_purpose_and_distance_6_to_8km[#All],MATCH(A87, Percentage_dist_journeys_by_purpose_and_distance_6_to_8km[#Headers],0),0)/100</f>
        <v>0</v>
      </c>
      <c r="I87" s="72">
        <f>IF(B87="8+ kilometres",1,0)*VLOOKUP(C87, Percentage_dist_journeys_by_purpose_and_distance_8km[#All],MATCH(A87, Percentage_dist_journeys_by_purpose_and_distance_8km[#Headers],0),0)/100</f>
        <v>0.13600000000000001</v>
      </c>
      <c r="J87" s="73">
        <f>VLOOKUP(B87,Average_Distance_by_kilometres_grouping_for_trip_purpose[#All],MATCH(A87,Average_Distance_by_kilometres_grouping_for_trip_purpose[#Headers],0),0)</f>
        <v>34.770000000000003</v>
      </c>
      <c r="K87" s="77">
        <f>VLOOKUP(C87, Adjustment_factor_for_distance_based_on_trip_purpose[#All],MATCH(A87, Adjustment_factor_for_distance_based_on_trip_purpose[#Headers],0),0)</f>
        <v>1.2222222222222223</v>
      </c>
      <c r="L87" s="78">
        <f>VLOOKUP($L$2, Total_Journeys_Per_Year[#All],MATCH(A87, Total_Journeys_Per_Year[#Headers],0),0)</f>
        <v>3165688023.0367908</v>
      </c>
      <c r="M87" s="35">
        <f t="shared" si="1"/>
        <v>6272284300.41541</v>
      </c>
      <c r="N87" s="35">
        <f>VLOOKUP($N$2, Private_Vehicle_Kilometres_Car_Stock[#All],MATCH(A87, Private_Vehicle_Kilometres_Car_Stock[#Headers],0),0)</f>
        <v>29535056173</v>
      </c>
    </row>
    <row r="88" spans="1:14" x14ac:dyDescent="0.25">
      <c r="A88" s="79" t="s">
        <v>32</v>
      </c>
      <c r="B88" s="13" t="s">
        <v>12</v>
      </c>
      <c r="C88" s="13" t="s">
        <v>50</v>
      </c>
      <c r="D88" s="5">
        <f>VLOOKUP(B88,Percentage_distribution_of_journey_distance_for_all_regions[#All],MATCH(A88,Percentage_distribution_of_journey_distance_for_all_regions[#Headers],0),0)/100</f>
        <v>0.223</v>
      </c>
      <c r="E88" s="71">
        <f>IF(B88="&lt;2 kilometres",1,0)*VLOOKUP(C88, Percentage_dist_journeys_by_purpose_and_distance_to_2km[#All],MATCH(A88, Percentage_dist_journeys_by_purpose_and_distance_to_2km[#Headers],0),0)/100</f>
        <v>4.2999999999999997E-2</v>
      </c>
      <c r="F88" s="4">
        <f>IF(B88="2-4 kilometres",1,0)*VLOOKUP(C88, Percentage_dist_journeys_by_purpose_and_distance_2_to_4km[#All],MATCH(A88, Percentage_dist_journeys_by_purpose_and_distance_2_to_4km[#Headers],0),0)/100</f>
        <v>0</v>
      </c>
      <c r="G88" s="72">
        <f>IF(B88="4-6 kilometres",1,0)*VLOOKUP(C88, Percentage_dist_journeys_by_purpose_and_distance_4_to_6km[#All],MATCH(A88, Percentage_dist_journeys_by_purpose_and_distance_4_to_6km[#Headers],0),0)/100</f>
        <v>0</v>
      </c>
      <c r="H88" s="4">
        <f>IF(B88="6-8 kilometres",1,0)*VLOOKUP(C88, Percentage_dist_journeys_by_purpose_and_distance_6_to_8km[#All],MATCH(A88, Percentage_dist_journeys_by_purpose_and_distance_6_to_8km[#Headers],0),0)/100</f>
        <v>0</v>
      </c>
      <c r="I88" s="72">
        <f>IF(B88="8+ kilometres",1,0)*VLOOKUP(C88, Percentage_dist_journeys_by_purpose_and_distance_8km[#All],MATCH(A88, Percentage_dist_journeys_by_purpose_and_distance_8km[#Headers],0),0)/100</f>
        <v>0</v>
      </c>
      <c r="J88" s="73">
        <f>VLOOKUP(B88,Average_Distance_by_kilometres_grouping_for_trip_purpose[#All],MATCH(A88,Average_Distance_by_kilometres_grouping_for_trip_purpose[#Headers],0),0)</f>
        <v>1</v>
      </c>
      <c r="K88" s="77">
        <f>VLOOKUP(C88, Adjustment_factor_for_distance_based_on_trip_purpose[#All],MATCH(A88, Adjustment_factor_for_distance_based_on_trip_purpose[#Headers],0),0)</f>
        <v>0.77777777777777779</v>
      </c>
      <c r="L88" s="78">
        <f>VLOOKUP($L$2, Total_Journeys_Per_Year[#All],MATCH(A88, Total_Journeys_Per_Year[#Headers],0),0)</f>
        <v>3165688023.0367908</v>
      </c>
      <c r="M88" s="35">
        <f t="shared" si="1"/>
        <v>30355782.452899784</v>
      </c>
      <c r="N88" s="35">
        <f>VLOOKUP($N$2, Private_Vehicle_Kilometres_Car_Stock[#All],MATCH(A88, Private_Vehicle_Kilometres_Car_Stock[#Headers],0),0)</f>
        <v>29535056173</v>
      </c>
    </row>
    <row r="89" spans="1:14" x14ac:dyDescent="0.25">
      <c r="A89" s="79" t="s">
        <v>32</v>
      </c>
      <c r="B89" s="13" t="s">
        <v>181</v>
      </c>
      <c r="C89" s="13" t="s">
        <v>50</v>
      </c>
      <c r="D89" s="5">
        <f>VLOOKUP(B89,Percentage_distribution_of_journey_distance_for_all_regions[#All],MATCH(A89,Percentage_distribution_of_journey_distance_for_all_regions[#Headers],0),0)/100</f>
        <v>0.182</v>
      </c>
      <c r="E89" s="71">
        <f>IF(B89="&lt;2 kilometres",1,0)*VLOOKUP(C89, Percentage_dist_journeys_by_purpose_and_distance_to_2km[#All],MATCH(A89, Percentage_dist_journeys_by_purpose_and_distance_to_2km[#Headers],0),0)/100</f>
        <v>0</v>
      </c>
      <c r="F89" s="4">
        <f>IF(B89="2-4 kilometres",1,0)*VLOOKUP(C89, Percentage_dist_journeys_by_purpose_and_distance_2_to_4km[#All],MATCH(A89, Percentage_dist_journeys_by_purpose_and_distance_2_to_4km[#Headers],0),0)/100</f>
        <v>4.8000000000000001E-2</v>
      </c>
      <c r="G89" s="72">
        <f>IF(B89="4-6 kilometres",1,0)*VLOOKUP(C89, Percentage_dist_journeys_by_purpose_and_distance_4_to_6km[#All],MATCH(A89, Percentage_dist_journeys_by_purpose_and_distance_4_to_6km[#Headers],0),0)/100</f>
        <v>0</v>
      </c>
      <c r="H89" s="4">
        <f>IF(B89="6-8 kilometres",1,0)*VLOOKUP(C89, Percentage_dist_journeys_by_purpose_and_distance_6_to_8km[#All],MATCH(A89, Percentage_dist_journeys_by_purpose_and_distance_6_to_8km[#Headers],0),0)/100</f>
        <v>0</v>
      </c>
      <c r="I89" s="72">
        <f>IF(B89="8+ kilometres",1,0)*VLOOKUP(C89, Percentage_dist_journeys_by_purpose_and_distance_8km[#All],MATCH(A89, Percentage_dist_journeys_by_purpose_and_distance_8km[#Headers],0),0)/100</f>
        <v>0</v>
      </c>
      <c r="J89" s="73">
        <f>VLOOKUP(B89,Average_Distance_by_kilometres_grouping_for_trip_purpose[#All],MATCH(A89,Average_Distance_by_kilometres_grouping_for_trip_purpose[#Headers],0),0)</f>
        <v>3</v>
      </c>
      <c r="K89" s="77">
        <f>VLOOKUP(C89, Adjustment_factor_for_distance_based_on_trip_purpose[#All],MATCH(A89, Adjustment_factor_for_distance_based_on_trip_purpose[#Headers],0),0)</f>
        <v>0.77777777777777779</v>
      </c>
      <c r="L89" s="78">
        <f>VLOOKUP($L$2, Total_Journeys_Per_Year[#All],MATCH(A89, Total_Journeys_Per_Year[#Headers],0),0)</f>
        <v>3165688023.0367908</v>
      </c>
      <c r="M89" s="35">
        <f t="shared" si="1"/>
        <v>82966351.707748219</v>
      </c>
      <c r="N89" s="35">
        <f>VLOOKUP($N$2, Private_Vehicle_Kilometres_Car_Stock[#All],MATCH(A89, Private_Vehicle_Kilometres_Car_Stock[#Headers],0),0)</f>
        <v>29535056173</v>
      </c>
    </row>
    <row r="90" spans="1:14" x14ac:dyDescent="0.25">
      <c r="A90" s="79" t="s">
        <v>32</v>
      </c>
      <c r="B90" s="13" t="s">
        <v>180</v>
      </c>
      <c r="C90" s="13" t="s">
        <v>50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Percentage_dist_journeys_by_purpose_and_distance_to_2km[#All],MATCH(A90, Percentage_dist_journeys_by_purpose_and_distance_to_2km[#Headers],0),0)/100</f>
        <v>0</v>
      </c>
      <c r="F90" s="4">
        <f>IF(B90="2-4 kilometres",1,0)*VLOOKUP(C90, Percentage_dist_journeys_by_purpose_and_distance_2_to_4km[#All],MATCH(A90, Percentage_dist_journeys_by_purpose_and_distance_2_to_4km[#Headers],0),0)/100</f>
        <v>0</v>
      </c>
      <c r="G90" s="72">
        <f>IF(B90="4-6 kilometres",1,0)*VLOOKUP(C90, Percentage_dist_journeys_by_purpose_and_distance_4_to_6km[#All],MATCH(A90, Percentage_dist_journeys_by_purpose_and_distance_4_to_6km[#Headers],0),0)/100</f>
        <v>0.05</v>
      </c>
      <c r="H90" s="4">
        <f>IF(B90="6-8 kilometres",1,0)*VLOOKUP(C90, Percentage_dist_journeys_by_purpose_and_distance_6_to_8km[#All],MATCH(A90, Percentage_dist_journeys_by_purpose_and_distance_6_to_8km[#Headers],0),0)/100</f>
        <v>0</v>
      </c>
      <c r="I90" s="72">
        <f>IF(B90="8+ kilometres",1,0)*VLOOKUP(C90, Percentage_dist_journeys_by_purpose_and_distance_8km[#All],MATCH(A90, Percentage_dist_journeys_by_purpose_and_distance_8km[#Headers],0),0)/100</f>
        <v>0</v>
      </c>
      <c r="J90" s="73">
        <f>VLOOKUP(B90,Average_Distance_by_kilometres_grouping_for_trip_purpose[#All],MATCH(A90,Average_Distance_by_kilometres_grouping_for_trip_purpose[#Headers],0),0)</f>
        <v>5</v>
      </c>
      <c r="K90" s="77">
        <f>VLOOKUP(C90, Adjustment_factor_for_distance_based_on_trip_purpose[#All],MATCH(A90, Adjustment_factor_for_distance_based_on_trip_purpose[#Headers],0),0)</f>
        <v>0.77777777777777779</v>
      </c>
      <c r="L90" s="78">
        <f>VLOOKUP($L$2, Total_Journeys_Per_Year[#All],MATCH(A90, Total_Journeys_Per_Year[#Headers],0),0)</f>
        <v>3165688023.0367908</v>
      </c>
      <c r="M90" s="35">
        <f t="shared" si="1"/>
        <v>92596374.673826143</v>
      </c>
      <c r="N90" s="35">
        <f>VLOOKUP($N$2, Private_Vehicle_Kilometres_Car_Stock[#All],MATCH(A90, Private_Vehicle_Kilometres_Car_Stock[#Headers],0),0)</f>
        <v>29535056173</v>
      </c>
    </row>
    <row r="91" spans="1:14" x14ac:dyDescent="0.25">
      <c r="A91" s="79" t="s">
        <v>32</v>
      </c>
      <c r="B91" s="13" t="s">
        <v>182</v>
      </c>
      <c r="C91" s="13" t="s">
        <v>50</v>
      </c>
      <c r="D91" s="5">
        <f>VLOOKUP(B91,Percentage_distribution_of_journey_distance_for_all_regions[#All],MATCH(A91,Percentage_distribution_of_journey_distance_for_all_regions[#Headers],0),0)/100</f>
        <v>0.06</v>
      </c>
      <c r="E91" s="71">
        <f>IF(B91="&lt;2 kilometres",1,0)*VLOOKUP(C91, Percentage_dist_journeys_by_purpose_and_distance_to_2km[#All],MATCH(A91, Percentage_dist_journeys_by_purpose_and_distance_to_2km[#Headers],0),0)/100</f>
        <v>0</v>
      </c>
      <c r="F91" s="4">
        <f>IF(B91="2-4 kilometres",1,0)*VLOOKUP(C91, Percentage_dist_journeys_by_purpose_and_distance_2_to_4km[#All],MATCH(A91, Percentage_dist_journeys_by_purpose_and_distance_2_to_4km[#Headers],0),0)/100</f>
        <v>0</v>
      </c>
      <c r="G91" s="72">
        <f>IF(B91="4-6 kilometres",1,0)*VLOOKUP(C91, Percentage_dist_journeys_by_purpose_and_distance_4_to_6km[#All],MATCH(A91, Percentage_dist_journeys_by_purpose_and_distance_4_to_6km[#Headers],0),0)/100</f>
        <v>0</v>
      </c>
      <c r="H91" s="4">
        <f>IF(B91="6-8 kilometres",1,0)*VLOOKUP(C91, Percentage_dist_journeys_by_purpose_and_distance_6_to_8km[#All],MATCH(A91, Percentage_dist_journeys_by_purpose_and_distance_6_to_8km[#Headers],0),0)/100</f>
        <v>4.5999999999999999E-2</v>
      </c>
      <c r="I91" s="72">
        <f>IF(B91="8+ kilometres",1,0)*VLOOKUP(C91, Percentage_dist_journeys_by_purpose_and_distance_8km[#All],MATCH(A91, Percentage_dist_journeys_by_purpose_and_distance_8km[#Headers],0),0)/100</f>
        <v>0</v>
      </c>
      <c r="J91" s="73">
        <f>VLOOKUP(B91,Average_Distance_by_kilometres_grouping_for_trip_purpose[#All],MATCH(A91,Average_Distance_by_kilometres_grouping_for_trip_purpose[#Headers],0),0)</f>
        <v>7</v>
      </c>
      <c r="K91" s="77">
        <f>VLOOKUP(C91, Adjustment_factor_for_distance_based_on_trip_purpose[#All],MATCH(A91, Adjustment_factor_for_distance_based_on_trip_purpose[#Headers],0),0)</f>
        <v>0.77777777777777779</v>
      </c>
      <c r="L91" s="78">
        <f>VLOOKUP($L$2, Total_Journeys_Per_Year[#All],MATCH(A91, Total_Journeys_Per_Year[#Headers],0),0)</f>
        <v>3165688023.0367908</v>
      </c>
      <c r="M91" s="35">
        <f t="shared" si="1"/>
        <v>61161092.6050708</v>
      </c>
      <c r="N91" s="35">
        <f>VLOOKUP($N$2, Private_Vehicle_Kilometres_Car_Stock[#All],MATCH(A91, Private_Vehicle_Kilometres_Car_Stock[#Headers],0),0)</f>
        <v>29535056173</v>
      </c>
    </row>
    <row r="92" spans="1:14" x14ac:dyDescent="0.25">
      <c r="A92" s="79" t="s">
        <v>32</v>
      </c>
      <c r="B92" s="13" t="s">
        <v>1</v>
      </c>
      <c r="C92" s="13" t="s">
        <v>50</v>
      </c>
      <c r="D92" s="5">
        <f>VLOOKUP(B92,Percentage_distribution_of_journey_distance_for_all_regions[#All],MATCH(A92,Percentage_distribution_of_journey_distance_for_all_regions[#Headers],0),0)/100</f>
        <v>0.41899999999999998</v>
      </c>
      <c r="E92" s="71">
        <f>IF(B92="&lt;2 kilometres",1,0)*VLOOKUP(C92, Percentage_dist_journeys_by_purpose_and_distance_to_2km[#All],MATCH(A92, Percentage_dist_journeys_by_purpose_and_distance_to_2km[#Headers],0),0)/100</f>
        <v>0</v>
      </c>
      <c r="F92" s="4">
        <f>IF(B92="2-4 kilometres",1,0)*VLOOKUP(C92, Percentage_dist_journeys_by_purpose_and_distance_2_to_4km[#All],MATCH(A92, Percentage_dist_journeys_by_purpose_and_distance_2_to_4km[#Headers],0),0)/100</f>
        <v>0</v>
      </c>
      <c r="G92" s="72">
        <f>IF(B92="4-6 kilometres",1,0)*VLOOKUP(C92, Percentage_dist_journeys_by_purpose_and_distance_4_to_6km[#All],MATCH(A92, Percentage_dist_journeys_by_purpose_and_distance_4_to_6km[#Headers],0),0)/100</f>
        <v>0</v>
      </c>
      <c r="H92" s="4">
        <f>IF(B92="6-8 kilometres",1,0)*VLOOKUP(C92, Percentage_dist_journeys_by_purpose_and_distance_6_to_8km[#All],MATCH(A92, Percentage_dist_journeys_by_purpose_and_distance_6_to_8km[#Headers],0),0)/100</f>
        <v>0</v>
      </c>
      <c r="I92" s="72">
        <f>IF(B92="8+ kilometres",1,0)*VLOOKUP(C92, Percentage_dist_journeys_by_purpose_and_distance_8km[#All],MATCH(A92, Percentage_dist_journeys_by_purpose_and_distance_8km[#Headers],0),0)/100</f>
        <v>3.3000000000000002E-2</v>
      </c>
      <c r="J92" s="73">
        <f>VLOOKUP(B92,Average_Distance_by_kilometres_grouping_for_trip_purpose[#All],MATCH(A92,Average_Distance_by_kilometres_grouping_for_trip_purpose[#Headers],0),0)</f>
        <v>34.770000000000003</v>
      </c>
      <c r="K92" s="77">
        <f>VLOOKUP(C92, Adjustment_factor_for_distance_based_on_trip_purpose[#All],MATCH(A92, Adjustment_factor_for_distance_based_on_trip_purpose[#Headers],0),0)</f>
        <v>0.77777777777777779</v>
      </c>
      <c r="L92" s="78">
        <f>VLOOKUP($L$2, Total_Journeys_Per_Year[#All],MATCH(A92, Total_Journeys_Per_Year[#Headers],0),0)</f>
        <v>3165688023.0367908</v>
      </c>
      <c r="M92" s="35">
        <f t="shared" si="1"/>
        <v>1521951337.6007981</v>
      </c>
      <c r="N92" s="35">
        <f>VLOOKUP($N$2, Private_Vehicle_Kilometres_Car_Stock[#All],MATCH(A92, Private_Vehicle_Kilometres_Car_Stock[#Headers],0),0)</f>
        <v>29535056173</v>
      </c>
    </row>
    <row r="93" spans="1:14" x14ac:dyDescent="0.25">
      <c r="A93" s="79" t="s">
        <v>33</v>
      </c>
      <c r="B93" s="13" t="s">
        <v>12</v>
      </c>
      <c r="C93" s="13" t="s">
        <v>42</v>
      </c>
      <c r="D93" s="5">
        <f>VLOOKUP(B93,Percentage_distribution_of_journey_distance_for_all_regions[#All],MATCH(A93,Percentage_distribution_of_journey_distance_for_all_regions[#Headers],0),0)/100</f>
        <v>0.21100000000000002</v>
      </c>
      <c r="E93" s="71">
        <f>IF(B93="&lt;2 kilometres",1,0)*VLOOKUP(C93, Percentage_dist_journeys_by_purpose_and_distance_to_2km[#All],MATCH(A93, Percentage_dist_journeys_by_purpose_and_distance_to_2km[#Headers],0),0)/100</f>
        <v>0.16399999999999998</v>
      </c>
      <c r="F93" s="4">
        <f>IF(B93="2-4 kilometres",1,0)*VLOOKUP(C93, Percentage_dist_journeys_by_purpose_and_distance_2_to_4km[#All],MATCH(A93, Percentage_dist_journeys_by_purpose_and_distance_2_to_4km[#Headers],0),0)/100</f>
        <v>0</v>
      </c>
      <c r="G93" s="72">
        <f>IF(B93="4-6 kilometres",1,0)*VLOOKUP(C93, Percentage_dist_journeys_by_purpose_and_distance_4_to_6km[#All],MATCH(A93, Percentage_dist_journeys_by_purpose_and_distance_4_to_6km[#Headers],0),0)/100</f>
        <v>0</v>
      </c>
      <c r="H93" s="4">
        <f>IF(B93="6-8 kilometres",1,0)*VLOOKUP(C93, Percentage_dist_journeys_by_purpose_and_distance_6_to_8km[#All],MATCH(A93, Percentage_dist_journeys_by_purpose_and_distance_6_to_8km[#Headers],0),0)/100</f>
        <v>0</v>
      </c>
      <c r="I93" s="72">
        <f>IF(B93="8+ kilometres",1,0)*VLOOKUP(C93, Percentage_dist_journeys_by_purpose_and_distance_8km[#All],MATCH(A93, Percentage_dist_journeys_by_purpose_and_distance_8km[#Headers],0),0)/100</f>
        <v>0</v>
      </c>
      <c r="J93" s="73">
        <f>VLOOKUP(B93,Average_Distance_by_kilometres_grouping_for_trip_purpose[#All],MATCH(A93,Average_Distance_by_kilometres_grouping_for_trip_purpose[#Headers],0),0)</f>
        <v>1</v>
      </c>
      <c r="K93" s="77">
        <f>VLOOKUP(C93, Adjustment_factor_for_distance_based_on_trip_purpose[#All],MATCH(A93, Adjustment_factor_for_distance_based_on_trip_purpose[#Headers],0),0)</f>
        <v>1</v>
      </c>
      <c r="L93" s="78">
        <f>VLOOKUP($L$2, Total_Journeys_Per_Year[#All],MATCH(A93, Total_Journeys_Per_Year[#Headers],0),0)</f>
        <v>3171485717.1895118</v>
      </c>
      <c r="M93" s="35">
        <f t="shared" si="1"/>
        <v>109746091.75762585</v>
      </c>
      <c r="N93" s="35">
        <f>VLOOKUP($N$2, Private_Vehicle_Kilometres_Car_Stock[#All],MATCH(A93, Private_Vehicle_Kilometres_Car_Stock[#Headers],0),0)</f>
        <v>31821299194</v>
      </c>
    </row>
    <row r="94" spans="1:14" x14ac:dyDescent="0.25">
      <c r="A94" s="79" t="s">
        <v>33</v>
      </c>
      <c r="B94" s="13" t="s">
        <v>181</v>
      </c>
      <c r="C94" s="13" t="s">
        <v>42</v>
      </c>
      <c r="D94" s="5">
        <f>VLOOKUP(B94,Percentage_distribution_of_journey_distance_for_all_regions[#All],MATCH(A94,Percentage_distribution_of_journey_distance_for_all_regions[#Headers],0),0)/100</f>
        <v>0.18899999999999997</v>
      </c>
      <c r="E94" s="71">
        <f>IF(B94="&lt;2 kilometres",1,0)*VLOOKUP(C94, Percentage_dist_journeys_by_purpose_and_distance_to_2km[#All],MATCH(A94, Percentage_dist_journeys_by_purpose_and_distance_to_2km[#Headers],0),0)/100</f>
        <v>0</v>
      </c>
      <c r="F94" s="4">
        <f>IF(B94="2-4 kilometres",1,0)*VLOOKUP(C94, Percentage_dist_journeys_by_purpose_and_distance_2_to_4km[#All],MATCH(A94, Percentage_dist_journeys_by_purpose_and_distance_2_to_4km[#Headers],0),0)/100</f>
        <v>0.191</v>
      </c>
      <c r="G94" s="72">
        <f>IF(B94="4-6 kilometres",1,0)*VLOOKUP(C94, Percentage_dist_journeys_by_purpose_and_distance_4_to_6km[#All],MATCH(A94, Percentage_dist_journeys_by_purpose_and_distance_4_to_6km[#Headers],0),0)/100</f>
        <v>0</v>
      </c>
      <c r="H94" s="4">
        <f>IF(B94="6-8 kilometres",1,0)*VLOOKUP(C94, Percentage_dist_journeys_by_purpose_and_distance_6_to_8km[#All],MATCH(A94, Percentage_dist_journeys_by_purpose_and_distance_6_to_8km[#Headers],0),0)/100</f>
        <v>0</v>
      </c>
      <c r="I94" s="72">
        <f>IF(B94="8+ kilometres",1,0)*VLOOKUP(C94, Percentage_dist_journeys_by_purpose_and_distance_8km[#All],MATCH(A94, Percentage_dist_journeys_by_purpose_and_distance_8km[#Headers],0),0)/100</f>
        <v>0</v>
      </c>
      <c r="J94" s="73">
        <f>VLOOKUP(B94,Average_Distance_by_kilometres_grouping_for_trip_purpose[#All],MATCH(A94,Average_Distance_by_kilometres_grouping_for_trip_purpose[#Headers],0),0)</f>
        <v>3</v>
      </c>
      <c r="K94" s="77">
        <f>VLOOKUP(C94, Adjustment_factor_for_distance_based_on_trip_purpose[#All],MATCH(A94, Adjustment_factor_for_distance_based_on_trip_purpose[#Headers],0),0)</f>
        <v>1</v>
      </c>
      <c r="L94" s="78">
        <f>VLOOKUP($L$2, Total_Journeys_Per_Year[#All],MATCH(A94, Total_Journeys_Per_Year[#Headers],0),0)</f>
        <v>3171485717.1895118</v>
      </c>
      <c r="M94" s="35">
        <f t="shared" si="1"/>
        <v>343462388.71447247</v>
      </c>
      <c r="N94" s="35">
        <f>VLOOKUP($N$2, Private_Vehicle_Kilometres_Car_Stock[#All],MATCH(A94, Private_Vehicle_Kilometres_Car_Stock[#Headers],0),0)</f>
        <v>31821299194</v>
      </c>
    </row>
    <row r="95" spans="1:14" x14ac:dyDescent="0.25">
      <c r="A95" s="79" t="s">
        <v>33</v>
      </c>
      <c r="B95" s="13" t="s">
        <v>180</v>
      </c>
      <c r="C95" s="13" t="s">
        <v>42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Percentage_dist_journeys_by_purpose_and_distance_to_2km[#All],MATCH(A95, Percentage_dist_journeys_by_purpose_and_distance_to_2km[#Headers],0),0)/100</f>
        <v>0</v>
      </c>
      <c r="F95" s="4">
        <f>IF(B95="2-4 kilometres",1,0)*VLOOKUP(C95, Percentage_dist_journeys_by_purpose_and_distance_2_to_4km[#All],MATCH(A95, Percentage_dist_journeys_by_purpose_and_distance_2_to_4km[#Headers],0),0)/100</f>
        <v>0</v>
      </c>
      <c r="G95" s="72">
        <f>IF(B95="4-6 kilometres",1,0)*VLOOKUP(C95, Percentage_dist_journeys_by_purpose_and_distance_4_to_6km[#All],MATCH(A95, Percentage_dist_journeys_by_purpose_and_distance_4_to_6km[#Headers],0),0)/100</f>
        <v>0.22500000000000001</v>
      </c>
      <c r="H95" s="4">
        <f>IF(B95="6-8 kilometres",1,0)*VLOOKUP(C95, Percentage_dist_journeys_by_purpose_and_distance_6_to_8km[#All],MATCH(A95, Percentage_dist_journeys_by_purpose_and_distance_6_to_8km[#Headers],0),0)/100</f>
        <v>0</v>
      </c>
      <c r="I95" s="72">
        <f>IF(B95="8+ kilometres",1,0)*VLOOKUP(C95, Percentage_dist_journeys_by_purpose_and_distance_8km[#All],MATCH(A95, Percentage_dist_journeys_by_purpose_and_distance_8km[#Headers],0),0)/100</f>
        <v>0</v>
      </c>
      <c r="J95" s="73">
        <f>VLOOKUP(B95,Average_Distance_by_kilometres_grouping_for_trip_purpose[#All],MATCH(A95,Average_Distance_by_kilometres_grouping_for_trip_purpose[#Headers],0),0)</f>
        <v>5</v>
      </c>
      <c r="K95" s="77">
        <f>VLOOKUP(C95, Adjustment_factor_for_distance_based_on_trip_purpose[#All],MATCH(A95, Adjustment_factor_for_distance_based_on_trip_purpose[#Headers],0),0)</f>
        <v>1</v>
      </c>
      <c r="L95" s="78">
        <f>VLOOKUP($L$2, Total_Journeys_Per_Year[#All],MATCH(A95, Total_Journeys_Per_Year[#Headers],0),0)</f>
        <v>3171485717.1895118</v>
      </c>
      <c r="M95" s="35">
        <f t="shared" si="1"/>
        <v>417446807.52506948</v>
      </c>
      <c r="N95" s="35">
        <f>VLOOKUP($N$2, Private_Vehicle_Kilometres_Car_Stock[#All],MATCH(A95, Private_Vehicle_Kilometres_Car_Stock[#Headers],0),0)</f>
        <v>31821299194</v>
      </c>
    </row>
    <row r="96" spans="1:14" x14ac:dyDescent="0.25">
      <c r="A96" s="79" t="s">
        <v>33</v>
      </c>
      <c r="B96" s="13" t="s">
        <v>182</v>
      </c>
      <c r="C96" s="13" t="s">
        <v>42</v>
      </c>
      <c r="D96" s="5">
        <f>VLOOKUP(B96,Percentage_distribution_of_journey_distance_for_all_regions[#All],MATCH(A96,Percentage_distribution_of_journey_distance_for_all_regions[#Headers],0),0)/100</f>
        <v>6.6000000000000003E-2</v>
      </c>
      <c r="E96" s="71">
        <f>IF(B96="&lt;2 kilometres",1,0)*VLOOKUP(C96, Percentage_dist_journeys_by_purpose_and_distance_to_2km[#All],MATCH(A96, Percentage_dist_journeys_by_purpose_and_distance_to_2km[#Headers],0),0)/100</f>
        <v>0</v>
      </c>
      <c r="F96" s="4">
        <f>IF(B96="2-4 kilometres",1,0)*VLOOKUP(C96, Percentage_dist_journeys_by_purpose_and_distance_2_to_4km[#All],MATCH(A96, Percentage_dist_journeys_by_purpose_and_distance_2_to_4km[#Headers],0),0)/100</f>
        <v>0</v>
      </c>
      <c r="G96" s="72">
        <f>IF(B96="4-6 kilometres",1,0)*VLOOKUP(C96, Percentage_dist_journeys_by_purpose_and_distance_4_to_6km[#All],MATCH(A96, Percentage_dist_journeys_by_purpose_and_distance_4_to_6km[#Headers],0),0)/100</f>
        <v>0</v>
      </c>
      <c r="H96" s="4">
        <f>IF(B96="6-8 kilometres",1,0)*VLOOKUP(C96, Percentage_dist_journeys_by_purpose_and_distance_6_to_8km[#All],MATCH(A96, Percentage_dist_journeys_by_purpose_and_distance_6_to_8km[#Headers],0),0)/100</f>
        <v>0.23399999999999999</v>
      </c>
      <c r="I96" s="72">
        <f>IF(B96="8+ kilometres",1,0)*VLOOKUP(C96, Percentage_dist_journeys_by_purpose_and_distance_8km[#All],MATCH(A96, Percentage_dist_journeys_by_purpose_and_distance_8km[#Headers],0),0)/100</f>
        <v>0</v>
      </c>
      <c r="J96" s="73">
        <f>VLOOKUP(B96,Average_Distance_by_kilometres_grouping_for_trip_purpose[#All],MATCH(A96,Average_Distance_by_kilometres_grouping_for_trip_purpose[#Headers],0),0)</f>
        <v>7</v>
      </c>
      <c r="K96" s="77">
        <f>VLOOKUP(C96, Adjustment_factor_for_distance_based_on_trip_purpose[#All],MATCH(A96, Adjustment_factor_for_distance_based_on_trip_purpose[#Headers],0),0)</f>
        <v>1</v>
      </c>
      <c r="L96" s="78">
        <f>VLOOKUP($L$2, Total_Journeys_Per_Year[#All],MATCH(A96, Total_Journeys_Per_Year[#Headers],0),0)</f>
        <v>3171485717.1895118</v>
      </c>
      <c r="M96" s="35">
        <f t="shared" si="1"/>
        <v>342862977.91392374</v>
      </c>
      <c r="N96" s="35">
        <f>VLOOKUP($N$2, Private_Vehicle_Kilometres_Car_Stock[#All],MATCH(A96, Private_Vehicle_Kilometres_Car_Stock[#Headers],0),0)</f>
        <v>31821299194</v>
      </c>
    </row>
    <row r="97" spans="1:14" x14ac:dyDescent="0.25">
      <c r="A97" s="79" t="s">
        <v>33</v>
      </c>
      <c r="B97" s="13" t="s">
        <v>1</v>
      </c>
      <c r="C97" s="13" t="s">
        <v>42</v>
      </c>
      <c r="D97" s="5">
        <f>VLOOKUP(B97,Percentage_distribution_of_journey_distance_for_all_regions[#All],MATCH(A97,Percentage_distribution_of_journey_distance_for_all_regions[#Headers],0),0)/100</f>
        <v>0.41700000000000004</v>
      </c>
      <c r="E97" s="71">
        <f>IF(B97="&lt;2 kilometres",1,0)*VLOOKUP(C97, Percentage_dist_journeys_by_purpose_and_distance_to_2km[#All],MATCH(A97, Percentage_dist_journeys_by_purpose_and_distance_to_2km[#Headers],0),0)/100</f>
        <v>0</v>
      </c>
      <c r="F97" s="4">
        <f>IF(B97="2-4 kilometres",1,0)*VLOOKUP(C97, Percentage_dist_journeys_by_purpose_and_distance_2_to_4km[#All],MATCH(A97, Percentage_dist_journeys_by_purpose_and_distance_2_to_4km[#Headers],0),0)/100</f>
        <v>0</v>
      </c>
      <c r="G97" s="72">
        <f>IF(B97="4-6 kilometres",1,0)*VLOOKUP(C97, Percentage_dist_journeys_by_purpose_and_distance_4_to_6km[#All],MATCH(A97, Percentage_dist_journeys_by_purpose_and_distance_4_to_6km[#Headers],0),0)/100</f>
        <v>0</v>
      </c>
      <c r="H97" s="4">
        <f>IF(B97="6-8 kilometres",1,0)*VLOOKUP(C97, Percentage_dist_journeys_by_purpose_and_distance_6_to_8km[#All],MATCH(A97, Percentage_dist_journeys_by_purpose_and_distance_6_to_8km[#Headers],0),0)/100</f>
        <v>0</v>
      </c>
      <c r="I97" s="72">
        <f>IF(B97="8+ kilometres",1,0)*VLOOKUP(C97, Percentage_dist_journeys_by_purpose_and_distance_8km[#All],MATCH(A97, Percentage_dist_journeys_by_purpose_and_distance_8km[#Headers],0),0)/100</f>
        <v>0.218</v>
      </c>
      <c r="J97" s="73">
        <f>VLOOKUP(B97,Average_Distance_by_kilometres_grouping_for_trip_purpose[#All],MATCH(A97,Average_Distance_by_kilometres_grouping_for_trip_purpose[#Headers],0),0)</f>
        <v>38.15</v>
      </c>
      <c r="K97" s="77">
        <f>VLOOKUP(C97, Adjustment_factor_for_distance_based_on_trip_purpose[#All],MATCH(A97, Adjustment_factor_for_distance_based_on_trip_purpose[#Headers],0),0)</f>
        <v>1</v>
      </c>
      <c r="L97" s="78">
        <f>VLOOKUP($L$2, Total_Journeys_Per_Year[#All],MATCH(A97, Total_Journeys_Per_Year[#Headers],0),0)</f>
        <v>3171485717.1895118</v>
      </c>
      <c r="M97" s="35">
        <f t="shared" si="1"/>
        <v>10998915125.150557</v>
      </c>
      <c r="N97" s="35">
        <f>VLOOKUP($N$2, Private_Vehicle_Kilometres_Car_Stock[#All],MATCH(A97, Private_Vehicle_Kilometres_Car_Stock[#Headers],0),0)</f>
        <v>31821299194</v>
      </c>
    </row>
    <row r="98" spans="1:14" x14ac:dyDescent="0.25">
      <c r="A98" s="79" t="s">
        <v>33</v>
      </c>
      <c r="B98" s="13" t="s">
        <v>12</v>
      </c>
      <c r="C98" s="13" t="s">
        <v>43</v>
      </c>
      <c r="D98" s="5">
        <f>VLOOKUP(B98,Percentage_distribution_of_journey_distance_for_all_regions[#All],MATCH(A98,Percentage_distribution_of_journey_distance_for_all_regions[#Headers],0),0)/100</f>
        <v>0.21100000000000002</v>
      </c>
      <c r="E98" s="71">
        <f>IF(B98="&lt;2 kilometres",1,0)*VLOOKUP(C98, Percentage_dist_journeys_by_purpose_and_distance_to_2km[#All],MATCH(A98, Percentage_dist_journeys_by_purpose_and_distance_to_2km[#Headers],0),0)/100</f>
        <v>6.6000000000000003E-2</v>
      </c>
      <c r="F98" s="4">
        <f>IF(B98="2-4 kilometres",1,0)*VLOOKUP(C98, Percentage_dist_journeys_by_purpose_and_distance_2_to_4km[#All],MATCH(A98, Percentage_dist_journeys_by_purpose_and_distance_2_to_4km[#Headers],0),0)/100</f>
        <v>0</v>
      </c>
      <c r="G98" s="72">
        <f>IF(B98="4-6 kilometres",1,0)*VLOOKUP(C98, Percentage_dist_journeys_by_purpose_and_distance_4_to_6km[#All],MATCH(A98, Percentage_dist_journeys_by_purpose_and_distance_4_to_6km[#Headers],0),0)/100</f>
        <v>0</v>
      </c>
      <c r="H98" s="4">
        <f>IF(B98="6-8 kilometres",1,0)*VLOOKUP(C98, Percentage_dist_journeys_by_purpose_and_distance_6_to_8km[#All],MATCH(A98, Percentage_dist_journeys_by_purpose_and_distance_6_to_8km[#Headers],0),0)/100</f>
        <v>0</v>
      </c>
      <c r="I98" s="72">
        <f>IF(B98="8+ kilometres",1,0)*VLOOKUP(C98, Percentage_dist_journeys_by_purpose_and_distance_8km[#All],MATCH(A98, Percentage_dist_journeys_by_purpose_and_distance_8km[#Headers],0),0)/100</f>
        <v>0</v>
      </c>
      <c r="J98" s="73">
        <f>VLOOKUP(B98,Average_Distance_by_kilometres_grouping_for_trip_purpose[#All],MATCH(A98,Average_Distance_by_kilometres_grouping_for_trip_purpose[#Headers],0),0)</f>
        <v>1</v>
      </c>
      <c r="K98" s="77">
        <f>VLOOKUP(C98, Adjustment_factor_for_distance_based_on_trip_purpose[#All],MATCH(A98, Adjustment_factor_for_distance_based_on_trip_purpose[#Headers],0),0)</f>
        <v>0.88888888888888884</v>
      </c>
      <c r="L98" s="78">
        <f>VLOOKUP($L$2, Total_Journeys_Per_Year[#All],MATCH(A98, Total_Journeys_Per_Year[#Headers],0),0)</f>
        <v>3171485717.1895118</v>
      </c>
      <c r="M98" s="35">
        <f t="shared" si="1"/>
        <v>44166110.097581148</v>
      </c>
      <c r="N98" s="35">
        <f>VLOOKUP($N$2, Private_Vehicle_Kilometres_Car_Stock[#All],MATCH(A98, Private_Vehicle_Kilometres_Car_Stock[#Headers],0),0)</f>
        <v>31821299194</v>
      </c>
    </row>
    <row r="99" spans="1:14" x14ac:dyDescent="0.25">
      <c r="A99" s="79" t="s">
        <v>33</v>
      </c>
      <c r="B99" s="13" t="s">
        <v>181</v>
      </c>
      <c r="C99" s="13" t="s">
        <v>43</v>
      </c>
      <c r="D99" s="5">
        <f>VLOOKUP(B99,Percentage_distribution_of_journey_distance_for_all_regions[#All],MATCH(A99,Percentage_distribution_of_journey_distance_for_all_regions[#Headers],0),0)/100</f>
        <v>0.18899999999999997</v>
      </c>
      <c r="E99" s="71">
        <f>IF(B99="&lt;2 kilometres",1,0)*VLOOKUP(C99, Percentage_dist_journeys_by_purpose_and_distance_to_2km[#All],MATCH(A99, Percentage_dist_journeys_by_purpose_and_distance_to_2km[#Headers],0),0)/100</f>
        <v>0</v>
      </c>
      <c r="F99" s="4">
        <f>IF(B99="2-4 kilometres",1,0)*VLOOKUP(C99, Percentage_dist_journeys_by_purpose_and_distance_2_to_4km[#All],MATCH(A99, Percentage_dist_journeys_by_purpose_and_distance_2_to_4km[#Headers],0),0)/100</f>
        <v>4.8000000000000001E-2</v>
      </c>
      <c r="G99" s="72">
        <f>IF(B99="4-6 kilometres",1,0)*VLOOKUP(C99, Percentage_dist_journeys_by_purpose_and_distance_4_to_6km[#All],MATCH(A99, Percentage_dist_journeys_by_purpose_and_distance_4_to_6km[#Headers],0),0)/100</f>
        <v>0</v>
      </c>
      <c r="H99" s="4">
        <f>IF(B99="6-8 kilometres",1,0)*VLOOKUP(C99, Percentage_dist_journeys_by_purpose_and_distance_6_to_8km[#All],MATCH(A99, Percentage_dist_journeys_by_purpose_and_distance_6_to_8km[#Headers],0),0)/100</f>
        <v>0</v>
      </c>
      <c r="I99" s="72">
        <f>IF(B99="8+ kilometres",1,0)*VLOOKUP(C99, Percentage_dist_journeys_by_purpose_and_distance_8km[#All],MATCH(A99, Percentage_dist_journeys_by_purpose_and_distance_8km[#Headers],0),0)/100</f>
        <v>0</v>
      </c>
      <c r="J99" s="73">
        <f>VLOOKUP(B99,Average_Distance_by_kilometres_grouping_for_trip_purpose[#All],MATCH(A99,Average_Distance_by_kilometres_grouping_for_trip_purpose[#Headers],0),0)</f>
        <v>3</v>
      </c>
      <c r="K99" s="77">
        <f>VLOOKUP(C99, Adjustment_factor_for_distance_based_on_trip_purpose[#All],MATCH(A99, Adjustment_factor_for_distance_based_on_trip_purpose[#Headers],0),0)</f>
        <v>0.88888888888888884</v>
      </c>
      <c r="L99" s="78">
        <f>VLOOKUP($L$2, Total_Journeys_Per_Year[#All],MATCH(A99, Total_Journeys_Per_Year[#Headers],0),0)</f>
        <v>3171485717.1895118</v>
      </c>
      <c r="M99" s="35">
        <f t="shared" si="1"/>
        <v>86315155.279029742</v>
      </c>
      <c r="N99" s="35">
        <f>VLOOKUP($N$2, Private_Vehicle_Kilometres_Car_Stock[#All],MATCH(A99, Private_Vehicle_Kilometres_Car_Stock[#Headers],0),0)</f>
        <v>31821299194</v>
      </c>
    </row>
    <row r="100" spans="1:14" x14ac:dyDescent="0.25">
      <c r="A100" s="79" t="s">
        <v>33</v>
      </c>
      <c r="B100" s="13" t="s">
        <v>180</v>
      </c>
      <c r="C100" s="13" t="s">
        <v>43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Percentage_dist_journeys_by_purpose_and_distance_to_2km[#All],MATCH(A100, Percentage_dist_journeys_by_purpose_and_distance_to_2km[#Headers],0),0)/100</f>
        <v>0</v>
      </c>
      <c r="F100" s="4">
        <f>IF(B100="2-4 kilometres",1,0)*VLOOKUP(C100, Percentage_dist_journeys_by_purpose_and_distance_2_to_4km[#All],MATCH(A100, Percentage_dist_journeys_by_purpose_and_distance_2_to_4km[#Headers],0),0)/100</f>
        <v>0</v>
      </c>
      <c r="G100" s="72">
        <f>IF(B100="4-6 kilometres",1,0)*VLOOKUP(C100, Percentage_dist_journeys_by_purpose_and_distance_4_to_6km[#All],MATCH(A100, Percentage_dist_journeys_by_purpose_and_distance_4_to_6km[#Headers],0),0)/100</f>
        <v>4.0999999999999995E-2</v>
      </c>
      <c r="H100" s="4">
        <f>IF(B100="6-8 kilometres",1,0)*VLOOKUP(C100, Percentage_dist_journeys_by_purpose_and_distance_6_to_8km[#All],MATCH(A100, Percentage_dist_journeys_by_purpose_and_distance_6_to_8km[#Headers],0),0)/100</f>
        <v>0</v>
      </c>
      <c r="I100" s="72">
        <f>IF(B100="8+ kilometres",1,0)*VLOOKUP(C100, Percentage_dist_journeys_by_purpose_and_distance_8km[#All],MATCH(A100, Percentage_dist_journeys_by_purpose_and_distance_8km[#Headers],0),0)/100</f>
        <v>0</v>
      </c>
      <c r="J100" s="73">
        <f>VLOOKUP(B100,Average_Distance_by_kilometres_grouping_for_trip_purpose[#All],MATCH(A100,Average_Distance_by_kilometres_grouping_for_trip_purpose[#Headers],0),0)</f>
        <v>5</v>
      </c>
      <c r="K100" s="77">
        <f>VLOOKUP(C100, Adjustment_factor_for_distance_based_on_trip_purpose[#All],MATCH(A100, Adjustment_factor_for_distance_based_on_trip_purpose[#Headers],0),0)</f>
        <v>0.88888888888888884</v>
      </c>
      <c r="L100" s="78">
        <f>VLOOKUP($L$2, Total_Journeys_Per_Year[#All],MATCH(A100, Total_Journeys_Per_Year[#Headers],0),0)</f>
        <v>3171485717.1895118</v>
      </c>
      <c r="M100" s="35">
        <f t="shared" si="1"/>
        <v>76068084.926790431</v>
      </c>
      <c r="N100" s="35">
        <f>VLOOKUP($N$2, Private_Vehicle_Kilometres_Car_Stock[#All],MATCH(A100, Private_Vehicle_Kilometres_Car_Stock[#Headers],0),0)</f>
        <v>31821299194</v>
      </c>
    </row>
    <row r="101" spans="1:14" x14ac:dyDescent="0.25">
      <c r="A101" s="79" t="s">
        <v>33</v>
      </c>
      <c r="B101" s="13" t="s">
        <v>182</v>
      </c>
      <c r="C101" s="13" t="s">
        <v>43</v>
      </c>
      <c r="D101" s="5">
        <f>VLOOKUP(B101,Percentage_distribution_of_journey_distance_for_all_regions[#All],MATCH(A101,Percentage_distribution_of_journey_distance_for_all_regions[#Headers],0),0)/100</f>
        <v>6.6000000000000003E-2</v>
      </c>
      <c r="E101" s="71">
        <f>IF(B101="&lt;2 kilometres",1,0)*VLOOKUP(C101, Percentage_dist_journeys_by_purpose_and_distance_to_2km[#All],MATCH(A101, Percentage_dist_journeys_by_purpose_and_distance_to_2km[#Headers],0),0)/100</f>
        <v>0</v>
      </c>
      <c r="F101" s="4">
        <f>IF(B101="2-4 kilometres",1,0)*VLOOKUP(C101, Percentage_dist_journeys_by_purpose_and_distance_2_to_4km[#All],MATCH(A101, Percentage_dist_journeys_by_purpose_and_distance_2_to_4km[#Headers],0),0)/100</f>
        <v>0</v>
      </c>
      <c r="G101" s="72">
        <f>IF(B101="4-6 kilometres",1,0)*VLOOKUP(C101, Percentage_dist_journeys_by_purpose_and_distance_4_to_6km[#All],MATCH(A101, Percentage_dist_journeys_by_purpose_and_distance_4_to_6km[#Headers],0),0)/100</f>
        <v>0</v>
      </c>
      <c r="H101" s="4">
        <f>IF(B101="6-8 kilometres",1,0)*VLOOKUP(C101, Percentage_dist_journeys_by_purpose_and_distance_6_to_8km[#All],MATCH(A101, Percentage_dist_journeys_by_purpose_and_distance_6_to_8km[#Headers],0),0)/100</f>
        <v>3.3000000000000002E-2</v>
      </c>
      <c r="I101" s="72">
        <f>IF(B101="8+ kilometres",1,0)*VLOOKUP(C101, Percentage_dist_journeys_by_purpose_and_distance_8km[#All],MATCH(A101, Percentage_dist_journeys_by_purpose_and_distance_8km[#Headers],0),0)/100</f>
        <v>0</v>
      </c>
      <c r="J101" s="73">
        <f>VLOOKUP(B101,Average_Distance_by_kilometres_grouping_for_trip_purpose[#All],MATCH(A101,Average_Distance_by_kilometres_grouping_for_trip_purpose[#Headers],0),0)</f>
        <v>7</v>
      </c>
      <c r="K101" s="77">
        <f>VLOOKUP(C101, Adjustment_factor_for_distance_based_on_trip_purpose[#All],MATCH(A101, Adjustment_factor_for_distance_based_on_trip_purpose[#Headers],0),0)</f>
        <v>0.88888888888888884</v>
      </c>
      <c r="L101" s="78">
        <f>VLOOKUP($L$2, Total_Journeys_Per_Year[#All],MATCH(A101, Total_Journeys_Per_Year[#Headers],0),0)</f>
        <v>3171485717.1895118</v>
      </c>
      <c r="M101" s="35">
        <f t="shared" si="1"/>
        <v>48352471.244271308</v>
      </c>
      <c r="N101" s="35">
        <f>VLOOKUP($N$2, Private_Vehicle_Kilometres_Car_Stock[#All],MATCH(A101, Private_Vehicle_Kilometres_Car_Stock[#Headers],0),0)</f>
        <v>31821299194</v>
      </c>
    </row>
    <row r="102" spans="1:14" x14ac:dyDescent="0.25">
      <c r="A102" s="79" t="s">
        <v>33</v>
      </c>
      <c r="B102" s="13" t="s">
        <v>1</v>
      </c>
      <c r="C102" s="13" t="s">
        <v>43</v>
      </c>
      <c r="D102" s="5">
        <f>VLOOKUP(B102,Percentage_distribution_of_journey_distance_for_all_regions[#All],MATCH(A102,Percentage_distribution_of_journey_distance_for_all_regions[#Headers],0),0)/100</f>
        <v>0.41700000000000004</v>
      </c>
      <c r="E102" s="71">
        <f>IF(B102="&lt;2 kilometres",1,0)*VLOOKUP(C102, Percentage_dist_journeys_by_purpose_and_distance_to_2km[#All],MATCH(A102, Percentage_dist_journeys_by_purpose_and_distance_to_2km[#Headers],0),0)/100</f>
        <v>0</v>
      </c>
      <c r="F102" s="4">
        <f>IF(B102="2-4 kilometres",1,0)*VLOOKUP(C102, Percentage_dist_journeys_by_purpose_and_distance_2_to_4km[#All],MATCH(A102, Percentage_dist_journeys_by_purpose_and_distance_2_to_4km[#Headers],0),0)/100</f>
        <v>0</v>
      </c>
      <c r="G102" s="72">
        <f>IF(B102="4-6 kilometres",1,0)*VLOOKUP(C102, Percentage_dist_journeys_by_purpose_and_distance_4_to_6km[#All],MATCH(A102, Percentage_dist_journeys_by_purpose_and_distance_4_to_6km[#Headers],0),0)/100</f>
        <v>0</v>
      </c>
      <c r="H102" s="4">
        <f>IF(B102="6-8 kilometres",1,0)*VLOOKUP(C102, Percentage_dist_journeys_by_purpose_and_distance_6_to_8km[#All],MATCH(A102, Percentage_dist_journeys_by_purpose_and_distance_6_to_8km[#Headers],0),0)/100</f>
        <v>0</v>
      </c>
      <c r="I102" s="72">
        <f>IF(B102="8+ kilometres",1,0)*VLOOKUP(C102, Percentage_dist_journeys_by_purpose_and_distance_8km[#All],MATCH(A102, Percentage_dist_journeys_by_purpose_and_distance_8km[#Headers],0),0)/100</f>
        <v>0.05</v>
      </c>
      <c r="J102" s="73">
        <f>VLOOKUP(B102,Average_Distance_by_kilometres_grouping_for_trip_purpose[#All],MATCH(A102,Average_Distance_by_kilometres_grouping_for_trip_purpose[#Headers],0),0)</f>
        <v>38.15</v>
      </c>
      <c r="K102" s="77">
        <f>VLOOKUP(C102, Adjustment_factor_for_distance_based_on_trip_purpose[#All],MATCH(A102, Adjustment_factor_for_distance_based_on_trip_purpose[#Headers],0),0)</f>
        <v>0.88888888888888884</v>
      </c>
      <c r="L102" s="78">
        <f>VLOOKUP($L$2, Total_Journeys_Per_Year[#All],MATCH(A102, Total_Journeys_Per_Year[#Headers],0),0)</f>
        <v>3171485717.1895118</v>
      </c>
      <c r="M102" s="35">
        <f t="shared" si="1"/>
        <v>2522686955.309761</v>
      </c>
      <c r="N102" s="35">
        <f>VLOOKUP($N$2, Private_Vehicle_Kilometres_Car_Stock[#All],MATCH(A102, Private_Vehicle_Kilometres_Car_Stock[#Headers],0),0)</f>
        <v>31821299194</v>
      </c>
    </row>
    <row r="103" spans="1:14" x14ac:dyDescent="0.25">
      <c r="A103" s="79" t="s">
        <v>33</v>
      </c>
      <c r="B103" s="13" t="s">
        <v>12</v>
      </c>
      <c r="C103" s="13" t="s">
        <v>44</v>
      </c>
      <c r="D103" s="5">
        <f>VLOOKUP(B103,Percentage_distribution_of_journey_distance_for_all_regions[#All],MATCH(A103,Percentage_distribution_of_journey_distance_for_all_regions[#Headers],0),0)/100</f>
        <v>0.21100000000000002</v>
      </c>
      <c r="E103" s="71">
        <f>IF(B103="&lt;2 kilometres",1,0)*VLOOKUP(C103, Percentage_dist_journeys_by_purpose_and_distance_to_2km[#All],MATCH(A103, Percentage_dist_journeys_by_purpose_and_distance_to_2km[#Headers],0),0)/100</f>
        <v>0.30299999999999999</v>
      </c>
      <c r="F103" s="4">
        <f>IF(B103="2-4 kilometres",1,0)*VLOOKUP(C103, Percentage_dist_journeys_by_purpose_and_distance_2_to_4km[#All],MATCH(A103, Percentage_dist_journeys_by_purpose_and_distance_2_to_4km[#Headers],0),0)/100</f>
        <v>0</v>
      </c>
      <c r="G103" s="72">
        <f>IF(B103="4-6 kilometres",1,0)*VLOOKUP(C103, Percentage_dist_journeys_by_purpose_and_distance_4_to_6km[#All],MATCH(A103, Percentage_dist_journeys_by_purpose_and_distance_4_to_6km[#Headers],0),0)/100</f>
        <v>0</v>
      </c>
      <c r="H103" s="4">
        <f>IF(B103="6-8 kilometres",1,0)*VLOOKUP(C103, Percentage_dist_journeys_by_purpose_and_distance_6_to_8km[#All],MATCH(A103, Percentage_dist_journeys_by_purpose_and_distance_6_to_8km[#Headers],0),0)/100</f>
        <v>0</v>
      </c>
      <c r="I103" s="72">
        <f>IF(B103="8+ kilometres",1,0)*VLOOKUP(C103, Percentage_dist_journeys_by_purpose_and_distance_8km[#All],MATCH(A103, Percentage_dist_journeys_by_purpose_and_distance_8km[#Headers],0),0)/100</f>
        <v>0</v>
      </c>
      <c r="J103" s="73">
        <f>VLOOKUP(B103,Average_Distance_by_kilometres_grouping_for_trip_purpose[#All],MATCH(A103,Average_Distance_by_kilometres_grouping_for_trip_purpose[#Headers],0),0)</f>
        <v>1</v>
      </c>
      <c r="K103" s="77">
        <f>VLOOKUP(C103, Adjustment_factor_for_distance_based_on_trip_purpose[#All],MATCH(A103, Adjustment_factor_for_distance_based_on_trip_purpose[#Headers],0),0)</f>
        <v>0.44444444444444442</v>
      </c>
      <c r="L103" s="78">
        <f>VLOOKUP($L$2, Total_Journeys_Per_Year[#All],MATCH(A103, Total_Journeys_Per_Year[#Headers],0),0)</f>
        <v>3171485717.1895118</v>
      </c>
      <c r="M103" s="35">
        <f t="shared" si="1"/>
        <v>202762596.35707706</v>
      </c>
      <c r="N103" s="35">
        <f>VLOOKUP($N$2, Private_Vehicle_Kilometres_Car_Stock[#All],MATCH(A103, Private_Vehicle_Kilometres_Car_Stock[#Headers],0),0)</f>
        <v>31821299194</v>
      </c>
    </row>
    <row r="104" spans="1:14" x14ac:dyDescent="0.25">
      <c r="A104" s="79" t="s">
        <v>33</v>
      </c>
      <c r="B104" s="13" t="s">
        <v>181</v>
      </c>
      <c r="C104" s="13" t="s">
        <v>44</v>
      </c>
      <c r="D104" s="5">
        <f>VLOOKUP(B104,Percentage_distribution_of_journey_distance_for_all_regions[#All],MATCH(A104,Percentage_distribution_of_journey_distance_for_all_regions[#Headers],0),0)/100</f>
        <v>0.18899999999999997</v>
      </c>
      <c r="E104" s="71">
        <f>IF(B104="&lt;2 kilometres",1,0)*VLOOKUP(C104, Percentage_dist_journeys_by_purpose_and_distance_to_2km[#All],MATCH(A104, Percentage_dist_journeys_by_purpose_and_distance_to_2km[#Headers],0),0)/100</f>
        <v>0</v>
      </c>
      <c r="F104" s="4">
        <f>IF(B104="2-4 kilometres",1,0)*VLOOKUP(C104, Percentage_dist_journeys_by_purpose_and_distance_2_to_4km[#All],MATCH(A104, Percentage_dist_journeys_by_purpose_and_distance_2_to_4km[#Headers],0),0)/100</f>
        <v>0.254</v>
      </c>
      <c r="G104" s="72">
        <f>IF(B104="4-6 kilometres",1,0)*VLOOKUP(C104, Percentage_dist_journeys_by_purpose_and_distance_4_to_6km[#All],MATCH(A104, Percentage_dist_journeys_by_purpose_and_distance_4_to_6km[#Headers],0),0)/100</f>
        <v>0</v>
      </c>
      <c r="H104" s="4">
        <f>IF(B104="6-8 kilometres",1,0)*VLOOKUP(C104, Percentage_dist_journeys_by_purpose_and_distance_6_to_8km[#All],MATCH(A104, Percentage_dist_journeys_by_purpose_and_distance_6_to_8km[#Headers],0),0)/100</f>
        <v>0</v>
      </c>
      <c r="I104" s="72">
        <f>IF(B104="8+ kilometres",1,0)*VLOOKUP(C104, Percentage_dist_journeys_by_purpose_and_distance_8km[#All],MATCH(A104, Percentage_dist_journeys_by_purpose_and_distance_8km[#Headers],0),0)/100</f>
        <v>0</v>
      </c>
      <c r="J104" s="73">
        <f>VLOOKUP(B104,Average_Distance_by_kilometres_grouping_for_trip_purpose[#All],MATCH(A104,Average_Distance_by_kilometres_grouping_for_trip_purpose[#Headers],0),0)</f>
        <v>3</v>
      </c>
      <c r="K104" s="77">
        <f>VLOOKUP(C104, Adjustment_factor_for_distance_based_on_trip_purpose[#All],MATCH(A104, Adjustment_factor_for_distance_based_on_trip_purpose[#Headers],0),0)</f>
        <v>0.44444444444444442</v>
      </c>
      <c r="L104" s="78">
        <f>VLOOKUP($L$2, Total_Journeys_Per_Year[#All],MATCH(A104, Total_Journeys_Per_Year[#Headers],0),0)</f>
        <v>3171485717.1895118</v>
      </c>
      <c r="M104" s="35">
        <f t="shared" si="1"/>
        <v>456751030.01819903</v>
      </c>
      <c r="N104" s="35">
        <f>VLOOKUP($N$2, Private_Vehicle_Kilometres_Car_Stock[#All],MATCH(A104, Private_Vehicle_Kilometres_Car_Stock[#Headers],0),0)</f>
        <v>31821299194</v>
      </c>
    </row>
    <row r="105" spans="1:14" x14ac:dyDescent="0.25">
      <c r="A105" s="79" t="s">
        <v>33</v>
      </c>
      <c r="B105" s="13" t="s">
        <v>180</v>
      </c>
      <c r="C105" s="13" t="s">
        <v>44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Percentage_dist_journeys_by_purpose_and_distance_to_2km[#All],MATCH(A105, Percentage_dist_journeys_by_purpose_and_distance_to_2km[#Headers],0),0)/100</f>
        <v>0</v>
      </c>
      <c r="F105" s="4">
        <f>IF(B105="2-4 kilometres",1,0)*VLOOKUP(C105, Percentage_dist_journeys_by_purpose_and_distance_2_to_4km[#All],MATCH(A105, Percentage_dist_journeys_by_purpose_and_distance_2_to_4km[#Headers],0),0)/100</f>
        <v>0</v>
      </c>
      <c r="G105" s="72">
        <f>IF(B105="4-6 kilometres",1,0)*VLOOKUP(C105, Percentage_dist_journeys_by_purpose_and_distance_4_to_6km[#All],MATCH(A105, Percentage_dist_journeys_by_purpose_and_distance_4_to_6km[#Headers],0),0)/100</f>
        <v>0.221</v>
      </c>
      <c r="H105" s="4">
        <f>IF(B105="6-8 kilometres",1,0)*VLOOKUP(C105, Percentage_dist_journeys_by_purpose_and_distance_6_to_8km[#All],MATCH(A105, Percentage_dist_journeys_by_purpose_and_distance_6_to_8km[#Headers],0),0)/100</f>
        <v>0</v>
      </c>
      <c r="I105" s="72">
        <f>IF(B105="8+ kilometres",1,0)*VLOOKUP(C105, Percentage_dist_journeys_by_purpose_and_distance_8km[#All],MATCH(A105, Percentage_dist_journeys_by_purpose_and_distance_8km[#Headers],0),0)/100</f>
        <v>0</v>
      </c>
      <c r="J105" s="73">
        <f>VLOOKUP(B105,Average_Distance_by_kilometres_grouping_for_trip_purpose[#All],MATCH(A105,Average_Distance_by_kilometres_grouping_for_trip_purpose[#Headers],0),0)</f>
        <v>5</v>
      </c>
      <c r="K105" s="77">
        <f>VLOOKUP(C105, Adjustment_factor_for_distance_based_on_trip_purpose[#All],MATCH(A105, Adjustment_factor_for_distance_based_on_trip_purpose[#Headers],0),0)</f>
        <v>0.44444444444444442</v>
      </c>
      <c r="L105" s="78">
        <f>VLOOKUP($L$2, Total_Journeys_Per_Year[#All],MATCH(A105, Total_Journeys_Per_Year[#Headers],0),0)</f>
        <v>3171485717.1895118</v>
      </c>
      <c r="M105" s="35">
        <f t="shared" si="1"/>
        <v>410025530.94684595</v>
      </c>
      <c r="N105" s="35">
        <f>VLOOKUP($N$2, Private_Vehicle_Kilometres_Car_Stock[#All],MATCH(A105, Private_Vehicle_Kilometres_Car_Stock[#Headers],0),0)</f>
        <v>31821299194</v>
      </c>
    </row>
    <row r="106" spans="1:14" x14ac:dyDescent="0.25">
      <c r="A106" s="79" t="s">
        <v>33</v>
      </c>
      <c r="B106" s="13" t="s">
        <v>182</v>
      </c>
      <c r="C106" s="13" t="s">
        <v>44</v>
      </c>
      <c r="D106" s="5">
        <f>VLOOKUP(B106,Percentage_distribution_of_journey_distance_for_all_regions[#All],MATCH(A106,Percentage_distribution_of_journey_distance_for_all_regions[#Headers],0),0)/100</f>
        <v>6.6000000000000003E-2</v>
      </c>
      <c r="E106" s="71">
        <f>IF(B106="&lt;2 kilometres",1,0)*VLOOKUP(C106, Percentage_dist_journeys_by_purpose_and_distance_to_2km[#All],MATCH(A106, Percentage_dist_journeys_by_purpose_and_distance_to_2km[#Headers],0),0)/100</f>
        <v>0</v>
      </c>
      <c r="F106" s="4">
        <f>IF(B106="2-4 kilometres",1,0)*VLOOKUP(C106, Percentage_dist_journeys_by_purpose_and_distance_2_to_4km[#All],MATCH(A106, Percentage_dist_journeys_by_purpose_and_distance_2_to_4km[#Headers],0),0)/100</f>
        <v>0</v>
      </c>
      <c r="G106" s="72">
        <f>IF(B106="4-6 kilometres",1,0)*VLOOKUP(C106, Percentage_dist_journeys_by_purpose_and_distance_4_to_6km[#All],MATCH(A106, Percentage_dist_journeys_by_purpose_and_distance_4_to_6km[#Headers],0),0)/100</f>
        <v>0</v>
      </c>
      <c r="H106" s="4">
        <f>IF(B106="6-8 kilometres",1,0)*VLOOKUP(C106, Percentage_dist_journeys_by_purpose_and_distance_6_to_8km[#All],MATCH(A106, Percentage_dist_journeys_by_purpose_and_distance_6_to_8km[#Headers],0),0)/100</f>
        <v>0.21199999999999999</v>
      </c>
      <c r="I106" s="72">
        <f>IF(B106="8+ kilometres",1,0)*VLOOKUP(C106, Percentage_dist_journeys_by_purpose_and_distance_8km[#All],MATCH(A106, Percentage_dist_journeys_by_purpose_and_distance_8km[#Headers],0),0)/100</f>
        <v>0</v>
      </c>
      <c r="J106" s="73">
        <f>VLOOKUP(B106,Average_Distance_by_kilometres_grouping_for_trip_purpose[#All],MATCH(A106,Average_Distance_by_kilometres_grouping_for_trip_purpose[#Headers],0),0)</f>
        <v>7</v>
      </c>
      <c r="K106" s="77">
        <f>VLOOKUP(C106, Adjustment_factor_for_distance_based_on_trip_purpose[#All],MATCH(A106, Adjustment_factor_for_distance_based_on_trip_purpose[#Headers],0),0)</f>
        <v>0.44444444444444442</v>
      </c>
      <c r="L106" s="78">
        <f>VLOOKUP($L$2, Total_Journeys_Per_Year[#All],MATCH(A106, Total_Journeys_Per_Year[#Headers],0),0)</f>
        <v>3171485717.1895118</v>
      </c>
      <c r="M106" s="35">
        <f t="shared" si="1"/>
        <v>310627997.08440953</v>
      </c>
      <c r="N106" s="35">
        <f>VLOOKUP($N$2, Private_Vehicle_Kilometres_Car_Stock[#All],MATCH(A106, Private_Vehicle_Kilometres_Car_Stock[#Headers],0),0)</f>
        <v>31821299194</v>
      </c>
    </row>
    <row r="107" spans="1:14" x14ac:dyDescent="0.25">
      <c r="A107" s="79" t="s">
        <v>33</v>
      </c>
      <c r="B107" s="13" t="s">
        <v>1</v>
      </c>
      <c r="C107" s="13" t="s">
        <v>44</v>
      </c>
      <c r="D107" s="5">
        <f>VLOOKUP(B107,Percentage_distribution_of_journey_distance_for_all_regions[#All],MATCH(A107,Percentage_distribution_of_journey_distance_for_all_regions[#Headers],0),0)/100</f>
        <v>0.41700000000000004</v>
      </c>
      <c r="E107" s="71">
        <f>IF(B107="&lt;2 kilometres",1,0)*VLOOKUP(C107, Percentage_dist_journeys_by_purpose_and_distance_to_2km[#All],MATCH(A107, Percentage_dist_journeys_by_purpose_and_distance_to_2km[#Headers],0),0)/100</f>
        <v>0</v>
      </c>
      <c r="F107" s="4">
        <f>IF(B107="2-4 kilometres",1,0)*VLOOKUP(C107, Percentage_dist_journeys_by_purpose_and_distance_2_to_4km[#All],MATCH(A107, Percentage_dist_journeys_by_purpose_and_distance_2_to_4km[#Headers],0),0)/100</f>
        <v>0</v>
      </c>
      <c r="G107" s="72">
        <f>IF(B107="4-6 kilometres",1,0)*VLOOKUP(C107, Percentage_dist_journeys_by_purpose_and_distance_4_to_6km[#All],MATCH(A107, Percentage_dist_journeys_by_purpose_and_distance_4_to_6km[#Headers],0),0)/100</f>
        <v>0</v>
      </c>
      <c r="H107" s="4">
        <f>IF(B107="6-8 kilometres",1,0)*VLOOKUP(C107, Percentage_dist_journeys_by_purpose_and_distance_6_to_8km[#All],MATCH(A107, Percentage_dist_journeys_by_purpose_and_distance_6_to_8km[#Headers],0),0)/100</f>
        <v>0</v>
      </c>
      <c r="I107" s="72">
        <f>IF(B107="8+ kilometres",1,0)*VLOOKUP(C107, Percentage_dist_journeys_by_purpose_and_distance_8km[#All],MATCH(A107, Percentage_dist_journeys_by_purpose_and_distance_8km[#Headers],0),0)/100</f>
        <v>0.23899999999999999</v>
      </c>
      <c r="J107" s="73">
        <f>VLOOKUP(B107,Average_Distance_by_kilometres_grouping_for_trip_purpose[#All],MATCH(A107,Average_Distance_by_kilometres_grouping_for_trip_purpose[#Headers],0),0)</f>
        <v>38.15</v>
      </c>
      <c r="K107" s="77">
        <f>VLOOKUP(C107, Adjustment_factor_for_distance_based_on_trip_purpose[#All],MATCH(A107, Adjustment_factor_for_distance_based_on_trip_purpose[#Headers],0),0)</f>
        <v>0.44444444444444442</v>
      </c>
      <c r="L107" s="78">
        <f>VLOOKUP($L$2, Total_Journeys_Per_Year[#All],MATCH(A107, Total_Journeys_Per_Year[#Headers],0),0)</f>
        <v>3171485717.1895118</v>
      </c>
      <c r="M107" s="35">
        <f t="shared" si="1"/>
        <v>12058443646.380655</v>
      </c>
      <c r="N107" s="35">
        <f>VLOOKUP($N$2, Private_Vehicle_Kilometres_Car_Stock[#All],MATCH(A107, Private_Vehicle_Kilometres_Car_Stock[#Headers],0),0)</f>
        <v>31821299194</v>
      </c>
    </row>
    <row r="108" spans="1:14" x14ac:dyDescent="0.25">
      <c r="A108" s="79" t="s">
        <v>33</v>
      </c>
      <c r="B108" s="13" t="s">
        <v>12</v>
      </c>
      <c r="C108" s="13" t="s">
        <v>45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Percentage_dist_journeys_by_purpose_and_distance_to_2km[#All],MATCH(A108, Percentage_dist_journeys_by_purpose_and_distance_to_2km[#Headers],0),0)/100</f>
        <v>3.4000000000000002E-2</v>
      </c>
      <c r="F108" s="4">
        <f>IF(B108="2-4 kilometres",1,0)*VLOOKUP(C108, Percentage_dist_journeys_by_purpose_and_distance_2_to_4km[#All],MATCH(A108, Percentage_dist_journeys_by_purpose_and_distance_2_to_4km[#Headers],0),0)/100</f>
        <v>0</v>
      </c>
      <c r="G108" s="72">
        <f>IF(B108="4-6 kilometres",1,0)*VLOOKUP(C108, Percentage_dist_journeys_by_purpose_and_distance_4_to_6km[#All],MATCH(A108, Percentage_dist_journeys_by_purpose_and_distance_4_to_6km[#Headers],0),0)/100</f>
        <v>0</v>
      </c>
      <c r="H108" s="4">
        <f>IF(B108="6-8 kilometres",1,0)*VLOOKUP(C108, Percentage_dist_journeys_by_purpose_and_distance_6_to_8km[#All],MATCH(A108, Percentage_dist_journeys_by_purpose_and_distance_6_to_8km[#Headers],0),0)/100</f>
        <v>0</v>
      </c>
      <c r="I108" s="72">
        <f>IF(B108="8+ kilometres",1,0)*VLOOKUP(C108, Percentage_dist_journeys_by_purpose_and_distance_8km[#All],MATCH(A108, Percentage_dist_journeys_by_purpose_and_distance_8km[#Headers],0),0)/100</f>
        <v>0</v>
      </c>
      <c r="J108" s="73">
        <f>VLOOKUP(B108,Average_Distance_by_kilometres_grouping_for_trip_purpose[#All],MATCH(A108,Average_Distance_by_kilometres_grouping_for_trip_purpose[#Headers],0),0)</f>
        <v>1</v>
      </c>
      <c r="K108" s="77">
        <f>VLOOKUP(C108, Adjustment_factor_for_distance_based_on_trip_purpose[#All],MATCH(A108, Adjustment_factor_for_distance_based_on_trip_purpose[#Headers],0),0)</f>
        <v>0.44444444444444442</v>
      </c>
      <c r="L108" s="78">
        <f>VLOOKUP($L$2, Total_Journeys_Per_Year[#All],MATCH(A108, Total_Journeys_Per_Year[#Headers],0),0)</f>
        <v>3171485717.1895118</v>
      </c>
      <c r="M108" s="35">
        <f t="shared" si="1"/>
        <v>22752238.535117563</v>
      </c>
      <c r="N108" s="35">
        <f>VLOOKUP($N$2, Private_Vehicle_Kilometres_Car_Stock[#All],MATCH(A108, Private_Vehicle_Kilometres_Car_Stock[#Headers],0),0)</f>
        <v>31821299194</v>
      </c>
    </row>
    <row r="109" spans="1:14" x14ac:dyDescent="0.25">
      <c r="A109" s="79" t="s">
        <v>33</v>
      </c>
      <c r="B109" s="13" t="s">
        <v>181</v>
      </c>
      <c r="C109" s="13" t="s">
        <v>45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Percentage_dist_journeys_by_purpose_and_distance_to_2km[#All],MATCH(A109, Percentage_dist_journeys_by_purpose_and_distance_to_2km[#Headers],0),0)/100</f>
        <v>0</v>
      </c>
      <c r="F109" s="4">
        <f>IF(B109="2-4 kilometres",1,0)*VLOOKUP(C109, Percentage_dist_journeys_by_purpose_and_distance_2_to_4km[#All],MATCH(A109, Percentage_dist_journeys_by_purpose_and_distance_2_to_4km[#Headers],0),0)/100</f>
        <v>1.9E-2</v>
      </c>
      <c r="G109" s="72">
        <f>IF(B109="4-6 kilometres",1,0)*VLOOKUP(C109, Percentage_dist_journeys_by_purpose_and_distance_4_to_6km[#All],MATCH(A109, Percentage_dist_journeys_by_purpose_and_distance_4_to_6km[#Headers],0),0)/100</f>
        <v>0</v>
      </c>
      <c r="H109" s="4">
        <f>IF(B109="6-8 kilometres",1,0)*VLOOKUP(C109, Percentage_dist_journeys_by_purpose_and_distance_6_to_8km[#All],MATCH(A109, Percentage_dist_journeys_by_purpose_and_distance_6_to_8km[#Headers],0),0)/100</f>
        <v>0</v>
      </c>
      <c r="I109" s="72">
        <f>IF(B109="8+ kilometres",1,0)*VLOOKUP(C109, Percentage_dist_journeys_by_purpose_and_distance_8km[#All],MATCH(A109, Percentage_dist_journeys_by_purpose_and_distance_8km[#Headers],0),0)/100</f>
        <v>0</v>
      </c>
      <c r="J109" s="73">
        <f>VLOOKUP(B109,Average_Distance_by_kilometres_grouping_for_trip_purpose[#All],MATCH(A109,Average_Distance_by_kilometres_grouping_for_trip_purpose[#Headers],0),0)</f>
        <v>3</v>
      </c>
      <c r="K109" s="77">
        <f>VLOOKUP(C109, Adjustment_factor_for_distance_based_on_trip_purpose[#All],MATCH(A109, Adjustment_factor_for_distance_based_on_trip_purpose[#Headers],0),0)</f>
        <v>0.44444444444444442</v>
      </c>
      <c r="L109" s="78">
        <f>VLOOKUP($L$2, Total_Journeys_Per_Year[#All],MATCH(A109, Total_Journeys_Per_Year[#Headers],0),0)</f>
        <v>3171485717.1895118</v>
      </c>
      <c r="M109" s="35">
        <f t="shared" si="1"/>
        <v>34166415.631282605</v>
      </c>
      <c r="N109" s="35">
        <f>VLOOKUP($N$2, Private_Vehicle_Kilometres_Car_Stock[#All],MATCH(A109, Private_Vehicle_Kilometres_Car_Stock[#Headers],0),0)</f>
        <v>31821299194</v>
      </c>
    </row>
    <row r="110" spans="1:14" x14ac:dyDescent="0.25">
      <c r="A110" s="79" t="s">
        <v>33</v>
      </c>
      <c r="B110" s="13" t="s">
        <v>180</v>
      </c>
      <c r="C110" s="13" t="s">
        <v>45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Percentage_dist_journeys_by_purpose_and_distance_to_2km[#All],MATCH(A110, Percentage_dist_journeys_by_purpose_and_distance_to_2km[#Headers],0),0)/100</f>
        <v>0</v>
      </c>
      <c r="F110" s="4">
        <f>IF(B110="2-4 kilometres",1,0)*VLOOKUP(C110, Percentage_dist_journeys_by_purpose_and_distance_2_to_4km[#All],MATCH(A110, Percentage_dist_journeys_by_purpose_and_distance_2_to_4km[#Headers],0),0)/100</f>
        <v>0</v>
      </c>
      <c r="G110" s="72">
        <f>IF(B110="4-6 kilometres",1,0)*VLOOKUP(C110, Percentage_dist_journeys_by_purpose_and_distance_4_to_6km[#All],MATCH(A110, Percentage_dist_journeys_by_purpose_and_distance_4_to_6km[#Headers],0),0)/100</f>
        <v>1.8000000000000002E-2</v>
      </c>
      <c r="H110" s="4">
        <f>IF(B110="6-8 kilometres",1,0)*VLOOKUP(C110, Percentage_dist_journeys_by_purpose_and_distance_6_to_8km[#All],MATCH(A110, Percentage_dist_journeys_by_purpose_and_distance_6_to_8km[#Headers],0),0)/100</f>
        <v>0</v>
      </c>
      <c r="I110" s="72">
        <f>IF(B110="8+ kilometres",1,0)*VLOOKUP(C110, Percentage_dist_journeys_by_purpose_and_distance_8km[#All],MATCH(A110, Percentage_dist_journeys_by_purpose_and_distance_8km[#Headers],0),0)/100</f>
        <v>0</v>
      </c>
      <c r="J110" s="73">
        <f>VLOOKUP(B110,Average_Distance_by_kilometres_grouping_for_trip_purpose[#All],MATCH(A110,Average_Distance_by_kilometres_grouping_for_trip_purpose[#Headers],0),0)</f>
        <v>5</v>
      </c>
      <c r="K110" s="77">
        <f>VLOOKUP(C110, Adjustment_factor_for_distance_based_on_trip_purpose[#All],MATCH(A110, Adjustment_factor_for_distance_based_on_trip_purpose[#Headers],0),0)</f>
        <v>0.44444444444444442</v>
      </c>
      <c r="L110" s="78">
        <f>VLOOKUP($L$2, Total_Journeys_Per_Year[#All],MATCH(A110, Total_Journeys_Per_Year[#Headers],0),0)</f>
        <v>3171485717.1895118</v>
      </c>
      <c r="M110" s="35">
        <f t="shared" si="1"/>
        <v>33395744.602005564</v>
      </c>
      <c r="N110" s="35">
        <f>VLOOKUP($N$2, Private_Vehicle_Kilometres_Car_Stock[#All],MATCH(A110, Private_Vehicle_Kilometres_Car_Stock[#Headers],0),0)</f>
        <v>31821299194</v>
      </c>
    </row>
    <row r="111" spans="1:14" x14ac:dyDescent="0.25">
      <c r="A111" s="79" t="s">
        <v>33</v>
      </c>
      <c r="B111" s="13" t="s">
        <v>182</v>
      </c>
      <c r="C111" s="13" t="s">
        <v>45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Percentage_dist_journeys_by_purpose_and_distance_to_2km[#All],MATCH(A111, Percentage_dist_journeys_by_purpose_and_distance_to_2km[#Headers],0),0)/100</f>
        <v>0</v>
      </c>
      <c r="F111" s="4">
        <f>IF(B111="2-4 kilometres",1,0)*VLOOKUP(C111, Percentage_dist_journeys_by_purpose_and_distance_2_to_4km[#All],MATCH(A111, Percentage_dist_journeys_by_purpose_and_distance_2_to_4km[#Headers],0),0)/100</f>
        <v>0</v>
      </c>
      <c r="G111" s="72">
        <f>IF(B111="4-6 kilometres",1,0)*VLOOKUP(C111, Percentage_dist_journeys_by_purpose_and_distance_4_to_6km[#All],MATCH(A111, Percentage_dist_journeys_by_purpose_and_distance_4_to_6km[#Headers],0),0)/100</f>
        <v>0</v>
      </c>
      <c r="H111" s="4">
        <f>IF(B111="6-8 kilometres",1,0)*VLOOKUP(C111, Percentage_dist_journeys_by_purpose_and_distance_6_to_8km[#All],MATCH(A111, Percentage_dist_journeys_by_purpose_and_distance_6_to_8km[#Headers],0),0)/100</f>
        <v>1.9E-2</v>
      </c>
      <c r="I111" s="72">
        <f>IF(B111="8+ kilometres",1,0)*VLOOKUP(C111, Percentage_dist_journeys_by_purpose_and_distance_8km[#All],MATCH(A111, Percentage_dist_journeys_by_purpose_and_distance_8km[#Headers],0),0)/100</f>
        <v>0</v>
      </c>
      <c r="J111" s="73">
        <f>VLOOKUP(B111,Average_Distance_by_kilometres_grouping_for_trip_purpose[#All],MATCH(A111,Average_Distance_by_kilometres_grouping_for_trip_purpose[#Headers],0),0)</f>
        <v>7</v>
      </c>
      <c r="K111" s="77">
        <f>VLOOKUP(C111, Adjustment_factor_for_distance_based_on_trip_purpose[#All],MATCH(A111, Adjustment_factor_for_distance_based_on_trip_purpose[#Headers],0),0)</f>
        <v>0.44444444444444442</v>
      </c>
      <c r="L111" s="78">
        <f>VLOOKUP($L$2, Total_Journeys_Per_Year[#All],MATCH(A111, Total_Journeys_Per_Year[#Headers],0),0)</f>
        <v>3171485717.1895118</v>
      </c>
      <c r="M111" s="35">
        <f t="shared" si="1"/>
        <v>27839301.625489537</v>
      </c>
      <c r="N111" s="35">
        <f>VLOOKUP($N$2, Private_Vehicle_Kilometres_Car_Stock[#All],MATCH(A111, Private_Vehicle_Kilometres_Car_Stock[#Headers],0),0)</f>
        <v>31821299194</v>
      </c>
    </row>
    <row r="112" spans="1:14" x14ac:dyDescent="0.25">
      <c r="A112" s="79" t="s">
        <v>33</v>
      </c>
      <c r="B112" s="13" t="s">
        <v>1</v>
      </c>
      <c r="C112" s="13" t="s">
        <v>45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Percentage_dist_journeys_by_purpose_and_distance_to_2km[#All],MATCH(A112, Percentage_dist_journeys_by_purpose_and_distance_to_2km[#Headers],0),0)/100</f>
        <v>0</v>
      </c>
      <c r="F112" s="4">
        <f>IF(B112="2-4 kilometres",1,0)*VLOOKUP(C112, Percentage_dist_journeys_by_purpose_and_distance_2_to_4km[#All],MATCH(A112, Percentage_dist_journeys_by_purpose_and_distance_2_to_4km[#Headers],0),0)/100</f>
        <v>0</v>
      </c>
      <c r="G112" s="72">
        <f>IF(B112="4-6 kilometres",1,0)*VLOOKUP(C112, Percentage_dist_journeys_by_purpose_and_distance_4_to_6km[#All],MATCH(A112, Percentage_dist_journeys_by_purpose_and_distance_4_to_6km[#Headers],0),0)/100</f>
        <v>0</v>
      </c>
      <c r="H112" s="4">
        <f>IF(B112="6-8 kilometres",1,0)*VLOOKUP(C112, Percentage_dist_journeys_by_purpose_and_distance_6_to_8km[#All],MATCH(A112, Percentage_dist_journeys_by_purpose_and_distance_6_to_8km[#Headers],0),0)/100</f>
        <v>0</v>
      </c>
      <c r="I112" s="72">
        <f>IF(B112="8+ kilometres",1,0)*VLOOKUP(C112, Percentage_dist_journeys_by_purpose_and_distance_8km[#All],MATCH(A112, Percentage_dist_journeys_by_purpose_and_distance_8km[#Headers],0),0)/100</f>
        <v>2.2000000000000002E-2</v>
      </c>
      <c r="J112" s="73">
        <f>VLOOKUP(B112,Average_Distance_by_kilometres_grouping_for_trip_purpose[#All],MATCH(A112,Average_Distance_by_kilometres_grouping_for_trip_purpose[#Headers],0),0)</f>
        <v>38.15</v>
      </c>
      <c r="K112" s="77">
        <f>VLOOKUP(C112, Adjustment_factor_for_distance_based_on_trip_purpose[#All],MATCH(A112, Adjustment_factor_for_distance_based_on_trip_purpose[#Headers],0),0)</f>
        <v>0.44444444444444442</v>
      </c>
      <c r="L112" s="78">
        <f>VLOOKUP($L$2, Total_Journeys_Per_Year[#All],MATCH(A112, Total_Journeys_Per_Year[#Headers],0),0)</f>
        <v>3171485717.1895118</v>
      </c>
      <c r="M112" s="35">
        <f t="shared" si="1"/>
        <v>1109982260.3362947</v>
      </c>
      <c r="N112" s="35">
        <f>VLOOKUP($N$2, Private_Vehicle_Kilometres_Car_Stock[#All],MATCH(A112, Private_Vehicle_Kilometres_Car_Stock[#Headers],0),0)</f>
        <v>31821299194</v>
      </c>
    </row>
    <row r="113" spans="1:14" x14ac:dyDescent="0.25">
      <c r="A113" s="79" t="s">
        <v>33</v>
      </c>
      <c r="B113" s="13" t="s">
        <v>12</v>
      </c>
      <c r="C113" s="13" t="s">
        <v>46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Percentage_dist_journeys_by_purpose_and_distance_to_2km[#All],MATCH(A113, Percentage_dist_journeys_by_purpose_and_distance_to_2km[#Headers],0),0)/100</f>
        <v>7.4999999999999997E-2</v>
      </c>
      <c r="F113" s="4">
        <f>IF(B113="2-4 kilometres",1,0)*VLOOKUP(C113, Percentage_dist_journeys_by_purpose_and_distance_2_to_4km[#All],MATCH(A113, Percentage_dist_journeys_by_purpose_and_distance_2_to_4km[#Headers],0),0)/100</f>
        <v>0</v>
      </c>
      <c r="G113" s="72">
        <f>IF(B113="4-6 kilometres",1,0)*VLOOKUP(C113, Percentage_dist_journeys_by_purpose_and_distance_4_to_6km[#All],MATCH(A113, Percentage_dist_journeys_by_purpose_and_distance_4_to_6km[#Headers],0),0)/100</f>
        <v>0</v>
      </c>
      <c r="H113" s="4">
        <f>IF(B113="6-8 kilometres",1,0)*VLOOKUP(C113, Percentage_dist_journeys_by_purpose_and_distance_6_to_8km[#All],MATCH(A113, Percentage_dist_journeys_by_purpose_and_distance_6_to_8km[#Headers],0),0)/100</f>
        <v>0</v>
      </c>
      <c r="I113" s="72">
        <f>IF(B113="8+ kilometres",1,0)*VLOOKUP(C113, Percentage_dist_journeys_by_purpose_and_distance_8km[#All],MATCH(A113, Percentage_dist_journeys_by_purpose_and_distance_8km[#Headers],0),0)/100</f>
        <v>0</v>
      </c>
      <c r="J113" s="73">
        <f>VLOOKUP(B113,Average_Distance_by_kilometres_grouping_for_trip_purpose[#All],MATCH(A113,Average_Distance_by_kilometres_grouping_for_trip_purpose[#Headers],0),0)</f>
        <v>1</v>
      </c>
      <c r="K113" s="77">
        <f>VLOOKUP(C113, Adjustment_factor_for_distance_based_on_trip_purpose[#All],MATCH(A113, Adjustment_factor_for_distance_based_on_trip_purpose[#Headers],0),0)</f>
        <v>0.94444444444444442</v>
      </c>
      <c r="L113" s="78">
        <f>VLOOKUP($L$2, Total_Journeys_Per_Year[#All],MATCH(A113, Total_Journeys_Per_Year[#Headers],0),0)</f>
        <v>3171485717.1895118</v>
      </c>
      <c r="M113" s="35">
        <f t="shared" si="1"/>
        <v>50188761.474524029</v>
      </c>
      <c r="N113" s="35">
        <f>VLOOKUP($N$2, Private_Vehicle_Kilometres_Car_Stock[#All],MATCH(A113, Private_Vehicle_Kilometres_Car_Stock[#Headers],0),0)</f>
        <v>31821299194</v>
      </c>
    </row>
    <row r="114" spans="1:14" x14ac:dyDescent="0.25">
      <c r="A114" s="79" t="s">
        <v>33</v>
      </c>
      <c r="B114" s="13" t="s">
        <v>181</v>
      </c>
      <c r="C114" s="13" t="s">
        <v>46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Percentage_dist_journeys_by_purpose_and_distance_to_2km[#All],MATCH(A114, Percentage_dist_journeys_by_purpose_and_distance_to_2km[#Headers],0),0)/100</f>
        <v>0</v>
      </c>
      <c r="F114" s="4">
        <f>IF(B114="2-4 kilometres",1,0)*VLOOKUP(C114, Percentage_dist_journeys_by_purpose_and_distance_2_to_4km[#All],MATCH(A114, Percentage_dist_journeys_by_purpose_and_distance_2_to_4km[#Headers],0),0)/100</f>
        <v>0.08</v>
      </c>
      <c r="G114" s="72">
        <f>IF(B114="4-6 kilometres",1,0)*VLOOKUP(C114, Percentage_dist_journeys_by_purpose_and_distance_4_to_6km[#All],MATCH(A114, Percentage_dist_journeys_by_purpose_and_distance_4_to_6km[#Headers],0),0)/100</f>
        <v>0</v>
      </c>
      <c r="H114" s="4">
        <f>IF(B114="6-8 kilometres",1,0)*VLOOKUP(C114, Percentage_dist_journeys_by_purpose_and_distance_6_to_8km[#All],MATCH(A114, Percentage_dist_journeys_by_purpose_and_distance_6_to_8km[#Headers],0),0)/100</f>
        <v>0</v>
      </c>
      <c r="I114" s="72">
        <f>IF(B114="8+ kilometres",1,0)*VLOOKUP(C114, Percentage_dist_journeys_by_purpose_and_distance_8km[#All],MATCH(A114, Percentage_dist_journeys_by_purpose_and_distance_8km[#Headers],0),0)/100</f>
        <v>0</v>
      </c>
      <c r="J114" s="73">
        <f>VLOOKUP(B114,Average_Distance_by_kilometres_grouping_for_trip_purpose[#All],MATCH(A114,Average_Distance_by_kilometres_grouping_for_trip_purpose[#Headers],0),0)</f>
        <v>3</v>
      </c>
      <c r="K114" s="77">
        <f>VLOOKUP(C114, Adjustment_factor_for_distance_based_on_trip_purpose[#All],MATCH(A114, Adjustment_factor_for_distance_based_on_trip_purpose[#Headers],0),0)</f>
        <v>0.94444444444444442</v>
      </c>
      <c r="L114" s="78">
        <f>VLOOKUP($L$2, Total_Journeys_Per_Year[#All],MATCH(A114, Total_Journeys_Per_Year[#Headers],0),0)</f>
        <v>3171485717.1895118</v>
      </c>
      <c r="M114" s="35">
        <f t="shared" si="1"/>
        <v>143858592.13171625</v>
      </c>
      <c r="N114" s="35">
        <f>VLOOKUP($N$2, Private_Vehicle_Kilometres_Car_Stock[#All],MATCH(A114, Private_Vehicle_Kilometres_Car_Stock[#Headers],0),0)</f>
        <v>31821299194</v>
      </c>
    </row>
    <row r="115" spans="1:14" x14ac:dyDescent="0.25">
      <c r="A115" s="79" t="s">
        <v>33</v>
      </c>
      <c r="B115" s="13" t="s">
        <v>180</v>
      </c>
      <c r="C115" s="13" t="s">
        <v>46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Percentage_dist_journeys_by_purpose_and_distance_to_2km[#All],MATCH(A115, Percentage_dist_journeys_by_purpose_and_distance_to_2km[#Headers],0),0)/100</f>
        <v>0</v>
      </c>
      <c r="F115" s="4">
        <f>IF(B115="2-4 kilometres",1,0)*VLOOKUP(C115, Percentage_dist_journeys_by_purpose_and_distance_2_to_4km[#All],MATCH(A115, Percentage_dist_journeys_by_purpose_and_distance_2_to_4km[#Headers],0),0)/100</f>
        <v>0</v>
      </c>
      <c r="G115" s="72">
        <f>IF(B115="4-6 kilometres",1,0)*VLOOKUP(C115, Percentage_dist_journeys_by_purpose_and_distance_4_to_6km[#All],MATCH(A115, Percentage_dist_journeys_by_purpose_and_distance_4_to_6km[#Headers],0),0)/100</f>
        <v>8.3000000000000004E-2</v>
      </c>
      <c r="H115" s="4">
        <f>IF(B115="6-8 kilometres",1,0)*VLOOKUP(C115, Percentage_dist_journeys_by_purpose_and_distance_6_to_8km[#All],MATCH(A115, Percentage_dist_journeys_by_purpose_and_distance_6_to_8km[#Headers],0),0)/100</f>
        <v>0</v>
      </c>
      <c r="I115" s="72">
        <f>IF(B115="8+ kilometres",1,0)*VLOOKUP(C115, Percentage_dist_journeys_by_purpose_and_distance_8km[#All],MATCH(A115, Percentage_dist_journeys_by_purpose_and_distance_8km[#Headers],0),0)/100</f>
        <v>0</v>
      </c>
      <c r="J115" s="73">
        <f>VLOOKUP(B115,Average_Distance_by_kilometres_grouping_for_trip_purpose[#All],MATCH(A115,Average_Distance_by_kilometres_grouping_for_trip_purpose[#Headers],0),0)</f>
        <v>5</v>
      </c>
      <c r="K115" s="77">
        <f>VLOOKUP(C115, Adjustment_factor_for_distance_based_on_trip_purpose[#All],MATCH(A115, Adjustment_factor_for_distance_based_on_trip_purpose[#Headers],0),0)</f>
        <v>0.94444444444444442</v>
      </c>
      <c r="L115" s="78">
        <f>VLOOKUP($L$2, Total_Journeys_Per_Year[#All],MATCH(A115, Total_Journeys_Per_Year[#Headers],0),0)</f>
        <v>3171485717.1895118</v>
      </c>
      <c r="M115" s="35">
        <f t="shared" si="1"/>
        <v>153991488.99813673</v>
      </c>
      <c r="N115" s="35">
        <f>VLOOKUP($N$2, Private_Vehicle_Kilometres_Car_Stock[#All],MATCH(A115, Private_Vehicle_Kilometres_Car_Stock[#Headers],0),0)</f>
        <v>31821299194</v>
      </c>
    </row>
    <row r="116" spans="1:14" x14ac:dyDescent="0.25">
      <c r="A116" s="79" t="s">
        <v>33</v>
      </c>
      <c r="B116" s="13" t="s">
        <v>182</v>
      </c>
      <c r="C116" s="13" t="s">
        <v>46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Percentage_dist_journeys_by_purpose_and_distance_to_2km[#All],MATCH(A116, Percentage_dist_journeys_by_purpose_and_distance_to_2km[#Headers],0),0)/100</f>
        <v>0</v>
      </c>
      <c r="F116" s="4">
        <f>IF(B116="2-4 kilometres",1,0)*VLOOKUP(C116, Percentage_dist_journeys_by_purpose_and_distance_2_to_4km[#All],MATCH(A116, Percentage_dist_journeys_by_purpose_and_distance_2_to_4km[#Headers],0),0)/100</f>
        <v>0</v>
      </c>
      <c r="G116" s="72">
        <f>IF(B116="4-6 kilometres",1,0)*VLOOKUP(C116, Percentage_dist_journeys_by_purpose_and_distance_4_to_6km[#All],MATCH(A116, Percentage_dist_journeys_by_purpose_and_distance_4_to_6km[#Headers],0),0)/100</f>
        <v>0</v>
      </c>
      <c r="H116" s="4">
        <f>IF(B116="6-8 kilometres",1,0)*VLOOKUP(C116, Percentage_dist_journeys_by_purpose_and_distance_6_to_8km[#All],MATCH(A116, Percentage_dist_journeys_by_purpose_and_distance_6_to_8km[#Headers],0),0)/100</f>
        <v>0.121</v>
      </c>
      <c r="I116" s="72">
        <f>IF(B116="8+ kilometres",1,0)*VLOOKUP(C116, Percentage_dist_journeys_by_purpose_and_distance_8km[#All],MATCH(A116, Percentage_dist_journeys_by_purpose_and_distance_8km[#Headers],0),0)/100</f>
        <v>0</v>
      </c>
      <c r="J116" s="73">
        <f>VLOOKUP(B116,Average_Distance_by_kilometres_grouping_for_trip_purpose[#All],MATCH(A116,Average_Distance_by_kilometres_grouping_for_trip_purpose[#Headers],0),0)</f>
        <v>7</v>
      </c>
      <c r="K116" s="77">
        <f>VLOOKUP(C116, Adjustment_factor_for_distance_based_on_trip_purpose[#All],MATCH(A116, Adjustment_factor_for_distance_based_on_trip_purpose[#Headers],0),0)</f>
        <v>0.94444444444444442</v>
      </c>
      <c r="L116" s="78">
        <f>VLOOKUP($L$2, Total_Journeys_Per_Year[#All],MATCH(A116, Total_Journeys_Per_Year[#Headers],0),0)</f>
        <v>3171485717.1895118</v>
      </c>
      <c r="M116" s="35">
        <f t="shared" si="1"/>
        <v>177292394.5623281</v>
      </c>
      <c r="N116" s="35">
        <f>VLOOKUP($N$2, Private_Vehicle_Kilometres_Car_Stock[#All],MATCH(A116, Private_Vehicle_Kilometres_Car_Stock[#Headers],0),0)</f>
        <v>31821299194</v>
      </c>
    </row>
    <row r="117" spans="1:14" x14ac:dyDescent="0.25">
      <c r="A117" s="79" t="s">
        <v>33</v>
      </c>
      <c r="B117" s="13" t="s">
        <v>1</v>
      </c>
      <c r="C117" s="13" t="s">
        <v>46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Percentage_dist_journeys_by_purpose_and_distance_to_2km[#All],MATCH(A117, Percentage_dist_journeys_by_purpose_and_distance_to_2km[#Headers],0),0)/100</f>
        <v>0</v>
      </c>
      <c r="F117" s="4">
        <f>IF(B117="2-4 kilometres",1,0)*VLOOKUP(C117, Percentage_dist_journeys_by_purpose_and_distance_2_to_4km[#All],MATCH(A117, Percentage_dist_journeys_by_purpose_and_distance_2_to_4km[#Headers],0),0)/100</f>
        <v>0</v>
      </c>
      <c r="G117" s="72">
        <f>IF(B117="4-6 kilometres",1,0)*VLOOKUP(C117, Percentage_dist_journeys_by_purpose_and_distance_4_to_6km[#All],MATCH(A117, Percentage_dist_journeys_by_purpose_and_distance_4_to_6km[#Headers],0),0)/100</f>
        <v>0</v>
      </c>
      <c r="H117" s="4">
        <f>IF(B117="6-8 kilometres",1,0)*VLOOKUP(C117, Percentage_dist_journeys_by_purpose_and_distance_6_to_8km[#All],MATCH(A117, Percentage_dist_journeys_by_purpose_and_distance_6_to_8km[#Headers],0),0)/100</f>
        <v>0</v>
      </c>
      <c r="I117" s="72">
        <f>IF(B117="8+ kilometres",1,0)*VLOOKUP(C117, Percentage_dist_journeys_by_purpose_and_distance_8km[#All],MATCH(A117, Percentage_dist_journeys_by_purpose_and_distance_8km[#Headers],0),0)/100</f>
        <v>9.8000000000000004E-2</v>
      </c>
      <c r="J117" s="73">
        <f>VLOOKUP(B117,Average_Distance_by_kilometres_grouping_for_trip_purpose[#All],MATCH(A117,Average_Distance_by_kilometres_grouping_for_trip_purpose[#Headers],0),0)</f>
        <v>38.15</v>
      </c>
      <c r="K117" s="77">
        <f>VLOOKUP(C117, Adjustment_factor_for_distance_based_on_trip_purpose[#All],MATCH(A117, Adjustment_factor_for_distance_based_on_trip_purpose[#Headers],0),0)</f>
        <v>0.94444444444444442</v>
      </c>
      <c r="L117" s="78">
        <f>VLOOKUP($L$2, Total_Journeys_Per_Year[#All],MATCH(A117, Total_Journeys_Per_Year[#Headers],0),0)</f>
        <v>3171485717.1895118</v>
      </c>
      <c r="M117" s="35">
        <f t="shared" si="1"/>
        <v>4944466432.4071302</v>
      </c>
      <c r="N117" s="35">
        <f>VLOOKUP($N$2, Private_Vehicle_Kilometres_Car_Stock[#All],MATCH(A117, Private_Vehicle_Kilometres_Car_Stock[#Headers],0),0)</f>
        <v>31821299194</v>
      </c>
    </row>
    <row r="118" spans="1:14" x14ac:dyDescent="0.25">
      <c r="A118" s="79" t="s">
        <v>33</v>
      </c>
      <c r="B118" s="13" t="s">
        <v>12</v>
      </c>
      <c r="C118" s="13" t="s">
        <v>47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Percentage_dist_journeys_by_purpose_and_distance_to_2km[#All],MATCH(A118, Percentage_dist_journeys_by_purpose_and_distance_to_2km[#Headers],0),0)/100</f>
        <v>8.3000000000000004E-2</v>
      </c>
      <c r="F118" s="4">
        <f>IF(B118="2-4 kilometres",1,0)*VLOOKUP(C118, Percentage_dist_journeys_by_purpose_and_distance_2_to_4km[#All],MATCH(A118, Percentage_dist_journeys_by_purpose_and_distance_2_to_4km[#Headers],0),0)/100</f>
        <v>0</v>
      </c>
      <c r="G118" s="72">
        <f>IF(B118="4-6 kilometres",1,0)*VLOOKUP(C118, Percentage_dist_journeys_by_purpose_and_distance_4_to_6km[#All],MATCH(A118, Percentage_dist_journeys_by_purpose_and_distance_4_to_6km[#Headers],0),0)/100</f>
        <v>0</v>
      </c>
      <c r="H118" s="4">
        <f>IF(B118="6-8 kilometres",1,0)*VLOOKUP(C118, Percentage_dist_journeys_by_purpose_and_distance_6_to_8km[#All],MATCH(A118, Percentage_dist_journeys_by_purpose_and_distance_6_to_8km[#Headers],0),0)/100</f>
        <v>0</v>
      </c>
      <c r="I118" s="72">
        <f>IF(B118="8+ kilometres",1,0)*VLOOKUP(C118, Percentage_dist_journeys_by_purpose_and_distance_8km[#All],MATCH(A118, Percentage_dist_journeys_by_purpose_and_distance_8km[#Headers],0),0)/100</f>
        <v>0</v>
      </c>
      <c r="J118" s="73">
        <f>VLOOKUP(B118,Average_Distance_by_kilometres_grouping_for_trip_purpose[#All],MATCH(A118,Average_Distance_by_kilometres_grouping_for_trip_purpose[#Headers],0),0)</f>
        <v>1</v>
      </c>
      <c r="K118" s="77">
        <f>VLOOKUP(C118, Adjustment_factor_for_distance_based_on_trip_purpose[#All],MATCH(A118, Adjustment_factor_for_distance_based_on_trip_purpose[#Headers],0),0)</f>
        <v>0.94444444444444442</v>
      </c>
      <c r="L118" s="78">
        <f>VLOOKUP($L$2, Total_Journeys_Per_Year[#All],MATCH(A118, Total_Journeys_Per_Year[#Headers],0),0)</f>
        <v>3171485717.1895118</v>
      </c>
      <c r="M118" s="35">
        <f t="shared" si="1"/>
        <v>55542229.365139931</v>
      </c>
      <c r="N118" s="35">
        <f>VLOOKUP($N$2, Private_Vehicle_Kilometres_Car_Stock[#All],MATCH(A118, Private_Vehicle_Kilometres_Car_Stock[#Headers],0),0)</f>
        <v>31821299194</v>
      </c>
    </row>
    <row r="119" spans="1:14" x14ac:dyDescent="0.25">
      <c r="A119" s="79" t="s">
        <v>33</v>
      </c>
      <c r="B119" s="13" t="s">
        <v>181</v>
      </c>
      <c r="C119" s="13" t="s">
        <v>47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Percentage_dist_journeys_by_purpose_and_distance_to_2km[#All],MATCH(A119, Percentage_dist_journeys_by_purpose_and_distance_to_2km[#Headers],0),0)/100</f>
        <v>0</v>
      </c>
      <c r="F119" s="4">
        <f>IF(B119="2-4 kilometres",1,0)*VLOOKUP(C119, Percentage_dist_journeys_by_purpose_and_distance_2_to_4km[#All],MATCH(A119, Percentage_dist_journeys_by_purpose_and_distance_2_to_4km[#Headers],0),0)/100</f>
        <v>0.107</v>
      </c>
      <c r="G119" s="72">
        <f>IF(B119="4-6 kilometres",1,0)*VLOOKUP(C119, Percentage_dist_journeys_by_purpose_and_distance_4_to_6km[#All],MATCH(A119, Percentage_dist_journeys_by_purpose_and_distance_4_to_6km[#Headers],0),0)/100</f>
        <v>0</v>
      </c>
      <c r="H119" s="4">
        <f>IF(B119="6-8 kilometres",1,0)*VLOOKUP(C119, Percentage_dist_journeys_by_purpose_and_distance_6_to_8km[#All],MATCH(A119, Percentage_dist_journeys_by_purpose_and_distance_6_to_8km[#Headers],0),0)/100</f>
        <v>0</v>
      </c>
      <c r="I119" s="72">
        <f>IF(B119="8+ kilometres",1,0)*VLOOKUP(C119, Percentage_dist_journeys_by_purpose_and_distance_8km[#All],MATCH(A119, Percentage_dist_journeys_by_purpose_and_distance_8km[#Headers],0),0)/100</f>
        <v>0</v>
      </c>
      <c r="J119" s="73">
        <f>VLOOKUP(B119,Average_Distance_by_kilometres_grouping_for_trip_purpose[#All],MATCH(A119,Average_Distance_by_kilometres_grouping_for_trip_purpose[#Headers],0),0)</f>
        <v>3</v>
      </c>
      <c r="K119" s="77">
        <f>VLOOKUP(C119, Adjustment_factor_for_distance_based_on_trip_purpose[#All],MATCH(A119, Adjustment_factor_for_distance_based_on_trip_purpose[#Headers],0),0)</f>
        <v>0.94444444444444442</v>
      </c>
      <c r="L119" s="78">
        <f>VLOOKUP($L$2, Total_Journeys_Per_Year[#All],MATCH(A119, Total_Journeys_Per_Year[#Headers],0),0)</f>
        <v>3171485717.1895118</v>
      </c>
      <c r="M119" s="35">
        <f t="shared" si="1"/>
        <v>192410866.97617048</v>
      </c>
      <c r="N119" s="35">
        <f>VLOOKUP($N$2, Private_Vehicle_Kilometres_Car_Stock[#All],MATCH(A119, Private_Vehicle_Kilometres_Car_Stock[#Headers],0),0)</f>
        <v>31821299194</v>
      </c>
    </row>
    <row r="120" spans="1:14" x14ac:dyDescent="0.25">
      <c r="A120" s="79" t="s">
        <v>33</v>
      </c>
      <c r="B120" s="13" t="s">
        <v>180</v>
      </c>
      <c r="C120" s="13" t="s">
        <v>47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Percentage_dist_journeys_by_purpose_and_distance_to_2km[#All],MATCH(A120, Percentage_dist_journeys_by_purpose_and_distance_to_2km[#Headers],0),0)/100</f>
        <v>0</v>
      </c>
      <c r="F120" s="4">
        <f>IF(B120="2-4 kilometres",1,0)*VLOOKUP(C120, Percentage_dist_journeys_by_purpose_and_distance_2_to_4km[#All],MATCH(A120, Percentage_dist_journeys_by_purpose_and_distance_2_to_4km[#Headers],0),0)/100</f>
        <v>0</v>
      </c>
      <c r="G120" s="72">
        <f>IF(B120="4-6 kilometres",1,0)*VLOOKUP(C120, Percentage_dist_journeys_by_purpose_and_distance_4_to_6km[#All],MATCH(A120, Percentage_dist_journeys_by_purpose_and_distance_4_to_6km[#Headers],0),0)/100</f>
        <v>0.127</v>
      </c>
      <c r="H120" s="4">
        <f>IF(B120="6-8 kilometres",1,0)*VLOOKUP(C120, Percentage_dist_journeys_by_purpose_and_distance_6_to_8km[#All],MATCH(A120, Percentage_dist_journeys_by_purpose_and_distance_6_to_8km[#Headers],0),0)/100</f>
        <v>0</v>
      </c>
      <c r="I120" s="72">
        <f>IF(B120="8+ kilometres",1,0)*VLOOKUP(C120, Percentage_dist_journeys_by_purpose_and_distance_8km[#All],MATCH(A120, Percentage_dist_journeys_by_purpose_and_distance_8km[#Headers],0),0)/100</f>
        <v>0</v>
      </c>
      <c r="J120" s="73">
        <f>VLOOKUP(B120,Average_Distance_by_kilometres_grouping_for_trip_purpose[#All],MATCH(A120,Average_Distance_by_kilometres_grouping_for_trip_purpose[#Headers],0),0)</f>
        <v>5</v>
      </c>
      <c r="K120" s="77">
        <f>VLOOKUP(C120, Adjustment_factor_for_distance_based_on_trip_purpose[#All],MATCH(A120, Adjustment_factor_for_distance_based_on_trip_purpose[#Headers],0),0)</f>
        <v>0.94444444444444442</v>
      </c>
      <c r="L120" s="78">
        <f>VLOOKUP($L$2, Total_Journeys_Per_Year[#All],MATCH(A120, Total_Journeys_Per_Year[#Headers],0),0)</f>
        <v>3171485717.1895118</v>
      </c>
      <c r="M120" s="35">
        <f t="shared" si="1"/>
        <v>235625531.35859478</v>
      </c>
      <c r="N120" s="35">
        <f>VLOOKUP($N$2, Private_Vehicle_Kilometres_Car_Stock[#All],MATCH(A120, Private_Vehicle_Kilometres_Car_Stock[#Headers],0),0)</f>
        <v>31821299194</v>
      </c>
    </row>
    <row r="121" spans="1:14" x14ac:dyDescent="0.25">
      <c r="A121" s="79" t="s">
        <v>33</v>
      </c>
      <c r="B121" s="13" t="s">
        <v>182</v>
      </c>
      <c r="C121" s="13" t="s">
        <v>47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Percentage_dist_journeys_by_purpose_and_distance_to_2km[#All],MATCH(A121, Percentage_dist_journeys_by_purpose_and_distance_to_2km[#Headers],0),0)/100</f>
        <v>0</v>
      </c>
      <c r="F121" s="4">
        <f>IF(B121="2-4 kilometres",1,0)*VLOOKUP(C121, Percentage_dist_journeys_by_purpose_and_distance_2_to_4km[#All],MATCH(A121, Percentage_dist_journeys_by_purpose_and_distance_2_to_4km[#Headers],0),0)/100</f>
        <v>0</v>
      </c>
      <c r="G121" s="72">
        <f>IF(B121="4-6 kilometres",1,0)*VLOOKUP(C121, Percentage_dist_journeys_by_purpose_and_distance_4_to_6km[#All],MATCH(A121, Percentage_dist_journeys_by_purpose_and_distance_4_to_6km[#Headers],0),0)/100</f>
        <v>0</v>
      </c>
      <c r="H121" s="4">
        <f>IF(B121="6-8 kilometres",1,0)*VLOOKUP(C121, Percentage_dist_journeys_by_purpose_and_distance_6_to_8km[#All],MATCH(A121, Percentage_dist_journeys_by_purpose_and_distance_6_to_8km[#Headers],0),0)/100</f>
        <v>0.11599999999999999</v>
      </c>
      <c r="I121" s="72">
        <f>IF(B121="8+ kilometres",1,0)*VLOOKUP(C121, Percentage_dist_journeys_by_purpose_and_distance_8km[#All],MATCH(A121, Percentage_dist_journeys_by_purpose_and_distance_8km[#Headers],0),0)/100</f>
        <v>0</v>
      </c>
      <c r="J121" s="73">
        <f>VLOOKUP(B121,Average_Distance_by_kilometres_grouping_for_trip_purpose[#All],MATCH(A121,Average_Distance_by_kilometres_grouping_for_trip_purpose[#Headers],0),0)</f>
        <v>7</v>
      </c>
      <c r="K121" s="77">
        <f>VLOOKUP(C121, Adjustment_factor_for_distance_based_on_trip_purpose[#All],MATCH(A121, Adjustment_factor_for_distance_based_on_trip_purpose[#Headers],0),0)</f>
        <v>0.94444444444444442</v>
      </c>
      <c r="L121" s="78">
        <f>VLOOKUP($L$2, Total_Journeys_Per_Year[#All],MATCH(A121, Total_Journeys_Per_Year[#Headers],0),0)</f>
        <v>3171485717.1895118</v>
      </c>
      <c r="M121" s="35">
        <f t="shared" si="1"/>
        <v>169966262.55562031</v>
      </c>
      <c r="N121" s="35">
        <f>VLOOKUP($N$2, Private_Vehicle_Kilometres_Car_Stock[#All],MATCH(A121, Private_Vehicle_Kilometres_Car_Stock[#Headers],0),0)</f>
        <v>31821299194</v>
      </c>
    </row>
    <row r="122" spans="1:14" x14ac:dyDescent="0.25">
      <c r="A122" s="79" t="s">
        <v>33</v>
      </c>
      <c r="B122" s="13" t="s">
        <v>1</v>
      </c>
      <c r="C122" s="13" t="s">
        <v>47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Percentage_dist_journeys_by_purpose_and_distance_to_2km[#All],MATCH(A122, Percentage_dist_journeys_by_purpose_and_distance_to_2km[#Headers],0),0)/100</f>
        <v>0</v>
      </c>
      <c r="F122" s="4">
        <f>IF(B122="2-4 kilometres",1,0)*VLOOKUP(C122, Percentage_dist_journeys_by_purpose_and_distance_2_to_4km[#All],MATCH(A122, Percentage_dist_journeys_by_purpose_and_distance_2_to_4km[#Headers],0),0)/100</f>
        <v>0</v>
      </c>
      <c r="G122" s="72">
        <f>IF(B122="4-6 kilometres",1,0)*VLOOKUP(C122, Percentage_dist_journeys_by_purpose_and_distance_4_to_6km[#All],MATCH(A122, Percentage_dist_journeys_by_purpose_and_distance_4_to_6km[#Headers],0),0)/100</f>
        <v>0</v>
      </c>
      <c r="H122" s="4">
        <f>IF(B122="6-8 kilometres",1,0)*VLOOKUP(C122, Percentage_dist_journeys_by_purpose_and_distance_6_to_8km[#All],MATCH(A122, Percentage_dist_journeys_by_purpose_and_distance_6_to_8km[#Headers],0),0)/100</f>
        <v>0</v>
      </c>
      <c r="I122" s="72">
        <f>IF(B122="8+ kilometres",1,0)*VLOOKUP(C122, Percentage_dist_journeys_by_purpose_and_distance_8km[#All],MATCH(A122, Percentage_dist_journeys_by_purpose_and_distance_8km[#Headers],0),0)/100</f>
        <v>0.13100000000000001</v>
      </c>
      <c r="J122" s="73">
        <f>VLOOKUP(B122,Average_Distance_by_kilometres_grouping_for_trip_purpose[#All],MATCH(A122,Average_Distance_by_kilometres_grouping_for_trip_purpose[#Headers],0),0)</f>
        <v>38.15</v>
      </c>
      <c r="K122" s="77">
        <f>VLOOKUP(C122, Adjustment_factor_for_distance_based_on_trip_purpose[#All],MATCH(A122, Adjustment_factor_for_distance_based_on_trip_purpose[#Headers],0),0)</f>
        <v>0.94444444444444442</v>
      </c>
      <c r="L122" s="78">
        <f>VLOOKUP($L$2, Total_Journeys_Per_Year[#All],MATCH(A122, Total_Journeys_Per_Year[#Headers],0),0)</f>
        <v>3171485717.1895118</v>
      </c>
      <c r="M122" s="35">
        <f t="shared" si="1"/>
        <v>6609439822.9115734</v>
      </c>
      <c r="N122" s="35">
        <f>VLOOKUP($N$2, Private_Vehicle_Kilometres_Car_Stock[#All],MATCH(A122, Private_Vehicle_Kilometres_Car_Stock[#Headers],0),0)</f>
        <v>31821299194</v>
      </c>
    </row>
    <row r="123" spans="1:14" x14ac:dyDescent="0.25">
      <c r="A123" s="79" t="s">
        <v>33</v>
      </c>
      <c r="B123" s="13" t="s">
        <v>12</v>
      </c>
      <c r="C123" s="13" t="s">
        <v>48</v>
      </c>
      <c r="D123" s="5">
        <f>VLOOKUP(B123,Percentage_distribution_of_journey_distance_for_all_regions[#All],MATCH(A123,Percentage_distribution_of_journey_distance_for_all_regions[#Headers],0),0)/100</f>
        <v>0.21100000000000002</v>
      </c>
      <c r="E123" s="71">
        <f>IF(B123="&lt;2 kilometres",1,0)*VLOOKUP(C123, Percentage_dist_journeys_by_purpose_and_distance_to_2km[#All],MATCH(A123, Percentage_dist_journeys_by_purpose_and_distance_to_2km[#Headers],0),0)/100</f>
        <v>5.2999999999999999E-2</v>
      </c>
      <c r="F123" s="4">
        <f>IF(B123="2-4 kilometres",1,0)*VLOOKUP(C123, Percentage_dist_journeys_by_purpose_and_distance_2_to_4km[#All],MATCH(A123, Percentage_dist_journeys_by_purpose_and_distance_2_to_4km[#Headers],0),0)/100</f>
        <v>0</v>
      </c>
      <c r="G123" s="72">
        <f>IF(B123="4-6 kilometres",1,0)*VLOOKUP(C123, Percentage_dist_journeys_by_purpose_and_distance_4_to_6km[#All],MATCH(A123, Percentage_dist_journeys_by_purpose_and_distance_4_to_6km[#Headers],0),0)/100</f>
        <v>0</v>
      </c>
      <c r="H123" s="4">
        <f>IF(B123="6-8 kilometres",1,0)*VLOOKUP(C123, Percentage_dist_journeys_by_purpose_and_distance_6_to_8km[#All],MATCH(A123, Percentage_dist_journeys_by_purpose_and_distance_6_to_8km[#Headers],0),0)/100</f>
        <v>0</v>
      </c>
      <c r="I123" s="72">
        <f>IF(B123="8+ kilometres",1,0)*VLOOKUP(C123, Percentage_dist_journeys_by_purpose_and_distance_8km[#All],MATCH(A123, Percentage_dist_journeys_by_purpose_and_distance_8km[#Headers],0),0)/100</f>
        <v>0</v>
      </c>
      <c r="J123" s="73">
        <f>VLOOKUP(B123,Average_Distance_by_kilometres_grouping_for_trip_purpose[#All],MATCH(A123,Average_Distance_by_kilometres_grouping_for_trip_purpose[#Headers],0),0)</f>
        <v>1</v>
      </c>
      <c r="K123" s="77">
        <f>VLOOKUP(C123, Adjustment_factor_for_distance_based_on_trip_purpose[#All],MATCH(A123, Adjustment_factor_for_distance_based_on_trip_purpose[#Headers],0),0)</f>
        <v>0.66666666666666663</v>
      </c>
      <c r="L123" s="78">
        <f>VLOOKUP($L$2, Total_Journeys_Per_Year[#All],MATCH(A123, Total_Journeys_Per_Year[#Headers],0),0)</f>
        <v>3171485717.1895118</v>
      </c>
      <c r="M123" s="35">
        <f t="shared" si="1"/>
        <v>35466724.775330313</v>
      </c>
      <c r="N123" s="35">
        <f>VLOOKUP($N$2, Private_Vehicle_Kilometres_Car_Stock[#All],MATCH(A123, Private_Vehicle_Kilometres_Car_Stock[#Headers],0),0)</f>
        <v>31821299194</v>
      </c>
    </row>
    <row r="124" spans="1:14" x14ac:dyDescent="0.25">
      <c r="A124" s="79" t="s">
        <v>33</v>
      </c>
      <c r="B124" s="13" t="s">
        <v>181</v>
      </c>
      <c r="C124" s="13" t="s">
        <v>48</v>
      </c>
      <c r="D124" s="5">
        <f>VLOOKUP(B124,Percentage_distribution_of_journey_distance_for_all_regions[#All],MATCH(A124,Percentage_distribution_of_journey_distance_for_all_regions[#Headers],0),0)/100</f>
        <v>0.18899999999999997</v>
      </c>
      <c r="E124" s="71">
        <f>IF(B124="&lt;2 kilometres",1,0)*VLOOKUP(C124, Percentage_dist_journeys_by_purpose_and_distance_to_2km[#All],MATCH(A124, Percentage_dist_journeys_by_purpose_and_distance_to_2km[#Headers],0),0)/100</f>
        <v>0</v>
      </c>
      <c r="F124" s="4">
        <f>IF(B124="2-4 kilometres",1,0)*VLOOKUP(C124, Percentage_dist_journeys_by_purpose_and_distance_2_to_4km[#All],MATCH(A124, Percentage_dist_journeys_by_purpose_and_distance_2_to_4km[#Headers],0),0)/100</f>
        <v>5.4000000000000006E-2</v>
      </c>
      <c r="G124" s="72">
        <f>IF(B124="4-6 kilometres",1,0)*VLOOKUP(C124, Percentage_dist_journeys_by_purpose_and_distance_4_to_6km[#All],MATCH(A124, Percentage_dist_journeys_by_purpose_and_distance_4_to_6km[#Headers],0),0)/100</f>
        <v>0</v>
      </c>
      <c r="H124" s="4">
        <f>IF(B124="6-8 kilometres",1,0)*VLOOKUP(C124, Percentage_dist_journeys_by_purpose_and_distance_6_to_8km[#All],MATCH(A124, Percentage_dist_journeys_by_purpose_and_distance_6_to_8km[#Headers],0),0)/100</f>
        <v>0</v>
      </c>
      <c r="I124" s="72">
        <f>IF(B124="8+ kilometres",1,0)*VLOOKUP(C124, Percentage_dist_journeys_by_purpose_and_distance_8km[#All],MATCH(A124, Percentage_dist_journeys_by_purpose_and_distance_8km[#Headers],0),0)/100</f>
        <v>0</v>
      </c>
      <c r="J124" s="73">
        <f>VLOOKUP(B124,Average_Distance_by_kilometres_grouping_for_trip_purpose[#All],MATCH(A124,Average_Distance_by_kilometres_grouping_for_trip_purpose[#Headers],0),0)</f>
        <v>3</v>
      </c>
      <c r="K124" s="77">
        <f>VLOOKUP(C124, Adjustment_factor_for_distance_based_on_trip_purpose[#All],MATCH(A124, Adjustment_factor_for_distance_based_on_trip_purpose[#Headers],0),0)</f>
        <v>0.66666666666666663</v>
      </c>
      <c r="L124" s="78">
        <f>VLOOKUP($L$2, Total_Journeys_Per_Year[#All],MATCH(A124, Total_Journeys_Per_Year[#Headers],0),0)</f>
        <v>3171485717.1895118</v>
      </c>
      <c r="M124" s="35">
        <f t="shared" si="1"/>
        <v>97104549.688908473</v>
      </c>
      <c r="N124" s="35">
        <f>VLOOKUP($N$2, Private_Vehicle_Kilometres_Car_Stock[#All],MATCH(A124, Private_Vehicle_Kilometres_Car_Stock[#Headers],0),0)</f>
        <v>31821299194</v>
      </c>
    </row>
    <row r="125" spans="1:14" x14ac:dyDescent="0.25">
      <c r="A125" s="79" t="s">
        <v>33</v>
      </c>
      <c r="B125" s="13" t="s">
        <v>180</v>
      </c>
      <c r="C125" s="13" t="s">
        <v>48</v>
      </c>
      <c r="D125" s="5">
        <f>VLOOKUP(B125,Percentage_distribution_of_journey_distance_for_all_regions[#All],MATCH(A125,Percentage_distribution_of_journey_distance_for_all_regions[#Headers],0),0)/100</f>
        <v>0.11699999999999999</v>
      </c>
      <c r="E125" s="71">
        <f>IF(B125="&lt;2 kilometres",1,0)*VLOOKUP(C125, Percentage_dist_journeys_by_purpose_and_distance_to_2km[#All],MATCH(A125, Percentage_dist_journeys_by_purpose_and_distance_to_2km[#Headers],0),0)/100</f>
        <v>0</v>
      </c>
      <c r="F125" s="4">
        <f>IF(B125="2-4 kilometres",1,0)*VLOOKUP(C125, Percentage_dist_journeys_by_purpose_and_distance_2_to_4km[#All],MATCH(A125, Percentage_dist_journeys_by_purpose_and_distance_2_to_4km[#Headers],0),0)/100</f>
        <v>0</v>
      </c>
      <c r="G125" s="72">
        <f>IF(B125="4-6 kilometres",1,0)*VLOOKUP(C125, Percentage_dist_journeys_by_purpose_and_distance_4_to_6km[#All],MATCH(A125, Percentage_dist_journeys_by_purpose_and_distance_4_to_6km[#Headers],0),0)/100</f>
        <v>0.06</v>
      </c>
      <c r="H125" s="4">
        <f>IF(B125="6-8 kilometres",1,0)*VLOOKUP(C125, Percentage_dist_journeys_by_purpose_and_distance_6_to_8km[#All],MATCH(A125, Percentage_dist_journeys_by_purpose_and_distance_6_to_8km[#Headers],0),0)/100</f>
        <v>0</v>
      </c>
      <c r="I125" s="72">
        <f>IF(B125="8+ kilometres",1,0)*VLOOKUP(C125, Percentage_dist_journeys_by_purpose_and_distance_8km[#All],MATCH(A125, Percentage_dist_journeys_by_purpose_and_distance_8km[#Headers],0),0)/100</f>
        <v>0</v>
      </c>
      <c r="J125" s="73">
        <f>VLOOKUP(B125,Average_Distance_by_kilometres_grouping_for_trip_purpose[#All],MATCH(A125,Average_Distance_by_kilometres_grouping_for_trip_purpose[#Headers],0),0)</f>
        <v>5</v>
      </c>
      <c r="K125" s="77">
        <f>VLOOKUP(C125, Adjustment_factor_for_distance_based_on_trip_purpose[#All],MATCH(A125, Adjustment_factor_for_distance_based_on_trip_purpose[#Headers],0),0)</f>
        <v>0.66666666666666663</v>
      </c>
      <c r="L125" s="78">
        <f>VLOOKUP($L$2, Total_Journeys_Per_Year[#All],MATCH(A125, Total_Journeys_Per_Year[#Headers],0),0)</f>
        <v>3171485717.1895118</v>
      </c>
      <c r="M125" s="35">
        <f t="shared" si="1"/>
        <v>111319148.67335185</v>
      </c>
      <c r="N125" s="35">
        <f>VLOOKUP($N$2, Private_Vehicle_Kilometres_Car_Stock[#All],MATCH(A125, Private_Vehicle_Kilometres_Car_Stock[#Headers],0),0)</f>
        <v>31821299194</v>
      </c>
    </row>
    <row r="126" spans="1:14" x14ac:dyDescent="0.25">
      <c r="A126" s="79" t="s">
        <v>33</v>
      </c>
      <c r="B126" s="13" t="s">
        <v>182</v>
      </c>
      <c r="C126" s="13" t="s">
        <v>48</v>
      </c>
      <c r="D126" s="5">
        <f>VLOOKUP(B126,Percentage_distribution_of_journey_distance_for_all_regions[#All],MATCH(A126,Percentage_distribution_of_journey_distance_for_all_regions[#Headers],0),0)/100</f>
        <v>6.6000000000000003E-2</v>
      </c>
      <c r="E126" s="71">
        <f>IF(B126="&lt;2 kilometres",1,0)*VLOOKUP(C126, Percentage_dist_journeys_by_purpose_and_distance_to_2km[#All],MATCH(A126, Percentage_dist_journeys_by_purpose_and_distance_to_2km[#Headers],0),0)/100</f>
        <v>0</v>
      </c>
      <c r="F126" s="4">
        <f>IF(B126="2-4 kilometres",1,0)*VLOOKUP(C126, Percentage_dist_journeys_by_purpose_and_distance_2_to_4km[#All],MATCH(A126, Percentage_dist_journeys_by_purpose_and_distance_2_to_4km[#Headers],0),0)/100</f>
        <v>0</v>
      </c>
      <c r="G126" s="72">
        <f>IF(B126="4-6 kilometres",1,0)*VLOOKUP(C126, Percentage_dist_journeys_by_purpose_and_distance_4_to_6km[#All],MATCH(A126, Percentage_dist_journeys_by_purpose_and_distance_4_to_6km[#Headers],0),0)/100</f>
        <v>0</v>
      </c>
      <c r="H126" s="4">
        <f>IF(B126="6-8 kilometres",1,0)*VLOOKUP(C126, Percentage_dist_journeys_by_purpose_and_distance_6_to_8km[#All],MATCH(A126, Percentage_dist_journeys_by_purpose_and_distance_6_to_8km[#Headers],0),0)/100</f>
        <v>7.0000000000000007E-2</v>
      </c>
      <c r="I126" s="72">
        <f>IF(B126="8+ kilometres",1,0)*VLOOKUP(C126, Percentage_dist_journeys_by_purpose_and_distance_8km[#All],MATCH(A126, Percentage_dist_journeys_by_purpose_and_distance_8km[#Headers],0),0)/100</f>
        <v>0</v>
      </c>
      <c r="J126" s="73">
        <f>VLOOKUP(B126,Average_Distance_by_kilometres_grouping_for_trip_purpose[#All],MATCH(A126,Average_Distance_by_kilometres_grouping_for_trip_purpose[#Headers],0),0)</f>
        <v>7</v>
      </c>
      <c r="K126" s="77">
        <f>VLOOKUP(C126, Adjustment_factor_for_distance_based_on_trip_purpose[#All],MATCH(A126, Adjustment_factor_for_distance_based_on_trip_purpose[#Headers],0),0)</f>
        <v>0.66666666666666663</v>
      </c>
      <c r="L126" s="78">
        <f>VLOOKUP($L$2, Total_Journeys_Per_Year[#All],MATCH(A126, Total_Journeys_Per_Year[#Headers],0),0)</f>
        <v>3171485717.1895118</v>
      </c>
      <c r="M126" s="35">
        <f t="shared" si="1"/>
        <v>102565848.09390883</v>
      </c>
      <c r="N126" s="35">
        <f>VLOOKUP($N$2, Private_Vehicle_Kilometres_Car_Stock[#All],MATCH(A126, Private_Vehicle_Kilometres_Car_Stock[#Headers],0),0)</f>
        <v>31821299194</v>
      </c>
    </row>
    <row r="127" spans="1:14" x14ac:dyDescent="0.25">
      <c r="A127" s="79" t="s">
        <v>33</v>
      </c>
      <c r="B127" s="13" t="s">
        <v>1</v>
      </c>
      <c r="C127" s="13" t="s">
        <v>48</v>
      </c>
      <c r="D127" s="5">
        <f>VLOOKUP(B127,Percentage_distribution_of_journey_distance_for_all_regions[#All],MATCH(A127,Percentage_distribution_of_journey_distance_for_all_regions[#Headers],0),0)/100</f>
        <v>0.41700000000000004</v>
      </c>
      <c r="E127" s="71">
        <f>IF(B127="&lt;2 kilometres",1,0)*VLOOKUP(C127, Percentage_dist_journeys_by_purpose_and_distance_to_2km[#All],MATCH(A127, Percentage_dist_journeys_by_purpose_and_distance_to_2km[#Headers],0),0)/100</f>
        <v>0</v>
      </c>
      <c r="F127" s="4">
        <f>IF(B127="2-4 kilometres",1,0)*VLOOKUP(C127, Percentage_dist_journeys_by_purpose_and_distance_2_to_4km[#All],MATCH(A127, Percentage_dist_journeys_by_purpose_and_distance_2_to_4km[#Headers],0),0)/100</f>
        <v>0</v>
      </c>
      <c r="G127" s="72">
        <f>IF(B127="4-6 kilometres",1,0)*VLOOKUP(C127, Percentage_dist_journeys_by_purpose_and_distance_4_to_6km[#All],MATCH(A127, Percentage_dist_journeys_by_purpose_and_distance_4_to_6km[#Headers],0),0)/100</f>
        <v>0</v>
      </c>
      <c r="H127" s="4">
        <f>IF(B127="6-8 kilometres",1,0)*VLOOKUP(C127, Percentage_dist_journeys_by_purpose_and_distance_6_to_8km[#All],MATCH(A127, Percentage_dist_journeys_by_purpose_and_distance_6_to_8km[#Headers],0),0)/100</f>
        <v>0</v>
      </c>
      <c r="I127" s="72">
        <f>IF(B127="8+ kilometres",1,0)*VLOOKUP(C127, Percentage_dist_journeys_by_purpose_and_distance_8km[#All],MATCH(A127, Percentage_dist_journeys_by_purpose_and_distance_8km[#Headers],0),0)/100</f>
        <v>5.5E-2</v>
      </c>
      <c r="J127" s="73">
        <f>VLOOKUP(B127,Average_Distance_by_kilometres_grouping_for_trip_purpose[#All],MATCH(A127,Average_Distance_by_kilometres_grouping_for_trip_purpose[#Headers],0),0)</f>
        <v>38.15</v>
      </c>
      <c r="K127" s="77">
        <f>VLOOKUP(C127, Adjustment_factor_for_distance_based_on_trip_purpose[#All],MATCH(A127, Adjustment_factor_for_distance_based_on_trip_purpose[#Headers],0),0)</f>
        <v>0.66666666666666663</v>
      </c>
      <c r="L127" s="78">
        <f>VLOOKUP($L$2, Total_Journeys_Per_Year[#All],MATCH(A127, Total_Journeys_Per_Year[#Headers],0),0)</f>
        <v>3171485717.1895118</v>
      </c>
      <c r="M127" s="35">
        <f t="shared" si="1"/>
        <v>2774955650.8407364</v>
      </c>
      <c r="N127" s="35">
        <f>VLOOKUP($N$2, Private_Vehicle_Kilometres_Car_Stock[#All],MATCH(A127, Private_Vehicle_Kilometres_Car_Stock[#Headers],0),0)</f>
        <v>31821299194</v>
      </c>
    </row>
    <row r="128" spans="1:14" x14ac:dyDescent="0.25">
      <c r="A128" s="79" t="s">
        <v>33</v>
      </c>
      <c r="B128" s="13" t="s">
        <v>12</v>
      </c>
      <c r="C128" s="13" t="s">
        <v>49</v>
      </c>
      <c r="D128" s="5">
        <f>VLOOKUP(B128,Percentage_distribution_of_journey_distance_for_all_regions[#All],MATCH(A128,Percentage_distribution_of_journey_distance_for_all_regions[#Headers],0),0)/100</f>
        <v>0.21100000000000002</v>
      </c>
      <c r="E128" s="71">
        <f>IF(B128="&lt;2 kilometres",1,0)*VLOOKUP(C128, Percentage_dist_journeys_by_purpose_and_distance_to_2km[#All],MATCH(A128, Percentage_dist_journeys_by_purpose_and_distance_to_2km[#Headers],0),0)/100</f>
        <v>0.17399999999999999</v>
      </c>
      <c r="F128" s="4">
        <f>IF(B128="2-4 kilometres",1,0)*VLOOKUP(C128, Percentage_dist_journeys_by_purpose_and_distance_2_to_4km[#All],MATCH(A128, Percentage_dist_journeys_by_purpose_and_distance_2_to_4km[#Headers],0),0)/100</f>
        <v>0</v>
      </c>
      <c r="G128" s="72">
        <f>IF(B128="4-6 kilometres",1,0)*VLOOKUP(C128, Percentage_dist_journeys_by_purpose_and_distance_4_to_6km[#All],MATCH(A128, Percentage_dist_journeys_by_purpose_and_distance_4_to_6km[#Headers],0),0)/100</f>
        <v>0</v>
      </c>
      <c r="H128" s="4">
        <f>IF(B128="6-8 kilometres",1,0)*VLOOKUP(C128, Percentage_dist_journeys_by_purpose_and_distance_6_to_8km[#All],MATCH(A128, Percentage_dist_journeys_by_purpose_and_distance_6_to_8km[#Headers],0),0)/100</f>
        <v>0</v>
      </c>
      <c r="I128" s="72">
        <f>IF(B128="8+ kilometres",1,0)*VLOOKUP(C128, Percentage_dist_journeys_by_purpose_and_distance_8km[#All],MATCH(A128, Percentage_dist_journeys_by_purpose_and_distance_8km[#Headers],0),0)/100</f>
        <v>0</v>
      </c>
      <c r="J128" s="73">
        <f>VLOOKUP(B128,Average_Distance_by_kilometres_grouping_for_trip_purpose[#All],MATCH(A128,Average_Distance_by_kilometres_grouping_for_trip_purpose[#Headers],0),0)</f>
        <v>1</v>
      </c>
      <c r="K128" s="77">
        <f>VLOOKUP(C128, Adjustment_factor_for_distance_based_on_trip_purpose[#All],MATCH(A128, Adjustment_factor_for_distance_based_on_trip_purpose[#Headers],0),0)</f>
        <v>1.2222222222222223</v>
      </c>
      <c r="L128" s="78">
        <f>VLOOKUP($L$2, Total_Journeys_Per_Year[#All],MATCH(A128, Total_Journeys_Per_Year[#Headers],0),0)</f>
        <v>3171485717.1895118</v>
      </c>
      <c r="M128" s="35">
        <f t="shared" si="1"/>
        <v>116437926.62089574</v>
      </c>
      <c r="N128" s="35">
        <f>VLOOKUP($N$2, Private_Vehicle_Kilometres_Car_Stock[#All],MATCH(A128, Private_Vehicle_Kilometres_Car_Stock[#Headers],0),0)</f>
        <v>31821299194</v>
      </c>
    </row>
    <row r="129" spans="1:14" x14ac:dyDescent="0.25">
      <c r="A129" s="79" t="s">
        <v>33</v>
      </c>
      <c r="B129" s="13" t="s">
        <v>181</v>
      </c>
      <c r="C129" s="13" t="s">
        <v>49</v>
      </c>
      <c r="D129" s="5">
        <f>VLOOKUP(B129,Percentage_distribution_of_journey_distance_for_all_regions[#All],MATCH(A129,Percentage_distribution_of_journey_distance_for_all_regions[#Headers],0),0)/100</f>
        <v>0.18899999999999997</v>
      </c>
      <c r="E129" s="71">
        <f>IF(B129="&lt;2 kilometres",1,0)*VLOOKUP(C129, Percentage_dist_journeys_by_purpose_and_distance_to_2km[#All],MATCH(A129, Percentage_dist_journeys_by_purpose_and_distance_to_2km[#Headers],0),0)/100</f>
        <v>0</v>
      </c>
      <c r="F129" s="4">
        <f>IF(B129="2-4 kilometres",1,0)*VLOOKUP(C129, Percentage_dist_journeys_by_purpose_and_distance_2_to_4km[#All],MATCH(A129, Percentage_dist_journeys_by_purpose_and_distance_2_to_4km[#Headers],0),0)/100</f>
        <v>0.2</v>
      </c>
      <c r="G129" s="72">
        <f>IF(B129="4-6 kilometres",1,0)*VLOOKUP(C129, Percentage_dist_journeys_by_purpose_and_distance_4_to_6km[#All],MATCH(A129, Percentage_dist_journeys_by_purpose_and_distance_4_to_6km[#Headers],0),0)/100</f>
        <v>0</v>
      </c>
      <c r="H129" s="4">
        <f>IF(B129="6-8 kilometres",1,0)*VLOOKUP(C129, Percentage_dist_journeys_by_purpose_and_distance_6_to_8km[#All],MATCH(A129, Percentage_dist_journeys_by_purpose_and_distance_6_to_8km[#Headers],0),0)/100</f>
        <v>0</v>
      </c>
      <c r="I129" s="72">
        <f>IF(B129="8+ kilometres",1,0)*VLOOKUP(C129, Percentage_dist_journeys_by_purpose_and_distance_8km[#All],MATCH(A129, Percentage_dist_journeys_by_purpose_and_distance_8km[#Headers],0),0)/100</f>
        <v>0</v>
      </c>
      <c r="J129" s="73">
        <f>VLOOKUP(B129,Average_Distance_by_kilometres_grouping_for_trip_purpose[#All],MATCH(A129,Average_Distance_by_kilometres_grouping_for_trip_purpose[#Headers],0),0)</f>
        <v>3</v>
      </c>
      <c r="K129" s="77">
        <f>VLOOKUP(C129, Adjustment_factor_for_distance_based_on_trip_purpose[#All],MATCH(A129, Adjustment_factor_for_distance_based_on_trip_purpose[#Headers],0),0)</f>
        <v>1.2222222222222223</v>
      </c>
      <c r="L129" s="78">
        <f>VLOOKUP($L$2, Total_Journeys_Per_Year[#All],MATCH(A129, Total_Journeys_Per_Year[#Headers],0),0)</f>
        <v>3171485717.1895118</v>
      </c>
      <c r="M129" s="35">
        <f t="shared" si="1"/>
        <v>359646480.32929063</v>
      </c>
      <c r="N129" s="35">
        <f>VLOOKUP($N$2, Private_Vehicle_Kilometres_Car_Stock[#All],MATCH(A129, Private_Vehicle_Kilometres_Car_Stock[#Headers],0),0)</f>
        <v>31821299194</v>
      </c>
    </row>
    <row r="130" spans="1:14" x14ac:dyDescent="0.25">
      <c r="A130" s="79" t="s">
        <v>33</v>
      </c>
      <c r="B130" s="13" t="s">
        <v>180</v>
      </c>
      <c r="C130" s="13" t="s">
        <v>49</v>
      </c>
      <c r="D130" s="5">
        <f>VLOOKUP(B130,Percentage_distribution_of_journey_distance_for_all_regions[#All],MATCH(A130,Percentage_distribution_of_journey_distance_for_all_regions[#Headers],0),0)/100</f>
        <v>0.11699999999999999</v>
      </c>
      <c r="E130" s="71">
        <f>IF(B130="&lt;2 kilometres",1,0)*VLOOKUP(C130, Percentage_dist_journeys_by_purpose_and_distance_to_2km[#All],MATCH(A130, Percentage_dist_journeys_by_purpose_and_distance_to_2km[#Headers],0),0)/100</f>
        <v>0</v>
      </c>
      <c r="F130" s="4">
        <f>IF(B130="2-4 kilometres",1,0)*VLOOKUP(C130, Percentage_dist_journeys_by_purpose_and_distance_2_to_4km[#All],MATCH(A130, Percentage_dist_journeys_by_purpose_and_distance_2_to_4km[#Headers],0),0)/100</f>
        <v>0</v>
      </c>
      <c r="G130" s="72">
        <f>IF(B130="4-6 kilometres",1,0)*VLOOKUP(C130, Percentage_dist_journeys_by_purpose_and_distance_4_to_6km[#All],MATCH(A130, Percentage_dist_journeys_by_purpose_and_distance_4_to_6km[#Headers],0),0)/100</f>
        <v>0.18</v>
      </c>
      <c r="H130" s="4">
        <f>IF(B130="6-8 kilometres",1,0)*VLOOKUP(C130, Percentage_dist_journeys_by_purpose_and_distance_6_to_8km[#All],MATCH(A130, Percentage_dist_journeys_by_purpose_and_distance_6_to_8km[#Headers],0),0)/100</f>
        <v>0</v>
      </c>
      <c r="I130" s="72">
        <f>IF(B130="8+ kilometres",1,0)*VLOOKUP(C130, Percentage_dist_journeys_by_purpose_and_distance_8km[#All],MATCH(A130, Percentage_dist_journeys_by_purpose_and_distance_8km[#Headers],0),0)/100</f>
        <v>0</v>
      </c>
      <c r="J130" s="73">
        <f>VLOOKUP(B130,Average_Distance_by_kilometres_grouping_for_trip_purpose[#All],MATCH(A130,Average_Distance_by_kilometres_grouping_for_trip_purpose[#Headers],0),0)</f>
        <v>5</v>
      </c>
      <c r="K130" s="77">
        <f>VLOOKUP(C130, Adjustment_factor_for_distance_based_on_trip_purpose[#All],MATCH(A130, Adjustment_factor_for_distance_based_on_trip_purpose[#Headers],0),0)</f>
        <v>1.2222222222222223</v>
      </c>
      <c r="L130" s="78">
        <f>VLOOKUP($L$2, Total_Journeys_Per_Year[#All],MATCH(A130, Total_Journeys_Per_Year[#Headers],0),0)</f>
        <v>3171485717.1895118</v>
      </c>
      <c r="M130" s="35">
        <f t="shared" si="1"/>
        <v>333957446.02005553</v>
      </c>
      <c r="N130" s="35">
        <f>VLOOKUP($N$2, Private_Vehicle_Kilometres_Car_Stock[#All],MATCH(A130, Private_Vehicle_Kilometres_Car_Stock[#Headers],0),0)</f>
        <v>31821299194</v>
      </c>
    </row>
    <row r="131" spans="1:14" x14ac:dyDescent="0.25">
      <c r="A131" s="79" t="s">
        <v>33</v>
      </c>
      <c r="B131" s="13" t="s">
        <v>182</v>
      </c>
      <c r="C131" s="13" t="s">
        <v>49</v>
      </c>
      <c r="D131" s="5">
        <f>VLOOKUP(B131,Percentage_distribution_of_journey_distance_for_all_regions[#All],MATCH(A131,Percentage_distribution_of_journey_distance_for_all_regions[#Headers],0),0)/100</f>
        <v>6.6000000000000003E-2</v>
      </c>
      <c r="E131" s="71">
        <f>IF(B131="&lt;2 kilometres",1,0)*VLOOKUP(C131, Percentage_dist_journeys_by_purpose_and_distance_to_2km[#All],MATCH(A131, Percentage_dist_journeys_by_purpose_and_distance_to_2km[#Headers],0),0)/100</f>
        <v>0</v>
      </c>
      <c r="F131" s="4">
        <f>IF(B131="2-4 kilometres",1,0)*VLOOKUP(C131, Percentage_dist_journeys_by_purpose_and_distance_2_to_4km[#All],MATCH(A131, Percentage_dist_journeys_by_purpose_and_distance_2_to_4km[#Headers],0),0)/100</f>
        <v>0</v>
      </c>
      <c r="G131" s="72">
        <f>IF(B131="4-6 kilometres",1,0)*VLOOKUP(C131, Percentage_dist_journeys_by_purpose_and_distance_4_to_6km[#All],MATCH(A131, Percentage_dist_journeys_by_purpose_and_distance_4_to_6km[#Headers],0),0)/100</f>
        <v>0</v>
      </c>
      <c r="H131" s="4">
        <f>IF(B131="6-8 kilometres",1,0)*VLOOKUP(C131, Percentage_dist_journeys_by_purpose_and_distance_6_to_8km[#All],MATCH(A131, Percentage_dist_journeys_by_purpose_and_distance_6_to_8km[#Headers],0),0)/100</f>
        <v>0.154</v>
      </c>
      <c r="I131" s="72">
        <f>IF(B131="8+ kilometres",1,0)*VLOOKUP(C131, Percentage_dist_journeys_by_purpose_and_distance_8km[#All],MATCH(A131, Percentage_dist_journeys_by_purpose_and_distance_8km[#Headers],0),0)/100</f>
        <v>0</v>
      </c>
      <c r="J131" s="73">
        <f>VLOOKUP(B131,Average_Distance_by_kilometres_grouping_for_trip_purpose[#All],MATCH(A131,Average_Distance_by_kilometres_grouping_for_trip_purpose[#Headers],0),0)</f>
        <v>7</v>
      </c>
      <c r="K131" s="77">
        <f>VLOOKUP(C131, Adjustment_factor_for_distance_based_on_trip_purpose[#All],MATCH(A131, Adjustment_factor_for_distance_based_on_trip_purpose[#Headers],0),0)</f>
        <v>1.2222222222222223</v>
      </c>
      <c r="L131" s="78">
        <f>VLOOKUP($L$2, Total_Journeys_Per_Year[#All],MATCH(A131, Total_Journeys_Per_Year[#Headers],0),0)</f>
        <v>3171485717.1895118</v>
      </c>
      <c r="M131" s="35">
        <f t="shared" si="1"/>
        <v>225644865.80659938</v>
      </c>
      <c r="N131" s="35">
        <f>VLOOKUP($N$2, Private_Vehicle_Kilometres_Car_Stock[#All],MATCH(A131, Private_Vehicle_Kilometres_Car_Stock[#Headers],0),0)</f>
        <v>31821299194</v>
      </c>
    </row>
    <row r="132" spans="1:14" x14ac:dyDescent="0.25">
      <c r="A132" s="79" t="s">
        <v>33</v>
      </c>
      <c r="B132" s="13" t="s">
        <v>1</v>
      </c>
      <c r="C132" s="13" t="s">
        <v>49</v>
      </c>
      <c r="D132" s="5">
        <f>VLOOKUP(B132,Percentage_distribution_of_journey_distance_for_all_regions[#All],MATCH(A132,Percentage_distribution_of_journey_distance_for_all_regions[#Headers],0),0)/100</f>
        <v>0.41700000000000004</v>
      </c>
      <c r="E132" s="71">
        <f>IF(B132="&lt;2 kilometres",1,0)*VLOOKUP(C132, Percentage_dist_journeys_by_purpose_and_distance_to_2km[#All],MATCH(A132, Percentage_dist_journeys_by_purpose_and_distance_to_2km[#Headers],0),0)/100</f>
        <v>0</v>
      </c>
      <c r="F132" s="4">
        <f>IF(B132="2-4 kilometres",1,0)*VLOOKUP(C132, Percentage_dist_journeys_by_purpose_and_distance_2_to_4km[#All],MATCH(A132, Percentage_dist_journeys_by_purpose_and_distance_2_to_4km[#Headers],0),0)/100</f>
        <v>0</v>
      </c>
      <c r="G132" s="72">
        <f>IF(B132="4-6 kilometres",1,0)*VLOOKUP(C132, Percentage_dist_journeys_by_purpose_and_distance_4_to_6km[#All],MATCH(A132, Percentage_dist_journeys_by_purpose_and_distance_4_to_6km[#Headers],0),0)/100</f>
        <v>0</v>
      </c>
      <c r="H132" s="4">
        <f>IF(B132="6-8 kilometres",1,0)*VLOOKUP(C132, Percentage_dist_journeys_by_purpose_and_distance_6_to_8km[#All],MATCH(A132, Percentage_dist_journeys_by_purpose_and_distance_6_to_8km[#Headers],0),0)/100</f>
        <v>0</v>
      </c>
      <c r="I132" s="72">
        <f>IF(B132="8+ kilometres",1,0)*VLOOKUP(C132, Percentage_dist_journeys_by_purpose_and_distance_8km[#All],MATCH(A132, Percentage_dist_journeys_by_purpose_and_distance_8km[#Headers],0),0)/100</f>
        <v>0.13900000000000001</v>
      </c>
      <c r="J132" s="73">
        <f>VLOOKUP(B132,Average_Distance_by_kilometres_grouping_for_trip_purpose[#All],MATCH(A132,Average_Distance_by_kilometres_grouping_for_trip_purpose[#Headers],0),0)</f>
        <v>38.15</v>
      </c>
      <c r="K132" s="77">
        <f>VLOOKUP(C132, Adjustment_factor_for_distance_based_on_trip_purpose[#All],MATCH(A132, Adjustment_factor_for_distance_based_on_trip_purpose[#Headers],0),0)</f>
        <v>1.2222222222222223</v>
      </c>
      <c r="L132" s="78">
        <f>VLOOKUP($L$2, Total_Journeys_Per_Year[#All],MATCH(A132, Total_Journeys_Per_Year[#Headers],0),0)</f>
        <v>3171485717.1895118</v>
      </c>
      <c r="M132" s="35">
        <f t="shared" ref="M132:M195" si="2">D132*(SUM(E132:I132))*J132*L132</f>
        <v>7013069735.7611341</v>
      </c>
      <c r="N132" s="35">
        <f>VLOOKUP($N$2, Private_Vehicle_Kilometres_Car_Stock[#All],MATCH(A132, Private_Vehicle_Kilometres_Car_Stock[#Headers],0),0)</f>
        <v>31821299194</v>
      </c>
    </row>
    <row r="133" spans="1:14" x14ac:dyDescent="0.25">
      <c r="A133" s="79" t="s">
        <v>33</v>
      </c>
      <c r="B133" s="13" t="s">
        <v>12</v>
      </c>
      <c r="C133" s="13" t="s">
        <v>50</v>
      </c>
      <c r="D133" s="5">
        <f>VLOOKUP(B133,Percentage_distribution_of_journey_distance_for_all_regions[#All],MATCH(A133,Percentage_distribution_of_journey_distance_for_all_regions[#Headers],0),0)/100</f>
        <v>0.21100000000000002</v>
      </c>
      <c r="E133" s="71">
        <f>IF(B133="&lt;2 kilometres",1,0)*VLOOKUP(C133, Percentage_dist_journeys_by_purpose_and_distance_to_2km[#All],MATCH(A133, Percentage_dist_journeys_by_purpose_and_distance_to_2km[#Headers],0),0)/100</f>
        <v>0.05</v>
      </c>
      <c r="F133" s="4">
        <f>IF(B133="2-4 kilometres",1,0)*VLOOKUP(C133, Percentage_dist_journeys_by_purpose_and_distance_2_to_4km[#All],MATCH(A133, Percentage_dist_journeys_by_purpose_and_distance_2_to_4km[#Headers],0),0)/100</f>
        <v>0</v>
      </c>
      <c r="G133" s="72">
        <f>IF(B133="4-6 kilometres",1,0)*VLOOKUP(C133, Percentage_dist_journeys_by_purpose_and_distance_4_to_6km[#All],MATCH(A133, Percentage_dist_journeys_by_purpose_and_distance_4_to_6km[#Headers],0),0)/100</f>
        <v>0</v>
      </c>
      <c r="H133" s="4">
        <f>IF(B133="6-8 kilometres",1,0)*VLOOKUP(C133, Percentage_dist_journeys_by_purpose_and_distance_6_to_8km[#All],MATCH(A133, Percentage_dist_journeys_by_purpose_and_distance_6_to_8km[#Headers],0),0)/100</f>
        <v>0</v>
      </c>
      <c r="I133" s="72">
        <f>IF(B133="8+ kilometres",1,0)*VLOOKUP(C133, Percentage_dist_journeys_by_purpose_and_distance_8km[#All],MATCH(A133, Percentage_dist_journeys_by_purpose_and_distance_8km[#Headers],0),0)/100</f>
        <v>0</v>
      </c>
      <c r="J133" s="73">
        <f>VLOOKUP(B133,Average_Distance_by_kilometres_grouping_for_trip_purpose[#All],MATCH(A133,Average_Distance_by_kilometres_grouping_for_trip_purpose[#Headers],0),0)</f>
        <v>1</v>
      </c>
      <c r="K133" s="77">
        <f>VLOOKUP(C133, Adjustment_factor_for_distance_based_on_trip_purpose[#All],MATCH(A133, Adjustment_factor_for_distance_based_on_trip_purpose[#Headers],0),0)</f>
        <v>0.77777777777777779</v>
      </c>
      <c r="L133" s="78">
        <f>VLOOKUP($L$2, Total_Journeys_Per_Year[#All],MATCH(A133, Total_Journeys_Per_Year[#Headers],0),0)</f>
        <v>3171485717.1895118</v>
      </c>
      <c r="M133" s="35">
        <f t="shared" si="2"/>
        <v>33459174.316349357</v>
      </c>
      <c r="N133" s="35">
        <f>VLOOKUP($N$2, Private_Vehicle_Kilometres_Car_Stock[#All],MATCH(A133, Private_Vehicle_Kilometres_Car_Stock[#Headers],0),0)</f>
        <v>31821299194</v>
      </c>
    </row>
    <row r="134" spans="1:14" x14ac:dyDescent="0.25">
      <c r="A134" s="79" t="s">
        <v>33</v>
      </c>
      <c r="B134" s="13" t="s">
        <v>181</v>
      </c>
      <c r="C134" s="13" t="s">
        <v>50</v>
      </c>
      <c r="D134" s="5">
        <f>VLOOKUP(B134,Percentage_distribution_of_journey_distance_for_all_regions[#All],MATCH(A134,Percentage_distribution_of_journey_distance_for_all_regions[#Headers],0),0)/100</f>
        <v>0.18899999999999997</v>
      </c>
      <c r="E134" s="71">
        <f>IF(B134="&lt;2 kilometres",1,0)*VLOOKUP(C134, Percentage_dist_journeys_by_purpose_and_distance_to_2km[#All],MATCH(A134, Percentage_dist_journeys_by_purpose_and_distance_to_2km[#Headers],0),0)/100</f>
        <v>0</v>
      </c>
      <c r="F134" s="4">
        <f>IF(B134="2-4 kilometres",1,0)*VLOOKUP(C134, Percentage_dist_journeys_by_purpose_and_distance_2_to_4km[#All],MATCH(A134, Percentage_dist_journeys_by_purpose_and_distance_2_to_4km[#Headers],0),0)/100</f>
        <v>4.7E-2</v>
      </c>
      <c r="G134" s="72">
        <f>IF(B134="4-6 kilometres",1,0)*VLOOKUP(C134, Percentage_dist_journeys_by_purpose_and_distance_4_to_6km[#All],MATCH(A134, Percentage_dist_journeys_by_purpose_and_distance_4_to_6km[#Headers],0),0)/100</f>
        <v>0</v>
      </c>
      <c r="H134" s="4">
        <f>IF(B134="6-8 kilometres",1,0)*VLOOKUP(C134, Percentage_dist_journeys_by_purpose_and_distance_6_to_8km[#All],MATCH(A134, Percentage_dist_journeys_by_purpose_and_distance_6_to_8km[#Headers],0),0)/100</f>
        <v>0</v>
      </c>
      <c r="I134" s="72">
        <f>IF(B134="8+ kilometres",1,0)*VLOOKUP(C134, Percentage_dist_journeys_by_purpose_and_distance_8km[#All],MATCH(A134, Percentage_dist_journeys_by_purpose_and_distance_8km[#Headers],0),0)/100</f>
        <v>0</v>
      </c>
      <c r="J134" s="73">
        <f>VLOOKUP(B134,Average_Distance_by_kilometres_grouping_for_trip_purpose[#All],MATCH(A134,Average_Distance_by_kilometres_grouping_for_trip_purpose[#Headers],0),0)</f>
        <v>3</v>
      </c>
      <c r="K134" s="77">
        <f>VLOOKUP(C134, Adjustment_factor_for_distance_based_on_trip_purpose[#All],MATCH(A134, Adjustment_factor_for_distance_based_on_trip_purpose[#Headers],0),0)</f>
        <v>0.77777777777777779</v>
      </c>
      <c r="L134" s="78">
        <f>VLOOKUP($L$2, Total_Journeys_Per_Year[#All],MATCH(A134, Total_Journeys_Per_Year[#Headers],0),0)</f>
        <v>3171485717.1895118</v>
      </c>
      <c r="M134" s="35">
        <f t="shared" si="2"/>
        <v>84516922.877383292</v>
      </c>
      <c r="N134" s="35">
        <f>VLOOKUP($N$2, Private_Vehicle_Kilometres_Car_Stock[#All],MATCH(A134, Private_Vehicle_Kilometres_Car_Stock[#Headers],0),0)</f>
        <v>31821299194</v>
      </c>
    </row>
    <row r="135" spans="1:14" x14ac:dyDescent="0.25">
      <c r="A135" s="79" t="s">
        <v>33</v>
      </c>
      <c r="B135" s="13" t="s">
        <v>180</v>
      </c>
      <c r="C135" s="13" t="s">
        <v>50</v>
      </c>
      <c r="D135" s="5">
        <f>VLOOKUP(B135,Percentage_distribution_of_journey_distance_for_all_regions[#All],MATCH(A135,Percentage_distribution_of_journey_distance_for_all_regions[#Headers],0),0)/100</f>
        <v>0.11699999999999999</v>
      </c>
      <c r="E135" s="71">
        <f>IF(B135="&lt;2 kilometres",1,0)*VLOOKUP(C135, Percentage_dist_journeys_by_purpose_and_distance_to_2km[#All],MATCH(A135, Percentage_dist_journeys_by_purpose_and_distance_to_2km[#Headers],0),0)/100</f>
        <v>0</v>
      </c>
      <c r="F135" s="4">
        <f>IF(B135="2-4 kilometres",1,0)*VLOOKUP(C135, Percentage_dist_journeys_by_purpose_and_distance_2_to_4km[#All],MATCH(A135, Percentage_dist_journeys_by_purpose_and_distance_2_to_4km[#Headers],0),0)/100</f>
        <v>0</v>
      </c>
      <c r="G135" s="72">
        <f>IF(B135="4-6 kilometres",1,0)*VLOOKUP(C135, Percentage_dist_journeys_by_purpose_and_distance_4_to_6km[#All],MATCH(A135, Percentage_dist_journeys_by_purpose_and_distance_4_to_6km[#Headers],0),0)/100</f>
        <v>4.4000000000000004E-2</v>
      </c>
      <c r="H135" s="4">
        <f>IF(B135="6-8 kilometres",1,0)*VLOOKUP(C135, Percentage_dist_journeys_by_purpose_and_distance_6_to_8km[#All],MATCH(A135, Percentage_dist_journeys_by_purpose_and_distance_6_to_8km[#Headers],0),0)/100</f>
        <v>0</v>
      </c>
      <c r="I135" s="72">
        <f>IF(B135="8+ kilometres",1,0)*VLOOKUP(C135, Percentage_dist_journeys_by_purpose_and_distance_8km[#All],MATCH(A135, Percentage_dist_journeys_by_purpose_and_distance_8km[#Headers],0),0)/100</f>
        <v>0</v>
      </c>
      <c r="J135" s="73">
        <f>VLOOKUP(B135,Average_Distance_by_kilometres_grouping_for_trip_purpose[#All],MATCH(A135,Average_Distance_by_kilometres_grouping_for_trip_purpose[#Headers],0),0)</f>
        <v>5</v>
      </c>
      <c r="K135" s="77">
        <f>VLOOKUP(C135, Adjustment_factor_for_distance_based_on_trip_purpose[#All],MATCH(A135, Adjustment_factor_for_distance_based_on_trip_purpose[#Headers],0),0)</f>
        <v>0.77777777777777779</v>
      </c>
      <c r="L135" s="78">
        <f>VLOOKUP($L$2, Total_Journeys_Per_Year[#All],MATCH(A135, Total_Journeys_Per_Year[#Headers],0),0)</f>
        <v>3171485717.1895118</v>
      </c>
      <c r="M135" s="35">
        <f t="shared" si="2"/>
        <v>81634042.360458031</v>
      </c>
      <c r="N135" s="35">
        <f>VLOOKUP($N$2, Private_Vehicle_Kilometres_Car_Stock[#All],MATCH(A135, Private_Vehicle_Kilometres_Car_Stock[#Headers],0),0)</f>
        <v>31821299194</v>
      </c>
    </row>
    <row r="136" spans="1:14" x14ac:dyDescent="0.25">
      <c r="A136" s="79" t="s">
        <v>33</v>
      </c>
      <c r="B136" s="13" t="s">
        <v>182</v>
      </c>
      <c r="C136" s="13" t="s">
        <v>50</v>
      </c>
      <c r="D136" s="5">
        <f>VLOOKUP(B136,Percentage_distribution_of_journey_distance_for_all_regions[#All],MATCH(A136,Percentage_distribution_of_journey_distance_for_all_regions[#Headers],0),0)/100</f>
        <v>6.6000000000000003E-2</v>
      </c>
      <c r="E136" s="71">
        <f>IF(B136="&lt;2 kilometres",1,0)*VLOOKUP(C136, Percentage_dist_journeys_by_purpose_and_distance_to_2km[#All],MATCH(A136, Percentage_dist_journeys_by_purpose_and_distance_to_2km[#Headers],0),0)/100</f>
        <v>0</v>
      </c>
      <c r="F136" s="4">
        <f>IF(B136="2-4 kilometres",1,0)*VLOOKUP(C136, Percentage_dist_journeys_by_purpose_and_distance_2_to_4km[#All],MATCH(A136, Percentage_dist_journeys_by_purpose_and_distance_2_to_4km[#Headers],0),0)/100</f>
        <v>0</v>
      </c>
      <c r="G136" s="72">
        <f>IF(B136="4-6 kilometres",1,0)*VLOOKUP(C136, Percentage_dist_journeys_by_purpose_and_distance_4_to_6km[#All],MATCH(A136, Percentage_dist_journeys_by_purpose_and_distance_4_to_6km[#Headers],0),0)/100</f>
        <v>0</v>
      </c>
      <c r="H136" s="4">
        <f>IF(B136="6-8 kilometres",1,0)*VLOOKUP(C136, Percentage_dist_journeys_by_purpose_and_distance_6_to_8km[#All],MATCH(A136, Percentage_dist_journeys_by_purpose_and_distance_6_to_8km[#Headers],0),0)/100</f>
        <v>4.0999999999999995E-2</v>
      </c>
      <c r="I136" s="72">
        <f>IF(B136="8+ kilometres",1,0)*VLOOKUP(C136, Percentage_dist_journeys_by_purpose_and_distance_8km[#All],MATCH(A136, Percentage_dist_journeys_by_purpose_and_distance_8km[#Headers],0),0)/100</f>
        <v>0</v>
      </c>
      <c r="J136" s="73">
        <f>VLOOKUP(B136,Average_Distance_by_kilometres_grouping_for_trip_purpose[#All],MATCH(A136,Average_Distance_by_kilometres_grouping_for_trip_purpose[#Headers],0),0)</f>
        <v>7</v>
      </c>
      <c r="K136" s="77">
        <f>VLOOKUP(C136, Adjustment_factor_for_distance_based_on_trip_purpose[#All],MATCH(A136, Adjustment_factor_for_distance_based_on_trip_purpose[#Headers],0),0)</f>
        <v>0.77777777777777779</v>
      </c>
      <c r="L136" s="78">
        <f>VLOOKUP($L$2, Total_Journeys_Per_Year[#All],MATCH(A136, Total_Journeys_Per_Year[#Headers],0),0)</f>
        <v>3171485717.1895118</v>
      </c>
      <c r="M136" s="35">
        <f t="shared" si="2"/>
        <v>60074282.455003724</v>
      </c>
      <c r="N136" s="35">
        <f>VLOOKUP($N$2, Private_Vehicle_Kilometres_Car_Stock[#All],MATCH(A136, Private_Vehicle_Kilometres_Car_Stock[#Headers],0),0)</f>
        <v>31821299194</v>
      </c>
    </row>
    <row r="137" spans="1:14" x14ac:dyDescent="0.25">
      <c r="A137" s="79" t="s">
        <v>33</v>
      </c>
      <c r="B137" s="13" t="s">
        <v>1</v>
      </c>
      <c r="C137" s="13" t="s">
        <v>50</v>
      </c>
      <c r="D137" s="5">
        <f>VLOOKUP(B137,Percentage_distribution_of_journey_distance_for_all_regions[#All],MATCH(A137,Percentage_distribution_of_journey_distance_for_all_regions[#Headers],0),0)/100</f>
        <v>0.41700000000000004</v>
      </c>
      <c r="E137" s="71">
        <f>IF(B137="&lt;2 kilometres",1,0)*VLOOKUP(C137, Percentage_dist_journeys_by_purpose_and_distance_to_2km[#All],MATCH(A137, Percentage_dist_journeys_by_purpose_and_distance_to_2km[#Headers],0),0)/100</f>
        <v>0</v>
      </c>
      <c r="F137" s="4">
        <f>IF(B137="2-4 kilometres",1,0)*VLOOKUP(C137, Percentage_dist_journeys_by_purpose_and_distance_2_to_4km[#All],MATCH(A137, Percentage_dist_journeys_by_purpose_and_distance_2_to_4km[#Headers],0),0)/100</f>
        <v>0</v>
      </c>
      <c r="G137" s="72">
        <f>IF(B137="4-6 kilometres",1,0)*VLOOKUP(C137, Percentage_dist_journeys_by_purpose_and_distance_4_to_6km[#All],MATCH(A137, Percentage_dist_journeys_by_purpose_and_distance_4_to_6km[#Headers],0),0)/100</f>
        <v>0</v>
      </c>
      <c r="H137" s="4">
        <f>IF(B137="6-8 kilometres",1,0)*VLOOKUP(C137, Percentage_dist_journeys_by_purpose_and_distance_6_to_8km[#All],MATCH(A137, Percentage_dist_journeys_by_purpose_and_distance_6_to_8km[#Headers],0),0)/100</f>
        <v>0</v>
      </c>
      <c r="I137" s="72">
        <f>IF(B137="8+ kilometres",1,0)*VLOOKUP(C137, Percentage_dist_journeys_by_purpose_and_distance_8km[#All],MATCH(A137, Percentage_dist_journeys_by_purpose_and_distance_8km[#Headers],0),0)/100</f>
        <v>4.8000000000000001E-2</v>
      </c>
      <c r="J137" s="73">
        <f>VLOOKUP(B137,Average_Distance_by_kilometres_grouping_for_trip_purpose[#All],MATCH(A137,Average_Distance_by_kilometres_grouping_for_trip_purpose[#Headers],0),0)</f>
        <v>38.15</v>
      </c>
      <c r="K137" s="77">
        <f>VLOOKUP(C137, Adjustment_factor_for_distance_based_on_trip_purpose[#All],MATCH(A137, Adjustment_factor_for_distance_based_on_trip_purpose[#Headers],0),0)</f>
        <v>0.77777777777777779</v>
      </c>
      <c r="L137" s="78">
        <f>VLOOKUP($L$2, Total_Journeys_Per_Year[#All],MATCH(A137, Total_Journeys_Per_Year[#Headers],0),0)</f>
        <v>3171485717.1895118</v>
      </c>
      <c r="M137" s="35">
        <f t="shared" si="2"/>
        <v>2421779477.0973701</v>
      </c>
      <c r="N137" s="35">
        <f>VLOOKUP($N$2, Private_Vehicle_Kilometres_Car_Stock[#All],MATCH(A137, Private_Vehicle_Kilometres_Car_Stock[#Headers],0),0)</f>
        <v>31821299194</v>
      </c>
    </row>
    <row r="138" spans="1:14" x14ac:dyDescent="0.25">
      <c r="A138" s="79" t="s">
        <v>34</v>
      </c>
      <c r="B138" s="13" t="s">
        <v>12</v>
      </c>
      <c r="C138" s="13" t="s">
        <v>42</v>
      </c>
      <c r="D138" s="5">
        <f>VLOOKUP(B138,Percentage_distribution_of_journey_distance_for_all_regions[#All],MATCH(A138,Percentage_distribution_of_journey_distance_for_all_regions[#Headers],0),0)/100</f>
        <v>0.188</v>
      </c>
      <c r="E138" s="71">
        <f>IF(B138="&lt;2 kilometres",1,0)*VLOOKUP(C138, Percentage_dist_journeys_by_purpose_and_distance_to_2km[#All],MATCH(A138, Percentage_dist_journeys_by_purpose_and_distance_to_2km[#Headers],0),0)/100</f>
        <v>0.152</v>
      </c>
      <c r="F138" s="4">
        <f>IF(B138="2-4 kilometres",1,0)*VLOOKUP(C138, Percentage_dist_journeys_by_purpose_and_distance_2_to_4km[#All],MATCH(A138, Percentage_dist_journeys_by_purpose_and_distance_2_to_4km[#Headers],0),0)/100</f>
        <v>0</v>
      </c>
      <c r="G138" s="72">
        <f>IF(B138="4-6 kilometres",1,0)*VLOOKUP(C138, Percentage_dist_journeys_by_purpose_and_distance_4_to_6km[#All],MATCH(A138, Percentage_dist_journeys_by_purpose_and_distance_4_to_6km[#Headers],0),0)/100</f>
        <v>0</v>
      </c>
      <c r="H138" s="4">
        <f>IF(B138="6-8 kilometres",1,0)*VLOOKUP(C138, Percentage_dist_journeys_by_purpose_and_distance_6_to_8km[#All],MATCH(A138, Percentage_dist_journeys_by_purpose_and_distance_6_to_8km[#Headers],0),0)/100</f>
        <v>0</v>
      </c>
      <c r="I138" s="72">
        <f>IF(B138="8+ kilometres",1,0)*VLOOKUP(C138, Percentage_dist_journeys_by_purpose_and_distance_8km[#All],MATCH(A138, Percentage_dist_journeys_by_purpose_and_distance_8km[#Headers],0),0)/100</f>
        <v>0</v>
      </c>
      <c r="J138" s="73">
        <f>VLOOKUP(B138,Average_Distance_by_kilometres_grouping_for_trip_purpose[#All],MATCH(A138,Average_Distance_by_kilometres_grouping_for_trip_purpose[#Headers],0),0)</f>
        <v>1</v>
      </c>
      <c r="K138" s="77">
        <f>VLOOKUP(C138, Adjustment_factor_for_distance_based_on_trip_purpose[#All],MATCH(A138, Adjustment_factor_for_distance_based_on_trip_purpose[#Headers],0),0)</f>
        <v>1</v>
      </c>
      <c r="L138" s="78">
        <f>VLOOKUP($L$2, Total_Journeys_Per_Year[#All],MATCH(A138, Total_Journeys_Per_Year[#Headers],0),0)</f>
        <v>2940102000.5779233</v>
      </c>
      <c r="M138" s="35">
        <f t="shared" si="2"/>
        <v>84016354.768514737</v>
      </c>
      <c r="N138" s="35">
        <f>VLOOKUP($N$2, Private_Vehicle_Kilometres_Car_Stock[#All],MATCH(A138, Private_Vehicle_Kilometres_Car_Stock[#Headers],0),0)</f>
        <v>32323075433</v>
      </c>
    </row>
    <row r="139" spans="1:14" x14ac:dyDescent="0.25">
      <c r="A139" s="79" t="s">
        <v>34</v>
      </c>
      <c r="B139" s="13" t="s">
        <v>181</v>
      </c>
      <c r="C139" s="13" t="s">
        <v>42</v>
      </c>
      <c r="D139" s="5">
        <f>VLOOKUP(B139,Percentage_distribution_of_journey_distance_for_all_regions[#All],MATCH(A139,Percentage_distribution_of_journey_distance_for_all_regions[#Headers],0),0)/100</f>
        <v>0.2</v>
      </c>
      <c r="E139" s="71">
        <f>IF(B139="&lt;2 kilometres",1,0)*VLOOKUP(C139, Percentage_dist_journeys_by_purpose_and_distance_to_2km[#All],MATCH(A139, Percentage_dist_journeys_by_purpose_and_distance_to_2km[#Headers],0),0)/100</f>
        <v>0</v>
      </c>
      <c r="F139" s="4">
        <f>IF(B139="2-4 kilometres",1,0)*VLOOKUP(C139, Percentage_dist_journeys_by_purpose_and_distance_2_to_4km[#All],MATCH(A139, Percentage_dist_journeys_by_purpose_and_distance_2_to_4km[#Headers],0),0)/100</f>
        <v>0.20300000000000001</v>
      </c>
      <c r="G139" s="72">
        <f>IF(B139="4-6 kilometres",1,0)*VLOOKUP(C139, Percentage_dist_journeys_by_purpose_and_distance_4_to_6km[#All],MATCH(A139, Percentage_dist_journeys_by_purpose_and_distance_4_to_6km[#Headers],0),0)/100</f>
        <v>0</v>
      </c>
      <c r="H139" s="4">
        <f>IF(B139="6-8 kilometres",1,0)*VLOOKUP(C139, Percentage_dist_journeys_by_purpose_and_distance_6_to_8km[#All],MATCH(A139, Percentage_dist_journeys_by_purpose_and_distance_6_to_8km[#Headers],0),0)/100</f>
        <v>0</v>
      </c>
      <c r="I139" s="72">
        <f>IF(B139="8+ kilometres",1,0)*VLOOKUP(C139, Percentage_dist_journeys_by_purpose_and_distance_8km[#All],MATCH(A139, Percentage_dist_journeys_by_purpose_and_distance_8km[#Headers],0),0)/100</f>
        <v>0</v>
      </c>
      <c r="J139" s="73">
        <f>VLOOKUP(B139,Average_Distance_by_kilometres_grouping_for_trip_purpose[#All],MATCH(A139,Average_Distance_by_kilometres_grouping_for_trip_purpose[#Headers],0),0)</f>
        <v>3</v>
      </c>
      <c r="K139" s="77">
        <f>VLOOKUP(C139, Adjustment_factor_for_distance_based_on_trip_purpose[#All],MATCH(A139, Adjustment_factor_for_distance_based_on_trip_purpose[#Headers],0),0)</f>
        <v>1</v>
      </c>
      <c r="L139" s="78">
        <f>VLOOKUP($L$2, Total_Journeys_Per_Year[#All],MATCH(A139, Total_Journeys_Per_Year[#Headers],0),0)</f>
        <v>2940102000.5779233</v>
      </c>
      <c r="M139" s="35">
        <f t="shared" si="2"/>
        <v>358104423.67039114</v>
      </c>
      <c r="N139" s="35">
        <f>VLOOKUP($N$2, Private_Vehicle_Kilometres_Car_Stock[#All],MATCH(A139, Private_Vehicle_Kilometres_Car_Stock[#Headers],0),0)</f>
        <v>32323075433</v>
      </c>
    </row>
    <row r="140" spans="1:14" x14ac:dyDescent="0.25">
      <c r="A140" s="79" t="s">
        <v>34</v>
      </c>
      <c r="B140" s="13" t="s">
        <v>180</v>
      </c>
      <c r="C140" s="13" t="s">
        <v>42</v>
      </c>
      <c r="D140" s="5">
        <f>VLOOKUP(B140,Percentage_distribution_of_journey_distance_for_all_regions[#All],MATCH(A140,Percentage_distribution_of_journey_distance_for_all_regions[#Headers],0),0)/100</f>
        <v>0.13</v>
      </c>
      <c r="E140" s="71">
        <f>IF(B140="&lt;2 kilometres",1,0)*VLOOKUP(C140, Percentage_dist_journeys_by_purpose_and_distance_to_2km[#All],MATCH(A140, Percentage_dist_journeys_by_purpose_and_distance_to_2km[#Headers],0),0)/100</f>
        <v>0</v>
      </c>
      <c r="F140" s="4">
        <f>IF(B140="2-4 kilometres",1,0)*VLOOKUP(C140, Percentage_dist_journeys_by_purpose_and_distance_2_to_4km[#All],MATCH(A140, Percentage_dist_journeys_by_purpose_and_distance_2_to_4km[#Headers],0),0)/100</f>
        <v>0</v>
      </c>
      <c r="G140" s="72">
        <f>IF(B140="4-6 kilometres",1,0)*VLOOKUP(C140, Percentage_dist_journeys_by_purpose_and_distance_4_to_6km[#All],MATCH(A140, Percentage_dist_journeys_by_purpose_and_distance_4_to_6km[#Headers],0),0)/100</f>
        <v>0.218</v>
      </c>
      <c r="H140" s="4">
        <f>IF(B140="6-8 kilometres",1,0)*VLOOKUP(C140, Percentage_dist_journeys_by_purpose_and_distance_6_to_8km[#All],MATCH(A140, Percentage_dist_journeys_by_purpose_and_distance_6_to_8km[#Headers],0),0)/100</f>
        <v>0</v>
      </c>
      <c r="I140" s="72">
        <f>IF(B140="8+ kilometres",1,0)*VLOOKUP(C140, Percentage_dist_journeys_by_purpose_and_distance_8km[#All],MATCH(A140, Percentage_dist_journeys_by_purpose_and_distance_8km[#Headers],0),0)/100</f>
        <v>0</v>
      </c>
      <c r="J140" s="73">
        <f>VLOOKUP(B140,Average_Distance_by_kilometres_grouping_for_trip_purpose[#All],MATCH(A140,Average_Distance_by_kilometres_grouping_for_trip_purpose[#Headers],0),0)</f>
        <v>5</v>
      </c>
      <c r="K140" s="77">
        <f>VLOOKUP(C140, Adjustment_factor_for_distance_based_on_trip_purpose[#All],MATCH(A140, Adjustment_factor_for_distance_based_on_trip_purpose[#Headers],0),0)</f>
        <v>1</v>
      </c>
      <c r="L140" s="78">
        <f>VLOOKUP($L$2, Total_Journeys_Per_Year[#All],MATCH(A140, Total_Journeys_Per_Year[#Headers],0),0)</f>
        <v>2940102000.5779233</v>
      </c>
      <c r="M140" s="35">
        <f t="shared" si="2"/>
        <v>416612453.48189169</v>
      </c>
      <c r="N140" s="35">
        <f>VLOOKUP($N$2, Private_Vehicle_Kilometres_Car_Stock[#All],MATCH(A140, Private_Vehicle_Kilometres_Car_Stock[#Headers],0),0)</f>
        <v>32323075433</v>
      </c>
    </row>
    <row r="141" spans="1:14" x14ac:dyDescent="0.25">
      <c r="A141" s="79" t="s">
        <v>34</v>
      </c>
      <c r="B141" s="13" t="s">
        <v>182</v>
      </c>
      <c r="C141" s="13" t="s">
        <v>42</v>
      </c>
      <c r="D141" s="5">
        <f>VLOOKUP(B141,Percentage_distribution_of_journey_distance_for_all_regions[#All],MATCH(A141,Percentage_distribution_of_journey_distance_for_all_regions[#Headers],0),0)/100</f>
        <v>6.4000000000000001E-2</v>
      </c>
      <c r="E141" s="71">
        <f>IF(B141="&lt;2 kilometres",1,0)*VLOOKUP(C141, Percentage_dist_journeys_by_purpose_and_distance_to_2km[#All],MATCH(A141, Percentage_dist_journeys_by_purpose_and_distance_to_2km[#Headers],0),0)/100</f>
        <v>0</v>
      </c>
      <c r="F141" s="4">
        <f>IF(B141="2-4 kilometres",1,0)*VLOOKUP(C141, Percentage_dist_journeys_by_purpose_and_distance_2_to_4km[#All],MATCH(A141, Percentage_dist_journeys_by_purpose_and_distance_2_to_4km[#Headers],0),0)/100</f>
        <v>0</v>
      </c>
      <c r="G141" s="72">
        <f>IF(B141="4-6 kilometres",1,0)*VLOOKUP(C141, Percentage_dist_journeys_by_purpose_and_distance_4_to_6km[#All],MATCH(A141, Percentage_dist_journeys_by_purpose_and_distance_4_to_6km[#Headers],0),0)/100</f>
        <v>0</v>
      </c>
      <c r="H141" s="4">
        <f>IF(B141="6-8 kilometres",1,0)*VLOOKUP(C141, Percentage_dist_journeys_by_purpose_and_distance_6_to_8km[#All],MATCH(A141, Percentage_dist_journeys_by_purpose_and_distance_6_to_8km[#Headers],0),0)/100</f>
        <v>0.22600000000000001</v>
      </c>
      <c r="I141" s="72">
        <f>IF(B141="8+ kilometres",1,0)*VLOOKUP(C141, Percentage_dist_journeys_by_purpose_and_distance_8km[#All],MATCH(A141, Percentage_dist_journeys_by_purpose_and_distance_8km[#Headers],0),0)/100</f>
        <v>0</v>
      </c>
      <c r="J141" s="73">
        <f>VLOOKUP(B141,Average_Distance_by_kilometres_grouping_for_trip_purpose[#All],MATCH(A141,Average_Distance_by_kilometres_grouping_for_trip_purpose[#Headers],0),0)</f>
        <v>7</v>
      </c>
      <c r="K141" s="77">
        <f>VLOOKUP(C141, Adjustment_factor_for_distance_based_on_trip_purpose[#All],MATCH(A141, Adjustment_factor_for_distance_based_on_trip_purpose[#Headers],0),0)</f>
        <v>1</v>
      </c>
      <c r="L141" s="78">
        <f>VLOOKUP($L$2, Total_Journeys_Per_Year[#All],MATCH(A141, Total_Journeys_Per_Year[#Headers],0),0)</f>
        <v>2940102000.5779233</v>
      </c>
      <c r="M141" s="35">
        <f t="shared" si="2"/>
        <v>297679447.35451359</v>
      </c>
      <c r="N141" s="35">
        <f>VLOOKUP($N$2, Private_Vehicle_Kilometres_Car_Stock[#All],MATCH(A141, Private_Vehicle_Kilometres_Car_Stock[#Headers],0),0)</f>
        <v>32323075433</v>
      </c>
    </row>
    <row r="142" spans="1:14" x14ac:dyDescent="0.25">
      <c r="A142" s="79" t="s">
        <v>34</v>
      </c>
      <c r="B142" s="13" t="s">
        <v>1</v>
      </c>
      <c r="C142" s="13" t="s">
        <v>42</v>
      </c>
      <c r="D142" s="5">
        <f>VLOOKUP(B142,Percentage_distribution_of_journey_distance_for_all_regions[#All],MATCH(A142,Percentage_distribution_of_journey_distance_for_all_regions[#Headers],0),0)/100</f>
        <v>0.41899999999999998</v>
      </c>
      <c r="E142" s="71">
        <f>IF(B142="&lt;2 kilometres",1,0)*VLOOKUP(C142, Percentage_dist_journeys_by_purpose_and_distance_to_2km[#All],MATCH(A142, Percentage_dist_journeys_by_purpose_and_distance_to_2km[#Headers],0),0)/100</f>
        <v>0</v>
      </c>
      <c r="F142" s="4">
        <f>IF(B142="2-4 kilometres",1,0)*VLOOKUP(C142, Percentage_dist_journeys_by_purpose_and_distance_2_to_4km[#All],MATCH(A142, Percentage_dist_journeys_by_purpose_and_distance_2_to_4km[#Headers],0),0)/100</f>
        <v>0</v>
      </c>
      <c r="G142" s="72">
        <f>IF(B142="4-6 kilometres",1,0)*VLOOKUP(C142, Percentage_dist_journeys_by_purpose_and_distance_4_to_6km[#All],MATCH(A142, Percentage_dist_journeys_by_purpose_and_distance_4_to_6km[#Headers],0),0)/100</f>
        <v>0</v>
      </c>
      <c r="H142" s="4">
        <f>IF(B142="6-8 kilometres",1,0)*VLOOKUP(C142, Percentage_dist_journeys_by_purpose_and_distance_6_to_8km[#All],MATCH(A142, Percentage_dist_journeys_by_purpose_and_distance_6_to_8km[#Headers],0),0)/100</f>
        <v>0</v>
      </c>
      <c r="I142" s="72">
        <f>IF(B142="8+ kilometres",1,0)*VLOOKUP(C142, Percentage_dist_journeys_by_purpose_and_distance_8km[#All],MATCH(A142, Percentage_dist_journeys_by_purpose_and_distance_8km[#Headers],0),0)/100</f>
        <v>0.33399999999999996</v>
      </c>
      <c r="J142" s="73">
        <f>VLOOKUP(B142,Average_Distance_by_kilometres_grouping_for_trip_purpose[#All],MATCH(A142,Average_Distance_by_kilometres_grouping_for_trip_purpose[#Headers],0),0)</f>
        <v>42.45</v>
      </c>
      <c r="K142" s="77">
        <f>VLOOKUP(C142, Adjustment_factor_for_distance_based_on_trip_purpose[#All],MATCH(A142, Adjustment_factor_for_distance_based_on_trip_purpose[#Headers],0),0)</f>
        <v>1</v>
      </c>
      <c r="L142" s="78">
        <f>VLOOKUP($L$2, Total_Journeys_Per_Year[#All],MATCH(A142, Total_Journeys_Per_Year[#Headers],0),0)</f>
        <v>2940102000.5779233</v>
      </c>
      <c r="M142" s="35">
        <f t="shared" si="2"/>
        <v>17466286593.618671</v>
      </c>
      <c r="N142" s="35">
        <f>VLOOKUP($N$2, Private_Vehicle_Kilometres_Car_Stock[#All],MATCH(A142, Private_Vehicle_Kilometres_Car_Stock[#Headers],0),0)</f>
        <v>32323075433</v>
      </c>
    </row>
    <row r="143" spans="1:14" x14ac:dyDescent="0.25">
      <c r="A143" s="79" t="s">
        <v>34</v>
      </c>
      <c r="B143" s="13" t="s">
        <v>12</v>
      </c>
      <c r="C143" s="13" t="s">
        <v>43</v>
      </c>
      <c r="D143" s="5">
        <f>VLOOKUP(B143,Percentage_distribution_of_journey_distance_for_all_regions[#All],MATCH(A143,Percentage_distribution_of_journey_distance_for_all_regions[#Headers],0),0)/100</f>
        <v>0.188</v>
      </c>
      <c r="E143" s="71">
        <f>IF(B143="&lt;2 kilometres",1,0)*VLOOKUP(C143, Percentage_dist_journeys_by_purpose_and_distance_to_2km[#All],MATCH(A143, Percentage_dist_journeys_by_purpose_and_distance_to_2km[#Headers],0),0)/100</f>
        <v>5.0999999999999997E-2</v>
      </c>
      <c r="F143" s="4">
        <f>IF(B143="2-4 kilometres",1,0)*VLOOKUP(C143, Percentage_dist_journeys_by_purpose_and_distance_2_to_4km[#All],MATCH(A143, Percentage_dist_journeys_by_purpose_and_distance_2_to_4km[#Headers],0),0)/100</f>
        <v>0</v>
      </c>
      <c r="G143" s="72">
        <f>IF(B143="4-6 kilometres",1,0)*VLOOKUP(C143, Percentage_dist_journeys_by_purpose_and_distance_4_to_6km[#All],MATCH(A143, Percentage_dist_journeys_by_purpose_and_distance_4_to_6km[#Headers],0),0)/100</f>
        <v>0</v>
      </c>
      <c r="H143" s="4">
        <f>IF(B143="6-8 kilometres",1,0)*VLOOKUP(C143, Percentage_dist_journeys_by_purpose_and_distance_6_to_8km[#All],MATCH(A143, Percentage_dist_journeys_by_purpose_and_distance_6_to_8km[#Headers],0),0)/100</f>
        <v>0</v>
      </c>
      <c r="I143" s="72">
        <f>IF(B143="8+ kilometres",1,0)*VLOOKUP(C143, Percentage_dist_journeys_by_purpose_and_distance_8km[#All],MATCH(A143, Percentage_dist_journeys_by_purpose_and_distance_8km[#Headers],0),0)/100</f>
        <v>0</v>
      </c>
      <c r="J143" s="73">
        <f>VLOOKUP(B143,Average_Distance_by_kilometres_grouping_for_trip_purpose[#All],MATCH(A143,Average_Distance_by_kilometres_grouping_for_trip_purpose[#Headers],0),0)</f>
        <v>1</v>
      </c>
      <c r="K143" s="77">
        <f>VLOOKUP(C143, Adjustment_factor_for_distance_based_on_trip_purpose[#All],MATCH(A143, Adjustment_factor_for_distance_based_on_trip_purpose[#Headers],0),0)</f>
        <v>0.88888888888888884</v>
      </c>
      <c r="L143" s="78">
        <f>VLOOKUP($L$2, Total_Journeys_Per_Year[#All],MATCH(A143, Total_Journeys_Per_Year[#Headers],0),0)</f>
        <v>2940102000.5779233</v>
      </c>
      <c r="M143" s="35">
        <f t="shared" si="2"/>
        <v>28189697.981541127</v>
      </c>
      <c r="N143" s="35">
        <f>VLOOKUP($N$2, Private_Vehicle_Kilometres_Car_Stock[#All],MATCH(A143, Private_Vehicle_Kilometres_Car_Stock[#Headers],0),0)</f>
        <v>32323075433</v>
      </c>
    </row>
    <row r="144" spans="1:14" x14ac:dyDescent="0.25">
      <c r="A144" s="79" t="s">
        <v>34</v>
      </c>
      <c r="B144" s="13" t="s">
        <v>181</v>
      </c>
      <c r="C144" s="13" t="s">
        <v>43</v>
      </c>
      <c r="D144" s="5">
        <f>VLOOKUP(B144,Percentage_distribution_of_journey_distance_for_all_regions[#All],MATCH(A144,Percentage_distribution_of_journey_distance_for_all_regions[#Headers],0),0)/100</f>
        <v>0.2</v>
      </c>
      <c r="E144" s="71">
        <f>IF(B144="&lt;2 kilometres",1,0)*VLOOKUP(C144, Percentage_dist_journeys_by_purpose_and_distance_to_2km[#All],MATCH(A144, Percentage_dist_journeys_by_purpose_and_distance_to_2km[#Headers],0),0)/100</f>
        <v>0</v>
      </c>
      <c r="F144" s="4">
        <f>IF(B144="2-4 kilometres",1,0)*VLOOKUP(C144, Percentage_dist_journeys_by_purpose_and_distance_2_to_4km[#All],MATCH(A144, Percentage_dist_journeys_by_purpose_and_distance_2_to_4km[#Headers],0),0)/100</f>
        <v>6.3E-2</v>
      </c>
      <c r="G144" s="72">
        <f>IF(B144="4-6 kilometres",1,0)*VLOOKUP(C144, Percentage_dist_journeys_by_purpose_and_distance_4_to_6km[#All],MATCH(A144, Percentage_dist_journeys_by_purpose_and_distance_4_to_6km[#Headers],0),0)/100</f>
        <v>0</v>
      </c>
      <c r="H144" s="4">
        <f>IF(B144="6-8 kilometres",1,0)*VLOOKUP(C144, Percentage_dist_journeys_by_purpose_and_distance_6_to_8km[#All],MATCH(A144, Percentage_dist_journeys_by_purpose_and_distance_6_to_8km[#Headers],0),0)/100</f>
        <v>0</v>
      </c>
      <c r="I144" s="72">
        <f>IF(B144="8+ kilometres",1,0)*VLOOKUP(C144, Percentage_dist_journeys_by_purpose_and_distance_8km[#All],MATCH(A144, Percentage_dist_journeys_by_purpose_and_distance_8km[#Headers],0),0)/100</f>
        <v>0</v>
      </c>
      <c r="J144" s="73">
        <f>VLOOKUP(B144,Average_Distance_by_kilometres_grouping_for_trip_purpose[#All],MATCH(A144,Average_Distance_by_kilometres_grouping_for_trip_purpose[#Headers],0),0)</f>
        <v>3</v>
      </c>
      <c r="K144" s="77">
        <f>VLOOKUP(C144, Adjustment_factor_for_distance_based_on_trip_purpose[#All],MATCH(A144, Adjustment_factor_for_distance_based_on_trip_purpose[#Headers],0),0)</f>
        <v>0.88888888888888884</v>
      </c>
      <c r="L144" s="78">
        <f>VLOOKUP($L$2, Total_Journeys_Per_Year[#All],MATCH(A144, Total_Journeys_Per_Year[#Headers],0),0)</f>
        <v>2940102000.5779233</v>
      </c>
      <c r="M144" s="35">
        <f t="shared" si="2"/>
        <v>111135855.6218455</v>
      </c>
      <c r="N144" s="35">
        <f>VLOOKUP($N$2, Private_Vehicle_Kilometres_Car_Stock[#All],MATCH(A144, Private_Vehicle_Kilometres_Car_Stock[#Headers],0),0)</f>
        <v>32323075433</v>
      </c>
    </row>
    <row r="145" spans="1:14" x14ac:dyDescent="0.25">
      <c r="A145" s="79" t="s">
        <v>34</v>
      </c>
      <c r="B145" s="13" t="s">
        <v>180</v>
      </c>
      <c r="C145" s="13" t="s">
        <v>43</v>
      </c>
      <c r="D145" s="5">
        <f>VLOOKUP(B145,Percentage_distribution_of_journey_distance_for_all_regions[#All],MATCH(A145,Percentage_distribution_of_journey_distance_for_all_regions[#Headers],0),0)/100</f>
        <v>0.13</v>
      </c>
      <c r="E145" s="71">
        <f>IF(B145="&lt;2 kilometres",1,0)*VLOOKUP(C145, Percentage_dist_journeys_by_purpose_and_distance_to_2km[#All],MATCH(A145, Percentage_dist_journeys_by_purpose_and_distance_to_2km[#Headers],0),0)/100</f>
        <v>0</v>
      </c>
      <c r="F145" s="4">
        <f>IF(B145="2-4 kilometres",1,0)*VLOOKUP(C145, Percentage_dist_journeys_by_purpose_and_distance_2_to_4km[#All],MATCH(A145, Percentage_dist_journeys_by_purpose_and_distance_2_to_4km[#Headers],0),0)/100</f>
        <v>0</v>
      </c>
      <c r="G145" s="72">
        <f>IF(B145="4-6 kilometres",1,0)*VLOOKUP(C145, Percentage_dist_journeys_by_purpose_and_distance_4_to_6km[#All],MATCH(A145, Percentage_dist_journeys_by_purpose_and_distance_4_to_6km[#Headers],0),0)/100</f>
        <v>0.05</v>
      </c>
      <c r="H145" s="4">
        <f>IF(B145="6-8 kilometres",1,0)*VLOOKUP(C145, Percentage_dist_journeys_by_purpose_and_distance_6_to_8km[#All],MATCH(A145, Percentage_dist_journeys_by_purpose_and_distance_6_to_8km[#Headers],0),0)/100</f>
        <v>0</v>
      </c>
      <c r="I145" s="72">
        <f>IF(B145="8+ kilometres",1,0)*VLOOKUP(C145, Percentage_dist_journeys_by_purpose_and_distance_8km[#All],MATCH(A145, Percentage_dist_journeys_by_purpose_and_distance_8km[#Headers],0),0)/100</f>
        <v>0</v>
      </c>
      <c r="J145" s="73">
        <f>VLOOKUP(B145,Average_Distance_by_kilometres_grouping_for_trip_purpose[#All],MATCH(A145,Average_Distance_by_kilometres_grouping_for_trip_purpose[#Headers],0),0)</f>
        <v>5</v>
      </c>
      <c r="K145" s="77">
        <f>VLOOKUP(C145, Adjustment_factor_for_distance_based_on_trip_purpose[#All],MATCH(A145, Adjustment_factor_for_distance_based_on_trip_purpose[#Headers],0),0)</f>
        <v>0.88888888888888884</v>
      </c>
      <c r="L145" s="78">
        <f>VLOOKUP($L$2, Total_Journeys_Per_Year[#All],MATCH(A145, Total_Journeys_Per_Year[#Headers],0),0)</f>
        <v>2940102000.5779233</v>
      </c>
      <c r="M145" s="35">
        <f t="shared" si="2"/>
        <v>95553315.018782511</v>
      </c>
      <c r="N145" s="35">
        <f>VLOOKUP($N$2, Private_Vehicle_Kilometres_Car_Stock[#All],MATCH(A145, Private_Vehicle_Kilometres_Car_Stock[#Headers],0),0)</f>
        <v>32323075433</v>
      </c>
    </row>
    <row r="146" spans="1:14" x14ac:dyDescent="0.25">
      <c r="A146" s="79" t="s">
        <v>34</v>
      </c>
      <c r="B146" s="13" t="s">
        <v>182</v>
      </c>
      <c r="C146" s="13" t="s">
        <v>43</v>
      </c>
      <c r="D146" s="5">
        <f>VLOOKUP(B146,Percentage_distribution_of_journey_distance_for_all_regions[#All],MATCH(A146,Percentage_distribution_of_journey_distance_for_all_regions[#Headers],0),0)/100</f>
        <v>6.4000000000000001E-2</v>
      </c>
      <c r="E146" s="71">
        <f>IF(B146="&lt;2 kilometres",1,0)*VLOOKUP(C146, Percentage_dist_journeys_by_purpose_and_distance_to_2km[#All],MATCH(A146, Percentage_dist_journeys_by_purpose_and_distance_to_2km[#Headers],0),0)/100</f>
        <v>0</v>
      </c>
      <c r="F146" s="4">
        <f>IF(B146="2-4 kilometres",1,0)*VLOOKUP(C146, Percentage_dist_journeys_by_purpose_and_distance_2_to_4km[#All],MATCH(A146, Percentage_dist_journeys_by_purpose_and_distance_2_to_4km[#Headers],0),0)/100</f>
        <v>0</v>
      </c>
      <c r="G146" s="72">
        <f>IF(B146="4-6 kilometres",1,0)*VLOOKUP(C146, Percentage_dist_journeys_by_purpose_and_distance_4_to_6km[#All],MATCH(A146, Percentage_dist_journeys_by_purpose_and_distance_4_to_6km[#Headers],0),0)/100</f>
        <v>0</v>
      </c>
      <c r="H146" s="4">
        <f>IF(B146="6-8 kilometres",1,0)*VLOOKUP(C146, Percentage_dist_journeys_by_purpose_and_distance_6_to_8km[#All],MATCH(A146, Percentage_dist_journeys_by_purpose_and_distance_6_to_8km[#Headers],0),0)/100</f>
        <v>4.9000000000000002E-2</v>
      </c>
      <c r="I146" s="72">
        <f>IF(B146="8+ kilometres",1,0)*VLOOKUP(C146, Percentage_dist_journeys_by_purpose_and_distance_8km[#All],MATCH(A146, Percentage_dist_journeys_by_purpose_and_distance_8km[#Headers],0),0)/100</f>
        <v>0</v>
      </c>
      <c r="J146" s="73">
        <f>VLOOKUP(B146,Average_Distance_by_kilometres_grouping_for_trip_purpose[#All],MATCH(A146,Average_Distance_by_kilometres_grouping_for_trip_purpose[#Headers],0),0)</f>
        <v>7</v>
      </c>
      <c r="K146" s="77">
        <f>VLOOKUP(C146, Adjustment_factor_for_distance_based_on_trip_purpose[#All],MATCH(A146, Adjustment_factor_for_distance_based_on_trip_purpose[#Headers],0),0)</f>
        <v>0.88888888888888884</v>
      </c>
      <c r="L146" s="78">
        <f>VLOOKUP($L$2, Total_Journeys_Per_Year[#All],MATCH(A146, Total_Journeys_Per_Year[#Headers],0),0)</f>
        <v>2940102000.5779233</v>
      </c>
      <c r="M146" s="35">
        <f t="shared" si="2"/>
        <v>64541119.116686583</v>
      </c>
      <c r="N146" s="35">
        <f>VLOOKUP($N$2, Private_Vehicle_Kilometres_Car_Stock[#All],MATCH(A146, Private_Vehicle_Kilometres_Car_Stock[#Headers],0),0)</f>
        <v>32323075433</v>
      </c>
    </row>
    <row r="147" spans="1:14" x14ac:dyDescent="0.25">
      <c r="A147" s="79" t="s">
        <v>34</v>
      </c>
      <c r="B147" s="13" t="s">
        <v>1</v>
      </c>
      <c r="C147" s="13" t="s">
        <v>43</v>
      </c>
      <c r="D147" s="5">
        <f>VLOOKUP(B147,Percentage_distribution_of_journey_distance_for_all_regions[#All],MATCH(A147,Percentage_distribution_of_journey_distance_for_all_regions[#Headers],0),0)/100</f>
        <v>0.41899999999999998</v>
      </c>
      <c r="E147" s="71">
        <f>IF(B147="&lt;2 kilometres",1,0)*VLOOKUP(C147, Percentage_dist_journeys_by_purpose_and_distance_to_2km[#All],MATCH(A147, Percentage_dist_journeys_by_purpose_and_distance_to_2km[#Headers],0),0)/100</f>
        <v>0</v>
      </c>
      <c r="F147" s="4">
        <f>IF(B147="2-4 kilometres",1,0)*VLOOKUP(C147, Percentage_dist_journeys_by_purpose_and_distance_2_to_4km[#All],MATCH(A147, Percentage_dist_journeys_by_purpose_and_distance_2_to_4km[#Headers],0),0)/100</f>
        <v>0</v>
      </c>
      <c r="G147" s="72">
        <f>IF(B147="4-6 kilometres",1,0)*VLOOKUP(C147, Percentage_dist_journeys_by_purpose_and_distance_4_to_6km[#All],MATCH(A147, Percentage_dist_journeys_by_purpose_and_distance_4_to_6km[#Headers],0),0)/100</f>
        <v>0</v>
      </c>
      <c r="H147" s="4">
        <f>IF(B147="6-8 kilometres",1,0)*VLOOKUP(C147, Percentage_dist_journeys_by_purpose_and_distance_6_to_8km[#All],MATCH(A147, Percentage_dist_journeys_by_purpose_and_distance_6_to_8km[#Headers],0),0)/100</f>
        <v>0</v>
      </c>
      <c r="I147" s="72">
        <f>IF(B147="8+ kilometres",1,0)*VLOOKUP(C147, Percentage_dist_journeys_by_purpose_and_distance_8km[#All],MATCH(A147, Percentage_dist_journeys_by_purpose_and_distance_8km[#Headers],0),0)/100</f>
        <v>3.2000000000000001E-2</v>
      </c>
      <c r="J147" s="73">
        <f>VLOOKUP(B147,Average_Distance_by_kilometres_grouping_for_trip_purpose[#All],MATCH(A147,Average_Distance_by_kilometres_grouping_for_trip_purpose[#Headers],0),0)</f>
        <v>42.45</v>
      </c>
      <c r="K147" s="77">
        <f>VLOOKUP(C147, Adjustment_factor_for_distance_based_on_trip_purpose[#All],MATCH(A147, Adjustment_factor_for_distance_based_on_trip_purpose[#Headers],0),0)</f>
        <v>0.88888888888888884</v>
      </c>
      <c r="L147" s="78">
        <f>VLOOKUP($L$2, Total_Journeys_Per_Year[#All],MATCH(A147, Total_Journeys_Per_Year[#Headers],0),0)</f>
        <v>2940102000.5779233</v>
      </c>
      <c r="M147" s="35">
        <f t="shared" si="2"/>
        <v>1673416679.6281366</v>
      </c>
      <c r="N147" s="35">
        <f>VLOOKUP($N$2, Private_Vehicle_Kilometres_Car_Stock[#All],MATCH(A147, Private_Vehicle_Kilometres_Car_Stock[#Headers],0),0)</f>
        <v>32323075433</v>
      </c>
    </row>
    <row r="148" spans="1:14" x14ac:dyDescent="0.25">
      <c r="A148" s="79" t="s">
        <v>34</v>
      </c>
      <c r="B148" s="13" t="s">
        <v>12</v>
      </c>
      <c r="C148" s="13" t="s">
        <v>44</v>
      </c>
      <c r="D148" s="5">
        <f>VLOOKUP(B148,Percentage_distribution_of_journey_distance_for_all_regions[#All],MATCH(A148,Percentage_distribution_of_journey_distance_for_all_regions[#Headers],0),0)/100</f>
        <v>0.188</v>
      </c>
      <c r="E148" s="71">
        <f>IF(B148="&lt;2 kilometres",1,0)*VLOOKUP(C148, Percentage_dist_journeys_by_purpose_and_distance_to_2km[#All],MATCH(A148, Percentage_dist_journeys_by_purpose_and_distance_to_2km[#Headers],0),0)/100</f>
        <v>0.314</v>
      </c>
      <c r="F148" s="4">
        <f>IF(B148="2-4 kilometres",1,0)*VLOOKUP(C148, Percentage_dist_journeys_by_purpose_and_distance_2_to_4km[#All],MATCH(A148, Percentage_dist_journeys_by_purpose_and_distance_2_to_4km[#Headers],0),0)/100</f>
        <v>0</v>
      </c>
      <c r="G148" s="72">
        <f>IF(B148="4-6 kilometres",1,0)*VLOOKUP(C148, Percentage_dist_journeys_by_purpose_and_distance_4_to_6km[#All],MATCH(A148, Percentage_dist_journeys_by_purpose_and_distance_4_to_6km[#Headers],0),0)/100</f>
        <v>0</v>
      </c>
      <c r="H148" s="4">
        <f>IF(B148="6-8 kilometres",1,0)*VLOOKUP(C148, Percentage_dist_journeys_by_purpose_and_distance_6_to_8km[#All],MATCH(A148, Percentage_dist_journeys_by_purpose_and_distance_6_to_8km[#Headers],0),0)/100</f>
        <v>0</v>
      </c>
      <c r="I148" s="72">
        <f>IF(B148="8+ kilometres",1,0)*VLOOKUP(C148, Percentage_dist_journeys_by_purpose_and_distance_8km[#All],MATCH(A148, Percentage_dist_journeys_by_purpose_and_distance_8km[#Headers],0),0)/100</f>
        <v>0</v>
      </c>
      <c r="J148" s="73">
        <f>VLOOKUP(B148,Average_Distance_by_kilometres_grouping_for_trip_purpose[#All],MATCH(A148,Average_Distance_by_kilometres_grouping_for_trip_purpose[#Headers],0),0)</f>
        <v>1</v>
      </c>
      <c r="K148" s="77">
        <f>VLOOKUP(C148, Adjustment_factor_for_distance_based_on_trip_purpose[#All],MATCH(A148, Adjustment_factor_for_distance_based_on_trip_purpose[#Headers],0),0)</f>
        <v>0.44444444444444442</v>
      </c>
      <c r="L148" s="78">
        <f>VLOOKUP($L$2, Total_Journeys_Per_Year[#All],MATCH(A148, Total_Journeys_Per_Year[#Headers],0),0)</f>
        <v>2940102000.5779233</v>
      </c>
      <c r="M148" s="35">
        <f t="shared" si="2"/>
        <v>173560101.29811597</v>
      </c>
      <c r="N148" s="35">
        <f>VLOOKUP($N$2, Private_Vehicle_Kilometres_Car_Stock[#All],MATCH(A148, Private_Vehicle_Kilometres_Car_Stock[#Headers],0),0)</f>
        <v>32323075433</v>
      </c>
    </row>
    <row r="149" spans="1:14" x14ac:dyDescent="0.25">
      <c r="A149" s="79" t="s">
        <v>34</v>
      </c>
      <c r="B149" s="13" t="s">
        <v>181</v>
      </c>
      <c r="C149" s="13" t="s">
        <v>44</v>
      </c>
      <c r="D149" s="5">
        <f>VLOOKUP(B149,Percentage_distribution_of_journey_distance_for_all_regions[#All],MATCH(A149,Percentage_distribution_of_journey_distance_for_all_regions[#Headers],0),0)/100</f>
        <v>0.2</v>
      </c>
      <c r="E149" s="71">
        <f>IF(B149="&lt;2 kilometres",1,0)*VLOOKUP(C149, Percentage_dist_journeys_by_purpose_and_distance_to_2km[#All],MATCH(A149, Percentage_dist_journeys_by_purpose_and_distance_to_2km[#Headers],0),0)/100</f>
        <v>0</v>
      </c>
      <c r="F149" s="4">
        <f>IF(B149="2-4 kilometres",1,0)*VLOOKUP(C149, Percentage_dist_journeys_by_purpose_and_distance_2_to_4km[#All],MATCH(A149, Percentage_dist_journeys_by_purpose_and_distance_2_to_4km[#Headers],0),0)/100</f>
        <v>0.29299999999999998</v>
      </c>
      <c r="G149" s="72">
        <f>IF(B149="4-6 kilometres",1,0)*VLOOKUP(C149, Percentage_dist_journeys_by_purpose_and_distance_4_to_6km[#All],MATCH(A149, Percentage_dist_journeys_by_purpose_and_distance_4_to_6km[#Headers],0),0)/100</f>
        <v>0</v>
      </c>
      <c r="H149" s="4">
        <f>IF(B149="6-8 kilometres",1,0)*VLOOKUP(C149, Percentage_dist_journeys_by_purpose_and_distance_6_to_8km[#All],MATCH(A149, Percentage_dist_journeys_by_purpose_and_distance_6_to_8km[#Headers],0),0)/100</f>
        <v>0</v>
      </c>
      <c r="I149" s="72">
        <f>IF(B149="8+ kilometres",1,0)*VLOOKUP(C149, Percentage_dist_journeys_by_purpose_and_distance_8km[#All],MATCH(A149, Percentage_dist_journeys_by_purpose_and_distance_8km[#Headers],0),0)/100</f>
        <v>0</v>
      </c>
      <c r="J149" s="73">
        <f>VLOOKUP(B149,Average_Distance_by_kilometres_grouping_for_trip_purpose[#All],MATCH(A149,Average_Distance_by_kilometres_grouping_for_trip_purpose[#Headers],0),0)</f>
        <v>3</v>
      </c>
      <c r="K149" s="77">
        <f>VLOOKUP(C149, Adjustment_factor_for_distance_based_on_trip_purpose[#All],MATCH(A149, Adjustment_factor_for_distance_based_on_trip_purpose[#Headers],0),0)</f>
        <v>0.44444444444444442</v>
      </c>
      <c r="L149" s="78">
        <f>VLOOKUP($L$2, Total_Journeys_Per_Year[#All],MATCH(A149, Total_Journeys_Per_Year[#Headers],0),0)</f>
        <v>2940102000.5779233</v>
      </c>
      <c r="M149" s="35">
        <f t="shared" si="2"/>
        <v>516869931.70159894</v>
      </c>
      <c r="N149" s="35">
        <f>VLOOKUP($N$2, Private_Vehicle_Kilometres_Car_Stock[#All],MATCH(A149, Private_Vehicle_Kilometres_Car_Stock[#Headers],0),0)</f>
        <v>32323075433</v>
      </c>
    </row>
    <row r="150" spans="1:14" x14ac:dyDescent="0.25">
      <c r="A150" s="79" t="s">
        <v>34</v>
      </c>
      <c r="B150" s="13" t="s">
        <v>180</v>
      </c>
      <c r="C150" s="13" t="s">
        <v>44</v>
      </c>
      <c r="D150" s="5">
        <f>VLOOKUP(B150,Percentage_distribution_of_journey_distance_for_all_regions[#All],MATCH(A150,Percentage_distribution_of_journey_distance_for_all_regions[#Headers],0),0)/100</f>
        <v>0.13</v>
      </c>
      <c r="E150" s="71">
        <f>IF(B150="&lt;2 kilometres",1,0)*VLOOKUP(C150, Percentage_dist_journeys_by_purpose_and_distance_to_2km[#All],MATCH(A150, Percentage_dist_journeys_by_purpose_and_distance_to_2km[#Headers],0),0)/100</f>
        <v>0</v>
      </c>
      <c r="F150" s="4">
        <f>IF(B150="2-4 kilometres",1,0)*VLOOKUP(C150, Percentage_dist_journeys_by_purpose_and_distance_2_to_4km[#All],MATCH(A150, Percentage_dist_journeys_by_purpose_and_distance_2_to_4km[#Headers],0),0)/100</f>
        <v>0</v>
      </c>
      <c r="G150" s="72">
        <f>IF(B150="4-6 kilometres",1,0)*VLOOKUP(C150, Percentage_dist_journeys_by_purpose_and_distance_4_to_6km[#All],MATCH(A150, Percentage_dist_journeys_by_purpose_and_distance_4_to_6km[#Headers],0),0)/100</f>
        <v>0.23899999999999999</v>
      </c>
      <c r="H150" s="4">
        <f>IF(B150="6-8 kilometres",1,0)*VLOOKUP(C150, Percentage_dist_journeys_by_purpose_and_distance_6_to_8km[#All],MATCH(A150, Percentage_dist_journeys_by_purpose_and_distance_6_to_8km[#Headers],0),0)/100</f>
        <v>0</v>
      </c>
      <c r="I150" s="72">
        <f>IF(B150="8+ kilometres",1,0)*VLOOKUP(C150, Percentage_dist_journeys_by_purpose_and_distance_8km[#All],MATCH(A150, Percentage_dist_journeys_by_purpose_and_distance_8km[#Headers],0),0)/100</f>
        <v>0</v>
      </c>
      <c r="J150" s="73">
        <f>VLOOKUP(B150,Average_Distance_by_kilometres_grouping_for_trip_purpose[#All],MATCH(A150,Average_Distance_by_kilometres_grouping_for_trip_purpose[#Headers],0),0)</f>
        <v>5</v>
      </c>
      <c r="K150" s="77">
        <f>VLOOKUP(C150, Adjustment_factor_for_distance_based_on_trip_purpose[#All],MATCH(A150, Adjustment_factor_for_distance_based_on_trip_purpose[#Headers],0),0)</f>
        <v>0.44444444444444442</v>
      </c>
      <c r="L150" s="78">
        <f>VLOOKUP($L$2, Total_Journeys_Per_Year[#All],MATCH(A150, Total_Journeys_Per_Year[#Headers],0),0)</f>
        <v>2940102000.5779233</v>
      </c>
      <c r="M150" s="35">
        <f t="shared" si="2"/>
        <v>456744845.78978038</v>
      </c>
      <c r="N150" s="35">
        <f>VLOOKUP($N$2, Private_Vehicle_Kilometres_Car_Stock[#All],MATCH(A150, Private_Vehicle_Kilometres_Car_Stock[#Headers],0),0)</f>
        <v>32323075433</v>
      </c>
    </row>
    <row r="151" spans="1:14" x14ac:dyDescent="0.25">
      <c r="A151" s="79" t="s">
        <v>34</v>
      </c>
      <c r="B151" s="13" t="s">
        <v>182</v>
      </c>
      <c r="C151" s="13" t="s">
        <v>44</v>
      </c>
      <c r="D151" s="5">
        <f>VLOOKUP(B151,Percentage_distribution_of_journey_distance_for_all_regions[#All],MATCH(A151,Percentage_distribution_of_journey_distance_for_all_regions[#Headers],0),0)/100</f>
        <v>6.4000000000000001E-2</v>
      </c>
      <c r="E151" s="71">
        <f>IF(B151="&lt;2 kilometres",1,0)*VLOOKUP(C151, Percentage_dist_journeys_by_purpose_and_distance_to_2km[#All],MATCH(A151, Percentage_dist_journeys_by_purpose_and_distance_to_2km[#Headers],0),0)/100</f>
        <v>0</v>
      </c>
      <c r="F151" s="4">
        <f>IF(B151="2-4 kilometres",1,0)*VLOOKUP(C151, Percentage_dist_journeys_by_purpose_and_distance_2_to_4km[#All],MATCH(A151, Percentage_dist_journeys_by_purpose_and_distance_2_to_4km[#Headers],0),0)/100</f>
        <v>0</v>
      </c>
      <c r="G151" s="72">
        <f>IF(B151="4-6 kilometres",1,0)*VLOOKUP(C151, Percentage_dist_journeys_by_purpose_and_distance_4_to_6km[#All],MATCH(A151, Percentage_dist_journeys_by_purpose_and_distance_4_to_6km[#Headers],0),0)/100</f>
        <v>0</v>
      </c>
      <c r="H151" s="4">
        <f>IF(B151="6-8 kilometres",1,0)*VLOOKUP(C151, Percentage_dist_journeys_by_purpose_and_distance_6_to_8km[#All],MATCH(A151, Percentage_dist_journeys_by_purpose_and_distance_6_to_8km[#Headers],0),0)/100</f>
        <v>0.20899999999999999</v>
      </c>
      <c r="I151" s="72">
        <f>IF(B151="8+ kilometres",1,0)*VLOOKUP(C151, Percentage_dist_journeys_by_purpose_and_distance_8km[#All],MATCH(A151, Percentage_dist_journeys_by_purpose_and_distance_8km[#Headers],0),0)/100</f>
        <v>0</v>
      </c>
      <c r="J151" s="73">
        <f>VLOOKUP(B151,Average_Distance_by_kilometres_grouping_for_trip_purpose[#All],MATCH(A151,Average_Distance_by_kilometres_grouping_for_trip_purpose[#Headers],0),0)</f>
        <v>7</v>
      </c>
      <c r="K151" s="77">
        <f>VLOOKUP(C151, Adjustment_factor_for_distance_based_on_trip_purpose[#All],MATCH(A151, Adjustment_factor_for_distance_based_on_trip_purpose[#Headers],0),0)</f>
        <v>0.44444444444444442</v>
      </c>
      <c r="L151" s="78">
        <f>VLOOKUP($L$2, Total_Journeys_Per_Year[#All],MATCH(A151, Total_Journeys_Per_Year[#Headers],0),0)</f>
        <v>2940102000.5779233</v>
      </c>
      <c r="M151" s="35">
        <f t="shared" si="2"/>
        <v>275287630.51811212</v>
      </c>
      <c r="N151" s="35">
        <f>VLOOKUP($N$2, Private_Vehicle_Kilometres_Car_Stock[#All],MATCH(A151, Private_Vehicle_Kilometres_Car_Stock[#Headers],0),0)</f>
        <v>32323075433</v>
      </c>
    </row>
    <row r="152" spans="1:14" x14ac:dyDescent="0.25">
      <c r="A152" s="79" t="s">
        <v>34</v>
      </c>
      <c r="B152" s="13" t="s">
        <v>1</v>
      </c>
      <c r="C152" s="13" t="s">
        <v>44</v>
      </c>
      <c r="D152" s="5">
        <f>VLOOKUP(B152,Percentage_distribution_of_journey_distance_for_all_regions[#All],MATCH(A152,Percentage_distribution_of_journey_distance_for_all_regions[#Headers],0),0)/100</f>
        <v>0.41899999999999998</v>
      </c>
      <c r="E152" s="71">
        <f>IF(B152="&lt;2 kilometres",1,0)*VLOOKUP(C152, Percentage_dist_journeys_by_purpose_and_distance_to_2km[#All],MATCH(A152, Percentage_dist_journeys_by_purpose_and_distance_to_2km[#Headers],0),0)/100</f>
        <v>0</v>
      </c>
      <c r="F152" s="4">
        <f>IF(B152="2-4 kilometres",1,0)*VLOOKUP(C152, Percentage_dist_journeys_by_purpose_and_distance_2_to_4km[#All],MATCH(A152, Percentage_dist_journeys_by_purpose_and_distance_2_to_4km[#Headers],0),0)/100</f>
        <v>0</v>
      </c>
      <c r="G152" s="72">
        <f>IF(B152="4-6 kilometres",1,0)*VLOOKUP(C152, Percentage_dist_journeys_by_purpose_and_distance_4_to_6km[#All],MATCH(A152, Percentage_dist_journeys_by_purpose_and_distance_4_to_6km[#Headers],0),0)/100</f>
        <v>0</v>
      </c>
      <c r="H152" s="4">
        <f>IF(B152="6-8 kilometres",1,0)*VLOOKUP(C152, Percentage_dist_journeys_by_purpose_and_distance_6_to_8km[#All],MATCH(A152, Percentage_dist_journeys_by_purpose_and_distance_6_to_8km[#Headers],0),0)/100</f>
        <v>0</v>
      </c>
      <c r="I152" s="72">
        <f>IF(B152="8+ kilometres",1,0)*VLOOKUP(C152, Percentage_dist_journeys_by_purpose_and_distance_8km[#All],MATCH(A152, Percentage_dist_journeys_by_purpose_and_distance_8km[#Headers],0),0)/100</f>
        <v>0.183</v>
      </c>
      <c r="J152" s="73">
        <f>VLOOKUP(B152,Average_Distance_by_kilometres_grouping_for_trip_purpose[#All],MATCH(A152,Average_Distance_by_kilometres_grouping_for_trip_purpose[#Headers],0),0)</f>
        <v>42.45</v>
      </c>
      <c r="K152" s="77">
        <f>VLOOKUP(C152, Adjustment_factor_for_distance_based_on_trip_purpose[#All],MATCH(A152, Adjustment_factor_for_distance_based_on_trip_purpose[#Headers],0),0)</f>
        <v>0.44444444444444442</v>
      </c>
      <c r="L152" s="78">
        <f>VLOOKUP($L$2, Total_Journeys_Per_Year[#All],MATCH(A152, Total_Journeys_Per_Year[#Headers],0),0)</f>
        <v>2940102000.5779233</v>
      </c>
      <c r="M152" s="35">
        <f t="shared" si="2"/>
        <v>9569851636.6234055</v>
      </c>
      <c r="N152" s="35">
        <f>VLOOKUP($N$2, Private_Vehicle_Kilometres_Car_Stock[#All],MATCH(A152, Private_Vehicle_Kilometres_Car_Stock[#Headers],0),0)</f>
        <v>32323075433</v>
      </c>
    </row>
    <row r="153" spans="1:14" x14ac:dyDescent="0.25">
      <c r="A153" s="79" t="s">
        <v>34</v>
      </c>
      <c r="B153" s="13" t="s">
        <v>12</v>
      </c>
      <c r="C153" s="13" t="s">
        <v>45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Percentage_dist_journeys_by_purpose_and_distance_to_2km[#All],MATCH(A153, Percentage_dist_journeys_by_purpose_and_distance_to_2km[#Headers],0),0)/100</f>
        <v>2.7000000000000003E-2</v>
      </c>
      <c r="F153" s="4">
        <f>IF(B153="2-4 kilometres",1,0)*VLOOKUP(C153, Percentage_dist_journeys_by_purpose_and_distance_2_to_4km[#All],MATCH(A153, Percentage_dist_journeys_by_purpose_and_distance_2_to_4km[#Headers],0),0)/100</f>
        <v>0</v>
      </c>
      <c r="G153" s="72">
        <f>IF(B153="4-6 kilometres",1,0)*VLOOKUP(C153, Percentage_dist_journeys_by_purpose_and_distance_4_to_6km[#All],MATCH(A153, Percentage_dist_journeys_by_purpose_and_distance_4_to_6km[#Headers],0),0)/100</f>
        <v>0</v>
      </c>
      <c r="H153" s="4">
        <f>IF(B153="6-8 kilometres",1,0)*VLOOKUP(C153, Percentage_dist_journeys_by_purpose_and_distance_6_to_8km[#All],MATCH(A153, Percentage_dist_journeys_by_purpose_and_distance_6_to_8km[#Headers],0),0)/100</f>
        <v>0</v>
      </c>
      <c r="I153" s="72">
        <f>IF(B153="8+ kilometres",1,0)*VLOOKUP(C153, Percentage_dist_journeys_by_purpose_and_distance_8km[#All],MATCH(A153, Percentage_dist_journeys_by_purpose_and_distance_8km[#Headers],0),0)/100</f>
        <v>0</v>
      </c>
      <c r="J153" s="73">
        <f>VLOOKUP(B153,Average_Distance_by_kilometres_grouping_for_trip_purpose[#All],MATCH(A153,Average_Distance_by_kilometres_grouping_for_trip_purpose[#Headers],0),0)</f>
        <v>1</v>
      </c>
      <c r="K153" s="77">
        <f>VLOOKUP(C153, Adjustment_factor_for_distance_based_on_trip_purpose[#All],MATCH(A153, Adjustment_factor_for_distance_based_on_trip_purpose[#Headers],0),0)</f>
        <v>0.44444444444444442</v>
      </c>
      <c r="L153" s="78">
        <f>VLOOKUP($L$2, Total_Journeys_Per_Year[#All],MATCH(A153, Total_Journeys_Per_Year[#Headers],0),0)</f>
        <v>2940102000.5779233</v>
      </c>
      <c r="M153" s="35">
        <f t="shared" si="2"/>
        <v>14923957.75493354</v>
      </c>
      <c r="N153" s="35">
        <f>VLOOKUP($N$2, Private_Vehicle_Kilometres_Car_Stock[#All],MATCH(A153, Private_Vehicle_Kilometres_Car_Stock[#Headers],0),0)</f>
        <v>32323075433</v>
      </c>
    </row>
    <row r="154" spans="1:14" x14ac:dyDescent="0.25">
      <c r="A154" s="79" t="s">
        <v>34</v>
      </c>
      <c r="B154" s="13" t="s">
        <v>181</v>
      </c>
      <c r="C154" s="13" t="s">
        <v>45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Percentage_dist_journeys_by_purpose_and_distance_to_2km[#All],MATCH(A154, Percentage_dist_journeys_by_purpose_and_distance_to_2km[#Headers],0),0)/100</f>
        <v>0</v>
      </c>
      <c r="F154" s="4">
        <f>IF(B154="2-4 kilometres",1,0)*VLOOKUP(C154, Percentage_dist_journeys_by_purpose_and_distance_2_to_4km[#All],MATCH(A154, Percentage_dist_journeys_by_purpose_and_distance_2_to_4km[#Headers],0),0)/100</f>
        <v>0.02</v>
      </c>
      <c r="G154" s="72">
        <f>IF(B154="4-6 kilometres",1,0)*VLOOKUP(C154, Percentage_dist_journeys_by_purpose_and_distance_4_to_6km[#All],MATCH(A154, Percentage_dist_journeys_by_purpose_and_distance_4_to_6km[#Headers],0),0)/100</f>
        <v>0</v>
      </c>
      <c r="H154" s="4">
        <f>IF(B154="6-8 kilometres",1,0)*VLOOKUP(C154, Percentage_dist_journeys_by_purpose_and_distance_6_to_8km[#All],MATCH(A154, Percentage_dist_journeys_by_purpose_and_distance_6_to_8km[#Headers],0),0)/100</f>
        <v>0</v>
      </c>
      <c r="I154" s="72">
        <f>IF(B154="8+ kilometres",1,0)*VLOOKUP(C154, Percentage_dist_journeys_by_purpose_and_distance_8km[#All],MATCH(A154, Percentage_dist_journeys_by_purpose_and_distance_8km[#Headers],0),0)/100</f>
        <v>0</v>
      </c>
      <c r="J154" s="73">
        <f>VLOOKUP(B154,Average_Distance_by_kilometres_grouping_for_trip_purpose[#All],MATCH(A154,Average_Distance_by_kilometres_grouping_for_trip_purpose[#Headers],0),0)</f>
        <v>3</v>
      </c>
      <c r="K154" s="77">
        <f>VLOOKUP(C154, Adjustment_factor_for_distance_based_on_trip_purpose[#All],MATCH(A154, Adjustment_factor_for_distance_based_on_trip_purpose[#Headers],0),0)</f>
        <v>0.44444444444444442</v>
      </c>
      <c r="L154" s="78">
        <f>VLOOKUP($L$2, Total_Journeys_Per_Year[#All],MATCH(A154, Total_Journeys_Per_Year[#Headers],0),0)</f>
        <v>2940102000.5779233</v>
      </c>
      <c r="M154" s="35">
        <f t="shared" si="2"/>
        <v>35281224.006935082</v>
      </c>
      <c r="N154" s="35">
        <f>VLOOKUP($N$2, Private_Vehicle_Kilometres_Car_Stock[#All],MATCH(A154, Private_Vehicle_Kilometres_Car_Stock[#Headers],0),0)</f>
        <v>32323075433</v>
      </c>
    </row>
    <row r="155" spans="1:14" x14ac:dyDescent="0.25">
      <c r="A155" s="79" t="s">
        <v>34</v>
      </c>
      <c r="B155" s="13" t="s">
        <v>180</v>
      </c>
      <c r="C155" s="13" t="s">
        <v>45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Percentage_dist_journeys_by_purpose_and_distance_to_2km[#All],MATCH(A155, Percentage_dist_journeys_by_purpose_and_distance_to_2km[#Headers],0),0)/100</f>
        <v>0</v>
      </c>
      <c r="F155" s="4">
        <f>IF(B155="2-4 kilometres",1,0)*VLOOKUP(C155, Percentage_dist_journeys_by_purpose_and_distance_2_to_4km[#All],MATCH(A155, Percentage_dist_journeys_by_purpose_and_distance_2_to_4km[#Headers],0),0)/100</f>
        <v>0</v>
      </c>
      <c r="G155" s="72">
        <f>IF(B155="4-6 kilometres",1,0)*VLOOKUP(C155, Percentage_dist_journeys_by_purpose_and_distance_4_to_6km[#All],MATCH(A155, Percentage_dist_journeys_by_purpose_and_distance_4_to_6km[#Headers],0),0)/100</f>
        <v>2.2000000000000002E-2</v>
      </c>
      <c r="H155" s="4">
        <f>IF(B155="6-8 kilometres",1,0)*VLOOKUP(C155, Percentage_dist_journeys_by_purpose_and_distance_6_to_8km[#All],MATCH(A155, Percentage_dist_journeys_by_purpose_and_distance_6_to_8km[#Headers],0),0)/100</f>
        <v>0</v>
      </c>
      <c r="I155" s="72">
        <f>IF(B155="8+ kilometres",1,0)*VLOOKUP(C155, Percentage_dist_journeys_by_purpose_and_distance_8km[#All],MATCH(A155, Percentage_dist_journeys_by_purpose_and_distance_8km[#Headers],0),0)/100</f>
        <v>0</v>
      </c>
      <c r="J155" s="73">
        <f>VLOOKUP(B155,Average_Distance_by_kilometres_grouping_for_trip_purpose[#All],MATCH(A155,Average_Distance_by_kilometres_grouping_for_trip_purpose[#Headers],0),0)</f>
        <v>5</v>
      </c>
      <c r="K155" s="77">
        <f>VLOOKUP(C155, Adjustment_factor_for_distance_based_on_trip_purpose[#All],MATCH(A155, Adjustment_factor_for_distance_based_on_trip_purpose[#Headers],0),0)</f>
        <v>0.44444444444444442</v>
      </c>
      <c r="L155" s="78">
        <f>VLOOKUP($L$2, Total_Journeys_Per_Year[#All],MATCH(A155, Total_Journeys_Per_Year[#Headers],0),0)</f>
        <v>2940102000.5779233</v>
      </c>
      <c r="M155" s="35">
        <f t="shared" si="2"/>
        <v>42043458.608264312</v>
      </c>
      <c r="N155" s="35">
        <f>VLOOKUP($N$2, Private_Vehicle_Kilometres_Car_Stock[#All],MATCH(A155, Private_Vehicle_Kilometres_Car_Stock[#Headers],0),0)</f>
        <v>32323075433</v>
      </c>
    </row>
    <row r="156" spans="1:14" x14ac:dyDescent="0.25">
      <c r="A156" s="79" t="s">
        <v>34</v>
      </c>
      <c r="B156" s="13" t="s">
        <v>182</v>
      </c>
      <c r="C156" s="13" t="s">
        <v>45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Percentage_dist_journeys_by_purpose_and_distance_to_2km[#All],MATCH(A156, Percentage_dist_journeys_by_purpose_and_distance_to_2km[#Headers],0),0)/100</f>
        <v>0</v>
      </c>
      <c r="F156" s="4">
        <f>IF(B156="2-4 kilometres",1,0)*VLOOKUP(C156, Percentage_dist_journeys_by_purpose_and_distance_2_to_4km[#All],MATCH(A156, Percentage_dist_journeys_by_purpose_and_distance_2_to_4km[#Headers],0),0)/100</f>
        <v>0</v>
      </c>
      <c r="G156" s="72">
        <f>IF(B156="4-6 kilometres",1,0)*VLOOKUP(C156, Percentage_dist_journeys_by_purpose_and_distance_4_to_6km[#All],MATCH(A156, Percentage_dist_journeys_by_purpose_and_distance_4_to_6km[#Headers],0),0)/100</f>
        <v>0</v>
      </c>
      <c r="H156" s="4">
        <f>IF(B156="6-8 kilometres",1,0)*VLOOKUP(C156, Percentage_dist_journeys_by_purpose_and_distance_6_to_8km[#All],MATCH(A156, Percentage_dist_journeys_by_purpose_and_distance_6_to_8km[#Headers],0),0)/100</f>
        <v>1.1000000000000001E-2</v>
      </c>
      <c r="I156" s="72">
        <f>IF(B156="8+ kilometres",1,0)*VLOOKUP(C156, Percentage_dist_journeys_by_purpose_and_distance_8km[#All],MATCH(A156, Percentage_dist_journeys_by_purpose_and_distance_8km[#Headers],0),0)/100</f>
        <v>0</v>
      </c>
      <c r="J156" s="73">
        <f>VLOOKUP(B156,Average_Distance_by_kilometres_grouping_for_trip_purpose[#All],MATCH(A156,Average_Distance_by_kilometres_grouping_for_trip_purpose[#Headers],0),0)</f>
        <v>7</v>
      </c>
      <c r="K156" s="77">
        <f>VLOOKUP(C156, Adjustment_factor_for_distance_based_on_trip_purpose[#All],MATCH(A156, Adjustment_factor_for_distance_based_on_trip_purpose[#Headers],0),0)</f>
        <v>0.44444444444444442</v>
      </c>
      <c r="L156" s="78">
        <f>VLOOKUP($L$2, Total_Journeys_Per_Year[#All],MATCH(A156, Total_Journeys_Per_Year[#Headers],0),0)</f>
        <v>2940102000.5779233</v>
      </c>
      <c r="M156" s="35">
        <f t="shared" si="2"/>
        <v>14488822.658848008</v>
      </c>
      <c r="N156" s="35">
        <f>VLOOKUP($N$2, Private_Vehicle_Kilometres_Car_Stock[#All],MATCH(A156, Private_Vehicle_Kilometres_Car_Stock[#Headers],0),0)</f>
        <v>32323075433</v>
      </c>
    </row>
    <row r="157" spans="1:14" x14ac:dyDescent="0.25">
      <c r="A157" s="79" t="s">
        <v>34</v>
      </c>
      <c r="B157" s="13" t="s">
        <v>1</v>
      </c>
      <c r="C157" s="13" t="s">
        <v>45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Percentage_dist_journeys_by_purpose_and_distance_to_2km[#All],MATCH(A157, Percentage_dist_journeys_by_purpose_and_distance_to_2km[#Headers],0),0)/100</f>
        <v>0</v>
      </c>
      <c r="F157" s="4">
        <f>IF(B157="2-4 kilometres",1,0)*VLOOKUP(C157, Percentage_dist_journeys_by_purpose_and_distance_2_to_4km[#All],MATCH(A157, Percentage_dist_journeys_by_purpose_and_distance_2_to_4km[#Headers],0),0)/100</f>
        <v>0</v>
      </c>
      <c r="G157" s="72">
        <f>IF(B157="4-6 kilometres",1,0)*VLOOKUP(C157, Percentage_dist_journeys_by_purpose_and_distance_4_to_6km[#All],MATCH(A157, Percentage_dist_journeys_by_purpose_and_distance_4_to_6km[#Headers],0),0)/100</f>
        <v>0</v>
      </c>
      <c r="H157" s="4">
        <f>IF(B157="6-8 kilometres",1,0)*VLOOKUP(C157, Percentage_dist_journeys_by_purpose_and_distance_6_to_8km[#All],MATCH(A157, Percentage_dist_journeys_by_purpose_and_distance_6_to_8km[#Headers],0),0)/100</f>
        <v>0</v>
      </c>
      <c r="I157" s="72">
        <f>IF(B157="8+ kilometres",1,0)*VLOOKUP(C157, Percentage_dist_journeys_by_purpose_and_distance_8km[#All],MATCH(A157, Percentage_dist_journeys_by_purpose_and_distance_8km[#Headers],0),0)/100</f>
        <v>1.2E-2</v>
      </c>
      <c r="J157" s="73">
        <f>VLOOKUP(B157,Average_Distance_by_kilometres_grouping_for_trip_purpose[#All],MATCH(A157,Average_Distance_by_kilometres_grouping_for_trip_purpose[#Headers],0),0)</f>
        <v>42.45</v>
      </c>
      <c r="K157" s="77">
        <f>VLOOKUP(C157, Adjustment_factor_for_distance_based_on_trip_purpose[#All],MATCH(A157, Adjustment_factor_for_distance_based_on_trip_purpose[#Headers],0),0)</f>
        <v>0.44444444444444442</v>
      </c>
      <c r="L157" s="78">
        <f>VLOOKUP($L$2, Total_Journeys_Per_Year[#All],MATCH(A157, Total_Journeys_Per_Year[#Headers],0),0)</f>
        <v>2940102000.5779233</v>
      </c>
      <c r="M157" s="35">
        <f t="shared" si="2"/>
        <v>627531254.86055112</v>
      </c>
      <c r="N157" s="35">
        <f>VLOOKUP($N$2, Private_Vehicle_Kilometres_Car_Stock[#All],MATCH(A157, Private_Vehicle_Kilometres_Car_Stock[#Headers],0),0)</f>
        <v>32323075433</v>
      </c>
    </row>
    <row r="158" spans="1:14" x14ac:dyDescent="0.25">
      <c r="A158" s="79" t="s">
        <v>34</v>
      </c>
      <c r="B158" s="13" t="s">
        <v>12</v>
      </c>
      <c r="C158" s="13" t="s">
        <v>46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Percentage_dist_journeys_by_purpose_and_distance_to_2km[#All],MATCH(A158, Percentage_dist_journeys_by_purpose_and_distance_to_2km[#Headers],0),0)/100</f>
        <v>9.3000000000000013E-2</v>
      </c>
      <c r="F158" s="4">
        <f>IF(B158="2-4 kilometres",1,0)*VLOOKUP(C158, Percentage_dist_journeys_by_purpose_and_distance_2_to_4km[#All],MATCH(A158, Percentage_dist_journeys_by_purpose_and_distance_2_to_4km[#Headers],0),0)/100</f>
        <v>0</v>
      </c>
      <c r="G158" s="72">
        <f>IF(B158="4-6 kilometres",1,0)*VLOOKUP(C158, Percentage_dist_journeys_by_purpose_and_distance_4_to_6km[#All],MATCH(A158, Percentage_dist_journeys_by_purpose_and_distance_4_to_6km[#Headers],0),0)/100</f>
        <v>0</v>
      </c>
      <c r="H158" s="4">
        <f>IF(B158="6-8 kilometres",1,0)*VLOOKUP(C158, Percentage_dist_journeys_by_purpose_and_distance_6_to_8km[#All],MATCH(A158, Percentage_dist_journeys_by_purpose_and_distance_6_to_8km[#Headers],0),0)/100</f>
        <v>0</v>
      </c>
      <c r="I158" s="72">
        <f>IF(B158="8+ kilometres",1,0)*VLOOKUP(C158, Percentage_dist_journeys_by_purpose_and_distance_8km[#All],MATCH(A158, Percentage_dist_journeys_by_purpose_and_distance_8km[#Headers],0),0)/100</f>
        <v>0</v>
      </c>
      <c r="J158" s="73">
        <f>VLOOKUP(B158,Average_Distance_by_kilometres_grouping_for_trip_purpose[#All],MATCH(A158,Average_Distance_by_kilometres_grouping_for_trip_purpose[#Headers],0),0)</f>
        <v>1</v>
      </c>
      <c r="K158" s="77">
        <f>VLOOKUP(C158, Adjustment_factor_for_distance_based_on_trip_purpose[#All],MATCH(A158, Adjustment_factor_for_distance_based_on_trip_purpose[#Headers],0),0)</f>
        <v>0.94444444444444442</v>
      </c>
      <c r="L158" s="78">
        <f>VLOOKUP($L$2, Total_Journeys_Per_Year[#All],MATCH(A158, Total_Journeys_Per_Year[#Headers],0),0)</f>
        <v>2940102000.5779233</v>
      </c>
      <c r="M158" s="35">
        <f t="shared" si="2"/>
        <v>51404743.378104419</v>
      </c>
      <c r="N158" s="35">
        <f>VLOOKUP($N$2, Private_Vehicle_Kilometres_Car_Stock[#All],MATCH(A158, Private_Vehicle_Kilometres_Car_Stock[#Headers],0),0)</f>
        <v>32323075433</v>
      </c>
    </row>
    <row r="159" spans="1:14" x14ac:dyDescent="0.25">
      <c r="A159" s="79" t="s">
        <v>34</v>
      </c>
      <c r="B159" s="13" t="s">
        <v>181</v>
      </c>
      <c r="C159" s="13" t="s">
        <v>46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Percentage_dist_journeys_by_purpose_and_distance_to_2km[#All],MATCH(A159, Percentage_dist_journeys_by_purpose_and_distance_to_2km[#Headers],0),0)/100</f>
        <v>0</v>
      </c>
      <c r="F159" s="4">
        <f>IF(B159="2-4 kilometres",1,0)*VLOOKUP(C159, Percentage_dist_journeys_by_purpose_and_distance_2_to_4km[#All],MATCH(A159, Percentage_dist_journeys_by_purpose_and_distance_2_to_4km[#Headers],0),0)/100</f>
        <v>7.0999999999999994E-2</v>
      </c>
      <c r="G159" s="72">
        <f>IF(B159="4-6 kilometres",1,0)*VLOOKUP(C159, Percentage_dist_journeys_by_purpose_and_distance_4_to_6km[#All],MATCH(A159, Percentage_dist_journeys_by_purpose_and_distance_4_to_6km[#Headers],0),0)/100</f>
        <v>0</v>
      </c>
      <c r="H159" s="4">
        <f>IF(B159="6-8 kilometres",1,0)*VLOOKUP(C159, Percentage_dist_journeys_by_purpose_and_distance_6_to_8km[#All],MATCH(A159, Percentage_dist_journeys_by_purpose_and_distance_6_to_8km[#Headers],0),0)/100</f>
        <v>0</v>
      </c>
      <c r="I159" s="72">
        <f>IF(B159="8+ kilometres",1,0)*VLOOKUP(C159, Percentage_dist_journeys_by_purpose_and_distance_8km[#All],MATCH(A159, Percentage_dist_journeys_by_purpose_and_distance_8km[#Headers],0),0)/100</f>
        <v>0</v>
      </c>
      <c r="J159" s="73">
        <f>VLOOKUP(B159,Average_Distance_by_kilometres_grouping_for_trip_purpose[#All],MATCH(A159,Average_Distance_by_kilometres_grouping_for_trip_purpose[#Headers],0),0)</f>
        <v>3</v>
      </c>
      <c r="K159" s="77">
        <f>VLOOKUP(C159, Adjustment_factor_for_distance_based_on_trip_purpose[#All],MATCH(A159, Adjustment_factor_for_distance_based_on_trip_purpose[#Headers],0),0)</f>
        <v>0.94444444444444442</v>
      </c>
      <c r="L159" s="78">
        <f>VLOOKUP($L$2, Total_Journeys_Per_Year[#All],MATCH(A159, Total_Journeys_Per_Year[#Headers],0),0)</f>
        <v>2940102000.5779233</v>
      </c>
      <c r="M159" s="35">
        <f t="shared" si="2"/>
        <v>125248345.22461952</v>
      </c>
      <c r="N159" s="35">
        <f>VLOOKUP($N$2, Private_Vehicle_Kilometres_Car_Stock[#All],MATCH(A159, Private_Vehicle_Kilometres_Car_Stock[#Headers],0),0)</f>
        <v>32323075433</v>
      </c>
    </row>
    <row r="160" spans="1:14" x14ac:dyDescent="0.25">
      <c r="A160" s="79" t="s">
        <v>34</v>
      </c>
      <c r="B160" s="13" t="s">
        <v>180</v>
      </c>
      <c r="C160" s="13" t="s">
        <v>46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Percentage_dist_journeys_by_purpose_and_distance_to_2km[#All],MATCH(A160, Percentage_dist_journeys_by_purpose_and_distance_to_2km[#Headers],0),0)/100</f>
        <v>0</v>
      </c>
      <c r="F160" s="4">
        <f>IF(B160="2-4 kilometres",1,0)*VLOOKUP(C160, Percentage_dist_journeys_by_purpose_and_distance_2_to_4km[#All],MATCH(A160, Percentage_dist_journeys_by_purpose_and_distance_2_to_4km[#Headers],0),0)/100</f>
        <v>0</v>
      </c>
      <c r="G160" s="72">
        <f>IF(B160="4-6 kilometres",1,0)*VLOOKUP(C160, Percentage_dist_journeys_by_purpose_and_distance_4_to_6km[#All],MATCH(A160, Percentage_dist_journeys_by_purpose_and_distance_4_to_6km[#Headers],0),0)/100</f>
        <v>9.8000000000000004E-2</v>
      </c>
      <c r="H160" s="4">
        <f>IF(B160="6-8 kilometres",1,0)*VLOOKUP(C160, Percentage_dist_journeys_by_purpose_and_distance_6_to_8km[#All],MATCH(A160, Percentage_dist_journeys_by_purpose_and_distance_6_to_8km[#Headers],0),0)/100</f>
        <v>0</v>
      </c>
      <c r="I160" s="72">
        <f>IF(B160="8+ kilometres",1,0)*VLOOKUP(C160, Percentage_dist_journeys_by_purpose_and_distance_8km[#All],MATCH(A160, Percentage_dist_journeys_by_purpose_and_distance_8km[#Headers],0),0)/100</f>
        <v>0</v>
      </c>
      <c r="J160" s="73">
        <f>VLOOKUP(B160,Average_Distance_by_kilometres_grouping_for_trip_purpose[#All],MATCH(A160,Average_Distance_by_kilometres_grouping_for_trip_purpose[#Headers],0),0)</f>
        <v>5</v>
      </c>
      <c r="K160" s="77">
        <f>VLOOKUP(C160, Adjustment_factor_for_distance_based_on_trip_purpose[#All],MATCH(A160, Adjustment_factor_for_distance_based_on_trip_purpose[#Headers],0),0)</f>
        <v>0.94444444444444442</v>
      </c>
      <c r="L160" s="78">
        <f>VLOOKUP($L$2, Total_Journeys_Per_Year[#All],MATCH(A160, Total_Journeys_Per_Year[#Headers],0),0)</f>
        <v>2940102000.5779233</v>
      </c>
      <c r="M160" s="35">
        <f t="shared" si="2"/>
        <v>187284497.43681374</v>
      </c>
      <c r="N160" s="35">
        <f>VLOOKUP($N$2, Private_Vehicle_Kilometres_Car_Stock[#All],MATCH(A160, Private_Vehicle_Kilometres_Car_Stock[#Headers],0),0)</f>
        <v>32323075433</v>
      </c>
    </row>
    <row r="161" spans="1:14" x14ac:dyDescent="0.25">
      <c r="A161" s="79" t="s">
        <v>34</v>
      </c>
      <c r="B161" s="13" t="s">
        <v>182</v>
      </c>
      <c r="C161" s="13" t="s">
        <v>46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Percentage_dist_journeys_by_purpose_and_distance_to_2km[#All],MATCH(A161, Percentage_dist_journeys_by_purpose_and_distance_to_2km[#Headers],0),0)/100</f>
        <v>0</v>
      </c>
      <c r="F161" s="4">
        <f>IF(B161="2-4 kilometres",1,0)*VLOOKUP(C161, Percentage_dist_journeys_by_purpose_and_distance_2_to_4km[#All],MATCH(A161, Percentage_dist_journeys_by_purpose_and_distance_2_to_4km[#Headers],0),0)/100</f>
        <v>0</v>
      </c>
      <c r="G161" s="72">
        <f>IF(B161="4-6 kilometres",1,0)*VLOOKUP(C161, Percentage_dist_journeys_by_purpose_and_distance_4_to_6km[#All],MATCH(A161, Percentage_dist_journeys_by_purpose_and_distance_4_to_6km[#Headers],0),0)/100</f>
        <v>0</v>
      </c>
      <c r="H161" s="4">
        <f>IF(B161="6-8 kilometres",1,0)*VLOOKUP(C161, Percentage_dist_journeys_by_purpose_and_distance_6_to_8km[#All],MATCH(A161, Percentage_dist_journeys_by_purpose_and_distance_6_to_8km[#Headers],0),0)/100</f>
        <v>0.11599999999999999</v>
      </c>
      <c r="I161" s="72">
        <f>IF(B161="8+ kilometres",1,0)*VLOOKUP(C161, Percentage_dist_journeys_by_purpose_and_distance_8km[#All],MATCH(A161, Percentage_dist_journeys_by_purpose_and_distance_8km[#Headers],0),0)/100</f>
        <v>0</v>
      </c>
      <c r="J161" s="73">
        <f>VLOOKUP(B161,Average_Distance_by_kilometres_grouping_for_trip_purpose[#All],MATCH(A161,Average_Distance_by_kilometres_grouping_for_trip_purpose[#Headers],0),0)</f>
        <v>7</v>
      </c>
      <c r="K161" s="77">
        <f>VLOOKUP(C161, Adjustment_factor_for_distance_based_on_trip_purpose[#All],MATCH(A161, Adjustment_factor_for_distance_based_on_trip_purpose[#Headers],0),0)</f>
        <v>0.94444444444444442</v>
      </c>
      <c r="L161" s="78">
        <f>VLOOKUP($L$2, Total_Journeys_Per_Year[#All],MATCH(A161, Total_Journeys_Per_Year[#Headers],0),0)</f>
        <v>2940102000.5779233</v>
      </c>
      <c r="M161" s="35">
        <f t="shared" si="2"/>
        <v>152791220.76603353</v>
      </c>
      <c r="N161" s="35">
        <f>VLOOKUP($N$2, Private_Vehicle_Kilometres_Car_Stock[#All],MATCH(A161, Private_Vehicle_Kilometres_Car_Stock[#Headers],0),0)</f>
        <v>32323075433</v>
      </c>
    </row>
    <row r="162" spans="1:14" x14ac:dyDescent="0.25">
      <c r="A162" s="79" t="s">
        <v>34</v>
      </c>
      <c r="B162" s="13" t="s">
        <v>1</v>
      </c>
      <c r="C162" s="13" t="s">
        <v>46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Percentage_dist_journeys_by_purpose_and_distance_to_2km[#All],MATCH(A162, Percentage_dist_journeys_by_purpose_and_distance_to_2km[#Headers],0),0)/100</f>
        <v>0</v>
      </c>
      <c r="F162" s="4">
        <f>IF(B162="2-4 kilometres",1,0)*VLOOKUP(C162, Percentage_dist_journeys_by_purpose_and_distance_2_to_4km[#All],MATCH(A162, Percentage_dist_journeys_by_purpose_and_distance_2_to_4km[#Headers],0),0)/100</f>
        <v>0</v>
      </c>
      <c r="G162" s="72">
        <f>IF(B162="4-6 kilometres",1,0)*VLOOKUP(C162, Percentage_dist_journeys_by_purpose_and_distance_4_to_6km[#All],MATCH(A162, Percentage_dist_journeys_by_purpose_and_distance_4_to_6km[#Headers],0),0)/100</f>
        <v>0</v>
      </c>
      <c r="H162" s="4">
        <f>IF(B162="6-8 kilometres",1,0)*VLOOKUP(C162, Percentage_dist_journeys_by_purpose_and_distance_6_to_8km[#All],MATCH(A162, Percentage_dist_journeys_by_purpose_and_distance_6_to_8km[#Headers],0),0)/100</f>
        <v>0</v>
      </c>
      <c r="I162" s="72">
        <f>IF(B162="8+ kilometres",1,0)*VLOOKUP(C162, Percentage_dist_journeys_by_purpose_and_distance_8km[#All],MATCH(A162, Percentage_dist_journeys_by_purpose_and_distance_8km[#Headers],0),0)/100</f>
        <v>0.13500000000000001</v>
      </c>
      <c r="J162" s="73">
        <f>VLOOKUP(B162,Average_Distance_by_kilometres_grouping_for_trip_purpose[#All],MATCH(A162,Average_Distance_by_kilometres_grouping_for_trip_purpose[#Headers],0),0)</f>
        <v>42.45</v>
      </c>
      <c r="K162" s="77">
        <f>VLOOKUP(C162, Adjustment_factor_for_distance_based_on_trip_purpose[#All],MATCH(A162, Adjustment_factor_for_distance_based_on_trip_purpose[#Headers],0),0)</f>
        <v>0.94444444444444442</v>
      </c>
      <c r="L162" s="78">
        <f>VLOOKUP($L$2, Total_Journeys_Per_Year[#All],MATCH(A162, Total_Journeys_Per_Year[#Headers],0),0)</f>
        <v>2940102000.5779233</v>
      </c>
      <c r="M162" s="35">
        <f t="shared" si="2"/>
        <v>7059726617.1812019</v>
      </c>
      <c r="N162" s="35">
        <f>VLOOKUP($N$2, Private_Vehicle_Kilometres_Car_Stock[#All],MATCH(A162, Private_Vehicle_Kilometres_Car_Stock[#Headers],0),0)</f>
        <v>32323075433</v>
      </c>
    </row>
    <row r="163" spans="1:14" x14ac:dyDescent="0.25">
      <c r="A163" s="79" t="s">
        <v>34</v>
      </c>
      <c r="B163" s="13" t="s">
        <v>12</v>
      </c>
      <c r="C163" s="13" t="s">
        <v>47</v>
      </c>
      <c r="D163" s="5">
        <f>VLOOKUP(B163,Percentage_distribution_of_journey_distance_for_all_regions[#All],MATCH(A163,Percentage_distribution_of_journey_distance_for_all_regions[#Headers],0),0)/100</f>
        <v>0.188</v>
      </c>
      <c r="E163" s="71">
        <f>IF(B163="&lt;2 kilometres",1,0)*VLOOKUP(C163, Percentage_dist_journeys_by_purpose_and_distance_to_2km[#All],MATCH(A163, Percentage_dist_journeys_by_purpose_and_distance_to_2km[#Headers],0),0)/100</f>
        <v>8.1000000000000003E-2</v>
      </c>
      <c r="F163" s="4">
        <f>IF(B163="2-4 kilometres",1,0)*VLOOKUP(C163, Percentage_dist_journeys_by_purpose_and_distance_2_to_4km[#All],MATCH(A163, Percentage_dist_journeys_by_purpose_and_distance_2_to_4km[#Headers],0),0)/100</f>
        <v>0</v>
      </c>
      <c r="G163" s="72">
        <f>IF(B163="4-6 kilometres",1,0)*VLOOKUP(C163, Percentage_dist_journeys_by_purpose_and_distance_4_to_6km[#All],MATCH(A163, Percentage_dist_journeys_by_purpose_and_distance_4_to_6km[#Headers],0),0)/100</f>
        <v>0</v>
      </c>
      <c r="H163" s="4">
        <f>IF(B163="6-8 kilometres",1,0)*VLOOKUP(C163, Percentage_dist_journeys_by_purpose_and_distance_6_to_8km[#All],MATCH(A163, Percentage_dist_journeys_by_purpose_and_distance_6_to_8km[#Headers],0),0)/100</f>
        <v>0</v>
      </c>
      <c r="I163" s="72">
        <f>IF(B163="8+ kilometres",1,0)*VLOOKUP(C163, Percentage_dist_journeys_by_purpose_and_distance_8km[#All],MATCH(A163, Percentage_dist_journeys_by_purpose_and_distance_8km[#Headers],0),0)/100</f>
        <v>0</v>
      </c>
      <c r="J163" s="73">
        <f>VLOOKUP(B163,Average_Distance_by_kilometres_grouping_for_trip_purpose[#All],MATCH(A163,Average_Distance_by_kilometres_grouping_for_trip_purpose[#Headers],0),0)</f>
        <v>1</v>
      </c>
      <c r="K163" s="77">
        <f>VLOOKUP(C163, Adjustment_factor_for_distance_based_on_trip_purpose[#All],MATCH(A163, Adjustment_factor_for_distance_based_on_trip_purpose[#Headers],0),0)</f>
        <v>0.94444444444444442</v>
      </c>
      <c r="L163" s="78">
        <f>VLOOKUP($L$2, Total_Journeys_Per_Year[#All],MATCH(A163, Total_Journeys_Per_Year[#Headers],0),0)</f>
        <v>2940102000.5779233</v>
      </c>
      <c r="M163" s="35">
        <f t="shared" si="2"/>
        <v>44771873.264800616</v>
      </c>
      <c r="N163" s="35">
        <f>VLOOKUP($N$2, Private_Vehicle_Kilometres_Car_Stock[#All],MATCH(A163, Private_Vehicle_Kilometres_Car_Stock[#Headers],0),0)</f>
        <v>32323075433</v>
      </c>
    </row>
    <row r="164" spans="1:14" x14ac:dyDescent="0.25">
      <c r="A164" s="79" t="s">
        <v>34</v>
      </c>
      <c r="B164" s="13" t="s">
        <v>181</v>
      </c>
      <c r="C164" s="13" t="s">
        <v>47</v>
      </c>
      <c r="D164" s="5">
        <f>VLOOKUP(B164,Percentage_distribution_of_journey_distance_for_all_regions[#All],MATCH(A164,Percentage_distribution_of_journey_distance_for_all_regions[#Headers],0),0)/100</f>
        <v>0.2</v>
      </c>
      <c r="E164" s="71">
        <f>IF(B164="&lt;2 kilometres",1,0)*VLOOKUP(C164, Percentage_dist_journeys_by_purpose_and_distance_to_2km[#All],MATCH(A164, Percentage_dist_journeys_by_purpose_and_distance_to_2km[#Headers],0),0)/100</f>
        <v>0</v>
      </c>
      <c r="F164" s="4">
        <f>IF(B164="2-4 kilometres",1,0)*VLOOKUP(C164, Percentage_dist_journeys_by_purpose_and_distance_2_to_4km[#All],MATCH(A164, Percentage_dist_journeys_by_purpose_and_distance_2_to_4km[#Headers],0),0)/100</f>
        <v>9.3000000000000013E-2</v>
      </c>
      <c r="G164" s="72">
        <f>IF(B164="4-6 kilometres",1,0)*VLOOKUP(C164, Percentage_dist_journeys_by_purpose_and_distance_4_to_6km[#All],MATCH(A164, Percentage_dist_journeys_by_purpose_and_distance_4_to_6km[#Headers],0),0)/100</f>
        <v>0</v>
      </c>
      <c r="H164" s="4">
        <f>IF(B164="6-8 kilometres",1,0)*VLOOKUP(C164, Percentage_dist_journeys_by_purpose_and_distance_6_to_8km[#All],MATCH(A164, Percentage_dist_journeys_by_purpose_and_distance_6_to_8km[#Headers],0),0)/100</f>
        <v>0</v>
      </c>
      <c r="I164" s="72">
        <f>IF(B164="8+ kilometres",1,0)*VLOOKUP(C164, Percentage_dist_journeys_by_purpose_and_distance_8km[#All],MATCH(A164, Percentage_dist_journeys_by_purpose_and_distance_8km[#Headers],0),0)/100</f>
        <v>0</v>
      </c>
      <c r="J164" s="73">
        <f>VLOOKUP(B164,Average_Distance_by_kilometres_grouping_for_trip_purpose[#All],MATCH(A164,Average_Distance_by_kilometres_grouping_for_trip_purpose[#Headers],0),0)</f>
        <v>3</v>
      </c>
      <c r="K164" s="77">
        <f>VLOOKUP(C164, Adjustment_factor_for_distance_based_on_trip_purpose[#All],MATCH(A164, Adjustment_factor_for_distance_based_on_trip_purpose[#Headers],0),0)</f>
        <v>0.94444444444444442</v>
      </c>
      <c r="L164" s="78">
        <f>VLOOKUP($L$2, Total_Journeys_Per_Year[#All],MATCH(A164, Total_Journeys_Per_Year[#Headers],0),0)</f>
        <v>2940102000.5779233</v>
      </c>
      <c r="M164" s="35">
        <f t="shared" si="2"/>
        <v>164057691.63224813</v>
      </c>
      <c r="N164" s="35">
        <f>VLOOKUP($N$2, Private_Vehicle_Kilometres_Car_Stock[#All],MATCH(A164, Private_Vehicle_Kilometres_Car_Stock[#Headers],0),0)</f>
        <v>32323075433</v>
      </c>
    </row>
    <row r="165" spans="1:14" x14ac:dyDescent="0.25">
      <c r="A165" s="79" t="s">
        <v>34</v>
      </c>
      <c r="B165" s="13" t="s">
        <v>180</v>
      </c>
      <c r="C165" s="13" t="s">
        <v>47</v>
      </c>
      <c r="D165" s="5">
        <f>VLOOKUP(B165,Percentage_distribution_of_journey_distance_for_all_regions[#All],MATCH(A165,Percentage_distribution_of_journey_distance_for_all_regions[#Headers],0),0)/100</f>
        <v>0.13</v>
      </c>
      <c r="E165" s="71">
        <f>IF(B165="&lt;2 kilometres",1,0)*VLOOKUP(C165, Percentage_dist_journeys_by_purpose_and_distance_to_2km[#All],MATCH(A165, Percentage_dist_journeys_by_purpose_and_distance_to_2km[#Headers],0),0)/100</f>
        <v>0</v>
      </c>
      <c r="F165" s="4">
        <f>IF(B165="2-4 kilometres",1,0)*VLOOKUP(C165, Percentage_dist_journeys_by_purpose_and_distance_2_to_4km[#All],MATCH(A165, Percentage_dist_journeys_by_purpose_and_distance_2_to_4km[#Headers],0),0)/100</f>
        <v>0</v>
      </c>
      <c r="G165" s="72">
        <f>IF(B165="4-6 kilometres",1,0)*VLOOKUP(C165, Percentage_dist_journeys_by_purpose_and_distance_4_to_6km[#All],MATCH(A165, Percentage_dist_journeys_by_purpose_and_distance_4_to_6km[#Headers],0),0)/100</f>
        <v>0.13100000000000001</v>
      </c>
      <c r="H165" s="4">
        <f>IF(B165="6-8 kilometres",1,0)*VLOOKUP(C165, Percentage_dist_journeys_by_purpose_and_distance_6_to_8km[#All],MATCH(A165, Percentage_dist_journeys_by_purpose_and_distance_6_to_8km[#Headers],0),0)/100</f>
        <v>0</v>
      </c>
      <c r="I165" s="72">
        <f>IF(B165="8+ kilometres",1,0)*VLOOKUP(C165, Percentage_dist_journeys_by_purpose_and_distance_8km[#All],MATCH(A165, Percentage_dist_journeys_by_purpose_and_distance_8km[#Headers],0),0)/100</f>
        <v>0</v>
      </c>
      <c r="J165" s="73">
        <f>VLOOKUP(B165,Average_Distance_by_kilometres_grouping_for_trip_purpose[#All],MATCH(A165,Average_Distance_by_kilometres_grouping_for_trip_purpose[#Headers],0),0)</f>
        <v>5</v>
      </c>
      <c r="K165" s="77">
        <f>VLOOKUP(C165, Adjustment_factor_for_distance_based_on_trip_purpose[#All],MATCH(A165, Adjustment_factor_for_distance_based_on_trip_purpose[#Headers],0),0)</f>
        <v>0.94444444444444442</v>
      </c>
      <c r="L165" s="78">
        <f>VLOOKUP($L$2, Total_Journeys_Per_Year[#All],MATCH(A165, Total_Journeys_Per_Year[#Headers],0),0)</f>
        <v>2940102000.5779233</v>
      </c>
      <c r="M165" s="35">
        <f t="shared" si="2"/>
        <v>250349685.34921017</v>
      </c>
      <c r="N165" s="35">
        <f>VLOOKUP($N$2, Private_Vehicle_Kilometres_Car_Stock[#All],MATCH(A165, Private_Vehicle_Kilometres_Car_Stock[#Headers],0),0)</f>
        <v>32323075433</v>
      </c>
    </row>
    <row r="166" spans="1:14" x14ac:dyDescent="0.25">
      <c r="A166" s="79" t="s">
        <v>34</v>
      </c>
      <c r="B166" s="13" t="s">
        <v>182</v>
      </c>
      <c r="C166" s="13" t="s">
        <v>47</v>
      </c>
      <c r="D166" s="5">
        <f>VLOOKUP(B166,Percentage_distribution_of_journey_distance_for_all_regions[#All],MATCH(A166,Percentage_distribution_of_journey_distance_for_all_regions[#Headers],0),0)/100</f>
        <v>6.4000000000000001E-2</v>
      </c>
      <c r="E166" s="71">
        <f>IF(B166="&lt;2 kilometres",1,0)*VLOOKUP(C166, Percentage_dist_journeys_by_purpose_and_distance_to_2km[#All],MATCH(A166, Percentage_dist_journeys_by_purpose_and_distance_to_2km[#Headers],0),0)/100</f>
        <v>0</v>
      </c>
      <c r="F166" s="4">
        <f>IF(B166="2-4 kilometres",1,0)*VLOOKUP(C166, Percentage_dist_journeys_by_purpose_and_distance_2_to_4km[#All],MATCH(A166, Percentage_dist_journeys_by_purpose_and_distance_2_to_4km[#Headers],0),0)/100</f>
        <v>0</v>
      </c>
      <c r="G166" s="72">
        <f>IF(B166="4-6 kilometres",1,0)*VLOOKUP(C166, Percentage_dist_journeys_by_purpose_and_distance_4_to_6km[#All],MATCH(A166, Percentage_dist_journeys_by_purpose_and_distance_4_to_6km[#Headers],0),0)/100</f>
        <v>0</v>
      </c>
      <c r="H166" s="4">
        <f>IF(B166="6-8 kilometres",1,0)*VLOOKUP(C166, Percentage_dist_journeys_by_purpose_and_distance_6_to_8km[#All],MATCH(A166, Percentage_dist_journeys_by_purpose_and_distance_6_to_8km[#Headers],0),0)/100</f>
        <v>0.10300000000000001</v>
      </c>
      <c r="I166" s="72">
        <f>IF(B166="8+ kilometres",1,0)*VLOOKUP(C166, Percentage_dist_journeys_by_purpose_and_distance_8km[#All],MATCH(A166, Percentage_dist_journeys_by_purpose_and_distance_8km[#Headers],0),0)/100</f>
        <v>0</v>
      </c>
      <c r="J166" s="73">
        <f>VLOOKUP(B166,Average_Distance_by_kilometres_grouping_for_trip_purpose[#All],MATCH(A166,Average_Distance_by_kilometres_grouping_for_trip_purpose[#Headers],0),0)</f>
        <v>7</v>
      </c>
      <c r="K166" s="77">
        <f>VLOOKUP(C166, Adjustment_factor_for_distance_based_on_trip_purpose[#All],MATCH(A166, Adjustment_factor_for_distance_based_on_trip_purpose[#Headers],0),0)</f>
        <v>0.94444444444444442</v>
      </c>
      <c r="L166" s="78">
        <f>VLOOKUP($L$2, Total_Journeys_Per_Year[#All],MATCH(A166, Total_Journeys_Per_Year[#Headers],0),0)</f>
        <v>2940102000.5779233</v>
      </c>
      <c r="M166" s="35">
        <f t="shared" si="2"/>
        <v>135668066.71466771</v>
      </c>
      <c r="N166" s="35">
        <f>VLOOKUP($N$2, Private_Vehicle_Kilometres_Car_Stock[#All],MATCH(A166, Private_Vehicle_Kilometres_Car_Stock[#Headers],0),0)</f>
        <v>32323075433</v>
      </c>
    </row>
    <row r="167" spans="1:14" x14ac:dyDescent="0.25">
      <c r="A167" s="79" t="s">
        <v>34</v>
      </c>
      <c r="B167" s="13" t="s">
        <v>1</v>
      </c>
      <c r="C167" s="13" t="s">
        <v>47</v>
      </c>
      <c r="D167" s="5">
        <f>VLOOKUP(B167,Percentage_distribution_of_journey_distance_for_all_regions[#All],MATCH(A167,Percentage_distribution_of_journey_distance_for_all_regions[#Headers],0),0)/100</f>
        <v>0.41899999999999998</v>
      </c>
      <c r="E167" s="71">
        <f>IF(B167="&lt;2 kilometres",1,0)*VLOOKUP(C167, Percentage_dist_journeys_by_purpose_and_distance_to_2km[#All],MATCH(A167, Percentage_dist_journeys_by_purpose_and_distance_to_2km[#Headers],0),0)/100</f>
        <v>0</v>
      </c>
      <c r="F167" s="4">
        <f>IF(B167="2-4 kilometres",1,0)*VLOOKUP(C167, Percentage_dist_journeys_by_purpose_and_distance_2_to_4km[#All],MATCH(A167, Percentage_dist_journeys_by_purpose_and_distance_2_to_4km[#Headers],0),0)/100</f>
        <v>0</v>
      </c>
      <c r="G167" s="72">
        <f>IF(B167="4-6 kilometres",1,0)*VLOOKUP(C167, Percentage_dist_journeys_by_purpose_and_distance_4_to_6km[#All],MATCH(A167, Percentage_dist_journeys_by_purpose_and_distance_4_to_6km[#Headers],0),0)/100</f>
        <v>0</v>
      </c>
      <c r="H167" s="4">
        <f>IF(B167="6-8 kilometres",1,0)*VLOOKUP(C167, Percentage_dist_journeys_by_purpose_and_distance_6_to_8km[#All],MATCH(A167, Percentage_dist_journeys_by_purpose_and_distance_6_to_8km[#Headers],0),0)/100</f>
        <v>0</v>
      </c>
      <c r="I167" s="72">
        <f>IF(B167="8+ kilometres",1,0)*VLOOKUP(C167, Percentage_dist_journeys_by_purpose_and_distance_8km[#All],MATCH(A167, Percentage_dist_journeys_by_purpose_and_distance_8km[#Headers],0),0)/100</f>
        <v>9.9000000000000005E-2</v>
      </c>
      <c r="J167" s="73">
        <f>VLOOKUP(B167,Average_Distance_by_kilometres_grouping_for_trip_purpose[#All],MATCH(A167,Average_Distance_by_kilometres_grouping_for_trip_purpose[#Headers],0),0)</f>
        <v>42.45</v>
      </c>
      <c r="K167" s="77">
        <f>VLOOKUP(C167, Adjustment_factor_for_distance_based_on_trip_purpose[#All],MATCH(A167, Adjustment_factor_for_distance_based_on_trip_purpose[#Headers],0),0)</f>
        <v>0.94444444444444442</v>
      </c>
      <c r="L167" s="78">
        <f>VLOOKUP($L$2, Total_Journeys_Per_Year[#All],MATCH(A167, Total_Journeys_Per_Year[#Headers],0),0)</f>
        <v>2940102000.5779233</v>
      </c>
      <c r="M167" s="35">
        <f t="shared" si="2"/>
        <v>5177132852.5995474</v>
      </c>
      <c r="N167" s="35">
        <f>VLOOKUP($N$2, Private_Vehicle_Kilometres_Car_Stock[#All],MATCH(A167, Private_Vehicle_Kilometres_Car_Stock[#Headers],0),0)</f>
        <v>32323075433</v>
      </c>
    </row>
    <row r="168" spans="1:14" x14ac:dyDescent="0.25">
      <c r="A168" s="79" t="s">
        <v>34</v>
      </c>
      <c r="B168" s="13" t="s">
        <v>12</v>
      </c>
      <c r="C168" s="13" t="s">
        <v>48</v>
      </c>
      <c r="D168" s="5">
        <f>VLOOKUP(B168,Percentage_distribution_of_journey_distance_for_all_regions[#All],MATCH(A168,Percentage_distribution_of_journey_distance_for_all_regions[#Headers],0),0)/100</f>
        <v>0.188</v>
      </c>
      <c r="E168" s="71">
        <f>IF(B168="&lt;2 kilometres",1,0)*VLOOKUP(C168, Percentage_dist_journeys_by_purpose_and_distance_to_2km[#All],MATCH(A168, Percentage_dist_journeys_by_purpose_and_distance_to_2km[#Headers],0),0)/100</f>
        <v>4.4000000000000004E-2</v>
      </c>
      <c r="F168" s="4">
        <f>IF(B168="2-4 kilometres",1,0)*VLOOKUP(C168, Percentage_dist_journeys_by_purpose_and_distance_2_to_4km[#All],MATCH(A168, Percentage_dist_journeys_by_purpose_and_distance_2_to_4km[#Headers],0),0)/100</f>
        <v>0</v>
      </c>
      <c r="G168" s="72">
        <f>IF(B168="4-6 kilometres",1,0)*VLOOKUP(C168, Percentage_dist_journeys_by_purpose_and_distance_4_to_6km[#All],MATCH(A168, Percentage_dist_journeys_by_purpose_and_distance_4_to_6km[#Headers],0),0)/100</f>
        <v>0</v>
      </c>
      <c r="H168" s="4">
        <f>IF(B168="6-8 kilometres",1,0)*VLOOKUP(C168, Percentage_dist_journeys_by_purpose_and_distance_6_to_8km[#All],MATCH(A168, Percentage_dist_journeys_by_purpose_and_distance_6_to_8km[#Headers],0),0)/100</f>
        <v>0</v>
      </c>
      <c r="I168" s="72">
        <f>IF(B168="8+ kilometres",1,0)*VLOOKUP(C168, Percentage_dist_journeys_by_purpose_and_distance_8km[#All],MATCH(A168, Percentage_dist_journeys_by_purpose_and_distance_8km[#Headers],0),0)/100</f>
        <v>0</v>
      </c>
      <c r="J168" s="73">
        <f>VLOOKUP(B168,Average_Distance_by_kilometres_grouping_for_trip_purpose[#All],MATCH(A168,Average_Distance_by_kilometres_grouping_for_trip_purpose[#Headers],0),0)</f>
        <v>1</v>
      </c>
      <c r="K168" s="77">
        <f>VLOOKUP(C168, Adjustment_factor_for_distance_based_on_trip_purpose[#All],MATCH(A168, Adjustment_factor_for_distance_based_on_trip_purpose[#Headers],0),0)</f>
        <v>0.66666666666666663</v>
      </c>
      <c r="L168" s="78">
        <f>VLOOKUP($L$2, Total_Journeys_Per_Year[#All],MATCH(A168, Total_Journeys_Per_Year[#Headers],0),0)</f>
        <v>2940102000.5779233</v>
      </c>
      <c r="M168" s="35">
        <f t="shared" si="2"/>
        <v>24320523.748780586</v>
      </c>
      <c r="N168" s="35">
        <f>VLOOKUP($N$2, Private_Vehicle_Kilometres_Car_Stock[#All],MATCH(A168, Private_Vehicle_Kilometres_Car_Stock[#Headers],0),0)</f>
        <v>32323075433</v>
      </c>
    </row>
    <row r="169" spans="1:14" x14ac:dyDescent="0.25">
      <c r="A169" s="79" t="s">
        <v>34</v>
      </c>
      <c r="B169" s="13" t="s">
        <v>181</v>
      </c>
      <c r="C169" s="13" t="s">
        <v>48</v>
      </c>
      <c r="D169" s="5">
        <f>VLOOKUP(B169,Percentage_distribution_of_journey_distance_for_all_regions[#All],MATCH(A169,Percentage_distribution_of_journey_distance_for_all_regions[#Headers],0),0)/100</f>
        <v>0.2</v>
      </c>
      <c r="E169" s="71">
        <f>IF(B169="&lt;2 kilometres",1,0)*VLOOKUP(C169, Percentage_dist_journeys_by_purpose_and_distance_to_2km[#All],MATCH(A169, Percentage_dist_journeys_by_purpose_and_distance_to_2km[#Headers],0),0)/100</f>
        <v>0</v>
      </c>
      <c r="F169" s="4">
        <f>IF(B169="2-4 kilometres",1,0)*VLOOKUP(C169, Percentage_dist_journeys_by_purpose_and_distance_2_to_4km[#All],MATCH(A169, Percentage_dist_journeys_by_purpose_and_distance_2_to_4km[#Headers],0),0)/100</f>
        <v>3.9E-2</v>
      </c>
      <c r="G169" s="72">
        <f>IF(B169="4-6 kilometres",1,0)*VLOOKUP(C169, Percentage_dist_journeys_by_purpose_and_distance_4_to_6km[#All],MATCH(A169, Percentage_dist_journeys_by_purpose_and_distance_4_to_6km[#Headers],0),0)/100</f>
        <v>0</v>
      </c>
      <c r="H169" s="4">
        <f>IF(B169="6-8 kilometres",1,0)*VLOOKUP(C169, Percentage_dist_journeys_by_purpose_and_distance_6_to_8km[#All],MATCH(A169, Percentage_dist_journeys_by_purpose_and_distance_6_to_8km[#Headers],0),0)/100</f>
        <v>0</v>
      </c>
      <c r="I169" s="72">
        <f>IF(B169="8+ kilometres",1,0)*VLOOKUP(C169, Percentage_dist_journeys_by_purpose_and_distance_8km[#All],MATCH(A169, Percentage_dist_journeys_by_purpose_and_distance_8km[#Headers],0),0)/100</f>
        <v>0</v>
      </c>
      <c r="J169" s="73">
        <f>VLOOKUP(B169,Average_Distance_by_kilometres_grouping_for_trip_purpose[#All],MATCH(A169,Average_Distance_by_kilometres_grouping_for_trip_purpose[#Headers],0),0)</f>
        <v>3</v>
      </c>
      <c r="K169" s="77">
        <f>VLOOKUP(C169, Adjustment_factor_for_distance_based_on_trip_purpose[#All],MATCH(A169, Adjustment_factor_for_distance_based_on_trip_purpose[#Headers],0),0)</f>
        <v>0.66666666666666663</v>
      </c>
      <c r="L169" s="78">
        <f>VLOOKUP($L$2, Total_Journeys_Per_Year[#All],MATCH(A169, Total_Journeys_Per_Year[#Headers],0),0)</f>
        <v>2940102000.5779233</v>
      </c>
      <c r="M169" s="35">
        <f t="shared" si="2"/>
        <v>68798386.813523412</v>
      </c>
      <c r="N169" s="35">
        <f>VLOOKUP($N$2, Private_Vehicle_Kilometres_Car_Stock[#All],MATCH(A169, Private_Vehicle_Kilometres_Car_Stock[#Headers],0),0)</f>
        <v>32323075433</v>
      </c>
    </row>
    <row r="170" spans="1:14" x14ac:dyDescent="0.25">
      <c r="A170" s="79" t="s">
        <v>34</v>
      </c>
      <c r="B170" s="13" t="s">
        <v>180</v>
      </c>
      <c r="C170" s="13" t="s">
        <v>48</v>
      </c>
      <c r="D170" s="5">
        <f>VLOOKUP(B170,Percentage_distribution_of_journey_distance_for_all_regions[#All],MATCH(A170,Percentage_distribution_of_journey_distance_for_all_regions[#Headers],0),0)/100</f>
        <v>0.13</v>
      </c>
      <c r="E170" s="71">
        <f>IF(B170="&lt;2 kilometres",1,0)*VLOOKUP(C170, Percentage_dist_journeys_by_purpose_and_distance_to_2km[#All],MATCH(A170, Percentage_dist_journeys_by_purpose_and_distance_to_2km[#Headers],0),0)/100</f>
        <v>0</v>
      </c>
      <c r="F170" s="4">
        <f>IF(B170="2-4 kilometres",1,0)*VLOOKUP(C170, Percentage_dist_journeys_by_purpose_and_distance_2_to_4km[#All],MATCH(A170, Percentage_dist_journeys_by_purpose_and_distance_2_to_4km[#Headers],0),0)/100</f>
        <v>0</v>
      </c>
      <c r="G170" s="72">
        <f>IF(B170="4-6 kilometres",1,0)*VLOOKUP(C170, Percentage_dist_journeys_by_purpose_and_distance_4_to_6km[#All],MATCH(A170, Percentage_dist_journeys_by_purpose_and_distance_4_to_6km[#Headers],0),0)/100</f>
        <v>5.5E-2</v>
      </c>
      <c r="H170" s="4">
        <f>IF(B170="6-8 kilometres",1,0)*VLOOKUP(C170, Percentage_dist_journeys_by_purpose_and_distance_6_to_8km[#All],MATCH(A170, Percentage_dist_journeys_by_purpose_and_distance_6_to_8km[#Headers],0),0)/100</f>
        <v>0</v>
      </c>
      <c r="I170" s="72">
        <f>IF(B170="8+ kilometres",1,0)*VLOOKUP(C170, Percentage_dist_journeys_by_purpose_and_distance_8km[#All],MATCH(A170, Percentage_dist_journeys_by_purpose_and_distance_8km[#Headers],0),0)/100</f>
        <v>0</v>
      </c>
      <c r="J170" s="73">
        <f>VLOOKUP(B170,Average_Distance_by_kilometres_grouping_for_trip_purpose[#All],MATCH(A170,Average_Distance_by_kilometres_grouping_for_trip_purpose[#Headers],0),0)</f>
        <v>5</v>
      </c>
      <c r="K170" s="77">
        <f>VLOOKUP(C170, Adjustment_factor_for_distance_based_on_trip_purpose[#All],MATCH(A170, Adjustment_factor_for_distance_based_on_trip_purpose[#Headers],0),0)</f>
        <v>0.66666666666666663</v>
      </c>
      <c r="L170" s="78">
        <f>VLOOKUP($L$2, Total_Journeys_Per_Year[#All],MATCH(A170, Total_Journeys_Per_Year[#Headers],0),0)</f>
        <v>2940102000.5779233</v>
      </c>
      <c r="M170" s="35">
        <f t="shared" si="2"/>
        <v>105108646.52066077</v>
      </c>
      <c r="N170" s="35">
        <f>VLOOKUP($N$2, Private_Vehicle_Kilometres_Car_Stock[#All],MATCH(A170, Private_Vehicle_Kilometres_Car_Stock[#Headers],0),0)</f>
        <v>32323075433</v>
      </c>
    </row>
    <row r="171" spans="1:14" x14ac:dyDescent="0.25">
      <c r="A171" s="79" t="s">
        <v>34</v>
      </c>
      <c r="B171" s="13" t="s">
        <v>182</v>
      </c>
      <c r="C171" s="13" t="s">
        <v>48</v>
      </c>
      <c r="D171" s="5">
        <f>VLOOKUP(B171,Percentage_distribution_of_journey_distance_for_all_regions[#All],MATCH(A171,Percentage_distribution_of_journey_distance_for_all_regions[#Headers],0),0)/100</f>
        <v>6.4000000000000001E-2</v>
      </c>
      <c r="E171" s="71">
        <f>IF(B171="&lt;2 kilometres",1,0)*VLOOKUP(C171, Percentage_dist_journeys_by_purpose_and_distance_to_2km[#All],MATCH(A171, Percentage_dist_journeys_by_purpose_and_distance_to_2km[#Headers],0),0)/100</f>
        <v>0</v>
      </c>
      <c r="F171" s="4">
        <f>IF(B171="2-4 kilometres",1,0)*VLOOKUP(C171, Percentage_dist_journeys_by_purpose_and_distance_2_to_4km[#All],MATCH(A171, Percentage_dist_journeys_by_purpose_and_distance_2_to_4km[#Headers],0),0)/100</f>
        <v>0</v>
      </c>
      <c r="G171" s="72">
        <f>IF(B171="4-6 kilometres",1,0)*VLOOKUP(C171, Percentage_dist_journeys_by_purpose_and_distance_4_to_6km[#All],MATCH(A171, Percentage_dist_journeys_by_purpose_and_distance_4_to_6km[#Headers],0),0)/100</f>
        <v>0</v>
      </c>
      <c r="H171" s="4">
        <f>IF(B171="6-8 kilometres",1,0)*VLOOKUP(C171, Percentage_dist_journeys_by_purpose_and_distance_6_to_8km[#All],MATCH(A171, Percentage_dist_journeys_by_purpose_and_distance_6_to_8km[#Headers],0),0)/100</f>
        <v>4.9000000000000002E-2</v>
      </c>
      <c r="I171" s="72">
        <f>IF(B171="8+ kilometres",1,0)*VLOOKUP(C171, Percentage_dist_journeys_by_purpose_and_distance_8km[#All],MATCH(A171, Percentage_dist_journeys_by_purpose_and_distance_8km[#Headers],0),0)/100</f>
        <v>0</v>
      </c>
      <c r="J171" s="73">
        <f>VLOOKUP(B171,Average_Distance_by_kilometres_grouping_for_trip_purpose[#All],MATCH(A171,Average_Distance_by_kilometres_grouping_for_trip_purpose[#Headers],0),0)</f>
        <v>7</v>
      </c>
      <c r="K171" s="77">
        <f>VLOOKUP(C171, Adjustment_factor_for_distance_based_on_trip_purpose[#All],MATCH(A171, Adjustment_factor_for_distance_based_on_trip_purpose[#Headers],0),0)</f>
        <v>0.66666666666666663</v>
      </c>
      <c r="L171" s="78">
        <f>VLOOKUP($L$2, Total_Journeys_Per_Year[#All],MATCH(A171, Total_Journeys_Per_Year[#Headers],0),0)</f>
        <v>2940102000.5779233</v>
      </c>
      <c r="M171" s="35">
        <f t="shared" si="2"/>
        <v>64541119.116686583</v>
      </c>
      <c r="N171" s="35">
        <f>VLOOKUP($N$2, Private_Vehicle_Kilometres_Car_Stock[#All],MATCH(A171, Private_Vehicle_Kilometres_Car_Stock[#Headers],0),0)</f>
        <v>32323075433</v>
      </c>
    </row>
    <row r="172" spans="1:14" x14ac:dyDescent="0.25">
      <c r="A172" s="79" t="s">
        <v>34</v>
      </c>
      <c r="B172" s="13" t="s">
        <v>1</v>
      </c>
      <c r="C172" s="13" t="s">
        <v>48</v>
      </c>
      <c r="D172" s="5">
        <f>VLOOKUP(B172,Percentage_distribution_of_journey_distance_for_all_regions[#All],MATCH(A172,Percentage_distribution_of_journey_distance_for_all_regions[#Headers],0),0)/100</f>
        <v>0.41899999999999998</v>
      </c>
      <c r="E172" s="71">
        <f>IF(B172="&lt;2 kilometres",1,0)*VLOOKUP(C172, Percentage_dist_journeys_by_purpose_and_distance_to_2km[#All],MATCH(A172, Percentage_dist_journeys_by_purpose_and_distance_to_2km[#Headers],0),0)/100</f>
        <v>0</v>
      </c>
      <c r="F172" s="4">
        <f>IF(B172="2-4 kilometres",1,0)*VLOOKUP(C172, Percentage_dist_journeys_by_purpose_and_distance_2_to_4km[#All],MATCH(A172, Percentage_dist_journeys_by_purpose_and_distance_2_to_4km[#Headers],0),0)/100</f>
        <v>0</v>
      </c>
      <c r="G172" s="72">
        <f>IF(B172="4-6 kilometres",1,0)*VLOOKUP(C172, Percentage_dist_journeys_by_purpose_and_distance_4_to_6km[#All],MATCH(A172, Percentage_dist_journeys_by_purpose_and_distance_4_to_6km[#Headers],0),0)/100</f>
        <v>0</v>
      </c>
      <c r="H172" s="4">
        <f>IF(B172="6-8 kilometres",1,0)*VLOOKUP(C172, Percentage_dist_journeys_by_purpose_and_distance_6_to_8km[#All],MATCH(A172, Percentage_dist_journeys_by_purpose_and_distance_6_to_8km[#Headers],0),0)/100</f>
        <v>0</v>
      </c>
      <c r="I172" s="72">
        <f>IF(B172="8+ kilometres",1,0)*VLOOKUP(C172, Percentage_dist_journeys_by_purpose_and_distance_8km[#All],MATCH(A172, Percentage_dist_journeys_by_purpose_and_distance_8km[#Headers],0),0)/100</f>
        <v>0.06</v>
      </c>
      <c r="J172" s="73">
        <f>VLOOKUP(B172,Average_Distance_by_kilometres_grouping_for_trip_purpose[#All],MATCH(A172,Average_Distance_by_kilometres_grouping_for_trip_purpose[#Headers],0),0)</f>
        <v>42.45</v>
      </c>
      <c r="K172" s="77">
        <f>VLOOKUP(C172, Adjustment_factor_for_distance_based_on_trip_purpose[#All],MATCH(A172, Adjustment_factor_for_distance_based_on_trip_purpose[#Headers],0),0)</f>
        <v>0.66666666666666663</v>
      </c>
      <c r="L172" s="78">
        <f>VLOOKUP($L$2, Total_Journeys_Per_Year[#All],MATCH(A172, Total_Journeys_Per_Year[#Headers],0),0)</f>
        <v>2940102000.5779233</v>
      </c>
      <c r="M172" s="35">
        <f t="shared" si="2"/>
        <v>3137656274.3027558</v>
      </c>
      <c r="N172" s="35">
        <f>VLOOKUP($N$2, Private_Vehicle_Kilometres_Car_Stock[#All],MATCH(A172, Private_Vehicle_Kilometres_Car_Stock[#Headers],0),0)</f>
        <v>32323075433</v>
      </c>
    </row>
    <row r="173" spans="1:14" x14ac:dyDescent="0.25">
      <c r="A173" s="79" t="s">
        <v>34</v>
      </c>
      <c r="B173" s="13" t="s">
        <v>12</v>
      </c>
      <c r="C173" s="13" t="s">
        <v>49</v>
      </c>
      <c r="D173" s="5">
        <f>VLOOKUP(B173,Percentage_distribution_of_journey_distance_for_all_regions[#All],MATCH(A173,Percentage_distribution_of_journey_distance_for_all_regions[#Headers],0),0)/100</f>
        <v>0.188</v>
      </c>
      <c r="E173" s="71">
        <f>IF(B173="&lt;2 kilometres",1,0)*VLOOKUP(C173, Percentage_dist_journeys_by_purpose_and_distance_to_2km[#All],MATCH(A173, Percentage_dist_journeys_by_purpose_and_distance_to_2km[#Headers],0),0)/100</f>
        <v>0.188</v>
      </c>
      <c r="F173" s="4">
        <f>IF(B173="2-4 kilometres",1,0)*VLOOKUP(C173, Percentage_dist_journeys_by_purpose_and_distance_2_to_4km[#All],MATCH(A173, Percentage_dist_journeys_by_purpose_and_distance_2_to_4km[#Headers],0),0)/100</f>
        <v>0</v>
      </c>
      <c r="G173" s="72">
        <f>IF(B173="4-6 kilometres",1,0)*VLOOKUP(C173, Percentage_dist_journeys_by_purpose_and_distance_4_to_6km[#All],MATCH(A173, Percentage_dist_journeys_by_purpose_and_distance_4_to_6km[#Headers],0),0)/100</f>
        <v>0</v>
      </c>
      <c r="H173" s="4">
        <f>IF(B173="6-8 kilometres",1,0)*VLOOKUP(C173, Percentage_dist_journeys_by_purpose_and_distance_6_to_8km[#All],MATCH(A173, Percentage_dist_journeys_by_purpose_and_distance_6_to_8km[#Headers],0),0)/100</f>
        <v>0</v>
      </c>
      <c r="I173" s="72">
        <f>IF(B173="8+ kilometres",1,0)*VLOOKUP(C173, Percentage_dist_journeys_by_purpose_and_distance_8km[#All],MATCH(A173, Percentage_dist_journeys_by_purpose_and_distance_8km[#Headers],0),0)/100</f>
        <v>0</v>
      </c>
      <c r="J173" s="73">
        <f>VLOOKUP(B173,Average_Distance_by_kilometres_grouping_for_trip_purpose[#All],MATCH(A173,Average_Distance_by_kilometres_grouping_for_trip_purpose[#Headers],0),0)</f>
        <v>1</v>
      </c>
      <c r="K173" s="77">
        <f>VLOOKUP(C173, Adjustment_factor_for_distance_based_on_trip_purpose[#All],MATCH(A173, Adjustment_factor_for_distance_based_on_trip_purpose[#Headers],0),0)</f>
        <v>1.2222222222222223</v>
      </c>
      <c r="L173" s="78">
        <f>VLOOKUP($L$2, Total_Journeys_Per_Year[#All],MATCH(A173, Total_Journeys_Per_Year[#Headers],0),0)</f>
        <v>2940102000.5779233</v>
      </c>
      <c r="M173" s="35">
        <f t="shared" si="2"/>
        <v>103914965.10842612</v>
      </c>
      <c r="N173" s="35">
        <f>VLOOKUP($N$2, Private_Vehicle_Kilometres_Car_Stock[#All],MATCH(A173, Private_Vehicle_Kilometres_Car_Stock[#Headers],0),0)</f>
        <v>32323075433</v>
      </c>
    </row>
    <row r="174" spans="1:14" x14ac:dyDescent="0.25">
      <c r="A174" s="79" t="s">
        <v>34</v>
      </c>
      <c r="B174" s="13" t="s">
        <v>181</v>
      </c>
      <c r="C174" s="13" t="s">
        <v>49</v>
      </c>
      <c r="D174" s="5">
        <f>VLOOKUP(B174,Percentage_distribution_of_journey_distance_for_all_regions[#All],MATCH(A174,Percentage_distribution_of_journey_distance_for_all_regions[#Headers],0),0)/100</f>
        <v>0.2</v>
      </c>
      <c r="E174" s="71">
        <f>IF(B174="&lt;2 kilometres",1,0)*VLOOKUP(C174, Percentage_dist_journeys_by_purpose_and_distance_to_2km[#All],MATCH(A174, Percentage_dist_journeys_by_purpose_and_distance_to_2km[#Headers],0),0)/100</f>
        <v>0</v>
      </c>
      <c r="F174" s="4">
        <f>IF(B174="2-4 kilometres",1,0)*VLOOKUP(C174, Percentage_dist_journeys_by_purpose_and_distance_2_to_4km[#All],MATCH(A174, Percentage_dist_journeys_by_purpose_and_distance_2_to_4km[#Headers],0),0)/100</f>
        <v>0.16899999999999998</v>
      </c>
      <c r="G174" s="72">
        <f>IF(B174="4-6 kilometres",1,0)*VLOOKUP(C174, Percentage_dist_journeys_by_purpose_and_distance_4_to_6km[#All],MATCH(A174, Percentage_dist_journeys_by_purpose_and_distance_4_to_6km[#Headers],0),0)/100</f>
        <v>0</v>
      </c>
      <c r="H174" s="4">
        <f>IF(B174="6-8 kilometres",1,0)*VLOOKUP(C174, Percentage_dist_journeys_by_purpose_and_distance_6_to_8km[#All],MATCH(A174, Percentage_dist_journeys_by_purpose_and_distance_6_to_8km[#Headers],0),0)/100</f>
        <v>0</v>
      </c>
      <c r="I174" s="72">
        <f>IF(B174="8+ kilometres",1,0)*VLOOKUP(C174, Percentage_dist_journeys_by_purpose_and_distance_8km[#All],MATCH(A174, Percentage_dist_journeys_by_purpose_and_distance_8km[#Headers],0),0)/100</f>
        <v>0</v>
      </c>
      <c r="J174" s="73">
        <f>VLOOKUP(B174,Average_Distance_by_kilometres_grouping_for_trip_purpose[#All],MATCH(A174,Average_Distance_by_kilometres_grouping_for_trip_purpose[#Headers],0),0)</f>
        <v>3</v>
      </c>
      <c r="K174" s="77">
        <f>VLOOKUP(C174, Adjustment_factor_for_distance_based_on_trip_purpose[#All],MATCH(A174, Adjustment_factor_for_distance_based_on_trip_purpose[#Headers],0),0)</f>
        <v>1.2222222222222223</v>
      </c>
      <c r="L174" s="78">
        <f>VLOOKUP($L$2, Total_Journeys_Per_Year[#All],MATCH(A174, Total_Journeys_Per_Year[#Headers],0),0)</f>
        <v>2940102000.5779233</v>
      </c>
      <c r="M174" s="35">
        <f t="shared" si="2"/>
        <v>298126342.85860139</v>
      </c>
      <c r="N174" s="35">
        <f>VLOOKUP($N$2, Private_Vehicle_Kilometres_Car_Stock[#All],MATCH(A174, Private_Vehicle_Kilometres_Car_Stock[#Headers],0),0)</f>
        <v>32323075433</v>
      </c>
    </row>
    <row r="175" spans="1:14" x14ac:dyDescent="0.25">
      <c r="A175" s="79" t="s">
        <v>34</v>
      </c>
      <c r="B175" s="13" t="s">
        <v>180</v>
      </c>
      <c r="C175" s="13" t="s">
        <v>49</v>
      </c>
      <c r="D175" s="5">
        <f>VLOOKUP(B175,Percentage_distribution_of_journey_distance_for_all_regions[#All],MATCH(A175,Percentage_distribution_of_journey_distance_for_all_regions[#Headers],0),0)/100</f>
        <v>0.13</v>
      </c>
      <c r="E175" s="71">
        <f>IF(B175="&lt;2 kilometres",1,0)*VLOOKUP(C175, Percentage_dist_journeys_by_purpose_and_distance_to_2km[#All],MATCH(A175, Percentage_dist_journeys_by_purpose_and_distance_to_2km[#Headers],0),0)/100</f>
        <v>0</v>
      </c>
      <c r="F175" s="4">
        <f>IF(B175="2-4 kilometres",1,0)*VLOOKUP(C175, Percentage_dist_journeys_by_purpose_and_distance_2_to_4km[#All],MATCH(A175, Percentage_dist_journeys_by_purpose_and_distance_2_to_4km[#Headers],0),0)/100</f>
        <v>0</v>
      </c>
      <c r="G175" s="72">
        <f>IF(B175="4-6 kilometres",1,0)*VLOOKUP(C175, Percentage_dist_journeys_by_purpose_and_distance_4_to_6km[#All],MATCH(A175, Percentage_dist_journeys_by_purpose_and_distance_4_to_6km[#Headers],0),0)/100</f>
        <v>0.13900000000000001</v>
      </c>
      <c r="H175" s="4">
        <f>IF(B175="6-8 kilometres",1,0)*VLOOKUP(C175, Percentage_dist_journeys_by_purpose_and_distance_6_to_8km[#All],MATCH(A175, Percentage_dist_journeys_by_purpose_and_distance_6_to_8km[#Headers],0),0)/100</f>
        <v>0</v>
      </c>
      <c r="I175" s="72">
        <f>IF(B175="8+ kilometres",1,0)*VLOOKUP(C175, Percentage_dist_journeys_by_purpose_and_distance_8km[#All],MATCH(A175, Percentage_dist_journeys_by_purpose_and_distance_8km[#Headers],0),0)/100</f>
        <v>0</v>
      </c>
      <c r="J175" s="73">
        <f>VLOOKUP(B175,Average_Distance_by_kilometres_grouping_for_trip_purpose[#All],MATCH(A175,Average_Distance_by_kilometres_grouping_for_trip_purpose[#Headers],0),0)</f>
        <v>5</v>
      </c>
      <c r="K175" s="77">
        <f>VLOOKUP(C175, Adjustment_factor_for_distance_based_on_trip_purpose[#All],MATCH(A175, Adjustment_factor_for_distance_based_on_trip_purpose[#Headers],0),0)</f>
        <v>1.2222222222222223</v>
      </c>
      <c r="L175" s="78">
        <f>VLOOKUP($L$2, Total_Journeys_Per_Year[#All],MATCH(A175, Total_Journeys_Per_Year[#Headers],0),0)</f>
        <v>2940102000.5779233</v>
      </c>
      <c r="M175" s="35">
        <f t="shared" si="2"/>
        <v>265638215.75221542</v>
      </c>
      <c r="N175" s="35">
        <f>VLOOKUP($N$2, Private_Vehicle_Kilometres_Car_Stock[#All],MATCH(A175, Private_Vehicle_Kilometres_Car_Stock[#Headers],0),0)</f>
        <v>32323075433</v>
      </c>
    </row>
    <row r="176" spans="1:14" x14ac:dyDescent="0.25">
      <c r="A176" s="79" t="s">
        <v>34</v>
      </c>
      <c r="B176" s="13" t="s">
        <v>182</v>
      </c>
      <c r="C176" s="13" t="s">
        <v>49</v>
      </c>
      <c r="D176" s="5">
        <f>VLOOKUP(B176,Percentage_distribution_of_journey_distance_for_all_regions[#All],MATCH(A176,Percentage_distribution_of_journey_distance_for_all_regions[#Headers],0),0)/100</f>
        <v>6.4000000000000001E-2</v>
      </c>
      <c r="E176" s="71">
        <f>IF(B176="&lt;2 kilometres",1,0)*VLOOKUP(C176, Percentage_dist_journeys_by_purpose_and_distance_to_2km[#All],MATCH(A176, Percentage_dist_journeys_by_purpose_and_distance_to_2km[#Headers],0),0)/100</f>
        <v>0</v>
      </c>
      <c r="F176" s="4">
        <f>IF(B176="2-4 kilometres",1,0)*VLOOKUP(C176, Percentage_dist_journeys_by_purpose_and_distance_2_to_4km[#All],MATCH(A176, Percentage_dist_journeys_by_purpose_and_distance_2_to_4km[#Headers],0),0)/100</f>
        <v>0</v>
      </c>
      <c r="G176" s="72">
        <f>IF(B176="4-6 kilometres",1,0)*VLOOKUP(C176, Percentage_dist_journeys_by_purpose_and_distance_4_to_6km[#All],MATCH(A176, Percentage_dist_journeys_by_purpose_and_distance_4_to_6km[#Headers],0),0)/100</f>
        <v>0</v>
      </c>
      <c r="H176" s="4">
        <f>IF(B176="6-8 kilometres",1,0)*VLOOKUP(C176, Percentage_dist_journeys_by_purpose_and_distance_6_to_8km[#All],MATCH(A176, Percentage_dist_journeys_by_purpose_and_distance_6_to_8km[#Headers],0),0)/100</f>
        <v>0.17100000000000001</v>
      </c>
      <c r="I176" s="72">
        <f>IF(B176="8+ kilometres",1,0)*VLOOKUP(C176, Percentage_dist_journeys_by_purpose_and_distance_8km[#All],MATCH(A176, Percentage_dist_journeys_by_purpose_and_distance_8km[#Headers],0),0)/100</f>
        <v>0</v>
      </c>
      <c r="J176" s="73">
        <f>VLOOKUP(B176,Average_Distance_by_kilometres_grouping_for_trip_purpose[#All],MATCH(A176,Average_Distance_by_kilometres_grouping_for_trip_purpose[#Headers],0),0)</f>
        <v>7</v>
      </c>
      <c r="K176" s="77">
        <f>VLOOKUP(C176, Adjustment_factor_for_distance_based_on_trip_purpose[#All],MATCH(A176, Adjustment_factor_for_distance_based_on_trip_purpose[#Headers],0),0)</f>
        <v>1.2222222222222223</v>
      </c>
      <c r="L176" s="78">
        <f>VLOOKUP($L$2, Total_Journeys_Per_Year[#All],MATCH(A176, Total_Journeys_Per_Year[#Headers],0),0)</f>
        <v>2940102000.5779233</v>
      </c>
      <c r="M176" s="35">
        <f t="shared" si="2"/>
        <v>225235334.06027359</v>
      </c>
      <c r="N176" s="35">
        <f>VLOOKUP($N$2, Private_Vehicle_Kilometres_Car_Stock[#All],MATCH(A176, Private_Vehicle_Kilometres_Car_Stock[#Headers],0),0)</f>
        <v>32323075433</v>
      </c>
    </row>
    <row r="177" spans="1:14" x14ac:dyDescent="0.25">
      <c r="A177" s="79" t="s">
        <v>34</v>
      </c>
      <c r="B177" s="13" t="s">
        <v>1</v>
      </c>
      <c r="C177" s="13" t="s">
        <v>49</v>
      </c>
      <c r="D177" s="5">
        <f>VLOOKUP(B177,Percentage_distribution_of_journey_distance_for_all_regions[#All],MATCH(A177,Percentage_distribution_of_journey_distance_for_all_regions[#Headers],0),0)/100</f>
        <v>0.41899999999999998</v>
      </c>
      <c r="E177" s="71">
        <f>IF(B177="&lt;2 kilometres",1,0)*VLOOKUP(C177, Percentage_dist_journeys_by_purpose_and_distance_to_2km[#All],MATCH(A177, Percentage_dist_journeys_by_purpose_and_distance_to_2km[#Headers],0),0)/100</f>
        <v>0</v>
      </c>
      <c r="F177" s="4">
        <f>IF(B177="2-4 kilometres",1,0)*VLOOKUP(C177, Percentage_dist_journeys_by_purpose_and_distance_2_to_4km[#All],MATCH(A177, Percentage_dist_journeys_by_purpose_and_distance_2_to_4km[#Headers],0),0)/100</f>
        <v>0</v>
      </c>
      <c r="G177" s="72">
        <f>IF(B177="4-6 kilometres",1,0)*VLOOKUP(C177, Percentage_dist_journeys_by_purpose_and_distance_4_to_6km[#All],MATCH(A177, Percentage_dist_journeys_by_purpose_and_distance_4_to_6km[#Headers],0),0)/100</f>
        <v>0</v>
      </c>
      <c r="H177" s="4">
        <f>IF(B177="6-8 kilometres",1,0)*VLOOKUP(C177, Percentage_dist_journeys_by_purpose_and_distance_6_to_8km[#All],MATCH(A177, Percentage_dist_journeys_by_purpose_and_distance_6_to_8km[#Headers],0),0)/100</f>
        <v>0</v>
      </c>
      <c r="I177" s="72">
        <f>IF(B177="8+ kilometres",1,0)*VLOOKUP(C177, Percentage_dist_journeys_by_purpose_and_distance_8km[#All],MATCH(A177, Percentage_dist_journeys_by_purpose_and_distance_8km[#Headers],0),0)/100</f>
        <v>9.3000000000000013E-2</v>
      </c>
      <c r="J177" s="73">
        <f>VLOOKUP(B177,Average_Distance_by_kilometres_grouping_for_trip_purpose[#All],MATCH(A177,Average_Distance_by_kilometres_grouping_for_trip_purpose[#Headers],0),0)</f>
        <v>42.45</v>
      </c>
      <c r="K177" s="77">
        <f>VLOOKUP(C177, Adjustment_factor_for_distance_based_on_trip_purpose[#All],MATCH(A177, Adjustment_factor_for_distance_based_on_trip_purpose[#Headers],0),0)</f>
        <v>1.2222222222222223</v>
      </c>
      <c r="L177" s="78">
        <f>VLOOKUP($L$2, Total_Journeys_Per_Year[#All],MATCH(A177, Total_Journeys_Per_Year[#Headers],0),0)</f>
        <v>2940102000.5779233</v>
      </c>
      <c r="M177" s="35">
        <f t="shared" si="2"/>
        <v>4863367225.1692724</v>
      </c>
      <c r="N177" s="35">
        <f>VLOOKUP($N$2, Private_Vehicle_Kilometres_Car_Stock[#All],MATCH(A177, Private_Vehicle_Kilometres_Car_Stock[#Headers],0),0)</f>
        <v>32323075433</v>
      </c>
    </row>
    <row r="178" spans="1:14" x14ac:dyDescent="0.25">
      <c r="A178" s="79" t="s">
        <v>34</v>
      </c>
      <c r="B178" s="13" t="s">
        <v>12</v>
      </c>
      <c r="C178" s="13" t="s">
        <v>50</v>
      </c>
      <c r="D178" s="5">
        <f>VLOOKUP(B178,Percentage_distribution_of_journey_distance_for_all_regions[#All],MATCH(A178,Percentage_distribution_of_journey_distance_for_all_regions[#Headers],0),0)/100</f>
        <v>0.188</v>
      </c>
      <c r="E178" s="71">
        <f>IF(B178="&lt;2 kilometres",1,0)*VLOOKUP(C178, Percentage_dist_journeys_by_purpose_and_distance_to_2km[#All],MATCH(A178, Percentage_dist_journeys_by_purpose_and_distance_to_2km[#Headers],0),0)/100</f>
        <v>4.9000000000000002E-2</v>
      </c>
      <c r="F178" s="4">
        <f>IF(B178="2-4 kilometres",1,0)*VLOOKUP(C178, Percentage_dist_journeys_by_purpose_and_distance_2_to_4km[#All],MATCH(A178, Percentage_dist_journeys_by_purpose_and_distance_2_to_4km[#Headers],0),0)/100</f>
        <v>0</v>
      </c>
      <c r="G178" s="72">
        <f>IF(B178="4-6 kilometres",1,0)*VLOOKUP(C178, Percentage_dist_journeys_by_purpose_and_distance_4_to_6km[#All],MATCH(A178, Percentage_dist_journeys_by_purpose_and_distance_4_to_6km[#Headers],0),0)/100</f>
        <v>0</v>
      </c>
      <c r="H178" s="4">
        <f>IF(B178="6-8 kilometres",1,0)*VLOOKUP(C178, Percentage_dist_journeys_by_purpose_and_distance_6_to_8km[#All],MATCH(A178, Percentage_dist_journeys_by_purpose_and_distance_6_to_8km[#Headers],0),0)/100</f>
        <v>0</v>
      </c>
      <c r="I178" s="72">
        <f>IF(B178="8+ kilometres",1,0)*VLOOKUP(C178, Percentage_dist_journeys_by_purpose_and_distance_8km[#All],MATCH(A178, Percentage_dist_journeys_by_purpose_and_distance_8km[#Headers],0),0)/100</f>
        <v>0</v>
      </c>
      <c r="J178" s="73">
        <f>VLOOKUP(B178,Average_Distance_by_kilometres_grouping_for_trip_purpose[#All],MATCH(A178,Average_Distance_by_kilometres_grouping_for_trip_purpose[#Headers],0),0)</f>
        <v>1</v>
      </c>
      <c r="K178" s="77">
        <f>VLOOKUP(C178, Adjustment_factor_for_distance_based_on_trip_purpose[#All],MATCH(A178, Adjustment_factor_for_distance_based_on_trip_purpose[#Headers],0),0)</f>
        <v>0.77777777777777779</v>
      </c>
      <c r="L178" s="78">
        <f>VLOOKUP($L$2, Total_Journeys_Per_Year[#All],MATCH(A178, Total_Journeys_Per_Year[#Headers],0),0)</f>
        <v>2940102000.5779233</v>
      </c>
      <c r="M178" s="35">
        <f t="shared" si="2"/>
        <v>27084219.629323829</v>
      </c>
      <c r="N178" s="35">
        <f>VLOOKUP($N$2, Private_Vehicle_Kilometres_Car_Stock[#All],MATCH(A178, Private_Vehicle_Kilometres_Car_Stock[#Headers],0),0)</f>
        <v>32323075433</v>
      </c>
    </row>
    <row r="179" spans="1:14" x14ac:dyDescent="0.25">
      <c r="A179" s="79" t="s">
        <v>34</v>
      </c>
      <c r="B179" s="13" t="s">
        <v>181</v>
      </c>
      <c r="C179" s="13" t="s">
        <v>50</v>
      </c>
      <c r="D179" s="5">
        <f>VLOOKUP(B179,Percentage_distribution_of_journey_distance_for_all_regions[#All],MATCH(A179,Percentage_distribution_of_journey_distance_for_all_regions[#Headers],0),0)/100</f>
        <v>0.2</v>
      </c>
      <c r="E179" s="71">
        <f>IF(B179="&lt;2 kilometres",1,0)*VLOOKUP(C179, Percentage_dist_journeys_by_purpose_and_distance_to_2km[#All],MATCH(A179, Percentage_dist_journeys_by_purpose_and_distance_to_2km[#Headers],0),0)/100</f>
        <v>0</v>
      </c>
      <c r="F179" s="4">
        <f>IF(B179="2-4 kilometres",1,0)*VLOOKUP(C179, Percentage_dist_journeys_by_purpose_and_distance_2_to_4km[#All],MATCH(A179, Percentage_dist_journeys_by_purpose_and_distance_2_to_4km[#Headers],0),0)/100</f>
        <v>4.9000000000000002E-2</v>
      </c>
      <c r="G179" s="72">
        <f>IF(B179="4-6 kilometres",1,0)*VLOOKUP(C179, Percentage_dist_journeys_by_purpose_and_distance_4_to_6km[#All],MATCH(A179, Percentage_dist_journeys_by_purpose_and_distance_4_to_6km[#Headers],0),0)/100</f>
        <v>0</v>
      </c>
      <c r="H179" s="4">
        <f>IF(B179="6-8 kilometres",1,0)*VLOOKUP(C179, Percentage_dist_journeys_by_purpose_and_distance_6_to_8km[#All],MATCH(A179, Percentage_dist_journeys_by_purpose_and_distance_6_to_8km[#Headers],0),0)/100</f>
        <v>0</v>
      </c>
      <c r="I179" s="72">
        <f>IF(B179="8+ kilometres",1,0)*VLOOKUP(C179, Percentage_dist_journeys_by_purpose_and_distance_8km[#All],MATCH(A179, Percentage_dist_journeys_by_purpose_and_distance_8km[#Headers],0),0)/100</f>
        <v>0</v>
      </c>
      <c r="J179" s="73">
        <f>VLOOKUP(B179,Average_Distance_by_kilometres_grouping_for_trip_purpose[#All],MATCH(A179,Average_Distance_by_kilometres_grouping_for_trip_purpose[#Headers],0),0)</f>
        <v>3</v>
      </c>
      <c r="K179" s="77">
        <f>VLOOKUP(C179, Adjustment_factor_for_distance_based_on_trip_purpose[#All],MATCH(A179, Adjustment_factor_for_distance_based_on_trip_purpose[#Headers],0),0)</f>
        <v>0.77777777777777779</v>
      </c>
      <c r="L179" s="78">
        <f>VLOOKUP($L$2, Total_Journeys_Per_Year[#All],MATCH(A179, Total_Journeys_Per_Year[#Headers],0),0)</f>
        <v>2940102000.5779233</v>
      </c>
      <c r="M179" s="35">
        <f t="shared" si="2"/>
        <v>86438998.816990957</v>
      </c>
      <c r="N179" s="35">
        <f>VLOOKUP($N$2, Private_Vehicle_Kilometres_Car_Stock[#All],MATCH(A179, Private_Vehicle_Kilometres_Car_Stock[#Headers],0),0)</f>
        <v>32323075433</v>
      </c>
    </row>
    <row r="180" spans="1:14" x14ac:dyDescent="0.25">
      <c r="A180" s="79" t="s">
        <v>34</v>
      </c>
      <c r="B180" s="13" t="s">
        <v>180</v>
      </c>
      <c r="C180" s="13" t="s">
        <v>50</v>
      </c>
      <c r="D180" s="5">
        <f>VLOOKUP(B180,Percentage_distribution_of_journey_distance_for_all_regions[#All],MATCH(A180,Percentage_distribution_of_journey_distance_for_all_regions[#Headers],0),0)/100</f>
        <v>0.13</v>
      </c>
      <c r="E180" s="71">
        <f>IF(B180="&lt;2 kilometres",1,0)*VLOOKUP(C180, Percentage_dist_journeys_by_purpose_and_distance_to_2km[#All],MATCH(A180, Percentage_dist_journeys_by_purpose_and_distance_to_2km[#Headers],0),0)/100</f>
        <v>0</v>
      </c>
      <c r="F180" s="4">
        <f>IF(B180="2-4 kilometres",1,0)*VLOOKUP(C180, Percentage_dist_journeys_by_purpose_and_distance_2_to_4km[#All],MATCH(A180, Percentage_dist_journeys_by_purpose_and_distance_2_to_4km[#Headers],0),0)/100</f>
        <v>0</v>
      </c>
      <c r="G180" s="72">
        <f>IF(B180="4-6 kilometres",1,0)*VLOOKUP(C180, Percentage_dist_journeys_by_purpose_and_distance_4_to_6km[#All],MATCH(A180, Percentage_dist_journeys_by_purpose_and_distance_4_to_6km[#Headers],0),0)/100</f>
        <v>4.8000000000000001E-2</v>
      </c>
      <c r="H180" s="4">
        <f>IF(B180="6-8 kilometres",1,0)*VLOOKUP(C180, Percentage_dist_journeys_by_purpose_and_distance_6_to_8km[#All],MATCH(A180, Percentage_dist_journeys_by_purpose_and_distance_6_to_8km[#Headers],0),0)/100</f>
        <v>0</v>
      </c>
      <c r="I180" s="72">
        <f>IF(B180="8+ kilometres",1,0)*VLOOKUP(C180, Percentage_dist_journeys_by_purpose_and_distance_8km[#All],MATCH(A180, Percentage_dist_journeys_by_purpose_and_distance_8km[#Headers],0),0)/100</f>
        <v>0</v>
      </c>
      <c r="J180" s="73">
        <f>VLOOKUP(B180,Average_Distance_by_kilometres_grouping_for_trip_purpose[#All],MATCH(A180,Average_Distance_by_kilometres_grouping_for_trip_purpose[#Headers],0),0)</f>
        <v>5</v>
      </c>
      <c r="K180" s="77">
        <f>VLOOKUP(C180, Adjustment_factor_for_distance_based_on_trip_purpose[#All],MATCH(A180, Adjustment_factor_for_distance_based_on_trip_purpose[#Headers],0),0)</f>
        <v>0.77777777777777779</v>
      </c>
      <c r="L180" s="78">
        <f>VLOOKUP($L$2, Total_Journeys_Per_Year[#All],MATCH(A180, Total_Journeys_Per_Year[#Headers],0),0)</f>
        <v>2940102000.5779233</v>
      </c>
      <c r="M180" s="35">
        <f t="shared" si="2"/>
        <v>91731182.418031216</v>
      </c>
      <c r="N180" s="35">
        <f>VLOOKUP($N$2, Private_Vehicle_Kilometres_Car_Stock[#All],MATCH(A180, Private_Vehicle_Kilometres_Car_Stock[#Headers],0),0)</f>
        <v>32323075433</v>
      </c>
    </row>
    <row r="181" spans="1:14" x14ac:dyDescent="0.25">
      <c r="A181" s="79" t="s">
        <v>34</v>
      </c>
      <c r="B181" s="13" t="s">
        <v>182</v>
      </c>
      <c r="C181" s="13" t="s">
        <v>50</v>
      </c>
      <c r="D181" s="5">
        <f>VLOOKUP(B181,Percentage_distribution_of_journey_distance_for_all_regions[#All],MATCH(A181,Percentage_distribution_of_journey_distance_for_all_regions[#Headers],0),0)/100</f>
        <v>6.4000000000000001E-2</v>
      </c>
      <c r="E181" s="71">
        <f>IF(B181="&lt;2 kilometres",1,0)*VLOOKUP(C181, Percentage_dist_journeys_by_purpose_and_distance_to_2km[#All],MATCH(A181, Percentage_dist_journeys_by_purpose_and_distance_to_2km[#Headers],0),0)/100</f>
        <v>0</v>
      </c>
      <c r="F181" s="4">
        <f>IF(B181="2-4 kilometres",1,0)*VLOOKUP(C181, Percentage_dist_journeys_by_purpose_and_distance_2_to_4km[#All],MATCH(A181, Percentage_dist_journeys_by_purpose_and_distance_2_to_4km[#Headers],0),0)/100</f>
        <v>0</v>
      </c>
      <c r="G181" s="72">
        <f>IF(B181="4-6 kilometres",1,0)*VLOOKUP(C181, Percentage_dist_journeys_by_purpose_and_distance_4_to_6km[#All],MATCH(A181, Percentage_dist_journeys_by_purpose_and_distance_4_to_6km[#Headers],0),0)/100</f>
        <v>0</v>
      </c>
      <c r="H181" s="4">
        <f>IF(B181="6-8 kilometres",1,0)*VLOOKUP(C181, Percentage_dist_journeys_by_purpose_and_distance_6_to_8km[#All],MATCH(A181, Percentage_dist_journeys_by_purpose_and_distance_6_to_8km[#Headers],0),0)/100</f>
        <v>6.7000000000000004E-2</v>
      </c>
      <c r="I181" s="72">
        <f>IF(B181="8+ kilometres",1,0)*VLOOKUP(C181, Percentage_dist_journeys_by_purpose_and_distance_8km[#All],MATCH(A181, Percentage_dist_journeys_by_purpose_and_distance_8km[#Headers],0),0)/100</f>
        <v>0</v>
      </c>
      <c r="J181" s="73">
        <f>VLOOKUP(B181,Average_Distance_by_kilometres_grouping_for_trip_purpose[#All],MATCH(A181,Average_Distance_by_kilometres_grouping_for_trip_purpose[#Headers],0),0)</f>
        <v>7</v>
      </c>
      <c r="K181" s="77">
        <f>VLOOKUP(C181, Adjustment_factor_for_distance_based_on_trip_purpose[#All],MATCH(A181, Adjustment_factor_for_distance_based_on_trip_purpose[#Headers],0),0)</f>
        <v>0.77777777777777779</v>
      </c>
      <c r="L181" s="78">
        <f>VLOOKUP($L$2, Total_Journeys_Per_Year[#All],MATCH(A181, Total_Journeys_Per_Year[#Headers],0),0)</f>
        <v>2940102000.5779233</v>
      </c>
      <c r="M181" s="35">
        <f t="shared" si="2"/>
        <v>88250101.649346948</v>
      </c>
      <c r="N181" s="35">
        <f>VLOOKUP($N$2, Private_Vehicle_Kilometres_Car_Stock[#All],MATCH(A181, Private_Vehicle_Kilometres_Car_Stock[#Headers],0),0)</f>
        <v>32323075433</v>
      </c>
    </row>
    <row r="182" spans="1:14" x14ac:dyDescent="0.25">
      <c r="A182" s="79" t="s">
        <v>34</v>
      </c>
      <c r="B182" s="13" t="s">
        <v>1</v>
      </c>
      <c r="C182" s="13" t="s">
        <v>50</v>
      </c>
      <c r="D182" s="5">
        <f>VLOOKUP(B182,Percentage_distribution_of_journey_distance_for_all_regions[#All],MATCH(A182,Percentage_distribution_of_journey_distance_for_all_regions[#Headers],0),0)/100</f>
        <v>0.41899999999999998</v>
      </c>
      <c r="E182" s="71">
        <f>IF(B182="&lt;2 kilometres",1,0)*VLOOKUP(C182, Percentage_dist_journeys_by_purpose_and_distance_to_2km[#All],MATCH(A182, Percentage_dist_journeys_by_purpose_and_distance_to_2km[#Headers],0),0)/100</f>
        <v>0</v>
      </c>
      <c r="F182" s="4">
        <f>IF(B182="2-4 kilometres",1,0)*VLOOKUP(C182, Percentage_dist_journeys_by_purpose_and_distance_2_to_4km[#All],MATCH(A182, Percentage_dist_journeys_by_purpose_and_distance_2_to_4km[#Headers],0),0)/100</f>
        <v>0</v>
      </c>
      <c r="G182" s="72">
        <f>IF(B182="4-6 kilometres",1,0)*VLOOKUP(C182, Percentage_dist_journeys_by_purpose_and_distance_4_to_6km[#All],MATCH(A182, Percentage_dist_journeys_by_purpose_and_distance_4_to_6km[#Headers],0),0)/100</f>
        <v>0</v>
      </c>
      <c r="H182" s="4">
        <f>IF(B182="6-8 kilometres",1,0)*VLOOKUP(C182, Percentage_dist_journeys_by_purpose_and_distance_6_to_8km[#All],MATCH(A182, Percentage_dist_journeys_by_purpose_and_distance_6_to_8km[#Headers],0),0)/100</f>
        <v>0</v>
      </c>
      <c r="I182" s="72">
        <f>IF(B182="8+ kilometres",1,0)*VLOOKUP(C182, Percentage_dist_journeys_by_purpose_and_distance_8km[#All],MATCH(A182, Percentage_dist_journeys_by_purpose_and_distance_8km[#Headers],0),0)/100</f>
        <v>5.2000000000000005E-2</v>
      </c>
      <c r="J182" s="73">
        <f>VLOOKUP(B182,Average_Distance_by_kilometres_grouping_for_trip_purpose[#All],MATCH(A182,Average_Distance_by_kilometres_grouping_for_trip_purpose[#Headers],0),0)</f>
        <v>42.45</v>
      </c>
      <c r="K182" s="77">
        <f>VLOOKUP(C182, Adjustment_factor_for_distance_based_on_trip_purpose[#All],MATCH(A182, Adjustment_factor_for_distance_based_on_trip_purpose[#Headers],0),0)</f>
        <v>0.77777777777777779</v>
      </c>
      <c r="L182" s="78">
        <f>VLOOKUP($L$2, Total_Journeys_Per_Year[#All],MATCH(A182, Total_Journeys_Per_Year[#Headers],0),0)</f>
        <v>2940102000.5779233</v>
      </c>
      <c r="M182" s="35">
        <f t="shared" si="2"/>
        <v>2719302104.3957219</v>
      </c>
      <c r="N182" s="35">
        <f>VLOOKUP($N$2, Private_Vehicle_Kilometres_Car_Stock[#All],MATCH(A182, Private_Vehicle_Kilometres_Car_Stock[#Headers],0),0)</f>
        <v>32323075433</v>
      </c>
    </row>
    <row r="183" spans="1:14" x14ac:dyDescent="0.25">
      <c r="A183" s="79" t="s">
        <v>36</v>
      </c>
      <c r="B183" s="13" t="s">
        <v>12</v>
      </c>
      <c r="C183" s="13" t="s">
        <v>42</v>
      </c>
      <c r="D183" s="5">
        <f>VLOOKUP(B183,Percentage_distribution_of_journey_distance_for_all_regions[#All],MATCH(A183,Percentage_distribution_of_journey_distance_for_all_regions[#Headers],0),0)/100</f>
        <v>0.255</v>
      </c>
      <c r="E183" s="71">
        <f>IF(B183="&lt;2 kilometres",1,0)*VLOOKUP(C183, Percentage_dist_journeys_by_purpose_and_distance_to_2km[#All],MATCH(A183, Percentage_dist_journeys_by_purpose_and_distance_to_2km[#Headers],0),0)/100</f>
        <v>0.17399999999999999</v>
      </c>
      <c r="F183" s="4">
        <f>IF(B183="2-4 kilometres",1,0)*VLOOKUP(C183, Percentage_dist_journeys_by_purpose_and_distance_2_to_4km[#All],MATCH(A183, Percentage_dist_journeys_by_purpose_and_distance_2_to_4km[#Headers],0),0)/100</f>
        <v>0</v>
      </c>
      <c r="G183" s="72">
        <f>IF(B183="4-6 kilometres",1,0)*VLOOKUP(C183, Percentage_dist_journeys_by_purpose_and_distance_4_to_6km[#All],MATCH(A183, Percentage_dist_journeys_by_purpose_and_distance_4_to_6km[#Headers],0),0)/100</f>
        <v>0</v>
      </c>
      <c r="H183" s="4">
        <f>IF(B183="6-8 kilometres",1,0)*VLOOKUP(C183, Percentage_dist_journeys_by_purpose_and_distance_6_to_8km[#All],MATCH(A183, Percentage_dist_journeys_by_purpose_and_distance_6_to_8km[#Headers],0),0)/100</f>
        <v>0</v>
      </c>
      <c r="I183" s="72">
        <f>IF(B183="8+ kilometres",1,0)*VLOOKUP(C183, Percentage_dist_journeys_by_purpose_and_distance_8km[#All],MATCH(A183, Percentage_dist_journeys_by_purpose_and_distance_8km[#Headers],0),0)/100</f>
        <v>0</v>
      </c>
      <c r="J183" s="73">
        <f>VLOOKUP(B183,Average_Distance_by_kilometres_grouping_for_trip_purpose[#All],MATCH(A183,Average_Distance_by_kilometres_grouping_for_trip_purpose[#Headers],0),0)</f>
        <v>1</v>
      </c>
      <c r="K183" s="77">
        <f>VLOOKUP(C183, Adjustment_factor_for_distance_based_on_trip_purpose[#All],MATCH(A183, Adjustment_factor_for_distance_based_on_trip_purpose[#Headers],0),0)</f>
        <v>1</v>
      </c>
      <c r="L183" s="78">
        <f>VLOOKUP($L$2, Total_Journeys_Per_Year[#All],MATCH(A183, Total_Journeys_Per_Year[#Headers],0),0)</f>
        <v>3079198792.0558629</v>
      </c>
      <c r="M183" s="35">
        <f t="shared" si="2"/>
        <v>136624050.40351865</v>
      </c>
      <c r="N183" s="35">
        <f>VLOOKUP($N$2, Private_Vehicle_Kilometres_Car_Stock[#All],MATCH(A183, Private_Vehicle_Kilometres_Car_Stock[#Headers],0),0)</f>
        <v>36171159701</v>
      </c>
    </row>
    <row r="184" spans="1:14" x14ac:dyDescent="0.25">
      <c r="A184" s="79" t="s">
        <v>36</v>
      </c>
      <c r="B184" s="13" t="s">
        <v>181</v>
      </c>
      <c r="C184" s="13" t="s">
        <v>42</v>
      </c>
      <c r="D184" s="5">
        <f>VLOOKUP(B184,Percentage_distribution_of_journey_distance_for_all_regions[#All],MATCH(A184,Percentage_distribution_of_journey_distance_for_all_regions[#Headers],0),0)/100</f>
        <v>0.13400000000000001</v>
      </c>
      <c r="E184" s="71">
        <f>IF(B184="&lt;2 kilometres",1,0)*VLOOKUP(C184, Percentage_dist_journeys_by_purpose_and_distance_to_2km[#All],MATCH(A184, Percentage_dist_journeys_by_purpose_and_distance_to_2km[#Headers],0),0)/100</f>
        <v>0</v>
      </c>
      <c r="F184" s="4">
        <f>IF(B184="2-4 kilometres",1,0)*VLOOKUP(C184, Percentage_dist_journeys_by_purpose_and_distance_2_to_4km[#All],MATCH(A184, Percentage_dist_journeys_by_purpose_and_distance_2_to_4km[#Headers],0),0)/100</f>
        <v>0.24399999999999999</v>
      </c>
      <c r="G184" s="72">
        <f>IF(B184="4-6 kilometres",1,0)*VLOOKUP(C184, Percentage_dist_journeys_by_purpose_and_distance_4_to_6km[#All],MATCH(A184, Percentage_dist_journeys_by_purpose_and_distance_4_to_6km[#Headers],0),0)/100</f>
        <v>0</v>
      </c>
      <c r="H184" s="4">
        <f>IF(B184="6-8 kilometres",1,0)*VLOOKUP(C184, Percentage_dist_journeys_by_purpose_and_distance_6_to_8km[#All],MATCH(A184, Percentage_dist_journeys_by_purpose_and_distance_6_to_8km[#Headers],0),0)/100</f>
        <v>0</v>
      </c>
      <c r="I184" s="72">
        <f>IF(B184="8+ kilometres",1,0)*VLOOKUP(C184, Percentage_dist_journeys_by_purpose_and_distance_8km[#All],MATCH(A184, Percentage_dist_journeys_by_purpose_and_distance_8km[#Headers],0),0)/100</f>
        <v>0</v>
      </c>
      <c r="J184" s="73">
        <f>VLOOKUP(B184,Average_Distance_by_kilometres_grouping_for_trip_purpose[#All],MATCH(A184,Average_Distance_by_kilometres_grouping_for_trip_purpose[#Headers],0),0)</f>
        <v>3</v>
      </c>
      <c r="K184" s="77">
        <f>VLOOKUP(C184, Adjustment_factor_for_distance_based_on_trip_purpose[#All],MATCH(A184, Adjustment_factor_for_distance_based_on_trip_purpose[#Headers],0),0)</f>
        <v>1</v>
      </c>
      <c r="L184" s="78">
        <f>VLOOKUP($L$2, Total_Journeys_Per_Year[#All],MATCH(A184, Total_Journeys_Per_Year[#Headers],0),0)</f>
        <v>3079198792.0558629</v>
      </c>
      <c r="M184" s="35">
        <f t="shared" si="2"/>
        <v>302032451.11517549</v>
      </c>
      <c r="N184" s="35">
        <f>VLOOKUP($N$2, Private_Vehicle_Kilometres_Car_Stock[#All],MATCH(A184, Private_Vehicle_Kilometres_Car_Stock[#Headers],0),0)</f>
        <v>36171159701</v>
      </c>
    </row>
    <row r="185" spans="1:14" x14ac:dyDescent="0.25">
      <c r="A185" s="79" t="s">
        <v>36</v>
      </c>
      <c r="B185" s="13" t="s">
        <v>180</v>
      </c>
      <c r="C185" s="13" t="s">
        <v>42</v>
      </c>
      <c r="D185" s="5">
        <f>VLOOKUP(B185,Percentage_distribution_of_journey_distance_for_all_regions[#All],MATCH(A185,Percentage_distribution_of_journey_distance_for_all_regions[#Headers],0),0)/100</f>
        <v>0.11900000000000001</v>
      </c>
      <c r="E185" s="71">
        <f>IF(B185="&lt;2 kilometres",1,0)*VLOOKUP(C185, Percentage_dist_journeys_by_purpose_and_distance_to_2km[#All],MATCH(A185, Percentage_dist_journeys_by_purpose_and_distance_to_2km[#Headers],0),0)/100</f>
        <v>0</v>
      </c>
      <c r="F185" s="4">
        <f>IF(B185="2-4 kilometres",1,0)*VLOOKUP(C185, Percentage_dist_journeys_by_purpose_and_distance_2_to_4km[#All],MATCH(A185, Percentage_dist_journeys_by_purpose_and_distance_2_to_4km[#Headers],0),0)/100</f>
        <v>0</v>
      </c>
      <c r="G185" s="72">
        <f>IF(B185="4-6 kilometres",1,0)*VLOOKUP(C185, Percentage_dist_journeys_by_purpose_and_distance_4_to_6km[#All],MATCH(A185, Percentage_dist_journeys_by_purpose_and_distance_4_to_6km[#Headers],0),0)/100</f>
        <v>0.27300000000000002</v>
      </c>
      <c r="H185" s="4">
        <f>IF(B185="6-8 kilometres",1,0)*VLOOKUP(C185, Percentage_dist_journeys_by_purpose_and_distance_6_to_8km[#All],MATCH(A185, Percentage_dist_journeys_by_purpose_and_distance_6_to_8km[#Headers],0),0)/100</f>
        <v>0</v>
      </c>
      <c r="I185" s="72">
        <f>IF(B185="8+ kilometres",1,0)*VLOOKUP(C185, Percentage_dist_journeys_by_purpose_and_distance_8km[#All],MATCH(A185, Percentage_dist_journeys_by_purpose_and_distance_8km[#Headers],0),0)/100</f>
        <v>0</v>
      </c>
      <c r="J185" s="73">
        <f>VLOOKUP(B185,Average_Distance_by_kilometres_grouping_for_trip_purpose[#All],MATCH(A185,Average_Distance_by_kilometres_grouping_for_trip_purpose[#Headers],0),0)</f>
        <v>5</v>
      </c>
      <c r="K185" s="77">
        <f>VLOOKUP(C185, Adjustment_factor_for_distance_based_on_trip_purpose[#All],MATCH(A185, Adjustment_factor_for_distance_based_on_trip_purpose[#Headers],0),0)</f>
        <v>1</v>
      </c>
      <c r="L185" s="78">
        <f>VLOOKUP($L$2, Total_Journeys_Per_Year[#All],MATCH(A185, Total_Journeys_Per_Year[#Headers],0),0)</f>
        <v>3079198792.0558629</v>
      </c>
      <c r="M185" s="35">
        <f t="shared" si="2"/>
        <v>500169655.78759408</v>
      </c>
      <c r="N185" s="35">
        <f>VLOOKUP($N$2, Private_Vehicle_Kilometres_Car_Stock[#All],MATCH(A185, Private_Vehicle_Kilometres_Car_Stock[#Headers],0),0)</f>
        <v>36171159701</v>
      </c>
    </row>
    <row r="186" spans="1:14" x14ac:dyDescent="0.25">
      <c r="A186" s="79" t="s">
        <v>36</v>
      </c>
      <c r="B186" s="13" t="s">
        <v>182</v>
      </c>
      <c r="C186" s="13" t="s">
        <v>42</v>
      </c>
      <c r="D186" s="5">
        <f>VLOOKUP(B186,Percentage_distribution_of_journey_distance_for_all_regions[#All],MATCH(A186,Percentage_distribution_of_journey_distance_for_all_regions[#Headers],0),0)/100</f>
        <v>5.9000000000000004E-2</v>
      </c>
      <c r="E186" s="71">
        <f>IF(B186="&lt;2 kilometres",1,0)*VLOOKUP(C186, Percentage_dist_journeys_by_purpose_and_distance_to_2km[#All],MATCH(A186, Percentage_dist_journeys_by_purpose_and_distance_to_2km[#Headers],0),0)/100</f>
        <v>0</v>
      </c>
      <c r="F186" s="4">
        <f>IF(B186="2-4 kilometres",1,0)*VLOOKUP(C186, Percentage_dist_journeys_by_purpose_and_distance_2_to_4km[#All],MATCH(A186, Percentage_dist_journeys_by_purpose_and_distance_2_to_4km[#Headers],0),0)/100</f>
        <v>0</v>
      </c>
      <c r="G186" s="72">
        <f>IF(B186="4-6 kilometres",1,0)*VLOOKUP(C186, Percentage_dist_journeys_by_purpose_and_distance_4_to_6km[#All],MATCH(A186, Percentage_dist_journeys_by_purpose_and_distance_4_to_6km[#Headers],0),0)/100</f>
        <v>0</v>
      </c>
      <c r="H186" s="4">
        <f>IF(B186="6-8 kilometres",1,0)*VLOOKUP(C186, Percentage_dist_journeys_by_purpose_and_distance_6_to_8km[#All],MATCH(A186, Percentage_dist_journeys_by_purpose_and_distance_6_to_8km[#Headers],0),0)/100</f>
        <v>0.33299999999999996</v>
      </c>
      <c r="I186" s="72">
        <f>IF(B186="8+ kilometres",1,0)*VLOOKUP(C186, Percentage_dist_journeys_by_purpose_and_distance_8km[#All],MATCH(A186, Percentage_dist_journeys_by_purpose_and_distance_8km[#Headers],0),0)/100</f>
        <v>0</v>
      </c>
      <c r="J186" s="73">
        <f>VLOOKUP(B186,Average_Distance_by_kilometres_grouping_for_trip_purpose[#All],MATCH(A186,Average_Distance_by_kilometres_grouping_for_trip_purpose[#Headers],0),0)</f>
        <v>7</v>
      </c>
      <c r="K186" s="77">
        <f>VLOOKUP(C186, Adjustment_factor_for_distance_based_on_trip_purpose[#All],MATCH(A186, Adjustment_factor_for_distance_based_on_trip_purpose[#Headers],0),0)</f>
        <v>1</v>
      </c>
      <c r="L186" s="78">
        <f>VLOOKUP($L$2, Total_Journeys_Per_Year[#All],MATCH(A186, Total_Journeys_Per_Year[#Headers],0),0)</f>
        <v>3079198792.0558629</v>
      </c>
      <c r="M186" s="35">
        <f t="shared" si="2"/>
        <v>423479130.67265069</v>
      </c>
      <c r="N186" s="35">
        <f>VLOOKUP($N$2, Private_Vehicle_Kilometres_Car_Stock[#All],MATCH(A186, Private_Vehicle_Kilometres_Car_Stock[#Headers],0),0)</f>
        <v>36171159701</v>
      </c>
    </row>
    <row r="187" spans="1:14" x14ac:dyDescent="0.25">
      <c r="A187" s="79" t="s">
        <v>36</v>
      </c>
      <c r="B187" s="13" t="s">
        <v>1</v>
      </c>
      <c r="C187" s="13" t="s">
        <v>42</v>
      </c>
      <c r="D187" s="5">
        <f>VLOOKUP(B187,Percentage_distribution_of_journey_distance_for_all_regions[#All],MATCH(A187,Percentage_distribution_of_journey_distance_for_all_regions[#Headers],0),0)/100</f>
        <v>0.433</v>
      </c>
      <c r="E187" s="71">
        <f>IF(B187="&lt;2 kilometres",1,0)*VLOOKUP(C187, Percentage_dist_journeys_by_purpose_and_distance_to_2km[#All],MATCH(A187, Percentage_dist_journeys_by_purpose_and_distance_to_2km[#Headers],0),0)/100</f>
        <v>0</v>
      </c>
      <c r="F187" s="4">
        <f>IF(B187="2-4 kilometres",1,0)*VLOOKUP(C187, Percentage_dist_journeys_by_purpose_and_distance_2_to_4km[#All],MATCH(A187, Percentage_dist_journeys_by_purpose_and_distance_2_to_4km[#Headers],0),0)/100</f>
        <v>0</v>
      </c>
      <c r="G187" s="72">
        <f>IF(B187="4-6 kilometres",1,0)*VLOOKUP(C187, Percentage_dist_journeys_by_purpose_and_distance_4_to_6km[#All],MATCH(A187, Percentage_dist_journeys_by_purpose_and_distance_4_to_6km[#Headers],0),0)/100</f>
        <v>0</v>
      </c>
      <c r="H187" s="4">
        <f>IF(B187="6-8 kilometres",1,0)*VLOOKUP(C187, Percentage_dist_journeys_by_purpose_and_distance_6_to_8km[#All],MATCH(A187, Percentage_dist_journeys_by_purpose_and_distance_6_to_8km[#Headers],0),0)/100</f>
        <v>0</v>
      </c>
      <c r="I187" s="72">
        <f>IF(B187="8+ kilometres",1,0)*VLOOKUP(C187, Percentage_dist_journeys_by_purpose_and_distance_8km[#All],MATCH(A187, Percentage_dist_journeys_by_purpose_and_distance_8km[#Headers],0),0)/100</f>
        <v>0.38100000000000001</v>
      </c>
      <c r="J187" s="73">
        <f>VLOOKUP(B187,Average_Distance_by_kilometres_grouping_for_trip_purpose[#All],MATCH(A187,Average_Distance_by_kilometres_grouping_for_trip_purpose[#Headers],0),0)</f>
        <v>43.24</v>
      </c>
      <c r="K187" s="77">
        <f>VLOOKUP(C187, Adjustment_factor_for_distance_based_on_trip_purpose[#All],MATCH(A187, Adjustment_factor_for_distance_based_on_trip_purpose[#Headers],0),0)</f>
        <v>1</v>
      </c>
      <c r="L187" s="78">
        <f>VLOOKUP($L$2, Total_Journeys_Per_Year[#All],MATCH(A187, Total_Journeys_Per_Year[#Headers],0),0)</f>
        <v>3079198792.0558629</v>
      </c>
      <c r="M187" s="35">
        <f t="shared" si="2"/>
        <v>21965256798.796013</v>
      </c>
      <c r="N187" s="35">
        <f>VLOOKUP($N$2, Private_Vehicle_Kilometres_Car_Stock[#All],MATCH(A187, Private_Vehicle_Kilometres_Car_Stock[#Headers],0),0)</f>
        <v>36171159701</v>
      </c>
    </row>
    <row r="188" spans="1:14" x14ac:dyDescent="0.25">
      <c r="A188" s="79" t="s">
        <v>36</v>
      </c>
      <c r="B188" s="13" t="s">
        <v>12</v>
      </c>
      <c r="C188" s="13" t="s">
        <v>43</v>
      </c>
      <c r="D188" s="5">
        <f>VLOOKUP(B188,Percentage_distribution_of_journey_distance_for_all_regions[#All],MATCH(A188,Percentage_distribution_of_journey_distance_for_all_regions[#Headers],0),0)/100</f>
        <v>0.255</v>
      </c>
      <c r="E188" s="71">
        <f>IF(B188="&lt;2 kilometres",1,0)*VLOOKUP(C188, Percentage_dist_journeys_by_purpose_and_distance_to_2km[#All],MATCH(A188, Percentage_dist_journeys_by_purpose_and_distance_to_2km[#Headers],0),0)/100</f>
        <v>6.4000000000000001E-2</v>
      </c>
      <c r="F188" s="4">
        <f>IF(B188="2-4 kilometres",1,0)*VLOOKUP(C188, Percentage_dist_journeys_by_purpose_and_distance_2_to_4km[#All],MATCH(A188, Percentage_dist_journeys_by_purpose_and_distance_2_to_4km[#Headers],0),0)/100</f>
        <v>0</v>
      </c>
      <c r="G188" s="72">
        <f>IF(B188="4-6 kilometres",1,0)*VLOOKUP(C188, Percentage_dist_journeys_by_purpose_and_distance_4_to_6km[#All],MATCH(A188, Percentage_dist_journeys_by_purpose_and_distance_4_to_6km[#Headers],0),0)/100</f>
        <v>0</v>
      </c>
      <c r="H188" s="4">
        <f>IF(B188="6-8 kilometres",1,0)*VLOOKUP(C188, Percentage_dist_journeys_by_purpose_and_distance_6_to_8km[#All],MATCH(A188, Percentage_dist_journeys_by_purpose_and_distance_6_to_8km[#Headers],0),0)/100</f>
        <v>0</v>
      </c>
      <c r="I188" s="72">
        <f>IF(B188="8+ kilometres",1,0)*VLOOKUP(C188, Percentage_dist_journeys_by_purpose_and_distance_8km[#All],MATCH(A188, Percentage_dist_journeys_by_purpose_and_distance_8km[#Headers],0),0)/100</f>
        <v>0</v>
      </c>
      <c r="J188" s="73">
        <f>VLOOKUP(B188,Average_Distance_by_kilometres_grouping_for_trip_purpose[#All],MATCH(A188,Average_Distance_by_kilometres_grouping_for_trip_purpose[#Headers],0),0)</f>
        <v>1</v>
      </c>
      <c r="K188" s="77">
        <f>VLOOKUP(C188, Adjustment_factor_for_distance_based_on_trip_purpose[#All],MATCH(A188, Adjustment_factor_for_distance_based_on_trip_purpose[#Headers],0),0)</f>
        <v>0.88888888888888884</v>
      </c>
      <c r="L188" s="78">
        <f>VLOOKUP($L$2, Total_Journeys_Per_Year[#All],MATCH(A188, Total_Journeys_Per_Year[#Headers],0),0)</f>
        <v>3079198792.0558629</v>
      </c>
      <c r="M188" s="35">
        <f t="shared" si="2"/>
        <v>50252524.286351688</v>
      </c>
      <c r="N188" s="35">
        <f>VLOOKUP($N$2, Private_Vehicle_Kilometres_Car_Stock[#All],MATCH(A188, Private_Vehicle_Kilometres_Car_Stock[#Headers],0),0)</f>
        <v>36171159701</v>
      </c>
    </row>
    <row r="189" spans="1:14" x14ac:dyDescent="0.25">
      <c r="A189" s="79" t="s">
        <v>36</v>
      </c>
      <c r="B189" s="13" t="s">
        <v>181</v>
      </c>
      <c r="C189" s="13" t="s">
        <v>43</v>
      </c>
      <c r="D189" s="5">
        <f>VLOOKUP(B189,Percentage_distribution_of_journey_distance_for_all_regions[#All],MATCH(A189,Percentage_distribution_of_journey_distance_for_all_regions[#Headers],0),0)/100</f>
        <v>0.13400000000000001</v>
      </c>
      <c r="E189" s="71">
        <f>IF(B189="&lt;2 kilometres",1,0)*VLOOKUP(C189, Percentage_dist_journeys_by_purpose_and_distance_to_2km[#All],MATCH(A189, Percentage_dist_journeys_by_purpose_and_distance_to_2km[#Headers],0),0)/100</f>
        <v>0</v>
      </c>
      <c r="F189" s="4">
        <f>IF(B189="2-4 kilometres",1,0)*VLOOKUP(C189, Percentage_dist_journeys_by_purpose_and_distance_2_to_4km[#All],MATCH(A189, Percentage_dist_journeys_by_purpose_and_distance_2_to_4km[#Headers],0),0)/100</f>
        <v>0.04</v>
      </c>
      <c r="G189" s="72">
        <f>IF(B189="4-6 kilometres",1,0)*VLOOKUP(C189, Percentage_dist_journeys_by_purpose_and_distance_4_to_6km[#All],MATCH(A189, Percentage_dist_journeys_by_purpose_and_distance_4_to_6km[#Headers],0),0)/100</f>
        <v>0</v>
      </c>
      <c r="H189" s="4">
        <f>IF(B189="6-8 kilometres",1,0)*VLOOKUP(C189, Percentage_dist_journeys_by_purpose_and_distance_6_to_8km[#All],MATCH(A189, Percentage_dist_journeys_by_purpose_and_distance_6_to_8km[#Headers],0),0)/100</f>
        <v>0</v>
      </c>
      <c r="I189" s="72">
        <f>IF(B189="8+ kilometres",1,0)*VLOOKUP(C189, Percentage_dist_journeys_by_purpose_and_distance_8km[#All],MATCH(A189, Percentage_dist_journeys_by_purpose_and_distance_8km[#Headers],0),0)/100</f>
        <v>0</v>
      </c>
      <c r="J189" s="73">
        <f>VLOOKUP(B189,Average_Distance_by_kilometres_grouping_for_trip_purpose[#All],MATCH(A189,Average_Distance_by_kilometres_grouping_for_trip_purpose[#Headers],0),0)</f>
        <v>3</v>
      </c>
      <c r="K189" s="77">
        <f>VLOOKUP(C189, Adjustment_factor_for_distance_based_on_trip_purpose[#All],MATCH(A189, Adjustment_factor_for_distance_based_on_trip_purpose[#Headers],0),0)</f>
        <v>0.88888888888888884</v>
      </c>
      <c r="L189" s="78">
        <f>VLOOKUP($L$2, Total_Journeys_Per_Year[#All],MATCH(A189, Total_Journeys_Per_Year[#Headers],0),0)</f>
        <v>3079198792.0558629</v>
      </c>
      <c r="M189" s="35">
        <f t="shared" si="2"/>
        <v>49513516.576258279</v>
      </c>
      <c r="N189" s="35">
        <f>VLOOKUP($N$2, Private_Vehicle_Kilometres_Car_Stock[#All],MATCH(A189, Private_Vehicle_Kilometres_Car_Stock[#Headers],0),0)</f>
        <v>36171159701</v>
      </c>
    </row>
    <row r="190" spans="1:14" x14ac:dyDescent="0.25">
      <c r="A190" s="79" t="s">
        <v>36</v>
      </c>
      <c r="B190" s="13" t="s">
        <v>180</v>
      </c>
      <c r="C190" s="13" t="s">
        <v>43</v>
      </c>
      <c r="D190" s="5">
        <f>VLOOKUP(B190,Percentage_distribution_of_journey_distance_for_all_regions[#All],MATCH(A190,Percentage_distribution_of_journey_distance_for_all_regions[#Headers],0),0)/100</f>
        <v>0.11900000000000001</v>
      </c>
      <c r="E190" s="71">
        <f>IF(B190="&lt;2 kilometres",1,0)*VLOOKUP(C190, Percentage_dist_journeys_by_purpose_and_distance_to_2km[#All],MATCH(A190, Percentage_dist_journeys_by_purpose_and_distance_to_2km[#Headers],0),0)/100</f>
        <v>0</v>
      </c>
      <c r="F190" s="4">
        <f>IF(B190="2-4 kilometres",1,0)*VLOOKUP(C190, Percentage_dist_journeys_by_purpose_and_distance_2_to_4km[#All],MATCH(A190, Percentage_dist_journeys_by_purpose_and_distance_2_to_4km[#Headers],0),0)/100</f>
        <v>0</v>
      </c>
      <c r="G190" s="72">
        <f>IF(B190="4-6 kilometres",1,0)*VLOOKUP(C190, Percentage_dist_journeys_by_purpose_and_distance_4_to_6km[#All],MATCH(A190, Percentage_dist_journeys_by_purpose_and_distance_4_to_6km[#Headers],0),0)/100</f>
        <v>4.0999999999999995E-2</v>
      </c>
      <c r="H190" s="4">
        <f>IF(B190="6-8 kilometres",1,0)*VLOOKUP(C190, Percentage_dist_journeys_by_purpose_and_distance_6_to_8km[#All],MATCH(A190, Percentage_dist_journeys_by_purpose_and_distance_6_to_8km[#Headers],0),0)/100</f>
        <v>0</v>
      </c>
      <c r="I190" s="72">
        <f>IF(B190="8+ kilometres",1,0)*VLOOKUP(C190, Percentage_dist_journeys_by_purpose_and_distance_8km[#All],MATCH(A190, Percentage_dist_journeys_by_purpose_and_distance_8km[#Headers],0),0)/100</f>
        <v>0</v>
      </c>
      <c r="J190" s="73">
        <f>VLOOKUP(B190,Average_Distance_by_kilometres_grouping_for_trip_purpose[#All],MATCH(A190,Average_Distance_by_kilometres_grouping_for_trip_purpose[#Headers],0),0)</f>
        <v>5</v>
      </c>
      <c r="K190" s="77">
        <f>VLOOKUP(C190, Adjustment_factor_for_distance_based_on_trip_purpose[#All],MATCH(A190, Adjustment_factor_for_distance_based_on_trip_purpose[#Headers],0),0)</f>
        <v>0.88888888888888884</v>
      </c>
      <c r="L190" s="78">
        <f>VLOOKUP($L$2, Total_Journeys_Per_Year[#All],MATCH(A190, Total_Journeys_Per_Year[#Headers],0),0)</f>
        <v>3079198792.0558629</v>
      </c>
      <c r="M190" s="35">
        <f t="shared" si="2"/>
        <v>75117054.53220278</v>
      </c>
      <c r="N190" s="35">
        <f>VLOOKUP($N$2, Private_Vehicle_Kilometres_Car_Stock[#All],MATCH(A190, Private_Vehicle_Kilometres_Car_Stock[#Headers],0),0)</f>
        <v>36171159701</v>
      </c>
    </row>
    <row r="191" spans="1:14" x14ac:dyDescent="0.25">
      <c r="A191" s="79" t="s">
        <v>36</v>
      </c>
      <c r="B191" s="13" t="s">
        <v>182</v>
      </c>
      <c r="C191" s="13" t="s">
        <v>43</v>
      </c>
      <c r="D191" s="5">
        <f>VLOOKUP(B191,Percentage_distribution_of_journey_distance_for_all_regions[#All],MATCH(A191,Percentage_distribution_of_journey_distance_for_all_regions[#Headers],0),0)/100</f>
        <v>5.9000000000000004E-2</v>
      </c>
      <c r="E191" s="71">
        <f>IF(B191="&lt;2 kilometres",1,0)*VLOOKUP(C191, Percentage_dist_journeys_by_purpose_and_distance_to_2km[#All],MATCH(A191, Percentage_dist_journeys_by_purpose_and_distance_to_2km[#Headers],0),0)/100</f>
        <v>0</v>
      </c>
      <c r="F191" s="4">
        <f>IF(B191="2-4 kilometres",1,0)*VLOOKUP(C191, Percentage_dist_journeys_by_purpose_and_distance_2_to_4km[#All],MATCH(A191, Percentage_dist_journeys_by_purpose_and_distance_2_to_4km[#Headers],0),0)/100</f>
        <v>0</v>
      </c>
      <c r="G191" s="72">
        <f>IF(B191="4-6 kilometres",1,0)*VLOOKUP(C191, Percentage_dist_journeys_by_purpose_and_distance_4_to_6km[#All],MATCH(A191, Percentage_dist_journeys_by_purpose_and_distance_4_to_6km[#Headers],0),0)/100</f>
        <v>0</v>
      </c>
      <c r="H191" s="4">
        <f>IF(B191="6-8 kilometres",1,0)*VLOOKUP(C191, Percentage_dist_journeys_by_purpose_and_distance_6_to_8km[#All],MATCH(A191, Percentage_dist_journeys_by_purpose_and_distance_6_to_8km[#Headers],0),0)/100</f>
        <v>3.2000000000000001E-2</v>
      </c>
      <c r="I191" s="72">
        <f>IF(B191="8+ kilometres",1,0)*VLOOKUP(C191, Percentage_dist_journeys_by_purpose_and_distance_8km[#All],MATCH(A191, Percentage_dist_journeys_by_purpose_and_distance_8km[#Headers],0),0)/100</f>
        <v>0</v>
      </c>
      <c r="J191" s="73">
        <f>VLOOKUP(B191,Average_Distance_by_kilometres_grouping_for_trip_purpose[#All],MATCH(A191,Average_Distance_by_kilometres_grouping_for_trip_purpose[#Headers],0),0)</f>
        <v>7</v>
      </c>
      <c r="K191" s="77">
        <f>VLOOKUP(C191, Adjustment_factor_for_distance_based_on_trip_purpose[#All],MATCH(A191, Adjustment_factor_for_distance_based_on_trip_purpose[#Headers],0),0)</f>
        <v>0.88888888888888884</v>
      </c>
      <c r="L191" s="78">
        <f>VLOOKUP($L$2, Total_Journeys_Per_Year[#All],MATCH(A191, Total_Journeys_Per_Year[#Headers],0),0)</f>
        <v>3079198792.0558629</v>
      </c>
      <c r="M191" s="35">
        <f t="shared" si="2"/>
        <v>40694691.235810287</v>
      </c>
      <c r="N191" s="35">
        <f>VLOOKUP($N$2, Private_Vehicle_Kilometres_Car_Stock[#All],MATCH(A191, Private_Vehicle_Kilometres_Car_Stock[#Headers],0),0)</f>
        <v>36171159701</v>
      </c>
    </row>
    <row r="192" spans="1:14" x14ac:dyDescent="0.25">
      <c r="A192" s="79" t="s">
        <v>36</v>
      </c>
      <c r="B192" s="13" t="s">
        <v>1</v>
      </c>
      <c r="C192" s="13" t="s">
        <v>43</v>
      </c>
      <c r="D192" s="5">
        <f>VLOOKUP(B192,Percentage_distribution_of_journey_distance_for_all_regions[#All],MATCH(A192,Percentage_distribution_of_journey_distance_for_all_regions[#Headers],0),0)/100</f>
        <v>0.433</v>
      </c>
      <c r="E192" s="71">
        <f>IF(B192="&lt;2 kilometres",1,0)*VLOOKUP(C192, Percentage_dist_journeys_by_purpose_and_distance_to_2km[#All],MATCH(A192, Percentage_dist_journeys_by_purpose_and_distance_to_2km[#Headers],0),0)/100</f>
        <v>0</v>
      </c>
      <c r="F192" s="4">
        <f>IF(B192="2-4 kilometres",1,0)*VLOOKUP(C192, Percentage_dist_journeys_by_purpose_and_distance_2_to_4km[#All],MATCH(A192, Percentage_dist_journeys_by_purpose_and_distance_2_to_4km[#Headers],0),0)/100</f>
        <v>0</v>
      </c>
      <c r="G192" s="72">
        <f>IF(B192="4-6 kilometres",1,0)*VLOOKUP(C192, Percentage_dist_journeys_by_purpose_and_distance_4_to_6km[#All],MATCH(A192, Percentage_dist_journeys_by_purpose_and_distance_4_to_6km[#Headers],0),0)/100</f>
        <v>0</v>
      </c>
      <c r="H192" s="4">
        <f>IF(B192="6-8 kilometres",1,0)*VLOOKUP(C192, Percentage_dist_journeys_by_purpose_and_distance_6_to_8km[#All],MATCH(A192, Percentage_dist_journeys_by_purpose_and_distance_6_to_8km[#Headers],0),0)/100</f>
        <v>0</v>
      </c>
      <c r="I192" s="72">
        <f>IF(B192="8+ kilometres",1,0)*VLOOKUP(C192, Percentage_dist_journeys_by_purpose_and_distance_8km[#All],MATCH(A192, Percentage_dist_journeys_by_purpose_and_distance_8km[#Headers],0),0)/100</f>
        <v>2.5000000000000001E-2</v>
      </c>
      <c r="J192" s="73">
        <f>VLOOKUP(B192,Average_Distance_by_kilometres_grouping_for_trip_purpose[#All],MATCH(A192,Average_Distance_by_kilometres_grouping_for_trip_purpose[#Headers],0),0)</f>
        <v>43.24</v>
      </c>
      <c r="K192" s="77">
        <f>VLOOKUP(C192, Adjustment_factor_for_distance_based_on_trip_purpose[#All],MATCH(A192, Adjustment_factor_for_distance_based_on_trip_purpose[#Headers],0),0)</f>
        <v>0.88888888888888884</v>
      </c>
      <c r="L192" s="78">
        <f>VLOOKUP($L$2, Total_Journeys_Per_Year[#All],MATCH(A192, Total_Journeys_Per_Year[#Headers],0),0)</f>
        <v>3079198792.0558629</v>
      </c>
      <c r="M192" s="35">
        <f t="shared" si="2"/>
        <v>1441289816.1939642</v>
      </c>
      <c r="N192" s="35">
        <f>VLOOKUP($N$2, Private_Vehicle_Kilometres_Car_Stock[#All],MATCH(A192, Private_Vehicle_Kilometres_Car_Stock[#Headers],0),0)</f>
        <v>36171159701</v>
      </c>
    </row>
    <row r="193" spans="1:14" x14ac:dyDescent="0.25">
      <c r="A193" s="79" t="s">
        <v>36</v>
      </c>
      <c r="B193" s="13" t="s">
        <v>12</v>
      </c>
      <c r="C193" s="13" t="s">
        <v>44</v>
      </c>
      <c r="D193" s="5">
        <f>VLOOKUP(B193,Percentage_distribution_of_journey_distance_for_all_regions[#All],MATCH(A193,Percentage_distribution_of_journey_distance_for_all_regions[#Headers],0),0)/100</f>
        <v>0.255</v>
      </c>
      <c r="E193" s="71">
        <f>IF(B193="&lt;2 kilometres",1,0)*VLOOKUP(C193, Percentage_dist_journeys_by_purpose_and_distance_to_2km[#All],MATCH(A193, Percentage_dist_journeys_by_purpose_and_distance_to_2km[#Headers],0),0)/100</f>
        <v>0.29199999999999998</v>
      </c>
      <c r="F193" s="4">
        <f>IF(B193="2-4 kilometres",1,0)*VLOOKUP(C193, Percentage_dist_journeys_by_purpose_and_distance_2_to_4km[#All],MATCH(A193, Percentage_dist_journeys_by_purpose_and_distance_2_to_4km[#Headers],0),0)/100</f>
        <v>0</v>
      </c>
      <c r="G193" s="72">
        <f>IF(B193="4-6 kilometres",1,0)*VLOOKUP(C193, Percentage_dist_journeys_by_purpose_and_distance_4_to_6km[#All],MATCH(A193, Percentage_dist_journeys_by_purpose_and_distance_4_to_6km[#Headers],0),0)/100</f>
        <v>0</v>
      </c>
      <c r="H193" s="4">
        <f>IF(B193="6-8 kilometres",1,0)*VLOOKUP(C193, Percentage_dist_journeys_by_purpose_and_distance_6_to_8km[#All],MATCH(A193, Percentage_dist_journeys_by_purpose_and_distance_6_to_8km[#Headers],0),0)/100</f>
        <v>0</v>
      </c>
      <c r="I193" s="72">
        <f>IF(B193="8+ kilometres",1,0)*VLOOKUP(C193, Percentage_dist_journeys_by_purpose_and_distance_8km[#All],MATCH(A193, Percentage_dist_journeys_by_purpose_and_distance_8km[#Headers],0),0)/100</f>
        <v>0</v>
      </c>
      <c r="J193" s="73">
        <f>VLOOKUP(B193,Average_Distance_by_kilometres_grouping_for_trip_purpose[#All],MATCH(A193,Average_Distance_by_kilometres_grouping_for_trip_purpose[#Headers],0),0)</f>
        <v>1</v>
      </c>
      <c r="K193" s="77">
        <f>VLOOKUP(C193, Adjustment_factor_for_distance_based_on_trip_purpose[#All],MATCH(A193, Adjustment_factor_for_distance_based_on_trip_purpose[#Headers],0),0)</f>
        <v>0.44444444444444442</v>
      </c>
      <c r="L193" s="78">
        <f>VLOOKUP($L$2, Total_Journeys_Per_Year[#All],MATCH(A193, Total_Journeys_Per_Year[#Headers],0),0)</f>
        <v>3079198792.0558629</v>
      </c>
      <c r="M193" s="35">
        <f t="shared" si="2"/>
        <v>229277142.05647954</v>
      </c>
      <c r="N193" s="35">
        <f>VLOOKUP($N$2, Private_Vehicle_Kilometres_Car_Stock[#All],MATCH(A193, Private_Vehicle_Kilometres_Car_Stock[#Headers],0),0)</f>
        <v>36171159701</v>
      </c>
    </row>
    <row r="194" spans="1:14" x14ac:dyDescent="0.25">
      <c r="A194" s="79" t="s">
        <v>36</v>
      </c>
      <c r="B194" s="13" t="s">
        <v>181</v>
      </c>
      <c r="C194" s="13" t="s">
        <v>44</v>
      </c>
      <c r="D194" s="5">
        <f>VLOOKUP(B194,Percentage_distribution_of_journey_distance_for_all_regions[#All],MATCH(A194,Percentage_distribution_of_journey_distance_for_all_regions[#Headers],0),0)/100</f>
        <v>0.13400000000000001</v>
      </c>
      <c r="E194" s="71">
        <f>IF(B194="&lt;2 kilometres",1,0)*VLOOKUP(C194, Percentage_dist_journeys_by_purpose_and_distance_to_2km[#All],MATCH(A194, Percentage_dist_journeys_by_purpose_and_distance_to_2km[#Headers],0),0)/100</f>
        <v>0</v>
      </c>
      <c r="F194" s="4">
        <f>IF(B194="2-4 kilometres",1,0)*VLOOKUP(C194, Percentage_dist_journeys_by_purpose_and_distance_2_to_4km[#All],MATCH(A194, Percentage_dist_journeys_by_purpose_and_distance_2_to_4km[#Headers],0),0)/100</f>
        <v>0.22800000000000001</v>
      </c>
      <c r="G194" s="72">
        <f>IF(B194="4-6 kilometres",1,0)*VLOOKUP(C194, Percentage_dist_journeys_by_purpose_and_distance_4_to_6km[#All],MATCH(A194, Percentage_dist_journeys_by_purpose_and_distance_4_to_6km[#Headers],0),0)/100</f>
        <v>0</v>
      </c>
      <c r="H194" s="4">
        <f>IF(B194="6-8 kilometres",1,0)*VLOOKUP(C194, Percentage_dist_journeys_by_purpose_and_distance_6_to_8km[#All],MATCH(A194, Percentage_dist_journeys_by_purpose_and_distance_6_to_8km[#Headers],0),0)/100</f>
        <v>0</v>
      </c>
      <c r="I194" s="72">
        <f>IF(B194="8+ kilometres",1,0)*VLOOKUP(C194, Percentage_dist_journeys_by_purpose_and_distance_8km[#All],MATCH(A194, Percentage_dist_journeys_by_purpose_and_distance_8km[#Headers],0),0)/100</f>
        <v>0</v>
      </c>
      <c r="J194" s="73">
        <f>VLOOKUP(B194,Average_Distance_by_kilometres_grouping_for_trip_purpose[#All],MATCH(A194,Average_Distance_by_kilometres_grouping_for_trip_purpose[#Headers],0),0)</f>
        <v>3</v>
      </c>
      <c r="K194" s="77">
        <f>VLOOKUP(C194, Adjustment_factor_for_distance_based_on_trip_purpose[#All],MATCH(A194, Adjustment_factor_for_distance_based_on_trip_purpose[#Headers],0),0)</f>
        <v>0.44444444444444442</v>
      </c>
      <c r="L194" s="78">
        <f>VLOOKUP($L$2, Total_Journeys_Per_Year[#All],MATCH(A194, Total_Journeys_Per_Year[#Headers],0),0)</f>
        <v>3079198792.0558629</v>
      </c>
      <c r="M194" s="35">
        <f t="shared" si="2"/>
        <v>282227044.48467219</v>
      </c>
      <c r="N194" s="35">
        <f>VLOOKUP($N$2, Private_Vehicle_Kilometres_Car_Stock[#All],MATCH(A194, Private_Vehicle_Kilometres_Car_Stock[#Headers],0),0)</f>
        <v>36171159701</v>
      </c>
    </row>
    <row r="195" spans="1:14" x14ac:dyDescent="0.25">
      <c r="A195" s="79" t="s">
        <v>36</v>
      </c>
      <c r="B195" s="13" t="s">
        <v>180</v>
      </c>
      <c r="C195" s="13" t="s">
        <v>44</v>
      </c>
      <c r="D195" s="5">
        <f>VLOOKUP(B195,Percentage_distribution_of_journey_distance_for_all_regions[#All],MATCH(A195,Percentage_distribution_of_journey_distance_for_all_regions[#Headers],0),0)/100</f>
        <v>0.11900000000000001</v>
      </c>
      <c r="E195" s="71">
        <f>IF(B195="&lt;2 kilometres",1,0)*VLOOKUP(C195, Percentage_dist_journeys_by_purpose_and_distance_to_2km[#All],MATCH(A195, Percentage_dist_journeys_by_purpose_and_distance_to_2km[#Headers],0),0)/100</f>
        <v>0</v>
      </c>
      <c r="F195" s="4">
        <f>IF(B195="2-4 kilometres",1,0)*VLOOKUP(C195, Percentage_dist_journeys_by_purpose_and_distance_2_to_4km[#All],MATCH(A195, Percentage_dist_journeys_by_purpose_and_distance_2_to_4km[#Headers],0),0)/100</f>
        <v>0</v>
      </c>
      <c r="G195" s="72">
        <f>IF(B195="4-6 kilometres",1,0)*VLOOKUP(C195, Percentage_dist_journeys_by_purpose_and_distance_4_to_6km[#All],MATCH(A195, Percentage_dist_journeys_by_purpose_and_distance_4_to_6km[#Headers],0),0)/100</f>
        <v>0.217</v>
      </c>
      <c r="H195" s="4">
        <f>IF(B195="6-8 kilometres",1,0)*VLOOKUP(C195, Percentage_dist_journeys_by_purpose_and_distance_6_to_8km[#All],MATCH(A195, Percentage_dist_journeys_by_purpose_and_distance_6_to_8km[#Headers],0),0)/100</f>
        <v>0</v>
      </c>
      <c r="I195" s="72">
        <f>IF(B195="8+ kilometres",1,0)*VLOOKUP(C195, Percentage_dist_journeys_by_purpose_and_distance_8km[#All],MATCH(A195, Percentage_dist_journeys_by_purpose_and_distance_8km[#Headers],0),0)/100</f>
        <v>0</v>
      </c>
      <c r="J195" s="73">
        <f>VLOOKUP(B195,Average_Distance_by_kilometres_grouping_for_trip_purpose[#All],MATCH(A195,Average_Distance_by_kilometres_grouping_for_trip_purpose[#Headers],0),0)</f>
        <v>5</v>
      </c>
      <c r="K195" s="77">
        <f>VLOOKUP(C195, Adjustment_factor_for_distance_based_on_trip_purpose[#All],MATCH(A195, Adjustment_factor_for_distance_based_on_trip_purpose[#Headers],0),0)</f>
        <v>0.44444444444444442</v>
      </c>
      <c r="L195" s="78">
        <f>VLOOKUP($L$2, Total_Journeys_Per_Year[#All],MATCH(A195, Total_Journeys_Per_Year[#Headers],0),0)</f>
        <v>3079198792.0558629</v>
      </c>
      <c r="M195" s="35">
        <f t="shared" si="2"/>
        <v>397570752.03629279</v>
      </c>
      <c r="N195" s="35">
        <f>VLOOKUP($N$2, Private_Vehicle_Kilometres_Car_Stock[#All],MATCH(A195, Private_Vehicle_Kilometres_Car_Stock[#Headers],0),0)</f>
        <v>36171159701</v>
      </c>
    </row>
    <row r="196" spans="1:14" x14ac:dyDescent="0.25">
      <c r="A196" s="79" t="s">
        <v>36</v>
      </c>
      <c r="B196" s="13" t="s">
        <v>182</v>
      </c>
      <c r="C196" s="13" t="s">
        <v>44</v>
      </c>
      <c r="D196" s="5">
        <f>VLOOKUP(B196,Percentage_distribution_of_journey_distance_for_all_regions[#All],MATCH(A196,Percentage_distribution_of_journey_distance_for_all_regions[#Headers],0),0)/100</f>
        <v>5.9000000000000004E-2</v>
      </c>
      <c r="E196" s="71">
        <f>IF(B196="&lt;2 kilometres",1,0)*VLOOKUP(C196, Percentage_dist_journeys_by_purpose_and_distance_to_2km[#All],MATCH(A196, Percentage_dist_journeys_by_purpose_and_distance_to_2km[#Headers],0),0)/100</f>
        <v>0</v>
      </c>
      <c r="F196" s="4">
        <f>IF(B196="2-4 kilometres",1,0)*VLOOKUP(C196, Percentage_dist_journeys_by_purpose_and_distance_2_to_4km[#All],MATCH(A196, Percentage_dist_journeys_by_purpose_and_distance_2_to_4km[#Headers],0),0)/100</f>
        <v>0</v>
      </c>
      <c r="G196" s="72">
        <f>IF(B196="4-6 kilometres",1,0)*VLOOKUP(C196, Percentage_dist_journeys_by_purpose_and_distance_4_to_6km[#All],MATCH(A196, Percentage_dist_journeys_by_purpose_and_distance_4_to_6km[#Headers],0),0)/100</f>
        <v>0</v>
      </c>
      <c r="H196" s="4">
        <f>IF(B196="6-8 kilometres",1,0)*VLOOKUP(C196, Percentage_dist_journeys_by_purpose_and_distance_6_to_8km[#All],MATCH(A196, Percentage_dist_journeys_by_purpose_and_distance_6_to_8km[#Headers],0),0)/100</f>
        <v>0.19899999999999998</v>
      </c>
      <c r="I196" s="72">
        <f>IF(B196="8+ kilometres",1,0)*VLOOKUP(C196, Percentage_dist_journeys_by_purpose_and_distance_8km[#All],MATCH(A196, Percentage_dist_journeys_by_purpose_and_distance_8km[#Headers],0),0)/100</f>
        <v>0</v>
      </c>
      <c r="J196" s="73">
        <f>VLOOKUP(B196,Average_Distance_by_kilometres_grouping_for_trip_purpose[#All],MATCH(A196,Average_Distance_by_kilometres_grouping_for_trip_purpose[#Headers],0),0)</f>
        <v>7</v>
      </c>
      <c r="K196" s="77">
        <f>VLOOKUP(C196, Adjustment_factor_for_distance_based_on_trip_purpose[#All],MATCH(A196, Adjustment_factor_for_distance_based_on_trip_purpose[#Headers],0),0)</f>
        <v>0.44444444444444442</v>
      </c>
      <c r="L196" s="78">
        <f>VLOOKUP($L$2, Total_Journeys_Per_Year[#All],MATCH(A196, Total_Journeys_Per_Year[#Headers],0),0)</f>
        <v>3079198792.0558629</v>
      </c>
      <c r="M196" s="35">
        <f t="shared" ref="M196:M259" si="3">D196*(SUM(E196:I196))*J196*L196</f>
        <v>253070111.12269518</v>
      </c>
      <c r="N196" s="35">
        <f>VLOOKUP($N$2, Private_Vehicle_Kilometres_Car_Stock[#All],MATCH(A196, Private_Vehicle_Kilometres_Car_Stock[#Headers],0),0)</f>
        <v>36171159701</v>
      </c>
    </row>
    <row r="197" spans="1:14" x14ac:dyDescent="0.25">
      <c r="A197" s="79" t="s">
        <v>36</v>
      </c>
      <c r="B197" s="13" t="s">
        <v>1</v>
      </c>
      <c r="C197" s="13" t="s">
        <v>44</v>
      </c>
      <c r="D197" s="5">
        <f>VLOOKUP(B197,Percentage_distribution_of_journey_distance_for_all_regions[#All],MATCH(A197,Percentage_distribution_of_journey_distance_for_all_regions[#Headers],0),0)/100</f>
        <v>0.433</v>
      </c>
      <c r="E197" s="71">
        <f>IF(B197="&lt;2 kilometres",1,0)*VLOOKUP(C197, Percentage_dist_journeys_by_purpose_and_distance_to_2km[#All],MATCH(A197, Percentage_dist_journeys_by_purpose_and_distance_to_2km[#Headers],0),0)/100</f>
        <v>0</v>
      </c>
      <c r="F197" s="4">
        <f>IF(B197="2-4 kilometres",1,0)*VLOOKUP(C197, Percentage_dist_journeys_by_purpose_and_distance_2_to_4km[#All],MATCH(A197, Percentage_dist_journeys_by_purpose_and_distance_2_to_4km[#Headers],0),0)/100</f>
        <v>0</v>
      </c>
      <c r="G197" s="72">
        <f>IF(B197="4-6 kilometres",1,0)*VLOOKUP(C197, Percentage_dist_journeys_by_purpose_and_distance_4_to_6km[#All],MATCH(A197, Percentage_dist_journeys_by_purpose_and_distance_4_to_6km[#Headers],0),0)/100</f>
        <v>0</v>
      </c>
      <c r="H197" s="4">
        <f>IF(B197="6-8 kilometres",1,0)*VLOOKUP(C197, Percentage_dist_journeys_by_purpose_and_distance_6_to_8km[#All],MATCH(A197, Percentage_dist_journeys_by_purpose_and_distance_6_to_8km[#Headers],0),0)/100</f>
        <v>0</v>
      </c>
      <c r="I197" s="72">
        <f>IF(B197="8+ kilometres",1,0)*VLOOKUP(C197, Percentage_dist_journeys_by_purpose_and_distance_8km[#All],MATCH(A197, Percentage_dist_journeys_by_purpose_and_distance_8km[#Headers],0),0)/100</f>
        <v>0.17600000000000002</v>
      </c>
      <c r="J197" s="73">
        <f>VLOOKUP(B197,Average_Distance_by_kilometres_grouping_for_trip_purpose[#All],MATCH(A197,Average_Distance_by_kilometres_grouping_for_trip_purpose[#Headers],0),0)</f>
        <v>43.24</v>
      </c>
      <c r="K197" s="77">
        <f>VLOOKUP(C197, Adjustment_factor_for_distance_based_on_trip_purpose[#All],MATCH(A197, Adjustment_factor_for_distance_based_on_trip_purpose[#Headers],0),0)</f>
        <v>0.44444444444444442</v>
      </c>
      <c r="L197" s="78">
        <f>VLOOKUP($L$2, Total_Journeys_Per_Year[#All],MATCH(A197, Total_Journeys_Per_Year[#Headers],0),0)</f>
        <v>3079198792.0558629</v>
      </c>
      <c r="M197" s="35">
        <f t="shared" si="3"/>
        <v>10146680306.005508</v>
      </c>
      <c r="N197" s="35">
        <f>VLOOKUP($N$2, Private_Vehicle_Kilometres_Car_Stock[#All],MATCH(A197, Private_Vehicle_Kilometres_Car_Stock[#Headers],0),0)</f>
        <v>36171159701</v>
      </c>
    </row>
    <row r="198" spans="1:14" x14ac:dyDescent="0.25">
      <c r="A198" s="79" t="s">
        <v>36</v>
      </c>
      <c r="B198" s="13" t="s">
        <v>12</v>
      </c>
      <c r="C198" s="13" t="s">
        <v>45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Percentage_dist_journeys_by_purpose_and_distance_to_2km[#All],MATCH(A198, Percentage_dist_journeys_by_purpose_and_distance_to_2km[#Headers],0),0)/100</f>
        <v>3.9E-2</v>
      </c>
      <c r="F198" s="4">
        <f>IF(B198="2-4 kilometres",1,0)*VLOOKUP(C198, Percentage_dist_journeys_by_purpose_and_distance_2_to_4km[#All],MATCH(A198, Percentage_dist_journeys_by_purpose_and_distance_2_to_4km[#Headers],0),0)/100</f>
        <v>0</v>
      </c>
      <c r="G198" s="72">
        <f>IF(B198="4-6 kilometres",1,0)*VLOOKUP(C198, Percentage_dist_journeys_by_purpose_and_distance_4_to_6km[#All],MATCH(A198, Percentage_dist_journeys_by_purpose_and_distance_4_to_6km[#Headers],0),0)/100</f>
        <v>0</v>
      </c>
      <c r="H198" s="4">
        <f>IF(B198="6-8 kilometres",1,0)*VLOOKUP(C198, Percentage_dist_journeys_by_purpose_and_distance_6_to_8km[#All],MATCH(A198, Percentage_dist_journeys_by_purpose_and_distance_6_to_8km[#Headers],0),0)/100</f>
        <v>0</v>
      </c>
      <c r="I198" s="72">
        <f>IF(B198="8+ kilometres",1,0)*VLOOKUP(C198, Percentage_dist_journeys_by_purpose_and_distance_8km[#All],MATCH(A198, Percentage_dist_journeys_by_purpose_and_distance_8km[#Headers],0),0)/100</f>
        <v>0</v>
      </c>
      <c r="J198" s="73">
        <f>VLOOKUP(B198,Average_Distance_by_kilometres_grouping_for_trip_purpose[#All],MATCH(A198,Average_Distance_by_kilometres_grouping_for_trip_purpose[#Headers],0),0)</f>
        <v>1</v>
      </c>
      <c r="K198" s="77">
        <f>VLOOKUP(C198, Adjustment_factor_for_distance_based_on_trip_purpose[#All],MATCH(A198, Adjustment_factor_for_distance_based_on_trip_purpose[#Headers],0),0)</f>
        <v>0.44444444444444442</v>
      </c>
      <c r="L198" s="78">
        <f>VLOOKUP($L$2, Total_Journeys_Per_Year[#All],MATCH(A198, Total_Journeys_Per_Year[#Headers],0),0)</f>
        <v>3079198792.0558629</v>
      </c>
      <c r="M198" s="35">
        <f t="shared" si="3"/>
        <v>30622631.986995559</v>
      </c>
      <c r="N198" s="35">
        <f>VLOOKUP($N$2, Private_Vehicle_Kilometres_Car_Stock[#All],MATCH(A198, Private_Vehicle_Kilometres_Car_Stock[#Headers],0),0)</f>
        <v>36171159701</v>
      </c>
    </row>
    <row r="199" spans="1:14" x14ac:dyDescent="0.25">
      <c r="A199" s="79" t="s">
        <v>36</v>
      </c>
      <c r="B199" s="13" t="s">
        <v>181</v>
      </c>
      <c r="C199" s="13" t="s">
        <v>45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Percentage_dist_journeys_by_purpose_and_distance_to_2km[#All],MATCH(A199, Percentage_dist_journeys_by_purpose_and_distance_to_2km[#Headers],0),0)/100</f>
        <v>0</v>
      </c>
      <c r="F199" s="4">
        <f>IF(B199="2-4 kilometres",1,0)*VLOOKUP(C199, Percentage_dist_journeys_by_purpose_and_distance_2_to_4km[#All],MATCH(A199, Percentage_dist_journeys_by_purpose_and_distance_2_to_4km[#Headers],0),0)/100</f>
        <v>2.3E-2</v>
      </c>
      <c r="G199" s="72">
        <f>IF(B199="4-6 kilometres",1,0)*VLOOKUP(C199, Percentage_dist_journeys_by_purpose_and_distance_4_to_6km[#All],MATCH(A199, Percentage_dist_journeys_by_purpose_and_distance_4_to_6km[#Headers],0),0)/100</f>
        <v>0</v>
      </c>
      <c r="H199" s="4">
        <f>IF(B199="6-8 kilometres",1,0)*VLOOKUP(C199, Percentage_dist_journeys_by_purpose_and_distance_6_to_8km[#All],MATCH(A199, Percentage_dist_journeys_by_purpose_and_distance_6_to_8km[#Headers],0),0)/100</f>
        <v>0</v>
      </c>
      <c r="I199" s="72">
        <f>IF(B199="8+ kilometres",1,0)*VLOOKUP(C199, Percentage_dist_journeys_by_purpose_and_distance_8km[#All],MATCH(A199, Percentage_dist_journeys_by_purpose_and_distance_8km[#Headers],0),0)/100</f>
        <v>0</v>
      </c>
      <c r="J199" s="73">
        <f>VLOOKUP(B199,Average_Distance_by_kilometres_grouping_for_trip_purpose[#All],MATCH(A199,Average_Distance_by_kilometres_grouping_for_trip_purpose[#Headers],0),0)</f>
        <v>3</v>
      </c>
      <c r="K199" s="77">
        <f>VLOOKUP(C199, Adjustment_factor_for_distance_based_on_trip_purpose[#All],MATCH(A199, Adjustment_factor_for_distance_based_on_trip_purpose[#Headers],0),0)</f>
        <v>0.44444444444444442</v>
      </c>
      <c r="L199" s="78">
        <f>VLOOKUP($L$2, Total_Journeys_Per_Year[#All],MATCH(A199, Total_Journeys_Per_Year[#Headers],0),0)</f>
        <v>3079198792.0558629</v>
      </c>
      <c r="M199" s="35">
        <f t="shared" si="3"/>
        <v>28470272.031348512</v>
      </c>
      <c r="N199" s="35">
        <f>VLOOKUP($N$2, Private_Vehicle_Kilometres_Car_Stock[#All],MATCH(A199, Private_Vehicle_Kilometres_Car_Stock[#Headers],0),0)</f>
        <v>36171159701</v>
      </c>
    </row>
    <row r="200" spans="1:14" x14ac:dyDescent="0.25">
      <c r="A200" s="79" t="s">
        <v>36</v>
      </c>
      <c r="B200" s="13" t="s">
        <v>180</v>
      </c>
      <c r="C200" s="13" t="s">
        <v>45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Percentage_dist_journeys_by_purpose_and_distance_to_2km[#All],MATCH(A200, Percentage_dist_journeys_by_purpose_and_distance_to_2km[#Headers],0),0)/100</f>
        <v>0</v>
      </c>
      <c r="F200" s="4">
        <f>IF(B200="2-4 kilometres",1,0)*VLOOKUP(C200, Percentage_dist_journeys_by_purpose_and_distance_2_to_4km[#All],MATCH(A200, Percentage_dist_journeys_by_purpose_and_distance_2_to_4km[#Headers],0),0)/100</f>
        <v>0</v>
      </c>
      <c r="G200" s="72">
        <f>IF(B200="4-6 kilometres",1,0)*VLOOKUP(C200, Percentage_dist_journeys_by_purpose_and_distance_4_to_6km[#All],MATCH(A200, Percentage_dist_journeys_by_purpose_and_distance_4_to_6km[#Headers],0),0)/100</f>
        <v>2.7999999999999997E-2</v>
      </c>
      <c r="H200" s="4">
        <f>IF(B200="6-8 kilometres",1,0)*VLOOKUP(C200, Percentage_dist_journeys_by_purpose_and_distance_6_to_8km[#All],MATCH(A200, Percentage_dist_journeys_by_purpose_and_distance_6_to_8km[#Headers],0),0)/100</f>
        <v>0</v>
      </c>
      <c r="I200" s="72">
        <f>IF(B200="8+ kilometres",1,0)*VLOOKUP(C200, Percentage_dist_journeys_by_purpose_and_distance_8km[#All],MATCH(A200, Percentage_dist_journeys_by_purpose_and_distance_8km[#Headers],0),0)/100</f>
        <v>0</v>
      </c>
      <c r="J200" s="73">
        <f>VLOOKUP(B200,Average_Distance_by_kilometres_grouping_for_trip_purpose[#All],MATCH(A200,Average_Distance_by_kilometres_grouping_for_trip_purpose[#Headers],0),0)</f>
        <v>5</v>
      </c>
      <c r="K200" s="77">
        <f>VLOOKUP(C200, Adjustment_factor_for_distance_based_on_trip_purpose[#All],MATCH(A200, Adjustment_factor_for_distance_based_on_trip_purpose[#Headers],0),0)</f>
        <v>0.44444444444444442</v>
      </c>
      <c r="L200" s="78">
        <f>VLOOKUP($L$2, Total_Journeys_Per_Year[#All],MATCH(A200, Total_Journeys_Per_Year[#Headers],0),0)</f>
        <v>3079198792.0558629</v>
      </c>
      <c r="M200" s="35">
        <f t="shared" si="3"/>
        <v>51299451.875650682</v>
      </c>
      <c r="N200" s="35">
        <f>VLOOKUP($N$2, Private_Vehicle_Kilometres_Car_Stock[#All],MATCH(A200, Private_Vehicle_Kilometres_Car_Stock[#Headers],0),0)</f>
        <v>36171159701</v>
      </c>
    </row>
    <row r="201" spans="1:14" x14ac:dyDescent="0.25">
      <c r="A201" s="79" t="s">
        <v>36</v>
      </c>
      <c r="B201" s="13" t="s">
        <v>182</v>
      </c>
      <c r="C201" s="13" t="s">
        <v>45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Percentage_dist_journeys_by_purpose_and_distance_to_2km[#All],MATCH(A201, Percentage_dist_journeys_by_purpose_and_distance_to_2km[#Headers],0),0)/100</f>
        <v>0</v>
      </c>
      <c r="F201" s="4">
        <f>IF(B201="2-4 kilometres",1,0)*VLOOKUP(C201, Percentage_dist_journeys_by_purpose_and_distance_2_to_4km[#All],MATCH(A201, Percentage_dist_journeys_by_purpose_and_distance_2_to_4km[#Headers],0),0)/100</f>
        <v>0</v>
      </c>
      <c r="G201" s="72">
        <f>IF(B201="4-6 kilometres",1,0)*VLOOKUP(C201, Percentage_dist_journeys_by_purpose_and_distance_4_to_6km[#All],MATCH(A201, Percentage_dist_journeys_by_purpose_and_distance_4_to_6km[#Headers],0),0)/100</f>
        <v>0</v>
      </c>
      <c r="H201" s="4">
        <f>IF(B201="6-8 kilometres",1,0)*VLOOKUP(C201, Percentage_dist_journeys_by_purpose_and_distance_6_to_8km[#All],MATCH(A201, Percentage_dist_journeys_by_purpose_and_distance_6_to_8km[#Headers],0),0)/100</f>
        <v>2.1000000000000001E-2</v>
      </c>
      <c r="I201" s="72">
        <f>IF(B201="8+ kilometres",1,0)*VLOOKUP(C201, Percentage_dist_journeys_by_purpose_and_distance_8km[#All],MATCH(A201, Percentage_dist_journeys_by_purpose_and_distance_8km[#Headers],0),0)/100</f>
        <v>0</v>
      </c>
      <c r="J201" s="73">
        <f>VLOOKUP(B201,Average_Distance_by_kilometres_grouping_for_trip_purpose[#All],MATCH(A201,Average_Distance_by_kilometres_grouping_for_trip_purpose[#Headers],0),0)</f>
        <v>7</v>
      </c>
      <c r="K201" s="77">
        <f>VLOOKUP(C201, Adjustment_factor_for_distance_based_on_trip_purpose[#All],MATCH(A201, Adjustment_factor_for_distance_based_on_trip_purpose[#Headers],0),0)</f>
        <v>0.44444444444444442</v>
      </c>
      <c r="L201" s="78">
        <f>VLOOKUP($L$2, Total_Journeys_Per_Year[#All],MATCH(A201, Total_Journeys_Per_Year[#Headers],0),0)</f>
        <v>3079198792.0558629</v>
      </c>
      <c r="M201" s="35">
        <f t="shared" si="3"/>
        <v>26705891.1235005</v>
      </c>
      <c r="N201" s="35">
        <f>VLOOKUP($N$2, Private_Vehicle_Kilometres_Car_Stock[#All],MATCH(A201, Private_Vehicle_Kilometres_Car_Stock[#Headers],0),0)</f>
        <v>36171159701</v>
      </c>
    </row>
    <row r="202" spans="1:14" x14ac:dyDescent="0.25">
      <c r="A202" s="79" t="s">
        <v>36</v>
      </c>
      <c r="B202" s="13" t="s">
        <v>1</v>
      </c>
      <c r="C202" s="13" t="s">
        <v>45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Percentage_dist_journeys_by_purpose_and_distance_to_2km[#All],MATCH(A202, Percentage_dist_journeys_by_purpose_and_distance_to_2km[#Headers],0),0)/100</f>
        <v>0</v>
      </c>
      <c r="F202" s="4">
        <f>IF(B202="2-4 kilometres",1,0)*VLOOKUP(C202, Percentage_dist_journeys_by_purpose_and_distance_2_to_4km[#All],MATCH(A202, Percentage_dist_journeys_by_purpose_and_distance_2_to_4km[#Headers],0),0)/100</f>
        <v>0</v>
      </c>
      <c r="G202" s="72">
        <f>IF(B202="4-6 kilometres",1,0)*VLOOKUP(C202, Percentage_dist_journeys_by_purpose_and_distance_4_to_6km[#All],MATCH(A202, Percentage_dist_journeys_by_purpose_and_distance_4_to_6km[#Headers],0),0)/100</f>
        <v>0</v>
      </c>
      <c r="H202" s="4">
        <f>IF(B202="6-8 kilometres",1,0)*VLOOKUP(C202, Percentage_dist_journeys_by_purpose_and_distance_6_to_8km[#All],MATCH(A202, Percentage_dist_journeys_by_purpose_and_distance_6_to_8km[#Headers],0),0)/100</f>
        <v>0</v>
      </c>
      <c r="I202" s="72">
        <f>IF(B202="8+ kilometres",1,0)*VLOOKUP(C202, Percentage_dist_journeys_by_purpose_and_distance_8km[#All],MATCH(A202, Percentage_dist_journeys_by_purpose_and_distance_8km[#Headers],0),0)/100</f>
        <v>1.4999999999999999E-2</v>
      </c>
      <c r="J202" s="73">
        <f>VLOOKUP(B202,Average_Distance_by_kilometres_grouping_for_trip_purpose[#All],MATCH(A202,Average_Distance_by_kilometres_grouping_for_trip_purpose[#Headers],0),0)</f>
        <v>43.24</v>
      </c>
      <c r="K202" s="77">
        <f>VLOOKUP(C202, Adjustment_factor_for_distance_based_on_trip_purpose[#All],MATCH(A202, Adjustment_factor_for_distance_based_on_trip_purpose[#Headers],0),0)</f>
        <v>0.44444444444444442</v>
      </c>
      <c r="L202" s="78">
        <f>VLOOKUP($L$2, Total_Journeys_Per_Year[#All],MATCH(A202, Total_Journeys_Per_Year[#Headers],0),0)</f>
        <v>3079198792.0558629</v>
      </c>
      <c r="M202" s="35">
        <f t="shared" si="3"/>
        <v>864773889.71637845</v>
      </c>
      <c r="N202" s="35">
        <f>VLOOKUP($N$2, Private_Vehicle_Kilometres_Car_Stock[#All],MATCH(A202, Private_Vehicle_Kilometres_Car_Stock[#Headers],0),0)</f>
        <v>36171159701</v>
      </c>
    </row>
    <row r="203" spans="1:14" x14ac:dyDescent="0.25">
      <c r="A203" s="79" t="s">
        <v>36</v>
      </c>
      <c r="B203" s="13" t="s">
        <v>12</v>
      </c>
      <c r="C203" s="13" t="s">
        <v>46</v>
      </c>
      <c r="D203" s="5">
        <f>VLOOKUP(B203,Percentage_distribution_of_journey_distance_for_all_regions[#All],MATCH(A203,Percentage_distribution_of_journey_distance_for_all_regions[#Headers],0),0)/100</f>
        <v>0.255</v>
      </c>
      <c r="E203" s="71">
        <f>IF(B203="&lt;2 kilometres",1,0)*VLOOKUP(C203, Percentage_dist_journeys_by_purpose_and_distance_to_2km[#All],MATCH(A203, Percentage_dist_journeys_by_purpose_and_distance_to_2km[#Headers],0),0)/100</f>
        <v>6.6000000000000003E-2</v>
      </c>
      <c r="F203" s="4">
        <f>IF(B203="2-4 kilometres",1,0)*VLOOKUP(C203, Percentage_dist_journeys_by_purpose_and_distance_2_to_4km[#All],MATCH(A203, Percentage_dist_journeys_by_purpose_and_distance_2_to_4km[#Headers],0),0)/100</f>
        <v>0</v>
      </c>
      <c r="G203" s="72">
        <f>IF(B203="4-6 kilometres",1,0)*VLOOKUP(C203, Percentage_dist_journeys_by_purpose_and_distance_4_to_6km[#All],MATCH(A203, Percentage_dist_journeys_by_purpose_and_distance_4_to_6km[#Headers],0),0)/100</f>
        <v>0</v>
      </c>
      <c r="H203" s="4">
        <f>IF(B203="6-8 kilometres",1,0)*VLOOKUP(C203, Percentage_dist_journeys_by_purpose_and_distance_6_to_8km[#All],MATCH(A203, Percentage_dist_journeys_by_purpose_and_distance_6_to_8km[#Headers],0),0)/100</f>
        <v>0</v>
      </c>
      <c r="I203" s="72">
        <f>IF(B203="8+ kilometres",1,0)*VLOOKUP(C203, Percentage_dist_journeys_by_purpose_and_distance_8km[#All],MATCH(A203, Percentage_dist_journeys_by_purpose_and_distance_8km[#Headers],0),0)/100</f>
        <v>0</v>
      </c>
      <c r="J203" s="73">
        <f>VLOOKUP(B203,Average_Distance_by_kilometres_grouping_for_trip_purpose[#All],MATCH(A203,Average_Distance_by_kilometres_grouping_for_trip_purpose[#Headers],0),0)</f>
        <v>1</v>
      </c>
      <c r="K203" s="77">
        <f>VLOOKUP(C203, Adjustment_factor_for_distance_based_on_trip_purpose[#All],MATCH(A203, Adjustment_factor_for_distance_based_on_trip_purpose[#Headers],0),0)</f>
        <v>0.94444444444444442</v>
      </c>
      <c r="L203" s="78">
        <f>VLOOKUP($L$2, Total_Journeys_Per_Year[#All],MATCH(A203, Total_Journeys_Per_Year[#Headers],0),0)</f>
        <v>3079198792.0558629</v>
      </c>
      <c r="M203" s="35">
        <f t="shared" si="3"/>
        <v>51822915.670300178</v>
      </c>
      <c r="N203" s="35">
        <f>VLOOKUP($N$2, Private_Vehicle_Kilometres_Car_Stock[#All],MATCH(A203, Private_Vehicle_Kilometres_Car_Stock[#Headers],0),0)</f>
        <v>36171159701</v>
      </c>
    </row>
    <row r="204" spans="1:14" x14ac:dyDescent="0.25">
      <c r="A204" s="79" t="s">
        <v>36</v>
      </c>
      <c r="B204" s="13" t="s">
        <v>181</v>
      </c>
      <c r="C204" s="13" t="s">
        <v>46</v>
      </c>
      <c r="D204" s="5">
        <f>VLOOKUP(B204,Percentage_distribution_of_journey_distance_for_all_regions[#All],MATCH(A204,Percentage_distribution_of_journey_distance_for_all_regions[#Headers],0),0)/100</f>
        <v>0.13400000000000001</v>
      </c>
      <c r="E204" s="71">
        <f>IF(B204="&lt;2 kilometres",1,0)*VLOOKUP(C204, Percentage_dist_journeys_by_purpose_and_distance_to_2km[#All],MATCH(A204, Percentage_dist_journeys_by_purpose_and_distance_to_2km[#Headers],0),0)/100</f>
        <v>0</v>
      </c>
      <c r="F204" s="4">
        <f>IF(B204="2-4 kilometres",1,0)*VLOOKUP(C204, Percentage_dist_journeys_by_purpose_and_distance_2_to_4km[#All],MATCH(A204, Percentage_dist_journeys_by_purpose_and_distance_2_to_4km[#Headers],0),0)/100</f>
        <v>7.2000000000000008E-2</v>
      </c>
      <c r="G204" s="72">
        <f>IF(B204="4-6 kilometres",1,0)*VLOOKUP(C204, Percentage_dist_journeys_by_purpose_and_distance_4_to_6km[#All],MATCH(A204, Percentage_dist_journeys_by_purpose_and_distance_4_to_6km[#Headers],0),0)/100</f>
        <v>0</v>
      </c>
      <c r="H204" s="4">
        <f>IF(B204="6-8 kilometres",1,0)*VLOOKUP(C204, Percentage_dist_journeys_by_purpose_and_distance_6_to_8km[#All],MATCH(A204, Percentage_dist_journeys_by_purpose_and_distance_6_to_8km[#Headers],0),0)/100</f>
        <v>0</v>
      </c>
      <c r="I204" s="72">
        <f>IF(B204="8+ kilometres",1,0)*VLOOKUP(C204, Percentage_dist_journeys_by_purpose_and_distance_8km[#All],MATCH(A204, Percentage_dist_journeys_by_purpose_and_distance_8km[#Headers],0),0)/100</f>
        <v>0</v>
      </c>
      <c r="J204" s="73">
        <f>VLOOKUP(B204,Average_Distance_by_kilometres_grouping_for_trip_purpose[#All],MATCH(A204,Average_Distance_by_kilometres_grouping_for_trip_purpose[#Headers],0),0)</f>
        <v>3</v>
      </c>
      <c r="K204" s="77">
        <f>VLOOKUP(C204, Adjustment_factor_for_distance_based_on_trip_purpose[#All],MATCH(A204, Adjustment_factor_for_distance_based_on_trip_purpose[#Headers],0),0)</f>
        <v>0.94444444444444442</v>
      </c>
      <c r="L204" s="78">
        <f>VLOOKUP($L$2, Total_Journeys_Per_Year[#All],MATCH(A204, Total_Journeys_Per_Year[#Headers],0),0)</f>
        <v>3079198792.0558629</v>
      </c>
      <c r="M204" s="35">
        <f t="shared" si="3"/>
        <v>89124329.83726491</v>
      </c>
      <c r="N204" s="35">
        <f>VLOOKUP($N$2, Private_Vehicle_Kilometres_Car_Stock[#All],MATCH(A204, Private_Vehicle_Kilometres_Car_Stock[#Headers],0),0)</f>
        <v>36171159701</v>
      </c>
    </row>
    <row r="205" spans="1:14" x14ac:dyDescent="0.25">
      <c r="A205" s="79" t="s">
        <v>36</v>
      </c>
      <c r="B205" s="13" t="s">
        <v>180</v>
      </c>
      <c r="C205" s="13" t="s">
        <v>46</v>
      </c>
      <c r="D205" s="5">
        <f>VLOOKUP(B205,Percentage_distribution_of_journey_distance_for_all_regions[#All],MATCH(A205,Percentage_distribution_of_journey_distance_for_all_regions[#Headers],0),0)/100</f>
        <v>0.11900000000000001</v>
      </c>
      <c r="E205" s="71">
        <f>IF(B205="&lt;2 kilometres",1,0)*VLOOKUP(C205, Percentage_dist_journeys_by_purpose_and_distance_to_2km[#All],MATCH(A205, Percentage_dist_journeys_by_purpose_and_distance_to_2km[#Headers],0),0)/100</f>
        <v>0</v>
      </c>
      <c r="F205" s="4">
        <f>IF(B205="2-4 kilometres",1,0)*VLOOKUP(C205, Percentage_dist_journeys_by_purpose_and_distance_2_to_4km[#All],MATCH(A205, Percentage_dist_journeys_by_purpose_and_distance_2_to_4km[#Headers],0),0)/100</f>
        <v>0</v>
      </c>
      <c r="G205" s="72">
        <f>IF(B205="4-6 kilometres",1,0)*VLOOKUP(C205, Percentage_dist_journeys_by_purpose_and_distance_4_to_6km[#All],MATCH(A205, Percentage_dist_journeys_by_purpose_and_distance_4_to_6km[#Headers],0),0)/100</f>
        <v>7.6999999999999999E-2</v>
      </c>
      <c r="H205" s="4">
        <f>IF(B205="6-8 kilometres",1,0)*VLOOKUP(C205, Percentage_dist_journeys_by_purpose_and_distance_6_to_8km[#All],MATCH(A205, Percentage_dist_journeys_by_purpose_and_distance_6_to_8km[#Headers],0),0)/100</f>
        <v>0</v>
      </c>
      <c r="I205" s="72">
        <f>IF(B205="8+ kilometres",1,0)*VLOOKUP(C205, Percentage_dist_journeys_by_purpose_and_distance_8km[#All],MATCH(A205, Percentage_dist_journeys_by_purpose_and_distance_8km[#Headers],0),0)/100</f>
        <v>0</v>
      </c>
      <c r="J205" s="73">
        <f>VLOOKUP(B205,Average_Distance_by_kilometres_grouping_for_trip_purpose[#All],MATCH(A205,Average_Distance_by_kilometres_grouping_for_trip_purpose[#Headers],0),0)</f>
        <v>5</v>
      </c>
      <c r="K205" s="77">
        <f>VLOOKUP(C205, Adjustment_factor_for_distance_based_on_trip_purpose[#All],MATCH(A205, Adjustment_factor_for_distance_based_on_trip_purpose[#Headers],0),0)</f>
        <v>0.94444444444444442</v>
      </c>
      <c r="L205" s="78">
        <f>VLOOKUP($L$2, Total_Journeys_Per_Year[#All],MATCH(A205, Total_Journeys_Per_Year[#Headers],0),0)</f>
        <v>3079198792.0558629</v>
      </c>
      <c r="M205" s="35">
        <f t="shared" si="3"/>
        <v>141073492.65803939</v>
      </c>
      <c r="N205" s="35">
        <f>VLOOKUP($N$2, Private_Vehicle_Kilometres_Car_Stock[#All],MATCH(A205, Private_Vehicle_Kilometres_Car_Stock[#Headers],0),0)</f>
        <v>36171159701</v>
      </c>
    </row>
    <row r="206" spans="1:14" x14ac:dyDescent="0.25">
      <c r="A206" s="79" t="s">
        <v>36</v>
      </c>
      <c r="B206" s="13" t="s">
        <v>182</v>
      </c>
      <c r="C206" s="13" t="s">
        <v>46</v>
      </c>
      <c r="D206" s="5">
        <f>VLOOKUP(B206,Percentage_distribution_of_journey_distance_for_all_regions[#All],MATCH(A206,Percentage_distribution_of_journey_distance_for_all_regions[#Headers],0),0)/100</f>
        <v>5.9000000000000004E-2</v>
      </c>
      <c r="E206" s="71">
        <f>IF(B206="&lt;2 kilometres",1,0)*VLOOKUP(C206, Percentage_dist_journeys_by_purpose_and_distance_to_2km[#All],MATCH(A206, Percentage_dist_journeys_by_purpose_and_distance_to_2km[#Headers],0),0)/100</f>
        <v>0</v>
      </c>
      <c r="F206" s="4">
        <f>IF(B206="2-4 kilometres",1,0)*VLOOKUP(C206, Percentage_dist_journeys_by_purpose_and_distance_2_to_4km[#All],MATCH(A206, Percentage_dist_journeys_by_purpose_and_distance_2_to_4km[#Headers],0),0)/100</f>
        <v>0</v>
      </c>
      <c r="G206" s="72">
        <f>IF(B206="4-6 kilometres",1,0)*VLOOKUP(C206, Percentage_dist_journeys_by_purpose_and_distance_4_to_6km[#All],MATCH(A206, Percentage_dist_journeys_by_purpose_and_distance_4_to_6km[#Headers],0),0)/100</f>
        <v>0</v>
      </c>
      <c r="H206" s="4">
        <f>IF(B206="6-8 kilometres",1,0)*VLOOKUP(C206, Percentage_dist_journeys_by_purpose_and_distance_6_to_8km[#All],MATCH(A206, Percentage_dist_journeys_by_purpose_and_distance_6_to_8km[#Headers],0),0)/100</f>
        <v>6.5000000000000002E-2</v>
      </c>
      <c r="I206" s="72">
        <f>IF(B206="8+ kilometres",1,0)*VLOOKUP(C206, Percentage_dist_journeys_by_purpose_and_distance_8km[#All],MATCH(A206, Percentage_dist_journeys_by_purpose_and_distance_8km[#Headers],0),0)/100</f>
        <v>0</v>
      </c>
      <c r="J206" s="73">
        <f>VLOOKUP(B206,Average_Distance_by_kilometres_grouping_for_trip_purpose[#All],MATCH(A206,Average_Distance_by_kilometres_grouping_for_trip_purpose[#Headers],0),0)</f>
        <v>7</v>
      </c>
      <c r="K206" s="77">
        <f>VLOOKUP(C206, Adjustment_factor_for_distance_based_on_trip_purpose[#All],MATCH(A206, Adjustment_factor_for_distance_based_on_trip_purpose[#Headers],0),0)</f>
        <v>0.94444444444444442</v>
      </c>
      <c r="L206" s="78">
        <f>VLOOKUP($L$2, Total_Journeys_Per_Year[#All],MATCH(A206, Total_Journeys_Per_Year[#Headers],0),0)</f>
        <v>3079198792.0558629</v>
      </c>
      <c r="M206" s="35">
        <f t="shared" si="3"/>
        <v>82661091.572739646</v>
      </c>
      <c r="N206" s="35">
        <f>VLOOKUP($N$2, Private_Vehicle_Kilometres_Car_Stock[#All],MATCH(A206, Private_Vehicle_Kilometres_Car_Stock[#Headers],0),0)</f>
        <v>36171159701</v>
      </c>
    </row>
    <row r="207" spans="1:14" x14ac:dyDescent="0.25">
      <c r="A207" s="79" t="s">
        <v>36</v>
      </c>
      <c r="B207" s="13" t="s">
        <v>1</v>
      </c>
      <c r="C207" s="13" t="s">
        <v>46</v>
      </c>
      <c r="D207" s="5">
        <f>VLOOKUP(B207,Percentage_distribution_of_journey_distance_for_all_regions[#All],MATCH(A207,Percentage_distribution_of_journey_distance_for_all_regions[#Headers],0),0)/100</f>
        <v>0.433</v>
      </c>
      <c r="E207" s="71">
        <f>IF(B207="&lt;2 kilometres",1,0)*VLOOKUP(C207, Percentage_dist_journeys_by_purpose_and_distance_to_2km[#All],MATCH(A207, Percentage_dist_journeys_by_purpose_and_distance_to_2km[#Headers],0),0)/100</f>
        <v>0</v>
      </c>
      <c r="F207" s="4">
        <f>IF(B207="2-4 kilometres",1,0)*VLOOKUP(C207, Percentage_dist_journeys_by_purpose_and_distance_2_to_4km[#All],MATCH(A207, Percentage_dist_journeys_by_purpose_and_distance_2_to_4km[#Headers],0),0)/100</f>
        <v>0</v>
      </c>
      <c r="G207" s="72">
        <f>IF(B207="4-6 kilometres",1,0)*VLOOKUP(C207, Percentage_dist_journeys_by_purpose_and_distance_4_to_6km[#All],MATCH(A207, Percentage_dist_journeys_by_purpose_and_distance_4_to_6km[#Headers],0),0)/100</f>
        <v>0</v>
      </c>
      <c r="H207" s="4">
        <f>IF(B207="6-8 kilometres",1,0)*VLOOKUP(C207, Percentage_dist_journeys_by_purpose_and_distance_6_to_8km[#All],MATCH(A207, Percentage_dist_journeys_by_purpose_and_distance_6_to_8km[#Headers],0),0)/100</f>
        <v>0</v>
      </c>
      <c r="I207" s="72">
        <f>IF(B207="8+ kilometres",1,0)*VLOOKUP(C207, Percentage_dist_journeys_by_purpose_and_distance_8km[#All],MATCH(A207, Percentage_dist_journeys_by_purpose_and_distance_8km[#Headers],0),0)/100</f>
        <v>0.107</v>
      </c>
      <c r="J207" s="73">
        <f>VLOOKUP(B207,Average_Distance_by_kilometres_grouping_for_trip_purpose[#All],MATCH(A207,Average_Distance_by_kilometres_grouping_for_trip_purpose[#Headers],0),0)</f>
        <v>43.24</v>
      </c>
      <c r="K207" s="77">
        <f>VLOOKUP(C207, Adjustment_factor_for_distance_based_on_trip_purpose[#All],MATCH(A207, Adjustment_factor_for_distance_based_on_trip_purpose[#Headers],0),0)</f>
        <v>0.94444444444444442</v>
      </c>
      <c r="L207" s="78">
        <f>VLOOKUP($L$2, Total_Journeys_Per_Year[#All],MATCH(A207, Total_Journeys_Per_Year[#Headers],0),0)</f>
        <v>3079198792.0558629</v>
      </c>
      <c r="M207" s="35">
        <f t="shared" si="3"/>
        <v>6168720413.3101654</v>
      </c>
      <c r="N207" s="35">
        <f>VLOOKUP($N$2, Private_Vehicle_Kilometres_Car_Stock[#All],MATCH(A207, Private_Vehicle_Kilometres_Car_Stock[#Headers],0),0)</f>
        <v>36171159701</v>
      </c>
    </row>
    <row r="208" spans="1:14" x14ac:dyDescent="0.25">
      <c r="A208" s="79" t="s">
        <v>36</v>
      </c>
      <c r="B208" s="13" t="s">
        <v>12</v>
      </c>
      <c r="C208" s="13" t="s">
        <v>47</v>
      </c>
      <c r="D208" s="5">
        <f>VLOOKUP(B208,Percentage_distribution_of_journey_distance_for_all_regions[#All],MATCH(A208,Percentage_distribution_of_journey_distance_for_all_regions[#Headers],0),0)/100</f>
        <v>0.255</v>
      </c>
      <c r="E208" s="71">
        <f>IF(B208="&lt;2 kilometres",1,0)*VLOOKUP(C208, Percentage_dist_journeys_by_purpose_and_distance_to_2km[#All],MATCH(A208, Percentage_dist_journeys_by_purpose_and_distance_to_2km[#Headers],0),0)/100</f>
        <v>8.5999999999999993E-2</v>
      </c>
      <c r="F208" s="4">
        <f>IF(B208="2-4 kilometres",1,0)*VLOOKUP(C208, Percentage_dist_journeys_by_purpose_and_distance_2_to_4km[#All],MATCH(A208, Percentage_dist_journeys_by_purpose_and_distance_2_to_4km[#Headers],0),0)/100</f>
        <v>0</v>
      </c>
      <c r="G208" s="72">
        <f>IF(B208="4-6 kilometres",1,0)*VLOOKUP(C208, Percentage_dist_journeys_by_purpose_and_distance_4_to_6km[#All],MATCH(A208, Percentage_dist_journeys_by_purpose_and_distance_4_to_6km[#Headers],0),0)/100</f>
        <v>0</v>
      </c>
      <c r="H208" s="4">
        <f>IF(B208="6-8 kilometres",1,0)*VLOOKUP(C208, Percentage_dist_journeys_by_purpose_and_distance_6_to_8km[#All],MATCH(A208, Percentage_dist_journeys_by_purpose_and_distance_6_to_8km[#Headers],0),0)/100</f>
        <v>0</v>
      </c>
      <c r="I208" s="72">
        <f>IF(B208="8+ kilometres",1,0)*VLOOKUP(C208, Percentage_dist_journeys_by_purpose_and_distance_8km[#All],MATCH(A208, Percentage_dist_journeys_by_purpose_and_distance_8km[#Headers],0),0)/100</f>
        <v>0</v>
      </c>
      <c r="J208" s="73">
        <f>VLOOKUP(B208,Average_Distance_by_kilometres_grouping_for_trip_purpose[#All],MATCH(A208,Average_Distance_by_kilometres_grouping_for_trip_purpose[#Headers],0),0)</f>
        <v>1</v>
      </c>
      <c r="K208" s="77">
        <f>VLOOKUP(C208, Adjustment_factor_for_distance_based_on_trip_purpose[#All],MATCH(A208, Adjustment_factor_for_distance_based_on_trip_purpose[#Headers],0),0)</f>
        <v>0.94444444444444442</v>
      </c>
      <c r="L208" s="78">
        <f>VLOOKUP($L$2, Total_Journeys_Per_Year[#All],MATCH(A208, Total_Journeys_Per_Year[#Headers],0),0)</f>
        <v>3079198792.0558629</v>
      </c>
      <c r="M208" s="35">
        <f t="shared" si="3"/>
        <v>67526829.509785071</v>
      </c>
      <c r="N208" s="35">
        <f>VLOOKUP($N$2, Private_Vehicle_Kilometres_Car_Stock[#All],MATCH(A208, Private_Vehicle_Kilometres_Car_Stock[#Headers],0),0)</f>
        <v>36171159701</v>
      </c>
    </row>
    <row r="209" spans="1:14" x14ac:dyDescent="0.25">
      <c r="A209" s="79" t="s">
        <v>36</v>
      </c>
      <c r="B209" s="13" t="s">
        <v>181</v>
      </c>
      <c r="C209" s="13" t="s">
        <v>47</v>
      </c>
      <c r="D209" s="5">
        <f>VLOOKUP(B209,Percentage_distribution_of_journey_distance_for_all_regions[#All],MATCH(A209,Percentage_distribution_of_journey_distance_for_all_regions[#Headers],0),0)/100</f>
        <v>0.13400000000000001</v>
      </c>
      <c r="E209" s="71">
        <f>IF(B209="&lt;2 kilometres",1,0)*VLOOKUP(C209, Percentage_dist_journeys_by_purpose_and_distance_to_2km[#All],MATCH(A209, Percentage_dist_journeys_by_purpose_and_distance_to_2km[#Headers],0),0)/100</f>
        <v>0</v>
      </c>
      <c r="F209" s="4">
        <f>IF(B209="2-4 kilometres",1,0)*VLOOKUP(C209, Percentage_dist_journeys_by_purpose_and_distance_2_to_4km[#All],MATCH(A209, Percentage_dist_journeys_by_purpose_and_distance_2_to_4km[#Headers],0),0)/100</f>
        <v>0.109</v>
      </c>
      <c r="G209" s="72">
        <f>IF(B209="4-6 kilometres",1,0)*VLOOKUP(C209, Percentage_dist_journeys_by_purpose_and_distance_4_to_6km[#All],MATCH(A209, Percentage_dist_journeys_by_purpose_and_distance_4_to_6km[#Headers],0),0)/100</f>
        <v>0</v>
      </c>
      <c r="H209" s="4">
        <f>IF(B209="6-8 kilometres",1,0)*VLOOKUP(C209, Percentage_dist_journeys_by_purpose_and_distance_6_to_8km[#All],MATCH(A209, Percentage_dist_journeys_by_purpose_and_distance_6_to_8km[#Headers],0),0)/100</f>
        <v>0</v>
      </c>
      <c r="I209" s="72">
        <f>IF(B209="8+ kilometres",1,0)*VLOOKUP(C209, Percentage_dist_journeys_by_purpose_and_distance_8km[#All],MATCH(A209, Percentage_dist_journeys_by_purpose_and_distance_8km[#Headers],0),0)/100</f>
        <v>0</v>
      </c>
      <c r="J209" s="73">
        <f>VLOOKUP(B209,Average_Distance_by_kilometres_grouping_for_trip_purpose[#All],MATCH(A209,Average_Distance_by_kilometres_grouping_for_trip_purpose[#Headers],0),0)</f>
        <v>3</v>
      </c>
      <c r="K209" s="77">
        <f>VLOOKUP(C209, Adjustment_factor_for_distance_based_on_trip_purpose[#All],MATCH(A209, Adjustment_factor_for_distance_based_on_trip_purpose[#Headers],0),0)</f>
        <v>0.94444444444444442</v>
      </c>
      <c r="L209" s="78">
        <f>VLOOKUP($L$2, Total_Journeys_Per_Year[#All],MATCH(A209, Total_Journeys_Per_Year[#Headers],0),0)</f>
        <v>3079198792.0558629</v>
      </c>
      <c r="M209" s="35">
        <f t="shared" si="3"/>
        <v>134924332.67030382</v>
      </c>
      <c r="N209" s="35">
        <f>VLOOKUP($N$2, Private_Vehicle_Kilometres_Car_Stock[#All],MATCH(A209, Private_Vehicle_Kilometres_Car_Stock[#Headers],0),0)</f>
        <v>36171159701</v>
      </c>
    </row>
    <row r="210" spans="1:14" x14ac:dyDescent="0.25">
      <c r="A210" s="79" t="s">
        <v>36</v>
      </c>
      <c r="B210" s="13" t="s">
        <v>180</v>
      </c>
      <c r="C210" s="13" t="s">
        <v>47</v>
      </c>
      <c r="D210" s="5">
        <f>VLOOKUP(B210,Percentage_distribution_of_journey_distance_for_all_regions[#All],MATCH(A210,Percentage_distribution_of_journey_distance_for_all_regions[#Headers],0),0)/100</f>
        <v>0.11900000000000001</v>
      </c>
      <c r="E210" s="71">
        <f>IF(B210="&lt;2 kilometres",1,0)*VLOOKUP(C210, Percentage_dist_journeys_by_purpose_and_distance_to_2km[#All],MATCH(A210, Percentage_dist_journeys_by_purpose_and_distance_to_2km[#Headers],0),0)/100</f>
        <v>0</v>
      </c>
      <c r="F210" s="4">
        <f>IF(B210="2-4 kilometres",1,0)*VLOOKUP(C210, Percentage_dist_journeys_by_purpose_and_distance_2_to_4km[#All],MATCH(A210, Percentage_dist_journeys_by_purpose_and_distance_2_to_4km[#Headers],0),0)/100</f>
        <v>0</v>
      </c>
      <c r="G210" s="72">
        <f>IF(B210="4-6 kilometres",1,0)*VLOOKUP(C210, Percentage_dist_journeys_by_purpose_and_distance_4_to_6km[#All],MATCH(A210, Percentage_dist_journeys_by_purpose_and_distance_4_to_6km[#Headers],0),0)/100</f>
        <v>9.3000000000000013E-2</v>
      </c>
      <c r="H210" s="4">
        <f>IF(B210="6-8 kilometres",1,0)*VLOOKUP(C210, Percentage_dist_journeys_by_purpose_and_distance_6_to_8km[#All],MATCH(A210, Percentage_dist_journeys_by_purpose_and_distance_6_to_8km[#Headers],0),0)/100</f>
        <v>0</v>
      </c>
      <c r="I210" s="72">
        <f>IF(B210="8+ kilometres",1,0)*VLOOKUP(C210, Percentage_dist_journeys_by_purpose_and_distance_8km[#All],MATCH(A210, Percentage_dist_journeys_by_purpose_and_distance_8km[#Headers],0),0)/100</f>
        <v>0</v>
      </c>
      <c r="J210" s="73">
        <f>VLOOKUP(B210,Average_Distance_by_kilometres_grouping_for_trip_purpose[#All],MATCH(A210,Average_Distance_by_kilometres_grouping_for_trip_purpose[#Headers],0),0)</f>
        <v>5</v>
      </c>
      <c r="K210" s="77">
        <f>VLOOKUP(C210, Adjustment_factor_for_distance_based_on_trip_purpose[#All],MATCH(A210, Adjustment_factor_for_distance_based_on_trip_purpose[#Headers],0),0)</f>
        <v>0.94444444444444442</v>
      </c>
      <c r="L210" s="78">
        <f>VLOOKUP($L$2, Total_Journeys_Per_Year[#All],MATCH(A210, Total_Journeys_Per_Year[#Headers],0),0)</f>
        <v>3079198792.0558629</v>
      </c>
      <c r="M210" s="35">
        <f t="shared" si="3"/>
        <v>170387465.1584112</v>
      </c>
      <c r="N210" s="35">
        <f>VLOOKUP($N$2, Private_Vehicle_Kilometres_Car_Stock[#All],MATCH(A210, Private_Vehicle_Kilometres_Car_Stock[#Headers],0),0)</f>
        <v>36171159701</v>
      </c>
    </row>
    <row r="211" spans="1:14" x14ac:dyDescent="0.25">
      <c r="A211" s="79" t="s">
        <v>36</v>
      </c>
      <c r="B211" s="13" t="s">
        <v>182</v>
      </c>
      <c r="C211" s="13" t="s">
        <v>47</v>
      </c>
      <c r="D211" s="5">
        <f>VLOOKUP(B211,Percentage_distribution_of_journey_distance_for_all_regions[#All],MATCH(A211,Percentage_distribution_of_journey_distance_for_all_regions[#Headers],0),0)/100</f>
        <v>5.9000000000000004E-2</v>
      </c>
      <c r="E211" s="71">
        <f>IF(B211="&lt;2 kilometres",1,0)*VLOOKUP(C211, Percentage_dist_journeys_by_purpose_and_distance_to_2km[#All],MATCH(A211, Percentage_dist_journeys_by_purpose_and_distance_to_2km[#Headers],0),0)/100</f>
        <v>0</v>
      </c>
      <c r="F211" s="4">
        <f>IF(B211="2-4 kilometres",1,0)*VLOOKUP(C211, Percentage_dist_journeys_by_purpose_and_distance_2_to_4km[#All],MATCH(A211, Percentage_dist_journeys_by_purpose_and_distance_2_to_4km[#Headers],0),0)/100</f>
        <v>0</v>
      </c>
      <c r="G211" s="72">
        <f>IF(B211="4-6 kilometres",1,0)*VLOOKUP(C211, Percentage_dist_journeys_by_purpose_and_distance_4_to_6km[#All],MATCH(A211, Percentage_dist_journeys_by_purpose_and_distance_4_to_6km[#Headers],0),0)/100</f>
        <v>0</v>
      </c>
      <c r="H211" s="4">
        <f>IF(B211="6-8 kilometres",1,0)*VLOOKUP(C211, Percentage_dist_journeys_by_purpose_and_distance_6_to_8km[#All],MATCH(A211, Percentage_dist_journeys_by_purpose_and_distance_6_to_8km[#Headers],0),0)/100</f>
        <v>9.1999999999999998E-2</v>
      </c>
      <c r="I211" s="72">
        <f>IF(B211="8+ kilometres",1,0)*VLOOKUP(C211, Percentage_dist_journeys_by_purpose_and_distance_8km[#All],MATCH(A211, Percentage_dist_journeys_by_purpose_and_distance_8km[#Headers],0),0)/100</f>
        <v>0</v>
      </c>
      <c r="J211" s="73">
        <f>VLOOKUP(B211,Average_Distance_by_kilometres_grouping_for_trip_purpose[#All],MATCH(A211,Average_Distance_by_kilometres_grouping_for_trip_purpose[#Headers],0),0)</f>
        <v>7</v>
      </c>
      <c r="K211" s="77">
        <f>VLOOKUP(C211, Adjustment_factor_for_distance_based_on_trip_purpose[#All],MATCH(A211, Adjustment_factor_for_distance_based_on_trip_purpose[#Headers],0),0)</f>
        <v>0.94444444444444442</v>
      </c>
      <c r="L211" s="78">
        <f>VLOOKUP($L$2, Total_Journeys_Per_Year[#All],MATCH(A211, Total_Journeys_Per_Year[#Headers],0),0)</f>
        <v>3079198792.0558629</v>
      </c>
      <c r="M211" s="35">
        <f t="shared" si="3"/>
        <v>116997237.30295457</v>
      </c>
      <c r="N211" s="35">
        <f>VLOOKUP($N$2, Private_Vehicle_Kilometres_Car_Stock[#All],MATCH(A211, Private_Vehicle_Kilometres_Car_Stock[#Headers],0),0)</f>
        <v>36171159701</v>
      </c>
    </row>
    <row r="212" spans="1:14" x14ac:dyDescent="0.25">
      <c r="A212" s="79" t="s">
        <v>36</v>
      </c>
      <c r="B212" s="13" t="s">
        <v>1</v>
      </c>
      <c r="C212" s="13" t="s">
        <v>47</v>
      </c>
      <c r="D212" s="5">
        <f>VLOOKUP(B212,Percentage_distribution_of_journey_distance_for_all_regions[#All],MATCH(A212,Percentage_distribution_of_journey_distance_for_all_regions[#Headers],0),0)/100</f>
        <v>0.433</v>
      </c>
      <c r="E212" s="71">
        <f>IF(B212="&lt;2 kilometres",1,0)*VLOOKUP(C212, Percentage_dist_journeys_by_purpose_and_distance_to_2km[#All],MATCH(A212, Percentage_dist_journeys_by_purpose_and_distance_to_2km[#Headers],0),0)/100</f>
        <v>0</v>
      </c>
      <c r="F212" s="4">
        <f>IF(B212="2-4 kilometres",1,0)*VLOOKUP(C212, Percentage_dist_journeys_by_purpose_and_distance_2_to_4km[#All],MATCH(A212, Percentage_dist_journeys_by_purpose_and_distance_2_to_4km[#Headers],0),0)/100</f>
        <v>0</v>
      </c>
      <c r="G212" s="72">
        <f>IF(B212="4-6 kilometres",1,0)*VLOOKUP(C212, Percentage_dist_journeys_by_purpose_and_distance_4_to_6km[#All],MATCH(A212, Percentage_dist_journeys_by_purpose_and_distance_4_to_6km[#Headers],0),0)/100</f>
        <v>0</v>
      </c>
      <c r="H212" s="4">
        <f>IF(B212="6-8 kilometres",1,0)*VLOOKUP(C212, Percentage_dist_journeys_by_purpose_and_distance_6_to_8km[#All],MATCH(A212, Percentage_dist_journeys_by_purpose_and_distance_6_to_8km[#Headers],0),0)/100</f>
        <v>0</v>
      </c>
      <c r="I212" s="72">
        <f>IF(B212="8+ kilometres",1,0)*VLOOKUP(C212, Percentage_dist_journeys_by_purpose_and_distance_8km[#All],MATCH(A212, Percentage_dist_journeys_by_purpose_and_distance_8km[#Headers],0),0)/100</f>
        <v>0.09</v>
      </c>
      <c r="J212" s="73">
        <f>VLOOKUP(B212,Average_Distance_by_kilometres_grouping_for_trip_purpose[#All],MATCH(A212,Average_Distance_by_kilometres_grouping_for_trip_purpose[#Headers],0),0)</f>
        <v>43.24</v>
      </c>
      <c r="K212" s="77">
        <f>VLOOKUP(C212, Adjustment_factor_for_distance_based_on_trip_purpose[#All],MATCH(A212, Adjustment_factor_for_distance_based_on_trip_purpose[#Headers],0),0)</f>
        <v>0.94444444444444442</v>
      </c>
      <c r="L212" s="78">
        <f>VLOOKUP($L$2, Total_Journeys_Per_Year[#All],MATCH(A212, Total_Journeys_Per_Year[#Headers],0),0)</f>
        <v>3079198792.0558629</v>
      </c>
      <c r="M212" s="35">
        <f t="shared" si="3"/>
        <v>5188643338.2982702</v>
      </c>
      <c r="N212" s="35">
        <f>VLOOKUP($N$2, Private_Vehicle_Kilometres_Car_Stock[#All],MATCH(A212, Private_Vehicle_Kilometres_Car_Stock[#Headers],0),0)</f>
        <v>36171159701</v>
      </c>
    </row>
    <row r="213" spans="1:14" x14ac:dyDescent="0.25">
      <c r="A213" s="79" t="s">
        <v>36</v>
      </c>
      <c r="B213" s="13" t="s">
        <v>12</v>
      </c>
      <c r="C213" s="13" t="s">
        <v>48</v>
      </c>
      <c r="D213" s="5">
        <f>VLOOKUP(B213,Percentage_distribution_of_journey_distance_for_all_regions[#All],MATCH(A213,Percentage_distribution_of_journey_distance_for_all_regions[#Headers],0),0)/100</f>
        <v>0.255</v>
      </c>
      <c r="E213" s="71">
        <f>IF(B213="&lt;2 kilometres",1,0)*VLOOKUP(C213, Percentage_dist_journeys_by_purpose_and_distance_to_2km[#All],MATCH(A213, Percentage_dist_journeys_by_purpose_and_distance_to_2km[#Headers],0),0)/100</f>
        <v>5.2999999999999999E-2</v>
      </c>
      <c r="F213" s="4">
        <f>IF(B213="2-4 kilometres",1,0)*VLOOKUP(C213, Percentage_dist_journeys_by_purpose_and_distance_2_to_4km[#All],MATCH(A213, Percentage_dist_journeys_by_purpose_and_distance_2_to_4km[#Headers],0),0)/100</f>
        <v>0</v>
      </c>
      <c r="G213" s="72">
        <f>IF(B213="4-6 kilometres",1,0)*VLOOKUP(C213, Percentage_dist_journeys_by_purpose_and_distance_4_to_6km[#All],MATCH(A213, Percentage_dist_journeys_by_purpose_and_distance_4_to_6km[#Headers],0),0)/100</f>
        <v>0</v>
      </c>
      <c r="H213" s="4">
        <f>IF(B213="6-8 kilometres",1,0)*VLOOKUP(C213, Percentage_dist_journeys_by_purpose_and_distance_6_to_8km[#All],MATCH(A213, Percentage_dist_journeys_by_purpose_and_distance_6_to_8km[#Headers],0),0)/100</f>
        <v>0</v>
      </c>
      <c r="I213" s="72">
        <f>IF(B213="8+ kilometres",1,0)*VLOOKUP(C213, Percentage_dist_journeys_by_purpose_and_distance_8km[#All],MATCH(A213, Percentage_dist_journeys_by_purpose_and_distance_8km[#Headers],0),0)/100</f>
        <v>0</v>
      </c>
      <c r="J213" s="73">
        <f>VLOOKUP(B213,Average_Distance_by_kilometres_grouping_for_trip_purpose[#All],MATCH(A213,Average_Distance_by_kilometres_grouping_for_trip_purpose[#Headers],0),0)</f>
        <v>1</v>
      </c>
      <c r="K213" s="77">
        <f>VLOOKUP(C213, Adjustment_factor_for_distance_based_on_trip_purpose[#All],MATCH(A213, Adjustment_factor_for_distance_based_on_trip_purpose[#Headers],0),0)</f>
        <v>0.66666666666666663</v>
      </c>
      <c r="L213" s="78">
        <f>VLOOKUP($L$2, Total_Journeys_Per_Year[#All],MATCH(A213, Total_Journeys_Per_Year[#Headers],0),0)</f>
        <v>3079198792.0558629</v>
      </c>
      <c r="M213" s="35">
        <f t="shared" si="3"/>
        <v>41615371.674634986</v>
      </c>
      <c r="N213" s="35">
        <f>VLOOKUP($N$2, Private_Vehicle_Kilometres_Car_Stock[#All],MATCH(A213, Private_Vehicle_Kilometres_Car_Stock[#Headers],0),0)</f>
        <v>36171159701</v>
      </c>
    </row>
    <row r="214" spans="1:14" x14ac:dyDescent="0.25">
      <c r="A214" s="79" t="s">
        <v>36</v>
      </c>
      <c r="B214" s="13" t="s">
        <v>181</v>
      </c>
      <c r="C214" s="13" t="s">
        <v>48</v>
      </c>
      <c r="D214" s="5">
        <f>VLOOKUP(B214,Percentage_distribution_of_journey_distance_for_all_regions[#All],MATCH(A214,Percentage_distribution_of_journey_distance_for_all_regions[#Headers],0),0)/100</f>
        <v>0.13400000000000001</v>
      </c>
      <c r="E214" s="71">
        <f>IF(B214="&lt;2 kilometres",1,0)*VLOOKUP(C214, Percentage_dist_journeys_by_purpose_and_distance_to_2km[#All],MATCH(A214, Percentage_dist_journeys_by_purpose_and_distance_to_2km[#Headers],0),0)/100</f>
        <v>0</v>
      </c>
      <c r="F214" s="4">
        <f>IF(B214="2-4 kilometres",1,0)*VLOOKUP(C214, Percentage_dist_journeys_by_purpose_and_distance_2_to_4km[#All],MATCH(A214, Percentage_dist_journeys_by_purpose_and_distance_2_to_4km[#Headers],0),0)/100</f>
        <v>5.2000000000000005E-2</v>
      </c>
      <c r="G214" s="72">
        <f>IF(B214="4-6 kilometres",1,0)*VLOOKUP(C214, Percentage_dist_journeys_by_purpose_and_distance_4_to_6km[#All],MATCH(A214, Percentage_dist_journeys_by_purpose_and_distance_4_to_6km[#Headers],0),0)/100</f>
        <v>0</v>
      </c>
      <c r="H214" s="4">
        <f>IF(B214="6-8 kilometres",1,0)*VLOOKUP(C214, Percentage_dist_journeys_by_purpose_and_distance_6_to_8km[#All],MATCH(A214, Percentage_dist_journeys_by_purpose_and_distance_6_to_8km[#Headers],0),0)/100</f>
        <v>0</v>
      </c>
      <c r="I214" s="72">
        <f>IF(B214="8+ kilometres",1,0)*VLOOKUP(C214, Percentage_dist_journeys_by_purpose_and_distance_8km[#All],MATCH(A214, Percentage_dist_journeys_by_purpose_and_distance_8km[#Headers],0),0)/100</f>
        <v>0</v>
      </c>
      <c r="J214" s="73">
        <f>VLOOKUP(B214,Average_Distance_by_kilometres_grouping_for_trip_purpose[#All],MATCH(A214,Average_Distance_by_kilometres_grouping_for_trip_purpose[#Headers],0),0)</f>
        <v>3</v>
      </c>
      <c r="K214" s="77">
        <f>VLOOKUP(C214, Adjustment_factor_for_distance_based_on_trip_purpose[#All],MATCH(A214, Adjustment_factor_for_distance_based_on_trip_purpose[#Headers],0),0)</f>
        <v>0.66666666666666663</v>
      </c>
      <c r="L214" s="78">
        <f>VLOOKUP($L$2, Total_Journeys_Per_Year[#All],MATCH(A214, Total_Journeys_Per_Year[#Headers],0),0)</f>
        <v>3079198792.0558629</v>
      </c>
      <c r="M214" s="35">
        <f t="shared" si="3"/>
        <v>64367571.549135767</v>
      </c>
      <c r="N214" s="35">
        <f>VLOOKUP($N$2, Private_Vehicle_Kilometres_Car_Stock[#All],MATCH(A214, Private_Vehicle_Kilometres_Car_Stock[#Headers],0),0)</f>
        <v>36171159701</v>
      </c>
    </row>
    <row r="215" spans="1:14" x14ac:dyDescent="0.25">
      <c r="A215" s="79" t="s">
        <v>36</v>
      </c>
      <c r="B215" s="13" t="s">
        <v>180</v>
      </c>
      <c r="C215" s="13" t="s">
        <v>48</v>
      </c>
      <c r="D215" s="5">
        <f>VLOOKUP(B215,Percentage_distribution_of_journey_distance_for_all_regions[#All],MATCH(A215,Percentage_distribution_of_journey_distance_for_all_regions[#Headers],0),0)/100</f>
        <v>0.11900000000000001</v>
      </c>
      <c r="E215" s="71">
        <f>IF(B215="&lt;2 kilometres",1,0)*VLOOKUP(C215, Percentage_dist_journeys_by_purpose_and_distance_to_2km[#All],MATCH(A215, Percentage_dist_journeys_by_purpose_and_distance_to_2km[#Headers],0),0)/100</f>
        <v>0</v>
      </c>
      <c r="F215" s="4">
        <f>IF(B215="2-4 kilometres",1,0)*VLOOKUP(C215, Percentage_dist_journeys_by_purpose_and_distance_2_to_4km[#All],MATCH(A215, Percentage_dist_journeys_by_purpose_and_distance_2_to_4km[#Headers],0),0)/100</f>
        <v>0</v>
      </c>
      <c r="G215" s="72">
        <f>IF(B215="4-6 kilometres",1,0)*VLOOKUP(C215, Percentage_dist_journeys_by_purpose_and_distance_4_to_6km[#All],MATCH(A215, Percentage_dist_journeys_by_purpose_and_distance_4_to_6km[#Headers],0),0)/100</f>
        <v>4.4999999999999998E-2</v>
      </c>
      <c r="H215" s="4">
        <f>IF(B215="6-8 kilometres",1,0)*VLOOKUP(C215, Percentage_dist_journeys_by_purpose_and_distance_6_to_8km[#All],MATCH(A215, Percentage_dist_journeys_by_purpose_and_distance_6_to_8km[#Headers],0),0)/100</f>
        <v>0</v>
      </c>
      <c r="I215" s="72">
        <f>IF(B215="8+ kilometres",1,0)*VLOOKUP(C215, Percentage_dist_journeys_by_purpose_and_distance_8km[#All],MATCH(A215, Percentage_dist_journeys_by_purpose_and_distance_8km[#Headers],0),0)/100</f>
        <v>0</v>
      </c>
      <c r="J215" s="73">
        <f>VLOOKUP(B215,Average_Distance_by_kilometres_grouping_for_trip_purpose[#All],MATCH(A215,Average_Distance_by_kilometres_grouping_for_trip_purpose[#Headers],0),0)</f>
        <v>5</v>
      </c>
      <c r="K215" s="77">
        <f>VLOOKUP(C215, Adjustment_factor_for_distance_based_on_trip_purpose[#All],MATCH(A215, Adjustment_factor_for_distance_based_on_trip_purpose[#Headers],0),0)</f>
        <v>0.66666666666666663</v>
      </c>
      <c r="L215" s="78">
        <f>VLOOKUP($L$2, Total_Journeys_Per_Year[#All],MATCH(A215, Total_Journeys_Per_Year[#Headers],0),0)</f>
        <v>3079198792.0558629</v>
      </c>
      <c r="M215" s="35">
        <f t="shared" si="3"/>
        <v>82445547.657295734</v>
      </c>
      <c r="N215" s="35">
        <f>VLOOKUP($N$2, Private_Vehicle_Kilometres_Car_Stock[#All],MATCH(A215, Private_Vehicle_Kilometres_Car_Stock[#Headers],0),0)</f>
        <v>36171159701</v>
      </c>
    </row>
    <row r="216" spans="1:14" x14ac:dyDescent="0.25">
      <c r="A216" s="79" t="s">
        <v>36</v>
      </c>
      <c r="B216" s="13" t="s">
        <v>182</v>
      </c>
      <c r="C216" s="13" t="s">
        <v>48</v>
      </c>
      <c r="D216" s="5">
        <f>VLOOKUP(B216,Percentage_distribution_of_journey_distance_for_all_regions[#All],MATCH(A216,Percentage_distribution_of_journey_distance_for_all_regions[#Headers],0),0)/100</f>
        <v>5.9000000000000004E-2</v>
      </c>
      <c r="E216" s="71">
        <f>IF(B216="&lt;2 kilometres",1,0)*VLOOKUP(C216, Percentage_dist_journeys_by_purpose_and_distance_to_2km[#All],MATCH(A216, Percentage_dist_journeys_by_purpose_and_distance_to_2km[#Headers],0),0)/100</f>
        <v>0</v>
      </c>
      <c r="F216" s="4">
        <f>IF(B216="2-4 kilometres",1,0)*VLOOKUP(C216, Percentage_dist_journeys_by_purpose_and_distance_2_to_4km[#All],MATCH(A216, Percentage_dist_journeys_by_purpose_and_distance_2_to_4km[#Headers],0),0)/100</f>
        <v>0</v>
      </c>
      <c r="G216" s="72">
        <f>IF(B216="4-6 kilometres",1,0)*VLOOKUP(C216, Percentage_dist_journeys_by_purpose_and_distance_4_to_6km[#All],MATCH(A216, Percentage_dist_journeys_by_purpose_and_distance_4_to_6km[#Headers],0),0)/100</f>
        <v>0</v>
      </c>
      <c r="H216" s="4">
        <f>IF(B216="6-8 kilometres",1,0)*VLOOKUP(C216, Percentage_dist_journeys_by_purpose_and_distance_6_to_8km[#All],MATCH(A216, Percentage_dist_journeys_by_purpose_and_distance_6_to_8km[#Headers],0),0)/100</f>
        <v>0.04</v>
      </c>
      <c r="I216" s="72">
        <f>IF(B216="8+ kilometres",1,0)*VLOOKUP(C216, Percentage_dist_journeys_by_purpose_and_distance_8km[#All],MATCH(A216, Percentage_dist_journeys_by_purpose_and_distance_8km[#Headers],0),0)/100</f>
        <v>0</v>
      </c>
      <c r="J216" s="73">
        <f>VLOOKUP(B216,Average_Distance_by_kilometres_grouping_for_trip_purpose[#All],MATCH(A216,Average_Distance_by_kilometres_grouping_for_trip_purpose[#Headers],0),0)</f>
        <v>7</v>
      </c>
      <c r="K216" s="77">
        <f>VLOOKUP(C216, Adjustment_factor_for_distance_based_on_trip_purpose[#All],MATCH(A216, Adjustment_factor_for_distance_based_on_trip_purpose[#Headers],0),0)</f>
        <v>0.66666666666666663</v>
      </c>
      <c r="L216" s="78">
        <f>VLOOKUP($L$2, Total_Journeys_Per_Year[#All],MATCH(A216, Total_Journeys_Per_Year[#Headers],0),0)</f>
        <v>3079198792.0558629</v>
      </c>
      <c r="M216" s="35">
        <f t="shared" si="3"/>
        <v>50868364.044762857</v>
      </c>
      <c r="N216" s="35">
        <f>VLOOKUP($N$2, Private_Vehicle_Kilometres_Car_Stock[#All],MATCH(A216, Private_Vehicle_Kilometres_Car_Stock[#Headers],0),0)</f>
        <v>36171159701</v>
      </c>
    </row>
    <row r="217" spans="1:14" x14ac:dyDescent="0.25">
      <c r="A217" s="79" t="s">
        <v>36</v>
      </c>
      <c r="B217" s="13" t="s">
        <v>1</v>
      </c>
      <c r="C217" s="13" t="s">
        <v>48</v>
      </c>
      <c r="D217" s="5">
        <f>VLOOKUP(B217,Percentage_distribution_of_journey_distance_for_all_regions[#All],MATCH(A217,Percentage_distribution_of_journey_distance_for_all_regions[#Headers],0),0)/100</f>
        <v>0.433</v>
      </c>
      <c r="E217" s="71">
        <f>IF(B217="&lt;2 kilometres",1,0)*VLOOKUP(C217, Percentage_dist_journeys_by_purpose_and_distance_to_2km[#All],MATCH(A217, Percentage_dist_journeys_by_purpose_and_distance_to_2km[#Headers],0),0)/100</f>
        <v>0</v>
      </c>
      <c r="F217" s="4">
        <f>IF(B217="2-4 kilometres",1,0)*VLOOKUP(C217, Percentage_dist_journeys_by_purpose_and_distance_2_to_4km[#All],MATCH(A217, Percentage_dist_journeys_by_purpose_and_distance_2_to_4km[#Headers],0),0)/100</f>
        <v>0</v>
      </c>
      <c r="G217" s="72">
        <f>IF(B217="4-6 kilometres",1,0)*VLOOKUP(C217, Percentage_dist_journeys_by_purpose_and_distance_4_to_6km[#All],MATCH(A217, Percentage_dist_journeys_by_purpose_and_distance_4_to_6km[#Headers],0),0)/100</f>
        <v>0</v>
      </c>
      <c r="H217" s="4">
        <f>IF(B217="6-8 kilometres",1,0)*VLOOKUP(C217, Percentage_dist_journeys_by_purpose_and_distance_6_to_8km[#All],MATCH(A217, Percentage_dist_journeys_by_purpose_and_distance_6_to_8km[#Headers],0),0)/100</f>
        <v>0</v>
      </c>
      <c r="I217" s="72">
        <f>IF(B217="8+ kilometres",1,0)*VLOOKUP(C217, Percentage_dist_journeys_by_purpose_and_distance_8km[#All],MATCH(A217, Percentage_dist_journeys_by_purpose_and_distance_8km[#Headers],0),0)/100</f>
        <v>6.7000000000000004E-2</v>
      </c>
      <c r="J217" s="73">
        <f>VLOOKUP(B217,Average_Distance_by_kilometres_grouping_for_trip_purpose[#All],MATCH(A217,Average_Distance_by_kilometres_grouping_for_trip_purpose[#Headers],0),0)</f>
        <v>43.24</v>
      </c>
      <c r="K217" s="77">
        <f>VLOOKUP(C217, Adjustment_factor_for_distance_based_on_trip_purpose[#All],MATCH(A217, Adjustment_factor_for_distance_based_on_trip_purpose[#Headers],0),0)</f>
        <v>0.66666666666666663</v>
      </c>
      <c r="L217" s="78">
        <f>VLOOKUP($L$2, Total_Journeys_Per_Year[#All],MATCH(A217, Total_Journeys_Per_Year[#Headers],0),0)</f>
        <v>3079198792.0558629</v>
      </c>
      <c r="M217" s="35">
        <f t="shared" si="3"/>
        <v>3862656707.3998237</v>
      </c>
      <c r="N217" s="35">
        <f>VLOOKUP($N$2, Private_Vehicle_Kilometres_Car_Stock[#All],MATCH(A217, Private_Vehicle_Kilometres_Car_Stock[#Headers],0),0)</f>
        <v>36171159701</v>
      </c>
    </row>
    <row r="218" spans="1:14" x14ac:dyDescent="0.25">
      <c r="A218" s="79" t="s">
        <v>36</v>
      </c>
      <c r="B218" s="13" t="s">
        <v>12</v>
      </c>
      <c r="C218" s="13" t="s">
        <v>49</v>
      </c>
      <c r="D218" s="5">
        <f>VLOOKUP(B218,Percentage_distribution_of_journey_distance_for_all_regions[#All],MATCH(A218,Percentage_distribution_of_journey_distance_for_all_regions[#Headers],0),0)/100</f>
        <v>0.255</v>
      </c>
      <c r="E218" s="71">
        <f>IF(B218="&lt;2 kilometres",1,0)*VLOOKUP(C218, Percentage_dist_journeys_by_purpose_and_distance_to_2km[#All],MATCH(A218, Percentage_dist_journeys_by_purpose_and_distance_to_2km[#Headers],0),0)/100</f>
        <v>0.185</v>
      </c>
      <c r="F218" s="4">
        <f>IF(B218="2-4 kilometres",1,0)*VLOOKUP(C218, Percentage_dist_journeys_by_purpose_and_distance_2_to_4km[#All],MATCH(A218, Percentage_dist_journeys_by_purpose_and_distance_2_to_4km[#Headers],0),0)/100</f>
        <v>0</v>
      </c>
      <c r="G218" s="72">
        <f>IF(B218="4-6 kilometres",1,0)*VLOOKUP(C218, Percentage_dist_journeys_by_purpose_and_distance_4_to_6km[#All],MATCH(A218, Percentage_dist_journeys_by_purpose_and_distance_4_to_6km[#Headers],0),0)/100</f>
        <v>0</v>
      </c>
      <c r="H218" s="4">
        <f>IF(B218="6-8 kilometres",1,0)*VLOOKUP(C218, Percentage_dist_journeys_by_purpose_and_distance_6_to_8km[#All],MATCH(A218, Percentage_dist_journeys_by_purpose_and_distance_6_to_8km[#Headers],0),0)/100</f>
        <v>0</v>
      </c>
      <c r="I218" s="72">
        <f>IF(B218="8+ kilometres",1,0)*VLOOKUP(C218, Percentage_dist_journeys_by_purpose_and_distance_8km[#All],MATCH(A218, Percentage_dist_journeys_by_purpose_and_distance_8km[#Headers],0),0)/100</f>
        <v>0</v>
      </c>
      <c r="J218" s="73">
        <f>VLOOKUP(B218,Average_Distance_by_kilometres_grouping_for_trip_purpose[#All],MATCH(A218,Average_Distance_by_kilometres_grouping_for_trip_purpose[#Headers],0),0)</f>
        <v>1</v>
      </c>
      <c r="K218" s="77">
        <f>VLOOKUP(C218, Adjustment_factor_for_distance_based_on_trip_purpose[#All],MATCH(A218, Adjustment_factor_for_distance_based_on_trip_purpose[#Headers],0),0)</f>
        <v>1.2222222222222223</v>
      </c>
      <c r="L218" s="78">
        <f>VLOOKUP($L$2, Total_Journeys_Per_Year[#All],MATCH(A218, Total_Journeys_Per_Year[#Headers],0),0)</f>
        <v>3079198792.0558629</v>
      </c>
      <c r="M218" s="35">
        <f t="shared" si="3"/>
        <v>145261203.01523533</v>
      </c>
      <c r="N218" s="35">
        <f>VLOOKUP($N$2, Private_Vehicle_Kilometres_Car_Stock[#All],MATCH(A218, Private_Vehicle_Kilometres_Car_Stock[#Headers],0),0)</f>
        <v>36171159701</v>
      </c>
    </row>
    <row r="219" spans="1:14" x14ac:dyDescent="0.25">
      <c r="A219" s="79" t="s">
        <v>36</v>
      </c>
      <c r="B219" s="13" t="s">
        <v>181</v>
      </c>
      <c r="C219" s="13" t="s">
        <v>49</v>
      </c>
      <c r="D219" s="5">
        <f>VLOOKUP(B219,Percentage_distribution_of_journey_distance_for_all_regions[#All],MATCH(A219,Percentage_distribution_of_journey_distance_for_all_regions[#Headers],0),0)/100</f>
        <v>0.13400000000000001</v>
      </c>
      <c r="E219" s="71">
        <f>IF(B219="&lt;2 kilometres",1,0)*VLOOKUP(C219, Percentage_dist_journeys_by_purpose_and_distance_to_2km[#All],MATCH(A219, Percentage_dist_journeys_by_purpose_and_distance_to_2km[#Headers],0),0)/100</f>
        <v>0</v>
      </c>
      <c r="F219" s="4">
        <f>IF(B219="2-4 kilometres",1,0)*VLOOKUP(C219, Percentage_dist_journeys_by_purpose_and_distance_2_to_4km[#All],MATCH(A219, Percentage_dist_journeys_by_purpose_and_distance_2_to_4km[#Headers],0),0)/100</f>
        <v>0.18899999999999997</v>
      </c>
      <c r="G219" s="72">
        <f>IF(B219="4-6 kilometres",1,0)*VLOOKUP(C219, Percentage_dist_journeys_by_purpose_and_distance_4_to_6km[#All],MATCH(A219, Percentage_dist_journeys_by_purpose_and_distance_4_to_6km[#Headers],0),0)/100</f>
        <v>0</v>
      </c>
      <c r="H219" s="4">
        <f>IF(B219="6-8 kilometres",1,0)*VLOOKUP(C219, Percentage_dist_journeys_by_purpose_and_distance_6_to_8km[#All],MATCH(A219, Percentage_dist_journeys_by_purpose_and_distance_6_to_8km[#Headers],0),0)/100</f>
        <v>0</v>
      </c>
      <c r="I219" s="72">
        <f>IF(B219="8+ kilometres",1,0)*VLOOKUP(C219, Percentage_dist_journeys_by_purpose_and_distance_8km[#All],MATCH(A219, Percentage_dist_journeys_by_purpose_and_distance_8km[#Headers],0),0)/100</f>
        <v>0</v>
      </c>
      <c r="J219" s="73">
        <f>VLOOKUP(B219,Average_Distance_by_kilometres_grouping_for_trip_purpose[#All],MATCH(A219,Average_Distance_by_kilometres_grouping_for_trip_purpose[#Headers],0),0)</f>
        <v>3</v>
      </c>
      <c r="K219" s="77">
        <f>VLOOKUP(C219, Adjustment_factor_for_distance_based_on_trip_purpose[#All],MATCH(A219, Adjustment_factor_for_distance_based_on_trip_purpose[#Headers],0),0)</f>
        <v>1.2222222222222223</v>
      </c>
      <c r="L219" s="78">
        <f>VLOOKUP($L$2, Total_Journeys_Per_Year[#All],MATCH(A219, Total_Journeys_Per_Year[#Headers],0),0)</f>
        <v>3079198792.0558629</v>
      </c>
      <c r="M219" s="35">
        <f t="shared" si="3"/>
        <v>233951365.82282034</v>
      </c>
      <c r="N219" s="35">
        <f>VLOOKUP($N$2, Private_Vehicle_Kilometres_Car_Stock[#All],MATCH(A219, Private_Vehicle_Kilometres_Car_Stock[#Headers],0),0)</f>
        <v>36171159701</v>
      </c>
    </row>
    <row r="220" spans="1:14" x14ac:dyDescent="0.25">
      <c r="A220" s="79" t="s">
        <v>36</v>
      </c>
      <c r="B220" s="13" t="s">
        <v>180</v>
      </c>
      <c r="C220" s="13" t="s">
        <v>49</v>
      </c>
      <c r="D220" s="5">
        <f>VLOOKUP(B220,Percentage_distribution_of_journey_distance_for_all_regions[#All],MATCH(A220,Percentage_distribution_of_journey_distance_for_all_regions[#Headers],0),0)/100</f>
        <v>0.11900000000000001</v>
      </c>
      <c r="E220" s="71">
        <f>IF(B220="&lt;2 kilometres",1,0)*VLOOKUP(C220, Percentage_dist_journeys_by_purpose_and_distance_to_2km[#All],MATCH(A220, Percentage_dist_journeys_by_purpose_and_distance_to_2km[#Headers],0),0)/100</f>
        <v>0</v>
      </c>
      <c r="F220" s="4">
        <f>IF(B220="2-4 kilometres",1,0)*VLOOKUP(C220, Percentage_dist_journeys_by_purpose_and_distance_2_to_4km[#All],MATCH(A220, Percentage_dist_journeys_by_purpose_and_distance_2_to_4km[#Headers],0),0)/100</f>
        <v>0</v>
      </c>
      <c r="G220" s="72">
        <f>IF(B220="4-6 kilometres",1,0)*VLOOKUP(C220, Percentage_dist_journeys_by_purpose_and_distance_4_to_6km[#All],MATCH(A220, Percentage_dist_journeys_by_purpose_and_distance_4_to_6km[#Headers],0),0)/100</f>
        <v>0.17699999999999999</v>
      </c>
      <c r="H220" s="4">
        <f>IF(B220="6-8 kilometres",1,0)*VLOOKUP(C220, Percentage_dist_journeys_by_purpose_and_distance_6_to_8km[#All],MATCH(A220, Percentage_dist_journeys_by_purpose_and_distance_6_to_8km[#Headers],0),0)/100</f>
        <v>0</v>
      </c>
      <c r="I220" s="72">
        <f>IF(B220="8+ kilometres",1,0)*VLOOKUP(C220, Percentage_dist_journeys_by_purpose_and_distance_8km[#All],MATCH(A220, Percentage_dist_journeys_by_purpose_and_distance_8km[#Headers],0),0)/100</f>
        <v>0</v>
      </c>
      <c r="J220" s="73">
        <f>VLOOKUP(B220,Average_Distance_by_kilometres_grouping_for_trip_purpose[#All],MATCH(A220,Average_Distance_by_kilometres_grouping_for_trip_purpose[#Headers],0),0)</f>
        <v>5</v>
      </c>
      <c r="K220" s="77">
        <f>VLOOKUP(C220, Adjustment_factor_for_distance_based_on_trip_purpose[#All],MATCH(A220, Adjustment_factor_for_distance_based_on_trip_purpose[#Headers],0),0)</f>
        <v>1.2222222222222223</v>
      </c>
      <c r="L220" s="78">
        <f>VLOOKUP($L$2, Total_Journeys_Per_Year[#All],MATCH(A220, Total_Journeys_Per_Year[#Headers],0),0)</f>
        <v>3079198792.0558629</v>
      </c>
      <c r="M220" s="35">
        <f t="shared" si="3"/>
        <v>324285820.7853632</v>
      </c>
      <c r="N220" s="35">
        <f>VLOOKUP($N$2, Private_Vehicle_Kilometres_Car_Stock[#All],MATCH(A220, Private_Vehicle_Kilometres_Car_Stock[#Headers],0),0)</f>
        <v>36171159701</v>
      </c>
    </row>
    <row r="221" spans="1:14" x14ac:dyDescent="0.25">
      <c r="A221" s="79" t="s">
        <v>36</v>
      </c>
      <c r="B221" s="13" t="s">
        <v>182</v>
      </c>
      <c r="C221" s="13" t="s">
        <v>49</v>
      </c>
      <c r="D221" s="5">
        <f>VLOOKUP(B221,Percentage_distribution_of_journey_distance_for_all_regions[#All],MATCH(A221,Percentage_distribution_of_journey_distance_for_all_regions[#Headers],0),0)/100</f>
        <v>5.9000000000000004E-2</v>
      </c>
      <c r="E221" s="71">
        <f>IF(B221="&lt;2 kilometres",1,0)*VLOOKUP(C221, Percentage_dist_journeys_by_purpose_and_distance_to_2km[#All],MATCH(A221, Percentage_dist_journeys_by_purpose_and_distance_to_2km[#Headers],0),0)/100</f>
        <v>0</v>
      </c>
      <c r="F221" s="4">
        <f>IF(B221="2-4 kilometres",1,0)*VLOOKUP(C221, Percentage_dist_journeys_by_purpose_and_distance_2_to_4km[#All],MATCH(A221, Percentage_dist_journeys_by_purpose_and_distance_2_to_4km[#Headers],0),0)/100</f>
        <v>0</v>
      </c>
      <c r="G221" s="72">
        <f>IF(B221="4-6 kilometres",1,0)*VLOOKUP(C221, Percentage_dist_journeys_by_purpose_and_distance_4_to_6km[#All],MATCH(A221, Percentage_dist_journeys_by_purpose_and_distance_4_to_6km[#Headers],0),0)/100</f>
        <v>0</v>
      </c>
      <c r="H221" s="4">
        <f>IF(B221="6-8 kilometres",1,0)*VLOOKUP(C221, Percentage_dist_journeys_by_purpose_and_distance_6_to_8km[#All],MATCH(A221, Percentage_dist_journeys_by_purpose_and_distance_6_to_8km[#Headers],0),0)/100</f>
        <v>0.19</v>
      </c>
      <c r="I221" s="72">
        <f>IF(B221="8+ kilometres",1,0)*VLOOKUP(C221, Percentage_dist_journeys_by_purpose_and_distance_8km[#All],MATCH(A221, Percentage_dist_journeys_by_purpose_and_distance_8km[#Headers],0),0)/100</f>
        <v>0</v>
      </c>
      <c r="J221" s="73">
        <f>VLOOKUP(B221,Average_Distance_by_kilometres_grouping_for_trip_purpose[#All],MATCH(A221,Average_Distance_by_kilometres_grouping_for_trip_purpose[#Headers],0),0)</f>
        <v>7</v>
      </c>
      <c r="K221" s="77">
        <f>VLOOKUP(C221, Adjustment_factor_for_distance_based_on_trip_purpose[#All],MATCH(A221, Adjustment_factor_for_distance_based_on_trip_purpose[#Headers],0),0)</f>
        <v>1.2222222222222223</v>
      </c>
      <c r="L221" s="78">
        <f>VLOOKUP($L$2, Total_Journeys_Per_Year[#All],MATCH(A221, Total_Journeys_Per_Year[#Headers],0),0)</f>
        <v>3079198792.0558629</v>
      </c>
      <c r="M221" s="35">
        <f t="shared" si="3"/>
        <v>241624729.2126236</v>
      </c>
      <c r="N221" s="35">
        <f>VLOOKUP($N$2, Private_Vehicle_Kilometres_Car_Stock[#All],MATCH(A221, Private_Vehicle_Kilometres_Car_Stock[#Headers],0),0)</f>
        <v>36171159701</v>
      </c>
    </row>
    <row r="222" spans="1:14" x14ac:dyDescent="0.25">
      <c r="A222" s="79" t="s">
        <v>36</v>
      </c>
      <c r="B222" s="13" t="s">
        <v>1</v>
      </c>
      <c r="C222" s="13" t="s">
        <v>49</v>
      </c>
      <c r="D222" s="5">
        <f>VLOOKUP(B222,Percentage_distribution_of_journey_distance_for_all_regions[#All],MATCH(A222,Percentage_distribution_of_journey_distance_for_all_regions[#Headers],0),0)/100</f>
        <v>0.433</v>
      </c>
      <c r="E222" s="71">
        <f>IF(B222="&lt;2 kilometres",1,0)*VLOOKUP(C222, Percentage_dist_journeys_by_purpose_and_distance_to_2km[#All],MATCH(A222, Percentage_dist_journeys_by_purpose_and_distance_to_2km[#Headers],0),0)/100</f>
        <v>0</v>
      </c>
      <c r="F222" s="4">
        <f>IF(B222="2-4 kilometres",1,0)*VLOOKUP(C222, Percentage_dist_journeys_by_purpose_and_distance_2_to_4km[#All],MATCH(A222, Percentage_dist_journeys_by_purpose_and_distance_2_to_4km[#Headers],0),0)/100</f>
        <v>0</v>
      </c>
      <c r="G222" s="72">
        <f>IF(B222="4-6 kilometres",1,0)*VLOOKUP(C222, Percentage_dist_journeys_by_purpose_and_distance_4_to_6km[#All],MATCH(A222, Percentage_dist_journeys_by_purpose_and_distance_4_to_6km[#Headers],0),0)/100</f>
        <v>0</v>
      </c>
      <c r="H222" s="4">
        <f>IF(B222="6-8 kilometres",1,0)*VLOOKUP(C222, Percentage_dist_journeys_by_purpose_and_distance_6_to_8km[#All],MATCH(A222, Percentage_dist_journeys_by_purpose_and_distance_6_to_8km[#Headers],0),0)/100</f>
        <v>0</v>
      </c>
      <c r="I222" s="72">
        <f>IF(B222="8+ kilometres",1,0)*VLOOKUP(C222, Percentage_dist_journeys_by_purpose_and_distance_8km[#All],MATCH(A222, Percentage_dist_journeys_by_purpose_and_distance_8km[#Headers],0),0)/100</f>
        <v>0.107</v>
      </c>
      <c r="J222" s="73">
        <f>VLOOKUP(B222,Average_Distance_by_kilometres_grouping_for_trip_purpose[#All],MATCH(A222,Average_Distance_by_kilometres_grouping_for_trip_purpose[#Headers],0),0)</f>
        <v>43.24</v>
      </c>
      <c r="K222" s="77">
        <f>VLOOKUP(C222, Adjustment_factor_for_distance_based_on_trip_purpose[#All],MATCH(A222, Adjustment_factor_for_distance_based_on_trip_purpose[#Headers],0),0)</f>
        <v>1.2222222222222223</v>
      </c>
      <c r="L222" s="78">
        <f>VLOOKUP($L$2, Total_Journeys_Per_Year[#All],MATCH(A222, Total_Journeys_Per_Year[#Headers],0),0)</f>
        <v>3079198792.0558629</v>
      </c>
      <c r="M222" s="35">
        <f t="shared" si="3"/>
        <v>6168720413.3101654</v>
      </c>
      <c r="N222" s="35">
        <f>VLOOKUP($N$2, Private_Vehicle_Kilometres_Car_Stock[#All],MATCH(A222, Private_Vehicle_Kilometres_Car_Stock[#Headers],0),0)</f>
        <v>36171159701</v>
      </c>
    </row>
    <row r="223" spans="1:14" x14ac:dyDescent="0.25">
      <c r="A223" s="79" t="s">
        <v>36</v>
      </c>
      <c r="B223" s="13" t="s">
        <v>12</v>
      </c>
      <c r="C223" s="13" t="s">
        <v>50</v>
      </c>
      <c r="D223" s="5">
        <f>VLOOKUP(B223,Percentage_distribution_of_journey_distance_for_all_regions[#All],MATCH(A223,Percentage_distribution_of_journey_distance_for_all_regions[#Headers],0),0)/100</f>
        <v>0.255</v>
      </c>
      <c r="E223" s="71">
        <f>IF(B223="&lt;2 kilometres",1,0)*VLOOKUP(C223, Percentage_dist_journeys_by_purpose_and_distance_to_2km[#All],MATCH(A223, Percentage_dist_journeys_by_purpose_and_distance_to_2km[#Headers],0),0)/100</f>
        <v>4.2000000000000003E-2</v>
      </c>
      <c r="F223" s="4">
        <f>IF(B223="2-4 kilometres",1,0)*VLOOKUP(C223, Percentage_dist_journeys_by_purpose_and_distance_2_to_4km[#All],MATCH(A223, Percentage_dist_journeys_by_purpose_and_distance_2_to_4km[#Headers],0),0)/100</f>
        <v>0</v>
      </c>
      <c r="G223" s="72">
        <f>IF(B223="4-6 kilometres",1,0)*VLOOKUP(C223, Percentage_dist_journeys_by_purpose_and_distance_4_to_6km[#All],MATCH(A223, Percentage_dist_journeys_by_purpose_and_distance_4_to_6km[#Headers],0),0)/100</f>
        <v>0</v>
      </c>
      <c r="H223" s="4">
        <f>IF(B223="6-8 kilometres",1,0)*VLOOKUP(C223, Percentage_dist_journeys_by_purpose_and_distance_6_to_8km[#All],MATCH(A223, Percentage_dist_journeys_by_purpose_and_distance_6_to_8km[#Headers],0),0)/100</f>
        <v>0</v>
      </c>
      <c r="I223" s="72">
        <f>IF(B223="8+ kilometres",1,0)*VLOOKUP(C223, Percentage_dist_journeys_by_purpose_and_distance_8km[#All],MATCH(A223, Percentage_dist_journeys_by_purpose_and_distance_8km[#Headers],0),0)/100</f>
        <v>0</v>
      </c>
      <c r="J223" s="73">
        <f>VLOOKUP(B223,Average_Distance_by_kilometres_grouping_for_trip_purpose[#All],MATCH(A223,Average_Distance_by_kilometres_grouping_for_trip_purpose[#Headers],0),0)</f>
        <v>1</v>
      </c>
      <c r="K223" s="77">
        <f>VLOOKUP(C223, Adjustment_factor_for_distance_based_on_trip_purpose[#All],MATCH(A223, Adjustment_factor_for_distance_based_on_trip_purpose[#Headers],0),0)</f>
        <v>0.77777777777777779</v>
      </c>
      <c r="L223" s="78">
        <f>VLOOKUP($L$2, Total_Journeys_Per_Year[#All],MATCH(A223, Total_Journeys_Per_Year[#Headers],0),0)</f>
        <v>3079198792.0558629</v>
      </c>
      <c r="M223" s="35">
        <f t="shared" si="3"/>
        <v>32978219.062918294</v>
      </c>
      <c r="N223" s="35">
        <f>VLOOKUP($N$2, Private_Vehicle_Kilometres_Car_Stock[#All],MATCH(A223, Private_Vehicle_Kilometres_Car_Stock[#Headers],0),0)</f>
        <v>36171159701</v>
      </c>
    </row>
    <row r="224" spans="1:14" x14ac:dyDescent="0.25">
      <c r="A224" s="79" t="s">
        <v>36</v>
      </c>
      <c r="B224" s="13" t="s">
        <v>181</v>
      </c>
      <c r="C224" s="13" t="s">
        <v>50</v>
      </c>
      <c r="D224" s="5">
        <f>VLOOKUP(B224,Percentage_distribution_of_journey_distance_for_all_regions[#All],MATCH(A224,Percentage_distribution_of_journey_distance_for_all_regions[#Headers],0),0)/100</f>
        <v>0.13400000000000001</v>
      </c>
      <c r="E224" s="71">
        <f>IF(B224="&lt;2 kilometres",1,0)*VLOOKUP(C224, Percentage_dist_journeys_by_purpose_and_distance_to_2km[#All],MATCH(A224, Percentage_dist_journeys_by_purpose_and_distance_to_2km[#Headers],0),0)/100</f>
        <v>0</v>
      </c>
      <c r="F224" s="4">
        <f>IF(B224="2-4 kilometres",1,0)*VLOOKUP(C224, Percentage_dist_journeys_by_purpose_and_distance_2_to_4km[#All],MATCH(A224, Percentage_dist_journeys_by_purpose_and_distance_2_to_4km[#Headers],0),0)/100</f>
        <v>4.2000000000000003E-2</v>
      </c>
      <c r="G224" s="72">
        <f>IF(B224="4-6 kilometres",1,0)*VLOOKUP(C224, Percentage_dist_journeys_by_purpose_and_distance_4_to_6km[#All],MATCH(A224, Percentage_dist_journeys_by_purpose_and_distance_4_to_6km[#Headers],0),0)/100</f>
        <v>0</v>
      </c>
      <c r="H224" s="4">
        <f>IF(B224="6-8 kilometres",1,0)*VLOOKUP(C224, Percentage_dist_journeys_by_purpose_and_distance_6_to_8km[#All],MATCH(A224, Percentage_dist_journeys_by_purpose_and_distance_6_to_8km[#Headers],0),0)/100</f>
        <v>0</v>
      </c>
      <c r="I224" s="72">
        <f>IF(B224="8+ kilometres",1,0)*VLOOKUP(C224, Percentage_dist_journeys_by_purpose_and_distance_8km[#All],MATCH(A224, Percentage_dist_journeys_by_purpose_and_distance_8km[#Headers],0),0)/100</f>
        <v>0</v>
      </c>
      <c r="J224" s="73">
        <f>VLOOKUP(B224,Average_Distance_by_kilometres_grouping_for_trip_purpose[#All],MATCH(A224,Average_Distance_by_kilometres_grouping_for_trip_purpose[#Headers],0),0)</f>
        <v>3</v>
      </c>
      <c r="K224" s="77">
        <f>VLOOKUP(C224, Adjustment_factor_for_distance_based_on_trip_purpose[#All],MATCH(A224, Adjustment_factor_for_distance_based_on_trip_purpose[#Headers],0),0)</f>
        <v>0.77777777777777779</v>
      </c>
      <c r="L224" s="78">
        <f>VLOOKUP($L$2, Total_Journeys_Per_Year[#All],MATCH(A224, Total_Journeys_Per_Year[#Headers],0),0)</f>
        <v>3079198792.0558629</v>
      </c>
      <c r="M224" s="35">
        <f t="shared" si="3"/>
        <v>51989192.405071199</v>
      </c>
      <c r="N224" s="35">
        <f>VLOOKUP($N$2, Private_Vehicle_Kilometres_Car_Stock[#All],MATCH(A224, Private_Vehicle_Kilometres_Car_Stock[#Headers],0),0)</f>
        <v>36171159701</v>
      </c>
    </row>
    <row r="225" spans="1:14" x14ac:dyDescent="0.25">
      <c r="A225" s="79" t="s">
        <v>36</v>
      </c>
      <c r="B225" s="13" t="s">
        <v>180</v>
      </c>
      <c r="C225" s="13" t="s">
        <v>50</v>
      </c>
      <c r="D225" s="5">
        <f>VLOOKUP(B225,Percentage_distribution_of_journey_distance_for_all_regions[#All],MATCH(A225,Percentage_distribution_of_journey_distance_for_all_regions[#Headers],0),0)/100</f>
        <v>0.11900000000000001</v>
      </c>
      <c r="E225" s="71">
        <f>IF(B225="&lt;2 kilometres",1,0)*VLOOKUP(C225, Percentage_dist_journeys_by_purpose_and_distance_to_2km[#All],MATCH(A225, Percentage_dist_journeys_by_purpose_and_distance_to_2km[#Headers],0),0)/100</f>
        <v>0</v>
      </c>
      <c r="F225" s="4">
        <f>IF(B225="2-4 kilometres",1,0)*VLOOKUP(C225, Percentage_dist_journeys_by_purpose_and_distance_2_to_4km[#All],MATCH(A225, Percentage_dist_journeys_by_purpose_and_distance_2_to_4km[#Headers],0),0)/100</f>
        <v>0</v>
      </c>
      <c r="G225" s="72">
        <f>IF(B225="4-6 kilometres",1,0)*VLOOKUP(C225, Percentage_dist_journeys_by_purpose_and_distance_4_to_6km[#All],MATCH(A225, Percentage_dist_journeys_by_purpose_and_distance_4_to_6km[#Headers],0),0)/100</f>
        <v>4.9000000000000002E-2</v>
      </c>
      <c r="H225" s="4">
        <f>IF(B225="6-8 kilometres",1,0)*VLOOKUP(C225, Percentage_dist_journeys_by_purpose_and_distance_6_to_8km[#All],MATCH(A225, Percentage_dist_journeys_by_purpose_and_distance_6_to_8km[#Headers],0),0)/100</f>
        <v>0</v>
      </c>
      <c r="I225" s="72">
        <f>IF(B225="8+ kilometres",1,0)*VLOOKUP(C225, Percentage_dist_journeys_by_purpose_and_distance_8km[#All],MATCH(A225, Percentage_dist_journeys_by_purpose_and_distance_8km[#Headers],0),0)/100</f>
        <v>0</v>
      </c>
      <c r="J225" s="73">
        <f>VLOOKUP(B225,Average_Distance_by_kilometres_grouping_for_trip_purpose[#All],MATCH(A225,Average_Distance_by_kilometres_grouping_for_trip_purpose[#Headers],0),0)</f>
        <v>5</v>
      </c>
      <c r="K225" s="77">
        <f>VLOOKUP(C225, Adjustment_factor_for_distance_based_on_trip_purpose[#All],MATCH(A225, Adjustment_factor_for_distance_based_on_trip_purpose[#Headers],0),0)</f>
        <v>0.77777777777777779</v>
      </c>
      <c r="L225" s="78">
        <f>VLOOKUP($L$2, Total_Journeys_Per_Year[#All],MATCH(A225, Total_Journeys_Per_Year[#Headers],0),0)</f>
        <v>3079198792.0558629</v>
      </c>
      <c r="M225" s="35">
        <f t="shared" si="3"/>
        <v>89774040.782388687</v>
      </c>
      <c r="N225" s="35">
        <f>VLOOKUP($N$2, Private_Vehicle_Kilometres_Car_Stock[#All],MATCH(A225, Private_Vehicle_Kilometres_Car_Stock[#Headers],0),0)</f>
        <v>36171159701</v>
      </c>
    </row>
    <row r="226" spans="1:14" x14ac:dyDescent="0.25">
      <c r="A226" s="79" t="s">
        <v>36</v>
      </c>
      <c r="B226" s="13" t="s">
        <v>182</v>
      </c>
      <c r="C226" s="13" t="s">
        <v>50</v>
      </c>
      <c r="D226" s="5">
        <f>VLOOKUP(B226,Percentage_distribution_of_journey_distance_for_all_regions[#All],MATCH(A226,Percentage_distribution_of_journey_distance_for_all_regions[#Headers],0),0)/100</f>
        <v>5.9000000000000004E-2</v>
      </c>
      <c r="E226" s="71">
        <f>IF(B226="&lt;2 kilometres",1,0)*VLOOKUP(C226, Percentage_dist_journeys_by_purpose_and_distance_to_2km[#All],MATCH(A226, Percentage_dist_journeys_by_purpose_and_distance_to_2km[#Headers],0),0)/100</f>
        <v>0</v>
      </c>
      <c r="F226" s="4">
        <f>IF(B226="2-4 kilometres",1,0)*VLOOKUP(C226, Percentage_dist_journeys_by_purpose_and_distance_2_to_4km[#All],MATCH(A226, Percentage_dist_journeys_by_purpose_and_distance_2_to_4km[#Headers],0),0)/100</f>
        <v>0</v>
      </c>
      <c r="G226" s="72">
        <f>IF(B226="4-6 kilometres",1,0)*VLOOKUP(C226, Percentage_dist_journeys_by_purpose_and_distance_4_to_6km[#All],MATCH(A226, Percentage_dist_journeys_by_purpose_and_distance_4_to_6km[#Headers],0),0)/100</f>
        <v>0</v>
      </c>
      <c r="H226" s="4">
        <f>IF(B226="6-8 kilometres",1,0)*VLOOKUP(C226, Percentage_dist_journeys_by_purpose_and_distance_6_to_8km[#All],MATCH(A226, Percentage_dist_journeys_by_purpose_and_distance_6_to_8km[#Headers],0),0)/100</f>
        <v>2.7999999999999997E-2</v>
      </c>
      <c r="I226" s="72">
        <f>IF(B226="8+ kilometres",1,0)*VLOOKUP(C226, Percentage_dist_journeys_by_purpose_and_distance_8km[#All],MATCH(A226, Percentage_dist_journeys_by_purpose_and_distance_8km[#Headers],0),0)/100</f>
        <v>0</v>
      </c>
      <c r="J226" s="73">
        <f>VLOOKUP(B226,Average_Distance_by_kilometres_grouping_for_trip_purpose[#All],MATCH(A226,Average_Distance_by_kilometres_grouping_for_trip_purpose[#Headers],0),0)</f>
        <v>7</v>
      </c>
      <c r="K226" s="77">
        <f>VLOOKUP(C226, Adjustment_factor_for_distance_based_on_trip_purpose[#All],MATCH(A226, Adjustment_factor_for_distance_based_on_trip_purpose[#Headers],0),0)</f>
        <v>0.77777777777777779</v>
      </c>
      <c r="L226" s="78">
        <f>VLOOKUP($L$2, Total_Journeys_Per_Year[#All],MATCH(A226, Total_Journeys_Per_Year[#Headers],0),0)</f>
        <v>3079198792.0558629</v>
      </c>
      <c r="M226" s="35">
        <f t="shared" si="3"/>
        <v>35607854.831333995</v>
      </c>
      <c r="N226" s="35">
        <f>VLOOKUP($N$2, Private_Vehicle_Kilometres_Car_Stock[#All],MATCH(A226, Private_Vehicle_Kilometres_Car_Stock[#Headers],0),0)</f>
        <v>36171159701</v>
      </c>
    </row>
    <row r="227" spans="1:14" x14ac:dyDescent="0.25">
      <c r="A227" s="79" t="s">
        <v>36</v>
      </c>
      <c r="B227" s="13" t="s">
        <v>1</v>
      </c>
      <c r="C227" s="13" t="s">
        <v>50</v>
      </c>
      <c r="D227" s="5">
        <f>VLOOKUP(B227,Percentage_distribution_of_journey_distance_for_all_regions[#All],MATCH(A227,Percentage_distribution_of_journey_distance_for_all_regions[#Headers],0),0)/100</f>
        <v>0.433</v>
      </c>
      <c r="E227" s="71">
        <f>IF(B227="&lt;2 kilometres",1,0)*VLOOKUP(C227, Percentage_dist_journeys_by_purpose_and_distance_to_2km[#All],MATCH(A227, Percentage_dist_journeys_by_purpose_and_distance_to_2km[#Headers],0),0)/100</f>
        <v>0</v>
      </c>
      <c r="F227" s="4">
        <f>IF(B227="2-4 kilometres",1,0)*VLOOKUP(C227, Percentage_dist_journeys_by_purpose_and_distance_2_to_4km[#All],MATCH(A227, Percentage_dist_journeys_by_purpose_and_distance_2_to_4km[#Headers],0),0)/100</f>
        <v>0</v>
      </c>
      <c r="G227" s="72">
        <f>IF(B227="4-6 kilometres",1,0)*VLOOKUP(C227, Percentage_dist_journeys_by_purpose_and_distance_4_to_6km[#All],MATCH(A227, Percentage_dist_journeys_by_purpose_and_distance_4_to_6km[#Headers],0),0)/100</f>
        <v>0</v>
      </c>
      <c r="H227" s="4">
        <f>IF(B227="6-8 kilometres",1,0)*VLOOKUP(C227, Percentage_dist_journeys_by_purpose_and_distance_6_to_8km[#All],MATCH(A227, Percentage_dist_journeys_by_purpose_and_distance_6_to_8km[#Headers],0),0)/100</f>
        <v>0</v>
      </c>
      <c r="I227" s="72">
        <f>IF(B227="8+ kilometres",1,0)*VLOOKUP(C227, Percentage_dist_journeys_by_purpose_and_distance_8km[#All],MATCH(A227, Percentage_dist_journeys_by_purpose_and_distance_8km[#Headers],0),0)/100</f>
        <v>3.3000000000000002E-2</v>
      </c>
      <c r="J227" s="73">
        <f>VLOOKUP(B227,Average_Distance_by_kilometres_grouping_for_trip_purpose[#All],MATCH(A227,Average_Distance_by_kilometres_grouping_for_trip_purpose[#Headers],0),0)</f>
        <v>43.24</v>
      </c>
      <c r="K227" s="77">
        <f>VLOOKUP(C227, Adjustment_factor_for_distance_based_on_trip_purpose[#All],MATCH(A227, Adjustment_factor_for_distance_based_on_trip_purpose[#Headers],0),0)</f>
        <v>0.77777777777777779</v>
      </c>
      <c r="L227" s="78">
        <f>VLOOKUP($L$2, Total_Journeys_Per_Year[#All],MATCH(A227, Total_Journeys_Per_Year[#Headers],0),0)</f>
        <v>3079198792.0558629</v>
      </c>
      <c r="M227" s="35">
        <f t="shared" si="3"/>
        <v>1902502557.3760326</v>
      </c>
      <c r="N227" s="35">
        <f>VLOOKUP($N$2, Private_Vehicle_Kilometres_Car_Stock[#All],MATCH(A227, Private_Vehicle_Kilometres_Car_Stock[#Headers],0),0)</f>
        <v>36171159701</v>
      </c>
    </row>
    <row r="228" spans="1:14" x14ac:dyDescent="0.25">
      <c r="A228" s="79" t="s">
        <v>39</v>
      </c>
      <c r="B228" s="13" t="s">
        <v>12</v>
      </c>
      <c r="C228" s="13" t="s">
        <v>42</v>
      </c>
      <c r="D228" s="5">
        <f>VLOOKUP(B228,Percentage_distribution_of_journey_distance_for_all_regions[#All],MATCH(A228,Percentage_distribution_of_journey_distance_for_all_regions[#Headers],0),0)/100</f>
        <v>0.28600000000000003</v>
      </c>
      <c r="E228" s="71">
        <f>IF(B228="&lt;2 kilometres",1,0)*VLOOKUP(C228, Percentage_dist_journeys_by_purpose_and_distance_to_2km[#All],MATCH(A228, Percentage_dist_journeys_by_purpose_and_distance_to_2km[#Headers],0),0)/100</f>
        <v>0.14199999999999999</v>
      </c>
      <c r="F228" s="4">
        <f>IF(B228="2-4 kilometres",1,0)*VLOOKUP(C228, Percentage_dist_journeys_by_purpose_and_distance_2_to_4km[#All],MATCH(A228, Percentage_dist_journeys_by_purpose_and_distance_2_to_4km[#Headers],0),0)/100</f>
        <v>0</v>
      </c>
      <c r="G228" s="72">
        <f>IF(B228="4-6 kilometres",1,0)*VLOOKUP(C228, Percentage_dist_journeys_by_purpose_and_distance_4_to_6km[#All],MATCH(A228, Percentage_dist_journeys_by_purpose_and_distance_4_to_6km[#Headers],0),0)/100</f>
        <v>0</v>
      </c>
      <c r="H228" s="4">
        <f>IF(B228="6-8 kilometres",1,0)*VLOOKUP(C228, Percentage_dist_journeys_by_purpose_and_distance_6_to_8km[#All],MATCH(A228, Percentage_dist_journeys_by_purpose_and_distance_6_to_8km[#Headers],0),0)/100</f>
        <v>0</v>
      </c>
      <c r="I228" s="72">
        <f>IF(B228="8+ kilometres",1,0)*VLOOKUP(C228, Percentage_dist_journeys_by_purpose_and_distance_8km[#All],MATCH(A228, Percentage_dist_journeys_by_purpose_and_distance_8km[#Headers],0),0)/100</f>
        <v>0</v>
      </c>
      <c r="J228" s="73">
        <f>VLOOKUP(B228,Average_Distance_by_kilometres_grouping_for_trip_purpose[#All],MATCH(A228,Average_Distance_by_kilometres_grouping_for_trip_purpose[#Headers],0),0)</f>
        <v>1</v>
      </c>
      <c r="K228" s="77">
        <f>VLOOKUP(C228, Adjustment_factor_for_distance_based_on_trip_purpose[#All],MATCH(A228, Adjustment_factor_for_distance_based_on_trip_purpose[#Headers],0),0)</f>
        <v>1</v>
      </c>
      <c r="L228" s="78">
        <f>VLOOKUP($L$2, Total_Journeys_Per_Year[#All],MATCH(A228, Total_Journeys_Per_Year[#Headers],0),0)</f>
        <v>5369880000</v>
      </c>
      <c r="M228" s="35">
        <f t="shared" si="3"/>
        <v>218081566.56</v>
      </c>
      <c r="N228" s="35">
        <f>VLOOKUP($N$2, Private_Vehicle_Kilometres_Car_Stock[#All],MATCH(A228, Private_Vehicle_Kilometres_Car_Stock[#Headers],0),0)</f>
        <v>36195324272</v>
      </c>
    </row>
    <row r="229" spans="1:14" x14ac:dyDescent="0.25">
      <c r="A229" s="79" t="s">
        <v>39</v>
      </c>
      <c r="B229" s="13" t="s">
        <v>181</v>
      </c>
      <c r="C229" s="13" t="s">
        <v>42</v>
      </c>
      <c r="D229" s="5">
        <f>VLOOKUP(B229,Percentage_distribution_of_journey_distance_for_all_regions[#All],MATCH(A229,Percentage_distribution_of_journey_distance_for_all_regions[#Headers],0),0)/100</f>
        <v>0.15</v>
      </c>
      <c r="E229" s="71">
        <f>IF(B229="&lt;2 kilometres",1,0)*VLOOKUP(C229, Percentage_dist_journeys_by_purpose_and_distance_to_2km[#All],MATCH(A229, Percentage_dist_journeys_by_purpose_and_distance_to_2km[#Headers],0),0)/100</f>
        <v>0</v>
      </c>
      <c r="F229" s="4">
        <f>IF(B229="2-4 kilometres",1,0)*VLOOKUP(C229, Percentage_dist_journeys_by_purpose_and_distance_2_to_4km[#All],MATCH(A229, Percentage_dist_journeys_by_purpose_and_distance_2_to_4km[#Headers],0),0)/100</f>
        <v>0.17399999999999999</v>
      </c>
      <c r="G229" s="72">
        <f>IF(B229="4-6 kilometres",1,0)*VLOOKUP(C229, Percentage_dist_journeys_by_purpose_and_distance_4_to_6km[#All],MATCH(A229, Percentage_dist_journeys_by_purpose_and_distance_4_to_6km[#Headers],0),0)/100</f>
        <v>0</v>
      </c>
      <c r="H229" s="4">
        <f>IF(B229="6-8 kilometres",1,0)*VLOOKUP(C229, Percentage_dist_journeys_by_purpose_and_distance_6_to_8km[#All],MATCH(A229, Percentage_dist_journeys_by_purpose_and_distance_6_to_8km[#Headers],0),0)/100</f>
        <v>0</v>
      </c>
      <c r="I229" s="72">
        <f>IF(B229="8+ kilometres",1,0)*VLOOKUP(C229, Percentage_dist_journeys_by_purpose_and_distance_8km[#All],MATCH(A229, Percentage_dist_journeys_by_purpose_and_distance_8km[#Headers],0),0)/100</f>
        <v>0</v>
      </c>
      <c r="J229" s="73">
        <f>VLOOKUP(B229,Average_Distance_by_kilometres_grouping_for_trip_purpose[#All],MATCH(A229,Average_Distance_by_kilometres_grouping_for_trip_purpose[#Headers],0),0)</f>
        <v>3</v>
      </c>
      <c r="K229" s="77">
        <f>VLOOKUP(C229, Adjustment_factor_for_distance_based_on_trip_purpose[#All],MATCH(A229, Adjustment_factor_for_distance_based_on_trip_purpose[#Headers],0),0)</f>
        <v>1</v>
      </c>
      <c r="L229" s="78">
        <f>VLOOKUP($L$2, Total_Journeys_Per_Year[#All],MATCH(A229, Total_Journeys_Per_Year[#Headers],0),0)</f>
        <v>5369880000</v>
      </c>
      <c r="M229" s="35">
        <f t="shared" si="3"/>
        <v>420461604</v>
      </c>
      <c r="N229" s="35">
        <f>VLOOKUP($N$2, Private_Vehicle_Kilometres_Car_Stock[#All],MATCH(A229, Private_Vehicle_Kilometres_Car_Stock[#Headers],0),0)</f>
        <v>36195324272</v>
      </c>
    </row>
    <row r="230" spans="1:14" x14ac:dyDescent="0.25">
      <c r="A230" s="79" t="s">
        <v>39</v>
      </c>
      <c r="B230" s="13" t="s">
        <v>180</v>
      </c>
      <c r="C230" s="13" t="s">
        <v>42</v>
      </c>
      <c r="D230" s="5">
        <f>VLOOKUP(B230,Percentage_distribution_of_journey_distance_for_all_regions[#All],MATCH(A230,Percentage_distribution_of_journey_distance_for_all_regions[#Headers],0),0)/100</f>
        <v>0.125</v>
      </c>
      <c r="E230" s="71">
        <f>IF(B230="&lt;2 kilometres",1,0)*VLOOKUP(C230, Percentage_dist_journeys_by_purpose_and_distance_to_2km[#All],MATCH(A230, Percentage_dist_journeys_by_purpose_and_distance_to_2km[#Headers],0),0)/100</f>
        <v>0</v>
      </c>
      <c r="F230" s="4">
        <f>IF(B230="2-4 kilometres",1,0)*VLOOKUP(C230, Percentage_dist_journeys_by_purpose_and_distance_2_to_4km[#All],MATCH(A230, Percentage_dist_journeys_by_purpose_and_distance_2_to_4km[#Headers],0),0)/100</f>
        <v>0</v>
      </c>
      <c r="G230" s="72">
        <f>IF(B230="4-6 kilometres",1,0)*VLOOKUP(C230, Percentage_dist_journeys_by_purpose_and_distance_4_to_6km[#All],MATCH(A230, Percentage_dist_journeys_by_purpose_and_distance_4_to_6km[#Headers],0),0)/100</f>
        <v>0.221</v>
      </c>
      <c r="H230" s="4">
        <f>IF(B230="6-8 kilometres",1,0)*VLOOKUP(C230, Percentage_dist_journeys_by_purpose_and_distance_6_to_8km[#All],MATCH(A230, Percentage_dist_journeys_by_purpose_and_distance_6_to_8km[#Headers],0),0)/100</f>
        <v>0</v>
      </c>
      <c r="I230" s="72">
        <f>IF(B230="8+ kilometres",1,0)*VLOOKUP(C230, Percentage_dist_journeys_by_purpose_and_distance_8km[#All],MATCH(A230, Percentage_dist_journeys_by_purpose_and_distance_8km[#Headers],0),0)/100</f>
        <v>0</v>
      </c>
      <c r="J230" s="73">
        <f>VLOOKUP(B230,Average_Distance_by_kilometres_grouping_for_trip_purpose[#All],MATCH(A230,Average_Distance_by_kilometres_grouping_for_trip_purpose[#Headers],0),0)</f>
        <v>5</v>
      </c>
      <c r="K230" s="77">
        <f>VLOOKUP(C230, Adjustment_factor_for_distance_based_on_trip_purpose[#All],MATCH(A230, Adjustment_factor_for_distance_based_on_trip_purpose[#Headers],0),0)</f>
        <v>1</v>
      </c>
      <c r="L230" s="78">
        <f>VLOOKUP($L$2, Total_Journeys_Per_Year[#All],MATCH(A230, Total_Journeys_Per_Year[#Headers],0),0)</f>
        <v>5369880000</v>
      </c>
      <c r="M230" s="35">
        <f t="shared" si="3"/>
        <v>741714675</v>
      </c>
      <c r="N230" s="35">
        <f>VLOOKUP($N$2, Private_Vehicle_Kilometres_Car_Stock[#All],MATCH(A230, Private_Vehicle_Kilometres_Car_Stock[#Headers],0),0)</f>
        <v>36195324272</v>
      </c>
    </row>
    <row r="231" spans="1:14" x14ac:dyDescent="0.25">
      <c r="A231" s="79" t="s">
        <v>39</v>
      </c>
      <c r="B231" s="13" t="s">
        <v>182</v>
      </c>
      <c r="C231" s="13" t="s">
        <v>42</v>
      </c>
      <c r="D231" s="5">
        <f>VLOOKUP(B231,Percentage_distribution_of_journey_distance_for_all_regions[#All],MATCH(A231,Percentage_distribution_of_journey_distance_for_all_regions[#Headers],0),0)/100</f>
        <v>7.0000000000000007E-2</v>
      </c>
      <c r="E231" s="71">
        <f>IF(B231="&lt;2 kilometres",1,0)*VLOOKUP(C231, Percentage_dist_journeys_by_purpose_and_distance_to_2km[#All],MATCH(A231, Percentage_dist_journeys_by_purpose_and_distance_to_2km[#Headers],0),0)/100</f>
        <v>0</v>
      </c>
      <c r="F231" s="4">
        <f>IF(B231="2-4 kilometres",1,0)*VLOOKUP(C231, Percentage_dist_journeys_by_purpose_and_distance_2_to_4km[#All],MATCH(A231, Percentage_dist_journeys_by_purpose_and_distance_2_to_4km[#Headers],0),0)/100</f>
        <v>0</v>
      </c>
      <c r="G231" s="72">
        <f>IF(B231="4-6 kilometres",1,0)*VLOOKUP(C231, Percentage_dist_journeys_by_purpose_and_distance_4_to_6km[#All],MATCH(A231, Percentage_dist_journeys_by_purpose_and_distance_4_to_6km[#Headers],0),0)/100</f>
        <v>0</v>
      </c>
      <c r="H231" s="4">
        <f>IF(B231="6-8 kilometres",1,0)*VLOOKUP(C231, Percentage_dist_journeys_by_purpose_and_distance_6_to_8km[#All],MATCH(A231, Percentage_dist_journeys_by_purpose_and_distance_6_to_8km[#Headers],0),0)/100</f>
        <v>0.223</v>
      </c>
      <c r="I231" s="72">
        <f>IF(B231="8+ kilometres",1,0)*VLOOKUP(C231, Percentage_dist_journeys_by_purpose_and_distance_8km[#All],MATCH(A231, Percentage_dist_journeys_by_purpose_and_distance_8km[#Headers],0),0)/100</f>
        <v>0</v>
      </c>
      <c r="J231" s="73">
        <f>VLOOKUP(B231,Average_Distance_by_kilometres_grouping_for_trip_purpose[#All],MATCH(A231,Average_Distance_by_kilometres_grouping_for_trip_purpose[#Headers],0),0)</f>
        <v>7</v>
      </c>
      <c r="K231" s="77">
        <f>VLOOKUP(C231, Adjustment_factor_for_distance_based_on_trip_purpose[#All],MATCH(A231, Adjustment_factor_for_distance_based_on_trip_purpose[#Headers],0),0)</f>
        <v>1</v>
      </c>
      <c r="L231" s="78">
        <f>VLOOKUP($L$2, Total_Journeys_Per_Year[#All],MATCH(A231, Total_Journeys_Per_Year[#Headers],0),0)</f>
        <v>5369880000</v>
      </c>
      <c r="M231" s="35">
        <f t="shared" si="3"/>
        <v>586766787.60000014</v>
      </c>
      <c r="N231" s="35">
        <f>VLOOKUP($N$2, Private_Vehicle_Kilometres_Car_Stock[#All],MATCH(A231, Private_Vehicle_Kilometres_Car_Stock[#Headers],0),0)</f>
        <v>36195324272</v>
      </c>
    </row>
    <row r="232" spans="1:14" x14ac:dyDescent="0.25">
      <c r="A232" s="79" t="s">
        <v>39</v>
      </c>
      <c r="B232" s="13" t="s">
        <v>1</v>
      </c>
      <c r="C232" s="13" t="s">
        <v>42</v>
      </c>
      <c r="D232" s="5">
        <f>VLOOKUP(B232,Percentage_distribution_of_journey_distance_for_all_regions[#All],MATCH(A232,Percentage_distribution_of_journey_distance_for_all_regions[#Headers],0),0)/100</f>
        <v>0.36799999999999999</v>
      </c>
      <c r="E232" s="71">
        <f>IF(B232="&lt;2 kilometres",1,0)*VLOOKUP(C232, Percentage_dist_journeys_by_purpose_and_distance_to_2km[#All],MATCH(A232, Percentage_dist_journeys_by_purpose_and_distance_to_2km[#Headers],0),0)/100</f>
        <v>0</v>
      </c>
      <c r="F232" s="4">
        <f>IF(B232="2-4 kilometres",1,0)*VLOOKUP(C232, Percentage_dist_journeys_by_purpose_and_distance_2_to_4km[#All],MATCH(A232, Percentage_dist_journeys_by_purpose_and_distance_2_to_4km[#Headers],0),0)/100</f>
        <v>0</v>
      </c>
      <c r="G232" s="72">
        <f>IF(B232="4-6 kilometres",1,0)*VLOOKUP(C232, Percentage_dist_journeys_by_purpose_and_distance_4_to_6km[#All],MATCH(A232, Percentage_dist_journeys_by_purpose_and_distance_4_to_6km[#Headers],0),0)/100</f>
        <v>0</v>
      </c>
      <c r="H232" s="4">
        <f>IF(B232="6-8 kilometres",1,0)*VLOOKUP(C232, Percentage_dist_journeys_by_purpose_and_distance_6_to_8km[#All],MATCH(A232, Percentage_dist_journeys_by_purpose_and_distance_6_to_8km[#Headers],0),0)/100</f>
        <v>0</v>
      </c>
      <c r="I232" s="72">
        <f>IF(B232="8+ kilometres",1,0)*VLOOKUP(C232, Percentage_dist_journeys_by_purpose_and_distance_8km[#All],MATCH(A232, Percentage_dist_journeys_by_purpose_and_distance_8km[#Headers],0),0)/100</f>
        <v>0.314</v>
      </c>
      <c r="J232" s="73">
        <f>VLOOKUP(B232,Average_Distance_by_kilometres_grouping_for_trip_purpose[#All],MATCH(A232,Average_Distance_by_kilometres_grouping_for_trip_purpose[#Headers],0),0)</f>
        <v>28.2</v>
      </c>
      <c r="K232" s="77">
        <f>VLOOKUP(C232, Adjustment_factor_for_distance_based_on_trip_purpose[#All],MATCH(A232, Adjustment_factor_for_distance_based_on_trip_purpose[#Headers],0),0)</f>
        <v>1</v>
      </c>
      <c r="L232" s="78">
        <f>VLOOKUP($L$2, Total_Journeys_Per_Year[#All],MATCH(A232, Total_Journeys_Per_Year[#Headers],0),0)</f>
        <v>5369880000</v>
      </c>
      <c r="M232" s="35">
        <f t="shared" si="3"/>
        <v>17498110540.031998</v>
      </c>
      <c r="N232" s="35">
        <f>VLOOKUP($N$2, Private_Vehicle_Kilometres_Car_Stock[#All],MATCH(A232, Private_Vehicle_Kilometres_Car_Stock[#Headers],0),0)</f>
        <v>36195324272</v>
      </c>
    </row>
    <row r="233" spans="1:14" x14ac:dyDescent="0.25">
      <c r="A233" s="79" t="s">
        <v>39</v>
      </c>
      <c r="B233" s="13" t="s">
        <v>12</v>
      </c>
      <c r="C233" s="13" t="s">
        <v>43</v>
      </c>
      <c r="D233" s="5">
        <f>VLOOKUP(B233,Percentage_distribution_of_journey_distance_for_all_regions[#All],MATCH(A233,Percentage_distribution_of_journey_distance_for_all_regions[#Headers],0),0)/100</f>
        <v>0.28600000000000003</v>
      </c>
      <c r="E233" s="71">
        <f>IF(B233="&lt;2 kilometres",1,0)*VLOOKUP(C233, Percentage_dist_journeys_by_purpose_and_distance_to_2km[#All],MATCH(A233, Percentage_dist_journeys_by_purpose_and_distance_to_2km[#Headers],0),0)/100</f>
        <v>2.4E-2</v>
      </c>
      <c r="F233" s="4">
        <f>IF(B233="2-4 kilometres",1,0)*VLOOKUP(C233, Percentage_dist_journeys_by_purpose_and_distance_2_to_4km[#All],MATCH(A233, Percentage_dist_journeys_by_purpose_and_distance_2_to_4km[#Headers],0),0)/100</f>
        <v>0</v>
      </c>
      <c r="G233" s="72">
        <f>IF(B233="4-6 kilometres",1,0)*VLOOKUP(C233, Percentage_dist_journeys_by_purpose_and_distance_4_to_6km[#All],MATCH(A233, Percentage_dist_journeys_by_purpose_and_distance_4_to_6km[#Headers],0),0)/100</f>
        <v>0</v>
      </c>
      <c r="H233" s="4">
        <f>IF(B233="6-8 kilometres",1,0)*VLOOKUP(C233, Percentage_dist_journeys_by_purpose_and_distance_6_to_8km[#All],MATCH(A233, Percentage_dist_journeys_by_purpose_and_distance_6_to_8km[#Headers],0),0)/100</f>
        <v>0</v>
      </c>
      <c r="I233" s="72">
        <f>IF(B233="8+ kilometres",1,0)*VLOOKUP(C233, Percentage_dist_journeys_by_purpose_and_distance_8km[#All],MATCH(A233, Percentage_dist_journeys_by_purpose_and_distance_8km[#Headers],0),0)/100</f>
        <v>0</v>
      </c>
      <c r="J233" s="73">
        <f>VLOOKUP(B233,Average_Distance_by_kilometres_grouping_for_trip_purpose[#All],MATCH(A233,Average_Distance_by_kilometres_grouping_for_trip_purpose[#Headers],0),0)</f>
        <v>1</v>
      </c>
      <c r="K233" s="77">
        <f>VLOOKUP(C233, Adjustment_factor_for_distance_based_on_trip_purpose[#All],MATCH(A233, Adjustment_factor_for_distance_based_on_trip_purpose[#Headers],0),0)</f>
        <v>0.88888888888888884</v>
      </c>
      <c r="L233" s="78">
        <f>VLOOKUP($L$2, Total_Journeys_Per_Year[#All],MATCH(A233, Total_Journeys_Per_Year[#Headers],0),0)</f>
        <v>5369880000</v>
      </c>
      <c r="M233" s="35">
        <f t="shared" si="3"/>
        <v>36858856.320000008</v>
      </c>
      <c r="N233" s="35">
        <f>VLOOKUP($N$2, Private_Vehicle_Kilometres_Car_Stock[#All],MATCH(A233, Private_Vehicle_Kilometres_Car_Stock[#Headers],0),0)</f>
        <v>36195324272</v>
      </c>
    </row>
    <row r="234" spans="1:14" x14ac:dyDescent="0.25">
      <c r="A234" s="79" t="s">
        <v>39</v>
      </c>
      <c r="B234" s="13" t="s">
        <v>181</v>
      </c>
      <c r="C234" s="13" t="s">
        <v>43</v>
      </c>
      <c r="D234" s="5">
        <f>VLOOKUP(B234,Percentage_distribution_of_journey_distance_for_all_regions[#All],MATCH(A234,Percentage_distribution_of_journey_distance_for_all_regions[#Headers],0),0)/100</f>
        <v>0.15</v>
      </c>
      <c r="E234" s="71">
        <f>IF(B234="&lt;2 kilometres",1,0)*VLOOKUP(C234, Percentage_dist_journeys_by_purpose_and_distance_to_2km[#All],MATCH(A234, Percentage_dist_journeys_by_purpose_and_distance_to_2km[#Headers],0),0)/100</f>
        <v>0</v>
      </c>
      <c r="F234" s="4">
        <f>IF(B234="2-4 kilometres",1,0)*VLOOKUP(C234, Percentage_dist_journeys_by_purpose_and_distance_2_to_4km[#All],MATCH(A234, Percentage_dist_journeys_by_purpose_and_distance_2_to_4km[#Headers],0),0)/100</f>
        <v>2.8999999999999998E-2</v>
      </c>
      <c r="G234" s="72">
        <f>IF(B234="4-6 kilometres",1,0)*VLOOKUP(C234, Percentage_dist_journeys_by_purpose_and_distance_4_to_6km[#All],MATCH(A234, Percentage_dist_journeys_by_purpose_and_distance_4_to_6km[#Headers],0),0)/100</f>
        <v>0</v>
      </c>
      <c r="H234" s="4">
        <f>IF(B234="6-8 kilometres",1,0)*VLOOKUP(C234, Percentage_dist_journeys_by_purpose_and_distance_6_to_8km[#All],MATCH(A234, Percentage_dist_journeys_by_purpose_and_distance_6_to_8km[#Headers],0),0)/100</f>
        <v>0</v>
      </c>
      <c r="I234" s="72">
        <f>IF(B234="8+ kilometres",1,0)*VLOOKUP(C234, Percentage_dist_journeys_by_purpose_and_distance_8km[#All],MATCH(A234, Percentage_dist_journeys_by_purpose_and_distance_8km[#Headers],0),0)/100</f>
        <v>0</v>
      </c>
      <c r="J234" s="73">
        <f>VLOOKUP(B234,Average_Distance_by_kilometres_grouping_for_trip_purpose[#All],MATCH(A234,Average_Distance_by_kilometres_grouping_for_trip_purpose[#Headers],0),0)</f>
        <v>3</v>
      </c>
      <c r="K234" s="77">
        <f>VLOOKUP(C234, Adjustment_factor_for_distance_based_on_trip_purpose[#All],MATCH(A234, Adjustment_factor_for_distance_based_on_trip_purpose[#Headers],0),0)</f>
        <v>0.88888888888888884</v>
      </c>
      <c r="L234" s="78">
        <f>VLOOKUP($L$2, Total_Journeys_Per_Year[#All],MATCH(A234, Total_Journeys_Per_Year[#Headers],0),0)</f>
        <v>5369880000</v>
      </c>
      <c r="M234" s="35">
        <f t="shared" si="3"/>
        <v>70076934</v>
      </c>
      <c r="N234" s="35">
        <f>VLOOKUP($N$2, Private_Vehicle_Kilometres_Car_Stock[#All],MATCH(A234, Private_Vehicle_Kilometres_Car_Stock[#Headers],0),0)</f>
        <v>36195324272</v>
      </c>
    </row>
    <row r="235" spans="1:14" x14ac:dyDescent="0.25">
      <c r="A235" s="79" t="s">
        <v>39</v>
      </c>
      <c r="B235" s="13" t="s">
        <v>180</v>
      </c>
      <c r="C235" s="13" t="s">
        <v>43</v>
      </c>
      <c r="D235" s="5">
        <f>VLOOKUP(B235,Percentage_distribution_of_journey_distance_for_all_regions[#All],MATCH(A235,Percentage_distribution_of_journey_distance_for_all_regions[#Headers],0),0)/100</f>
        <v>0.125</v>
      </c>
      <c r="E235" s="71">
        <f>IF(B235="&lt;2 kilometres",1,0)*VLOOKUP(C235, Percentage_dist_journeys_by_purpose_and_distance_to_2km[#All],MATCH(A235, Percentage_dist_journeys_by_purpose_and_distance_to_2km[#Headers],0),0)/100</f>
        <v>0</v>
      </c>
      <c r="F235" s="4">
        <f>IF(B235="2-4 kilometres",1,0)*VLOOKUP(C235, Percentage_dist_journeys_by_purpose_and_distance_2_to_4km[#All],MATCH(A235, Percentage_dist_journeys_by_purpose_and_distance_2_to_4km[#Headers],0),0)/100</f>
        <v>0</v>
      </c>
      <c r="G235" s="72">
        <f>IF(B235="4-6 kilometres",1,0)*VLOOKUP(C235, Percentage_dist_journeys_by_purpose_and_distance_4_to_6km[#All],MATCH(A235, Percentage_dist_journeys_by_purpose_and_distance_4_to_6km[#Headers],0),0)/100</f>
        <v>3.7999999999999999E-2</v>
      </c>
      <c r="H235" s="4">
        <f>IF(B235="6-8 kilometres",1,0)*VLOOKUP(C235, Percentage_dist_journeys_by_purpose_and_distance_6_to_8km[#All],MATCH(A235, Percentage_dist_journeys_by_purpose_and_distance_6_to_8km[#Headers],0),0)/100</f>
        <v>0</v>
      </c>
      <c r="I235" s="72">
        <f>IF(B235="8+ kilometres",1,0)*VLOOKUP(C235, Percentage_dist_journeys_by_purpose_and_distance_8km[#All],MATCH(A235, Percentage_dist_journeys_by_purpose_and_distance_8km[#Headers],0),0)/100</f>
        <v>0</v>
      </c>
      <c r="J235" s="73">
        <f>VLOOKUP(B235,Average_Distance_by_kilometres_grouping_for_trip_purpose[#All],MATCH(A235,Average_Distance_by_kilometres_grouping_for_trip_purpose[#Headers],0),0)</f>
        <v>5</v>
      </c>
      <c r="K235" s="77">
        <f>VLOOKUP(C235, Adjustment_factor_for_distance_based_on_trip_purpose[#All],MATCH(A235, Adjustment_factor_for_distance_based_on_trip_purpose[#Headers],0),0)</f>
        <v>0.88888888888888884</v>
      </c>
      <c r="L235" s="78">
        <f>VLOOKUP($L$2, Total_Journeys_Per_Year[#All],MATCH(A235, Total_Journeys_Per_Year[#Headers],0),0)</f>
        <v>5369880000</v>
      </c>
      <c r="M235" s="35">
        <f t="shared" si="3"/>
        <v>127534650</v>
      </c>
      <c r="N235" s="35">
        <f>VLOOKUP($N$2, Private_Vehicle_Kilometres_Car_Stock[#All],MATCH(A235, Private_Vehicle_Kilometres_Car_Stock[#Headers],0),0)</f>
        <v>36195324272</v>
      </c>
    </row>
    <row r="236" spans="1:14" x14ac:dyDescent="0.25">
      <c r="A236" s="79" t="s">
        <v>39</v>
      </c>
      <c r="B236" s="13" t="s">
        <v>182</v>
      </c>
      <c r="C236" s="13" t="s">
        <v>43</v>
      </c>
      <c r="D236" s="5">
        <f>VLOOKUP(B236,Percentage_distribution_of_journey_distance_for_all_regions[#All],MATCH(A236,Percentage_distribution_of_journey_distance_for_all_regions[#Headers],0),0)/100</f>
        <v>7.0000000000000007E-2</v>
      </c>
      <c r="E236" s="71">
        <f>IF(B236="&lt;2 kilometres",1,0)*VLOOKUP(C236, Percentage_dist_journeys_by_purpose_and_distance_to_2km[#All],MATCH(A236, Percentage_dist_journeys_by_purpose_and_distance_to_2km[#Headers],0),0)/100</f>
        <v>0</v>
      </c>
      <c r="F236" s="4">
        <f>IF(B236="2-4 kilometres",1,0)*VLOOKUP(C236, Percentage_dist_journeys_by_purpose_and_distance_2_to_4km[#All],MATCH(A236, Percentage_dist_journeys_by_purpose_and_distance_2_to_4km[#Headers],0),0)/100</f>
        <v>0</v>
      </c>
      <c r="G236" s="72">
        <f>IF(B236="4-6 kilometres",1,0)*VLOOKUP(C236, Percentage_dist_journeys_by_purpose_and_distance_4_to_6km[#All],MATCH(A236, Percentage_dist_journeys_by_purpose_and_distance_4_to_6km[#Headers],0),0)/100</f>
        <v>0</v>
      </c>
      <c r="H236" s="4">
        <f>IF(B236="6-8 kilometres",1,0)*VLOOKUP(C236, Percentage_dist_journeys_by_purpose_and_distance_6_to_8km[#All],MATCH(A236, Percentage_dist_journeys_by_purpose_and_distance_6_to_8km[#Headers],0),0)/100</f>
        <v>3.5000000000000003E-2</v>
      </c>
      <c r="I236" s="72">
        <f>IF(B236="8+ kilometres",1,0)*VLOOKUP(C236, Percentage_dist_journeys_by_purpose_and_distance_8km[#All],MATCH(A236, Percentage_dist_journeys_by_purpose_and_distance_8km[#Headers],0),0)/100</f>
        <v>0</v>
      </c>
      <c r="J236" s="73">
        <f>VLOOKUP(B236,Average_Distance_by_kilometres_grouping_for_trip_purpose[#All],MATCH(A236,Average_Distance_by_kilometres_grouping_for_trip_purpose[#Headers],0),0)</f>
        <v>7</v>
      </c>
      <c r="K236" s="77">
        <f>VLOOKUP(C236, Adjustment_factor_for_distance_based_on_trip_purpose[#All],MATCH(A236, Adjustment_factor_for_distance_based_on_trip_purpose[#Headers],0),0)</f>
        <v>0.88888888888888884</v>
      </c>
      <c r="L236" s="78">
        <f>VLOOKUP($L$2, Total_Journeys_Per_Year[#All],MATCH(A236, Total_Journeys_Per_Year[#Headers],0),0)</f>
        <v>5369880000</v>
      </c>
      <c r="M236" s="35">
        <f t="shared" si="3"/>
        <v>92093442.000000015</v>
      </c>
      <c r="N236" s="35">
        <f>VLOOKUP($N$2, Private_Vehicle_Kilometres_Car_Stock[#All],MATCH(A236, Private_Vehicle_Kilometres_Car_Stock[#Headers],0),0)</f>
        <v>36195324272</v>
      </c>
    </row>
    <row r="237" spans="1:14" x14ac:dyDescent="0.25">
      <c r="A237" s="79" t="s">
        <v>39</v>
      </c>
      <c r="B237" s="13" t="s">
        <v>1</v>
      </c>
      <c r="C237" s="13" t="s">
        <v>43</v>
      </c>
      <c r="D237" s="5">
        <f>VLOOKUP(B237,Percentage_distribution_of_journey_distance_for_all_regions[#All],MATCH(A237,Percentage_distribution_of_journey_distance_for_all_regions[#Headers],0),0)/100</f>
        <v>0.36799999999999999</v>
      </c>
      <c r="E237" s="71">
        <f>IF(B237="&lt;2 kilometres",1,0)*VLOOKUP(C237, Percentage_dist_journeys_by_purpose_and_distance_to_2km[#All],MATCH(A237, Percentage_dist_journeys_by_purpose_and_distance_to_2km[#Headers],0),0)/100</f>
        <v>0</v>
      </c>
      <c r="F237" s="4">
        <f>IF(B237="2-4 kilometres",1,0)*VLOOKUP(C237, Percentage_dist_journeys_by_purpose_and_distance_2_to_4km[#All],MATCH(A237, Percentage_dist_journeys_by_purpose_and_distance_2_to_4km[#Headers],0),0)/100</f>
        <v>0</v>
      </c>
      <c r="G237" s="72">
        <f>IF(B237="4-6 kilometres",1,0)*VLOOKUP(C237, Percentage_dist_journeys_by_purpose_and_distance_4_to_6km[#All],MATCH(A237, Percentage_dist_journeys_by_purpose_and_distance_4_to_6km[#Headers],0),0)/100</f>
        <v>0</v>
      </c>
      <c r="H237" s="4">
        <f>IF(B237="6-8 kilometres",1,0)*VLOOKUP(C237, Percentage_dist_journeys_by_purpose_and_distance_6_to_8km[#All],MATCH(A237, Percentage_dist_journeys_by_purpose_and_distance_6_to_8km[#Headers],0),0)/100</f>
        <v>0</v>
      </c>
      <c r="I237" s="72">
        <f>IF(B237="8+ kilometres",1,0)*VLOOKUP(C237, Percentage_dist_journeys_by_purpose_and_distance_8km[#All],MATCH(A237, Percentage_dist_journeys_by_purpose_and_distance_8km[#Headers],0),0)/100</f>
        <v>2.5000000000000001E-2</v>
      </c>
      <c r="J237" s="73">
        <f>VLOOKUP(B237,Average_Distance_by_kilometres_grouping_for_trip_purpose[#All],MATCH(A237,Average_Distance_by_kilometres_grouping_for_trip_purpose[#Headers],0),0)</f>
        <v>28.2</v>
      </c>
      <c r="K237" s="77">
        <f>VLOOKUP(C237, Adjustment_factor_for_distance_based_on_trip_purpose[#All],MATCH(A237, Adjustment_factor_for_distance_based_on_trip_purpose[#Headers],0),0)</f>
        <v>0.88888888888888884</v>
      </c>
      <c r="L237" s="78">
        <f>VLOOKUP($L$2, Total_Journeys_Per_Year[#All],MATCH(A237, Total_Journeys_Per_Year[#Headers],0),0)</f>
        <v>5369880000</v>
      </c>
      <c r="M237" s="35">
        <f t="shared" si="3"/>
        <v>1393161667.2</v>
      </c>
      <c r="N237" s="35">
        <f>VLOOKUP($N$2, Private_Vehicle_Kilometres_Car_Stock[#All],MATCH(A237, Private_Vehicle_Kilometres_Car_Stock[#Headers],0),0)</f>
        <v>36195324272</v>
      </c>
    </row>
    <row r="238" spans="1:14" x14ac:dyDescent="0.25">
      <c r="A238" s="79" t="s">
        <v>39</v>
      </c>
      <c r="B238" s="13" t="s">
        <v>12</v>
      </c>
      <c r="C238" s="13" t="s">
        <v>44</v>
      </c>
      <c r="D238" s="5">
        <f>VLOOKUP(B238,Percentage_distribution_of_journey_distance_for_all_regions[#All],MATCH(A238,Percentage_distribution_of_journey_distance_for_all_regions[#Headers],0),0)/100</f>
        <v>0.28600000000000003</v>
      </c>
      <c r="E238" s="71">
        <f>IF(B238="&lt;2 kilometres",1,0)*VLOOKUP(C238, Percentage_dist_journeys_by_purpose_and_distance_to_2km[#All],MATCH(A238, Percentage_dist_journeys_by_purpose_and_distance_to_2km[#Headers],0),0)/100</f>
        <v>0.26500000000000001</v>
      </c>
      <c r="F238" s="4">
        <f>IF(B238="2-4 kilometres",1,0)*VLOOKUP(C238, Percentage_dist_journeys_by_purpose_and_distance_2_to_4km[#All],MATCH(A238, Percentage_dist_journeys_by_purpose_and_distance_2_to_4km[#Headers],0),0)/100</f>
        <v>0</v>
      </c>
      <c r="G238" s="72">
        <f>IF(B238="4-6 kilometres",1,0)*VLOOKUP(C238, Percentage_dist_journeys_by_purpose_and_distance_4_to_6km[#All],MATCH(A238, Percentage_dist_journeys_by_purpose_and_distance_4_to_6km[#Headers],0),0)/100</f>
        <v>0</v>
      </c>
      <c r="H238" s="4">
        <f>IF(B238="6-8 kilometres",1,0)*VLOOKUP(C238, Percentage_dist_journeys_by_purpose_and_distance_6_to_8km[#All],MATCH(A238, Percentage_dist_journeys_by_purpose_and_distance_6_to_8km[#Headers],0),0)/100</f>
        <v>0</v>
      </c>
      <c r="I238" s="72">
        <f>IF(B238="8+ kilometres",1,0)*VLOOKUP(C238, Percentage_dist_journeys_by_purpose_and_distance_8km[#All],MATCH(A238, Percentage_dist_journeys_by_purpose_and_distance_8km[#Headers],0),0)/100</f>
        <v>0</v>
      </c>
      <c r="J238" s="73">
        <f>VLOOKUP(B238,Average_Distance_by_kilometres_grouping_for_trip_purpose[#All],MATCH(A238,Average_Distance_by_kilometres_grouping_for_trip_purpose[#Headers],0),0)</f>
        <v>1</v>
      </c>
      <c r="K238" s="77">
        <f>VLOOKUP(C238, Adjustment_factor_for_distance_based_on_trip_purpose[#All],MATCH(A238, Adjustment_factor_for_distance_based_on_trip_purpose[#Headers],0),0)</f>
        <v>0.44444444444444442</v>
      </c>
      <c r="L238" s="78">
        <f>VLOOKUP($L$2, Total_Journeys_Per_Year[#All],MATCH(A238, Total_Journeys_Per_Year[#Headers],0),0)</f>
        <v>5369880000</v>
      </c>
      <c r="M238" s="35">
        <f t="shared" si="3"/>
        <v>406983205.20000005</v>
      </c>
      <c r="N238" s="35">
        <f>VLOOKUP($N$2, Private_Vehicle_Kilometres_Car_Stock[#All],MATCH(A238, Private_Vehicle_Kilometres_Car_Stock[#Headers],0),0)</f>
        <v>36195324272</v>
      </c>
    </row>
    <row r="239" spans="1:14" x14ac:dyDescent="0.25">
      <c r="A239" s="79" t="s">
        <v>39</v>
      </c>
      <c r="B239" s="13" t="s">
        <v>181</v>
      </c>
      <c r="C239" s="13" t="s">
        <v>44</v>
      </c>
      <c r="D239" s="5">
        <f>VLOOKUP(B239,Percentage_distribution_of_journey_distance_for_all_regions[#All],MATCH(A239,Percentage_distribution_of_journey_distance_for_all_regions[#Headers],0),0)/100</f>
        <v>0.15</v>
      </c>
      <c r="E239" s="71">
        <f>IF(B239="&lt;2 kilometres",1,0)*VLOOKUP(C239, Percentage_dist_journeys_by_purpose_and_distance_to_2km[#All],MATCH(A239, Percentage_dist_journeys_by_purpose_and_distance_to_2km[#Headers],0),0)/100</f>
        <v>0</v>
      </c>
      <c r="F239" s="4">
        <f>IF(B239="2-4 kilometres",1,0)*VLOOKUP(C239, Percentage_dist_journeys_by_purpose_and_distance_2_to_4km[#All],MATCH(A239, Percentage_dist_journeys_by_purpose_and_distance_2_to_4km[#Headers],0),0)/100</f>
        <v>0.25600000000000001</v>
      </c>
      <c r="G239" s="72">
        <f>IF(B239="4-6 kilometres",1,0)*VLOOKUP(C239, Percentage_dist_journeys_by_purpose_and_distance_4_to_6km[#All],MATCH(A239, Percentage_dist_journeys_by_purpose_and_distance_4_to_6km[#Headers],0),0)/100</f>
        <v>0</v>
      </c>
      <c r="H239" s="4">
        <f>IF(B239="6-8 kilometres",1,0)*VLOOKUP(C239, Percentage_dist_journeys_by_purpose_and_distance_6_to_8km[#All],MATCH(A239, Percentage_dist_journeys_by_purpose_and_distance_6_to_8km[#Headers],0),0)/100</f>
        <v>0</v>
      </c>
      <c r="I239" s="72">
        <f>IF(B239="8+ kilometres",1,0)*VLOOKUP(C239, Percentage_dist_journeys_by_purpose_and_distance_8km[#All],MATCH(A239, Percentage_dist_journeys_by_purpose_and_distance_8km[#Headers],0),0)/100</f>
        <v>0</v>
      </c>
      <c r="J239" s="73">
        <f>VLOOKUP(B239,Average_Distance_by_kilometres_grouping_for_trip_purpose[#All],MATCH(A239,Average_Distance_by_kilometres_grouping_for_trip_purpose[#Headers],0),0)</f>
        <v>3</v>
      </c>
      <c r="K239" s="77">
        <f>VLOOKUP(C239, Adjustment_factor_for_distance_based_on_trip_purpose[#All],MATCH(A239, Adjustment_factor_for_distance_based_on_trip_purpose[#Headers],0),0)</f>
        <v>0.44444444444444442</v>
      </c>
      <c r="L239" s="78">
        <f>VLOOKUP($L$2, Total_Journeys_Per_Year[#All],MATCH(A239, Total_Journeys_Per_Year[#Headers],0),0)</f>
        <v>5369880000</v>
      </c>
      <c r="M239" s="35">
        <f t="shared" si="3"/>
        <v>618610176</v>
      </c>
      <c r="N239" s="35">
        <f>VLOOKUP($N$2, Private_Vehicle_Kilometres_Car_Stock[#All],MATCH(A239, Private_Vehicle_Kilometres_Car_Stock[#Headers],0),0)</f>
        <v>36195324272</v>
      </c>
    </row>
    <row r="240" spans="1:14" x14ac:dyDescent="0.25">
      <c r="A240" s="79" t="s">
        <v>39</v>
      </c>
      <c r="B240" s="13" t="s">
        <v>180</v>
      </c>
      <c r="C240" s="13" t="s">
        <v>44</v>
      </c>
      <c r="D240" s="5">
        <f>VLOOKUP(B240,Percentage_distribution_of_journey_distance_for_all_regions[#All],MATCH(A240,Percentage_distribution_of_journey_distance_for_all_regions[#Headers],0),0)/100</f>
        <v>0.125</v>
      </c>
      <c r="E240" s="71">
        <f>IF(B240="&lt;2 kilometres",1,0)*VLOOKUP(C240, Percentage_dist_journeys_by_purpose_and_distance_to_2km[#All],MATCH(A240, Percentage_dist_journeys_by_purpose_and_distance_to_2km[#Headers],0),0)/100</f>
        <v>0</v>
      </c>
      <c r="F240" s="4">
        <f>IF(B240="2-4 kilometres",1,0)*VLOOKUP(C240, Percentage_dist_journeys_by_purpose_and_distance_2_to_4km[#All],MATCH(A240, Percentage_dist_journeys_by_purpose_and_distance_2_to_4km[#Headers],0),0)/100</f>
        <v>0</v>
      </c>
      <c r="G240" s="72">
        <f>IF(B240="4-6 kilometres",1,0)*VLOOKUP(C240, Percentage_dist_journeys_by_purpose_and_distance_4_to_6km[#All],MATCH(A240, Percentage_dist_journeys_by_purpose_and_distance_4_to_6km[#Headers],0),0)/100</f>
        <v>0.16899999999999998</v>
      </c>
      <c r="H240" s="4">
        <f>IF(B240="6-8 kilometres",1,0)*VLOOKUP(C240, Percentage_dist_journeys_by_purpose_and_distance_6_to_8km[#All],MATCH(A240, Percentage_dist_journeys_by_purpose_and_distance_6_to_8km[#Headers],0),0)/100</f>
        <v>0</v>
      </c>
      <c r="I240" s="72">
        <f>IF(B240="8+ kilometres",1,0)*VLOOKUP(C240, Percentage_dist_journeys_by_purpose_and_distance_8km[#All],MATCH(A240, Percentage_dist_journeys_by_purpose_and_distance_8km[#Headers],0),0)/100</f>
        <v>0</v>
      </c>
      <c r="J240" s="73">
        <f>VLOOKUP(B240,Average_Distance_by_kilometres_grouping_for_trip_purpose[#All],MATCH(A240,Average_Distance_by_kilometres_grouping_for_trip_purpose[#Headers],0),0)</f>
        <v>5</v>
      </c>
      <c r="K240" s="77">
        <f>VLOOKUP(C240, Adjustment_factor_for_distance_based_on_trip_purpose[#All],MATCH(A240, Adjustment_factor_for_distance_based_on_trip_purpose[#Headers],0),0)</f>
        <v>0.44444444444444442</v>
      </c>
      <c r="L240" s="78">
        <f>VLOOKUP($L$2, Total_Journeys_Per_Year[#All],MATCH(A240, Total_Journeys_Per_Year[#Headers],0),0)</f>
        <v>5369880000</v>
      </c>
      <c r="M240" s="35">
        <f t="shared" si="3"/>
        <v>567193575</v>
      </c>
      <c r="N240" s="35">
        <f>VLOOKUP($N$2, Private_Vehicle_Kilometres_Car_Stock[#All],MATCH(A240, Private_Vehicle_Kilometres_Car_Stock[#Headers],0),0)</f>
        <v>36195324272</v>
      </c>
    </row>
    <row r="241" spans="1:14" x14ac:dyDescent="0.25">
      <c r="A241" s="79" t="s">
        <v>39</v>
      </c>
      <c r="B241" s="13" t="s">
        <v>182</v>
      </c>
      <c r="C241" s="13" t="s">
        <v>44</v>
      </c>
      <c r="D241" s="5">
        <f>VLOOKUP(B241,Percentage_distribution_of_journey_distance_for_all_regions[#All],MATCH(A241,Percentage_distribution_of_journey_distance_for_all_regions[#Headers],0),0)/100</f>
        <v>7.0000000000000007E-2</v>
      </c>
      <c r="E241" s="71">
        <f>IF(B241="&lt;2 kilometres",1,0)*VLOOKUP(C241, Percentage_dist_journeys_by_purpose_and_distance_to_2km[#All],MATCH(A241, Percentage_dist_journeys_by_purpose_and_distance_to_2km[#Headers],0),0)/100</f>
        <v>0</v>
      </c>
      <c r="F241" s="4">
        <f>IF(B241="2-4 kilometres",1,0)*VLOOKUP(C241, Percentage_dist_journeys_by_purpose_and_distance_2_to_4km[#All],MATCH(A241, Percentage_dist_journeys_by_purpose_and_distance_2_to_4km[#Headers],0),0)/100</f>
        <v>0</v>
      </c>
      <c r="G241" s="72">
        <f>IF(B241="4-6 kilometres",1,0)*VLOOKUP(C241, Percentage_dist_journeys_by_purpose_and_distance_4_to_6km[#All],MATCH(A241, Percentage_dist_journeys_by_purpose_and_distance_4_to_6km[#Headers],0),0)/100</f>
        <v>0</v>
      </c>
      <c r="H241" s="4">
        <f>IF(B241="6-8 kilometres",1,0)*VLOOKUP(C241, Percentage_dist_journeys_by_purpose_and_distance_6_to_8km[#All],MATCH(A241, Percentage_dist_journeys_by_purpose_and_distance_6_to_8km[#Headers],0),0)/100</f>
        <v>0.21899999999999997</v>
      </c>
      <c r="I241" s="72">
        <f>IF(B241="8+ kilometres",1,0)*VLOOKUP(C241, Percentage_dist_journeys_by_purpose_and_distance_8km[#All],MATCH(A241, Percentage_dist_journeys_by_purpose_and_distance_8km[#Headers],0),0)/100</f>
        <v>0</v>
      </c>
      <c r="J241" s="73">
        <f>VLOOKUP(B241,Average_Distance_by_kilometres_grouping_for_trip_purpose[#All],MATCH(A241,Average_Distance_by_kilometres_grouping_for_trip_purpose[#Headers],0),0)</f>
        <v>7</v>
      </c>
      <c r="K241" s="77">
        <f>VLOOKUP(C241, Adjustment_factor_for_distance_based_on_trip_purpose[#All],MATCH(A241, Adjustment_factor_for_distance_based_on_trip_purpose[#Headers],0),0)</f>
        <v>0.44444444444444442</v>
      </c>
      <c r="L241" s="78">
        <f>VLOOKUP($L$2, Total_Journeys_Per_Year[#All],MATCH(A241, Total_Journeys_Per_Year[#Headers],0),0)</f>
        <v>5369880000</v>
      </c>
      <c r="M241" s="35">
        <f t="shared" si="3"/>
        <v>576241822.80000007</v>
      </c>
      <c r="N241" s="35">
        <f>VLOOKUP($N$2, Private_Vehicle_Kilometres_Car_Stock[#All],MATCH(A241, Private_Vehicle_Kilometres_Car_Stock[#Headers],0),0)</f>
        <v>36195324272</v>
      </c>
    </row>
    <row r="242" spans="1:14" x14ac:dyDescent="0.25">
      <c r="A242" s="79" t="s">
        <v>39</v>
      </c>
      <c r="B242" s="13" t="s">
        <v>1</v>
      </c>
      <c r="C242" s="13" t="s">
        <v>44</v>
      </c>
      <c r="D242" s="5">
        <f>VLOOKUP(B242,Percentage_distribution_of_journey_distance_for_all_regions[#All],MATCH(A242,Percentage_distribution_of_journey_distance_for_all_regions[#Headers],0),0)/100</f>
        <v>0.36799999999999999</v>
      </c>
      <c r="E242" s="71">
        <f>IF(B242="&lt;2 kilometres",1,0)*VLOOKUP(C242, Percentage_dist_journeys_by_purpose_and_distance_to_2km[#All],MATCH(A242, Percentage_dist_journeys_by_purpose_and_distance_to_2km[#Headers],0),0)/100</f>
        <v>0</v>
      </c>
      <c r="F242" s="4">
        <f>IF(B242="2-4 kilometres",1,0)*VLOOKUP(C242, Percentage_dist_journeys_by_purpose_and_distance_2_to_4km[#All],MATCH(A242, Percentage_dist_journeys_by_purpose_and_distance_2_to_4km[#Headers],0),0)/100</f>
        <v>0</v>
      </c>
      <c r="G242" s="72">
        <f>IF(B242="4-6 kilometres",1,0)*VLOOKUP(C242, Percentage_dist_journeys_by_purpose_and_distance_4_to_6km[#All],MATCH(A242, Percentage_dist_journeys_by_purpose_and_distance_4_to_6km[#Headers],0),0)/100</f>
        <v>0</v>
      </c>
      <c r="H242" s="4">
        <f>IF(B242="6-8 kilometres",1,0)*VLOOKUP(C242, Percentage_dist_journeys_by_purpose_and_distance_6_to_8km[#All],MATCH(A242, Percentage_dist_journeys_by_purpose_and_distance_6_to_8km[#Headers],0),0)/100</f>
        <v>0</v>
      </c>
      <c r="I242" s="72">
        <f>IF(B242="8+ kilometres",1,0)*VLOOKUP(C242, Percentage_dist_journeys_by_purpose_and_distance_8km[#All],MATCH(A242, Percentage_dist_journeys_by_purpose_and_distance_8km[#Headers],0),0)/100</f>
        <v>0.182</v>
      </c>
      <c r="J242" s="73">
        <f>VLOOKUP(B242,Average_Distance_by_kilometres_grouping_for_trip_purpose[#All],MATCH(A242,Average_Distance_by_kilometres_grouping_for_trip_purpose[#Headers],0),0)</f>
        <v>28.2</v>
      </c>
      <c r="K242" s="77">
        <f>VLOOKUP(C242, Adjustment_factor_for_distance_based_on_trip_purpose[#All],MATCH(A242, Adjustment_factor_for_distance_based_on_trip_purpose[#Headers],0),0)</f>
        <v>0.44444444444444442</v>
      </c>
      <c r="L242" s="78">
        <f>VLOOKUP($L$2, Total_Journeys_Per_Year[#All],MATCH(A242, Total_Journeys_Per_Year[#Headers],0),0)</f>
        <v>5369880000</v>
      </c>
      <c r="M242" s="35">
        <f t="shared" si="3"/>
        <v>10142216937.216</v>
      </c>
      <c r="N242" s="35">
        <f>VLOOKUP($N$2, Private_Vehicle_Kilometres_Car_Stock[#All],MATCH(A242, Private_Vehicle_Kilometres_Car_Stock[#Headers],0),0)</f>
        <v>36195324272</v>
      </c>
    </row>
    <row r="243" spans="1:14" x14ac:dyDescent="0.25">
      <c r="A243" s="79" t="s">
        <v>39</v>
      </c>
      <c r="B243" s="13" t="s">
        <v>12</v>
      </c>
      <c r="C243" s="13" t="s">
        <v>45</v>
      </c>
      <c r="D243" s="5">
        <f>VLOOKUP(B243,Percentage_distribution_of_journey_distance_for_all_regions[#All],MATCH(A243,Percentage_distribution_of_journey_distance_for_all_regions[#Headers],0),0)/100</f>
        <v>0.28600000000000003</v>
      </c>
      <c r="E243" s="71">
        <f>IF(B243="&lt;2 kilometres",1,0)*VLOOKUP(C243, Percentage_dist_journeys_by_purpose_and_distance_to_2km[#All],MATCH(A243, Percentage_dist_journeys_by_purpose_and_distance_to_2km[#Headers],0),0)/100</f>
        <v>4.4999999999999998E-2</v>
      </c>
      <c r="F243" s="4">
        <f>IF(B243="2-4 kilometres",1,0)*VLOOKUP(C243, Percentage_dist_journeys_by_purpose_and_distance_2_to_4km[#All],MATCH(A243, Percentage_dist_journeys_by_purpose_and_distance_2_to_4km[#Headers],0),0)/100</f>
        <v>0</v>
      </c>
      <c r="G243" s="72">
        <f>IF(B243="4-6 kilometres",1,0)*VLOOKUP(C243, Percentage_dist_journeys_by_purpose_and_distance_4_to_6km[#All],MATCH(A243, Percentage_dist_journeys_by_purpose_and_distance_4_to_6km[#Headers],0),0)/100</f>
        <v>0</v>
      </c>
      <c r="H243" s="4">
        <f>IF(B243="6-8 kilometres",1,0)*VLOOKUP(C243, Percentage_dist_journeys_by_purpose_and_distance_6_to_8km[#All],MATCH(A243, Percentage_dist_journeys_by_purpose_and_distance_6_to_8km[#Headers],0),0)/100</f>
        <v>0</v>
      </c>
      <c r="I243" s="72">
        <f>IF(B243="8+ kilometres",1,0)*VLOOKUP(C243, Percentage_dist_journeys_by_purpose_and_distance_8km[#All],MATCH(A243, Percentage_dist_journeys_by_purpose_and_distance_8km[#Headers],0),0)/100</f>
        <v>0</v>
      </c>
      <c r="J243" s="73">
        <f>VLOOKUP(B243,Average_Distance_by_kilometres_grouping_for_trip_purpose[#All],MATCH(A243,Average_Distance_by_kilometres_grouping_for_trip_purpose[#Headers],0),0)</f>
        <v>1</v>
      </c>
      <c r="K243" s="77">
        <f>VLOOKUP(C243, Adjustment_factor_for_distance_based_on_trip_purpose[#All],MATCH(A243, Adjustment_factor_for_distance_based_on_trip_purpose[#Headers],0),0)</f>
        <v>0.44444444444444442</v>
      </c>
      <c r="L243" s="78">
        <f>VLOOKUP($L$2, Total_Journeys_Per_Year[#All],MATCH(A243, Total_Journeys_Per_Year[#Headers],0),0)</f>
        <v>5369880000</v>
      </c>
      <c r="M243" s="35">
        <f t="shared" si="3"/>
        <v>69110355.600000009</v>
      </c>
      <c r="N243" s="35">
        <f>VLOOKUP($N$2, Private_Vehicle_Kilometres_Car_Stock[#All],MATCH(A243, Private_Vehicle_Kilometres_Car_Stock[#Headers],0),0)</f>
        <v>36195324272</v>
      </c>
    </row>
    <row r="244" spans="1:14" x14ac:dyDescent="0.25">
      <c r="A244" s="79" t="s">
        <v>39</v>
      </c>
      <c r="B244" s="13" t="s">
        <v>181</v>
      </c>
      <c r="C244" s="13" t="s">
        <v>45</v>
      </c>
      <c r="D244" s="5">
        <f>VLOOKUP(B244,Percentage_distribution_of_journey_distance_for_all_regions[#All],MATCH(A244,Percentage_distribution_of_journey_distance_for_all_regions[#Headers],0),0)/100</f>
        <v>0.15</v>
      </c>
      <c r="E244" s="71">
        <f>IF(B244="&lt;2 kilometres",1,0)*VLOOKUP(C244, Percentage_dist_journeys_by_purpose_and_distance_to_2km[#All],MATCH(A244, Percentage_dist_journeys_by_purpose_and_distance_to_2km[#Headers],0),0)/100</f>
        <v>0</v>
      </c>
      <c r="F244" s="4">
        <f>IF(B244="2-4 kilometres",1,0)*VLOOKUP(C244, Percentage_dist_journeys_by_purpose_and_distance_2_to_4km[#All],MATCH(A244, Percentage_dist_journeys_by_purpose_and_distance_2_to_4km[#Headers],0),0)/100</f>
        <v>3.5000000000000003E-2</v>
      </c>
      <c r="G244" s="72">
        <f>IF(B244="4-6 kilometres",1,0)*VLOOKUP(C244, Percentage_dist_journeys_by_purpose_and_distance_4_to_6km[#All],MATCH(A244, Percentage_dist_journeys_by_purpose_and_distance_4_to_6km[#Headers],0),0)/100</f>
        <v>0</v>
      </c>
      <c r="H244" s="4">
        <f>IF(B244="6-8 kilometres",1,0)*VLOOKUP(C244, Percentage_dist_journeys_by_purpose_and_distance_6_to_8km[#All],MATCH(A244, Percentage_dist_journeys_by_purpose_and_distance_6_to_8km[#Headers],0),0)/100</f>
        <v>0</v>
      </c>
      <c r="I244" s="72">
        <f>IF(B244="8+ kilometres",1,0)*VLOOKUP(C244, Percentage_dist_journeys_by_purpose_and_distance_8km[#All],MATCH(A244, Percentage_dist_journeys_by_purpose_and_distance_8km[#Headers],0),0)/100</f>
        <v>0</v>
      </c>
      <c r="J244" s="73">
        <f>VLOOKUP(B244,Average_Distance_by_kilometres_grouping_for_trip_purpose[#All],MATCH(A244,Average_Distance_by_kilometres_grouping_for_trip_purpose[#Headers],0),0)</f>
        <v>3</v>
      </c>
      <c r="K244" s="77">
        <f>VLOOKUP(C244, Adjustment_factor_for_distance_based_on_trip_purpose[#All],MATCH(A244, Adjustment_factor_for_distance_based_on_trip_purpose[#Headers],0),0)</f>
        <v>0.44444444444444442</v>
      </c>
      <c r="L244" s="78">
        <f>VLOOKUP($L$2, Total_Journeys_Per_Year[#All],MATCH(A244, Total_Journeys_Per_Year[#Headers],0),0)</f>
        <v>5369880000</v>
      </c>
      <c r="M244" s="35">
        <f t="shared" si="3"/>
        <v>84575610</v>
      </c>
      <c r="N244" s="35">
        <f>VLOOKUP($N$2, Private_Vehicle_Kilometres_Car_Stock[#All],MATCH(A244, Private_Vehicle_Kilometres_Car_Stock[#Headers],0),0)</f>
        <v>36195324272</v>
      </c>
    </row>
    <row r="245" spans="1:14" x14ac:dyDescent="0.25">
      <c r="A245" s="79" t="s">
        <v>39</v>
      </c>
      <c r="B245" s="13" t="s">
        <v>180</v>
      </c>
      <c r="C245" s="13" t="s">
        <v>45</v>
      </c>
      <c r="D245" s="5">
        <f>VLOOKUP(B245,Percentage_distribution_of_journey_distance_for_all_regions[#All],MATCH(A245,Percentage_distribution_of_journey_distance_for_all_regions[#Headers],0),0)/100</f>
        <v>0.125</v>
      </c>
      <c r="E245" s="71">
        <f>IF(B245="&lt;2 kilometres",1,0)*VLOOKUP(C245, Percentage_dist_journeys_by_purpose_and_distance_to_2km[#All],MATCH(A245, Percentage_dist_journeys_by_purpose_and_distance_to_2km[#Headers],0),0)/100</f>
        <v>0</v>
      </c>
      <c r="F245" s="4">
        <f>IF(B245="2-4 kilometres",1,0)*VLOOKUP(C245, Percentage_dist_journeys_by_purpose_and_distance_2_to_4km[#All],MATCH(A245, Percentage_dist_journeys_by_purpose_and_distance_2_to_4km[#Headers],0),0)/100</f>
        <v>0</v>
      </c>
      <c r="G245" s="72">
        <f>IF(B245="4-6 kilometres",1,0)*VLOOKUP(C245, Percentage_dist_journeys_by_purpose_and_distance_4_to_6km[#All],MATCH(A245, Percentage_dist_journeys_by_purpose_and_distance_4_to_6km[#Headers],0),0)/100</f>
        <v>5.4000000000000006E-2</v>
      </c>
      <c r="H245" s="4">
        <f>IF(B245="6-8 kilometres",1,0)*VLOOKUP(C245, Percentage_dist_journeys_by_purpose_and_distance_6_to_8km[#All],MATCH(A245, Percentage_dist_journeys_by_purpose_and_distance_6_to_8km[#Headers],0),0)/100</f>
        <v>0</v>
      </c>
      <c r="I245" s="72">
        <f>IF(B245="8+ kilometres",1,0)*VLOOKUP(C245, Percentage_dist_journeys_by_purpose_and_distance_8km[#All],MATCH(A245, Percentage_dist_journeys_by_purpose_and_distance_8km[#Headers],0),0)/100</f>
        <v>0</v>
      </c>
      <c r="J245" s="73">
        <f>VLOOKUP(B245,Average_Distance_by_kilometres_grouping_for_trip_purpose[#All],MATCH(A245,Average_Distance_by_kilometres_grouping_for_trip_purpose[#Headers],0),0)</f>
        <v>5</v>
      </c>
      <c r="K245" s="77">
        <f>VLOOKUP(C245, Adjustment_factor_for_distance_based_on_trip_purpose[#All],MATCH(A245, Adjustment_factor_for_distance_based_on_trip_purpose[#Headers],0),0)</f>
        <v>0.44444444444444442</v>
      </c>
      <c r="L245" s="78">
        <f>VLOOKUP($L$2, Total_Journeys_Per_Year[#All],MATCH(A245, Total_Journeys_Per_Year[#Headers],0),0)</f>
        <v>5369880000</v>
      </c>
      <c r="M245" s="35">
        <f t="shared" si="3"/>
        <v>181233450</v>
      </c>
      <c r="N245" s="35">
        <f>VLOOKUP($N$2, Private_Vehicle_Kilometres_Car_Stock[#All],MATCH(A245, Private_Vehicle_Kilometres_Car_Stock[#Headers],0),0)</f>
        <v>36195324272</v>
      </c>
    </row>
    <row r="246" spans="1:14" x14ac:dyDescent="0.25">
      <c r="A246" s="79" t="s">
        <v>39</v>
      </c>
      <c r="B246" s="13" t="s">
        <v>182</v>
      </c>
      <c r="C246" s="13" t="s">
        <v>45</v>
      </c>
      <c r="D246" s="5">
        <f>VLOOKUP(B246,Percentage_distribution_of_journey_distance_for_all_regions[#All],MATCH(A246,Percentage_distribution_of_journey_distance_for_all_regions[#Headers],0),0)/100</f>
        <v>7.0000000000000007E-2</v>
      </c>
      <c r="E246" s="71">
        <f>IF(B246="&lt;2 kilometres",1,0)*VLOOKUP(C246, Percentage_dist_journeys_by_purpose_and_distance_to_2km[#All],MATCH(A246, Percentage_dist_journeys_by_purpose_and_distance_to_2km[#Headers],0),0)/100</f>
        <v>0</v>
      </c>
      <c r="F246" s="4">
        <f>IF(B246="2-4 kilometres",1,0)*VLOOKUP(C246, Percentage_dist_journeys_by_purpose_and_distance_2_to_4km[#All],MATCH(A246, Percentage_dist_journeys_by_purpose_and_distance_2_to_4km[#Headers],0),0)/100</f>
        <v>0</v>
      </c>
      <c r="G246" s="72">
        <f>IF(B246="4-6 kilometres",1,0)*VLOOKUP(C246, Percentage_dist_journeys_by_purpose_and_distance_4_to_6km[#All],MATCH(A246, Percentage_dist_journeys_by_purpose_and_distance_4_to_6km[#Headers],0),0)/100</f>
        <v>0</v>
      </c>
      <c r="H246" s="4">
        <f>IF(B246="6-8 kilometres",1,0)*VLOOKUP(C246, Percentage_dist_journeys_by_purpose_and_distance_6_to_8km[#All],MATCH(A246, Percentage_dist_journeys_by_purpose_and_distance_6_to_8km[#Headers],0),0)/100</f>
        <v>2.7999999999999997E-2</v>
      </c>
      <c r="I246" s="72">
        <f>IF(B246="8+ kilometres",1,0)*VLOOKUP(C246, Percentage_dist_journeys_by_purpose_and_distance_8km[#All],MATCH(A246, Percentage_dist_journeys_by_purpose_and_distance_8km[#Headers],0),0)/100</f>
        <v>0</v>
      </c>
      <c r="J246" s="73">
        <f>VLOOKUP(B246,Average_Distance_by_kilometres_grouping_for_trip_purpose[#All],MATCH(A246,Average_Distance_by_kilometres_grouping_for_trip_purpose[#Headers],0),0)</f>
        <v>7</v>
      </c>
      <c r="K246" s="77">
        <f>VLOOKUP(C246, Adjustment_factor_for_distance_based_on_trip_purpose[#All],MATCH(A246, Adjustment_factor_for_distance_based_on_trip_purpose[#Headers],0),0)</f>
        <v>0.44444444444444442</v>
      </c>
      <c r="L246" s="78">
        <f>VLOOKUP($L$2, Total_Journeys_Per_Year[#All],MATCH(A246, Total_Journeys_Per_Year[#Headers],0),0)</f>
        <v>5369880000</v>
      </c>
      <c r="M246" s="35">
        <f t="shared" si="3"/>
        <v>73674753.599999994</v>
      </c>
      <c r="N246" s="35">
        <f>VLOOKUP($N$2, Private_Vehicle_Kilometres_Car_Stock[#All],MATCH(A246, Private_Vehicle_Kilometres_Car_Stock[#Headers],0),0)</f>
        <v>36195324272</v>
      </c>
    </row>
    <row r="247" spans="1:14" x14ac:dyDescent="0.25">
      <c r="A247" s="79" t="s">
        <v>39</v>
      </c>
      <c r="B247" s="13" t="s">
        <v>1</v>
      </c>
      <c r="C247" s="13" t="s">
        <v>45</v>
      </c>
      <c r="D247" s="5">
        <f>VLOOKUP(B247,Percentage_distribution_of_journey_distance_for_all_regions[#All],MATCH(A247,Percentage_distribution_of_journey_distance_for_all_regions[#Headers],0),0)/100</f>
        <v>0.36799999999999999</v>
      </c>
      <c r="E247" s="71">
        <f>IF(B247="&lt;2 kilometres",1,0)*VLOOKUP(C247, Percentage_dist_journeys_by_purpose_and_distance_to_2km[#All],MATCH(A247, Percentage_dist_journeys_by_purpose_and_distance_to_2km[#Headers],0),0)/100</f>
        <v>0</v>
      </c>
      <c r="F247" s="4">
        <f>IF(B247="2-4 kilometres",1,0)*VLOOKUP(C247, Percentage_dist_journeys_by_purpose_and_distance_2_to_4km[#All],MATCH(A247, Percentage_dist_journeys_by_purpose_and_distance_2_to_4km[#Headers],0),0)/100</f>
        <v>0</v>
      </c>
      <c r="G247" s="72">
        <f>IF(B247="4-6 kilometres",1,0)*VLOOKUP(C247, Percentage_dist_journeys_by_purpose_and_distance_4_to_6km[#All],MATCH(A247, Percentage_dist_journeys_by_purpose_and_distance_4_to_6km[#Headers],0),0)/100</f>
        <v>0</v>
      </c>
      <c r="H247" s="4">
        <f>IF(B247="6-8 kilometres",1,0)*VLOOKUP(C247, Percentage_dist_journeys_by_purpose_and_distance_6_to_8km[#All],MATCH(A247, Percentage_dist_journeys_by_purpose_and_distance_6_to_8km[#Headers],0),0)/100</f>
        <v>0</v>
      </c>
      <c r="I247" s="72">
        <f>IF(B247="8+ kilometres",1,0)*VLOOKUP(C247, Percentage_dist_journeys_by_purpose_and_distance_8km[#All],MATCH(A247, Percentage_dist_journeys_by_purpose_and_distance_8km[#Headers],0),0)/100</f>
        <v>2.4E-2</v>
      </c>
      <c r="J247" s="73">
        <f>VLOOKUP(B247,Average_Distance_by_kilometres_grouping_for_trip_purpose[#All],MATCH(A247,Average_Distance_by_kilometres_grouping_for_trip_purpose[#Headers],0),0)</f>
        <v>28.2</v>
      </c>
      <c r="K247" s="77">
        <f>VLOOKUP(C247, Adjustment_factor_for_distance_based_on_trip_purpose[#All],MATCH(A247, Adjustment_factor_for_distance_based_on_trip_purpose[#Headers],0),0)</f>
        <v>0.44444444444444442</v>
      </c>
      <c r="L247" s="78">
        <f>VLOOKUP($L$2, Total_Journeys_Per_Year[#All],MATCH(A247, Total_Journeys_Per_Year[#Headers],0),0)</f>
        <v>5369880000</v>
      </c>
      <c r="M247" s="35">
        <f t="shared" si="3"/>
        <v>1337435200.5119998</v>
      </c>
      <c r="N247" s="35">
        <f>VLOOKUP($N$2, Private_Vehicle_Kilometres_Car_Stock[#All],MATCH(A247, Private_Vehicle_Kilometres_Car_Stock[#Headers],0),0)</f>
        <v>36195324272</v>
      </c>
    </row>
    <row r="248" spans="1:14" x14ac:dyDescent="0.25">
      <c r="A248" s="79" t="s">
        <v>39</v>
      </c>
      <c r="B248" s="13" t="s">
        <v>12</v>
      </c>
      <c r="C248" s="13" t="s">
        <v>46</v>
      </c>
      <c r="D248" s="5">
        <f>VLOOKUP(B248,Percentage_distribution_of_journey_distance_for_all_regions[#All],MATCH(A248,Percentage_distribution_of_journey_distance_for_all_regions[#Headers],0),0)/100</f>
        <v>0.28600000000000003</v>
      </c>
      <c r="E248" s="71">
        <f>IF(B248="&lt;2 kilometres",1,0)*VLOOKUP(C248, Percentage_dist_journeys_by_purpose_and_distance_to_2km[#All],MATCH(A248, Percentage_dist_journeys_by_purpose_and_distance_to_2km[#Headers],0),0)/100</f>
        <v>7.9000000000000001E-2</v>
      </c>
      <c r="F248" s="4">
        <f>IF(B248="2-4 kilometres",1,0)*VLOOKUP(C248, Percentage_dist_journeys_by_purpose_and_distance_2_to_4km[#All],MATCH(A248, Percentage_dist_journeys_by_purpose_and_distance_2_to_4km[#Headers],0),0)/100</f>
        <v>0</v>
      </c>
      <c r="G248" s="72">
        <f>IF(B248="4-6 kilometres",1,0)*VLOOKUP(C248, Percentage_dist_journeys_by_purpose_and_distance_4_to_6km[#All],MATCH(A248, Percentage_dist_journeys_by_purpose_and_distance_4_to_6km[#Headers],0),0)/100</f>
        <v>0</v>
      </c>
      <c r="H248" s="4">
        <f>IF(B248="6-8 kilometres",1,0)*VLOOKUP(C248, Percentage_dist_journeys_by_purpose_and_distance_6_to_8km[#All],MATCH(A248, Percentage_dist_journeys_by_purpose_and_distance_6_to_8km[#Headers],0),0)/100</f>
        <v>0</v>
      </c>
      <c r="I248" s="72">
        <f>IF(B248="8+ kilometres",1,0)*VLOOKUP(C248, Percentage_dist_journeys_by_purpose_and_distance_8km[#All],MATCH(A248, Percentage_dist_journeys_by_purpose_and_distance_8km[#Headers],0),0)/100</f>
        <v>0</v>
      </c>
      <c r="J248" s="73">
        <f>VLOOKUP(B248,Average_Distance_by_kilometres_grouping_for_trip_purpose[#All],MATCH(A248,Average_Distance_by_kilometres_grouping_for_trip_purpose[#Headers],0),0)</f>
        <v>1</v>
      </c>
      <c r="K248" s="77">
        <f>VLOOKUP(C248, Adjustment_factor_for_distance_based_on_trip_purpose[#All],MATCH(A248, Adjustment_factor_for_distance_based_on_trip_purpose[#Headers],0),0)</f>
        <v>0.94444444444444442</v>
      </c>
      <c r="L248" s="78">
        <f>VLOOKUP($L$2, Total_Journeys_Per_Year[#All],MATCH(A248, Total_Journeys_Per_Year[#Headers],0),0)</f>
        <v>5369880000</v>
      </c>
      <c r="M248" s="35">
        <f t="shared" si="3"/>
        <v>121327068.72000001</v>
      </c>
      <c r="N248" s="35">
        <f>VLOOKUP($N$2, Private_Vehicle_Kilometres_Car_Stock[#All],MATCH(A248, Private_Vehicle_Kilometres_Car_Stock[#Headers],0),0)</f>
        <v>36195324272</v>
      </c>
    </row>
    <row r="249" spans="1:14" x14ac:dyDescent="0.25">
      <c r="A249" s="79" t="s">
        <v>39</v>
      </c>
      <c r="B249" s="13" t="s">
        <v>181</v>
      </c>
      <c r="C249" s="13" t="s">
        <v>46</v>
      </c>
      <c r="D249" s="5">
        <f>VLOOKUP(B249,Percentage_distribution_of_journey_distance_for_all_regions[#All],MATCH(A249,Percentage_distribution_of_journey_distance_for_all_regions[#Headers],0),0)/100</f>
        <v>0.15</v>
      </c>
      <c r="E249" s="71">
        <f>IF(B249="&lt;2 kilometres",1,0)*VLOOKUP(C249, Percentage_dist_journeys_by_purpose_and_distance_to_2km[#All],MATCH(A249, Percentage_dist_journeys_by_purpose_and_distance_to_2km[#Headers],0),0)/100</f>
        <v>0</v>
      </c>
      <c r="F249" s="4">
        <f>IF(B249="2-4 kilometres",1,0)*VLOOKUP(C249, Percentage_dist_journeys_by_purpose_and_distance_2_to_4km[#All],MATCH(A249, Percentage_dist_journeys_by_purpose_and_distance_2_to_4km[#Headers],0),0)/100</f>
        <v>9.1999999999999998E-2</v>
      </c>
      <c r="G249" s="72">
        <f>IF(B249="4-6 kilometres",1,0)*VLOOKUP(C249, Percentage_dist_journeys_by_purpose_and_distance_4_to_6km[#All],MATCH(A249, Percentage_dist_journeys_by_purpose_and_distance_4_to_6km[#Headers],0),0)/100</f>
        <v>0</v>
      </c>
      <c r="H249" s="4">
        <f>IF(B249="6-8 kilometres",1,0)*VLOOKUP(C249, Percentage_dist_journeys_by_purpose_and_distance_6_to_8km[#All],MATCH(A249, Percentage_dist_journeys_by_purpose_and_distance_6_to_8km[#Headers],0),0)/100</f>
        <v>0</v>
      </c>
      <c r="I249" s="72">
        <f>IF(B249="8+ kilometres",1,0)*VLOOKUP(C249, Percentage_dist_journeys_by_purpose_and_distance_8km[#All],MATCH(A249, Percentage_dist_journeys_by_purpose_and_distance_8km[#Headers],0),0)/100</f>
        <v>0</v>
      </c>
      <c r="J249" s="73">
        <f>VLOOKUP(B249,Average_Distance_by_kilometres_grouping_for_trip_purpose[#All],MATCH(A249,Average_Distance_by_kilometres_grouping_for_trip_purpose[#Headers],0),0)</f>
        <v>3</v>
      </c>
      <c r="K249" s="77">
        <f>VLOOKUP(C249, Adjustment_factor_for_distance_based_on_trip_purpose[#All],MATCH(A249, Adjustment_factor_for_distance_based_on_trip_purpose[#Headers],0),0)</f>
        <v>0.94444444444444442</v>
      </c>
      <c r="L249" s="78">
        <f>VLOOKUP($L$2, Total_Journeys_Per_Year[#All],MATCH(A249, Total_Journeys_Per_Year[#Headers],0),0)</f>
        <v>5369880000</v>
      </c>
      <c r="M249" s="35">
        <f t="shared" si="3"/>
        <v>222313032</v>
      </c>
      <c r="N249" s="35">
        <f>VLOOKUP($N$2, Private_Vehicle_Kilometres_Car_Stock[#All],MATCH(A249, Private_Vehicle_Kilometres_Car_Stock[#Headers],0),0)</f>
        <v>36195324272</v>
      </c>
    </row>
    <row r="250" spans="1:14" x14ac:dyDescent="0.25">
      <c r="A250" s="79" t="s">
        <v>39</v>
      </c>
      <c r="B250" s="13" t="s">
        <v>180</v>
      </c>
      <c r="C250" s="13" t="s">
        <v>46</v>
      </c>
      <c r="D250" s="5">
        <f>VLOOKUP(B250,Percentage_distribution_of_journey_distance_for_all_regions[#All],MATCH(A250,Percentage_distribution_of_journey_distance_for_all_regions[#Headers],0),0)/100</f>
        <v>0.125</v>
      </c>
      <c r="E250" s="71">
        <f>IF(B250="&lt;2 kilometres",1,0)*VLOOKUP(C250, Percentage_dist_journeys_by_purpose_and_distance_to_2km[#All],MATCH(A250, Percentage_dist_journeys_by_purpose_and_distance_to_2km[#Headers],0),0)/100</f>
        <v>0</v>
      </c>
      <c r="F250" s="4">
        <f>IF(B250="2-4 kilometres",1,0)*VLOOKUP(C250, Percentage_dist_journeys_by_purpose_and_distance_2_to_4km[#All],MATCH(A250, Percentage_dist_journeys_by_purpose_and_distance_2_to_4km[#Headers],0),0)/100</f>
        <v>0</v>
      </c>
      <c r="G250" s="72">
        <f>IF(B250="4-6 kilometres",1,0)*VLOOKUP(C250, Percentage_dist_journeys_by_purpose_and_distance_4_to_6km[#All],MATCH(A250, Percentage_dist_journeys_by_purpose_and_distance_4_to_6km[#Headers],0),0)/100</f>
        <v>0.10199999999999999</v>
      </c>
      <c r="H250" s="4">
        <f>IF(B250="6-8 kilometres",1,0)*VLOOKUP(C250, Percentage_dist_journeys_by_purpose_and_distance_6_to_8km[#All],MATCH(A250, Percentage_dist_journeys_by_purpose_and_distance_6_to_8km[#Headers],0),0)/100</f>
        <v>0</v>
      </c>
      <c r="I250" s="72">
        <f>IF(B250="8+ kilometres",1,0)*VLOOKUP(C250, Percentage_dist_journeys_by_purpose_and_distance_8km[#All],MATCH(A250, Percentage_dist_journeys_by_purpose_and_distance_8km[#Headers],0),0)/100</f>
        <v>0</v>
      </c>
      <c r="J250" s="73">
        <f>VLOOKUP(B250,Average_Distance_by_kilometres_grouping_for_trip_purpose[#All],MATCH(A250,Average_Distance_by_kilometres_grouping_for_trip_purpose[#Headers],0),0)</f>
        <v>5</v>
      </c>
      <c r="K250" s="77">
        <f>VLOOKUP(C250, Adjustment_factor_for_distance_based_on_trip_purpose[#All],MATCH(A250, Adjustment_factor_for_distance_based_on_trip_purpose[#Headers],0),0)</f>
        <v>0.94444444444444442</v>
      </c>
      <c r="L250" s="78">
        <f>VLOOKUP($L$2, Total_Journeys_Per_Year[#All],MATCH(A250, Total_Journeys_Per_Year[#Headers],0),0)</f>
        <v>5369880000</v>
      </c>
      <c r="M250" s="35">
        <f t="shared" si="3"/>
        <v>342329850</v>
      </c>
      <c r="N250" s="35">
        <f>VLOOKUP($N$2, Private_Vehicle_Kilometres_Car_Stock[#All],MATCH(A250, Private_Vehicle_Kilometres_Car_Stock[#Headers],0),0)</f>
        <v>36195324272</v>
      </c>
    </row>
    <row r="251" spans="1:14" x14ac:dyDescent="0.25">
      <c r="A251" s="79" t="s">
        <v>39</v>
      </c>
      <c r="B251" s="13" t="s">
        <v>182</v>
      </c>
      <c r="C251" s="13" t="s">
        <v>46</v>
      </c>
      <c r="D251" s="5">
        <f>VLOOKUP(B251,Percentage_distribution_of_journey_distance_for_all_regions[#All],MATCH(A251,Percentage_distribution_of_journey_distance_for_all_regions[#Headers],0),0)/100</f>
        <v>7.0000000000000007E-2</v>
      </c>
      <c r="E251" s="71">
        <f>IF(B251="&lt;2 kilometres",1,0)*VLOOKUP(C251, Percentage_dist_journeys_by_purpose_and_distance_to_2km[#All],MATCH(A251, Percentage_dist_journeys_by_purpose_and_distance_to_2km[#Headers],0),0)/100</f>
        <v>0</v>
      </c>
      <c r="F251" s="4">
        <f>IF(B251="2-4 kilometres",1,0)*VLOOKUP(C251, Percentage_dist_journeys_by_purpose_and_distance_2_to_4km[#All],MATCH(A251, Percentage_dist_journeys_by_purpose_and_distance_2_to_4km[#Headers],0),0)/100</f>
        <v>0</v>
      </c>
      <c r="G251" s="72">
        <f>IF(B251="4-6 kilometres",1,0)*VLOOKUP(C251, Percentage_dist_journeys_by_purpose_and_distance_4_to_6km[#All],MATCH(A251, Percentage_dist_journeys_by_purpose_and_distance_4_to_6km[#Headers],0),0)/100</f>
        <v>0</v>
      </c>
      <c r="H251" s="4">
        <f>IF(B251="6-8 kilometres",1,0)*VLOOKUP(C251, Percentage_dist_journeys_by_purpose_and_distance_6_to_8km[#All],MATCH(A251, Percentage_dist_journeys_by_purpose_and_distance_6_to_8km[#Headers],0),0)/100</f>
        <v>8.900000000000001E-2</v>
      </c>
      <c r="I251" s="72">
        <f>IF(B251="8+ kilometres",1,0)*VLOOKUP(C251, Percentage_dist_journeys_by_purpose_and_distance_8km[#All],MATCH(A251, Percentage_dist_journeys_by_purpose_and_distance_8km[#Headers],0),0)/100</f>
        <v>0</v>
      </c>
      <c r="J251" s="73">
        <f>VLOOKUP(B251,Average_Distance_by_kilometres_grouping_for_trip_purpose[#All],MATCH(A251,Average_Distance_by_kilometres_grouping_for_trip_purpose[#Headers],0),0)</f>
        <v>7</v>
      </c>
      <c r="K251" s="77">
        <f>VLOOKUP(C251, Adjustment_factor_for_distance_based_on_trip_purpose[#All],MATCH(A251, Adjustment_factor_for_distance_based_on_trip_purpose[#Headers],0),0)</f>
        <v>0.94444444444444442</v>
      </c>
      <c r="L251" s="78">
        <f>VLOOKUP($L$2, Total_Journeys_Per_Year[#All],MATCH(A251, Total_Journeys_Per_Year[#Headers],0),0)</f>
        <v>5369880000</v>
      </c>
      <c r="M251" s="35">
        <f t="shared" si="3"/>
        <v>234180466.80000004</v>
      </c>
      <c r="N251" s="35">
        <f>VLOOKUP($N$2, Private_Vehicle_Kilometres_Car_Stock[#All],MATCH(A251, Private_Vehicle_Kilometres_Car_Stock[#Headers],0),0)</f>
        <v>36195324272</v>
      </c>
    </row>
    <row r="252" spans="1:14" x14ac:dyDescent="0.25">
      <c r="A252" s="79" t="s">
        <v>39</v>
      </c>
      <c r="B252" s="13" t="s">
        <v>1</v>
      </c>
      <c r="C252" s="13" t="s">
        <v>46</v>
      </c>
      <c r="D252" s="5">
        <f>VLOOKUP(B252,Percentage_distribution_of_journey_distance_for_all_regions[#All],MATCH(A252,Percentage_distribution_of_journey_distance_for_all_regions[#Headers],0),0)/100</f>
        <v>0.36799999999999999</v>
      </c>
      <c r="E252" s="71">
        <f>IF(B252="&lt;2 kilometres",1,0)*VLOOKUP(C252, Percentage_dist_journeys_by_purpose_and_distance_to_2km[#All],MATCH(A252, Percentage_dist_journeys_by_purpose_and_distance_to_2km[#Headers],0),0)/100</f>
        <v>0</v>
      </c>
      <c r="F252" s="4">
        <f>IF(B252="2-4 kilometres",1,0)*VLOOKUP(C252, Percentage_dist_journeys_by_purpose_and_distance_2_to_4km[#All],MATCH(A252, Percentage_dist_journeys_by_purpose_and_distance_2_to_4km[#Headers],0),0)/100</f>
        <v>0</v>
      </c>
      <c r="G252" s="72">
        <f>IF(B252="4-6 kilometres",1,0)*VLOOKUP(C252, Percentage_dist_journeys_by_purpose_and_distance_4_to_6km[#All],MATCH(A252, Percentage_dist_journeys_by_purpose_and_distance_4_to_6km[#Headers],0),0)/100</f>
        <v>0</v>
      </c>
      <c r="H252" s="4">
        <f>IF(B252="6-8 kilometres",1,0)*VLOOKUP(C252, Percentage_dist_journeys_by_purpose_and_distance_6_to_8km[#All],MATCH(A252, Percentage_dist_journeys_by_purpose_and_distance_6_to_8km[#Headers],0),0)/100</f>
        <v>0</v>
      </c>
      <c r="I252" s="72">
        <f>IF(B252="8+ kilometres",1,0)*VLOOKUP(C252, Percentage_dist_journeys_by_purpose_and_distance_8km[#All],MATCH(A252, Percentage_dist_journeys_by_purpose_and_distance_8km[#Headers],0),0)/100</f>
        <v>0.124</v>
      </c>
      <c r="J252" s="73">
        <f>VLOOKUP(B252,Average_Distance_by_kilometres_grouping_for_trip_purpose[#All],MATCH(A252,Average_Distance_by_kilometres_grouping_for_trip_purpose[#Headers],0),0)</f>
        <v>28.2</v>
      </c>
      <c r="K252" s="77">
        <f>VLOOKUP(C252, Adjustment_factor_for_distance_based_on_trip_purpose[#All],MATCH(A252, Adjustment_factor_for_distance_based_on_trip_purpose[#Headers],0),0)</f>
        <v>0.94444444444444442</v>
      </c>
      <c r="L252" s="78">
        <f>VLOOKUP($L$2, Total_Journeys_Per_Year[#All],MATCH(A252, Total_Journeys_Per_Year[#Headers],0),0)</f>
        <v>5369880000</v>
      </c>
      <c r="M252" s="35">
        <f t="shared" si="3"/>
        <v>6910081869.3119993</v>
      </c>
      <c r="N252" s="35">
        <f>VLOOKUP($N$2, Private_Vehicle_Kilometres_Car_Stock[#All],MATCH(A252, Private_Vehicle_Kilometres_Car_Stock[#Headers],0),0)</f>
        <v>36195324272</v>
      </c>
    </row>
    <row r="253" spans="1:14" x14ac:dyDescent="0.25">
      <c r="A253" s="79" t="s">
        <v>39</v>
      </c>
      <c r="B253" s="13" t="s">
        <v>12</v>
      </c>
      <c r="C253" s="13" t="s">
        <v>47</v>
      </c>
      <c r="D253" s="5">
        <f>VLOOKUP(B253,Percentage_distribution_of_journey_distance_for_all_regions[#All],MATCH(A253,Percentage_distribution_of_journey_distance_for_all_regions[#Headers],0),0)/100</f>
        <v>0.28600000000000003</v>
      </c>
      <c r="E253" s="71">
        <f>IF(B253="&lt;2 kilometres",1,0)*VLOOKUP(C253, Percentage_dist_journeys_by_purpose_and_distance_to_2km[#All],MATCH(A253, Percentage_dist_journeys_by_purpose_and_distance_to_2km[#Headers],0),0)/100</f>
        <v>6.9000000000000006E-2</v>
      </c>
      <c r="F253" s="4">
        <f>IF(B253="2-4 kilometres",1,0)*VLOOKUP(C253, Percentage_dist_journeys_by_purpose_and_distance_2_to_4km[#All],MATCH(A253, Percentage_dist_journeys_by_purpose_and_distance_2_to_4km[#Headers],0),0)/100</f>
        <v>0</v>
      </c>
      <c r="G253" s="72">
        <f>IF(B253="4-6 kilometres",1,0)*VLOOKUP(C253, Percentage_dist_journeys_by_purpose_and_distance_4_to_6km[#All],MATCH(A253, Percentage_dist_journeys_by_purpose_and_distance_4_to_6km[#Headers],0),0)/100</f>
        <v>0</v>
      </c>
      <c r="H253" s="4">
        <f>IF(B253="6-8 kilometres",1,0)*VLOOKUP(C253, Percentage_dist_journeys_by_purpose_and_distance_6_to_8km[#All],MATCH(A253, Percentage_dist_journeys_by_purpose_and_distance_6_to_8km[#Headers],0),0)/100</f>
        <v>0</v>
      </c>
      <c r="I253" s="72">
        <f>IF(B253="8+ kilometres",1,0)*VLOOKUP(C253, Percentage_dist_journeys_by_purpose_and_distance_8km[#All],MATCH(A253, Percentage_dist_journeys_by_purpose_and_distance_8km[#Headers],0),0)/100</f>
        <v>0</v>
      </c>
      <c r="J253" s="73">
        <f>VLOOKUP(B253,Average_Distance_by_kilometres_grouping_for_trip_purpose[#All],MATCH(A253,Average_Distance_by_kilometres_grouping_for_trip_purpose[#Headers],0),0)</f>
        <v>1</v>
      </c>
      <c r="K253" s="77">
        <f>VLOOKUP(C253, Adjustment_factor_for_distance_based_on_trip_purpose[#All],MATCH(A253, Adjustment_factor_for_distance_based_on_trip_purpose[#Headers],0),0)</f>
        <v>0.94444444444444442</v>
      </c>
      <c r="L253" s="78">
        <f>VLOOKUP($L$2, Total_Journeys_Per_Year[#All],MATCH(A253, Total_Journeys_Per_Year[#Headers],0),0)</f>
        <v>5369880000</v>
      </c>
      <c r="M253" s="35">
        <f t="shared" si="3"/>
        <v>105969211.92000003</v>
      </c>
      <c r="N253" s="35">
        <f>VLOOKUP($N$2, Private_Vehicle_Kilometres_Car_Stock[#All],MATCH(A253, Private_Vehicle_Kilometres_Car_Stock[#Headers],0),0)</f>
        <v>36195324272</v>
      </c>
    </row>
    <row r="254" spans="1:14" x14ac:dyDescent="0.25">
      <c r="A254" s="79" t="s">
        <v>39</v>
      </c>
      <c r="B254" s="13" t="s">
        <v>181</v>
      </c>
      <c r="C254" s="13" t="s">
        <v>47</v>
      </c>
      <c r="D254" s="5">
        <f>VLOOKUP(B254,Percentage_distribution_of_journey_distance_for_all_regions[#All],MATCH(A254,Percentage_distribution_of_journey_distance_for_all_regions[#Headers],0),0)/100</f>
        <v>0.15</v>
      </c>
      <c r="E254" s="71">
        <f>IF(B254="&lt;2 kilometres",1,0)*VLOOKUP(C254, Percentage_dist_journeys_by_purpose_and_distance_to_2km[#All],MATCH(A254, Percentage_dist_journeys_by_purpose_and_distance_to_2km[#Headers],0),0)/100</f>
        <v>0</v>
      </c>
      <c r="F254" s="4">
        <f>IF(B254="2-4 kilometres",1,0)*VLOOKUP(C254, Percentage_dist_journeys_by_purpose_and_distance_2_to_4km[#All],MATCH(A254, Percentage_dist_journeys_by_purpose_and_distance_2_to_4km[#Headers],0),0)/100</f>
        <v>0.111</v>
      </c>
      <c r="G254" s="72">
        <f>IF(B254="4-6 kilometres",1,0)*VLOOKUP(C254, Percentage_dist_journeys_by_purpose_and_distance_4_to_6km[#All],MATCH(A254, Percentage_dist_journeys_by_purpose_and_distance_4_to_6km[#Headers],0),0)/100</f>
        <v>0</v>
      </c>
      <c r="H254" s="4">
        <f>IF(B254="6-8 kilometres",1,0)*VLOOKUP(C254, Percentage_dist_journeys_by_purpose_and_distance_6_to_8km[#All],MATCH(A254, Percentage_dist_journeys_by_purpose_and_distance_6_to_8km[#Headers],0),0)/100</f>
        <v>0</v>
      </c>
      <c r="I254" s="72">
        <f>IF(B254="8+ kilometres",1,0)*VLOOKUP(C254, Percentage_dist_journeys_by_purpose_and_distance_8km[#All],MATCH(A254, Percentage_dist_journeys_by_purpose_and_distance_8km[#Headers],0),0)/100</f>
        <v>0</v>
      </c>
      <c r="J254" s="73">
        <f>VLOOKUP(B254,Average_Distance_by_kilometres_grouping_for_trip_purpose[#All],MATCH(A254,Average_Distance_by_kilometres_grouping_for_trip_purpose[#Headers],0),0)</f>
        <v>3</v>
      </c>
      <c r="K254" s="77">
        <f>VLOOKUP(C254, Adjustment_factor_for_distance_based_on_trip_purpose[#All],MATCH(A254, Adjustment_factor_for_distance_based_on_trip_purpose[#Headers],0),0)</f>
        <v>0.94444444444444442</v>
      </c>
      <c r="L254" s="78">
        <f>VLOOKUP($L$2, Total_Journeys_Per_Year[#All],MATCH(A254, Total_Journeys_Per_Year[#Headers],0),0)</f>
        <v>5369880000</v>
      </c>
      <c r="M254" s="35">
        <f t="shared" si="3"/>
        <v>268225505.99999997</v>
      </c>
      <c r="N254" s="35">
        <f>VLOOKUP($N$2, Private_Vehicle_Kilometres_Car_Stock[#All],MATCH(A254, Private_Vehicle_Kilometres_Car_Stock[#Headers],0),0)</f>
        <v>36195324272</v>
      </c>
    </row>
    <row r="255" spans="1:14" x14ac:dyDescent="0.25">
      <c r="A255" s="79" t="s">
        <v>39</v>
      </c>
      <c r="B255" s="13" t="s">
        <v>180</v>
      </c>
      <c r="C255" s="13" t="s">
        <v>47</v>
      </c>
      <c r="D255" s="5">
        <f>VLOOKUP(B255,Percentage_distribution_of_journey_distance_for_all_regions[#All],MATCH(A255,Percentage_distribution_of_journey_distance_for_all_regions[#Headers],0),0)/100</f>
        <v>0.125</v>
      </c>
      <c r="E255" s="71">
        <f>IF(B255="&lt;2 kilometres",1,0)*VLOOKUP(C255, Percentage_dist_journeys_by_purpose_and_distance_to_2km[#All],MATCH(A255, Percentage_dist_journeys_by_purpose_and_distance_to_2km[#Headers],0),0)/100</f>
        <v>0</v>
      </c>
      <c r="F255" s="4">
        <f>IF(B255="2-4 kilometres",1,0)*VLOOKUP(C255, Percentage_dist_journeys_by_purpose_and_distance_2_to_4km[#All],MATCH(A255, Percentage_dist_journeys_by_purpose_and_distance_2_to_4km[#Headers],0),0)/100</f>
        <v>0</v>
      </c>
      <c r="G255" s="72">
        <f>IF(B255="4-6 kilometres",1,0)*VLOOKUP(C255, Percentage_dist_journeys_by_purpose_and_distance_4_to_6km[#All],MATCH(A255, Percentage_dist_journeys_by_purpose_and_distance_4_to_6km[#Headers],0),0)/100</f>
        <v>0.124</v>
      </c>
      <c r="H255" s="4">
        <f>IF(B255="6-8 kilometres",1,0)*VLOOKUP(C255, Percentage_dist_journeys_by_purpose_and_distance_6_to_8km[#All],MATCH(A255, Percentage_dist_journeys_by_purpose_and_distance_6_to_8km[#Headers],0),0)/100</f>
        <v>0</v>
      </c>
      <c r="I255" s="72">
        <f>IF(B255="8+ kilometres",1,0)*VLOOKUP(C255, Percentage_dist_journeys_by_purpose_and_distance_8km[#All],MATCH(A255, Percentage_dist_journeys_by_purpose_and_distance_8km[#Headers],0),0)/100</f>
        <v>0</v>
      </c>
      <c r="J255" s="73">
        <f>VLOOKUP(B255,Average_Distance_by_kilometres_grouping_for_trip_purpose[#All],MATCH(A255,Average_Distance_by_kilometres_grouping_for_trip_purpose[#Headers],0),0)</f>
        <v>5</v>
      </c>
      <c r="K255" s="77">
        <f>VLOOKUP(C255, Adjustment_factor_for_distance_based_on_trip_purpose[#All],MATCH(A255, Adjustment_factor_for_distance_based_on_trip_purpose[#Headers],0),0)</f>
        <v>0.94444444444444442</v>
      </c>
      <c r="L255" s="78">
        <f>VLOOKUP($L$2, Total_Journeys_Per_Year[#All],MATCH(A255, Total_Journeys_Per_Year[#Headers],0),0)</f>
        <v>5369880000</v>
      </c>
      <c r="M255" s="35">
        <f t="shared" si="3"/>
        <v>416165700</v>
      </c>
      <c r="N255" s="35">
        <f>VLOOKUP($N$2, Private_Vehicle_Kilometres_Car_Stock[#All],MATCH(A255, Private_Vehicle_Kilometres_Car_Stock[#Headers],0),0)</f>
        <v>36195324272</v>
      </c>
    </row>
    <row r="256" spans="1:14" x14ac:dyDescent="0.25">
      <c r="A256" s="79" t="s">
        <v>39</v>
      </c>
      <c r="B256" s="13" t="s">
        <v>182</v>
      </c>
      <c r="C256" s="13" t="s">
        <v>47</v>
      </c>
      <c r="D256" s="5">
        <f>VLOOKUP(B256,Percentage_distribution_of_journey_distance_for_all_regions[#All],MATCH(A256,Percentage_distribution_of_journey_distance_for_all_regions[#Headers],0),0)/100</f>
        <v>7.0000000000000007E-2</v>
      </c>
      <c r="E256" s="71">
        <f>IF(B256="&lt;2 kilometres",1,0)*VLOOKUP(C256, Percentage_dist_journeys_by_purpose_and_distance_to_2km[#All],MATCH(A256, Percentage_dist_journeys_by_purpose_and_distance_to_2km[#Headers],0),0)/100</f>
        <v>0</v>
      </c>
      <c r="F256" s="4">
        <f>IF(B256="2-4 kilometres",1,0)*VLOOKUP(C256, Percentage_dist_journeys_by_purpose_and_distance_2_to_4km[#All],MATCH(A256, Percentage_dist_journeys_by_purpose_and_distance_2_to_4km[#Headers],0),0)/100</f>
        <v>0</v>
      </c>
      <c r="G256" s="72">
        <f>IF(B256="4-6 kilometres",1,0)*VLOOKUP(C256, Percentage_dist_journeys_by_purpose_and_distance_4_to_6km[#All],MATCH(A256, Percentage_dist_journeys_by_purpose_and_distance_4_to_6km[#Headers],0),0)/100</f>
        <v>0</v>
      </c>
      <c r="H256" s="4">
        <f>IF(B256="6-8 kilometres",1,0)*VLOOKUP(C256, Percentage_dist_journeys_by_purpose_and_distance_6_to_8km[#All],MATCH(A256, Percentage_dist_journeys_by_purpose_and_distance_6_to_8km[#Headers],0),0)/100</f>
        <v>0.13100000000000001</v>
      </c>
      <c r="I256" s="72">
        <f>IF(B256="8+ kilometres",1,0)*VLOOKUP(C256, Percentage_dist_journeys_by_purpose_and_distance_8km[#All],MATCH(A256, Percentage_dist_journeys_by_purpose_and_distance_8km[#Headers],0),0)/100</f>
        <v>0</v>
      </c>
      <c r="J256" s="73">
        <f>VLOOKUP(B256,Average_Distance_by_kilometres_grouping_for_trip_purpose[#All],MATCH(A256,Average_Distance_by_kilometres_grouping_for_trip_purpose[#Headers],0),0)</f>
        <v>7</v>
      </c>
      <c r="K256" s="77">
        <f>VLOOKUP(C256, Adjustment_factor_for_distance_based_on_trip_purpose[#All],MATCH(A256, Adjustment_factor_for_distance_based_on_trip_purpose[#Headers],0),0)</f>
        <v>0.94444444444444442</v>
      </c>
      <c r="L256" s="78">
        <f>VLOOKUP($L$2, Total_Journeys_Per_Year[#All],MATCH(A256, Total_Journeys_Per_Year[#Headers],0),0)</f>
        <v>5369880000</v>
      </c>
      <c r="M256" s="35">
        <f t="shared" si="3"/>
        <v>344692597.20000005</v>
      </c>
      <c r="N256" s="35">
        <f>VLOOKUP($N$2, Private_Vehicle_Kilometres_Car_Stock[#All],MATCH(A256, Private_Vehicle_Kilometres_Car_Stock[#Headers],0),0)</f>
        <v>36195324272</v>
      </c>
    </row>
    <row r="257" spans="1:14" x14ac:dyDescent="0.25">
      <c r="A257" s="79" t="s">
        <v>39</v>
      </c>
      <c r="B257" s="13" t="s">
        <v>1</v>
      </c>
      <c r="C257" s="13" t="s">
        <v>47</v>
      </c>
      <c r="D257" s="5">
        <f>VLOOKUP(B257,Percentage_distribution_of_journey_distance_for_all_regions[#All],MATCH(A257,Percentage_distribution_of_journey_distance_for_all_regions[#Headers],0),0)/100</f>
        <v>0.36799999999999999</v>
      </c>
      <c r="E257" s="71">
        <f>IF(B257="&lt;2 kilometres",1,0)*VLOOKUP(C257, Percentage_dist_journeys_by_purpose_and_distance_to_2km[#All],MATCH(A257, Percentage_dist_journeys_by_purpose_and_distance_to_2km[#Headers],0),0)/100</f>
        <v>0</v>
      </c>
      <c r="F257" s="4">
        <f>IF(B257="2-4 kilometres",1,0)*VLOOKUP(C257, Percentage_dist_journeys_by_purpose_and_distance_2_to_4km[#All],MATCH(A257, Percentage_dist_journeys_by_purpose_and_distance_2_to_4km[#Headers],0),0)/100</f>
        <v>0</v>
      </c>
      <c r="G257" s="72">
        <f>IF(B257="4-6 kilometres",1,0)*VLOOKUP(C257, Percentage_dist_journeys_by_purpose_and_distance_4_to_6km[#All],MATCH(A257, Percentage_dist_journeys_by_purpose_and_distance_4_to_6km[#Headers],0),0)/100</f>
        <v>0</v>
      </c>
      <c r="H257" s="4">
        <f>IF(B257="6-8 kilometres",1,0)*VLOOKUP(C257, Percentage_dist_journeys_by_purpose_and_distance_6_to_8km[#All],MATCH(A257, Percentage_dist_journeys_by_purpose_and_distance_6_to_8km[#Headers],0),0)/100</f>
        <v>0</v>
      </c>
      <c r="I257" s="72">
        <f>IF(B257="8+ kilometres",1,0)*VLOOKUP(C257, Percentage_dist_journeys_by_purpose_and_distance_8km[#All],MATCH(A257, Percentage_dist_journeys_by_purpose_and_distance_8km[#Headers],0),0)/100</f>
        <v>8.5999999999999993E-2</v>
      </c>
      <c r="J257" s="73">
        <f>VLOOKUP(B257,Average_Distance_by_kilometres_grouping_for_trip_purpose[#All],MATCH(A257,Average_Distance_by_kilometres_grouping_for_trip_purpose[#Headers],0),0)</f>
        <v>28.2</v>
      </c>
      <c r="K257" s="77">
        <f>VLOOKUP(C257, Adjustment_factor_for_distance_based_on_trip_purpose[#All],MATCH(A257, Adjustment_factor_for_distance_based_on_trip_purpose[#Headers],0),0)</f>
        <v>0.94444444444444442</v>
      </c>
      <c r="L257" s="78">
        <f>VLOOKUP($L$2, Total_Journeys_Per_Year[#All],MATCH(A257, Total_Journeys_Per_Year[#Headers],0),0)</f>
        <v>5369880000</v>
      </c>
      <c r="M257" s="35">
        <f t="shared" si="3"/>
        <v>4792476135.1679993</v>
      </c>
      <c r="N257" s="35">
        <f>VLOOKUP($N$2, Private_Vehicle_Kilometres_Car_Stock[#All],MATCH(A257, Private_Vehicle_Kilometres_Car_Stock[#Headers],0),0)</f>
        <v>36195324272</v>
      </c>
    </row>
    <row r="258" spans="1:14" x14ac:dyDescent="0.25">
      <c r="A258" s="79" t="s">
        <v>39</v>
      </c>
      <c r="B258" s="13" t="s">
        <v>12</v>
      </c>
      <c r="C258" s="13" t="s">
        <v>48</v>
      </c>
      <c r="D258" s="5">
        <f>VLOOKUP(B258,Percentage_distribution_of_journey_distance_for_all_regions[#All],MATCH(A258,Percentage_distribution_of_journey_distance_for_all_regions[#Headers],0),0)/100</f>
        <v>0.28600000000000003</v>
      </c>
      <c r="E258" s="71">
        <f>IF(B258="&lt;2 kilometres",1,0)*VLOOKUP(C258, Percentage_dist_journeys_by_purpose_and_distance_to_2km[#All],MATCH(A258, Percentage_dist_journeys_by_purpose_and_distance_to_2km[#Headers],0),0)/100</f>
        <v>3.6000000000000004E-2</v>
      </c>
      <c r="F258" s="4">
        <f>IF(B258="2-4 kilometres",1,0)*VLOOKUP(C258, Percentage_dist_journeys_by_purpose_and_distance_2_to_4km[#All],MATCH(A258, Percentage_dist_journeys_by_purpose_and_distance_2_to_4km[#Headers],0),0)/100</f>
        <v>0</v>
      </c>
      <c r="G258" s="72">
        <f>IF(B258="4-6 kilometres",1,0)*VLOOKUP(C258, Percentage_dist_journeys_by_purpose_and_distance_4_to_6km[#All],MATCH(A258, Percentage_dist_journeys_by_purpose_and_distance_4_to_6km[#Headers],0),0)/100</f>
        <v>0</v>
      </c>
      <c r="H258" s="4">
        <f>IF(B258="6-8 kilometres",1,0)*VLOOKUP(C258, Percentage_dist_journeys_by_purpose_and_distance_6_to_8km[#All],MATCH(A258, Percentage_dist_journeys_by_purpose_and_distance_6_to_8km[#Headers],0),0)/100</f>
        <v>0</v>
      </c>
      <c r="I258" s="72">
        <f>IF(B258="8+ kilometres",1,0)*VLOOKUP(C258, Percentage_dist_journeys_by_purpose_and_distance_8km[#All],MATCH(A258, Percentage_dist_journeys_by_purpose_and_distance_8km[#Headers],0),0)/100</f>
        <v>0</v>
      </c>
      <c r="J258" s="73">
        <f>VLOOKUP(B258,Average_Distance_by_kilometres_grouping_for_trip_purpose[#All],MATCH(A258,Average_Distance_by_kilometres_grouping_for_trip_purpose[#Headers],0),0)</f>
        <v>1</v>
      </c>
      <c r="K258" s="77">
        <f>VLOOKUP(C258, Adjustment_factor_for_distance_based_on_trip_purpose[#All],MATCH(A258, Adjustment_factor_for_distance_based_on_trip_purpose[#Headers],0),0)</f>
        <v>0.66666666666666663</v>
      </c>
      <c r="L258" s="78">
        <f>VLOOKUP($L$2, Total_Journeys_Per_Year[#All],MATCH(A258, Total_Journeys_Per_Year[#Headers],0),0)</f>
        <v>5369880000</v>
      </c>
      <c r="M258" s="35">
        <f t="shared" si="3"/>
        <v>55288284.480000019</v>
      </c>
      <c r="N258" s="35">
        <f>VLOOKUP($N$2, Private_Vehicle_Kilometres_Car_Stock[#All],MATCH(A258, Private_Vehicle_Kilometres_Car_Stock[#Headers],0),0)</f>
        <v>36195324272</v>
      </c>
    </row>
    <row r="259" spans="1:14" x14ac:dyDescent="0.25">
      <c r="A259" s="79" t="s">
        <v>39</v>
      </c>
      <c r="B259" s="13" t="s">
        <v>181</v>
      </c>
      <c r="C259" s="13" t="s">
        <v>48</v>
      </c>
      <c r="D259" s="5">
        <f>VLOOKUP(B259,Percentage_distribution_of_journey_distance_for_all_regions[#All],MATCH(A259,Percentage_distribution_of_journey_distance_for_all_regions[#Headers],0),0)/100</f>
        <v>0.15</v>
      </c>
      <c r="E259" s="71">
        <f>IF(B259="&lt;2 kilometres",1,0)*VLOOKUP(C259, Percentage_dist_journeys_by_purpose_and_distance_to_2km[#All],MATCH(A259, Percentage_dist_journeys_by_purpose_and_distance_to_2km[#Headers],0),0)/100</f>
        <v>0</v>
      </c>
      <c r="F259" s="4">
        <f>IF(B259="2-4 kilometres",1,0)*VLOOKUP(C259, Percentage_dist_journeys_by_purpose_and_distance_2_to_4km[#All],MATCH(A259, Percentage_dist_journeys_by_purpose_and_distance_2_to_4km[#Headers],0),0)/100</f>
        <v>4.9000000000000002E-2</v>
      </c>
      <c r="G259" s="72">
        <f>IF(B259="4-6 kilometres",1,0)*VLOOKUP(C259, Percentage_dist_journeys_by_purpose_and_distance_4_to_6km[#All],MATCH(A259, Percentage_dist_journeys_by_purpose_and_distance_4_to_6km[#Headers],0),0)/100</f>
        <v>0</v>
      </c>
      <c r="H259" s="4">
        <f>IF(B259="6-8 kilometres",1,0)*VLOOKUP(C259, Percentage_dist_journeys_by_purpose_and_distance_6_to_8km[#All],MATCH(A259, Percentage_dist_journeys_by_purpose_and_distance_6_to_8km[#Headers],0),0)/100</f>
        <v>0</v>
      </c>
      <c r="I259" s="72">
        <f>IF(B259="8+ kilometres",1,0)*VLOOKUP(C259, Percentage_dist_journeys_by_purpose_and_distance_8km[#All],MATCH(A259, Percentage_dist_journeys_by_purpose_and_distance_8km[#Headers],0),0)/100</f>
        <v>0</v>
      </c>
      <c r="J259" s="73">
        <f>VLOOKUP(B259,Average_Distance_by_kilometres_grouping_for_trip_purpose[#All],MATCH(A259,Average_Distance_by_kilometres_grouping_for_trip_purpose[#Headers],0),0)</f>
        <v>3</v>
      </c>
      <c r="K259" s="77">
        <f>VLOOKUP(C259, Adjustment_factor_for_distance_based_on_trip_purpose[#All],MATCH(A259, Adjustment_factor_for_distance_based_on_trip_purpose[#Headers],0),0)</f>
        <v>0.66666666666666663</v>
      </c>
      <c r="L259" s="78">
        <f>VLOOKUP($L$2, Total_Journeys_Per_Year[#All],MATCH(A259, Total_Journeys_Per_Year[#Headers],0),0)</f>
        <v>5369880000</v>
      </c>
      <c r="M259" s="35">
        <f t="shared" si="3"/>
        <v>118405854</v>
      </c>
      <c r="N259" s="35">
        <f>VLOOKUP($N$2, Private_Vehicle_Kilometres_Car_Stock[#All],MATCH(A259, Private_Vehicle_Kilometres_Car_Stock[#Headers],0),0)</f>
        <v>36195324272</v>
      </c>
    </row>
    <row r="260" spans="1:14" x14ac:dyDescent="0.25">
      <c r="A260" s="79" t="s">
        <v>39</v>
      </c>
      <c r="B260" s="13" t="s">
        <v>180</v>
      </c>
      <c r="C260" s="13" t="s">
        <v>48</v>
      </c>
      <c r="D260" s="5">
        <f>VLOOKUP(B260,Percentage_distribution_of_journey_distance_for_all_regions[#All],MATCH(A260,Percentage_distribution_of_journey_distance_for_all_regions[#Headers],0),0)/100</f>
        <v>0.125</v>
      </c>
      <c r="E260" s="71">
        <f>IF(B260="&lt;2 kilometres",1,0)*VLOOKUP(C260, Percentage_dist_journeys_by_purpose_and_distance_to_2km[#All],MATCH(A260, Percentage_dist_journeys_by_purpose_and_distance_to_2km[#Headers],0),0)/100</f>
        <v>0</v>
      </c>
      <c r="F260" s="4">
        <f>IF(B260="2-4 kilometres",1,0)*VLOOKUP(C260, Percentage_dist_journeys_by_purpose_and_distance_2_to_4km[#All],MATCH(A260, Percentage_dist_journeys_by_purpose_and_distance_2_to_4km[#Headers],0),0)/100</f>
        <v>0</v>
      </c>
      <c r="G260" s="72">
        <f>IF(B260="4-6 kilometres",1,0)*VLOOKUP(C260, Percentage_dist_journeys_by_purpose_and_distance_4_to_6km[#All],MATCH(A260, Percentage_dist_journeys_by_purpose_and_distance_4_to_6km[#Headers],0),0)/100</f>
        <v>6.4000000000000001E-2</v>
      </c>
      <c r="H260" s="4">
        <f>IF(B260="6-8 kilometres",1,0)*VLOOKUP(C260, Percentage_dist_journeys_by_purpose_and_distance_6_to_8km[#All],MATCH(A260, Percentage_dist_journeys_by_purpose_and_distance_6_to_8km[#Headers],0),0)/100</f>
        <v>0</v>
      </c>
      <c r="I260" s="72">
        <f>IF(B260="8+ kilometres",1,0)*VLOOKUP(C260, Percentage_dist_journeys_by_purpose_and_distance_8km[#All],MATCH(A260, Percentage_dist_journeys_by_purpose_and_distance_8km[#Headers],0),0)/100</f>
        <v>0</v>
      </c>
      <c r="J260" s="73">
        <f>VLOOKUP(B260,Average_Distance_by_kilometres_grouping_for_trip_purpose[#All],MATCH(A260,Average_Distance_by_kilometres_grouping_for_trip_purpose[#Headers],0),0)</f>
        <v>5</v>
      </c>
      <c r="K260" s="77">
        <f>VLOOKUP(C260, Adjustment_factor_for_distance_based_on_trip_purpose[#All],MATCH(A260, Adjustment_factor_for_distance_based_on_trip_purpose[#Headers],0),0)</f>
        <v>0.66666666666666663</v>
      </c>
      <c r="L260" s="78">
        <f>VLOOKUP($L$2, Total_Journeys_Per_Year[#All],MATCH(A260, Total_Journeys_Per_Year[#Headers],0),0)</f>
        <v>5369880000</v>
      </c>
      <c r="M260" s="35">
        <f t="shared" ref="M260:M272" si="4">D260*(SUM(E260:I260))*J260*L260</f>
        <v>214795200</v>
      </c>
      <c r="N260" s="35">
        <f>VLOOKUP($N$2, Private_Vehicle_Kilometres_Car_Stock[#All],MATCH(A260, Private_Vehicle_Kilometres_Car_Stock[#Headers],0),0)</f>
        <v>36195324272</v>
      </c>
    </row>
    <row r="261" spans="1:14" x14ac:dyDescent="0.25">
      <c r="A261" s="79" t="s">
        <v>39</v>
      </c>
      <c r="B261" s="13" t="s">
        <v>182</v>
      </c>
      <c r="C261" s="13" t="s">
        <v>48</v>
      </c>
      <c r="D261" s="5">
        <f>VLOOKUP(B261,Percentage_distribution_of_journey_distance_for_all_regions[#All],MATCH(A261,Percentage_distribution_of_journey_distance_for_all_regions[#Headers],0),0)/100</f>
        <v>7.0000000000000007E-2</v>
      </c>
      <c r="E261" s="71">
        <f>IF(B261="&lt;2 kilometres",1,0)*VLOOKUP(C261, Percentage_dist_journeys_by_purpose_and_distance_to_2km[#All],MATCH(A261, Percentage_dist_journeys_by_purpose_and_distance_to_2km[#Headers],0),0)/100</f>
        <v>0</v>
      </c>
      <c r="F261" s="4">
        <f>IF(B261="2-4 kilometres",1,0)*VLOOKUP(C261, Percentage_dist_journeys_by_purpose_and_distance_2_to_4km[#All],MATCH(A261, Percentage_dist_journeys_by_purpose_and_distance_2_to_4km[#Headers],0),0)/100</f>
        <v>0</v>
      </c>
      <c r="G261" s="72">
        <f>IF(B261="4-6 kilometres",1,0)*VLOOKUP(C261, Percentage_dist_journeys_by_purpose_and_distance_4_to_6km[#All],MATCH(A261, Percentage_dist_journeys_by_purpose_and_distance_4_to_6km[#Headers],0),0)/100</f>
        <v>0</v>
      </c>
      <c r="H261" s="4">
        <f>IF(B261="6-8 kilometres",1,0)*VLOOKUP(C261, Percentage_dist_journeys_by_purpose_and_distance_6_to_8km[#All],MATCH(A261, Percentage_dist_journeys_by_purpose_and_distance_6_to_8km[#Headers],0),0)/100</f>
        <v>5.7000000000000002E-2</v>
      </c>
      <c r="I261" s="72">
        <f>IF(B261="8+ kilometres",1,0)*VLOOKUP(C261, Percentage_dist_journeys_by_purpose_and_distance_8km[#All],MATCH(A261, Percentage_dist_journeys_by_purpose_and_distance_8km[#Headers],0),0)/100</f>
        <v>0</v>
      </c>
      <c r="J261" s="73">
        <f>VLOOKUP(B261,Average_Distance_by_kilometres_grouping_for_trip_purpose[#All],MATCH(A261,Average_Distance_by_kilometres_grouping_for_trip_purpose[#Headers],0),0)</f>
        <v>7</v>
      </c>
      <c r="K261" s="77">
        <f>VLOOKUP(C261, Adjustment_factor_for_distance_based_on_trip_purpose[#All],MATCH(A261, Adjustment_factor_for_distance_based_on_trip_purpose[#Headers],0),0)</f>
        <v>0.66666666666666663</v>
      </c>
      <c r="L261" s="78">
        <f>VLOOKUP($L$2, Total_Journeys_Per_Year[#All],MATCH(A261, Total_Journeys_Per_Year[#Headers],0),0)</f>
        <v>5369880000</v>
      </c>
      <c r="M261" s="35">
        <f t="shared" si="4"/>
        <v>149980748.40000001</v>
      </c>
      <c r="N261" s="35">
        <f>VLOOKUP($N$2, Private_Vehicle_Kilometres_Car_Stock[#All],MATCH(A261, Private_Vehicle_Kilometres_Car_Stock[#Headers],0),0)</f>
        <v>36195324272</v>
      </c>
    </row>
    <row r="262" spans="1:14" x14ac:dyDescent="0.25">
      <c r="A262" s="79" t="s">
        <v>39</v>
      </c>
      <c r="B262" s="13" t="s">
        <v>1</v>
      </c>
      <c r="C262" s="13" t="s">
        <v>48</v>
      </c>
      <c r="D262" s="5">
        <f>VLOOKUP(B262,Percentage_distribution_of_journey_distance_for_all_regions[#All],MATCH(A262,Percentage_distribution_of_journey_distance_for_all_regions[#Headers],0),0)/100</f>
        <v>0.36799999999999999</v>
      </c>
      <c r="E262" s="71">
        <f>IF(B262="&lt;2 kilometres",1,0)*VLOOKUP(C262, Percentage_dist_journeys_by_purpose_and_distance_to_2km[#All],MATCH(A262, Percentage_dist_journeys_by_purpose_and_distance_to_2km[#Headers],0),0)/100</f>
        <v>0</v>
      </c>
      <c r="F262" s="4">
        <f>IF(B262="2-4 kilometres",1,0)*VLOOKUP(C262, Percentage_dist_journeys_by_purpose_and_distance_2_to_4km[#All],MATCH(A262, Percentage_dist_journeys_by_purpose_and_distance_2_to_4km[#Headers],0),0)/100</f>
        <v>0</v>
      </c>
      <c r="G262" s="72">
        <f>IF(B262="4-6 kilometres",1,0)*VLOOKUP(C262, Percentage_dist_journeys_by_purpose_and_distance_4_to_6km[#All],MATCH(A262, Percentage_dist_journeys_by_purpose_and_distance_4_to_6km[#Headers],0),0)/100</f>
        <v>0</v>
      </c>
      <c r="H262" s="4">
        <f>IF(B262="6-8 kilometres",1,0)*VLOOKUP(C262, Percentage_dist_journeys_by_purpose_and_distance_6_to_8km[#All],MATCH(A262, Percentage_dist_journeys_by_purpose_and_distance_6_to_8km[#Headers],0),0)/100</f>
        <v>0</v>
      </c>
      <c r="I262" s="72">
        <f>IF(B262="8+ kilometres",1,0)*VLOOKUP(C262, Percentage_dist_journeys_by_purpose_and_distance_8km[#All],MATCH(A262, Percentage_dist_journeys_by_purpose_and_distance_8km[#Headers],0),0)/100</f>
        <v>6.2E-2</v>
      </c>
      <c r="J262" s="73">
        <f>VLOOKUP(B262,Average_Distance_by_kilometres_grouping_for_trip_purpose[#All],MATCH(A262,Average_Distance_by_kilometres_grouping_for_trip_purpose[#Headers],0),0)</f>
        <v>28.2</v>
      </c>
      <c r="K262" s="77">
        <f>VLOOKUP(C262, Adjustment_factor_for_distance_based_on_trip_purpose[#All],MATCH(A262, Adjustment_factor_for_distance_based_on_trip_purpose[#Headers],0),0)</f>
        <v>0.66666666666666663</v>
      </c>
      <c r="L262" s="78">
        <f>VLOOKUP($L$2, Total_Journeys_Per_Year[#All],MATCH(A262, Total_Journeys_Per_Year[#Headers],0),0)</f>
        <v>5369880000</v>
      </c>
      <c r="M262" s="35">
        <f t="shared" si="4"/>
        <v>3455040934.6559997</v>
      </c>
      <c r="N262" s="35">
        <f>VLOOKUP($N$2, Private_Vehicle_Kilometres_Car_Stock[#All],MATCH(A262, Private_Vehicle_Kilometres_Car_Stock[#Headers],0),0)</f>
        <v>36195324272</v>
      </c>
    </row>
    <row r="263" spans="1:14" x14ac:dyDescent="0.25">
      <c r="A263" s="79" t="s">
        <v>39</v>
      </c>
      <c r="B263" s="13" t="s">
        <v>12</v>
      </c>
      <c r="C263" s="13" t="s">
        <v>49</v>
      </c>
      <c r="D263" s="5">
        <f>VLOOKUP(B263,Percentage_distribution_of_journey_distance_for_all_regions[#All],MATCH(A263,Percentage_distribution_of_journey_distance_for_all_regions[#Headers],0),0)/100</f>
        <v>0.28600000000000003</v>
      </c>
      <c r="E263" s="71">
        <f>IF(B263="&lt;2 kilometres",1,0)*VLOOKUP(C263, Percentage_dist_journeys_by_purpose_and_distance_to_2km[#All],MATCH(A263, Percentage_dist_journeys_by_purpose_and_distance_to_2km[#Headers],0),0)/100</f>
        <v>0.29499999999999998</v>
      </c>
      <c r="F263" s="4">
        <f>IF(B263="2-4 kilometres",1,0)*VLOOKUP(C263, Percentage_dist_journeys_by_purpose_and_distance_2_to_4km[#All],MATCH(A263, Percentage_dist_journeys_by_purpose_and_distance_2_to_4km[#Headers],0),0)/100</f>
        <v>0</v>
      </c>
      <c r="G263" s="72">
        <f>IF(B263="4-6 kilometres",1,0)*VLOOKUP(C263, Percentage_dist_journeys_by_purpose_and_distance_4_to_6km[#All],MATCH(A263, Percentage_dist_journeys_by_purpose_and_distance_4_to_6km[#Headers],0),0)/100</f>
        <v>0</v>
      </c>
      <c r="H263" s="4">
        <f>IF(B263="6-8 kilometres",1,0)*VLOOKUP(C263, Percentage_dist_journeys_by_purpose_and_distance_6_to_8km[#All],MATCH(A263, Percentage_dist_journeys_by_purpose_and_distance_6_to_8km[#Headers],0),0)/100</f>
        <v>0</v>
      </c>
      <c r="I263" s="72">
        <f>IF(B263="8+ kilometres",1,0)*VLOOKUP(C263, Percentage_dist_journeys_by_purpose_and_distance_8km[#All],MATCH(A263, Percentage_dist_journeys_by_purpose_and_distance_8km[#Headers],0),0)/100</f>
        <v>0</v>
      </c>
      <c r="J263" s="73">
        <f>VLOOKUP(B263,Average_Distance_by_kilometres_grouping_for_trip_purpose[#All],MATCH(A263,Average_Distance_by_kilometres_grouping_for_trip_purpose[#Headers],0),0)</f>
        <v>1</v>
      </c>
      <c r="K263" s="77">
        <f>VLOOKUP(C263, Adjustment_factor_for_distance_based_on_trip_purpose[#All],MATCH(A263, Adjustment_factor_for_distance_based_on_trip_purpose[#Headers],0),0)</f>
        <v>1.2222222222222223</v>
      </c>
      <c r="L263" s="78">
        <f>VLOOKUP($L$2, Total_Journeys_Per_Year[#All],MATCH(A263, Total_Journeys_Per_Year[#Headers],0),0)</f>
        <v>5369880000</v>
      </c>
      <c r="M263" s="35">
        <f t="shared" si="4"/>
        <v>453056775.60000002</v>
      </c>
      <c r="N263" s="35">
        <f>VLOOKUP($N$2, Private_Vehicle_Kilometres_Car_Stock[#All],MATCH(A263, Private_Vehicle_Kilometres_Car_Stock[#Headers],0),0)</f>
        <v>36195324272</v>
      </c>
    </row>
    <row r="264" spans="1:14" x14ac:dyDescent="0.25">
      <c r="A264" s="79" t="s">
        <v>39</v>
      </c>
      <c r="B264" s="13" t="s">
        <v>181</v>
      </c>
      <c r="C264" s="13" t="s">
        <v>49</v>
      </c>
      <c r="D264" s="5">
        <f>VLOOKUP(B264,Percentage_distribution_of_journey_distance_for_all_regions[#All],MATCH(A264,Percentage_distribution_of_journey_distance_for_all_regions[#Headers],0),0)/100</f>
        <v>0.15</v>
      </c>
      <c r="E264" s="71">
        <f>IF(B264="&lt;2 kilometres",1,0)*VLOOKUP(C264, Percentage_dist_journeys_by_purpose_and_distance_to_2km[#All],MATCH(A264, Percentage_dist_journeys_by_purpose_and_distance_to_2km[#Headers],0),0)/100</f>
        <v>0</v>
      </c>
      <c r="F264" s="4">
        <f>IF(B264="2-4 kilometres",1,0)*VLOOKUP(C264, Percentage_dist_journeys_by_purpose_and_distance_2_to_4km[#All],MATCH(A264, Percentage_dist_journeys_by_purpose_and_distance_2_to_4km[#Headers],0),0)/100</f>
        <v>0.221</v>
      </c>
      <c r="G264" s="72">
        <f>IF(B264="4-6 kilometres",1,0)*VLOOKUP(C264, Percentage_dist_journeys_by_purpose_and_distance_4_to_6km[#All],MATCH(A264, Percentage_dist_journeys_by_purpose_and_distance_4_to_6km[#Headers],0),0)/100</f>
        <v>0</v>
      </c>
      <c r="H264" s="4">
        <f>IF(B264="6-8 kilometres",1,0)*VLOOKUP(C264, Percentage_dist_journeys_by_purpose_and_distance_6_to_8km[#All],MATCH(A264, Percentage_dist_journeys_by_purpose_and_distance_6_to_8km[#Headers],0),0)/100</f>
        <v>0</v>
      </c>
      <c r="I264" s="72">
        <f>IF(B264="8+ kilometres",1,0)*VLOOKUP(C264, Percentage_dist_journeys_by_purpose_and_distance_8km[#All],MATCH(A264, Percentage_dist_journeys_by_purpose_and_distance_8km[#Headers],0),0)/100</f>
        <v>0</v>
      </c>
      <c r="J264" s="73">
        <f>VLOOKUP(B264,Average_Distance_by_kilometres_grouping_for_trip_purpose[#All],MATCH(A264,Average_Distance_by_kilometres_grouping_for_trip_purpose[#Headers],0),0)</f>
        <v>3</v>
      </c>
      <c r="K264" s="77">
        <f>VLOOKUP(C264, Adjustment_factor_for_distance_based_on_trip_purpose[#All],MATCH(A264, Adjustment_factor_for_distance_based_on_trip_purpose[#Headers],0),0)</f>
        <v>1.2222222222222223</v>
      </c>
      <c r="L264" s="78">
        <f>VLOOKUP($L$2, Total_Journeys_Per_Year[#All],MATCH(A264, Total_Journeys_Per_Year[#Headers],0),0)</f>
        <v>5369880000</v>
      </c>
      <c r="M264" s="35">
        <f t="shared" si="4"/>
        <v>534034566</v>
      </c>
      <c r="N264" s="35">
        <f>VLOOKUP($N$2, Private_Vehicle_Kilometres_Car_Stock[#All],MATCH(A264, Private_Vehicle_Kilometres_Car_Stock[#Headers],0),0)</f>
        <v>36195324272</v>
      </c>
    </row>
    <row r="265" spans="1:14" x14ac:dyDescent="0.25">
      <c r="A265" s="79" t="s">
        <v>39</v>
      </c>
      <c r="B265" s="13" t="s">
        <v>180</v>
      </c>
      <c r="C265" s="13" t="s">
        <v>49</v>
      </c>
      <c r="D265" s="5">
        <f>VLOOKUP(B265,Percentage_distribution_of_journey_distance_for_all_regions[#All],MATCH(A265,Percentage_distribution_of_journey_distance_for_all_regions[#Headers],0),0)/100</f>
        <v>0.125</v>
      </c>
      <c r="E265" s="71">
        <f>IF(B265="&lt;2 kilometres",1,0)*VLOOKUP(C265, Percentage_dist_journeys_by_purpose_and_distance_to_2km[#All],MATCH(A265, Percentage_dist_journeys_by_purpose_and_distance_to_2km[#Headers],0),0)/100</f>
        <v>0</v>
      </c>
      <c r="F265" s="4">
        <f>IF(B265="2-4 kilometres",1,0)*VLOOKUP(C265, Percentage_dist_journeys_by_purpose_and_distance_2_to_4km[#All],MATCH(A265, Percentage_dist_journeys_by_purpose_and_distance_2_to_4km[#Headers],0),0)/100</f>
        <v>0</v>
      </c>
      <c r="G265" s="72">
        <f>IF(B265="4-6 kilometres",1,0)*VLOOKUP(C265, Percentage_dist_journeys_by_purpose_and_distance_4_to_6km[#All],MATCH(A265, Percentage_dist_journeys_by_purpose_and_distance_4_to_6km[#Headers],0),0)/100</f>
        <v>0.19500000000000001</v>
      </c>
      <c r="H265" s="4">
        <f>IF(B265="6-8 kilometres",1,0)*VLOOKUP(C265, Percentage_dist_journeys_by_purpose_and_distance_6_to_8km[#All],MATCH(A265, Percentage_dist_journeys_by_purpose_and_distance_6_to_8km[#Headers],0),0)/100</f>
        <v>0</v>
      </c>
      <c r="I265" s="72">
        <f>IF(B265="8+ kilometres",1,0)*VLOOKUP(C265, Percentage_dist_journeys_by_purpose_and_distance_8km[#All],MATCH(A265, Percentage_dist_journeys_by_purpose_and_distance_8km[#Headers],0),0)/100</f>
        <v>0</v>
      </c>
      <c r="J265" s="73">
        <f>VLOOKUP(B265,Average_Distance_by_kilometres_grouping_for_trip_purpose[#All],MATCH(A265,Average_Distance_by_kilometres_grouping_for_trip_purpose[#Headers],0),0)</f>
        <v>5</v>
      </c>
      <c r="K265" s="77">
        <f>VLOOKUP(C265, Adjustment_factor_for_distance_based_on_trip_purpose[#All],MATCH(A265, Adjustment_factor_for_distance_based_on_trip_purpose[#Headers],0),0)</f>
        <v>1.2222222222222223</v>
      </c>
      <c r="L265" s="78">
        <f>VLOOKUP($L$2, Total_Journeys_Per_Year[#All],MATCH(A265, Total_Journeys_Per_Year[#Headers],0),0)</f>
        <v>5369880000</v>
      </c>
      <c r="M265" s="35">
        <f t="shared" si="4"/>
        <v>654454125</v>
      </c>
      <c r="N265" s="35">
        <f>VLOOKUP($N$2, Private_Vehicle_Kilometres_Car_Stock[#All],MATCH(A265, Private_Vehicle_Kilometres_Car_Stock[#Headers],0),0)</f>
        <v>36195324272</v>
      </c>
    </row>
    <row r="266" spans="1:14" x14ac:dyDescent="0.25">
      <c r="A266" s="79" t="s">
        <v>39</v>
      </c>
      <c r="B266" s="13" t="s">
        <v>182</v>
      </c>
      <c r="C266" s="13" t="s">
        <v>49</v>
      </c>
      <c r="D266" s="5">
        <f>VLOOKUP(B266,Percentage_distribution_of_journey_distance_for_all_regions[#All],MATCH(A266,Percentage_distribution_of_journey_distance_for_all_regions[#Headers],0),0)/100</f>
        <v>7.0000000000000007E-2</v>
      </c>
      <c r="E266" s="71">
        <f>IF(B266="&lt;2 kilometres",1,0)*VLOOKUP(C266, Percentage_dist_journeys_by_purpose_and_distance_to_2km[#All],MATCH(A266, Percentage_dist_journeys_by_purpose_and_distance_to_2km[#Headers],0),0)/100</f>
        <v>0</v>
      </c>
      <c r="F266" s="4">
        <f>IF(B266="2-4 kilometres",1,0)*VLOOKUP(C266, Percentage_dist_journeys_by_purpose_and_distance_2_to_4km[#All],MATCH(A266, Percentage_dist_journeys_by_purpose_and_distance_2_to_4km[#Headers],0),0)/100</f>
        <v>0</v>
      </c>
      <c r="G266" s="72">
        <f>IF(B266="4-6 kilometres",1,0)*VLOOKUP(C266, Percentage_dist_journeys_by_purpose_and_distance_4_to_6km[#All],MATCH(A266, Percentage_dist_journeys_by_purpose_and_distance_4_to_6km[#Headers],0),0)/100</f>
        <v>0</v>
      </c>
      <c r="H266" s="4">
        <f>IF(B266="6-8 kilometres",1,0)*VLOOKUP(C266, Percentage_dist_journeys_by_purpose_and_distance_6_to_8km[#All],MATCH(A266, Percentage_dist_journeys_by_purpose_and_distance_6_to_8km[#Headers],0),0)/100</f>
        <v>0.188</v>
      </c>
      <c r="I266" s="72">
        <f>IF(B266="8+ kilometres",1,0)*VLOOKUP(C266, Percentage_dist_journeys_by_purpose_and_distance_8km[#All],MATCH(A266, Percentage_dist_journeys_by_purpose_and_distance_8km[#Headers],0),0)/100</f>
        <v>0</v>
      </c>
      <c r="J266" s="73">
        <f>VLOOKUP(B266,Average_Distance_by_kilometres_grouping_for_trip_purpose[#All],MATCH(A266,Average_Distance_by_kilometres_grouping_for_trip_purpose[#Headers],0),0)</f>
        <v>7</v>
      </c>
      <c r="K266" s="77">
        <f>VLOOKUP(C266, Adjustment_factor_for_distance_based_on_trip_purpose[#All],MATCH(A266, Adjustment_factor_for_distance_based_on_trip_purpose[#Headers],0),0)</f>
        <v>1.2222222222222223</v>
      </c>
      <c r="L266" s="78">
        <f>VLOOKUP($L$2, Total_Journeys_Per_Year[#All],MATCH(A266, Total_Journeys_Per_Year[#Headers],0),0)</f>
        <v>5369880000</v>
      </c>
      <c r="M266" s="35">
        <f t="shared" si="4"/>
        <v>494673345.60000002</v>
      </c>
      <c r="N266" s="35">
        <f>VLOOKUP($N$2, Private_Vehicle_Kilometres_Car_Stock[#All],MATCH(A266, Private_Vehicle_Kilometres_Car_Stock[#Headers],0),0)</f>
        <v>36195324272</v>
      </c>
    </row>
    <row r="267" spans="1:14" x14ac:dyDescent="0.25">
      <c r="A267" s="79" t="s">
        <v>39</v>
      </c>
      <c r="B267" s="13" t="s">
        <v>1</v>
      </c>
      <c r="C267" s="13" t="s">
        <v>49</v>
      </c>
      <c r="D267" s="5">
        <f>VLOOKUP(B267,Percentage_distribution_of_journey_distance_for_all_regions[#All],MATCH(A267,Percentage_distribution_of_journey_distance_for_all_regions[#Headers],0),0)/100</f>
        <v>0.36799999999999999</v>
      </c>
      <c r="E267" s="71">
        <f>IF(B267="&lt;2 kilometres",1,0)*VLOOKUP(C267, Percentage_dist_journeys_by_purpose_and_distance_to_2km[#All],MATCH(A267, Percentage_dist_journeys_by_purpose_and_distance_to_2km[#Headers],0),0)/100</f>
        <v>0</v>
      </c>
      <c r="F267" s="4">
        <f>IF(B267="2-4 kilometres",1,0)*VLOOKUP(C267, Percentage_dist_journeys_by_purpose_and_distance_2_to_4km[#All],MATCH(A267, Percentage_dist_journeys_by_purpose_and_distance_2_to_4km[#Headers],0),0)/100</f>
        <v>0</v>
      </c>
      <c r="G267" s="72">
        <f>IF(B267="4-6 kilometres",1,0)*VLOOKUP(C267, Percentage_dist_journeys_by_purpose_and_distance_4_to_6km[#All],MATCH(A267, Percentage_dist_journeys_by_purpose_and_distance_4_to_6km[#Headers],0),0)/100</f>
        <v>0</v>
      </c>
      <c r="H267" s="4">
        <f>IF(B267="6-8 kilometres",1,0)*VLOOKUP(C267, Percentage_dist_journeys_by_purpose_and_distance_6_to_8km[#All],MATCH(A267, Percentage_dist_journeys_by_purpose_and_distance_6_to_8km[#Headers],0),0)/100</f>
        <v>0</v>
      </c>
      <c r="I267" s="72">
        <f>IF(B267="8+ kilometres",1,0)*VLOOKUP(C267, Percentage_dist_journeys_by_purpose_and_distance_8km[#All],MATCH(A267, Percentage_dist_journeys_by_purpose_and_distance_8km[#Headers],0),0)/100</f>
        <v>0.14599999999999999</v>
      </c>
      <c r="J267" s="73">
        <f>VLOOKUP(B267,Average_Distance_by_kilometres_grouping_for_trip_purpose[#All],MATCH(A267,Average_Distance_by_kilometres_grouping_for_trip_purpose[#Headers],0),0)</f>
        <v>28.2</v>
      </c>
      <c r="K267" s="77">
        <f>VLOOKUP(C267, Adjustment_factor_for_distance_based_on_trip_purpose[#All],MATCH(A267, Adjustment_factor_for_distance_based_on_trip_purpose[#Headers],0),0)</f>
        <v>1.2222222222222223</v>
      </c>
      <c r="L267" s="78">
        <f>VLOOKUP($L$2, Total_Journeys_Per_Year[#All],MATCH(A267, Total_Journeys_Per_Year[#Headers],0),0)</f>
        <v>5369880000</v>
      </c>
      <c r="M267" s="35">
        <f t="shared" si="4"/>
        <v>8136064136.447999</v>
      </c>
      <c r="N267" s="35">
        <f>VLOOKUP($N$2, Private_Vehicle_Kilometres_Car_Stock[#All],MATCH(A267, Private_Vehicle_Kilometres_Car_Stock[#Headers],0),0)</f>
        <v>36195324272</v>
      </c>
    </row>
    <row r="268" spans="1:14" x14ac:dyDescent="0.25">
      <c r="A268" s="79" t="s">
        <v>39</v>
      </c>
      <c r="B268" s="13" t="s">
        <v>12</v>
      </c>
      <c r="C268" s="13" t="s">
        <v>50</v>
      </c>
      <c r="D268" s="5">
        <f>VLOOKUP(B268,Percentage_distribution_of_journey_distance_for_all_regions[#All],MATCH(A268,Percentage_distribution_of_journey_distance_for_all_regions[#Headers],0),0)/100</f>
        <v>0.28600000000000003</v>
      </c>
      <c r="E268" s="71">
        <f>IF(B268="&lt;2 kilometres",1,0)*VLOOKUP(C268, Percentage_dist_journeys_by_purpose_and_distance_to_2km[#All],MATCH(A268, Percentage_dist_journeys_by_purpose_and_distance_to_2km[#Headers],0),0)/100</f>
        <v>4.4000000000000004E-2</v>
      </c>
      <c r="F268" s="4">
        <f>IF(B268="2-4 kilometres",1,0)*VLOOKUP(C268, Percentage_dist_journeys_by_purpose_and_distance_2_to_4km[#All],MATCH(A268, Percentage_dist_journeys_by_purpose_and_distance_2_to_4km[#Headers],0),0)/100</f>
        <v>0</v>
      </c>
      <c r="G268" s="72">
        <f>IF(B268="4-6 kilometres",1,0)*VLOOKUP(C268, Percentage_dist_journeys_by_purpose_and_distance_4_to_6km[#All],MATCH(A268, Percentage_dist_journeys_by_purpose_and_distance_4_to_6km[#Headers],0),0)/100</f>
        <v>0</v>
      </c>
      <c r="H268" s="4">
        <f>IF(B268="6-8 kilometres",1,0)*VLOOKUP(C268, Percentage_dist_journeys_by_purpose_and_distance_6_to_8km[#All],MATCH(A268, Percentage_dist_journeys_by_purpose_and_distance_6_to_8km[#Headers],0),0)/100</f>
        <v>0</v>
      </c>
      <c r="I268" s="72">
        <f>IF(B268="8+ kilometres",1,0)*VLOOKUP(C268, Percentage_dist_journeys_by_purpose_and_distance_8km[#All],MATCH(A268, Percentage_dist_journeys_by_purpose_and_distance_8km[#Headers],0),0)/100</f>
        <v>0</v>
      </c>
      <c r="J268" s="73">
        <f>VLOOKUP(B268,Average_Distance_by_kilometres_grouping_for_trip_purpose[#All],MATCH(A268,Average_Distance_by_kilometres_grouping_for_trip_purpose[#Headers],0),0)</f>
        <v>1</v>
      </c>
      <c r="K268" s="77">
        <f>VLOOKUP(C268, Adjustment_factor_for_distance_based_on_trip_purpose[#All],MATCH(A268, Adjustment_factor_for_distance_based_on_trip_purpose[#Headers],0),0)</f>
        <v>0.77777777777777779</v>
      </c>
      <c r="L268" s="78">
        <f>VLOOKUP($L$2, Total_Journeys_Per_Year[#All],MATCH(A268, Total_Journeys_Per_Year[#Headers],0),0)</f>
        <v>5369880000</v>
      </c>
      <c r="M268" s="35">
        <f t="shared" si="4"/>
        <v>67574569.920000017</v>
      </c>
      <c r="N268" s="35">
        <f>VLOOKUP($N$2, Private_Vehicle_Kilometres_Car_Stock[#All],MATCH(A268, Private_Vehicle_Kilometres_Car_Stock[#Headers],0),0)</f>
        <v>36195324272</v>
      </c>
    </row>
    <row r="269" spans="1:14" x14ac:dyDescent="0.25">
      <c r="A269" s="79" t="s">
        <v>39</v>
      </c>
      <c r="B269" s="13" t="s">
        <v>181</v>
      </c>
      <c r="C269" s="13" t="s">
        <v>50</v>
      </c>
      <c r="D269" s="5">
        <f>VLOOKUP(B269,Percentage_distribution_of_journey_distance_for_all_regions[#All],MATCH(A269,Percentage_distribution_of_journey_distance_for_all_regions[#Headers],0),0)/100</f>
        <v>0.15</v>
      </c>
      <c r="E269" s="71">
        <f>IF(B269="&lt;2 kilometres",1,0)*VLOOKUP(C269, Percentage_dist_journeys_by_purpose_and_distance_to_2km[#All],MATCH(A269, Percentage_dist_journeys_by_purpose_and_distance_to_2km[#Headers],0),0)/100</f>
        <v>0</v>
      </c>
      <c r="F269" s="4">
        <f>IF(B269="2-4 kilometres",1,0)*VLOOKUP(C269, Percentage_dist_journeys_by_purpose_and_distance_2_to_4km[#All],MATCH(A269, Percentage_dist_journeys_by_purpose_and_distance_2_to_4km[#Headers],0),0)/100</f>
        <v>3.4000000000000002E-2</v>
      </c>
      <c r="G269" s="72">
        <f>IF(B269="4-6 kilometres",1,0)*VLOOKUP(C269, Percentage_dist_journeys_by_purpose_and_distance_4_to_6km[#All],MATCH(A269, Percentage_dist_journeys_by_purpose_and_distance_4_to_6km[#Headers],0),0)/100</f>
        <v>0</v>
      </c>
      <c r="H269" s="4">
        <f>IF(B269="6-8 kilometres",1,0)*VLOOKUP(C269, Percentage_dist_journeys_by_purpose_and_distance_6_to_8km[#All],MATCH(A269, Percentage_dist_journeys_by_purpose_and_distance_6_to_8km[#Headers],0),0)/100</f>
        <v>0</v>
      </c>
      <c r="I269" s="72">
        <f>IF(B269="8+ kilometres",1,0)*VLOOKUP(C269, Percentage_dist_journeys_by_purpose_and_distance_8km[#All],MATCH(A269, Percentage_dist_journeys_by_purpose_and_distance_8km[#Headers],0),0)/100</f>
        <v>0</v>
      </c>
      <c r="J269" s="73">
        <f>VLOOKUP(B269,Average_Distance_by_kilometres_grouping_for_trip_purpose[#All],MATCH(A269,Average_Distance_by_kilometres_grouping_for_trip_purpose[#Headers],0),0)</f>
        <v>3</v>
      </c>
      <c r="K269" s="77">
        <f>VLOOKUP(C269, Adjustment_factor_for_distance_based_on_trip_purpose[#All],MATCH(A269, Adjustment_factor_for_distance_based_on_trip_purpose[#Headers],0),0)</f>
        <v>0.77777777777777779</v>
      </c>
      <c r="L269" s="78">
        <f>VLOOKUP($L$2, Total_Journeys_Per_Year[#All],MATCH(A269, Total_Journeys_Per_Year[#Headers],0),0)</f>
        <v>5369880000</v>
      </c>
      <c r="M269" s="35">
        <f t="shared" si="4"/>
        <v>82159164</v>
      </c>
      <c r="N269" s="35">
        <f>VLOOKUP($N$2, Private_Vehicle_Kilometres_Car_Stock[#All],MATCH(A269, Private_Vehicle_Kilometres_Car_Stock[#Headers],0),0)</f>
        <v>36195324272</v>
      </c>
    </row>
    <row r="270" spans="1:14" x14ac:dyDescent="0.25">
      <c r="A270" s="79" t="s">
        <v>39</v>
      </c>
      <c r="B270" s="13" t="s">
        <v>180</v>
      </c>
      <c r="C270" s="13" t="s">
        <v>50</v>
      </c>
      <c r="D270" s="5">
        <f>VLOOKUP(B270,Percentage_distribution_of_journey_distance_for_all_regions[#All],MATCH(A270,Percentage_distribution_of_journey_distance_for_all_regions[#Headers],0),0)/100</f>
        <v>0.125</v>
      </c>
      <c r="E270" s="71">
        <f>IF(B270="&lt;2 kilometres",1,0)*VLOOKUP(C270, Percentage_dist_journeys_by_purpose_and_distance_to_2km[#All],MATCH(A270, Percentage_dist_journeys_by_purpose_and_distance_to_2km[#Headers],0),0)/100</f>
        <v>0</v>
      </c>
      <c r="F270" s="4">
        <f>IF(B270="2-4 kilometres",1,0)*VLOOKUP(C270, Percentage_dist_journeys_by_purpose_and_distance_2_to_4km[#All],MATCH(A270, Percentage_dist_journeys_by_purpose_and_distance_2_to_4km[#Headers],0),0)/100</f>
        <v>0</v>
      </c>
      <c r="G270" s="72">
        <f>IF(B270="4-6 kilometres",1,0)*VLOOKUP(C270, Percentage_dist_journeys_by_purpose_and_distance_4_to_6km[#All],MATCH(A270, Percentage_dist_journeys_by_purpose_and_distance_4_to_6km[#Headers],0),0)/100</f>
        <v>3.2000000000000001E-2</v>
      </c>
      <c r="H270" s="4">
        <f>IF(B270="6-8 kilometres",1,0)*VLOOKUP(C270, Percentage_dist_journeys_by_purpose_and_distance_6_to_8km[#All],MATCH(A270, Percentage_dist_journeys_by_purpose_and_distance_6_to_8km[#Headers],0),0)/100</f>
        <v>0</v>
      </c>
      <c r="I270" s="72">
        <f>IF(B270="8+ kilometres",1,0)*VLOOKUP(C270, Percentage_dist_journeys_by_purpose_and_distance_8km[#All],MATCH(A270, Percentage_dist_journeys_by_purpose_and_distance_8km[#Headers],0),0)/100</f>
        <v>0</v>
      </c>
      <c r="J270" s="73">
        <f>VLOOKUP(B270,Average_Distance_by_kilometres_grouping_for_trip_purpose[#All],MATCH(A270,Average_Distance_by_kilometres_grouping_for_trip_purpose[#Headers],0),0)</f>
        <v>5</v>
      </c>
      <c r="K270" s="77">
        <f>VLOOKUP(C270, Adjustment_factor_for_distance_based_on_trip_purpose[#All],MATCH(A270, Adjustment_factor_for_distance_based_on_trip_purpose[#Headers],0),0)</f>
        <v>0.77777777777777779</v>
      </c>
      <c r="L270" s="78">
        <f>VLOOKUP($L$2, Total_Journeys_Per_Year[#All],MATCH(A270, Total_Journeys_Per_Year[#Headers],0),0)</f>
        <v>5369880000</v>
      </c>
      <c r="M270" s="35">
        <f t="shared" si="4"/>
        <v>107397600</v>
      </c>
      <c r="N270" s="35">
        <f>VLOOKUP($N$2, Private_Vehicle_Kilometres_Car_Stock[#All],MATCH(A270, Private_Vehicle_Kilometres_Car_Stock[#Headers],0),0)</f>
        <v>36195324272</v>
      </c>
    </row>
    <row r="271" spans="1:14" x14ac:dyDescent="0.25">
      <c r="A271" s="79" t="s">
        <v>39</v>
      </c>
      <c r="B271" s="13" t="s">
        <v>182</v>
      </c>
      <c r="C271" s="13" t="s">
        <v>50</v>
      </c>
      <c r="D271" s="5">
        <f>VLOOKUP(B271,Percentage_distribution_of_journey_distance_for_all_regions[#All],MATCH(A271,Percentage_distribution_of_journey_distance_for_all_regions[#Headers],0),0)/100</f>
        <v>7.0000000000000007E-2</v>
      </c>
      <c r="E271" s="71">
        <f>IF(B271="&lt;2 kilometres",1,0)*VLOOKUP(C271, Percentage_dist_journeys_by_purpose_and_distance_to_2km[#All],MATCH(A271, Percentage_dist_journeys_by_purpose_and_distance_to_2km[#Headers],0),0)/100</f>
        <v>0</v>
      </c>
      <c r="F271" s="4">
        <f>IF(B271="2-4 kilometres",1,0)*VLOOKUP(C271, Percentage_dist_journeys_by_purpose_and_distance_2_to_4km[#All],MATCH(A271, Percentage_dist_journeys_by_purpose_and_distance_2_to_4km[#Headers],0),0)/100</f>
        <v>0</v>
      </c>
      <c r="G271" s="72">
        <f>IF(B271="4-6 kilometres",1,0)*VLOOKUP(C271, Percentage_dist_journeys_by_purpose_and_distance_4_to_6km[#All],MATCH(A271, Percentage_dist_journeys_by_purpose_and_distance_4_to_6km[#Headers],0),0)/100</f>
        <v>0</v>
      </c>
      <c r="H271" s="4">
        <f>IF(B271="6-8 kilometres",1,0)*VLOOKUP(C271, Percentage_dist_journeys_by_purpose_and_distance_6_to_8km[#All],MATCH(A271, Percentage_dist_journeys_by_purpose_and_distance_6_to_8km[#Headers],0),0)/100</f>
        <v>3.1E-2</v>
      </c>
      <c r="I271" s="72">
        <f>IF(B271="8+ kilometres",1,0)*VLOOKUP(C271, Percentage_dist_journeys_by_purpose_and_distance_8km[#All],MATCH(A271, Percentage_dist_journeys_by_purpose_and_distance_8km[#Headers],0),0)/100</f>
        <v>0</v>
      </c>
      <c r="J271" s="73">
        <f>VLOOKUP(B271,Average_Distance_by_kilometres_grouping_for_trip_purpose[#All],MATCH(A271,Average_Distance_by_kilometres_grouping_for_trip_purpose[#Headers],0),0)</f>
        <v>7</v>
      </c>
      <c r="K271" s="77">
        <f>VLOOKUP(C271, Adjustment_factor_for_distance_based_on_trip_purpose[#All],MATCH(A271, Adjustment_factor_for_distance_based_on_trip_purpose[#Headers],0),0)</f>
        <v>0.77777777777777779</v>
      </c>
      <c r="L271" s="78">
        <f>VLOOKUP($L$2, Total_Journeys_Per_Year[#All],MATCH(A271, Total_Journeys_Per_Year[#Headers],0),0)</f>
        <v>5369880000</v>
      </c>
      <c r="M271" s="35">
        <f t="shared" si="4"/>
        <v>81568477.200000003</v>
      </c>
      <c r="N271" s="35">
        <f>VLOOKUP($N$2, Private_Vehicle_Kilometres_Car_Stock[#All],MATCH(A271, Private_Vehicle_Kilometres_Car_Stock[#Headers],0),0)</f>
        <v>36195324272</v>
      </c>
    </row>
    <row r="272" spans="1:14" x14ac:dyDescent="0.25">
      <c r="A272" s="79" t="s">
        <v>39</v>
      </c>
      <c r="B272" s="13" t="s">
        <v>1</v>
      </c>
      <c r="C272" s="13" t="s">
        <v>50</v>
      </c>
      <c r="D272" s="5">
        <f>VLOOKUP(B272,Percentage_distribution_of_journey_distance_for_all_regions[#All],MATCH(A272,Percentage_distribution_of_journey_distance_for_all_regions[#Headers],0),0)/100</f>
        <v>0.36799999999999999</v>
      </c>
      <c r="E272" s="71">
        <f>IF(B272="&lt;2 kilometres",1,0)*VLOOKUP(C272, Percentage_dist_journeys_by_purpose_and_distance_to_2km[#All],MATCH(A272, Percentage_dist_journeys_by_purpose_and_distance_to_2km[#Headers],0),0)/100</f>
        <v>0</v>
      </c>
      <c r="F272" s="4">
        <f>IF(B272="2-4 kilometres",1,0)*VLOOKUP(C272, Percentage_dist_journeys_by_purpose_and_distance_2_to_4km[#All],MATCH(A272, Percentage_dist_journeys_by_purpose_and_distance_2_to_4km[#Headers],0),0)/100</f>
        <v>0</v>
      </c>
      <c r="G272" s="72">
        <f>IF(B272="4-6 kilometres",1,0)*VLOOKUP(C272, Percentage_dist_journeys_by_purpose_and_distance_4_to_6km[#All],MATCH(A272, Percentage_dist_journeys_by_purpose_and_distance_4_to_6km[#Headers],0),0)/100</f>
        <v>0</v>
      </c>
      <c r="H272" s="4">
        <f>IF(B272="6-8 kilometres",1,0)*VLOOKUP(C272, Percentage_dist_journeys_by_purpose_and_distance_6_to_8km[#All],MATCH(A272, Percentage_dist_journeys_by_purpose_and_distance_6_to_8km[#Headers],0),0)/100</f>
        <v>0</v>
      </c>
      <c r="I272" s="72">
        <f>IF(B272="8+ kilometres",1,0)*VLOOKUP(C272, Percentage_dist_journeys_by_purpose_and_distance_8km[#All],MATCH(A272, Percentage_dist_journeys_by_purpose_and_distance_8km[#Headers],0),0)/100</f>
        <v>3.7000000000000005E-2</v>
      </c>
      <c r="J272" s="73">
        <f>VLOOKUP(B272,Average_Distance_by_kilometres_grouping_for_trip_purpose[#All],MATCH(A272,Average_Distance_by_kilometres_grouping_for_trip_purpose[#Headers],0),0)</f>
        <v>28.2</v>
      </c>
      <c r="K272" s="77">
        <f>VLOOKUP(C272, Adjustment_factor_for_distance_based_on_trip_purpose[#All],MATCH(A272, Adjustment_factor_for_distance_based_on_trip_purpose[#Headers],0),0)</f>
        <v>0.77777777777777779</v>
      </c>
      <c r="L272" s="78">
        <f>VLOOKUP($L$2, Total_Journeys_Per_Year[#All],MATCH(A272, Total_Journeys_Per_Year[#Headers],0),0)</f>
        <v>5369880000</v>
      </c>
      <c r="M272" s="35">
        <f t="shared" si="4"/>
        <v>2061879267.4560001</v>
      </c>
      <c r="N272" s="35">
        <f>VLOOKUP($N$2, Private_Vehicle_Kilometres_Car_Stock[#All],MATCH(A272, Private_Vehicle_Kilometres_Car_Stock[#Headers],0),0)</f>
        <v>36195324272</v>
      </c>
    </row>
  </sheetData>
  <mergeCells count="1">
    <mergeCell ref="A1:N1"/>
  </mergeCells>
  <phoneticPr fontId="2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DC41-6CB4-4CA7-B2E4-EBFB15DAFEF2}">
  <dimension ref="A1:Q2402"/>
  <sheetViews>
    <sheetView topLeftCell="A205" zoomScale="80" zoomScaleNormal="80" workbookViewId="0">
      <selection activeCell="J2" sqref="J2"/>
    </sheetView>
  </sheetViews>
  <sheetFormatPr defaultRowHeight="15" x14ac:dyDescent="0.25"/>
  <cols>
    <col min="1" max="1" width="9.140625" style="89"/>
    <col min="2" max="2" width="22.5703125" bestFit="1" customWidth="1"/>
    <col min="3" max="3" width="13.85546875" bestFit="1" customWidth="1"/>
    <col min="4" max="4" width="13.7109375" bestFit="1" customWidth="1"/>
    <col min="5" max="5" width="56.28515625" bestFit="1" customWidth="1"/>
    <col min="6" max="6" width="42.28515625" customWidth="1"/>
    <col min="7" max="7" width="46.85546875" bestFit="1" customWidth="1"/>
    <col min="8" max="8" width="36.85546875" bestFit="1" customWidth="1"/>
    <col min="9" max="9" width="42.85546875" bestFit="1" customWidth="1"/>
    <col min="10" max="11" width="42.85546875" style="89" customWidth="1"/>
    <col min="12" max="12" width="18" bestFit="1" customWidth="1"/>
    <col min="13" max="13" width="66" bestFit="1" customWidth="1"/>
    <col min="14" max="14" width="65.42578125" bestFit="1" customWidth="1"/>
  </cols>
  <sheetData>
    <row r="1" spans="1:17" s="89" customFormat="1" ht="15.75" thickBot="1" x14ac:dyDescent="0.3">
      <c r="A1" s="200" t="s">
        <v>236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105"/>
      <c r="O1" s="105"/>
      <c r="P1" s="105"/>
      <c r="Q1" s="105"/>
    </row>
    <row r="2" spans="1:17" s="89" customFormat="1" ht="15.75" thickBot="1" x14ac:dyDescent="0.3">
      <c r="A2" s="98" t="s">
        <v>63</v>
      </c>
      <c r="B2" s="98" t="s">
        <v>179</v>
      </c>
      <c r="C2" s="99" t="s">
        <v>55</v>
      </c>
      <c r="D2" s="99" t="s">
        <v>242</v>
      </c>
      <c r="E2" s="99" t="s">
        <v>237</v>
      </c>
      <c r="F2" s="99" t="s">
        <v>347</v>
      </c>
      <c r="G2" s="99" t="s">
        <v>238</v>
      </c>
      <c r="H2" s="99" t="s">
        <v>239</v>
      </c>
      <c r="I2" s="99" t="s">
        <v>240</v>
      </c>
      <c r="J2" s="99" t="s">
        <v>244</v>
      </c>
      <c r="K2" s="99" t="s">
        <v>245</v>
      </c>
      <c r="L2" s="99" t="s">
        <v>241</v>
      </c>
      <c r="M2" s="97" t="s">
        <v>249</v>
      </c>
      <c r="N2" s="167" t="s">
        <v>448</v>
      </c>
    </row>
    <row r="3" spans="1:17" x14ac:dyDescent="0.25">
      <c r="A3" s="79" t="s">
        <v>128</v>
      </c>
      <c r="B3" s="89" t="s">
        <v>5</v>
      </c>
      <c r="C3" s="89" t="s">
        <v>42</v>
      </c>
      <c r="D3" s="13" t="s">
        <v>12</v>
      </c>
      <c r="E3" s="35">
        <f>VLOOKUP(B3, Passenger_Kilometre_by_mode_type[#All],MATCH(A3, Passenger_Kilometre_by_mode_type[#Headers],0),0)</f>
        <v>41186265414.625694</v>
      </c>
      <c r="F3" s="89">
        <f>VLOOKUP(C3, Reason_for_car_journeys_by_percentage[#All],MATCH(A3, Reason_for_car_journeys_by_percentage[#Headers],0),0)/100</f>
        <v>0.24349999999999997</v>
      </c>
      <c r="G3" s="13">
        <f>E3*F3</f>
        <v>10028855628.461355</v>
      </c>
      <c r="H3" s="89">
        <f>VLOOKUP(D3,Average_Distance_by_kilometre_grouping_for_mode_type[#All],MATCH(A3,Average_Distance_by_kilometre_grouping_for_mode_type[#Headers],0),0)</f>
        <v>1</v>
      </c>
      <c r="I3" s="89">
        <f>VLOOKUP(D3,Average_Distance_by_kilometres_grouping_for_trip_purpose[#All],MATCH(A3,Average_Distance_by_kilometres_grouping_for_trip_purpose[#Headers],0),0)</f>
        <v>1</v>
      </c>
      <c r="J3" s="89">
        <f>AVERAGE(H3:I3)</f>
        <v>1</v>
      </c>
      <c r="K3" s="89">
        <f>J3/SUM(J3:J7)</f>
        <v>2.1081479919890376E-2</v>
      </c>
      <c r="L3">
        <v>1</v>
      </c>
      <c r="M3" s="13">
        <f>G3*K3*L3</f>
        <v>211423118.55088764</v>
      </c>
      <c r="N3">
        <f>M3/SUM($M$3:$M$362)</f>
        <v>3.4643160985458605E-3</v>
      </c>
    </row>
    <row r="4" spans="1:17" x14ac:dyDescent="0.25">
      <c r="A4" s="79" t="s">
        <v>128</v>
      </c>
      <c r="B4" s="89" t="s">
        <v>5</v>
      </c>
      <c r="C4" s="89" t="s">
        <v>42</v>
      </c>
      <c r="D4" s="13" t="s">
        <v>181</v>
      </c>
      <c r="E4" s="35">
        <f>VLOOKUP(B4, Passenger_Kilometre_by_mode_type[#All],MATCH(A4, Passenger_Kilometre_by_mode_type[#Headers],0),0)</f>
        <v>41186265414.625694</v>
      </c>
      <c r="F4" s="89">
        <f>VLOOKUP(C4, Reason_for_car_journeys_by_percentage[#All],MATCH(A4, Reason_for_car_journeys_by_percentage[#Headers],0),0)/100</f>
        <v>0.24349999999999997</v>
      </c>
      <c r="G4" s="13">
        <f t="shared" ref="G4:G67" si="0">E4*F4</f>
        <v>10028855628.461355</v>
      </c>
      <c r="H4" s="89">
        <f>VLOOKUP(D4,Average_Distance_by_kilometre_grouping_for_mode_type[#All],MATCH(A4,Average_Distance_by_kilometre_grouping_for_mode_type[#Headers],0),0)</f>
        <v>3</v>
      </c>
      <c r="I4" s="89">
        <f>VLOOKUP(D4,Average_Distance_by_kilometres_grouping_for_trip_purpose[#All],MATCH(A4,Average_Distance_by_kilometres_grouping_for_trip_purpose[#Headers],0),0)</f>
        <v>3</v>
      </c>
      <c r="J4" s="89">
        <f t="shared" ref="J4:J67" si="1">AVERAGE(H4:I4)</f>
        <v>3</v>
      </c>
      <c r="K4" s="89">
        <f t="shared" ref="K4:K67" si="2">J4/SUM(J4:J8)</f>
        <v>6.3244439759671131E-2</v>
      </c>
      <c r="L4" s="89">
        <v>1</v>
      </c>
      <c r="M4" s="13">
        <f t="shared" ref="M4:M67" si="3">G4*K4*L4</f>
        <v>634269355.65266299</v>
      </c>
      <c r="N4" s="89">
        <f t="shared" ref="N4:N67" si="4">M4/SUM($M$3:$M$362)</f>
        <v>1.0392948295637583E-2</v>
      </c>
    </row>
    <row r="5" spans="1:17" x14ac:dyDescent="0.25">
      <c r="A5" s="79" t="s">
        <v>128</v>
      </c>
      <c r="B5" s="89" t="s">
        <v>5</v>
      </c>
      <c r="C5" s="89" t="s">
        <v>42</v>
      </c>
      <c r="D5" s="13" t="s">
        <v>180</v>
      </c>
      <c r="E5" s="35">
        <f>VLOOKUP(B5, Passenger_Kilometre_by_mode_type[#All],MATCH(A5, Passenger_Kilometre_by_mode_type[#Headers],0),0)</f>
        <v>41186265414.625694</v>
      </c>
      <c r="F5" s="89">
        <f>VLOOKUP(C5, Reason_for_car_journeys_by_percentage[#All],MATCH(A5, Reason_for_car_journeys_by_percentage[#Headers],0),0)/100</f>
        <v>0.24349999999999997</v>
      </c>
      <c r="G5" s="13">
        <f t="shared" si="0"/>
        <v>10028855628.461355</v>
      </c>
      <c r="H5" s="89">
        <f>VLOOKUP(D5,Average_Distance_by_kilometre_grouping_for_mode_type[#All],MATCH(A5,Average_Distance_by_kilometre_grouping_for_mode_type[#Headers],0),0)</f>
        <v>5</v>
      </c>
      <c r="I5" s="89">
        <f>VLOOKUP(D5,Average_Distance_by_kilometres_grouping_for_trip_purpose[#All],MATCH(A5,Average_Distance_by_kilometres_grouping_for_trip_purpose[#Headers],0),0)</f>
        <v>5</v>
      </c>
      <c r="J5" s="89">
        <f t="shared" si="1"/>
        <v>5</v>
      </c>
      <c r="K5" s="89">
        <f t="shared" si="2"/>
        <v>0.10540739959945188</v>
      </c>
      <c r="L5" s="89">
        <v>1</v>
      </c>
      <c r="M5" s="13">
        <f t="shared" si="3"/>
        <v>1057115592.7544382</v>
      </c>
      <c r="N5" s="89">
        <f t="shared" si="4"/>
        <v>1.7321580492729301E-2</v>
      </c>
    </row>
    <row r="6" spans="1:17" x14ac:dyDescent="0.25">
      <c r="A6" s="79" t="s">
        <v>128</v>
      </c>
      <c r="B6" s="89" t="s">
        <v>5</v>
      </c>
      <c r="C6" s="89" t="s">
        <v>42</v>
      </c>
      <c r="D6" s="13" t="s">
        <v>182</v>
      </c>
      <c r="E6" s="35">
        <f>VLOOKUP(B6, Passenger_Kilometre_by_mode_type[#All],MATCH(A6, Passenger_Kilometre_by_mode_type[#Headers],0),0)</f>
        <v>41186265414.625694</v>
      </c>
      <c r="F6" s="89">
        <f>VLOOKUP(C6, Reason_for_car_journeys_by_percentage[#All],MATCH(A6, Reason_for_car_journeys_by_percentage[#Headers],0),0)/100</f>
        <v>0.24349999999999997</v>
      </c>
      <c r="G6" s="13">
        <f t="shared" si="0"/>
        <v>10028855628.461355</v>
      </c>
      <c r="H6" s="89">
        <f>VLOOKUP(D6,Average_Distance_by_kilometre_grouping_for_mode_type[#All],MATCH(A6,Average_Distance_by_kilometre_grouping_for_mode_type[#Headers],0),0)</f>
        <v>7</v>
      </c>
      <c r="I6" s="89">
        <f>VLOOKUP(D6,Average_Distance_by_kilometres_grouping_for_trip_purpose[#All],MATCH(A6,Average_Distance_by_kilometres_grouping_for_trip_purpose[#Headers],0),0)</f>
        <v>7</v>
      </c>
      <c r="J6" s="89">
        <f t="shared" si="1"/>
        <v>7</v>
      </c>
      <c r="K6" s="89">
        <f t="shared" si="2"/>
        <v>0.14757035943923263</v>
      </c>
      <c r="L6" s="89">
        <v>1</v>
      </c>
      <c r="M6" s="13">
        <f t="shared" si="3"/>
        <v>1479961829.8562136</v>
      </c>
      <c r="N6" s="89">
        <f t="shared" si="4"/>
        <v>2.4250212689821023E-2</v>
      </c>
    </row>
    <row r="7" spans="1:17" x14ac:dyDescent="0.25">
      <c r="A7" s="79" t="s">
        <v>128</v>
      </c>
      <c r="B7" s="89" t="s">
        <v>5</v>
      </c>
      <c r="C7" s="89" t="s">
        <v>42</v>
      </c>
      <c r="D7" s="13" t="s">
        <v>1</v>
      </c>
      <c r="E7" s="35">
        <f>VLOOKUP(B7, Passenger_Kilometre_by_mode_type[#All],MATCH(A7, Passenger_Kilometre_by_mode_type[#Headers],0),0)</f>
        <v>41186265414.625694</v>
      </c>
      <c r="F7" s="89">
        <f>VLOOKUP(C7, Reason_for_car_journeys_by_percentage[#All],MATCH(A7, Reason_for_car_journeys_by_percentage[#Headers],0),0)/100</f>
        <v>0.24349999999999997</v>
      </c>
      <c r="G7" s="13">
        <f t="shared" si="0"/>
        <v>10028855628.461355</v>
      </c>
      <c r="H7" s="89">
        <f>VLOOKUP(D7,Average_Distance_by_kilometre_grouping_for_mode_type[#All],MATCH(A7,Average_Distance_by_kilometre_grouping_for_mode_type[#Headers],0),0)</f>
        <v>30.1</v>
      </c>
      <c r="I7" s="89">
        <f>VLOOKUP(D7,Average_Distance_by_kilometres_grouping_for_trip_purpose[#All],MATCH(A7,Average_Distance_by_kilometres_grouping_for_trip_purpose[#Headers],0),0)</f>
        <v>32.770000000000003</v>
      </c>
      <c r="J7" s="89">
        <f t="shared" si="1"/>
        <v>31.435000000000002</v>
      </c>
      <c r="K7" s="89">
        <f t="shared" si="2"/>
        <v>0.66269632128175404</v>
      </c>
      <c r="L7" s="89">
        <v>1</v>
      </c>
      <c r="M7" s="13">
        <f t="shared" si="3"/>
        <v>6646085731.6471539</v>
      </c>
      <c r="N7" s="89">
        <f t="shared" si="4"/>
        <v>0.10890077655778914</v>
      </c>
    </row>
    <row r="8" spans="1:17" x14ac:dyDescent="0.25">
      <c r="A8" s="79" t="s">
        <v>128</v>
      </c>
      <c r="B8" s="89" t="s">
        <v>5</v>
      </c>
      <c r="C8" s="89" t="s">
        <v>43</v>
      </c>
      <c r="D8" s="13" t="s">
        <v>12</v>
      </c>
      <c r="E8" s="35">
        <f>VLOOKUP(B8, Passenger_Kilometre_by_mode_type[#All],MATCH(A8, Passenger_Kilometre_by_mode_type[#Headers],0),0)</f>
        <v>41186265414.625694</v>
      </c>
      <c r="F8" s="89">
        <f>VLOOKUP(C8, Reason_for_car_journeys_by_percentage[#All],MATCH(A8, Reason_for_car_journeys_by_percentage[#Headers],0),0)/100</f>
        <v>3.5499999999999997E-2</v>
      </c>
      <c r="G8" s="13">
        <f t="shared" si="0"/>
        <v>1462112422.2192121</v>
      </c>
      <c r="H8" s="89">
        <f>VLOOKUP(D8,Average_Distance_by_kilometre_grouping_for_mode_type[#All],MATCH(A8,Average_Distance_by_kilometre_grouping_for_mode_type[#Headers],0),0)</f>
        <v>1</v>
      </c>
      <c r="I8" s="89">
        <f>VLOOKUP(D8,Average_Distance_by_kilometres_grouping_for_trip_purpose[#All],MATCH(A8,Average_Distance_by_kilometres_grouping_for_trip_purpose[#Headers],0),0)</f>
        <v>1</v>
      </c>
      <c r="J8" s="89">
        <f t="shared" si="1"/>
        <v>1</v>
      </c>
      <c r="K8" s="89">
        <f t="shared" si="2"/>
        <v>2.1081479919890376E-2</v>
      </c>
      <c r="L8" s="89">
        <v>1</v>
      </c>
      <c r="M8" s="13">
        <f t="shared" si="3"/>
        <v>30823493.6696366</v>
      </c>
      <c r="N8" s="89">
        <f t="shared" si="4"/>
        <v>5.0506456467506392E-4</v>
      </c>
    </row>
    <row r="9" spans="1:17" x14ac:dyDescent="0.25">
      <c r="A9" s="79" t="s">
        <v>128</v>
      </c>
      <c r="B9" s="89" t="s">
        <v>5</v>
      </c>
      <c r="C9" s="89" t="s">
        <v>43</v>
      </c>
      <c r="D9" s="13" t="s">
        <v>181</v>
      </c>
      <c r="E9" s="35">
        <f>VLOOKUP(B9, Passenger_Kilometre_by_mode_type[#All],MATCH(A9, Passenger_Kilometre_by_mode_type[#Headers],0),0)</f>
        <v>41186265414.625694</v>
      </c>
      <c r="F9" s="89">
        <f>VLOOKUP(C9, Reason_for_car_journeys_by_percentage[#All],MATCH(A9, Reason_for_car_journeys_by_percentage[#Headers],0),0)/100</f>
        <v>3.5499999999999997E-2</v>
      </c>
      <c r="G9" s="13">
        <f t="shared" si="0"/>
        <v>1462112422.2192121</v>
      </c>
      <c r="H9" s="89">
        <f>VLOOKUP(D9,Average_Distance_by_kilometre_grouping_for_mode_type[#All],MATCH(A9,Average_Distance_by_kilometre_grouping_for_mode_type[#Headers],0),0)</f>
        <v>3</v>
      </c>
      <c r="I9" s="89">
        <f>VLOOKUP(D9,Average_Distance_by_kilometres_grouping_for_trip_purpose[#All],MATCH(A9,Average_Distance_by_kilometres_grouping_for_trip_purpose[#Headers],0),0)</f>
        <v>3</v>
      </c>
      <c r="J9" s="89">
        <f t="shared" si="1"/>
        <v>3</v>
      </c>
      <c r="K9" s="89">
        <f t="shared" si="2"/>
        <v>6.3244439759671131E-2</v>
      </c>
      <c r="L9" s="89">
        <v>1</v>
      </c>
      <c r="M9" s="13">
        <f t="shared" si="3"/>
        <v>92470481.008909792</v>
      </c>
      <c r="N9" s="89">
        <f t="shared" si="4"/>
        <v>1.5151936940251914E-3</v>
      </c>
    </row>
    <row r="10" spans="1:17" x14ac:dyDescent="0.25">
      <c r="A10" s="79" t="s">
        <v>128</v>
      </c>
      <c r="B10" s="89" t="s">
        <v>5</v>
      </c>
      <c r="C10" s="89" t="s">
        <v>43</v>
      </c>
      <c r="D10" s="13" t="s">
        <v>180</v>
      </c>
      <c r="E10" s="35">
        <f>VLOOKUP(B10, Passenger_Kilometre_by_mode_type[#All],MATCH(A10, Passenger_Kilometre_by_mode_type[#Headers],0),0)</f>
        <v>41186265414.625694</v>
      </c>
      <c r="F10" s="89">
        <f>VLOOKUP(C10, Reason_for_car_journeys_by_percentage[#All],MATCH(A10, Reason_for_car_journeys_by_percentage[#Headers],0),0)/100</f>
        <v>3.5499999999999997E-2</v>
      </c>
      <c r="G10" s="13">
        <f t="shared" si="0"/>
        <v>1462112422.2192121</v>
      </c>
      <c r="H10" s="89">
        <f>VLOOKUP(D10,Average_Distance_by_kilometre_grouping_for_mode_type[#All],MATCH(A10,Average_Distance_by_kilometre_grouping_for_mode_type[#Headers],0),0)</f>
        <v>5</v>
      </c>
      <c r="I10" s="89">
        <f>VLOOKUP(D10,Average_Distance_by_kilometres_grouping_for_trip_purpose[#All],MATCH(A10,Average_Distance_by_kilometres_grouping_for_trip_purpose[#Headers],0),0)</f>
        <v>5</v>
      </c>
      <c r="J10" s="89">
        <f t="shared" si="1"/>
        <v>5</v>
      </c>
      <c r="K10" s="89">
        <f t="shared" si="2"/>
        <v>0.10540739959945188</v>
      </c>
      <c r="L10" s="89">
        <v>1</v>
      </c>
      <c r="M10" s="13">
        <f t="shared" si="3"/>
        <v>154117468.34818298</v>
      </c>
      <c r="N10" s="89">
        <f t="shared" si="4"/>
        <v>2.5253228233753193E-3</v>
      </c>
    </row>
    <row r="11" spans="1:17" x14ac:dyDescent="0.25">
      <c r="A11" s="79" t="s">
        <v>128</v>
      </c>
      <c r="B11" s="89" t="s">
        <v>5</v>
      </c>
      <c r="C11" s="89" t="s">
        <v>43</v>
      </c>
      <c r="D11" s="13" t="s">
        <v>182</v>
      </c>
      <c r="E11" s="35">
        <f>VLOOKUP(B11, Passenger_Kilometre_by_mode_type[#All],MATCH(A11, Passenger_Kilometre_by_mode_type[#Headers],0),0)</f>
        <v>41186265414.625694</v>
      </c>
      <c r="F11" s="89">
        <f>VLOOKUP(C11, Reason_for_car_journeys_by_percentage[#All],MATCH(A11, Reason_for_car_journeys_by_percentage[#Headers],0),0)/100</f>
        <v>3.5499999999999997E-2</v>
      </c>
      <c r="G11" s="13">
        <f t="shared" si="0"/>
        <v>1462112422.2192121</v>
      </c>
      <c r="H11" s="89">
        <f>VLOOKUP(D11,Average_Distance_by_kilometre_grouping_for_mode_type[#All],MATCH(A11,Average_Distance_by_kilometre_grouping_for_mode_type[#Headers],0),0)</f>
        <v>7</v>
      </c>
      <c r="I11" s="89">
        <f>VLOOKUP(D11,Average_Distance_by_kilometres_grouping_for_trip_purpose[#All],MATCH(A11,Average_Distance_by_kilometres_grouping_for_trip_purpose[#Headers],0),0)</f>
        <v>7</v>
      </c>
      <c r="J11" s="89">
        <f t="shared" si="1"/>
        <v>7</v>
      </c>
      <c r="K11" s="89">
        <f t="shared" si="2"/>
        <v>0.14757035943923263</v>
      </c>
      <c r="L11" s="89">
        <v>1</v>
      </c>
      <c r="M11" s="13">
        <f t="shared" si="3"/>
        <v>215764455.68745619</v>
      </c>
      <c r="N11" s="89">
        <f t="shared" si="4"/>
        <v>3.5354519527254469E-3</v>
      </c>
    </row>
    <row r="12" spans="1:17" x14ac:dyDescent="0.25">
      <c r="A12" s="79" t="s">
        <v>128</v>
      </c>
      <c r="B12" s="89" t="s">
        <v>5</v>
      </c>
      <c r="C12" s="89" t="s">
        <v>43</v>
      </c>
      <c r="D12" s="13" t="s">
        <v>1</v>
      </c>
      <c r="E12" s="35">
        <f>VLOOKUP(B12, Passenger_Kilometre_by_mode_type[#All],MATCH(A12, Passenger_Kilometre_by_mode_type[#Headers],0),0)</f>
        <v>41186265414.625694</v>
      </c>
      <c r="F12" s="89">
        <f>VLOOKUP(C12, Reason_for_car_journeys_by_percentage[#All],MATCH(A12, Reason_for_car_journeys_by_percentage[#Headers],0),0)/100</f>
        <v>3.5499999999999997E-2</v>
      </c>
      <c r="G12" s="13">
        <f t="shared" si="0"/>
        <v>1462112422.2192121</v>
      </c>
      <c r="H12" s="89">
        <f>VLOOKUP(D12,Average_Distance_by_kilometre_grouping_for_mode_type[#All],MATCH(A12,Average_Distance_by_kilometre_grouping_for_mode_type[#Headers],0),0)</f>
        <v>30.1</v>
      </c>
      <c r="I12" s="89">
        <f>VLOOKUP(D12,Average_Distance_by_kilometres_grouping_for_trip_purpose[#All],MATCH(A12,Average_Distance_by_kilometres_grouping_for_trip_purpose[#Headers],0),0)</f>
        <v>32.770000000000003</v>
      </c>
      <c r="J12" s="89">
        <f t="shared" si="1"/>
        <v>31.435000000000002</v>
      </c>
      <c r="K12" s="89">
        <f t="shared" si="2"/>
        <v>0.66269632128175404</v>
      </c>
      <c r="L12" s="89">
        <v>1</v>
      </c>
      <c r="M12" s="13">
        <f t="shared" si="3"/>
        <v>968936523.50502658</v>
      </c>
      <c r="N12" s="89">
        <f t="shared" si="4"/>
        <v>1.5876704590560634E-2</v>
      </c>
    </row>
    <row r="13" spans="1:17" x14ac:dyDescent="0.25">
      <c r="A13" s="79" t="s">
        <v>128</v>
      </c>
      <c r="B13" s="89" t="s">
        <v>5</v>
      </c>
      <c r="C13" s="89" t="s">
        <v>44</v>
      </c>
      <c r="D13" s="13" t="s">
        <v>12</v>
      </c>
      <c r="E13" s="35">
        <f>VLOOKUP(B13, Passenger_Kilometre_by_mode_type[#All],MATCH(A13, Passenger_Kilometre_by_mode_type[#Headers],0),0)</f>
        <v>41186265414.625694</v>
      </c>
      <c r="F13" s="89">
        <f>VLOOKUP(C13, Reason_for_car_journeys_by_percentage[#All],MATCH(A13, Reason_for_car_journeys_by_percentage[#Headers],0),0)/100</f>
        <v>0.23275000000000001</v>
      </c>
      <c r="G13" s="13">
        <f t="shared" si="0"/>
        <v>9586103275.2541313</v>
      </c>
      <c r="H13" s="89">
        <f>VLOOKUP(D13,Average_Distance_by_kilometre_grouping_for_mode_type[#All],MATCH(A13,Average_Distance_by_kilometre_grouping_for_mode_type[#Headers],0),0)</f>
        <v>1</v>
      </c>
      <c r="I13" s="89">
        <f>VLOOKUP(D13,Average_Distance_by_kilometres_grouping_for_trip_purpose[#All],MATCH(A13,Average_Distance_by_kilometres_grouping_for_trip_purpose[#Headers],0),0)</f>
        <v>1</v>
      </c>
      <c r="J13" s="89">
        <f t="shared" si="1"/>
        <v>1</v>
      </c>
      <c r="K13" s="89">
        <f t="shared" si="2"/>
        <v>2.1081479919890376E-2</v>
      </c>
      <c r="L13" s="89">
        <v>1</v>
      </c>
      <c r="M13" s="13">
        <f t="shared" si="3"/>
        <v>202089243.70726535</v>
      </c>
      <c r="N13" s="89">
        <f t="shared" si="4"/>
        <v>3.3113740120597505E-3</v>
      </c>
    </row>
    <row r="14" spans="1:17" x14ac:dyDescent="0.25">
      <c r="A14" s="79" t="s">
        <v>128</v>
      </c>
      <c r="B14" s="89" t="s">
        <v>5</v>
      </c>
      <c r="C14" s="89" t="s">
        <v>44</v>
      </c>
      <c r="D14" s="13" t="s">
        <v>181</v>
      </c>
      <c r="E14" s="35">
        <f>VLOOKUP(B14, Passenger_Kilometre_by_mode_type[#All],MATCH(A14, Passenger_Kilometre_by_mode_type[#Headers],0),0)</f>
        <v>41186265414.625694</v>
      </c>
      <c r="F14" s="89">
        <f>VLOOKUP(C14, Reason_for_car_journeys_by_percentage[#All],MATCH(A14, Reason_for_car_journeys_by_percentage[#Headers],0),0)/100</f>
        <v>0.23275000000000001</v>
      </c>
      <c r="G14" s="13">
        <f t="shared" si="0"/>
        <v>9586103275.2541313</v>
      </c>
      <c r="H14" s="89">
        <f>VLOOKUP(D14,Average_Distance_by_kilometre_grouping_for_mode_type[#All],MATCH(A14,Average_Distance_by_kilometre_grouping_for_mode_type[#Headers],0),0)</f>
        <v>3</v>
      </c>
      <c r="I14" s="89">
        <f>VLOOKUP(D14,Average_Distance_by_kilometres_grouping_for_trip_purpose[#All],MATCH(A14,Average_Distance_by_kilometres_grouping_for_trip_purpose[#Headers],0),0)</f>
        <v>3</v>
      </c>
      <c r="J14" s="89">
        <f t="shared" si="1"/>
        <v>3</v>
      </c>
      <c r="K14" s="89">
        <f t="shared" si="2"/>
        <v>6.3244439759671131E-2</v>
      </c>
      <c r="L14" s="89">
        <v>1</v>
      </c>
      <c r="M14" s="13">
        <f t="shared" si="3"/>
        <v>606267731.12179601</v>
      </c>
      <c r="N14" s="89">
        <f t="shared" si="4"/>
        <v>9.9341220361792507E-3</v>
      </c>
    </row>
    <row r="15" spans="1:17" x14ac:dyDescent="0.25">
      <c r="A15" s="79" t="s">
        <v>128</v>
      </c>
      <c r="B15" s="89" t="s">
        <v>5</v>
      </c>
      <c r="C15" s="89" t="s">
        <v>44</v>
      </c>
      <c r="D15" s="13" t="s">
        <v>180</v>
      </c>
      <c r="E15" s="35">
        <f>VLOOKUP(B15, Passenger_Kilometre_by_mode_type[#All],MATCH(A15, Passenger_Kilometre_by_mode_type[#Headers],0),0)</f>
        <v>41186265414.625694</v>
      </c>
      <c r="F15" s="89">
        <f>VLOOKUP(C15, Reason_for_car_journeys_by_percentage[#All],MATCH(A15, Reason_for_car_journeys_by_percentage[#Headers],0),0)/100</f>
        <v>0.23275000000000001</v>
      </c>
      <c r="G15" s="13">
        <f t="shared" si="0"/>
        <v>9586103275.2541313</v>
      </c>
      <c r="H15" s="89">
        <f>VLOOKUP(D15,Average_Distance_by_kilometre_grouping_for_mode_type[#All],MATCH(A15,Average_Distance_by_kilometre_grouping_for_mode_type[#Headers],0),0)</f>
        <v>5</v>
      </c>
      <c r="I15" s="89">
        <f>VLOOKUP(D15,Average_Distance_by_kilometres_grouping_for_trip_purpose[#All],MATCH(A15,Average_Distance_by_kilometres_grouping_for_trip_purpose[#Headers],0),0)</f>
        <v>5</v>
      </c>
      <c r="J15" s="89">
        <f t="shared" si="1"/>
        <v>5</v>
      </c>
      <c r="K15" s="89">
        <f t="shared" si="2"/>
        <v>0.10540739959945188</v>
      </c>
      <c r="L15" s="89">
        <v>1</v>
      </c>
      <c r="M15" s="13">
        <f t="shared" si="3"/>
        <v>1010446218.5363266</v>
      </c>
      <c r="N15" s="89">
        <f t="shared" si="4"/>
        <v>1.655687006029875E-2</v>
      </c>
    </row>
    <row r="16" spans="1:17" x14ac:dyDescent="0.25">
      <c r="A16" s="79" t="s">
        <v>128</v>
      </c>
      <c r="B16" s="89" t="s">
        <v>5</v>
      </c>
      <c r="C16" s="89" t="s">
        <v>44</v>
      </c>
      <c r="D16" s="13" t="s">
        <v>182</v>
      </c>
      <c r="E16" s="35">
        <f>VLOOKUP(B16, Passenger_Kilometre_by_mode_type[#All],MATCH(A16, Passenger_Kilometre_by_mode_type[#Headers],0),0)</f>
        <v>41186265414.625694</v>
      </c>
      <c r="F16" s="89">
        <f>VLOOKUP(C16, Reason_for_car_journeys_by_percentage[#All],MATCH(A16, Reason_for_car_journeys_by_percentage[#Headers],0),0)/100</f>
        <v>0.23275000000000001</v>
      </c>
      <c r="G16" s="13">
        <f t="shared" si="0"/>
        <v>9586103275.2541313</v>
      </c>
      <c r="H16" s="89">
        <f>VLOOKUP(D16,Average_Distance_by_kilometre_grouping_for_mode_type[#All],MATCH(A16,Average_Distance_by_kilometre_grouping_for_mode_type[#Headers],0),0)</f>
        <v>7</v>
      </c>
      <c r="I16" s="89">
        <f>VLOOKUP(D16,Average_Distance_by_kilometres_grouping_for_trip_purpose[#All],MATCH(A16,Average_Distance_by_kilometres_grouping_for_trip_purpose[#Headers],0),0)</f>
        <v>7</v>
      </c>
      <c r="J16" s="89">
        <f t="shared" si="1"/>
        <v>7</v>
      </c>
      <c r="K16" s="89">
        <f t="shared" si="2"/>
        <v>0.14757035943923263</v>
      </c>
      <c r="L16" s="89">
        <v>1</v>
      </c>
      <c r="M16" s="13">
        <f t="shared" si="3"/>
        <v>1414624705.9508574</v>
      </c>
      <c r="N16" s="89">
        <f t="shared" si="4"/>
        <v>2.3179618084418253E-2</v>
      </c>
    </row>
    <row r="17" spans="1:14" x14ac:dyDescent="0.25">
      <c r="A17" s="79" t="s">
        <v>128</v>
      </c>
      <c r="B17" s="89" t="s">
        <v>5</v>
      </c>
      <c r="C17" s="89" t="s">
        <v>44</v>
      </c>
      <c r="D17" s="13" t="s">
        <v>1</v>
      </c>
      <c r="E17" s="35">
        <f>VLOOKUP(B17, Passenger_Kilometre_by_mode_type[#All],MATCH(A17, Passenger_Kilometre_by_mode_type[#Headers],0),0)</f>
        <v>41186265414.625694</v>
      </c>
      <c r="F17" s="89">
        <f>VLOOKUP(C17, Reason_for_car_journeys_by_percentage[#All],MATCH(A17, Reason_for_car_journeys_by_percentage[#Headers],0),0)/100</f>
        <v>0.23275000000000001</v>
      </c>
      <c r="G17" s="13">
        <f t="shared" si="0"/>
        <v>9586103275.2541313</v>
      </c>
      <c r="H17" s="89">
        <f>VLOOKUP(D17,Average_Distance_by_kilometre_grouping_for_mode_type[#All],MATCH(A17,Average_Distance_by_kilometre_grouping_for_mode_type[#Headers],0),0)</f>
        <v>30.1</v>
      </c>
      <c r="I17" s="89">
        <f>VLOOKUP(D17,Average_Distance_by_kilometres_grouping_for_trip_purpose[#All],MATCH(A17,Average_Distance_by_kilometres_grouping_for_trip_purpose[#Headers],0),0)</f>
        <v>32.770000000000003</v>
      </c>
      <c r="J17" s="89">
        <f t="shared" si="1"/>
        <v>31.435000000000002</v>
      </c>
      <c r="K17" s="89">
        <f t="shared" si="2"/>
        <v>0.66269632128175404</v>
      </c>
      <c r="L17" s="89">
        <v>1</v>
      </c>
      <c r="M17" s="13">
        <f t="shared" si="3"/>
        <v>6352675375.9378862</v>
      </c>
      <c r="N17" s="89">
        <f t="shared" si="4"/>
        <v>0.10409304206909825</v>
      </c>
    </row>
    <row r="18" spans="1:14" x14ac:dyDescent="0.25">
      <c r="A18" s="79" t="s">
        <v>128</v>
      </c>
      <c r="B18" s="89" t="s">
        <v>5</v>
      </c>
      <c r="C18" s="89" t="s">
        <v>45</v>
      </c>
      <c r="D18" s="13" t="s">
        <v>12</v>
      </c>
      <c r="E18" s="35">
        <f>VLOOKUP(B18, Passenger_Kilometre_by_mode_type[#All],MATCH(A18, Passenger_Kilometre_by_mode_type[#Headers],0),0)</f>
        <v>41186265414.625694</v>
      </c>
      <c r="F18" s="89">
        <f>VLOOKUP(C18, Reason_for_car_journeys_by_percentage[#All],MATCH(A18, Reason_for_car_journeys_by_percentage[#Headers],0),0)/100</f>
        <v>1.3500000000000002E-2</v>
      </c>
      <c r="G18" s="13">
        <f t="shared" si="0"/>
        <v>556014583.09744692</v>
      </c>
      <c r="H18" s="89">
        <f>VLOOKUP(D18,Average_Distance_by_kilometre_grouping_for_mode_type[#All],MATCH(A18,Average_Distance_by_kilometre_grouping_for_mode_type[#Headers],0),0)</f>
        <v>1</v>
      </c>
      <c r="I18" s="89">
        <f>VLOOKUP(D18,Average_Distance_by_kilometres_grouping_for_trip_purpose[#All],MATCH(A18,Average_Distance_by_kilometres_grouping_for_trip_purpose[#Headers],0),0)</f>
        <v>1</v>
      </c>
      <c r="J18" s="89">
        <f t="shared" si="1"/>
        <v>1</v>
      </c>
      <c r="K18" s="89">
        <f t="shared" si="2"/>
        <v>2.1081479919890376E-2</v>
      </c>
      <c r="L18" s="89">
        <v>1</v>
      </c>
      <c r="M18" s="13">
        <f t="shared" si="3"/>
        <v>11721610.268735046</v>
      </c>
      <c r="N18" s="89">
        <f t="shared" si="4"/>
        <v>1.9206680628488346E-4</v>
      </c>
    </row>
    <row r="19" spans="1:14" x14ac:dyDescent="0.25">
      <c r="A19" s="79" t="s">
        <v>128</v>
      </c>
      <c r="B19" s="89" t="s">
        <v>5</v>
      </c>
      <c r="C19" s="89" t="s">
        <v>45</v>
      </c>
      <c r="D19" s="13" t="s">
        <v>181</v>
      </c>
      <c r="E19" s="35">
        <f>VLOOKUP(B19, Passenger_Kilometre_by_mode_type[#All],MATCH(A19, Passenger_Kilometre_by_mode_type[#Headers],0),0)</f>
        <v>41186265414.625694</v>
      </c>
      <c r="F19" s="89">
        <f>VLOOKUP(C19, Reason_for_car_journeys_by_percentage[#All],MATCH(A19, Reason_for_car_journeys_by_percentage[#Headers],0),0)/100</f>
        <v>1.3500000000000002E-2</v>
      </c>
      <c r="G19" s="13">
        <f t="shared" si="0"/>
        <v>556014583.09744692</v>
      </c>
      <c r="H19" s="89">
        <f>VLOOKUP(D19,Average_Distance_by_kilometre_grouping_for_mode_type[#All],MATCH(A19,Average_Distance_by_kilometre_grouping_for_mode_type[#Headers],0),0)</f>
        <v>3</v>
      </c>
      <c r="I19" s="89">
        <f>VLOOKUP(D19,Average_Distance_by_kilometres_grouping_for_trip_purpose[#All],MATCH(A19,Average_Distance_by_kilometres_grouping_for_trip_purpose[#Headers],0),0)</f>
        <v>3</v>
      </c>
      <c r="J19" s="89">
        <f t="shared" si="1"/>
        <v>3</v>
      </c>
      <c r="K19" s="89">
        <f t="shared" si="2"/>
        <v>6.3244439759671131E-2</v>
      </c>
      <c r="L19" s="89">
        <v>1</v>
      </c>
      <c r="M19" s="13">
        <f t="shared" si="3"/>
        <v>35164830.806205139</v>
      </c>
      <c r="N19" s="89">
        <f t="shared" si="4"/>
        <v>5.7620041885465042E-4</v>
      </c>
    </row>
    <row r="20" spans="1:14" x14ac:dyDescent="0.25">
      <c r="A20" s="79" t="s">
        <v>128</v>
      </c>
      <c r="B20" s="89" t="s">
        <v>5</v>
      </c>
      <c r="C20" s="89" t="s">
        <v>45</v>
      </c>
      <c r="D20" s="13" t="s">
        <v>180</v>
      </c>
      <c r="E20" s="35">
        <f>VLOOKUP(B20, Passenger_Kilometre_by_mode_type[#All],MATCH(A20, Passenger_Kilometre_by_mode_type[#Headers],0),0)</f>
        <v>41186265414.625694</v>
      </c>
      <c r="F20" s="89">
        <f>VLOOKUP(C20, Reason_for_car_journeys_by_percentage[#All],MATCH(A20, Reason_for_car_journeys_by_percentage[#Headers],0),0)/100</f>
        <v>1.3500000000000002E-2</v>
      </c>
      <c r="G20" s="13">
        <f t="shared" si="0"/>
        <v>556014583.09744692</v>
      </c>
      <c r="H20" s="89">
        <f>VLOOKUP(D20,Average_Distance_by_kilometre_grouping_for_mode_type[#All],MATCH(A20,Average_Distance_by_kilometre_grouping_for_mode_type[#Headers],0),0)</f>
        <v>5</v>
      </c>
      <c r="I20" s="89">
        <f>VLOOKUP(D20,Average_Distance_by_kilometres_grouping_for_trip_purpose[#All],MATCH(A20,Average_Distance_by_kilometres_grouping_for_trip_purpose[#Headers],0),0)</f>
        <v>5</v>
      </c>
      <c r="J20" s="89">
        <f t="shared" si="1"/>
        <v>5</v>
      </c>
      <c r="K20" s="89">
        <f t="shared" si="2"/>
        <v>0.10540739959945188</v>
      </c>
      <c r="L20" s="89">
        <v>1</v>
      </c>
      <c r="M20" s="13">
        <f t="shared" si="3"/>
        <v>58608051.343675226</v>
      </c>
      <c r="N20" s="89">
        <f t="shared" si="4"/>
        <v>9.6033403142441729E-4</v>
      </c>
    </row>
    <row r="21" spans="1:14" x14ac:dyDescent="0.25">
      <c r="A21" s="79" t="s">
        <v>128</v>
      </c>
      <c r="B21" s="89" t="s">
        <v>5</v>
      </c>
      <c r="C21" s="89" t="s">
        <v>45</v>
      </c>
      <c r="D21" s="13" t="s">
        <v>182</v>
      </c>
      <c r="E21" s="35">
        <f>VLOOKUP(B21, Passenger_Kilometre_by_mode_type[#All],MATCH(A21, Passenger_Kilometre_by_mode_type[#Headers],0),0)</f>
        <v>41186265414.625694</v>
      </c>
      <c r="F21" s="89">
        <f>VLOOKUP(C21, Reason_for_car_journeys_by_percentage[#All],MATCH(A21, Reason_for_car_journeys_by_percentage[#Headers],0),0)/100</f>
        <v>1.3500000000000002E-2</v>
      </c>
      <c r="G21" s="13">
        <f t="shared" si="0"/>
        <v>556014583.09744692</v>
      </c>
      <c r="H21" s="89">
        <f>VLOOKUP(D21,Average_Distance_by_kilometre_grouping_for_mode_type[#All],MATCH(A21,Average_Distance_by_kilometre_grouping_for_mode_type[#Headers],0),0)</f>
        <v>7</v>
      </c>
      <c r="I21" s="89">
        <f>VLOOKUP(D21,Average_Distance_by_kilometres_grouping_for_trip_purpose[#All],MATCH(A21,Average_Distance_by_kilometres_grouping_for_trip_purpose[#Headers],0),0)</f>
        <v>7</v>
      </c>
      <c r="J21" s="89">
        <f t="shared" si="1"/>
        <v>7</v>
      </c>
      <c r="K21" s="89">
        <f t="shared" si="2"/>
        <v>0.14757035943923263</v>
      </c>
      <c r="L21" s="89">
        <v>1</v>
      </c>
      <c r="M21" s="13">
        <f t="shared" si="3"/>
        <v>82051271.881145328</v>
      </c>
      <c r="N21" s="89">
        <f t="shared" si="4"/>
        <v>1.3444676439941844E-3</v>
      </c>
    </row>
    <row r="22" spans="1:14" x14ac:dyDescent="0.25">
      <c r="A22" s="79" t="s">
        <v>128</v>
      </c>
      <c r="B22" s="89" t="s">
        <v>5</v>
      </c>
      <c r="C22" s="89" t="s">
        <v>45</v>
      </c>
      <c r="D22" s="13" t="s">
        <v>1</v>
      </c>
      <c r="E22" s="35">
        <f>VLOOKUP(B22, Passenger_Kilometre_by_mode_type[#All],MATCH(A22, Passenger_Kilometre_by_mode_type[#Headers],0),0)</f>
        <v>41186265414.625694</v>
      </c>
      <c r="F22" s="89">
        <f>VLOOKUP(C22, Reason_for_car_journeys_by_percentage[#All],MATCH(A22, Reason_for_car_journeys_by_percentage[#Headers],0),0)/100</f>
        <v>1.3500000000000002E-2</v>
      </c>
      <c r="G22" s="13">
        <f t="shared" si="0"/>
        <v>556014583.09744692</v>
      </c>
      <c r="H22" s="89">
        <f>VLOOKUP(D22,Average_Distance_by_kilometre_grouping_for_mode_type[#All],MATCH(A22,Average_Distance_by_kilometre_grouping_for_mode_type[#Headers],0),0)</f>
        <v>30.1</v>
      </c>
      <c r="I22" s="89">
        <f>VLOOKUP(D22,Average_Distance_by_kilometres_grouping_for_trip_purpose[#All],MATCH(A22,Average_Distance_by_kilometres_grouping_for_trip_purpose[#Headers],0),0)</f>
        <v>32.770000000000003</v>
      </c>
      <c r="J22" s="89">
        <f t="shared" si="1"/>
        <v>31.435000000000002</v>
      </c>
      <c r="K22" s="89">
        <f t="shared" si="2"/>
        <v>0.66269632128175404</v>
      </c>
      <c r="L22" s="89">
        <v>1</v>
      </c>
      <c r="M22" s="13">
        <f t="shared" si="3"/>
        <v>368468818.79768622</v>
      </c>
      <c r="N22" s="89">
        <f t="shared" si="4"/>
        <v>6.0376200555653124E-3</v>
      </c>
    </row>
    <row r="23" spans="1:14" x14ac:dyDescent="0.25">
      <c r="A23" s="79" t="s">
        <v>128</v>
      </c>
      <c r="B23" s="89" t="s">
        <v>5</v>
      </c>
      <c r="C23" s="89" t="s">
        <v>56</v>
      </c>
      <c r="D23" s="13" t="s">
        <v>12</v>
      </c>
      <c r="E23" s="35">
        <f>VLOOKUP(B23, Passenger_Kilometre_by_mode_type[#All],MATCH(A23, Passenger_Kilometre_by_mode_type[#Headers],0),0)</f>
        <v>41186265414.625694</v>
      </c>
      <c r="F23" s="89">
        <f>VLOOKUP(C23, Reason_for_car_journeys_by_percentage[#All],MATCH(A23, Reason_for_car_journeys_by_percentage[#Headers],0),0)/100</f>
        <v>0.1125</v>
      </c>
      <c r="G23" s="13">
        <f t="shared" si="0"/>
        <v>4633454859.1453905</v>
      </c>
      <c r="H23" s="89">
        <f>VLOOKUP(D23,Average_Distance_by_kilometre_grouping_for_mode_type[#All],MATCH(A23,Average_Distance_by_kilometre_grouping_for_mode_type[#Headers],0),0)</f>
        <v>1</v>
      </c>
      <c r="I23" s="89">
        <f>VLOOKUP(D23,Average_Distance_by_kilometres_grouping_for_trip_purpose[#All],MATCH(A23,Average_Distance_by_kilometres_grouping_for_trip_purpose[#Headers],0),0)</f>
        <v>1</v>
      </c>
      <c r="J23" s="89">
        <f t="shared" si="1"/>
        <v>1</v>
      </c>
      <c r="K23" s="89">
        <f t="shared" si="2"/>
        <v>2.1081479919890376E-2</v>
      </c>
      <c r="L23" s="89">
        <v>1</v>
      </c>
      <c r="M23" s="13">
        <f t="shared" si="3"/>
        <v>97680085.572792038</v>
      </c>
      <c r="N23" s="89">
        <f t="shared" si="4"/>
        <v>1.6005567190406954E-3</v>
      </c>
    </row>
    <row r="24" spans="1:14" x14ac:dyDescent="0.25">
      <c r="A24" s="79" t="s">
        <v>128</v>
      </c>
      <c r="B24" s="89" t="s">
        <v>5</v>
      </c>
      <c r="C24" s="89" t="s">
        <v>56</v>
      </c>
      <c r="D24" s="13" t="s">
        <v>181</v>
      </c>
      <c r="E24" s="35">
        <f>VLOOKUP(B24, Passenger_Kilometre_by_mode_type[#All],MATCH(A24, Passenger_Kilometre_by_mode_type[#Headers],0),0)</f>
        <v>41186265414.625694</v>
      </c>
      <c r="F24" s="89">
        <f>VLOOKUP(C24, Reason_for_car_journeys_by_percentage[#All],MATCH(A24, Reason_for_car_journeys_by_percentage[#Headers],0),0)/100</f>
        <v>0.1125</v>
      </c>
      <c r="G24" s="13">
        <f t="shared" si="0"/>
        <v>4633454859.1453905</v>
      </c>
      <c r="H24" s="89">
        <f>VLOOKUP(D24,Average_Distance_by_kilometre_grouping_for_mode_type[#All],MATCH(A24,Average_Distance_by_kilometre_grouping_for_mode_type[#Headers],0),0)</f>
        <v>3</v>
      </c>
      <c r="I24" s="89">
        <f>VLOOKUP(D24,Average_Distance_by_kilometres_grouping_for_trip_purpose[#All],MATCH(A24,Average_Distance_by_kilometres_grouping_for_trip_purpose[#Headers],0),0)</f>
        <v>3</v>
      </c>
      <c r="J24" s="89">
        <f t="shared" si="1"/>
        <v>3</v>
      </c>
      <c r="K24" s="89">
        <f t="shared" si="2"/>
        <v>6.3244439759671131E-2</v>
      </c>
      <c r="L24" s="89">
        <v>1</v>
      </c>
      <c r="M24" s="13">
        <f t="shared" si="3"/>
        <v>293040256.71837616</v>
      </c>
      <c r="N24" s="89">
        <f t="shared" si="4"/>
        <v>4.8016701571220871E-3</v>
      </c>
    </row>
    <row r="25" spans="1:14" x14ac:dyDescent="0.25">
      <c r="A25" s="79" t="s">
        <v>128</v>
      </c>
      <c r="B25" s="89" t="s">
        <v>5</v>
      </c>
      <c r="C25" s="89" t="s">
        <v>56</v>
      </c>
      <c r="D25" s="13" t="s">
        <v>180</v>
      </c>
      <c r="E25" s="35">
        <f>VLOOKUP(B25, Passenger_Kilometre_by_mode_type[#All],MATCH(A25, Passenger_Kilometre_by_mode_type[#Headers],0),0)</f>
        <v>41186265414.625694</v>
      </c>
      <c r="F25" s="89">
        <f>VLOOKUP(C25, Reason_for_car_journeys_by_percentage[#All],MATCH(A25, Reason_for_car_journeys_by_percentage[#Headers],0),0)/100</f>
        <v>0.1125</v>
      </c>
      <c r="G25" s="13">
        <f t="shared" si="0"/>
        <v>4633454859.1453905</v>
      </c>
      <c r="H25" s="89">
        <f>VLOOKUP(D25,Average_Distance_by_kilometre_grouping_for_mode_type[#All],MATCH(A25,Average_Distance_by_kilometre_grouping_for_mode_type[#Headers],0),0)</f>
        <v>5</v>
      </c>
      <c r="I25" s="89">
        <f>VLOOKUP(D25,Average_Distance_by_kilometres_grouping_for_trip_purpose[#All],MATCH(A25,Average_Distance_by_kilometres_grouping_for_trip_purpose[#Headers],0),0)</f>
        <v>5</v>
      </c>
      <c r="J25" s="89">
        <f t="shared" si="1"/>
        <v>5</v>
      </c>
      <c r="K25" s="89">
        <f t="shared" si="2"/>
        <v>0.10540739959945188</v>
      </c>
      <c r="L25" s="89">
        <v>1</v>
      </c>
      <c r="M25" s="13">
        <f t="shared" si="3"/>
        <v>488400427.86396021</v>
      </c>
      <c r="N25" s="89">
        <f t="shared" si="4"/>
        <v>8.0027835952034779E-3</v>
      </c>
    </row>
    <row r="26" spans="1:14" x14ac:dyDescent="0.25">
      <c r="A26" s="79" t="s">
        <v>128</v>
      </c>
      <c r="B26" s="89" t="s">
        <v>5</v>
      </c>
      <c r="C26" s="89" t="s">
        <v>56</v>
      </c>
      <c r="D26" s="13" t="s">
        <v>182</v>
      </c>
      <c r="E26" s="35">
        <f>VLOOKUP(B26, Passenger_Kilometre_by_mode_type[#All],MATCH(A26, Passenger_Kilometre_by_mode_type[#Headers],0),0)</f>
        <v>41186265414.625694</v>
      </c>
      <c r="F26" s="89">
        <f>VLOOKUP(C26, Reason_for_car_journeys_by_percentage[#All],MATCH(A26, Reason_for_car_journeys_by_percentage[#Headers],0),0)/100</f>
        <v>0.1125</v>
      </c>
      <c r="G26" s="13">
        <f t="shared" si="0"/>
        <v>4633454859.1453905</v>
      </c>
      <c r="H26" s="89">
        <f>VLOOKUP(D26,Average_Distance_by_kilometre_grouping_for_mode_type[#All],MATCH(A26,Average_Distance_by_kilometre_grouping_for_mode_type[#Headers],0),0)</f>
        <v>7</v>
      </c>
      <c r="I26" s="89">
        <f>VLOOKUP(D26,Average_Distance_by_kilometres_grouping_for_trip_purpose[#All],MATCH(A26,Average_Distance_by_kilometres_grouping_for_trip_purpose[#Headers],0),0)</f>
        <v>7</v>
      </c>
      <c r="J26" s="89">
        <f t="shared" si="1"/>
        <v>7</v>
      </c>
      <c r="K26" s="89">
        <f t="shared" si="2"/>
        <v>0.14757035943923263</v>
      </c>
      <c r="L26" s="89">
        <v>1</v>
      </c>
      <c r="M26" s="13">
        <f t="shared" si="3"/>
        <v>683760599.00954425</v>
      </c>
      <c r="N26" s="89">
        <f t="shared" si="4"/>
        <v>1.1203897033284867E-2</v>
      </c>
    </row>
    <row r="27" spans="1:14" x14ac:dyDescent="0.25">
      <c r="A27" s="79" t="s">
        <v>128</v>
      </c>
      <c r="B27" s="89" t="s">
        <v>5</v>
      </c>
      <c r="C27" s="89" t="s">
        <v>56</v>
      </c>
      <c r="D27" s="13" t="s">
        <v>1</v>
      </c>
      <c r="E27" s="35">
        <f>VLOOKUP(B27, Passenger_Kilometre_by_mode_type[#All],MATCH(A27, Passenger_Kilometre_by_mode_type[#Headers],0),0)</f>
        <v>41186265414.625694</v>
      </c>
      <c r="F27" s="89">
        <f>VLOOKUP(C27, Reason_for_car_journeys_by_percentage[#All],MATCH(A27, Reason_for_car_journeys_by_percentage[#Headers],0),0)/100</f>
        <v>0.1125</v>
      </c>
      <c r="G27" s="13">
        <f t="shared" si="0"/>
        <v>4633454859.1453905</v>
      </c>
      <c r="H27" s="89">
        <f>VLOOKUP(D27,Average_Distance_by_kilometre_grouping_for_mode_type[#All],MATCH(A27,Average_Distance_by_kilometre_grouping_for_mode_type[#Headers],0),0)</f>
        <v>30.1</v>
      </c>
      <c r="I27" s="89">
        <f>VLOOKUP(D27,Average_Distance_by_kilometres_grouping_for_trip_purpose[#All],MATCH(A27,Average_Distance_by_kilometres_grouping_for_trip_purpose[#Headers],0),0)</f>
        <v>32.770000000000003</v>
      </c>
      <c r="J27" s="89">
        <f t="shared" si="1"/>
        <v>31.435000000000002</v>
      </c>
      <c r="K27" s="89">
        <f t="shared" si="2"/>
        <v>0.66269632128175404</v>
      </c>
      <c r="L27" s="89">
        <v>1</v>
      </c>
      <c r="M27" s="13">
        <f t="shared" si="3"/>
        <v>3070573489.9807181</v>
      </c>
      <c r="N27" s="89">
        <f t="shared" si="4"/>
        <v>5.0313500463044267E-2</v>
      </c>
    </row>
    <row r="28" spans="1:14" x14ac:dyDescent="0.25">
      <c r="A28" s="79" t="s">
        <v>128</v>
      </c>
      <c r="B28" s="89" t="s">
        <v>5</v>
      </c>
      <c r="C28" s="89" t="s">
        <v>57</v>
      </c>
      <c r="D28" s="13" t="s">
        <v>12</v>
      </c>
      <c r="E28" s="35">
        <f>VLOOKUP(B28, Passenger_Kilometre_by_mode_type[#All],MATCH(A28, Passenger_Kilometre_by_mode_type[#Headers],0),0)</f>
        <v>41186265414.625694</v>
      </c>
      <c r="F28" s="89">
        <f>VLOOKUP(C28, Reason_for_car_journeys_by_percentage[#All],MATCH(A28, Reason_for_car_journeys_by_percentage[#Headers],0),0)/100</f>
        <v>7.8750000000000001E-2</v>
      </c>
      <c r="G28" s="13">
        <f t="shared" si="0"/>
        <v>3243418401.4017735</v>
      </c>
      <c r="H28" s="89">
        <f>VLOOKUP(D28,Average_Distance_by_kilometre_grouping_for_mode_type[#All],MATCH(A28,Average_Distance_by_kilometre_grouping_for_mode_type[#Headers],0),0)</f>
        <v>1</v>
      </c>
      <c r="I28" s="89">
        <f>VLOOKUP(D28,Average_Distance_by_kilometres_grouping_for_trip_purpose[#All],MATCH(A28,Average_Distance_by_kilometres_grouping_for_trip_purpose[#Headers],0),0)</f>
        <v>1</v>
      </c>
      <c r="J28" s="89">
        <f t="shared" si="1"/>
        <v>1</v>
      </c>
      <c r="K28" s="89">
        <f t="shared" si="2"/>
        <v>2.1081479919890376E-2</v>
      </c>
      <c r="L28" s="89">
        <v>1</v>
      </c>
      <c r="M28" s="13">
        <f t="shared" si="3"/>
        <v>68376059.900954425</v>
      </c>
      <c r="N28" s="89">
        <f t="shared" si="4"/>
        <v>1.1203897033284867E-3</v>
      </c>
    </row>
    <row r="29" spans="1:14" x14ac:dyDescent="0.25">
      <c r="A29" s="79" t="s">
        <v>128</v>
      </c>
      <c r="B29" s="89" t="s">
        <v>5</v>
      </c>
      <c r="C29" s="89" t="s">
        <v>57</v>
      </c>
      <c r="D29" s="13" t="s">
        <v>181</v>
      </c>
      <c r="E29" s="35">
        <f>VLOOKUP(B29, Passenger_Kilometre_by_mode_type[#All],MATCH(A29, Passenger_Kilometre_by_mode_type[#Headers],0),0)</f>
        <v>41186265414.625694</v>
      </c>
      <c r="F29" s="89">
        <f>VLOOKUP(C29, Reason_for_car_journeys_by_percentage[#All],MATCH(A29, Reason_for_car_journeys_by_percentage[#Headers],0),0)/100</f>
        <v>7.8750000000000001E-2</v>
      </c>
      <c r="G29" s="13">
        <f t="shared" si="0"/>
        <v>3243418401.4017735</v>
      </c>
      <c r="H29" s="89">
        <f>VLOOKUP(D29,Average_Distance_by_kilometre_grouping_for_mode_type[#All],MATCH(A29,Average_Distance_by_kilometre_grouping_for_mode_type[#Headers],0),0)</f>
        <v>3</v>
      </c>
      <c r="I29" s="89">
        <f>VLOOKUP(D29,Average_Distance_by_kilometres_grouping_for_trip_purpose[#All],MATCH(A29,Average_Distance_by_kilometres_grouping_for_trip_purpose[#Headers],0),0)</f>
        <v>3</v>
      </c>
      <c r="J29" s="89">
        <f t="shared" si="1"/>
        <v>3</v>
      </c>
      <c r="K29" s="89">
        <f t="shared" si="2"/>
        <v>6.3244439759671131E-2</v>
      </c>
      <c r="L29" s="89">
        <v>1</v>
      </c>
      <c r="M29" s="13">
        <f t="shared" si="3"/>
        <v>205128179.70286331</v>
      </c>
      <c r="N29" s="89">
        <f t="shared" si="4"/>
        <v>3.3611691099854606E-3</v>
      </c>
    </row>
    <row r="30" spans="1:14" x14ac:dyDescent="0.25">
      <c r="A30" s="79" t="s">
        <v>128</v>
      </c>
      <c r="B30" s="89" t="s">
        <v>5</v>
      </c>
      <c r="C30" s="89" t="s">
        <v>57</v>
      </c>
      <c r="D30" s="13" t="s">
        <v>180</v>
      </c>
      <c r="E30" s="35">
        <f>VLOOKUP(B30, Passenger_Kilometre_by_mode_type[#All],MATCH(A30, Passenger_Kilometre_by_mode_type[#Headers],0),0)</f>
        <v>41186265414.625694</v>
      </c>
      <c r="F30" s="89">
        <f>VLOOKUP(C30, Reason_for_car_journeys_by_percentage[#All],MATCH(A30, Reason_for_car_journeys_by_percentage[#Headers],0),0)/100</f>
        <v>7.8750000000000001E-2</v>
      </c>
      <c r="G30" s="13">
        <f t="shared" si="0"/>
        <v>3243418401.4017735</v>
      </c>
      <c r="H30" s="89">
        <f>VLOOKUP(D30,Average_Distance_by_kilometre_grouping_for_mode_type[#All],MATCH(A30,Average_Distance_by_kilometre_grouping_for_mode_type[#Headers],0),0)</f>
        <v>5</v>
      </c>
      <c r="I30" s="89">
        <f>VLOOKUP(D30,Average_Distance_by_kilometres_grouping_for_trip_purpose[#All],MATCH(A30,Average_Distance_by_kilometres_grouping_for_trip_purpose[#Headers],0),0)</f>
        <v>5</v>
      </c>
      <c r="J30" s="89">
        <f t="shared" si="1"/>
        <v>5</v>
      </c>
      <c r="K30" s="89">
        <f t="shared" si="2"/>
        <v>0.10540739959945188</v>
      </c>
      <c r="L30" s="89">
        <v>1</v>
      </c>
      <c r="M30" s="13">
        <f t="shared" si="3"/>
        <v>341880299.50477213</v>
      </c>
      <c r="N30" s="89">
        <f t="shared" si="4"/>
        <v>5.6019485166424335E-3</v>
      </c>
    </row>
    <row r="31" spans="1:14" x14ac:dyDescent="0.25">
      <c r="A31" s="79" t="s">
        <v>128</v>
      </c>
      <c r="B31" s="89" t="s">
        <v>5</v>
      </c>
      <c r="C31" s="89" t="s">
        <v>57</v>
      </c>
      <c r="D31" s="13" t="s">
        <v>182</v>
      </c>
      <c r="E31" s="35">
        <f>VLOOKUP(B31, Passenger_Kilometre_by_mode_type[#All],MATCH(A31, Passenger_Kilometre_by_mode_type[#Headers],0),0)</f>
        <v>41186265414.625694</v>
      </c>
      <c r="F31" s="89">
        <f>VLOOKUP(C31, Reason_for_car_journeys_by_percentage[#All],MATCH(A31, Reason_for_car_journeys_by_percentage[#Headers],0),0)/100</f>
        <v>7.8750000000000001E-2</v>
      </c>
      <c r="G31" s="13">
        <f t="shared" si="0"/>
        <v>3243418401.4017735</v>
      </c>
      <c r="H31" s="89">
        <f>VLOOKUP(D31,Average_Distance_by_kilometre_grouping_for_mode_type[#All],MATCH(A31,Average_Distance_by_kilometre_grouping_for_mode_type[#Headers],0),0)</f>
        <v>7</v>
      </c>
      <c r="I31" s="89">
        <f>VLOOKUP(D31,Average_Distance_by_kilometres_grouping_for_trip_purpose[#All],MATCH(A31,Average_Distance_by_kilometres_grouping_for_trip_purpose[#Headers],0),0)</f>
        <v>7</v>
      </c>
      <c r="J31" s="89">
        <f t="shared" si="1"/>
        <v>7</v>
      </c>
      <c r="K31" s="89">
        <f t="shared" si="2"/>
        <v>0.14757035943923263</v>
      </c>
      <c r="L31" s="89">
        <v>1</v>
      </c>
      <c r="M31" s="13">
        <f t="shared" si="3"/>
        <v>478632419.30668104</v>
      </c>
      <c r="N31" s="89">
        <f t="shared" si="4"/>
        <v>7.8427279232994081E-3</v>
      </c>
    </row>
    <row r="32" spans="1:14" x14ac:dyDescent="0.25">
      <c r="A32" s="79" t="s">
        <v>128</v>
      </c>
      <c r="B32" s="89" t="s">
        <v>5</v>
      </c>
      <c r="C32" s="89" t="s">
        <v>57</v>
      </c>
      <c r="D32" s="13" t="s">
        <v>1</v>
      </c>
      <c r="E32" s="35">
        <f>VLOOKUP(B32, Passenger_Kilometre_by_mode_type[#All],MATCH(A32, Passenger_Kilometre_by_mode_type[#Headers],0),0)</f>
        <v>41186265414.625694</v>
      </c>
      <c r="F32" s="89">
        <f>VLOOKUP(C32, Reason_for_car_journeys_by_percentage[#All],MATCH(A32, Reason_for_car_journeys_by_percentage[#Headers],0),0)/100</f>
        <v>7.8750000000000001E-2</v>
      </c>
      <c r="G32" s="13">
        <f t="shared" si="0"/>
        <v>3243418401.4017735</v>
      </c>
      <c r="H32" s="89">
        <f>VLOOKUP(D32,Average_Distance_by_kilometre_grouping_for_mode_type[#All],MATCH(A32,Average_Distance_by_kilometre_grouping_for_mode_type[#Headers],0),0)</f>
        <v>30.1</v>
      </c>
      <c r="I32" s="89">
        <f>VLOOKUP(D32,Average_Distance_by_kilometres_grouping_for_trip_purpose[#All],MATCH(A32,Average_Distance_by_kilometres_grouping_for_trip_purpose[#Headers],0),0)</f>
        <v>32.770000000000003</v>
      </c>
      <c r="J32" s="89">
        <f t="shared" si="1"/>
        <v>31.435000000000002</v>
      </c>
      <c r="K32" s="89">
        <f t="shared" si="2"/>
        <v>0.66269632128175404</v>
      </c>
      <c r="L32" s="89">
        <v>1</v>
      </c>
      <c r="M32" s="13">
        <f t="shared" si="3"/>
        <v>2149401442.9865026</v>
      </c>
      <c r="N32" s="89">
        <f t="shared" si="4"/>
        <v>3.5219450324130985E-2</v>
      </c>
    </row>
    <row r="33" spans="1:14" x14ac:dyDescent="0.25">
      <c r="A33" s="79" t="s">
        <v>128</v>
      </c>
      <c r="B33" s="89" t="s">
        <v>5</v>
      </c>
      <c r="C33" s="89" t="s">
        <v>93</v>
      </c>
      <c r="D33" s="13" t="s">
        <v>12</v>
      </c>
      <c r="E33" s="35">
        <f>VLOOKUP(B33, Passenger_Kilometre_by_mode_type[#All],MATCH(A33, Passenger_Kilometre_by_mode_type[#Headers],0),0)</f>
        <v>41186265414.625694</v>
      </c>
      <c r="F33" s="89">
        <f>VLOOKUP(C33, Reason_for_car_journeys_by_percentage[#All],MATCH(A33, Reason_for_car_journeys_by_percentage[#Headers],0),0)/100</f>
        <v>6.7250000000000004E-2</v>
      </c>
      <c r="G33" s="13">
        <f t="shared" si="0"/>
        <v>2769776349.1335783</v>
      </c>
      <c r="H33" s="89">
        <f>VLOOKUP(D33,Average_Distance_by_kilometre_grouping_for_mode_type[#All],MATCH(A33,Average_Distance_by_kilometre_grouping_for_mode_type[#Headers],0),0)</f>
        <v>1</v>
      </c>
      <c r="I33" s="89">
        <f>VLOOKUP(D33,Average_Distance_by_kilometres_grouping_for_trip_purpose[#All],MATCH(A33,Average_Distance_by_kilometres_grouping_for_trip_purpose[#Headers],0),0)</f>
        <v>1</v>
      </c>
      <c r="J33" s="89">
        <f t="shared" si="1"/>
        <v>1</v>
      </c>
      <c r="K33" s="89">
        <f t="shared" si="2"/>
        <v>2.1081479919890376E-2</v>
      </c>
      <c r="L33" s="89">
        <v>1</v>
      </c>
      <c r="M33" s="13">
        <f t="shared" si="3"/>
        <v>58390984.486846805</v>
      </c>
      <c r="N33" s="89">
        <f t="shared" si="4"/>
        <v>9.5677723871543806E-4</v>
      </c>
    </row>
    <row r="34" spans="1:14" x14ac:dyDescent="0.25">
      <c r="A34" s="79" t="s">
        <v>128</v>
      </c>
      <c r="B34" s="89" t="s">
        <v>5</v>
      </c>
      <c r="C34" s="89" t="s">
        <v>93</v>
      </c>
      <c r="D34" s="13" t="s">
        <v>181</v>
      </c>
      <c r="E34" s="35">
        <f>VLOOKUP(B34, Passenger_Kilometre_by_mode_type[#All],MATCH(A34, Passenger_Kilometre_by_mode_type[#Headers],0),0)</f>
        <v>41186265414.625694</v>
      </c>
      <c r="F34" s="89">
        <f>VLOOKUP(C34, Reason_for_car_journeys_by_percentage[#All],MATCH(A34, Reason_for_car_journeys_by_percentage[#Headers],0),0)/100</f>
        <v>6.7250000000000004E-2</v>
      </c>
      <c r="G34" s="13">
        <f t="shared" si="0"/>
        <v>2769776349.1335783</v>
      </c>
      <c r="H34" s="89">
        <f>VLOOKUP(D34,Average_Distance_by_kilometre_grouping_for_mode_type[#All],MATCH(A34,Average_Distance_by_kilometre_grouping_for_mode_type[#Headers],0),0)</f>
        <v>3</v>
      </c>
      <c r="I34" s="89">
        <f>VLOOKUP(D34,Average_Distance_by_kilometres_grouping_for_trip_purpose[#All],MATCH(A34,Average_Distance_by_kilometres_grouping_for_trip_purpose[#Headers],0),0)</f>
        <v>3</v>
      </c>
      <c r="J34" s="89">
        <f t="shared" si="1"/>
        <v>3</v>
      </c>
      <c r="K34" s="89">
        <f t="shared" si="2"/>
        <v>6.3244439759671131E-2</v>
      </c>
      <c r="L34" s="89">
        <v>1</v>
      </c>
      <c r="M34" s="13">
        <f t="shared" si="3"/>
        <v>175172953.46054041</v>
      </c>
      <c r="N34" s="89">
        <f t="shared" si="4"/>
        <v>2.870331716146314E-3</v>
      </c>
    </row>
    <row r="35" spans="1:14" x14ac:dyDescent="0.25">
      <c r="A35" s="79" t="s">
        <v>128</v>
      </c>
      <c r="B35" s="89" t="s">
        <v>5</v>
      </c>
      <c r="C35" s="89" t="s">
        <v>93</v>
      </c>
      <c r="D35" s="13" t="s">
        <v>180</v>
      </c>
      <c r="E35" s="35">
        <f>VLOOKUP(B35, Passenger_Kilometre_by_mode_type[#All],MATCH(A35, Passenger_Kilometre_by_mode_type[#Headers],0),0)</f>
        <v>41186265414.625694</v>
      </c>
      <c r="F35" s="89">
        <f>VLOOKUP(C35, Reason_for_car_journeys_by_percentage[#All],MATCH(A35, Reason_for_car_journeys_by_percentage[#Headers],0),0)/100</f>
        <v>6.7250000000000004E-2</v>
      </c>
      <c r="G35" s="13">
        <f t="shared" si="0"/>
        <v>2769776349.1335783</v>
      </c>
      <c r="H35" s="89">
        <f>VLOOKUP(D35,Average_Distance_by_kilometre_grouping_for_mode_type[#All],MATCH(A35,Average_Distance_by_kilometre_grouping_for_mode_type[#Headers],0),0)</f>
        <v>5</v>
      </c>
      <c r="I35" s="89">
        <f>VLOOKUP(D35,Average_Distance_by_kilometres_grouping_for_trip_purpose[#All],MATCH(A35,Average_Distance_by_kilometres_grouping_for_trip_purpose[#Headers],0),0)</f>
        <v>5</v>
      </c>
      <c r="J35" s="89">
        <f t="shared" si="1"/>
        <v>5</v>
      </c>
      <c r="K35" s="89">
        <f t="shared" si="2"/>
        <v>0.10540739959945188</v>
      </c>
      <c r="L35" s="89">
        <v>1</v>
      </c>
      <c r="M35" s="13">
        <f t="shared" si="3"/>
        <v>291954922.43423402</v>
      </c>
      <c r="N35" s="89">
        <f t="shared" si="4"/>
        <v>4.7838861935771901E-3</v>
      </c>
    </row>
    <row r="36" spans="1:14" x14ac:dyDescent="0.25">
      <c r="A36" s="79" t="s">
        <v>128</v>
      </c>
      <c r="B36" s="89" t="s">
        <v>5</v>
      </c>
      <c r="C36" s="89" t="s">
        <v>93</v>
      </c>
      <c r="D36" s="13" t="s">
        <v>182</v>
      </c>
      <c r="E36" s="35">
        <f>VLOOKUP(B36, Passenger_Kilometre_by_mode_type[#All],MATCH(A36, Passenger_Kilometre_by_mode_type[#Headers],0),0)</f>
        <v>41186265414.625694</v>
      </c>
      <c r="F36" s="89">
        <f>VLOOKUP(C36, Reason_for_car_journeys_by_percentage[#All],MATCH(A36, Reason_for_car_journeys_by_percentage[#Headers],0),0)/100</f>
        <v>6.7250000000000004E-2</v>
      </c>
      <c r="G36" s="13">
        <f t="shared" si="0"/>
        <v>2769776349.1335783</v>
      </c>
      <c r="H36" s="89">
        <f>VLOOKUP(D36,Average_Distance_by_kilometre_grouping_for_mode_type[#All],MATCH(A36,Average_Distance_by_kilometre_grouping_for_mode_type[#Headers],0),0)</f>
        <v>7</v>
      </c>
      <c r="I36" s="89">
        <f>VLOOKUP(D36,Average_Distance_by_kilometres_grouping_for_trip_purpose[#All],MATCH(A36,Average_Distance_by_kilometres_grouping_for_trip_purpose[#Headers],0),0)</f>
        <v>7</v>
      </c>
      <c r="J36" s="89">
        <f t="shared" si="1"/>
        <v>7</v>
      </c>
      <c r="K36" s="89">
        <f t="shared" si="2"/>
        <v>0.14757035943923263</v>
      </c>
      <c r="L36" s="89">
        <v>1</v>
      </c>
      <c r="M36" s="13">
        <f t="shared" si="3"/>
        <v>408736891.40792763</v>
      </c>
      <c r="N36" s="89">
        <f t="shared" si="4"/>
        <v>6.6974406710080666E-3</v>
      </c>
    </row>
    <row r="37" spans="1:14" x14ac:dyDescent="0.25">
      <c r="A37" s="79" t="s">
        <v>128</v>
      </c>
      <c r="B37" s="89" t="s">
        <v>5</v>
      </c>
      <c r="C37" s="89" t="s">
        <v>93</v>
      </c>
      <c r="D37" s="13" t="s">
        <v>1</v>
      </c>
      <c r="E37" s="35">
        <f>VLOOKUP(B37, Passenger_Kilometre_by_mode_type[#All],MATCH(A37, Passenger_Kilometre_by_mode_type[#Headers],0),0)</f>
        <v>41186265414.625694</v>
      </c>
      <c r="F37" s="89">
        <f>VLOOKUP(C37, Reason_for_car_journeys_by_percentage[#All],MATCH(A37, Reason_for_car_journeys_by_percentage[#Headers],0),0)/100</f>
        <v>6.7250000000000004E-2</v>
      </c>
      <c r="G37" s="13">
        <f t="shared" si="0"/>
        <v>2769776349.1335783</v>
      </c>
      <c r="H37" s="89">
        <f>VLOOKUP(D37,Average_Distance_by_kilometre_grouping_for_mode_type[#All],MATCH(A37,Average_Distance_by_kilometre_grouping_for_mode_type[#Headers],0),0)</f>
        <v>30.1</v>
      </c>
      <c r="I37" s="89">
        <f>VLOOKUP(D37,Average_Distance_by_kilometres_grouping_for_trip_purpose[#All],MATCH(A37,Average_Distance_by_kilometres_grouping_for_trip_purpose[#Headers],0),0)</f>
        <v>32.770000000000003</v>
      </c>
      <c r="J37" s="89">
        <f t="shared" si="1"/>
        <v>31.435000000000002</v>
      </c>
      <c r="K37" s="89">
        <f t="shared" si="2"/>
        <v>0.66269632128175404</v>
      </c>
      <c r="L37" s="89">
        <v>1</v>
      </c>
      <c r="M37" s="13">
        <f t="shared" si="3"/>
        <v>1835520597.3440297</v>
      </c>
      <c r="N37" s="89">
        <f t="shared" si="4"/>
        <v>3.0076292499019802E-2</v>
      </c>
    </row>
    <row r="38" spans="1:14" x14ac:dyDescent="0.25">
      <c r="A38" s="79" t="s">
        <v>128</v>
      </c>
      <c r="B38" s="89" t="s">
        <v>5</v>
      </c>
      <c r="C38" s="89" t="s">
        <v>243</v>
      </c>
      <c r="D38" s="13" t="s">
        <v>12</v>
      </c>
      <c r="E38" s="35">
        <f>VLOOKUP(B38, Passenger_Kilometre_by_mode_type[#All],MATCH(A38, Passenger_Kilometre_by_mode_type[#Headers],0),0)</f>
        <v>41186265414.625694</v>
      </c>
      <c r="F38" s="89">
        <f>VLOOKUP(C38, Reason_for_car_journeys_by_percentage[#All],MATCH(A38, Reason_for_car_journeys_by_percentage[#Headers],0),0)/100</f>
        <v>0.18149999999999999</v>
      </c>
      <c r="G38" s="13">
        <f t="shared" si="0"/>
        <v>7475307172.7545633</v>
      </c>
      <c r="H38" s="89">
        <f>VLOOKUP(D38,Average_Distance_by_kilometre_grouping_for_mode_type[#All],MATCH(A38,Average_Distance_by_kilometre_grouping_for_mode_type[#Headers],0),0)</f>
        <v>1</v>
      </c>
      <c r="I38" s="89">
        <f>VLOOKUP(D38,Average_Distance_by_kilometres_grouping_for_trip_purpose[#All],MATCH(A38,Average_Distance_by_kilometres_grouping_for_trip_purpose[#Headers],0),0)</f>
        <v>1</v>
      </c>
      <c r="J38" s="89">
        <f t="shared" si="1"/>
        <v>1</v>
      </c>
      <c r="K38" s="89">
        <f t="shared" si="2"/>
        <v>2.1081479919890376E-2</v>
      </c>
      <c r="L38" s="89">
        <v>1</v>
      </c>
      <c r="M38" s="13">
        <f t="shared" si="3"/>
        <v>157590538.05743784</v>
      </c>
      <c r="N38" s="89">
        <f t="shared" si="4"/>
        <v>2.5822315067189888E-3</v>
      </c>
    </row>
    <row r="39" spans="1:14" x14ac:dyDescent="0.25">
      <c r="A39" s="79" t="s">
        <v>128</v>
      </c>
      <c r="B39" s="89" t="s">
        <v>5</v>
      </c>
      <c r="C39" s="89" t="s">
        <v>243</v>
      </c>
      <c r="D39" s="13" t="s">
        <v>181</v>
      </c>
      <c r="E39" s="35">
        <f>VLOOKUP(B39, Passenger_Kilometre_by_mode_type[#All],MATCH(A39, Passenger_Kilometre_by_mode_type[#Headers],0),0)</f>
        <v>41186265414.625694</v>
      </c>
      <c r="F39" s="89">
        <f>VLOOKUP(C39, Reason_for_car_journeys_by_percentage[#All],MATCH(A39, Reason_for_car_journeys_by_percentage[#Headers],0),0)/100</f>
        <v>0.18149999999999999</v>
      </c>
      <c r="G39" s="13">
        <f t="shared" si="0"/>
        <v>7475307172.7545633</v>
      </c>
      <c r="H39" s="89">
        <f>VLOOKUP(D39,Average_Distance_by_kilometre_grouping_for_mode_type[#All],MATCH(A39,Average_Distance_by_kilometre_grouping_for_mode_type[#Headers],0),0)</f>
        <v>3</v>
      </c>
      <c r="I39" s="89">
        <f>VLOOKUP(D39,Average_Distance_by_kilometres_grouping_for_trip_purpose[#All],MATCH(A39,Average_Distance_by_kilometres_grouping_for_trip_purpose[#Headers],0),0)</f>
        <v>3</v>
      </c>
      <c r="J39" s="89">
        <f t="shared" si="1"/>
        <v>3</v>
      </c>
      <c r="K39" s="89">
        <f t="shared" si="2"/>
        <v>6.3244439759671131E-2</v>
      </c>
      <c r="L39" s="89">
        <v>1</v>
      </c>
      <c r="M39" s="13">
        <f t="shared" si="3"/>
        <v>472771614.17231351</v>
      </c>
      <c r="N39" s="89">
        <f t="shared" si="4"/>
        <v>7.7466945201569663E-3</v>
      </c>
    </row>
    <row r="40" spans="1:14" x14ac:dyDescent="0.25">
      <c r="A40" s="79" t="s">
        <v>128</v>
      </c>
      <c r="B40" s="89" t="s">
        <v>5</v>
      </c>
      <c r="C40" s="89" t="s">
        <v>243</v>
      </c>
      <c r="D40" s="13" t="s">
        <v>180</v>
      </c>
      <c r="E40" s="35">
        <f>VLOOKUP(B40, Passenger_Kilometre_by_mode_type[#All],MATCH(A40, Passenger_Kilometre_by_mode_type[#Headers],0),0)</f>
        <v>41186265414.625694</v>
      </c>
      <c r="F40" s="89">
        <f>VLOOKUP(C40, Reason_for_car_journeys_by_percentage[#All],MATCH(A40, Reason_for_car_journeys_by_percentage[#Headers],0),0)/100</f>
        <v>0.18149999999999999</v>
      </c>
      <c r="G40" s="13">
        <f t="shared" si="0"/>
        <v>7475307172.7545633</v>
      </c>
      <c r="H40" s="89">
        <f>VLOOKUP(D40,Average_Distance_by_kilometre_grouping_for_mode_type[#All],MATCH(A40,Average_Distance_by_kilometre_grouping_for_mode_type[#Headers],0),0)</f>
        <v>5</v>
      </c>
      <c r="I40" s="89">
        <f>VLOOKUP(D40,Average_Distance_by_kilometres_grouping_for_trip_purpose[#All],MATCH(A40,Average_Distance_by_kilometres_grouping_for_trip_purpose[#Headers],0),0)</f>
        <v>5</v>
      </c>
      <c r="J40" s="89">
        <f t="shared" si="1"/>
        <v>5</v>
      </c>
      <c r="K40" s="89">
        <f t="shared" si="2"/>
        <v>0.10540739959945188</v>
      </c>
      <c r="L40" s="89">
        <v>1</v>
      </c>
      <c r="M40" s="13">
        <f t="shared" si="3"/>
        <v>787952690.28718913</v>
      </c>
      <c r="N40" s="89">
        <f t="shared" si="4"/>
        <v>1.2911157533594944E-2</v>
      </c>
    </row>
    <row r="41" spans="1:14" x14ac:dyDescent="0.25">
      <c r="A41" s="79" t="s">
        <v>128</v>
      </c>
      <c r="B41" s="89" t="s">
        <v>5</v>
      </c>
      <c r="C41" s="89" t="s">
        <v>243</v>
      </c>
      <c r="D41" s="13" t="s">
        <v>182</v>
      </c>
      <c r="E41" s="35">
        <f>VLOOKUP(B41, Passenger_Kilometre_by_mode_type[#All],MATCH(A41, Passenger_Kilometre_by_mode_type[#Headers],0),0)</f>
        <v>41186265414.625694</v>
      </c>
      <c r="F41" s="89">
        <f>VLOOKUP(C41, Reason_for_car_journeys_by_percentage[#All],MATCH(A41, Reason_for_car_journeys_by_percentage[#Headers],0),0)/100</f>
        <v>0.18149999999999999</v>
      </c>
      <c r="G41" s="13">
        <f t="shared" si="0"/>
        <v>7475307172.7545633</v>
      </c>
      <c r="H41" s="89">
        <f>VLOOKUP(D41,Average_Distance_by_kilometre_grouping_for_mode_type[#All],MATCH(A41,Average_Distance_by_kilometre_grouping_for_mode_type[#Headers],0),0)</f>
        <v>7</v>
      </c>
      <c r="I41" s="89">
        <f>VLOOKUP(D41,Average_Distance_by_kilometres_grouping_for_trip_purpose[#All],MATCH(A41,Average_Distance_by_kilometres_grouping_for_trip_purpose[#Headers],0),0)</f>
        <v>7</v>
      </c>
      <c r="J41" s="89">
        <f t="shared" si="1"/>
        <v>7</v>
      </c>
      <c r="K41" s="89">
        <f t="shared" si="2"/>
        <v>0.14757035943923263</v>
      </c>
      <c r="L41" s="89">
        <v>1</v>
      </c>
      <c r="M41" s="13">
        <f t="shared" si="3"/>
        <v>1103133766.4020648</v>
      </c>
      <c r="N41" s="89">
        <f t="shared" si="4"/>
        <v>1.807562054703292E-2</v>
      </c>
    </row>
    <row r="42" spans="1:14" x14ac:dyDescent="0.25">
      <c r="A42" s="79" t="s">
        <v>128</v>
      </c>
      <c r="B42" s="89" t="s">
        <v>5</v>
      </c>
      <c r="C42" s="89" t="s">
        <v>243</v>
      </c>
      <c r="D42" s="13" t="s">
        <v>1</v>
      </c>
      <c r="E42" s="35">
        <f>VLOOKUP(B42, Passenger_Kilometre_by_mode_type[#All],MATCH(A42, Passenger_Kilometre_by_mode_type[#Headers],0),0)</f>
        <v>41186265414.625694</v>
      </c>
      <c r="F42" s="89">
        <f>VLOOKUP(C42, Reason_for_car_journeys_by_percentage[#All],MATCH(A42, Reason_for_car_journeys_by_percentage[#Headers],0),0)/100</f>
        <v>0.18149999999999999</v>
      </c>
      <c r="G42" s="13">
        <f t="shared" si="0"/>
        <v>7475307172.7545633</v>
      </c>
      <c r="H42" s="89">
        <f>VLOOKUP(D42,Average_Distance_by_kilometre_grouping_for_mode_type[#All],MATCH(A42,Average_Distance_by_kilometre_grouping_for_mode_type[#Headers],0),0)</f>
        <v>30.1</v>
      </c>
      <c r="I42" s="89">
        <f>VLOOKUP(D42,Average_Distance_by_kilometres_grouping_for_trip_purpose[#All],MATCH(A42,Average_Distance_by_kilometres_grouping_for_trip_purpose[#Headers],0),0)</f>
        <v>32.770000000000003</v>
      </c>
      <c r="J42" s="89">
        <f t="shared" si="1"/>
        <v>31.435000000000002</v>
      </c>
      <c r="K42" s="89">
        <f t="shared" si="2"/>
        <v>0.66269632128175404</v>
      </c>
      <c r="L42" s="89">
        <v>1</v>
      </c>
      <c r="M42" s="13">
        <f t="shared" si="3"/>
        <v>4953858563.8355589</v>
      </c>
      <c r="N42" s="89">
        <f t="shared" si="4"/>
        <v>8.1172447413711421E-2</v>
      </c>
    </row>
    <row r="43" spans="1:14" x14ac:dyDescent="0.25">
      <c r="A43" s="79" t="s">
        <v>128</v>
      </c>
      <c r="B43" s="89" t="s">
        <v>5</v>
      </c>
      <c r="C43" s="89" t="s">
        <v>50</v>
      </c>
      <c r="D43" s="13" t="s">
        <v>12</v>
      </c>
      <c r="E43" s="35">
        <f>VLOOKUP(B43, Passenger_Kilometre_by_mode_type[#All],MATCH(A43, Passenger_Kilometre_by_mode_type[#Headers],0),0)</f>
        <v>41186265414.625694</v>
      </c>
      <c r="F43" s="89">
        <f>VLOOKUP(C43, Reason_for_car_journeys_by_percentage[#All],MATCH(A43, Reason_for_car_journeys_by_percentage[#Headers],0),0)/100</f>
        <v>3.4750000000000003E-2</v>
      </c>
      <c r="G43" s="13">
        <f t="shared" si="0"/>
        <v>1431222723.1582429</v>
      </c>
      <c r="H43" s="89">
        <f>VLOOKUP(D43,Average_Distance_by_kilometre_grouping_for_mode_type[#All],MATCH(A43,Average_Distance_by_kilometre_grouping_for_mode_type[#Headers],0),0)</f>
        <v>1</v>
      </c>
      <c r="I43" s="89">
        <f>VLOOKUP(D43,Average_Distance_by_kilometres_grouping_for_trip_purpose[#All],MATCH(A43,Average_Distance_by_kilometres_grouping_for_trip_purpose[#Headers],0),0)</f>
        <v>1</v>
      </c>
      <c r="J43" s="89">
        <f t="shared" si="1"/>
        <v>1</v>
      </c>
      <c r="K43" s="89">
        <f t="shared" si="2"/>
        <v>2.1081479919890376E-2</v>
      </c>
      <c r="L43" s="89">
        <v>1</v>
      </c>
      <c r="M43" s="13">
        <f t="shared" si="3"/>
        <v>30172293.099151321</v>
      </c>
      <c r="N43" s="89">
        <f t="shared" si="4"/>
        <v>4.943941865481259E-4</v>
      </c>
    </row>
    <row r="44" spans="1:14" x14ac:dyDescent="0.25">
      <c r="A44" s="79" t="s">
        <v>128</v>
      </c>
      <c r="B44" s="89" t="s">
        <v>5</v>
      </c>
      <c r="C44" s="89" t="s">
        <v>50</v>
      </c>
      <c r="D44" s="13" t="s">
        <v>181</v>
      </c>
      <c r="E44" s="35">
        <f>VLOOKUP(B44, Passenger_Kilometre_by_mode_type[#All],MATCH(A44, Passenger_Kilometre_by_mode_type[#Headers],0),0)</f>
        <v>41186265414.625694</v>
      </c>
      <c r="F44" s="89">
        <f>VLOOKUP(C44, Reason_for_car_journeys_by_percentage[#All],MATCH(A44, Reason_for_car_journeys_by_percentage[#Headers],0),0)/100</f>
        <v>3.4750000000000003E-2</v>
      </c>
      <c r="G44" s="13">
        <f t="shared" si="0"/>
        <v>1431222723.1582429</v>
      </c>
      <c r="H44" s="89">
        <f>VLOOKUP(D44,Average_Distance_by_kilometre_grouping_for_mode_type[#All],MATCH(A44,Average_Distance_by_kilometre_grouping_for_mode_type[#Headers],0),0)</f>
        <v>3</v>
      </c>
      <c r="I44" s="89">
        <f>VLOOKUP(D44,Average_Distance_by_kilometres_grouping_for_trip_purpose[#All],MATCH(A44,Average_Distance_by_kilometres_grouping_for_trip_purpose[#Headers],0),0)</f>
        <v>3</v>
      </c>
      <c r="J44" s="89">
        <f t="shared" si="1"/>
        <v>3</v>
      </c>
      <c r="K44" s="89">
        <f t="shared" si="2"/>
        <v>6.3244439759671131E-2</v>
      </c>
      <c r="L44" s="89">
        <v>1</v>
      </c>
      <c r="M44" s="13">
        <f t="shared" si="3"/>
        <v>90516879.29745397</v>
      </c>
      <c r="N44" s="89">
        <f t="shared" si="4"/>
        <v>1.4831825596443779E-3</v>
      </c>
    </row>
    <row r="45" spans="1:14" x14ac:dyDescent="0.25">
      <c r="A45" s="79" t="s">
        <v>128</v>
      </c>
      <c r="B45" s="89" t="s">
        <v>5</v>
      </c>
      <c r="C45" s="89" t="s">
        <v>50</v>
      </c>
      <c r="D45" s="13" t="s">
        <v>180</v>
      </c>
      <c r="E45" s="35">
        <f>VLOOKUP(B45, Passenger_Kilometre_by_mode_type[#All],MATCH(A45, Passenger_Kilometre_by_mode_type[#Headers],0),0)</f>
        <v>41186265414.625694</v>
      </c>
      <c r="F45" s="89">
        <f>VLOOKUP(C45, Reason_for_car_journeys_by_percentage[#All],MATCH(A45, Reason_for_car_journeys_by_percentage[#Headers],0),0)/100</f>
        <v>3.4750000000000003E-2</v>
      </c>
      <c r="G45" s="13">
        <f t="shared" si="0"/>
        <v>1431222723.1582429</v>
      </c>
      <c r="H45" s="89">
        <f>VLOOKUP(D45,Average_Distance_by_kilometre_grouping_for_mode_type[#All],MATCH(A45,Average_Distance_by_kilometre_grouping_for_mode_type[#Headers],0),0)</f>
        <v>5</v>
      </c>
      <c r="I45" s="89">
        <f>VLOOKUP(D45,Average_Distance_by_kilometres_grouping_for_trip_purpose[#All],MATCH(A45,Average_Distance_by_kilometres_grouping_for_trip_purpose[#Headers],0),0)</f>
        <v>5</v>
      </c>
      <c r="J45" s="89">
        <f t="shared" si="1"/>
        <v>5</v>
      </c>
      <c r="K45" s="89">
        <f t="shared" si="2"/>
        <v>0.10540739959945188</v>
      </c>
      <c r="L45" s="89">
        <v>1</v>
      </c>
      <c r="M45" s="13">
        <f t="shared" si="3"/>
        <v>150861465.4957566</v>
      </c>
      <c r="N45" s="89">
        <f t="shared" si="4"/>
        <v>2.4719709327406295E-3</v>
      </c>
    </row>
    <row r="46" spans="1:14" x14ac:dyDescent="0.25">
      <c r="A46" s="79" t="s">
        <v>128</v>
      </c>
      <c r="B46" s="89" t="s">
        <v>5</v>
      </c>
      <c r="C46" s="89" t="s">
        <v>50</v>
      </c>
      <c r="D46" s="13" t="s">
        <v>182</v>
      </c>
      <c r="E46" s="35">
        <f>VLOOKUP(B46, Passenger_Kilometre_by_mode_type[#All],MATCH(A46, Passenger_Kilometre_by_mode_type[#Headers],0),0)</f>
        <v>41186265414.625694</v>
      </c>
      <c r="F46" s="89">
        <f>VLOOKUP(C46, Reason_for_car_journeys_by_percentage[#All],MATCH(A46, Reason_for_car_journeys_by_percentage[#Headers],0),0)/100</f>
        <v>3.4750000000000003E-2</v>
      </c>
      <c r="G46" s="13">
        <f t="shared" si="0"/>
        <v>1431222723.1582429</v>
      </c>
      <c r="H46" s="89">
        <f>VLOOKUP(D46,Average_Distance_by_kilometre_grouping_for_mode_type[#All],MATCH(A46,Average_Distance_by_kilometre_grouping_for_mode_type[#Headers],0),0)</f>
        <v>7</v>
      </c>
      <c r="I46" s="89">
        <f>VLOOKUP(D46,Average_Distance_by_kilometres_grouping_for_trip_purpose[#All],MATCH(A46,Average_Distance_by_kilometres_grouping_for_trip_purpose[#Headers],0),0)</f>
        <v>7</v>
      </c>
      <c r="J46" s="89">
        <f t="shared" si="1"/>
        <v>7</v>
      </c>
      <c r="K46" s="89">
        <f t="shared" si="2"/>
        <v>0.14757035943923263</v>
      </c>
      <c r="L46" s="89">
        <v>1</v>
      </c>
      <c r="M46" s="13">
        <f t="shared" si="3"/>
        <v>211206051.69405925</v>
      </c>
      <c r="N46" s="89">
        <f t="shared" si="4"/>
        <v>3.4607593058368817E-3</v>
      </c>
    </row>
    <row r="47" spans="1:14" x14ac:dyDescent="0.25">
      <c r="A47" s="79" t="s">
        <v>128</v>
      </c>
      <c r="B47" s="89" t="s">
        <v>5</v>
      </c>
      <c r="C47" s="89" t="s">
        <v>50</v>
      </c>
      <c r="D47" s="13" t="s">
        <v>1</v>
      </c>
      <c r="E47" s="35">
        <f>VLOOKUP(B47, Passenger_Kilometre_by_mode_type[#All],MATCH(A47, Passenger_Kilometre_by_mode_type[#Headers],0),0)</f>
        <v>41186265414.625694</v>
      </c>
      <c r="F47" s="89">
        <f>VLOOKUP(C47, Reason_for_car_journeys_by_percentage[#All],MATCH(A47, Reason_for_car_journeys_by_percentage[#Headers],0),0)/100</f>
        <v>3.4750000000000003E-2</v>
      </c>
      <c r="G47" s="13">
        <f t="shared" si="0"/>
        <v>1431222723.1582429</v>
      </c>
      <c r="H47" s="89">
        <f>VLOOKUP(D47,Average_Distance_by_kilometre_grouping_for_mode_type[#All],MATCH(A47,Average_Distance_by_kilometre_grouping_for_mode_type[#Headers],0),0)</f>
        <v>30.1</v>
      </c>
      <c r="I47" s="89">
        <f>VLOOKUP(D47,Average_Distance_by_kilometres_grouping_for_trip_purpose[#All],MATCH(A47,Average_Distance_by_kilometres_grouping_for_trip_purpose[#Headers],0),0)</f>
        <v>32.770000000000003</v>
      </c>
      <c r="J47" s="89">
        <f t="shared" si="1"/>
        <v>31.435000000000002</v>
      </c>
      <c r="K47" s="89">
        <f t="shared" si="2"/>
        <v>0.66269632128175404</v>
      </c>
      <c r="L47" s="89">
        <v>1</v>
      </c>
      <c r="M47" s="13">
        <f t="shared" si="3"/>
        <v>948466033.57182193</v>
      </c>
      <c r="N47" s="89">
        <f t="shared" si="4"/>
        <v>1.5541281254140341E-2</v>
      </c>
    </row>
    <row r="48" spans="1:14" x14ac:dyDescent="0.25">
      <c r="A48" s="79" t="s">
        <v>128</v>
      </c>
      <c r="B48" s="89" t="s">
        <v>6</v>
      </c>
      <c r="C48" s="89" t="s">
        <v>42</v>
      </c>
      <c r="D48" s="13" t="s">
        <v>12</v>
      </c>
      <c r="E48" s="35">
        <f>VLOOKUP(B48, Passenger_Kilometre_by_mode_type[#All],MATCH(A48, Passenger_Kilometre_by_mode_type[#Headers],0),0)</f>
        <v>7789254559.7352896</v>
      </c>
      <c r="F48" s="89">
        <f>VLOOKUP(C48, Reason_for_car_journeys_by_percentage[#All],MATCH(A48, Reason_for_car_journeys_by_percentage[#Headers],0),0)/100</f>
        <v>0.24349999999999997</v>
      </c>
      <c r="G48" s="13">
        <f t="shared" si="0"/>
        <v>1896683485.2955427</v>
      </c>
      <c r="H48" s="89">
        <f>VLOOKUP(D48,Average_Distance_by_kilometre_grouping_for_mode_type[#All],MATCH(A48,Average_Distance_by_kilometre_grouping_for_mode_type[#Headers],0),0)</f>
        <v>1</v>
      </c>
      <c r="I48" s="89">
        <f>VLOOKUP(D48,Average_Distance_by_kilometres_grouping_for_trip_purpose[#All],MATCH(A48,Average_Distance_by_kilometres_grouping_for_trip_purpose[#Headers],0),0)</f>
        <v>1</v>
      </c>
      <c r="J48" s="89">
        <f t="shared" si="1"/>
        <v>1</v>
      </c>
      <c r="K48" s="89">
        <f t="shared" si="2"/>
        <v>2.1081479919890376E-2</v>
      </c>
      <c r="L48" s="89">
        <v>1</v>
      </c>
      <c r="M48" s="13">
        <f t="shared" si="3"/>
        <v>39984894.809645675</v>
      </c>
      <c r="N48" s="89">
        <f t="shared" si="4"/>
        <v>6.5518054854714358E-4</v>
      </c>
    </row>
    <row r="49" spans="1:14" x14ac:dyDescent="0.25">
      <c r="A49" s="79" t="s">
        <v>128</v>
      </c>
      <c r="B49" s="89" t="s">
        <v>6</v>
      </c>
      <c r="C49" s="89" t="s">
        <v>42</v>
      </c>
      <c r="D49" s="13" t="s">
        <v>181</v>
      </c>
      <c r="E49" s="35">
        <f>VLOOKUP(B49, Passenger_Kilometre_by_mode_type[#All],MATCH(A49, Passenger_Kilometre_by_mode_type[#Headers],0),0)</f>
        <v>7789254559.7352896</v>
      </c>
      <c r="F49" s="89">
        <f>VLOOKUP(C49, Reason_for_car_journeys_by_percentage[#All],MATCH(A49, Reason_for_car_journeys_by_percentage[#Headers],0),0)/100</f>
        <v>0.24349999999999997</v>
      </c>
      <c r="G49" s="13">
        <f t="shared" si="0"/>
        <v>1896683485.2955427</v>
      </c>
      <c r="H49" s="89">
        <f>VLOOKUP(D49,Average_Distance_by_kilometre_grouping_for_mode_type[#All],MATCH(A49,Average_Distance_by_kilometre_grouping_for_mode_type[#Headers],0),0)</f>
        <v>3</v>
      </c>
      <c r="I49" s="89">
        <f>VLOOKUP(D49,Average_Distance_by_kilometres_grouping_for_trip_purpose[#All],MATCH(A49,Average_Distance_by_kilometres_grouping_for_trip_purpose[#Headers],0),0)</f>
        <v>3</v>
      </c>
      <c r="J49" s="89">
        <f t="shared" si="1"/>
        <v>3</v>
      </c>
      <c r="K49" s="89">
        <f t="shared" si="2"/>
        <v>6.3244439759671131E-2</v>
      </c>
      <c r="L49" s="89">
        <v>1</v>
      </c>
      <c r="M49" s="13">
        <f t="shared" si="3"/>
        <v>119954684.42893703</v>
      </c>
      <c r="N49" s="89">
        <f t="shared" si="4"/>
        <v>1.9655416456414308E-3</v>
      </c>
    </row>
    <row r="50" spans="1:14" x14ac:dyDescent="0.25">
      <c r="A50" s="79" t="s">
        <v>128</v>
      </c>
      <c r="B50" s="89" t="s">
        <v>6</v>
      </c>
      <c r="C50" s="89" t="s">
        <v>42</v>
      </c>
      <c r="D50" s="13" t="s">
        <v>180</v>
      </c>
      <c r="E50" s="35">
        <f>VLOOKUP(B50, Passenger_Kilometre_by_mode_type[#All],MATCH(A50, Passenger_Kilometre_by_mode_type[#Headers],0),0)</f>
        <v>7789254559.7352896</v>
      </c>
      <c r="F50" s="89">
        <f>VLOOKUP(C50, Reason_for_car_journeys_by_percentage[#All],MATCH(A50, Reason_for_car_journeys_by_percentage[#Headers],0),0)/100</f>
        <v>0.24349999999999997</v>
      </c>
      <c r="G50" s="13">
        <f t="shared" si="0"/>
        <v>1896683485.2955427</v>
      </c>
      <c r="H50" s="89">
        <f>VLOOKUP(D50,Average_Distance_by_kilometre_grouping_for_mode_type[#All],MATCH(A50,Average_Distance_by_kilometre_grouping_for_mode_type[#Headers],0),0)</f>
        <v>5</v>
      </c>
      <c r="I50" s="89">
        <f>VLOOKUP(D50,Average_Distance_by_kilometres_grouping_for_trip_purpose[#All],MATCH(A50,Average_Distance_by_kilometres_grouping_for_trip_purpose[#Headers],0),0)</f>
        <v>5</v>
      </c>
      <c r="J50" s="89">
        <f t="shared" si="1"/>
        <v>5</v>
      </c>
      <c r="K50" s="89">
        <f t="shared" si="2"/>
        <v>0.10540739959945188</v>
      </c>
      <c r="L50" s="89">
        <v>1</v>
      </c>
      <c r="M50" s="13">
        <f t="shared" si="3"/>
        <v>199924474.04822838</v>
      </c>
      <c r="N50" s="89">
        <f t="shared" si="4"/>
        <v>3.2759027427357178E-3</v>
      </c>
    </row>
    <row r="51" spans="1:14" x14ac:dyDescent="0.25">
      <c r="A51" s="79" t="s">
        <v>128</v>
      </c>
      <c r="B51" s="89" t="s">
        <v>6</v>
      </c>
      <c r="C51" s="89" t="s">
        <v>42</v>
      </c>
      <c r="D51" s="13" t="s">
        <v>182</v>
      </c>
      <c r="E51" s="35">
        <f>VLOOKUP(B51, Passenger_Kilometre_by_mode_type[#All],MATCH(A51, Passenger_Kilometre_by_mode_type[#Headers],0),0)</f>
        <v>7789254559.7352896</v>
      </c>
      <c r="F51" s="89">
        <f>VLOOKUP(C51, Reason_for_car_journeys_by_percentage[#All],MATCH(A51, Reason_for_car_journeys_by_percentage[#Headers],0),0)/100</f>
        <v>0.24349999999999997</v>
      </c>
      <c r="G51" s="13">
        <f t="shared" si="0"/>
        <v>1896683485.2955427</v>
      </c>
      <c r="H51" s="89">
        <f>VLOOKUP(D51,Average_Distance_by_kilometre_grouping_for_mode_type[#All],MATCH(A51,Average_Distance_by_kilometre_grouping_for_mode_type[#Headers],0),0)</f>
        <v>7</v>
      </c>
      <c r="I51" s="89">
        <f>VLOOKUP(D51,Average_Distance_by_kilometres_grouping_for_trip_purpose[#All],MATCH(A51,Average_Distance_by_kilometres_grouping_for_trip_purpose[#Headers],0),0)</f>
        <v>7</v>
      </c>
      <c r="J51" s="89">
        <f t="shared" si="1"/>
        <v>7</v>
      </c>
      <c r="K51" s="89">
        <f t="shared" si="2"/>
        <v>0.14757035943923263</v>
      </c>
      <c r="L51" s="89">
        <v>1</v>
      </c>
      <c r="M51" s="13">
        <f t="shared" si="3"/>
        <v>279894263.66751975</v>
      </c>
      <c r="N51" s="89">
        <f t="shared" si="4"/>
        <v>4.5862638398300052E-3</v>
      </c>
    </row>
    <row r="52" spans="1:14" x14ac:dyDescent="0.25">
      <c r="A52" s="79" t="s">
        <v>128</v>
      </c>
      <c r="B52" s="89" t="s">
        <v>6</v>
      </c>
      <c r="C52" s="89" t="s">
        <v>42</v>
      </c>
      <c r="D52" s="13" t="s">
        <v>1</v>
      </c>
      <c r="E52" s="35">
        <f>VLOOKUP(B52, Passenger_Kilometre_by_mode_type[#All],MATCH(A52, Passenger_Kilometre_by_mode_type[#Headers],0),0)</f>
        <v>7789254559.7352896</v>
      </c>
      <c r="F52" s="89">
        <f>VLOOKUP(C52, Reason_for_car_journeys_by_percentage[#All],MATCH(A52, Reason_for_car_journeys_by_percentage[#Headers],0),0)/100</f>
        <v>0.24349999999999997</v>
      </c>
      <c r="G52" s="13">
        <f t="shared" si="0"/>
        <v>1896683485.2955427</v>
      </c>
      <c r="H52" s="89">
        <f>VLOOKUP(D52,Average_Distance_by_kilometre_grouping_for_mode_type[#All],MATCH(A52,Average_Distance_by_kilometre_grouping_for_mode_type[#Headers],0),0)</f>
        <v>30.1</v>
      </c>
      <c r="I52" s="89">
        <f>VLOOKUP(D52,Average_Distance_by_kilometres_grouping_for_trip_purpose[#All],MATCH(A52,Average_Distance_by_kilometres_grouping_for_trip_purpose[#Headers],0),0)</f>
        <v>32.770000000000003</v>
      </c>
      <c r="J52" s="89">
        <f t="shared" si="1"/>
        <v>31.435000000000002</v>
      </c>
      <c r="K52" s="89">
        <f t="shared" si="2"/>
        <v>0.66269632128175404</v>
      </c>
      <c r="L52" s="89">
        <v>1</v>
      </c>
      <c r="M52" s="13">
        <f t="shared" si="3"/>
        <v>1256925168.341212</v>
      </c>
      <c r="N52" s="89">
        <f t="shared" si="4"/>
        <v>2.0595600543579461E-2</v>
      </c>
    </row>
    <row r="53" spans="1:14" x14ac:dyDescent="0.25">
      <c r="A53" s="79" t="s">
        <v>128</v>
      </c>
      <c r="B53" s="89" t="s">
        <v>6</v>
      </c>
      <c r="C53" s="89" t="s">
        <v>43</v>
      </c>
      <c r="D53" s="13" t="s">
        <v>12</v>
      </c>
      <c r="E53" s="35">
        <f>VLOOKUP(B53, Passenger_Kilometre_by_mode_type[#All],MATCH(A53, Passenger_Kilometre_by_mode_type[#Headers],0),0)</f>
        <v>7789254559.7352896</v>
      </c>
      <c r="F53" s="89">
        <f>VLOOKUP(C53, Reason_for_car_journeys_by_percentage[#All],MATCH(A53, Reason_for_car_journeys_by_percentage[#Headers],0),0)/100</f>
        <v>3.5499999999999997E-2</v>
      </c>
      <c r="G53" s="13">
        <f t="shared" si="0"/>
        <v>276518536.87060273</v>
      </c>
      <c r="H53" s="89">
        <f>VLOOKUP(D53,Average_Distance_by_kilometre_grouping_for_mode_type[#All],MATCH(A53,Average_Distance_by_kilometre_grouping_for_mode_type[#Headers],0),0)</f>
        <v>1</v>
      </c>
      <c r="I53" s="89">
        <f>VLOOKUP(D53,Average_Distance_by_kilometres_grouping_for_trip_purpose[#All],MATCH(A53,Average_Distance_by_kilometres_grouping_for_trip_purpose[#Headers],0),0)</f>
        <v>1</v>
      </c>
      <c r="J53" s="89">
        <f t="shared" si="1"/>
        <v>1</v>
      </c>
      <c r="K53" s="89">
        <f t="shared" si="2"/>
        <v>2.1081479919890376E-2</v>
      </c>
      <c r="L53" s="89">
        <v>1</v>
      </c>
      <c r="M53" s="13">
        <f t="shared" si="3"/>
        <v>5829419.982515078</v>
      </c>
      <c r="N53" s="89">
        <f t="shared" si="4"/>
        <v>9.551913541447063E-5</v>
      </c>
    </row>
    <row r="54" spans="1:14" x14ac:dyDescent="0.25">
      <c r="A54" s="79" t="s">
        <v>128</v>
      </c>
      <c r="B54" s="89" t="s">
        <v>6</v>
      </c>
      <c r="C54" s="89" t="s">
        <v>43</v>
      </c>
      <c r="D54" s="13" t="s">
        <v>181</v>
      </c>
      <c r="E54" s="35">
        <f>VLOOKUP(B54, Passenger_Kilometre_by_mode_type[#All],MATCH(A54, Passenger_Kilometre_by_mode_type[#Headers],0),0)</f>
        <v>7789254559.7352896</v>
      </c>
      <c r="F54" s="89">
        <f>VLOOKUP(C54, Reason_for_car_journeys_by_percentage[#All],MATCH(A54, Reason_for_car_journeys_by_percentage[#Headers],0),0)/100</f>
        <v>3.5499999999999997E-2</v>
      </c>
      <c r="G54" s="13">
        <f t="shared" si="0"/>
        <v>276518536.87060273</v>
      </c>
      <c r="H54" s="89">
        <f>VLOOKUP(D54,Average_Distance_by_kilometre_grouping_for_mode_type[#All],MATCH(A54,Average_Distance_by_kilometre_grouping_for_mode_type[#Headers],0),0)</f>
        <v>3</v>
      </c>
      <c r="I54" s="89">
        <f>VLOOKUP(D54,Average_Distance_by_kilometres_grouping_for_trip_purpose[#All],MATCH(A54,Average_Distance_by_kilometres_grouping_for_trip_purpose[#Headers],0),0)</f>
        <v>3</v>
      </c>
      <c r="J54" s="89">
        <f t="shared" si="1"/>
        <v>3</v>
      </c>
      <c r="K54" s="89">
        <f t="shared" si="2"/>
        <v>6.3244439759671131E-2</v>
      </c>
      <c r="L54" s="89">
        <v>1</v>
      </c>
      <c r="M54" s="13">
        <f t="shared" si="3"/>
        <v>17488259.947545234</v>
      </c>
      <c r="N54" s="89">
        <f t="shared" si="4"/>
        <v>2.8655740624341185E-4</v>
      </c>
    </row>
    <row r="55" spans="1:14" x14ac:dyDescent="0.25">
      <c r="A55" s="79" t="s">
        <v>128</v>
      </c>
      <c r="B55" s="89" t="s">
        <v>6</v>
      </c>
      <c r="C55" s="89" t="s">
        <v>43</v>
      </c>
      <c r="D55" s="13" t="s">
        <v>180</v>
      </c>
      <c r="E55" s="35">
        <f>VLOOKUP(B55, Passenger_Kilometre_by_mode_type[#All],MATCH(A55, Passenger_Kilometre_by_mode_type[#Headers],0),0)</f>
        <v>7789254559.7352896</v>
      </c>
      <c r="F55" s="89">
        <f>VLOOKUP(C55, Reason_for_car_journeys_by_percentage[#All],MATCH(A55, Reason_for_car_journeys_by_percentage[#Headers],0),0)/100</f>
        <v>3.5499999999999997E-2</v>
      </c>
      <c r="G55" s="13">
        <f t="shared" si="0"/>
        <v>276518536.87060273</v>
      </c>
      <c r="H55" s="89">
        <f>VLOOKUP(D55,Average_Distance_by_kilometre_grouping_for_mode_type[#All],MATCH(A55,Average_Distance_by_kilometre_grouping_for_mode_type[#Headers],0),0)</f>
        <v>5</v>
      </c>
      <c r="I55" s="89">
        <f>VLOOKUP(D55,Average_Distance_by_kilometres_grouping_for_trip_purpose[#All],MATCH(A55,Average_Distance_by_kilometres_grouping_for_trip_purpose[#Headers],0),0)</f>
        <v>5</v>
      </c>
      <c r="J55" s="89">
        <f t="shared" si="1"/>
        <v>5</v>
      </c>
      <c r="K55" s="89">
        <f t="shared" si="2"/>
        <v>0.10540739959945188</v>
      </c>
      <c r="L55" s="89">
        <v>1</v>
      </c>
      <c r="M55" s="13">
        <f t="shared" si="3"/>
        <v>29147099.91257539</v>
      </c>
      <c r="N55" s="89">
        <f t="shared" si="4"/>
        <v>4.7759567707235314E-4</v>
      </c>
    </row>
    <row r="56" spans="1:14" x14ac:dyDescent="0.25">
      <c r="A56" s="79" t="s">
        <v>128</v>
      </c>
      <c r="B56" s="89" t="s">
        <v>6</v>
      </c>
      <c r="C56" s="89" t="s">
        <v>43</v>
      </c>
      <c r="D56" s="13" t="s">
        <v>182</v>
      </c>
      <c r="E56" s="35">
        <f>VLOOKUP(B56, Passenger_Kilometre_by_mode_type[#All],MATCH(A56, Passenger_Kilometre_by_mode_type[#Headers],0),0)</f>
        <v>7789254559.7352896</v>
      </c>
      <c r="F56" s="89">
        <f>VLOOKUP(C56, Reason_for_car_journeys_by_percentage[#All],MATCH(A56, Reason_for_car_journeys_by_percentage[#Headers],0),0)/100</f>
        <v>3.5499999999999997E-2</v>
      </c>
      <c r="G56" s="13">
        <f t="shared" si="0"/>
        <v>276518536.87060273</v>
      </c>
      <c r="H56" s="89">
        <f>VLOOKUP(D56,Average_Distance_by_kilometre_grouping_for_mode_type[#All],MATCH(A56,Average_Distance_by_kilometre_grouping_for_mode_type[#Headers],0),0)</f>
        <v>7</v>
      </c>
      <c r="I56" s="89">
        <f>VLOOKUP(D56,Average_Distance_by_kilometres_grouping_for_trip_purpose[#All],MATCH(A56,Average_Distance_by_kilometres_grouping_for_trip_purpose[#Headers],0),0)</f>
        <v>7</v>
      </c>
      <c r="J56" s="89">
        <f t="shared" si="1"/>
        <v>7</v>
      </c>
      <c r="K56" s="89">
        <f t="shared" si="2"/>
        <v>0.14757035943923263</v>
      </c>
      <c r="L56" s="89">
        <v>1</v>
      </c>
      <c r="M56" s="13">
        <f t="shared" si="3"/>
        <v>40805939.87760555</v>
      </c>
      <c r="N56" s="89">
        <f t="shared" si="4"/>
        <v>6.6863394790129442E-4</v>
      </c>
    </row>
    <row r="57" spans="1:14" x14ac:dyDescent="0.25">
      <c r="A57" s="79" t="s">
        <v>128</v>
      </c>
      <c r="B57" s="89" t="s">
        <v>6</v>
      </c>
      <c r="C57" s="89" t="s">
        <v>43</v>
      </c>
      <c r="D57" s="13" t="s">
        <v>1</v>
      </c>
      <c r="E57" s="35">
        <f>VLOOKUP(B57, Passenger_Kilometre_by_mode_type[#All],MATCH(A57, Passenger_Kilometre_by_mode_type[#Headers],0),0)</f>
        <v>7789254559.7352896</v>
      </c>
      <c r="F57" s="89">
        <f>VLOOKUP(C57, Reason_for_car_journeys_by_percentage[#All],MATCH(A57, Reason_for_car_journeys_by_percentage[#Headers],0),0)/100</f>
        <v>3.5499999999999997E-2</v>
      </c>
      <c r="G57" s="13">
        <f t="shared" si="0"/>
        <v>276518536.87060273</v>
      </c>
      <c r="H57" s="89">
        <f>VLOOKUP(D57,Average_Distance_by_kilometre_grouping_for_mode_type[#All],MATCH(A57,Average_Distance_by_kilometre_grouping_for_mode_type[#Headers],0),0)</f>
        <v>30.1</v>
      </c>
      <c r="I57" s="89">
        <f>VLOOKUP(D57,Average_Distance_by_kilometres_grouping_for_trip_purpose[#All],MATCH(A57,Average_Distance_by_kilometres_grouping_for_trip_purpose[#Headers],0),0)</f>
        <v>32.770000000000003</v>
      </c>
      <c r="J57" s="89">
        <f t="shared" si="1"/>
        <v>31.435000000000002</v>
      </c>
      <c r="K57" s="89">
        <f t="shared" si="2"/>
        <v>0.66269632128175404</v>
      </c>
      <c r="L57" s="89">
        <v>1</v>
      </c>
      <c r="M57" s="13">
        <f t="shared" si="3"/>
        <v>183247817.15036151</v>
      </c>
      <c r="N57" s="89">
        <f t="shared" si="4"/>
        <v>3.0026440217538848E-3</v>
      </c>
    </row>
    <row r="58" spans="1:14" x14ac:dyDescent="0.25">
      <c r="A58" s="79" t="s">
        <v>128</v>
      </c>
      <c r="B58" s="89" t="s">
        <v>6</v>
      </c>
      <c r="C58" s="89" t="s">
        <v>44</v>
      </c>
      <c r="D58" s="13" t="s">
        <v>12</v>
      </c>
      <c r="E58" s="35">
        <f>VLOOKUP(B58, Passenger_Kilometre_by_mode_type[#All],MATCH(A58, Passenger_Kilometre_by_mode_type[#Headers],0),0)</f>
        <v>7789254559.7352896</v>
      </c>
      <c r="F58" s="89">
        <f>VLOOKUP(C58, Reason_for_car_journeys_by_percentage[#All],MATCH(A58, Reason_for_car_journeys_by_percentage[#Headers],0),0)/100</f>
        <v>0.23275000000000001</v>
      </c>
      <c r="G58" s="13">
        <f t="shared" si="0"/>
        <v>1812948998.7783887</v>
      </c>
      <c r="H58" s="89">
        <f>VLOOKUP(D58,Average_Distance_by_kilometre_grouping_for_mode_type[#All],MATCH(A58,Average_Distance_by_kilometre_grouping_for_mode_type[#Headers],0),0)</f>
        <v>1</v>
      </c>
      <c r="I58" s="89">
        <f>VLOOKUP(D58,Average_Distance_by_kilometres_grouping_for_trip_purpose[#All],MATCH(A58,Average_Distance_by_kilometres_grouping_for_trip_purpose[#Headers],0),0)</f>
        <v>1</v>
      </c>
      <c r="J58" s="89">
        <f t="shared" si="1"/>
        <v>1</v>
      </c>
      <c r="K58" s="89">
        <f t="shared" si="2"/>
        <v>2.1081479919890376E-2</v>
      </c>
      <c r="L58" s="89">
        <v>1</v>
      </c>
      <c r="M58" s="13">
        <f t="shared" si="3"/>
        <v>38219647.913531967</v>
      </c>
      <c r="N58" s="89">
        <f t="shared" si="4"/>
        <v>6.2625573993571951E-4</v>
      </c>
    </row>
    <row r="59" spans="1:14" x14ac:dyDescent="0.25">
      <c r="A59" s="79" t="s">
        <v>128</v>
      </c>
      <c r="B59" s="89" t="s">
        <v>6</v>
      </c>
      <c r="C59" s="89" t="s">
        <v>44</v>
      </c>
      <c r="D59" s="13" t="s">
        <v>181</v>
      </c>
      <c r="E59" s="35">
        <f>VLOOKUP(B59, Passenger_Kilometre_by_mode_type[#All],MATCH(A59, Passenger_Kilometre_by_mode_type[#Headers],0),0)</f>
        <v>7789254559.7352896</v>
      </c>
      <c r="F59" s="89">
        <f>VLOOKUP(C59, Reason_for_car_journeys_by_percentage[#All],MATCH(A59, Reason_for_car_journeys_by_percentage[#Headers],0),0)/100</f>
        <v>0.23275000000000001</v>
      </c>
      <c r="G59" s="13">
        <f t="shared" si="0"/>
        <v>1812948998.7783887</v>
      </c>
      <c r="H59" s="89">
        <f>VLOOKUP(D59,Average_Distance_by_kilometre_grouping_for_mode_type[#All],MATCH(A59,Average_Distance_by_kilometre_grouping_for_mode_type[#Headers],0),0)</f>
        <v>3</v>
      </c>
      <c r="I59" s="89">
        <f>VLOOKUP(D59,Average_Distance_by_kilometres_grouping_for_trip_purpose[#All],MATCH(A59,Average_Distance_by_kilometres_grouping_for_trip_purpose[#Headers],0),0)</f>
        <v>3</v>
      </c>
      <c r="J59" s="89">
        <f t="shared" si="1"/>
        <v>3</v>
      </c>
      <c r="K59" s="89">
        <f t="shared" si="2"/>
        <v>6.3244439759671131E-2</v>
      </c>
      <c r="L59" s="89">
        <v>1</v>
      </c>
      <c r="M59" s="13">
        <f t="shared" si="3"/>
        <v>114658943.74059589</v>
      </c>
      <c r="N59" s="89">
        <f t="shared" si="4"/>
        <v>1.8787672198071585E-3</v>
      </c>
    </row>
    <row r="60" spans="1:14" x14ac:dyDescent="0.25">
      <c r="A60" s="79" t="s">
        <v>128</v>
      </c>
      <c r="B60" s="89" t="s">
        <v>6</v>
      </c>
      <c r="C60" s="89" t="s">
        <v>44</v>
      </c>
      <c r="D60" s="13" t="s">
        <v>180</v>
      </c>
      <c r="E60" s="35">
        <f>VLOOKUP(B60, Passenger_Kilometre_by_mode_type[#All],MATCH(A60, Passenger_Kilometre_by_mode_type[#Headers],0),0)</f>
        <v>7789254559.7352896</v>
      </c>
      <c r="F60" s="89">
        <f>VLOOKUP(C60, Reason_for_car_journeys_by_percentage[#All],MATCH(A60, Reason_for_car_journeys_by_percentage[#Headers],0),0)/100</f>
        <v>0.23275000000000001</v>
      </c>
      <c r="G60" s="13">
        <f t="shared" si="0"/>
        <v>1812948998.7783887</v>
      </c>
      <c r="H60" s="89">
        <f>VLOOKUP(D60,Average_Distance_by_kilometre_grouping_for_mode_type[#All],MATCH(A60,Average_Distance_by_kilometre_grouping_for_mode_type[#Headers],0),0)</f>
        <v>5</v>
      </c>
      <c r="I60" s="89">
        <f>VLOOKUP(D60,Average_Distance_by_kilometres_grouping_for_trip_purpose[#All],MATCH(A60,Average_Distance_by_kilometres_grouping_for_trip_purpose[#Headers],0),0)</f>
        <v>5</v>
      </c>
      <c r="J60" s="89">
        <f t="shared" si="1"/>
        <v>5</v>
      </c>
      <c r="K60" s="89">
        <f t="shared" si="2"/>
        <v>0.10540739959945188</v>
      </c>
      <c r="L60" s="89">
        <v>1</v>
      </c>
      <c r="M60" s="13">
        <f t="shared" si="3"/>
        <v>191098239.56765983</v>
      </c>
      <c r="N60" s="89">
        <f t="shared" si="4"/>
        <v>3.1312786996785975E-3</v>
      </c>
    </row>
    <row r="61" spans="1:14" x14ac:dyDescent="0.25">
      <c r="A61" s="79" t="s">
        <v>128</v>
      </c>
      <c r="B61" s="89" t="s">
        <v>6</v>
      </c>
      <c r="C61" s="89" t="s">
        <v>44</v>
      </c>
      <c r="D61" s="13" t="s">
        <v>182</v>
      </c>
      <c r="E61" s="35">
        <f>VLOOKUP(B61, Passenger_Kilometre_by_mode_type[#All],MATCH(A61, Passenger_Kilometre_by_mode_type[#Headers],0),0)</f>
        <v>7789254559.7352896</v>
      </c>
      <c r="F61" s="89">
        <f>VLOOKUP(C61, Reason_for_car_journeys_by_percentage[#All],MATCH(A61, Reason_for_car_journeys_by_percentage[#Headers],0),0)/100</f>
        <v>0.23275000000000001</v>
      </c>
      <c r="G61" s="13">
        <f t="shared" si="0"/>
        <v>1812948998.7783887</v>
      </c>
      <c r="H61" s="89">
        <f>VLOOKUP(D61,Average_Distance_by_kilometre_grouping_for_mode_type[#All],MATCH(A61,Average_Distance_by_kilometre_grouping_for_mode_type[#Headers],0),0)</f>
        <v>7</v>
      </c>
      <c r="I61" s="89">
        <f>VLOOKUP(D61,Average_Distance_by_kilometres_grouping_for_trip_purpose[#All],MATCH(A61,Average_Distance_by_kilometres_grouping_for_trip_purpose[#Headers],0),0)</f>
        <v>7</v>
      </c>
      <c r="J61" s="89">
        <f t="shared" si="1"/>
        <v>7</v>
      </c>
      <c r="K61" s="89">
        <f t="shared" si="2"/>
        <v>0.14757035943923263</v>
      </c>
      <c r="L61" s="89">
        <v>1</v>
      </c>
      <c r="M61" s="13">
        <f t="shared" si="3"/>
        <v>267537535.39472374</v>
      </c>
      <c r="N61" s="89">
        <f t="shared" si="4"/>
        <v>4.3837901795500366E-3</v>
      </c>
    </row>
    <row r="62" spans="1:14" x14ac:dyDescent="0.25">
      <c r="A62" s="79" t="s">
        <v>128</v>
      </c>
      <c r="B62" s="89" t="s">
        <v>6</v>
      </c>
      <c r="C62" s="89" t="s">
        <v>44</v>
      </c>
      <c r="D62" s="13" t="s">
        <v>1</v>
      </c>
      <c r="E62" s="35">
        <f>VLOOKUP(B62, Passenger_Kilometre_by_mode_type[#All],MATCH(A62, Passenger_Kilometre_by_mode_type[#Headers],0),0)</f>
        <v>7789254559.7352896</v>
      </c>
      <c r="F62" s="89">
        <f>VLOOKUP(C62, Reason_for_car_journeys_by_percentage[#All],MATCH(A62, Reason_for_car_journeys_by_percentage[#Headers],0),0)/100</f>
        <v>0.23275000000000001</v>
      </c>
      <c r="G62" s="13">
        <f t="shared" si="0"/>
        <v>1812948998.7783887</v>
      </c>
      <c r="H62" s="89">
        <f>VLOOKUP(D62,Average_Distance_by_kilometre_grouping_for_mode_type[#All],MATCH(A62,Average_Distance_by_kilometre_grouping_for_mode_type[#Headers],0),0)</f>
        <v>30.1</v>
      </c>
      <c r="I62" s="89">
        <f>VLOOKUP(D62,Average_Distance_by_kilometres_grouping_for_trip_purpose[#All],MATCH(A62,Average_Distance_by_kilometres_grouping_for_trip_purpose[#Headers],0),0)</f>
        <v>32.770000000000003</v>
      </c>
      <c r="J62" s="89">
        <f t="shared" si="1"/>
        <v>31.435000000000002</v>
      </c>
      <c r="K62" s="89">
        <f t="shared" si="2"/>
        <v>0.66269632128175404</v>
      </c>
      <c r="L62" s="89">
        <v>1</v>
      </c>
      <c r="M62" s="13">
        <f t="shared" si="3"/>
        <v>1201434632.1618774</v>
      </c>
      <c r="N62" s="89">
        <f t="shared" si="4"/>
        <v>1.9686349184879343E-2</v>
      </c>
    </row>
    <row r="63" spans="1:14" x14ac:dyDescent="0.25">
      <c r="A63" s="79" t="s">
        <v>128</v>
      </c>
      <c r="B63" s="89" t="s">
        <v>6</v>
      </c>
      <c r="C63" s="89" t="s">
        <v>45</v>
      </c>
      <c r="D63" s="13" t="s">
        <v>12</v>
      </c>
      <c r="E63" s="35">
        <f>VLOOKUP(B63, Passenger_Kilometre_by_mode_type[#All],MATCH(A63, Passenger_Kilometre_by_mode_type[#Headers],0),0)</f>
        <v>7789254559.7352896</v>
      </c>
      <c r="F63" s="89">
        <f>VLOOKUP(C63, Reason_for_car_journeys_by_percentage[#All],MATCH(A63, Reason_for_car_journeys_by_percentage[#Headers],0),0)/100</f>
        <v>1.3500000000000002E-2</v>
      </c>
      <c r="G63" s="13">
        <f t="shared" si="0"/>
        <v>105154936.55642642</v>
      </c>
      <c r="H63" s="89">
        <f>VLOOKUP(D63,Average_Distance_by_kilometre_grouping_for_mode_type[#All],MATCH(A63,Average_Distance_by_kilometre_grouping_for_mode_type[#Headers],0),0)</f>
        <v>1</v>
      </c>
      <c r="I63" s="89">
        <f>VLOOKUP(D63,Average_Distance_by_kilometres_grouping_for_trip_purpose[#All],MATCH(A63,Average_Distance_by_kilometres_grouping_for_trip_purpose[#Headers],0),0)</f>
        <v>1</v>
      </c>
      <c r="J63" s="89">
        <f t="shared" si="1"/>
        <v>1</v>
      </c>
      <c r="K63" s="89">
        <f t="shared" si="2"/>
        <v>2.1081479919890376E-2</v>
      </c>
      <c r="L63" s="89">
        <v>1</v>
      </c>
      <c r="M63" s="13">
        <f t="shared" si="3"/>
        <v>2216821.68349165</v>
      </c>
      <c r="N63" s="89">
        <f t="shared" si="4"/>
        <v>3.6324178256207151E-5</v>
      </c>
    </row>
    <row r="64" spans="1:14" x14ac:dyDescent="0.25">
      <c r="A64" s="79" t="s">
        <v>128</v>
      </c>
      <c r="B64" s="89" t="s">
        <v>6</v>
      </c>
      <c r="C64" s="89" t="s">
        <v>45</v>
      </c>
      <c r="D64" s="13" t="s">
        <v>181</v>
      </c>
      <c r="E64" s="35">
        <f>VLOOKUP(B64, Passenger_Kilometre_by_mode_type[#All],MATCH(A64, Passenger_Kilometre_by_mode_type[#Headers],0),0)</f>
        <v>7789254559.7352896</v>
      </c>
      <c r="F64" s="89">
        <f>VLOOKUP(C64, Reason_for_car_journeys_by_percentage[#All],MATCH(A64, Reason_for_car_journeys_by_percentage[#Headers],0),0)/100</f>
        <v>1.3500000000000002E-2</v>
      </c>
      <c r="G64" s="13">
        <f t="shared" si="0"/>
        <v>105154936.55642642</v>
      </c>
      <c r="H64" s="89">
        <f>VLOOKUP(D64,Average_Distance_by_kilometre_grouping_for_mode_type[#All],MATCH(A64,Average_Distance_by_kilometre_grouping_for_mode_type[#Headers],0),0)</f>
        <v>3</v>
      </c>
      <c r="I64" s="89">
        <f>VLOOKUP(D64,Average_Distance_by_kilometres_grouping_for_trip_purpose[#All],MATCH(A64,Average_Distance_by_kilometres_grouping_for_trip_purpose[#Headers],0),0)</f>
        <v>3</v>
      </c>
      <c r="J64" s="89">
        <f t="shared" si="1"/>
        <v>3</v>
      </c>
      <c r="K64" s="89">
        <f t="shared" si="2"/>
        <v>6.3244439759671131E-2</v>
      </c>
      <c r="L64" s="89">
        <v>1</v>
      </c>
      <c r="M64" s="13">
        <f t="shared" si="3"/>
        <v>6650465.0504749501</v>
      </c>
      <c r="N64" s="89">
        <f t="shared" si="4"/>
        <v>1.0897253476862145E-4</v>
      </c>
    </row>
    <row r="65" spans="1:14" x14ac:dyDescent="0.25">
      <c r="A65" s="79" t="s">
        <v>128</v>
      </c>
      <c r="B65" s="89" t="s">
        <v>6</v>
      </c>
      <c r="C65" s="89" t="s">
        <v>45</v>
      </c>
      <c r="D65" s="13" t="s">
        <v>180</v>
      </c>
      <c r="E65" s="35">
        <f>VLOOKUP(B65, Passenger_Kilometre_by_mode_type[#All],MATCH(A65, Passenger_Kilometre_by_mode_type[#Headers],0),0)</f>
        <v>7789254559.7352896</v>
      </c>
      <c r="F65" s="89">
        <f>VLOOKUP(C65, Reason_for_car_journeys_by_percentage[#All],MATCH(A65, Reason_for_car_journeys_by_percentage[#Headers],0),0)/100</f>
        <v>1.3500000000000002E-2</v>
      </c>
      <c r="G65" s="13">
        <f t="shared" si="0"/>
        <v>105154936.55642642</v>
      </c>
      <c r="H65" s="89">
        <f>VLOOKUP(D65,Average_Distance_by_kilometre_grouping_for_mode_type[#All],MATCH(A65,Average_Distance_by_kilometre_grouping_for_mode_type[#Headers],0),0)</f>
        <v>5</v>
      </c>
      <c r="I65" s="89">
        <f>VLOOKUP(D65,Average_Distance_by_kilometres_grouping_for_trip_purpose[#All],MATCH(A65,Average_Distance_by_kilometres_grouping_for_trip_purpose[#Headers],0),0)</f>
        <v>5</v>
      </c>
      <c r="J65" s="89">
        <f t="shared" si="1"/>
        <v>5</v>
      </c>
      <c r="K65" s="89">
        <f t="shared" si="2"/>
        <v>0.10540739959945188</v>
      </c>
      <c r="L65" s="89">
        <v>1</v>
      </c>
      <c r="M65" s="13">
        <f t="shared" si="3"/>
        <v>11084108.417458249</v>
      </c>
      <c r="N65" s="89">
        <f t="shared" si="4"/>
        <v>1.8162089128103572E-4</v>
      </c>
    </row>
    <row r="66" spans="1:14" x14ac:dyDescent="0.25">
      <c r="A66" s="79" t="s">
        <v>128</v>
      </c>
      <c r="B66" s="89" t="s">
        <v>6</v>
      </c>
      <c r="C66" s="89" t="s">
        <v>45</v>
      </c>
      <c r="D66" s="13" t="s">
        <v>182</v>
      </c>
      <c r="E66" s="35">
        <f>VLOOKUP(B66, Passenger_Kilometre_by_mode_type[#All],MATCH(A66, Passenger_Kilometre_by_mode_type[#Headers],0),0)</f>
        <v>7789254559.7352896</v>
      </c>
      <c r="F66" s="89">
        <f>VLOOKUP(C66, Reason_for_car_journeys_by_percentage[#All],MATCH(A66, Reason_for_car_journeys_by_percentage[#Headers],0),0)/100</f>
        <v>1.3500000000000002E-2</v>
      </c>
      <c r="G66" s="13">
        <f t="shared" si="0"/>
        <v>105154936.55642642</v>
      </c>
      <c r="H66" s="89">
        <f>VLOOKUP(D66,Average_Distance_by_kilometre_grouping_for_mode_type[#All],MATCH(A66,Average_Distance_by_kilometre_grouping_for_mode_type[#Headers],0),0)</f>
        <v>7</v>
      </c>
      <c r="I66" s="89">
        <f>VLOOKUP(D66,Average_Distance_by_kilometres_grouping_for_trip_purpose[#All],MATCH(A66,Average_Distance_by_kilometres_grouping_for_trip_purpose[#Headers],0),0)</f>
        <v>7</v>
      </c>
      <c r="J66" s="89">
        <f t="shared" si="1"/>
        <v>7</v>
      </c>
      <c r="K66" s="89">
        <f t="shared" si="2"/>
        <v>0.14757035943923263</v>
      </c>
      <c r="L66" s="89">
        <v>1</v>
      </c>
      <c r="M66" s="13">
        <f t="shared" si="3"/>
        <v>15517751.784441551</v>
      </c>
      <c r="N66" s="89">
        <f t="shared" si="4"/>
        <v>2.5426924779345004E-4</v>
      </c>
    </row>
    <row r="67" spans="1:14" x14ac:dyDescent="0.25">
      <c r="A67" s="79" t="s">
        <v>128</v>
      </c>
      <c r="B67" s="89" t="s">
        <v>6</v>
      </c>
      <c r="C67" s="89" t="s">
        <v>45</v>
      </c>
      <c r="D67" s="13" t="s">
        <v>1</v>
      </c>
      <c r="E67" s="35">
        <f>VLOOKUP(B67, Passenger_Kilometre_by_mode_type[#All],MATCH(A67, Passenger_Kilometre_by_mode_type[#Headers],0),0)</f>
        <v>7789254559.7352896</v>
      </c>
      <c r="F67" s="89">
        <f>VLOOKUP(C67, Reason_for_car_journeys_by_percentage[#All],MATCH(A67, Reason_for_car_journeys_by_percentage[#Headers],0),0)/100</f>
        <v>1.3500000000000002E-2</v>
      </c>
      <c r="G67" s="13">
        <f t="shared" si="0"/>
        <v>105154936.55642642</v>
      </c>
      <c r="H67" s="89">
        <f>VLOOKUP(D67,Average_Distance_by_kilometre_grouping_for_mode_type[#All],MATCH(A67,Average_Distance_by_kilometre_grouping_for_mode_type[#Headers],0),0)</f>
        <v>30.1</v>
      </c>
      <c r="I67" s="89">
        <f>VLOOKUP(D67,Average_Distance_by_kilometres_grouping_for_trip_purpose[#All],MATCH(A67,Average_Distance_by_kilometres_grouping_for_trip_purpose[#Headers],0),0)</f>
        <v>32.770000000000003</v>
      </c>
      <c r="J67" s="89">
        <f t="shared" si="1"/>
        <v>31.435000000000002</v>
      </c>
      <c r="K67" s="89">
        <f t="shared" si="2"/>
        <v>0.66269632128175404</v>
      </c>
      <c r="L67" s="89">
        <v>1</v>
      </c>
      <c r="M67" s="13">
        <f t="shared" si="3"/>
        <v>69685789.62056002</v>
      </c>
      <c r="N67" s="89">
        <f t="shared" si="4"/>
        <v>1.1418505434838719E-3</v>
      </c>
    </row>
    <row r="68" spans="1:14" x14ac:dyDescent="0.25">
      <c r="A68" s="79" t="s">
        <v>128</v>
      </c>
      <c r="B68" s="89" t="s">
        <v>6</v>
      </c>
      <c r="C68" s="89" t="s">
        <v>56</v>
      </c>
      <c r="D68" s="13" t="s">
        <v>12</v>
      </c>
      <c r="E68" s="35">
        <f>VLOOKUP(B68, Passenger_Kilometre_by_mode_type[#All],MATCH(A68, Passenger_Kilometre_by_mode_type[#Headers],0),0)</f>
        <v>7789254559.7352896</v>
      </c>
      <c r="F68" s="89">
        <f>VLOOKUP(C68, Reason_for_car_journeys_by_percentage[#All],MATCH(A68, Reason_for_car_journeys_by_percentage[#Headers],0),0)/100</f>
        <v>0.1125</v>
      </c>
      <c r="G68" s="13">
        <f t="shared" ref="G68:G131" si="5">E68*F68</f>
        <v>876291137.97022009</v>
      </c>
      <c r="H68" s="89">
        <f>VLOOKUP(D68,Average_Distance_by_kilometre_grouping_for_mode_type[#All],MATCH(A68,Average_Distance_by_kilometre_grouping_for_mode_type[#Headers],0),0)</f>
        <v>1</v>
      </c>
      <c r="I68" s="89">
        <f>VLOOKUP(D68,Average_Distance_by_kilometres_grouping_for_trip_purpose[#All],MATCH(A68,Average_Distance_by_kilometres_grouping_for_trip_purpose[#Headers],0),0)</f>
        <v>1</v>
      </c>
      <c r="J68" s="89">
        <f t="shared" ref="J68:J131" si="6">AVERAGE(H68:I68)</f>
        <v>1</v>
      </c>
      <c r="K68" s="89">
        <f t="shared" ref="K68:K131" si="7">J68/SUM(J68:J72)</f>
        <v>2.1081479919890376E-2</v>
      </c>
      <c r="L68" s="89">
        <v>1</v>
      </c>
      <c r="M68" s="13">
        <f t="shared" ref="M68:M131" si="8">G68*K68*L68</f>
        <v>18473514.02909708</v>
      </c>
      <c r="N68" s="89">
        <f t="shared" ref="N68:N131" si="9">M68/SUM($M$3:$M$362)</f>
        <v>3.0270148546839286E-4</v>
      </c>
    </row>
    <row r="69" spans="1:14" x14ac:dyDescent="0.25">
      <c r="A69" s="79" t="s">
        <v>128</v>
      </c>
      <c r="B69" s="89" t="s">
        <v>6</v>
      </c>
      <c r="C69" s="89" t="s">
        <v>56</v>
      </c>
      <c r="D69" s="13" t="s">
        <v>181</v>
      </c>
      <c r="E69" s="35">
        <f>VLOOKUP(B69, Passenger_Kilometre_by_mode_type[#All],MATCH(A69, Passenger_Kilometre_by_mode_type[#Headers],0),0)</f>
        <v>7789254559.7352896</v>
      </c>
      <c r="F69" s="89">
        <f>VLOOKUP(C69, Reason_for_car_journeys_by_percentage[#All],MATCH(A69, Reason_for_car_journeys_by_percentage[#Headers],0),0)/100</f>
        <v>0.1125</v>
      </c>
      <c r="G69" s="13">
        <f t="shared" si="5"/>
        <v>876291137.97022009</v>
      </c>
      <c r="H69" s="89">
        <f>VLOOKUP(D69,Average_Distance_by_kilometre_grouping_for_mode_type[#All],MATCH(A69,Average_Distance_by_kilometre_grouping_for_mode_type[#Headers],0),0)</f>
        <v>3</v>
      </c>
      <c r="I69" s="89">
        <f>VLOOKUP(D69,Average_Distance_by_kilometres_grouping_for_trip_purpose[#All],MATCH(A69,Average_Distance_by_kilometres_grouping_for_trip_purpose[#Headers],0),0)</f>
        <v>3</v>
      </c>
      <c r="J69" s="89">
        <f t="shared" si="6"/>
        <v>3</v>
      </c>
      <c r="K69" s="89">
        <f t="shared" si="7"/>
        <v>6.3244439759671131E-2</v>
      </c>
      <c r="L69" s="89">
        <v>1</v>
      </c>
      <c r="M69" s="13">
        <f t="shared" si="8"/>
        <v>55420542.087291248</v>
      </c>
      <c r="N69" s="89">
        <f t="shared" si="9"/>
        <v>9.081044564051787E-4</v>
      </c>
    </row>
    <row r="70" spans="1:14" x14ac:dyDescent="0.25">
      <c r="A70" s="79" t="s">
        <v>128</v>
      </c>
      <c r="B70" s="89" t="s">
        <v>6</v>
      </c>
      <c r="C70" s="89" t="s">
        <v>56</v>
      </c>
      <c r="D70" s="13" t="s">
        <v>180</v>
      </c>
      <c r="E70" s="35">
        <f>VLOOKUP(B70, Passenger_Kilometre_by_mode_type[#All],MATCH(A70, Passenger_Kilometre_by_mode_type[#Headers],0),0)</f>
        <v>7789254559.7352896</v>
      </c>
      <c r="F70" s="89">
        <f>VLOOKUP(C70, Reason_for_car_journeys_by_percentage[#All],MATCH(A70, Reason_for_car_journeys_by_percentage[#Headers],0),0)/100</f>
        <v>0.1125</v>
      </c>
      <c r="G70" s="13">
        <f t="shared" si="5"/>
        <v>876291137.97022009</v>
      </c>
      <c r="H70" s="89">
        <f>VLOOKUP(D70,Average_Distance_by_kilometre_grouping_for_mode_type[#All],MATCH(A70,Average_Distance_by_kilometre_grouping_for_mode_type[#Headers],0),0)</f>
        <v>5</v>
      </c>
      <c r="I70" s="89">
        <f>VLOOKUP(D70,Average_Distance_by_kilometres_grouping_for_trip_purpose[#All],MATCH(A70,Average_Distance_by_kilometres_grouping_for_trip_purpose[#Headers],0),0)</f>
        <v>5</v>
      </c>
      <c r="J70" s="89">
        <f t="shared" si="6"/>
        <v>5</v>
      </c>
      <c r="K70" s="89">
        <f t="shared" si="7"/>
        <v>0.10540739959945188</v>
      </c>
      <c r="L70" s="89">
        <v>1</v>
      </c>
      <c r="M70" s="13">
        <f t="shared" si="8"/>
        <v>92367570.145485401</v>
      </c>
      <c r="N70" s="89">
        <f t="shared" si="9"/>
        <v>1.5135074273419642E-3</v>
      </c>
    </row>
    <row r="71" spans="1:14" x14ac:dyDescent="0.25">
      <c r="A71" s="79" t="s">
        <v>128</v>
      </c>
      <c r="B71" s="89" t="s">
        <v>6</v>
      </c>
      <c r="C71" s="89" t="s">
        <v>56</v>
      </c>
      <c r="D71" s="13" t="s">
        <v>182</v>
      </c>
      <c r="E71" s="35">
        <f>VLOOKUP(B71, Passenger_Kilometre_by_mode_type[#All],MATCH(A71, Passenger_Kilometre_by_mode_type[#Headers],0),0)</f>
        <v>7789254559.7352896</v>
      </c>
      <c r="F71" s="89">
        <f>VLOOKUP(C71, Reason_for_car_journeys_by_percentage[#All],MATCH(A71, Reason_for_car_journeys_by_percentage[#Headers],0),0)/100</f>
        <v>0.1125</v>
      </c>
      <c r="G71" s="13">
        <f t="shared" si="5"/>
        <v>876291137.97022009</v>
      </c>
      <c r="H71" s="89">
        <f>VLOOKUP(D71,Average_Distance_by_kilometre_grouping_for_mode_type[#All],MATCH(A71,Average_Distance_by_kilometre_grouping_for_mode_type[#Headers],0),0)</f>
        <v>7</v>
      </c>
      <c r="I71" s="89">
        <f>VLOOKUP(D71,Average_Distance_by_kilometres_grouping_for_trip_purpose[#All],MATCH(A71,Average_Distance_by_kilometres_grouping_for_trip_purpose[#Headers],0),0)</f>
        <v>7</v>
      </c>
      <c r="J71" s="89">
        <f t="shared" si="6"/>
        <v>7</v>
      </c>
      <c r="K71" s="89">
        <f t="shared" si="7"/>
        <v>0.14757035943923263</v>
      </c>
      <c r="L71" s="89">
        <v>1</v>
      </c>
      <c r="M71" s="13">
        <f t="shared" si="8"/>
        <v>129314598.20367958</v>
      </c>
      <c r="N71" s="89">
        <f t="shared" si="9"/>
        <v>2.1189103982787501E-3</v>
      </c>
    </row>
    <row r="72" spans="1:14" x14ac:dyDescent="0.25">
      <c r="A72" s="79" t="s">
        <v>128</v>
      </c>
      <c r="B72" s="89" t="s">
        <v>6</v>
      </c>
      <c r="C72" s="89" t="s">
        <v>56</v>
      </c>
      <c r="D72" s="13" t="s">
        <v>1</v>
      </c>
      <c r="E72" s="35">
        <f>VLOOKUP(B72, Passenger_Kilometre_by_mode_type[#All],MATCH(A72, Passenger_Kilometre_by_mode_type[#Headers],0),0)</f>
        <v>7789254559.7352896</v>
      </c>
      <c r="F72" s="89">
        <f>VLOOKUP(C72, Reason_for_car_journeys_by_percentage[#All],MATCH(A72, Reason_for_car_journeys_by_percentage[#Headers],0),0)/100</f>
        <v>0.1125</v>
      </c>
      <c r="G72" s="13">
        <f t="shared" si="5"/>
        <v>876291137.97022009</v>
      </c>
      <c r="H72" s="89">
        <f>VLOOKUP(D72,Average_Distance_by_kilometre_grouping_for_mode_type[#All],MATCH(A72,Average_Distance_by_kilometre_grouping_for_mode_type[#Headers],0),0)</f>
        <v>30.1</v>
      </c>
      <c r="I72" s="89">
        <f>VLOOKUP(D72,Average_Distance_by_kilometres_grouping_for_trip_purpose[#All],MATCH(A72,Average_Distance_by_kilometres_grouping_for_trip_purpose[#Headers],0),0)</f>
        <v>32.770000000000003</v>
      </c>
      <c r="J72" s="89">
        <f t="shared" si="6"/>
        <v>31.435000000000002</v>
      </c>
      <c r="K72" s="89">
        <f t="shared" si="7"/>
        <v>0.66269632128175404</v>
      </c>
      <c r="L72" s="89">
        <v>1</v>
      </c>
      <c r="M72" s="13">
        <f t="shared" si="8"/>
        <v>580714913.50466681</v>
      </c>
      <c r="N72" s="89">
        <f t="shared" si="9"/>
        <v>9.5154211956989306E-3</v>
      </c>
    </row>
    <row r="73" spans="1:14" x14ac:dyDescent="0.25">
      <c r="A73" s="79" t="s">
        <v>128</v>
      </c>
      <c r="B73" s="89" t="s">
        <v>6</v>
      </c>
      <c r="C73" s="89" t="s">
        <v>57</v>
      </c>
      <c r="D73" s="13" t="s">
        <v>12</v>
      </c>
      <c r="E73" s="35">
        <f>VLOOKUP(B73, Passenger_Kilometre_by_mode_type[#All],MATCH(A73, Passenger_Kilometre_by_mode_type[#Headers],0),0)</f>
        <v>7789254559.7352896</v>
      </c>
      <c r="F73" s="89">
        <f>VLOOKUP(C73, Reason_for_car_journeys_by_percentage[#All],MATCH(A73, Reason_for_car_journeys_by_percentage[#Headers],0),0)/100</f>
        <v>7.8750000000000001E-2</v>
      </c>
      <c r="G73" s="13">
        <f t="shared" si="5"/>
        <v>613403796.57915401</v>
      </c>
      <c r="H73" s="89">
        <f>VLOOKUP(D73,Average_Distance_by_kilometre_grouping_for_mode_type[#All],MATCH(A73,Average_Distance_by_kilometre_grouping_for_mode_type[#Headers],0),0)</f>
        <v>1</v>
      </c>
      <c r="I73" s="89">
        <f>VLOOKUP(D73,Average_Distance_by_kilometres_grouping_for_trip_purpose[#All],MATCH(A73,Average_Distance_by_kilometres_grouping_for_trip_purpose[#Headers],0),0)</f>
        <v>1</v>
      </c>
      <c r="J73" s="89">
        <f t="shared" si="6"/>
        <v>1</v>
      </c>
      <c r="K73" s="89">
        <f t="shared" si="7"/>
        <v>2.1081479919890376E-2</v>
      </c>
      <c r="L73" s="89">
        <v>1</v>
      </c>
      <c r="M73" s="13">
        <f t="shared" si="8"/>
        <v>12931459.820367957</v>
      </c>
      <c r="N73" s="89">
        <f t="shared" si="9"/>
        <v>2.1189103982787501E-4</v>
      </c>
    </row>
    <row r="74" spans="1:14" x14ac:dyDescent="0.25">
      <c r="A74" s="79" t="s">
        <v>128</v>
      </c>
      <c r="B74" s="89" t="s">
        <v>6</v>
      </c>
      <c r="C74" s="89" t="s">
        <v>57</v>
      </c>
      <c r="D74" s="13" t="s">
        <v>181</v>
      </c>
      <c r="E74" s="35">
        <f>VLOOKUP(B74, Passenger_Kilometre_by_mode_type[#All],MATCH(A74, Passenger_Kilometre_by_mode_type[#Headers],0),0)</f>
        <v>7789254559.7352896</v>
      </c>
      <c r="F74" s="89">
        <f>VLOOKUP(C74, Reason_for_car_journeys_by_percentage[#All],MATCH(A74, Reason_for_car_journeys_by_percentage[#Headers],0),0)/100</f>
        <v>7.8750000000000001E-2</v>
      </c>
      <c r="G74" s="13">
        <f t="shared" si="5"/>
        <v>613403796.57915401</v>
      </c>
      <c r="H74" s="89">
        <f>VLOOKUP(D74,Average_Distance_by_kilometre_grouping_for_mode_type[#All],MATCH(A74,Average_Distance_by_kilometre_grouping_for_mode_type[#Headers],0),0)</f>
        <v>3</v>
      </c>
      <c r="I74" s="89">
        <f>VLOOKUP(D74,Average_Distance_by_kilometres_grouping_for_trip_purpose[#All],MATCH(A74,Average_Distance_by_kilometres_grouping_for_trip_purpose[#Headers],0),0)</f>
        <v>3</v>
      </c>
      <c r="J74" s="89">
        <f t="shared" si="6"/>
        <v>3</v>
      </c>
      <c r="K74" s="89">
        <f t="shared" si="7"/>
        <v>6.3244439759671131E-2</v>
      </c>
      <c r="L74" s="89">
        <v>1</v>
      </c>
      <c r="M74" s="13">
        <f t="shared" si="8"/>
        <v>38794379.461103871</v>
      </c>
      <c r="N74" s="89">
        <f t="shared" si="9"/>
        <v>6.3567311948362504E-4</v>
      </c>
    </row>
    <row r="75" spans="1:14" x14ac:dyDescent="0.25">
      <c r="A75" s="79" t="s">
        <v>128</v>
      </c>
      <c r="B75" s="89" t="s">
        <v>6</v>
      </c>
      <c r="C75" s="89" t="s">
        <v>57</v>
      </c>
      <c r="D75" s="13" t="s">
        <v>180</v>
      </c>
      <c r="E75" s="35">
        <f>VLOOKUP(B75, Passenger_Kilometre_by_mode_type[#All],MATCH(A75, Passenger_Kilometre_by_mode_type[#Headers],0),0)</f>
        <v>7789254559.7352896</v>
      </c>
      <c r="F75" s="89">
        <f>VLOOKUP(C75, Reason_for_car_journeys_by_percentage[#All],MATCH(A75, Reason_for_car_journeys_by_percentage[#Headers],0),0)/100</f>
        <v>7.8750000000000001E-2</v>
      </c>
      <c r="G75" s="13">
        <f t="shared" si="5"/>
        <v>613403796.57915401</v>
      </c>
      <c r="H75" s="89">
        <f>VLOOKUP(D75,Average_Distance_by_kilometre_grouping_for_mode_type[#All],MATCH(A75,Average_Distance_by_kilometre_grouping_for_mode_type[#Headers],0),0)</f>
        <v>5</v>
      </c>
      <c r="I75" s="89">
        <f>VLOOKUP(D75,Average_Distance_by_kilometres_grouping_for_trip_purpose[#All],MATCH(A75,Average_Distance_by_kilometres_grouping_for_trip_purpose[#Headers],0),0)</f>
        <v>5</v>
      </c>
      <c r="J75" s="89">
        <f t="shared" si="6"/>
        <v>5</v>
      </c>
      <c r="K75" s="89">
        <f t="shared" si="7"/>
        <v>0.10540739959945188</v>
      </c>
      <c r="L75" s="89">
        <v>1</v>
      </c>
      <c r="M75" s="13">
        <f t="shared" si="8"/>
        <v>64657299.101839781</v>
      </c>
      <c r="N75" s="89">
        <f t="shared" si="9"/>
        <v>1.0594551991393751E-3</v>
      </c>
    </row>
    <row r="76" spans="1:14" x14ac:dyDescent="0.25">
      <c r="A76" s="79" t="s">
        <v>128</v>
      </c>
      <c r="B76" s="89" t="s">
        <v>6</v>
      </c>
      <c r="C76" s="89" t="s">
        <v>57</v>
      </c>
      <c r="D76" s="13" t="s">
        <v>182</v>
      </c>
      <c r="E76" s="35">
        <f>VLOOKUP(B76, Passenger_Kilometre_by_mode_type[#All],MATCH(A76, Passenger_Kilometre_by_mode_type[#Headers],0),0)</f>
        <v>7789254559.7352896</v>
      </c>
      <c r="F76" s="89">
        <f>VLOOKUP(C76, Reason_for_car_journeys_by_percentage[#All],MATCH(A76, Reason_for_car_journeys_by_percentage[#Headers],0),0)/100</f>
        <v>7.8750000000000001E-2</v>
      </c>
      <c r="G76" s="13">
        <f t="shared" si="5"/>
        <v>613403796.57915401</v>
      </c>
      <c r="H76" s="89">
        <f>VLOOKUP(D76,Average_Distance_by_kilometre_grouping_for_mode_type[#All],MATCH(A76,Average_Distance_by_kilometre_grouping_for_mode_type[#Headers],0),0)</f>
        <v>7</v>
      </c>
      <c r="I76" s="89">
        <f>VLOOKUP(D76,Average_Distance_by_kilometres_grouping_for_trip_purpose[#All],MATCH(A76,Average_Distance_by_kilometres_grouping_for_trip_purpose[#Headers],0),0)</f>
        <v>7</v>
      </c>
      <c r="J76" s="89">
        <f t="shared" si="6"/>
        <v>7</v>
      </c>
      <c r="K76" s="89">
        <f t="shared" si="7"/>
        <v>0.14757035943923263</v>
      </c>
      <c r="L76" s="89">
        <v>1</v>
      </c>
      <c r="M76" s="13">
        <f t="shared" si="8"/>
        <v>90520218.74257569</v>
      </c>
      <c r="N76" s="89">
        <f t="shared" si="9"/>
        <v>1.4832372787951249E-3</v>
      </c>
    </row>
    <row r="77" spans="1:14" x14ac:dyDescent="0.25">
      <c r="A77" s="79" t="s">
        <v>128</v>
      </c>
      <c r="B77" s="89" t="s">
        <v>6</v>
      </c>
      <c r="C77" s="89" t="s">
        <v>57</v>
      </c>
      <c r="D77" s="13" t="s">
        <v>1</v>
      </c>
      <c r="E77" s="35">
        <f>VLOOKUP(B77, Passenger_Kilometre_by_mode_type[#All],MATCH(A77, Passenger_Kilometre_by_mode_type[#Headers],0),0)</f>
        <v>7789254559.7352896</v>
      </c>
      <c r="F77" s="89">
        <f>VLOOKUP(C77, Reason_for_car_journeys_by_percentage[#All],MATCH(A77, Reason_for_car_journeys_by_percentage[#Headers],0),0)/100</f>
        <v>7.8750000000000001E-2</v>
      </c>
      <c r="G77" s="13">
        <f t="shared" si="5"/>
        <v>613403796.57915401</v>
      </c>
      <c r="H77" s="89">
        <f>VLOOKUP(D77,Average_Distance_by_kilometre_grouping_for_mode_type[#All],MATCH(A77,Average_Distance_by_kilometre_grouping_for_mode_type[#Headers],0),0)</f>
        <v>30.1</v>
      </c>
      <c r="I77" s="89">
        <f>VLOOKUP(D77,Average_Distance_by_kilometres_grouping_for_trip_purpose[#All],MATCH(A77,Average_Distance_by_kilometres_grouping_for_trip_purpose[#Headers],0),0)</f>
        <v>32.770000000000003</v>
      </c>
      <c r="J77" s="89">
        <f t="shared" si="6"/>
        <v>31.435000000000002</v>
      </c>
      <c r="K77" s="89">
        <f t="shared" si="7"/>
        <v>0.66269632128175404</v>
      </c>
      <c r="L77" s="89">
        <v>1</v>
      </c>
      <c r="M77" s="13">
        <f t="shared" si="8"/>
        <v>406500439.45326674</v>
      </c>
      <c r="N77" s="89">
        <f t="shared" si="9"/>
        <v>6.6607948369892516E-3</v>
      </c>
    </row>
    <row r="78" spans="1:14" x14ac:dyDescent="0.25">
      <c r="A78" s="79" t="s">
        <v>128</v>
      </c>
      <c r="B78" s="89" t="s">
        <v>6</v>
      </c>
      <c r="C78" s="89" t="s">
        <v>93</v>
      </c>
      <c r="D78" s="13" t="s">
        <v>12</v>
      </c>
      <c r="E78" s="35">
        <f>VLOOKUP(B78, Passenger_Kilometre_by_mode_type[#All],MATCH(A78, Passenger_Kilometre_by_mode_type[#Headers],0),0)</f>
        <v>7789254559.7352896</v>
      </c>
      <c r="F78" s="89">
        <f>VLOOKUP(C78, Reason_for_car_journeys_by_percentage[#All],MATCH(A78, Reason_for_car_journeys_by_percentage[#Headers],0),0)/100</f>
        <v>6.7250000000000004E-2</v>
      </c>
      <c r="G78" s="13">
        <f t="shared" si="5"/>
        <v>523827369.14219826</v>
      </c>
      <c r="H78" s="89">
        <f>VLOOKUP(D78,Average_Distance_by_kilometre_grouping_for_mode_type[#All],MATCH(A78,Average_Distance_by_kilometre_grouping_for_mode_type[#Headers],0),0)</f>
        <v>1</v>
      </c>
      <c r="I78" s="89">
        <f>VLOOKUP(D78,Average_Distance_by_kilometres_grouping_for_trip_purpose[#All],MATCH(A78,Average_Distance_by_kilometres_grouping_for_trip_purpose[#Headers],0),0)</f>
        <v>1</v>
      </c>
      <c r="J78" s="89">
        <f t="shared" si="6"/>
        <v>1</v>
      </c>
      <c r="K78" s="89">
        <f t="shared" si="7"/>
        <v>2.1081479919890376E-2</v>
      </c>
      <c r="L78" s="89">
        <v>1</v>
      </c>
      <c r="M78" s="13">
        <f t="shared" si="8"/>
        <v>11043056.164060256</v>
      </c>
      <c r="N78" s="89">
        <f t="shared" si="9"/>
        <v>1.8094822131332818E-4</v>
      </c>
    </row>
    <row r="79" spans="1:14" x14ac:dyDescent="0.25">
      <c r="A79" s="79" t="s">
        <v>128</v>
      </c>
      <c r="B79" s="89" t="s">
        <v>6</v>
      </c>
      <c r="C79" s="89" t="s">
        <v>93</v>
      </c>
      <c r="D79" s="13" t="s">
        <v>181</v>
      </c>
      <c r="E79" s="35">
        <f>VLOOKUP(B79, Passenger_Kilometre_by_mode_type[#All],MATCH(A79, Passenger_Kilometre_by_mode_type[#Headers],0),0)</f>
        <v>7789254559.7352896</v>
      </c>
      <c r="F79" s="89">
        <f>VLOOKUP(C79, Reason_for_car_journeys_by_percentage[#All],MATCH(A79, Reason_for_car_journeys_by_percentage[#Headers],0),0)/100</f>
        <v>6.7250000000000004E-2</v>
      </c>
      <c r="G79" s="13">
        <f t="shared" si="5"/>
        <v>523827369.14219826</v>
      </c>
      <c r="H79" s="89">
        <f>VLOOKUP(D79,Average_Distance_by_kilometre_grouping_for_mode_type[#All],MATCH(A79,Average_Distance_by_kilometre_grouping_for_mode_type[#Headers],0),0)</f>
        <v>3</v>
      </c>
      <c r="I79" s="89">
        <f>VLOOKUP(D79,Average_Distance_by_kilometres_grouping_for_trip_purpose[#All],MATCH(A79,Average_Distance_by_kilometres_grouping_for_trip_purpose[#Headers],0),0)</f>
        <v>3</v>
      </c>
      <c r="J79" s="89">
        <f t="shared" si="6"/>
        <v>3</v>
      </c>
      <c r="K79" s="89">
        <f t="shared" si="7"/>
        <v>6.3244439759671131E-2</v>
      </c>
      <c r="L79" s="89">
        <v>1</v>
      </c>
      <c r="M79" s="13">
        <f t="shared" si="8"/>
        <v>33129168.492180772</v>
      </c>
      <c r="N79" s="89">
        <f t="shared" si="9"/>
        <v>5.4284466393998471E-4</v>
      </c>
    </row>
    <row r="80" spans="1:14" x14ac:dyDescent="0.25">
      <c r="A80" s="79" t="s">
        <v>128</v>
      </c>
      <c r="B80" s="89" t="s">
        <v>6</v>
      </c>
      <c r="C80" s="89" t="s">
        <v>93</v>
      </c>
      <c r="D80" s="13" t="s">
        <v>180</v>
      </c>
      <c r="E80" s="35">
        <f>VLOOKUP(B80, Passenger_Kilometre_by_mode_type[#All],MATCH(A80, Passenger_Kilometre_by_mode_type[#Headers],0),0)</f>
        <v>7789254559.7352896</v>
      </c>
      <c r="F80" s="89">
        <f>VLOOKUP(C80, Reason_for_car_journeys_by_percentage[#All],MATCH(A80, Reason_for_car_journeys_by_percentage[#Headers],0),0)/100</f>
        <v>6.7250000000000004E-2</v>
      </c>
      <c r="G80" s="13">
        <f t="shared" si="5"/>
        <v>523827369.14219826</v>
      </c>
      <c r="H80" s="89">
        <f>VLOOKUP(D80,Average_Distance_by_kilometre_grouping_for_mode_type[#All],MATCH(A80,Average_Distance_by_kilometre_grouping_for_mode_type[#Headers],0),0)</f>
        <v>5</v>
      </c>
      <c r="I80" s="89">
        <f>VLOOKUP(D80,Average_Distance_by_kilometres_grouping_for_trip_purpose[#All],MATCH(A80,Average_Distance_by_kilometres_grouping_for_trip_purpose[#Headers],0),0)</f>
        <v>5</v>
      </c>
      <c r="J80" s="89">
        <f t="shared" si="6"/>
        <v>5</v>
      </c>
      <c r="K80" s="89">
        <f t="shared" si="7"/>
        <v>0.10540739959945188</v>
      </c>
      <c r="L80" s="89">
        <v>1</v>
      </c>
      <c r="M80" s="13">
        <f t="shared" si="8"/>
        <v>55215280.820301279</v>
      </c>
      <c r="N80" s="89">
        <f t="shared" si="9"/>
        <v>9.0474110656664096E-4</v>
      </c>
    </row>
    <row r="81" spans="1:14" x14ac:dyDescent="0.25">
      <c r="A81" s="79" t="s">
        <v>128</v>
      </c>
      <c r="B81" s="89" t="s">
        <v>6</v>
      </c>
      <c r="C81" s="89" t="s">
        <v>93</v>
      </c>
      <c r="D81" s="13" t="s">
        <v>182</v>
      </c>
      <c r="E81" s="35">
        <f>VLOOKUP(B81, Passenger_Kilometre_by_mode_type[#All],MATCH(A81, Passenger_Kilometre_by_mode_type[#Headers],0),0)</f>
        <v>7789254559.7352896</v>
      </c>
      <c r="F81" s="89">
        <f>VLOOKUP(C81, Reason_for_car_journeys_by_percentage[#All],MATCH(A81, Reason_for_car_journeys_by_percentage[#Headers],0),0)/100</f>
        <v>6.7250000000000004E-2</v>
      </c>
      <c r="G81" s="13">
        <f t="shared" si="5"/>
        <v>523827369.14219826</v>
      </c>
      <c r="H81" s="89">
        <f>VLOOKUP(D81,Average_Distance_by_kilometre_grouping_for_mode_type[#All],MATCH(A81,Average_Distance_by_kilometre_grouping_for_mode_type[#Headers],0),0)</f>
        <v>7</v>
      </c>
      <c r="I81" s="89">
        <f>VLOOKUP(D81,Average_Distance_by_kilometres_grouping_for_trip_purpose[#All],MATCH(A81,Average_Distance_by_kilometres_grouping_for_trip_purpose[#Headers],0),0)</f>
        <v>7</v>
      </c>
      <c r="J81" s="89">
        <f t="shared" si="6"/>
        <v>7</v>
      </c>
      <c r="K81" s="89">
        <f t="shared" si="7"/>
        <v>0.14757035943923263</v>
      </c>
      <c r="L81" s="89">
        <v>1</v>
      </c>
      <c r="M81" s="13">
        <f t="shared" si="8"/>
        <v>77301393.148421794</v>
      </c>
      <c r="N81" s="89">
        <f t="shared" si="9"/>
        <v>1.2666375491932973E-3</v>
      </c>
    </row>
    <row r="82" spans="1:14" x14ac:dyDescent="0.25">
      <c r="A82" s="79" t="s">
        <v>128</v>
      </c>
      <c r="B82" s="89" t="s">
        <v>6</v>
      </c>
      <c r="C82" s="89" t="s">
        <v>93</v>
      </c>
      <c r="D82" s="13" t="s">
        <v>1</v>
      </c>
      <c r="E82" s="35">
        <f>VLOOKUP(B82, Passenger_Kilometre_by_mode_type[#All],MATCH(A82, Passenger_Kilometre_by_mode_type[#Headers],0),0)</f>
        <v>7789254559.7352896</v>
      </c>
      <c r="F82" s="89">
        <f>VLOOKUP(C82, Reason_for_car_journeys_by_percentage[#All],MATCH(A82, Reason_for_car_journeys_by_percentage[#Headers],0),0)/100</f>
        <v>6.7250000000000004E-2</v>
      </c>
      <c r="G82" s="13">
        <f t="shared" si="5"/>
        <v>523827369.14219826</v>
      </c>
      <c r="H82" s="89">
        <f>VLOOKUP(D82,Average_Distance_by_kilometre_grouping_for_mode_type[#All],MATCH(A82,Average_Distance_by_kilometre_grouping_for_mode_type[#Headers],0),0)</f>
        <v>30.1</v>
      </c>
      <c r="I82" s="89">
        <f>VLOOKUP(D82,Average_Distance_by_kilometres_grouping_for_trip_purpose[#All],MATCH(A82,Average_Distance_by_kilometres_grouping_for_trip_purpose[#Headers],0),0)</f>
        <v>32.770000000000003</v>
      </c>
      <c r="J82" s="89">
        <f t="shared" si="6"/>
        <v>31.435000000000002</v>
      </c>
      <c r="K82" s="89">
        <f t="shared" si="7"/>
        <v>0.66269632128175404</v>
      </c>
      <c r="L82" s="89">
        <v>1</v>
      </c>
      <c r="M82" s="13">
        <f t="shared" si="8"/>
        <v>347138470.51723421</v>
      </c>
      <c r="N82" s="89">
        <f t="shared" si="9"/>
        <v>5.6881073369844729E-3</v>
      </c>
    </row>
    <row r="83" spans="1:14" x14ac:dyDescent="0.25">
      <c r="A83" s="79" t="s">
        <v>128</v>
      </c>
      <c r="B83" s="89" t="s">
        <v>6</v>
      </c>
      <c r="C83" s="89" t="s">
        <v>243</v>
      </c>
      <c r="D83" s="13" t="s">
        <v>12</v>
      </c>
      <c r="E83" s="35">
        <f>VLOOKUP(B83, Passenger_Kilometre_by_mode_type[#All],MATCH(A83, Passenger_Kilometre_by_mode_type[#Headers],0),0)</f>
        <v>7789254559.7352896</v>
      </c>
      <c r="F83" s="89">
        <f>VLOOKUP(C83, Reason_for_car_journeys_by_percentage[#All],MATCH(A83, Reason_for_car_journeys_by_percentage[#Headers],0),0)/100</f>
        <v>0.18149999999999999</v>
      </c>
      <c r="G83" s="13">
        <f t="shared" si="5"/>
        <v>1413749702.5919549</v>
      </c>
      <c r="H83" s="89">
        <f>VLOOKUP(D83,Average_Distance_by_kilometre_grouping_for_mode_type[#All],MATCH(A83,Average_Distance_by_kilometre_grouping_for_mode_type[#Headers],0),0)</f>
        <v>1</v>
      </c>
      <c r="I83" s="89">
        <f>VLOOKUP(D83,Average_Distance_by_kilometres_grouping_for_trip_purpose[#All],MATCH(A83,Average_Distance_by_kilometres_grouping_for_trip_purpose[#Headers],0),0)</f>
        <v>1</v>
      </c>
      <c r="J83" s="89">
        <f t="shared" si="6"/>
        <v>1</v>
      </c>
      <c r="K83" s="89">
        <f t="shared" si="7"/>
        <v>2.1081479919890376E-2</v>
      </c>
      <c r="L83" s="89">
        <v>1</v>
      </c>
      <c r="M83" s="13">
        <f t="shared" si="8"/>
        <v>29803935.96694329</v>
      </c>
      <c r="N83" s="89">
        <f t="shared" si="9"/>
        <v>4.8835839655567387E-4</v>
      </c>
    </row>
    <row r="84" spans="1:14" x14ac:dyDescent="0.25">
      <c r="A84" s="79" t="s">
        <v>128</v>
      </c>
      <c r="B84" s="89" t="s">
        <v>6</v>
      </c>
      <c r="C84" s="89" t="s">
        <v>243</v>
      </c>
      <c r="D84" s="13" t="s">
        <v>181</v>
      </c>
      <c r="E84" s="35">
        <f>VLOOKUP(B84, Passenger_Kilometre_by_mode_type[#All],MATCH(A84, Passenger_Kilometre_by_mode_type[#Headers],0),0)</f>
        <v>7789254559.7352896</v>
      </c>
      <c r="F84" s="89">
        <f>VLOOKUP(C84, Reason_for_car_journeys_by_percentage[#All],MATCH(A84, Reason_for_car_journeys_by_percentage[#Headers],0),0)/100</f>
        <v>0.18149999999999999</v>
      </c>
      <c r="G84" s="13">
        <f t="shared" si="5"/>
        <v>1413749702.5919549</v>
      </c>
      <c r="H84" s="89">
        <f>VLOOKUP(D84,Average_Distance_by_kilometre_grouping_for_mode_type[#All],MATCH(A84,Average_Distance_by_kilometre_grouping_for_mode_type[#Headers],0),0)</f>
        <v>3</v>
      </c>
      <c r="I84" s="89">
        <f>VLOOKUP(D84,Average_Distance_by_kilometres_grouping_for_trip_purpose[#All],MATCH(A84,Average_Distance_by_kilometres_grouping_for_trip_purpose[#Headers],0),0)</f>
        <v>3</v>
      </c>
      <c r="J84" s="89">
        <f t="shared" si="6"/>
        <v>3</v>
      </c>
      <c r="K84" s="89">
        <f t="shared" si="7"/>
        <v>6.3244439759671131E-2</v>
      </c>
      <c r="L84" s="89">
        <v>1</v>
      </c>
      <c r="M84" s="13">
        <f t="shared" si="8"/>
        <v>89411807.900829867</v>
      </c>
      <c r="N84" s="89">
        <f t="shared" si="9"/>
        <v>1.4650751896670214E-3</v>
      </c>
    </row>
    <row r="85" spans="1:14" x14ac:dyDescent="0.25">
      <c r="A85" s="79" t="s">
        <v>128</v>
      </c>
      <c r="B85" s="89" t="s">
        <v>6</v>
      </c>
      <c r="C85" s="89" t="s">
        <v>243</v>
      </c>
      <c r="D85" s="13" t="s">
        <v>180</v>
      </c>
      <c r="E85" s="35">
        <f>VLOOKUP(B85, Passenger_Kilometre_by_mode_type[#All],MATCH(A85, Passenger_Kilometre_by_mode_type[#Headers],0),0)</f>
        <v>7789254559.7352896</v>
      </c>
      <c r="F85" s="89">
        <f>VLOOKUP(C85, Reason_for_car_journeys_by_percentage[#All],MATCH(A85, Reason_for_car_journeys_by_percentage[#Headers],0),0)/100</f>
        <v>0.18149999999999999</v>
      </c>
      <c r="G85" s="13">
        <f t="shared" si="5"/>
        <v>1413749702.5919549</v>
      </c>
      <c r="H85" s="89">
        <f>VLOOKUP(D85,Average_Distance_by_kilometre_grouping_for_mode_type[#All],MATCH(A85,Average_Distance_by_kilometre_grouping_for_mode_type[#Headers],0),0)</f>
        <v>5</v>
      </c>
      <c r="I85" s="89">
        <f>VLOOKUP(D85,Average_Distance_by_kilometres_grouping_for_trip_purpose[#All],MATCH(A85,Average_Distance_by_kilometres_grouping_for_trip_purpose[#Headers],0),0)</f>
        <v>5</v>
      </c>
      <c r="J85" s="89">
        <f t="shared" si="6"/>
        <v>5</v>
      </c>
      <c r="K85" s="89">
        <f t="shared" si="7"/>
        <v>0.10540739959945188</v>
      </c>
      <c r="L85" s="89">
        <v>1</v>
      </c>
      <c r="M85" s="13">
        <f t="shared" si="8"/>
        <v>149019679.83471644</v>
      </c>
      <c r="N85" s="89">
        <f t="shared" si="9"/>
        <v>2.4417919827783691E-3</v>
      </c>
    </row>
    <row r="86" spans="1:14" x14ac:dyDescent="0.25">
      <c r="A86" s="79" t="s">
        <v>128</v>
      </c>
      <c r="B86" s="89" t="s">
        <v>6</v>
      </c>
      <c r="C86" s="89" t="s">
        <v>243</v>
      </c>
      <c r="D86" s="13" t="s">
        <v>182</v>
      </c>
      <c r="E86" s="35">
        <f>VLOOKUP(B86, Passenger_Kilometre_by_mode_type[#All],MATCH(A86, Passenger_Kilometre_by_mode_type[#Headers],0),0)</f>
        <v>7789254559.7352896</v>
      </c>
      <c r="F86" s="89">
        <f>VLOOKUP(C86, Reason_for_car_journeys_by_percentage[#All],MATCH(A86, Reason_for_car_journeys_by_percentage[#Headers],0),0)/100</f>
        <v>0.18149999999999999</v>
      </c>
      <c r="G86" s="13">
        <f t="shared" si="5"/>
        <v>1413749702.5919549</v>
      </c>
      <c r="H86" s="89">
        <f>VLOOKUP(D86,Average_Distance_by_kilometre_grouping_for_mode_type[#All],MATCH(A86,Average_Distance_by_kilometre_grouping_for_mode_type[#Headers],0),0)</f>
        <v>7</v>
      </c>
      <c r="I86" s="89">
        <f>VLOOKUP(D86,Average_Distance_by_kilometres_grouping_for_trip_purpose[#All],MATCH(A86,Average_Distance_by_kilometres_grouping_for_trip_purpose[#Headers],0),0)</f>
        <v>7</v>
      </c>
      <c r="J86" s="89">
        <f t="shared" si="6"/>
        <v>7</v>
      </c>
      <c r="K86" s="89">
        <f t="shared" si="7"/>
        <v>0.14757035943923263</v>
      </c>
      <c r="L86" s="89">
        <v>1</v>
      </c>
      <c r="M86" s="13">
        <f t="shared" si="8"/>
        <v>208627551.76860303</v>
      </c>
      <c r="N86" s="89">
        <f t="shared" si="9"/>
        <v>3.4185087758897168E-3</v>
      </c>
    </row>
    <row r="87" spans="1:14" x14ac:dyDescent="0.25">
      <c r="A87" s="79" t="s">
        <v>128</v>
      </c>
      <c r="B87" s="89" t="s">
        <v>6</v>
      </c>
      <c r="C87" s="89" t="s">
        <v>243</v>
      </c>
      <c r="D87" s="13" t="s">
        <v>1</v>
      </c>
      <c r="E87" s="35">
        <f>VLOOKUP(B87, Passenger_Kilometre_by_mode_type[#All],MATCH(A87, Passenger_Kilometre_by_mode_type[#Headers],0),0)</f>
        <v>7789254559.7352896</v>
      </c>
      <c r="F87" s="89">
        <f>VLOOKUP(C87, Reason_for_car_journeys_by_percentage[#All],MATCH(A87, Reason_for_car_journeys_by_percentage[#Headers],0),0)/100</f>
        <v>0.18149999999999999</v>
      </c>
      <c r="G87" s="13">
        <f t="shared" si="5"/>
        <v>1413749702.5919549</v>
      </c>
      <c r="H87" s="89">
        <f>VLOOKUP(D87,Average_Distance_by_kilometre_grouping_for_mode_type[#All],MATCH(A87,Average_Distance_by_kilometre_grouping_for_mode_type[#Headers],0),0)</f>
        <v>30.1</v>
      </c>
      <c r="I87" s="89">
        <f>VLOOKUP(D87,Average_Distance_by_kilometres_grouping_for_trip_purpose[#All],MATCH(A87,Average_Distance_by_kilometres_grouping_for_trip_purpose[#Headers],0),0)</f>
        <v>32.770000000000003</v>
      </c>
      <c r="J87" s="89">
        <f t="shared" si="6"/>
        <v>31.435000000000002</v>
      </c>
      <c r="K87" s="89">
        <f t="shared" si="7"/>
        <v>0.66269632128175404</v>
      </c>
      <c r="L87" s="89">
        <v>1</v>
      </c>
      <c r="M87" s="13">
        <f t="shared" si="8"/>
        <v>936886727.12086236</v>
      </c>
      <c r="N87" s="89">
        <f t="shared" si="9"/>
        <v>1.5351546195727607E-2</v>
      </c>
    </row>
    <row r="88" spans="1:14" x14ac:dyDescent="0.25">
      <c r="A88" s="79" t="s">
        <v>128</v>
      </c>
      <c r="B88" s="89" t="s">
        <v>6</v>
      </c>
      <c r="C88" s="89" t="s">
        <v>50</v>
      </c>
      <c r="D88" s="13" t="s">
        <v>12</v>
      </c>
      <c r="E88" s="35">
        <f>VLOOKUP(B88, Passenger_Kilometre_by_mode_type[#All],MATCH(A88, Passenger_Kilometre_by_mode_type[#Headers],0),0)</f>
        <v>7789254559.7352896</v>
      </c>
      <c r="F88" s="89">
        <f>VLOOKUP(C88, Reason_for_car_journeys_by_percentage[#All],MATCH(A88, Reason_for_car_journeys_by_percentage[#Headers],0),0)/100</f>
        <v>3.4750000000000003E-2</v>
      </c>
      <c r="G88" s="13">
        <f t="shared" si="5"/>
        <v>270676595.95080131</v>
      </c>
      <c r="H88" s="89">
        <f>VLOOKUP(D88,Average_Distance_by_kilometre_grouping_for_mode_type[#All],MATCH(A88,Average_Distance_by_kilometre_grouping_for_mode_type[#Headers],0),0)</f>
        <v>1</v>
      </c>
      <c r="I88" s="89">
        <f>VLOOKUP(D88,Average_Distance_by_kilometres_grouping_for_trip_purpose[#All],MATCH(A88,Average_Distance_by_kilometres_grouping_for_trip_purpose[#Headers],0),0)</f>
        <v>1</v>
      </c>
      <c r="J88" s="89">
        <f t="shared" si="6"/>
        <v>1</v>
      </c>
      <c r="K88" s="89">
        <f t="shared" si="7"/>
        <v>2.1081479919890376E-2</v>
      </c>
      <c r="L88" s="89">
        <v>1</v>
      </c>
      <c r="M88" s="13">
        <f t="shared" si="8"/>
        <v>5706263.2223210987</v>
      </c>
      <c r="N88" s="89">
        <f t="shared" si="9"/>
        <v>9.350112551134803E-5</v>
      </c>
    </row>
    <row r="89" spans="1:14" x14ac:dyDescent="0.25">
      <c r="A89" s="79" t="s">
        <v>128</v>
      </c>
      <c r="B89" s="89" t="s">
        <v>6</v>
      </c>
      <c r="C89" s="89" t="s">
        <v>50</v>
      </c>
      <c r="D89" s="13" t="s">
        <v>181</v>
      </c>
      <c r="E89" s="35">
        <f>VLOOKUP(B89, Passenger_Kilometre_by_mode_type[#All],MATCH(A89, Passenger_Kilometre_by_mode_type[#Headers],0),0)</f>
        <v>7789254559.7352896</v>
      </c>
      <c r="F89" s="89">
        <f>VLOOKUP(C89, Reason_for_car_journeys_by_percentage[#All],MATCH(A89, Reason_for_car_journeys_by_percentage[#Headers],0),0)/100</f>
        <v>3.4750000000000003E-2</v>
      </c>
      <c r="G89" s="13">
        <f t="shared" si="5"/>
        <v>270676595.95080131</v>
      </c>
      <c r="H89" s="89">
        <f>VLOOKUP(D89,Average_Distance_by_kilometre_grouping_for_mode_type[#All],MATCH(A89,Average_Distance_by_kilometre_grouping_for_mode_type[#Headers],0),0)</f>
        <v>3</v>
      </c>
      <c r="I89" s="89">
        <f>VLOOKUP(D89,Average_Distance_by_kilometres_grouping_for_trip_purpose[#All],MATCH(A89,Average_Distance_by_kilometres_grouping_for_trip_purpose[#Headers],0),0)</f>
        <v>3</v>
      </c>
      <c r="J89" s="89">
        <f t="shared" si="6"/>
        <v>3</v>
      </c>
      <c r="K89" s="89">
        <f t="shared" si="7"/>
        <v>6.3244439759671131E-2</v>
      </c>
      <c r="L89" s="89">
        <v>1</v>
      </c>
      <c r="M89" s="13">
        <f t="shared" si="8"/>
        <v>17118789.666963298</v>
      </c>
      <c r="N89" s="89">
        <f t="shared" si="9"/>
        <v>2.805033765340441E-4</v>
      </c>
    </row>
    <row r="90" spans="1:14" x14ac:dyDescent="0.25">
      <c r="A90" s="79" t="s">
        <v>128</v>
      </c>
      <c r="B90" s="89" t="s">
        <v>6</v>
      </c>
      <c r="C90" s="89" t="s">
        <v>50</v>
      </c>
      <c r="D90" s="13" t="s">
        <v>180</v>
      </c>
      <c r="E90" s="35">
        <f>VLOOKUP(B90, Passenger_Kilometre_by_mode_type[#All],MATCH(A90, Passenger_Kilometre_by_mode_type[#Headers],0),0)</f>
        <v>7789254559.7352896</v>
      </c>
      <c r="F90" s="89">
        <f>VLOOKUP(C90, Reason_for_car_journeys_by_percentage[#All],MATCH(A90, Reason_for_car_journeys_by_percentage[#Headers],0),0)/100</f>
        <v>3.4750000000000003E-2</v>
      </c>
      <c r="G90" s="13">
        <f t="shared" si="5"/>
        <v>270676595.95080131</v>
      </c>
      <c r="H90" s="89">
        <f>VLOOKUP(D90,Average_Distance_by_kilometre_grouping_for_mode_type[#All],MATCH(A90,Average_Distance_by_kilometre_grouping_for_mode_type[#Headers],0),0)</f>
        <v>5</v>
      </c>
      <c r="I90" s="89">
        <f>VLOOKUP(D90,Average_Distance_by_kilometres_grouping_for_trip_purpose[#All],MATCH(A90,Average_Distance_by_kilometres_grouping_for_trip_purpose[#Headers],0),0)</f>
        <v>5</v>
      </c>
      <c r="J90" s="89">
        <f t="shared" si="6"/>
        <v>5</v>
      </c>
      <c r="K90" s="89">
        <f t="shared" si="7"/>
        <v>0.10540739959945188</v>
      </c>
      <c r="L90" s="89">
        <v>1</v>
      </c>
      <c r="M90" s="13">
        <f t="shared" si="8"/>
        <v>28531316.111605491</v>
      </c>
      <c r="N90" s="89">
        <f t="shared" si="9"/>
        <v>4.6750562755674008E-4</v>
      </c>
    </row>
    <row r="91" spans="1:14" x14ac:dyDescent="0.25">
      <c r="A91" s="79" t="s">
        <v>128</v>
      </c>
      <c r="B91" s="89" t="s">
        <v>6</v>
      </c>
      <c r="C91" s="89" t="s">
        <v>50</v>
      </c>
      <c r="D91" s="13" t="s">
        <v>182</v>
      </c>
      <c r="E91" s="35">
        <f>VLOOKUP(B91, Passenger_Kilometre_by_mode_type[#All],MATCH(A91, Passenger_Kilometre_by_mode_type[#Headers],0),0)</f>
        <v>7789254559.7352896</v>
      </c>
      <c r="F91" s="89">
        <f>VLOOKUP(C91, Reason_for_car_journeys_by_percentage[#All],MATCH(A91, Reason_for_car_journeys_by_percentage[#Headers],0),0)/100</f>
        <v>3.4750000000000003E-2</v>
      </c>
      <c r="G91" s="13">
        <f t="shared" si="5"/>
        <v>270676595.95080131</v>
      </c>
      <c r="H91" s="89">
        <f>VLOOKUP(D91,Average_Distance_by_kilometre_grouping_for_mode_type[#All],MATCH(A91,Average_Distance_by_kilometre_grouping_for_mode_type[#Headers],0),0)</f>
        <v>7</v>
      </c>
      <c r="I91" s="89">
        <f>VLOOKUP(D91,Average_Distance_by_kilometres_grouping_for_trip_purpose[#All],MATCH(A91,Average_Distance_by_kilometres_grouping_for_trip_purpose[#Headers],0),0)</f>
        <v>7</v>
      </c>
      <c r="J91" s="89">
        <f t="shared" si="6"/>
        <v>7</v>
      </c>
      <c r="K91" s="89">
        <f t="shared" si="7"/>
        <v>0.14757035943923263</v>
      </c>
      <c r="L91" s="89">
        <v>1</v>
      </c>
      <c r="M91" s="13">
        <f t="shared" si="8"/>
        <v>39943842.556247689</v>
      </c>
      <c r="N91" s="89">
        <f t="shared" si="9"/>
        <v>6.5450787857943612E-4</v>
      </c>
    </row>
    <row r="92" spans="1:14" x14ac:dyDescent="0.25">
      <c r="A92" s="79" t="s">
        <v>128</v>
      </c>
      <c r="B92" s="89" t="s">
        <v>6</v>
      </c>
      <c r="C92" s="89" t="s">
        <v>50</v>
      </c>
      <c r="D92" s="13" t="s">
        <v>1</v>
      </c>
      <c r="E92" s="35">
        <f>VLOOKUP(B92, Passenger_Kilometre_by_mode_type[#All],MATCH(A92, Passenger_Kilometre_by_mode_type[#Headers],0),0)</f>
        <v>7789254559.7352896</v>
      </c>
      <c r="F92" s="89">
        <f>VLOOKUP(C92, Reason_for_car_journeys_by_percentage[#All],MATCH(A92, Reason_for_car_journeys_by_percentage[#Headers],0),0)/100</f>
        <v>3.4750000000000003E-2</v>
      </c>
      <c r="G92" s="13">
        <f t="shared" si="5"/>
        <v>270676595.95080131</v>
      </c>
      <c r="H92" s="89">
        <f>VLOOKUP(D92,Average_Distance_by_kilometre_grouping_for_mode_type[#All],MATCH(A92,Average_Distance_by_kilometre_grouping_for_mode_type[#Headers],0),0)</f>
        <v>30.1</v>
      </c>
      <c r="I92" s="89">
        <f>VLOOKUP(D92,Average_Distance_by_kilometres_grouping_for_trip_purpose[#All],MATCH(A92,Average_Distance_by_kilometres_grouping_for_trip_purpose[#Headers],0),0)</f>
        <v>32.770000000000003</v>
      </c>
      <c r="J92" s="89">
        <f t="shared" si="6"/>
        <v>31.435000000000002</v>
      </c>
      <c r="K92" s="89">
        <f t="shared" si="7"/>
        <v>0.66269632128175404</v>
      </c>
      <c r="L92" s="89">
        <v>1</v>
      </c>
      <c r="M92" s="13">
        <f t="shared" si="8"/>
        <v>179376384.39366376</v>
      </c>
      <c r="N92" s="89">
        <f t="shared" si="9"/>
        <v>2.9392078804492258E-3</v>
      </c>
    </row>
    <row r="93" spans="1:14" x14ac:dyDescent="0.25">
      <c r="A93" s="79" t="s">
        <v>128</v>
      </c>
      <c r="B93" s="89" t="s">
        <v>7</v>
      </c>
      <c r="C93" s="89" t="s">
        <v>42</v>
      </c>
      <c r="D93" s="13" t="s">
        <v>12</v>
      </c>
      <c r="E93" s="35">
        <f>VLOOKUP(B93, Passenger_Kilometre_by_mode_type[#All],MATCH(A93, Passenger_Kilometre_by_mode_type[#Headers],0),0)</f>
        <v>157552739.62167439</v>
      </c>
      <c r="F93" s="89">
        <f>VLOOKUP(C93, Reason_for_walking_cycling_journeys_by_percentage[#All],MATCH(A93, Reason_for_walking_cycling_journeys_by_percentage[#Headers],0),0)/100</f>
        <v>0.17649999999999999</v>
      </c>
      <c r="G93" s="13">
        <f t="shared" si="5"/>
        <v>27808058.543225527</v>
      </c>
      <c r="H93" s="89">
        <f>VLOOKUP(D93,Average_Distance_by_kilometre_grouping_for_mode_type[#All],MATCH(A93,Average_Distance_by_kilometre_grouping_for_mode_type[#Headers],0),0)</f>
        <v>1</v>
      </c>
      <c r="I93" s="89">
        <f>VLOOKUP(D93,Average_Distance_by_kilometres_grouping_for_trip_purpose[#All],MATCH(A93,Average_Distance_by_kilometres_grouping_for_trip_purpose[#Headers],0),0)</f>
        <v>1</v>
      </c>
      <c r="J93" s="89">
        <f t="shared" si="6"/>
        <v>1</v>
      </c>
      <c r="K93" s="89">
        <f t="shared" si="7"/>
        <v>2.1081479919890376E-2</v>
      </c>
      <c r="L93" s="89">
        <v>1</v>
      </c>
      <c r="M93" s="13">
        <f t="shared" si="8"/>
        <v>586235.02779014502</v>
      </c>
      <c r="N93" s="89">
        <f t="shared" si="9"/>
        <v>9.605872140307395E-6</v>
      </c>
    </row>
    <row r="94" spans="1:14" x14ac:dyDescent="0.25">
      <c r="A94" s="79" t="s">
        <v>128</v>
      </c>
      <c r="B94" s="89" t="s">
        <v>7</v>
      </c>
      <c r="C94" s="89" t="s">
        <v>42</v>
      </c>
      <c r="D94" s="13" t="s">
        <v>181</v>
      </c>
      <c r="E94" s="35">
        <f>VLOOKUP(B94, Passenger_Kilometre_by_mode_type[#All],MATCH(A94, Passenger_Kilometre_by_mode_type[#Headers],0),0)</f>
        <v>157552739.62167439</v>
      </c>
      <c r="F94" s="89">
        <f>VLOOKUP(C94, Reason_for_walking_cycling_journeys_by_percentage[#All],MATCH(A94, Reason_for_walking_cycling_journeys_by_percentage[#Headers],0),0)/100</f>
        <v>0.17649999999999999</v>
      </c>
      <c r="G94" s="13">
        <f t="shared" si="5"/>
        <v>27808058.543225527</v>
      </c>
      <c r="H94" s="89">
        <f>VLOOKUP(D94,Average_Distance_by_kilometre_grouping_for_mode_type[#All],MATCH(A94,Average_Distance_by_kilometre_grouping_for_mode_type[#Headers],0),0)</f>
        <v>3</v>
      </c>
      <c r="I94" s="89">
        <f>VLOOKUP(D94,Average_Distance_by_kilometres_grouping_for_trip_purpose[#All],MATCH(A94,Average_Distance_by_kilometres_grouping_for_trip_purpose[#Headers],0),0)</f>
        <v>3</v>
      </c>
      <c r="J94" s="89">
        <f t="shared" si="6"/>
        <v>3</v>
      </c>
      <c r="K94" s="89">
        <f t="shared" si="7"/>
        <v>6.3244439759671131E-2</v>
      </c>
      <c r="L94" s="89">
        <v>1</v>
      </c>
      <c r="M94" s="13">
        <f t="shared" si="8"/>
        <v>1758705.0833704351</v>
      </c>
      <c r="N94" s="89">
        <f t="shared" si="9"/>
        <v>2.8817616420922185E-5</v>
      </c>
    </row>
    <row r="95" spans="1:14" x14ac:dyDescent="0.25">
      <c r="A95" s="79" t="s">
        <v>128</v>
      </c>
      <c r="B95" s="89" t="s">
        <v>7</v>
      </c>
      <c r="C95" s="89" t="s">
        <v>42</v>
      </c>
      <c r="D95" s="13" t="s">
        <v>180</v>
      </c>
      <c r="E95" s="35">
        <f>VLOOKUP(B95, Passenger_Kilometre_by_mode_type[#All],MATCH(A95, Passenger_Kilometre_by_mode_type[#Headers],0),0)</f>
        <v>157552739.62167439</v>
      </c>
      <c r="F95" s="89">
        <f>VLOOKUP(C95, Reason_for_walking_cycling_journeys_by_percentage[#All],MATCH(A95, Reason_for_walking_cycling_journeys_by_percentage[#Headers],0),0)/100</f>
        <v>0.17649999999999999</v>
      </c>
      <c r="G95" s="13">
        <f t="shared" si="5"/>
        <v>27808058.543225527</v>
      </c>
      <c r="H95" s="89">
        <f>VLOOKUP(D95,Average_Distance_by_kilometre_grouping_for_mode_type[#All],MATCH(A95,Average_Distance_by_kilometre_grouping_for_mode_type[#Headers],0),0)</f>
        <v>5</v>
      </c>
      <c r="I95" s="89">
        <f>VLOOKUP(D95,Average_Distance_by_kilometres_grouping_for_trip_purpose[#All],MATCH(A95,Average_Distance_by_kilometres_grouping_for_trip_purpose[#Headers],0),0)</f>
        <v>5</v>
      </c>
      <c r="J95" s="89">
        <f t="shared" si="6"/>
        <v>5</v>
      </c>
      <c r="K95" s="89">
        <f t="shared" si="7"/>
        <v>0.10540739959945188</v>
      </c>
      <c r="L95" s="89">
        <v>1</v>
      </c>
      <c r="M95" s="13">
        <f t="shared" si="8"/>
        <v>2931175.1389507246</v>
      </c>
      <c r="N95" s="89">
        <f t="shared" si="9"/>
        <v>4.8029360701536968E-5</v>
      </c>
    </row>
    <row r="96" spans="1:14" x14ac:dyDescent="0.25">
      <c r="A96" s="79" t="s">
        <v>128</v>
      </c>
      <c r="B96" s="89" t="s">
        <v>7</v>
      </c>
      <c r="C96" s="89" t="s">
        <v>42</v>
      </c>
      <c r="D96" s="13" t="s">
        <v>182</v>
      </c>
      <c r="E96" s="35">
        <f>VLOOKUP(B96, Passenger_Kilometre_by_mode_type[#All],MATCH(A96, Passenger_Kilometre_by_mode_type[#Headers],0),0)</f>
        <v>157552739.62167439</v>
      </c>
      <c r="F96" s="89">
        <f>VLOOKUP(C96, Reason_for_walking_cycling_journeys_by_percentage[#All],MATCH(A96, Reason_for_walking_cycling_journeys_by_percentage[#Headers],0),0)/100</f>
        <v>0.17649999999999999</v>
      </c>
      <c r="G96" s="13">
        <f t="shared" si="5"/>
        <v>27808058.543225527</v>
      </c>
      <c r="H96" s="89">
        <f>VLOOKUP(D96,Average_Distance_by_kilometre_grouping_for_mode_type[#All],MATCH(A96,Average_Distance_by_kilometre_grouping_for_mode_type[#Headers],0),0)</f>
        <v>7</v>
      </c>
      <c r="I96" s="89">
        <f>VLOOKUP(D96,Average_Distance_by_kilometres_grouping_for_trip_purpose[#All],MATCH(A96,Average_Distance_by_kilometres_grouping_for_trip_purpose[#Headers],0),0)</f>
        <v>7</v>
      </c>
      <c r="J96" s="89">
        <f t="shared" si="6"/>
        <v>7</v>
      </c>
      <c r="K96" s="89">
        <f t="shared" si="7"/>
        <v>0.14757035943923263</v>
      </c>
      <c r="L96" s="89">
        <v>1</v>
      </c>
      <c r="M96" s="13">
        <f t="shared" si="8"/>
        <v>4103645.1945310147</v>
      </c>
      <c r="N96" s="89">
        <f t="shared" si="9"/>
        <v>6.7241104982151758E-5</v>
      </c>
    </row>
    <row r="97" spans="1:14" x14ac:dyDescent="0.25">
      <c r="A97" s="79" t="s">
        <v>128</v>
      </c>
      <c r="B97" s="89" t="s">
        <v>7</v>
      </c>
      <c r="C97" s="89" t="s">
        <v>42</v>
      </c>
      <c r="D97" s="13" t="s">
        <v>1</v>
      </c>
      <c r="E97" s="35">
        <f>VLOOKUP(B97, Passenger_Kilometre_by_mode_type[#All],MATCH(A97, Passenger_Kilometre_by_mode_type[#Headers],0),0)</f>
        <v>157552739.62167439</v>
      </c>
      <c r="F97" s="89">
        <f>VLOOKUP(C97, Reason_for_walking_cycling_journeys_by_percentage[#All],MATCH(A97, Reason_for_walking_cycling_journeys_by_percentage[#Headers],0),0)/100</f>
        <v>0.17649999999999999</v>
      </c>
      <c r="G97" s="13">
        <f t="shared" si="5"/>
        <v>27808058.543225527</v>
      </c>
      <c r="H97" s="89">
        <f>VLOOKUP(D97,Average_Distance_by_kilometre_grouping_for_mode_type[#All],MATCH(A97,Average_Distance_by_kilometre_grouping_for_mode_type[#Headers],0),0)</f>
        <v>30.1</v>
      </c>
      <c r="I97" s="89">
        <f>VLOOKUP(D97,Average_Distance_by_kilometres_grouping_for_trip_purpose[#All],MATCH(A97,Average_Distance_by_kilometres_grouping_for_trip_purpose[#Headers],0),0)</f>
        <v>32.770000000000003</v>
      </c>
      <c r="J97" s="89">
        <f t="shared" si="6"/>
        <v>31.435000000000002</v>
      </c>
      <c r="K97" s="89">
        <f t="shared" si="7"/>
        <v>0.66269632128175404</v>
      </c>
      <c r="L97" s="89">
        <v>1</v>
      </c>
      <c r="M97" s="13">
        <f t="shared" si="8"/>
        <v>18428298.09858321</v>
      </c>
      <c r="N97" s="89">
        <f t="shared" si="9"/>
        <v>3.0196059073056298E-4</v>
      </c>
    </row>
    <row r="98" spans="1:14" x14ac:dyDescent="0.25">
      <c r="A98" s="79" t="s">
        <v>128</v>
      </c>
      <c r="B98" s="89" t="s">
        <v>7</v>
      </c>
      <c r="C98" s="89" t="s">
        <v>43</v>
      </c>
      <c r="D98" s="13" t="s">
        <v>12</v>
      </c>
      <c r="E98" s="35">
        <f>VLOOKUP(B98, Passenger_Kilometre_by_mode_type[#All],MATCH(A98, Passenger_Kilometre_by_mode_type[#Headers],0),0)</f>
        <v>157552739.62167439</v>
      </c>
      <c r="F98" s="89">
        <f>VLOOKUP(C98, Reason_for_walking_cycling_journeys_by_percentage[#All],MATCH(A98, Reason_for_walking_cycling_journeys_by_percentage[#Headers],0),0)/100</f>
        <v>8.5249999999999992E-2</v>
      </c>
      <c r="G98" s="13">
        <f t="shared" si="5"/>
        <v>13431371.052747741</v>
      </c>
      <c r="H98" s="89">
        <f>VLOOKUP(D98,Average_Distance_by_kilometre_grouping_for_mode_type[#All],MATCH(A98,Average_Distance_by_kilometre_grouping_for_mode_type[#Headers],0),0)</f>
        <v>1</v>
      </c>
      <c r="I98" s="89">
        <f>VLOOKUP(D98,Average_Distance_by_kilometres_grouping_for_trip_purpose[#All],MATCH(A98,Average_Distance_by_kilometres_grouping_for_trip_purpose[#Headers],0),0)</f>
        <v>1</v>
      </c>
      <c r="J98" s="89">
        <f t="shared" si="6"/>
        <v>1</v>
      </c>
      <c r="K98" s="89">
        <f t="shared" si="7"/>
        <v>2.1081479919890376E-2</v>
      </c>
      <c r="L98" s="89">
        <v>1</v>
      </c>
      <c r="M98" s="13">
        <f t="shared" si="8"/>
        <v>283153.17914509837</v>
      </c>
      <c r="N98" s="89">
        <f t="shared" si="9"/>
        <v>4.6396634558708523E-6</v>
      </c>
    </row>
    <row r="99" spans="1:14" x14ac:dyDescent="0.25">
      <c r="A99" s="79" t="s">
        <v>128</v>
      </c>
      <c r="B99" s="89" t="s">
        <v>7</v>
      </c>
      <c r="C99" s="89" t="s">
        <v>43</v>
      </c>
      <c r="D99" s="13" t="s">
        <v>181</v>
      </c>
      <c r="E99" s="35">
        <f>VLOOKUP(B99, Passenger_Kilometre_by_mode_type[#All],MATCH(A99, Passenger_Kilometre_by_mode_type[#Headers],0),0)</f>
        <v>157552739.62167439</v>
      </c>
      <c r="F99" s="89">
        <f>VLOOKUP(C99, Reason_for_walking_cycling_journeys_by_percentage[#All],MATCH(A99, Reason_for_walking_cycling_journeys_by_percentage[#Headers],0),0)/100</f>
        <v>8.5249999999999992E-2</v>
      </c>
      <c r="G99" s="13">
        <f t="shared" si="5"/>
        <v>13431371.052747741</v>
      </c>
      <c r="H99" s="89">
        <f>VLOOKUP(D99,Average_Distance_by_kilometre_grouping_for_mode_type[#All],MATCH(A99,Average_Distance_by_kilometre_grouping_for_mode_type[#Headers],0),0)</f>
        <v>3</v>
      </c>
      <c r="I99" s="89">
        <f>VLOOKUP(D99,Average_Distance_by_kilometres_grouping_for_trip_purpose[#All],MATCH(A99,Average_Distance_by_kilometres_grouping_for_trip_purpose[#Headers],0),0)</f>
        <v>3</v>
      </c>
      <c r="J99" s="89">
        <f t="shared" si="6"/>
        <v>3</v>
      </c>
      <c r="K99" s="89">
        <f t="shared" si="7"/>
        <v>6.3244439759671131E-2</v>
      </c>
      <c r="L99" s="89">
        <v>1</v>
      </c>
      <c r="M99" s="13">
        <f t="shared" si="8"/>
        <v>849459.53743529518</v>
      </c>
      <c r="N99" s="89">
        <f t="shared" si="9"/>
        <v>1.3918990367612558E-5</v>
      </c>
    </row>
    <row r="100" spans="1:14" x14ac:dyDescent="0.25">
      <c r="A100" s="79" t="s">
        <v>128</v>
      </c>
      <c r="B100" s="89" t="s">
        <v>7</v>
      </c>
      <c r="C100" s="89" t="s">
        <v>43</v>
      </c>
      <c r="D100" s="13" t="s">
        <v>180</v>
      </c>
      <c r="E100" s="35">
        <f>VLOOKUP(B100, Passenger_Kilometre_by_mode_type[#All],MATCH(A100, Passenger_Kilometre_by_mode_type[#Headers],0),0)</f>
        <v>157552739.62167439</v>
      </c>
      <c r="F100" s="89">
        <f>VLOOKUP(C100, Reason_for_walking_cycling_journeys_by_percentage[#All],MATCH(A100, Reason_for_walking_cycling_journeys_by_percentage[#Headers],0),0)/100</f>
        <v>8.5249999999999992E-2</v>
      </c>
      <c r="G100" s="13">
        <f t="shared" si="5"/>
        <v>13431371.052747741</v>
      </c>
      <c r="H100" s="89">
        <f>VLOOKUP(D100,Average_Distance_by_kilometre_grouping_for_mode_type[#All],MATCH(A100,Average_Distance_by_kilometre_grouping_for_mode_type[#Headers],0),0)</f>
        <v>5</v>
      </c>
      <c r="I100" s="89">
        <f>VLOOKUP(D100,Average_Distance_by_kilometres_grouping_for_trip_purpose[#All],MATCH(A100,Average_Distance_by_kilometres_grouping_for_trip_purpose[#Headers],0),0)</f>
        <v>5</v>
      </c>
      <c r="J100" s="89">
        <f t="shared" si="6"/>
        <v>5</v>
      </c>
      <c r="K100" s="89">
        <f t="shared" si="7"/>
        <v>0.10540739959945188</v>
      </c>
      <c r="L100" s="89">
        <v>1</v>
      </c>
      <c r="M100" s="13">
        <f t="shared" si="8"/>
        <v>1415765.8957254917</v>
      </c>
      <c r="N100" s="89">
        <f t="shared" si="9"/>
        <v>2.3198317279354259E-5</v>
      </c>
    </row>
    <row r="101" spans="1:14" x14ac:dyDescent="0.25">
      <c r="A101" s="79" t="s">
        <v>128</v>
      </c>
      <c r="B101" s="89" t="s">
        <v>7</v>
      </c>
      <c r="C101" s="89" t="s">
        <v>43</v>
      </c>
      <c r="D101" s="13" t="s">
        <v>182</v>
      </c>
      <c r="E101" s="35">
        <f>VLOOKUP(B101, Passenger_Kilometre_by_mode_type[#All],MATCH(A101, Passenger_Kilometre_by_mode_type[#Headers],0),0)</f>
        <v>157552739.62167439</v>
      </c>
      <c r="F101" s="89">
        <f>VLOOKUP(C101, Reason_for_walking_cycling_journeys_by_percentage[#All],MATCH(A101, Reason_for_walking_cycling_journeys_by_percentage[#Headers],0),0)/100</f>
        <v>8.5249999999999992E-2</v>
      </c>
      <c r="G101" s="13">
        <f t="shared" si="5"/>
        <v>13431371.052747741</v>
      </c>
      <c r="H101" s="89">
        <f>VLOOKUP(D101,Average_Distance_by_kilometre_grouping_for_mode_type[#All],MATCH(A101,Average_Distance_by_kilometre_grouping_for_mode_type[#Headers],0),0)</f>
        <v>7</v>
      </c>
      <c r="I101" s="89">
        <f>VLOOKUP(D101,Average_Distance_by_kilometres_grouping_for_trip_purpose[#All],MATCH(A101,Average_Distance_by_kilometres_grouping_for_trip_purpose[#Headers],0),0)</f>
        <v>7</v>
      </c>
      <c r="J101" s="89">
        <f t="shared" si="6"/>
        <v>7</v>
      </c>
      <c r="K101" s="89">
        <f t="shared" si="7"/>
        <v>0.14757035943923263</v>
      </c>
      <c r="L101" s="89">
        <v>1</v>
      </c>
      <c r="M101" s="13">
        <f t="shared" si="8"/>
        <v>1982072.2540156886</v>
      </c>
      <c r="N101" s="89">
        <f t="shared" si="9"/>
        <v>3.2477644191095968E-5</v>
      </c>
    </row>
    <row r="102" spans="1:14" x14ac:dyDescent="0.25">
      <c r="A102" s="79" t="s">
        <v>128</v>
      </c>
      <c r="B102" s="89" t="s">
        <v>7</v>
      </c>
      <c r="C102" s="89" t="s">
        <v>43</v>
      </c>
      <c r="D102" s="13" t="s">
        <v>1</v>
      </c>
      <c r="E102" s="35">
        <f>VLOOKUP(B102, Passenger_Kilometre_by_mode_type[#All],MATCH(A102, Passenger_Kilometre_by_mode_type[#Headers],0),0)</f>
        <v>157552739.62167439</v>
      </c>
      <c r="F102" s="89">
        <f>VLOOKUP(C102, Reason_for_walking_cycling_journeys_by_percentage[#All],MATCH(A102, Reason_for_walking_cycling_journeys_by_percentage[#Headers],0),0)/100</f>
        <v>8.5249999999999992E-2</v>
      </c>
      <c r="G102" s="13">
        <f t="shared" si="5"/>
        <v>13431371.052747741</v>
      </c>
      <c r="H102" s="89">
        <f>VLOOKUP(D102,Average_Distance_by_kilometre_grouping_for_mode_type[#All],MATCH(A102,Average_Distance_by_kilometre_grouping_for_mode_type[#Headers],0),0)</f>
        <v>30.1</v>
      </c>
      <c r="I102" s="89">
        <f>VLOOKUP(D102,Average_Distance_by_kilometres_grouping_for_trip_purpose[#All],MATCH(A102,Average_Distance_by_kilometres_grouping_for_trip_purpose[#Headers],0),0)</f>
        <v>32.770000000000003</v>
      </c>
      <c r="J102" s="89">
        <f t="shared" si="6"/>
        <v>31.435000000000002</v>
      </c>
      <c r="K102" s="89">
        <f t="shared" si="7"/>
        <v>0.66269632128175404</v>
      </c>
      <c r="L102" s="89">
        <v>1</v>
      </c>
      <c r="M102" s="13">
        <f t="shared" si="8"/>
        <v>8900920.1864261683</v>
      </c>
      <c r="N102" s="89">
        <f t="shared" si="9"/>
        <v>1.4584782073530025E-4</v>
      </c>
    </row>
    <row r="103" spans="1:14" x14ac:dyDescent="0.25">
      <c r="A103" s="79" t="s">
        <v>128</v>
      </c>
      <c r="B103" s="89" t="s">
        <v>7</v>
      </c>
      <c r="C103" s="89" t="s">
        <v>44</v>
      </c>
      <c r="D103" s="13" t="s">
        <v>12</v>
      </c>
      <c r="E103" s="35">
        <f>VLOOKUP(B103, Passenger_Kilometre_by_mode_type[#All],MATCH(A103, Passenger_Kilometre_by_mode_type[#Headers],0),0)</f>
        <v>157552739.62167439</v>
      </c>
      <c r="F103" s="89">
        <f>VLOOKUP(C103, Reason_for_walking_cycling_journeys_by_percentage[#All],MATCH(A103, Reason_for_walking_cycling_journeys_by_percentage[#Headers],0),0)/100</f>
        <v>0.23774999999999999</v>
      </c>
      <c r="G103" s="13">
        <f t="shared" si="5"/>
        <v>37458163.845053084</v>
      </c>
      <c r="H103" s="89">
        <f>VLOOKUP(D103,Average_Distance_by_kilometre_grouping_for_mode_type[#All],MATCH(A103,Average_Distance_by_kilometre_grouping_for_mode_type[#Headers],0),0)</f>
        <v>1</v>
      </c>
      <c r="I103" s="89">
        <f>VLOOKUP(D103,Average_Distance_by_kilometres_grouping_for_trip_purpose[#All],MATCH(A103,Average_Distance_by_kilometres_grouping_for_trip_purpose[#Headers],0),0)</f>
        <v>1</v>
      </c>
      <c r="J103" s="89">
        <f t="shared" si="6"/>
        <v>1</v>
      </c>
      <c r="K103" s="89">
        <f t="shared" si="7"/>
        <v>2.1081479919890376E-2</v>
      </c>
      <c r="L103" s="89">
        <v>1</v>
      </c>
      <c r="M103" s="13">
        <f t="shared" si="8"/>
        <v>789673.52893545025</v>
      </c>
      <c r="N103" s="89">
        <f t="shared" si="9"/>
        <v>1.2939354681915485E-5</v>
      </c>
    </row>
    <row r="104" spans="1:14" x14ac:dyDescent="0.25">
      <c r="A104" s="79" t="s">
        <v>128</v>
      </c>
      <c r="B104" s="89" t="s">
        <v>7</v>
      </c>
      <c r="C104" s="89" t="s">
        <v>44</v>
      </c>
      <c r="D104" s="13" t="s">
        <v>181</v>
      </c>
      <c r="E104" s="35">
        <f>VLOOKUP(B104, Passenger_Kilometre_by_mode_type[#All],MATCH(A104, Passenger_Kilometre_by_mode_type[#Headers],0),0)</f>
        <v>157552739.62167439</v>
      </c>
      <c r="F104" s="89">
        <f>VLOOKUP(C104, Reason_for_walking_cycling_journeys_by_percentage[#All],MATCH(A104, Reason_for_walking_cycling_journeys_by_percentage[#Headers],0),0)/100</f>
        <v>0.23774999999999999</v>
      </c>
      <c r="G104" s="13">
        <f t="shared" si="5"/>
        <v>37458163.845053084</v>
      </c>
      <c r="H104" s="89">
        <f>VLOOKUP(D104,Average_Distance_by_kilometre_grouping_for_mode_type[#All],MATCH(A104,Average_Distance_by_kilometre_grouping_for_mode_type[#Headers],0),0)</f>
        <v>3</v>
      </c>
      <c r="I104" s="89">
        <f>VLOOKUP(D104,Average_Distance_by_kilometres_grouping_for_trip_purpose[#All],MATCH(A104,Average_Distance_by_kilometres_grouping_for_trip_purpose[#Headers],0),0)</f>
        <v>3</v>
      </c>
      <c r="J104" s="89">
        <f t="shared" si="6"/>
        <v>3</v>
      </c>
      <c r="K104" s="89">
        <f t="shared" si="7"/>
        <v>6.3244439759671131E-2</v>
      </c>
      <c r="L104" s="89">
        <v>1</v>
      </c>
      <c r="M104" s="13">
        <f t="shared" si="8"/>
        <v>2369020.5868063509</v>
      </c>
      <c r="N104" s="89">
        <f t="shared" si="9"/>
        <v>3.8818064045746456E-5</v>
      </c>
    </row>
    <row r="105" spans="1:14" x14ac:dyDescent="0.25">
      <c r="A105" s="79" t="s">
        <v>128</v>
      </c>
      <c r="B105" s="89" t="s">
        <v>7</v>
      </c>
      <c r="C105" s="89" t="s">
        <v>44</v>
      </c>
      <c r="D105" s="13" t="s">
        <v>180</v>
      </c>
      <c r="E105" s="35">
        <f>VLOOKUP(B105, Passenger_Kilometre_by_mode_type[#All],MATCH(A105, Passenger_Kilometre_by_mode_type[#Headers],0),0)</f>
        <v>157552739.62167439</v>
      </c>
      <c r="F105" s="89">
        <f>VLOOKUP(C105, Reason_for_walking_cycling_journeys_by_percentage[#All],MATCH(A105, Reason_for_walking_cycling_journeys_by_percentage[#Headers],0),0)/100</f>
        <v>0.23774999999999999</v>
      </c>
      <c r="G105" s="13">
        <f t="shared" si="5"/>
        <v>37458163.845053084</v>
      </c>
      <c r="H105" s="89">
        <f>VLOOKUP(D105,Average_Distance_by_kilometre_grouping_for_mode_type[#All],MATCH(A105,Average_Distance_by_kilometre_grouping_for_mode_type[#Headers],0),0)</f>
        <v>5</v>
      </c>
      <c r="I105" s="89">
        <f>VLOOKUP(D105,Average_Distance_by_kilometres_grouping_for_trip_purpose[#All],MATCH(A105,Average_Distance_by_kilometres_grouping_for_trip_purpose[#Headers],0),0)</f>
        <v>5</v>
      </c>
      <c r="J105" s="89">
        <f t="shared" si="6"/>
        <v>5</v>
      </c>
      <c r="K105" s="89">
        <f t="shared" si="7"/>
        <v>0.10540739959945188</v>
      </c>
      <c r="L105" s="89">
        <v>1</v>
      </c>
      <c r="M105" s="13">
        <f t="shared" si="8"/>
        <v>3948367.6446772511</v>
      </c>
      <c r="N105" s="89">
        <f t="shared" si="9"/>
        <v>6.4696773409577421E-5</v>
      </c>
    </row>
    <row r="106" spans="1:14" x14ac:dyDescent="0.25">
      <c r="A106" s="79" t="s">
        <v>128</v>
      </c>
      <c r="B106" s="89" t="s">
        <v>7</v>
      </c>
      <c r="C106" s="89" t="s">
        <v>44</v>
      </c>
      <c r="D106" s="13" t="s">
        <v>182</v>
      </c>
      <c r="E106" s="35">
        <f>VLOOKUP(B106, Passenger_Kilometre_by_mode_type[#All],MATCH(A106, Passenger_Kilometre_by_mode_type[#Headers],0),0)</f>
        <v>157552739.62167439</v>
      </c>
      <c r="F106" s="89">
        <f>VLOOKUP(C106, Reason_for_walking_cycling_journeys_by_percentage[#All],MATCH(A106, Reason_for_walking_cycling_journeys_by_percentage[#Headers],0),0)/100</f>
        <v>0.23774999999999999</v>
      </c>
      <c r="G106" s="13">
        <f t="shared" si="5"/>
        <v>37458163.845053084</v>
      </c>
      <c r="H106" s="89">
        <f>VLOOKUP(D106,Average_Distance_by_kilometre_grouping_for_mode_type[#All],MATCH(A106,Average_Distance_by_kilometre_grouping_for_mode_type[#Headers],0),0)</f>
        <v>7</v>
      </c>
      <c r="I106" s="89">
        <f>VLOOKUP(D106,Average_Distance_by_kilometres_grouping_for_trip_purpose[#All],MATCH(A106,Average_Distance_by_kilometres_grouping_for_trip_purpose[#Headers],0),0)</f>
        <v>7</v>
      </c>
      <c r="J106" s="89">
        <f t="shared" si="6"/>
        <v>7</v>
      </c>
      <c r="K106" s="89">
        <f t="shared" si="7"/>
        <v>0.14757035943923263</v>
      </c>
      <c r="L106" s="89">
        <v>1</v>
      </c>
      <c r="M106" s="13">
        <f t="shared" si="8"/>
        <v>5527714.7025481518</v>
      </c>
      <c r="N106" s="89">
        <f t="shared" si="9"/>
        <v>9.0575482773408401E-5</v>
      </c>
    </row>
    <row r="107" spans="1:14" x14ac:dyDescent="0.25">
      <c r="A107" s="79" t="s">
        <v>128</v>
      </c>
      <c r="B107" s="89" t="s">
        <v>7</v>
      </c>
      <c r="C107" s="89" t="s">
        <v>44</v>
      </c>
      <c r="D107" s="13" t="s">
        <v>1</v>
      </c>
      <c r="E107" s="35">
        <f>VLOOKUP(B107, Passenger_Kilometre_by_mode_type[#All],MATCH(A107, Passenger_Kilometre_by_mode_type[#Headers],0),0)</f>
        <v>157552739.62167439</v>
      </c>
      <c r="F107" s="89">
        <f>VLOOKUP(C107, Reason_for_walking_cycling_journeys_by_percentage[#All],MATCH(A107, Reason_for_walking_cycling_journeys_by_percentage[#Headers],0),0)/100</f>
        <v>0.23774999999999999</v>
      </c>
      <c r="G107" s="13">
        <f t="shared" si="5"/>
        <v>37458163.845053084</v>
      </c>
      <c r="H107" s="89">
        <f>VLOOKUP(D107,Average_Distance_by_kilometre_grouping_for_mode_type[#All],MATCH(A107,Average_Distance_by_kilometre_grouping_for_mode_type[#Headers],0),0)</f>
        <v>30.1</v>
      </c>
      <c r="I107" s="89">
        <f>VLOOKUP(D107,Average_Distance_by_kilometres_grouping_for_trip_purpose[#All],MATCH(A107,Average_Distance_by_kilometres_grouping_for_trip_purpose[#Headers],0),0)</f>
        <v>32.770000000000003</v>
      </c>
      <c r="J107" s="89">
        <f t="shared" si="6"/>
        <v>31.435000000000002</v>
      </c>
      <c r="K107" s="89">
        <f t="shared" si="7"/>
        <v>0.66269632128175404</v>
      </c>
      <c r="L107" s="89">
        <v>1</v>
      </c>
      <c r="M107" s="13">
        <f t="shared" si="8"/>
        <v>24823387.382085882</v>
      </c>
      <c r="N107" s="89">
        <f t="shared" si="9"/>
        <v>4.0674861442601334E-4</v>
      </c>
    </row>
    <row r="108" spans="1:14" x14ac:dyDescent="0.25">
      <c r="A108" s="79" t="s">
        <v>128</v>
      </c>
      <c r="B108" s="89" t="s">
        <v>7</v>
      </c>
      <c r="C108" s="89" t="s">
        <v>45</v>
      </c>
      <c r="D108" s="13" t="s">
        <v>12</v>
      </c>
      <c r="E108" s="35">
        <f>VLOOKUP(B108, Passenger_Kilometre_by_mode_type[#All],MATCH(A108, Passenger_Kilometre_by_mode_type[#Headers],0),0)</f>
        <v>157552739.62167439</v>
      </c>
      <c r="F108" s="89">
        <f>VLOOKUP(C108, Reason_for_walking_cycling_journeys_by_percentage[#All],MATCH(A108, Reason_for_walking_cycling_journeys_by_percentage[#Headers],0),0)/100</f>
        <v>3.6750000000000005E-2</v>
      </c>
      <c r="G108" s="13">
        <f t="shared" si="5"/>
        <v>5790063.1810965342</v>
      </c>
      <c r="H108" s="89">
        <f>VLOOKUP(D108,Average_Distance_by_kilometre_grouping_for_mode_type[#All],MATCH(A108,Average_Distance_by_kilometre_grouping_for_mode_type[#Headers],0),0)</f>
        <v>1</v>
      </c>
      <c r="I108" s="89">
        <f>VLOOKUP(D108,Average_Distance_by_kilometres_grouping_for_trip_purpose[#All],MATCH(A108,Average_Distance_by_kilometres_grouping_for_trip_purpose[#Headers],0),0)</f>
        <v>1</v>
      </c>
      <c r="J108" s="89">
        <f t="shared" si="6"/>
        <v>1</v>
      </c>
      <c r="K108" s="89">
        <f t="shared" si="7"/>
        <v>2.1081479919890376E-2</v>
      </c>
      <c r="L108" s="89">
        <v>1</v>
      </c>
      <c r="M108" s="13">
        <f t="shared" si="8"/>
        <v>122063.10068718318</v>
      </c>
      <c r="N108" s="89">
        <f t="shared" si="9"/>
        <v>2.0000895249648542E-6</v>
      </c>
    </row>
    <row r="109" spans="1:14" x14ac:dyDescent="0.25">
      <c r="A109" s="79" t="s">
        <v>128</v>
      </c>
      <c r="B109" s="89" t="s">
        <v>7</v>
      </c>
      <c r="C109" s="89" t="s">
        <v>45</v>
      </c>
      <c r="D109" s="13" t="s">
        <v>181</v>
      </c>
      <c r="E109" s="35">
        <f>VLOOKUP(B109, Passenger_Kilometre_by_mode_type[#All],MATCH(A109, Passenger_Kilometre_by_mode_type[#Headers],0),0)</f>
        <v>157552739.62167439</v>
      </c>
      <c r="F109" s="89">
        <f>VLOOKUP(C109, Reason_for_walking_cycling_journeys_by_percentage[#All],MATCH(A109, Reason_for_walking_cycling_journeys_by_percentage[#Headers],0),0)/100</f>
        <v>3.6750000000000005E-2</v>
      </c>
      <c r="G109" s="13">
        <f t="shared" si="5"/>
        <v>5790063.1810965342</v>
      </c>
      <c r="H109" s="89">
        <f>VLOOKUP(D109,Average_Distance_by_kilometre_grouping_for_mode_type[#All],MATCH(A109,Average_Distance_by_kilometre_grouping_for_mode_type[#Headers],0),0)</f>
        <v>3</v>
      </c>
      <c r="I109" s="89">
        <f>VLOOKUP(D109,Average_Distance_by_kilometres_grouping_for_trip_purpose[#All],MATCH(A109,Average_Distance_by_kilometres_grouping_for_trip_purpose[#Headers],0),0)</f>
        <v>3</v>
      </c>
      <c r="J109" s="89">
        <f t="shared" si="6"/>
        <v>3</v>
      </c>
      <c r="K109" s="89">
        <f t="shared" si="7"/>
        <v>6.3244439759671131E-2</v>
      </c>
      <c r="L109" s="89">
        <v>1</v>
      </c>
      <c r="M109" s="13">
        <f t="shared" si="8"/>
        <v>366189.30206154956</v>
      </c>
      <c r="N109" s="89">
        <f t="shared" si="9"/>
        <v>6.0002685748945639E-6</v>
      </c>
    </row>
    <row r="110" spans="1:14" x14ac:dyDescent="0.25">
      <c r="A110" s="79" t="s">
        <v>128</v>
      </c>
      <c r="B110" s="89" t="s">
        <v>7</v>
      </c>
      <c r="C110" s="89" t="s">
        <v>45</v>
      </c>
      <c r="D110" s="13" t="s">
        <v>180</v>
      </c>
      <c r="E110" s="35">
        <f>VLOOKUP(B110, Passenger_Kilometre_by_mode_type[#All],MATCH(A110, Passenger_Kilometre_by_mode_type[#Headers],0),0)</f>
        <v>157552739.62167439</v>
      </c>
      <c r="F110" s="89">
        <f>VLOOKUP(C110, Reason_for_walking_cycling_journeys_by_percentage[#All],MATCH(A110, Reason_for_walking_cycling_journeys_by_percentage[#Headers],0),0)/100</f>
        <v>3.6750000000000005E-2</v>
      </c>
      <c r="G110" s="13">
        <f t="shared" si="5"/>
        <v>5790063.1810965342</v>
      </c>
      <c r="H110" s="89">
        <f>VLOOKUP(D110,Average_Distance_by_kilometre_grouping_for_mode_type[#All],MATCH(A110,Average_Distance_by_kilometre_grouping_for_mode_type[#Headers],0),0)</f>
        <v>5</v>
      </c>
      <c r="I110" s="89">
        <f>VLOOKUP(D110,Average_Distance_by_kilometres_grouping_for_trip_purpose[#All],MATCH(A110,Average_Distance_by_kilometres_grouping_for_trip_purpose[#Headers],0),0)</f>
        <v>5</v>
      </c>
      <c r="J110" s="89">
        <f t="shared" si="6"/>
        <v>5</v>
      </c>
      <c r="K110" s="89">
        <f t="shared" si="7"/>
        <v>0.10540739959945188</v>
      </c>
      <c r="L110" s="89">
        <v>1</v>
      </c>
      <c r="M110" s="13">
        <f t="shared" si="8"/>
        <v>610315.50343591592</v>
      </c>
      <c r="N110" s="89">
        <f t="shared" si="9"/>
        <v>1.0000447624824272E-5</v>
      </c>
    </row>
    <row r="111" spans="1:14" x14ac:dyDescent="0.25">
      <c r="A111" s="79" t="s">
        <v>128</v>
      </c>
      <c r="B111" s="89" t="s">
        <v>7</v>
      </c>
      <c r="C111" s="89" t="s">
        <v>45</v>
      </c>
      <c r="D111" s="13" t="s">
        <v>182</v>
      </c>
      <c r="E111" s="35">
        <f>VLOOKUP(B111, Passenger_Kilometre_by_mode_type[#All],MATCH(A111, Passenger_Kilometre_by_mode_type[#Headers],0),0)</f>
        <v>157552739.62167439</v>
      </c>
      <c r="F111" s="89">
        <f>VLOOKUP(C111, Reason_for_walking_cycling_journeys_by_percentage[#All],MATCH(A111, Reason_for_walking_cycling_journeys_by_percentage[#Headers],0),0)/100</f>
        <v>3.6750000000000005E-2</v>
      </c>
      <c r="G111" s="13">
        <f t="shared" si="5"/>
        <v>5790063.1810965342</v>
      </c>
      <c r="H111" s="89">
        <f>VLOOKUP(D111,Average_Distance_by_kilometre_grouping_for_mode_type[#All],MATCH(A111,Average_Distance_by_kilometre_grouping_for_mode_type[#Headers],0),0)</f>
        <v>7</v>
      </c>
      <c r="I111" s="89">
        <f>VLOOKUP(D111,Average_Distance_by_kilometres_grouping_for_trip_purpose[#All],MATCH(A111,Average_Distance_by_kilometres_grouping_for_trip_purpose[#Headers],0),0)</f>
        <v>7</v>
      </c>
      <c r="J111" s="89">
        <f t="shared" si="6"/>
        <v>7</v>
      </c>
      <c r="K111" s="89">
        <f t="shared" si="7"/>
        <v>0.14757035943923263</v>
      </c>
      <c r="L111" s="89">
        <v>1</v>
      </c>
      <c r="M111" s="13">
        <f t="shared" si="8"/>
        <v>854441.70481028233</v>
      </c>
      <c r="N111" s="89">
        <f t="shared" si="9"/>
        <v>1.4000626674753982E-5</v>
      </c>
    </row>
    <row r="112" spans="1:14" x14ac:dyDescent="0.25">
      <c r="A112" s="79" t="s">
        <v>128</v>
      </c>
      <c r="B112" s="89" t="s">
        <v>7</v>
      </c>
      <c r="C112" s="89" t="s">
        <v>45</v>
      </c>
      <c r="D112" s="13" t="s">
        <v>1</v>
      </c>
      <c r="E112" s="35">
        <f>VLOOKUP(B112, Passenger_Kilometre_by_mode_type[#All],MATCH(A112, Passenger_Kilometre_by_mode_type[#Headers],0),0)</f>
        <v>157552739.62167439</v>
      </c>
      <c r="F112" s="89">
        <f>VLOOKUP(C112, Reason_for_walking_cycling_journeys_by_percentage[#All],MATCH(A112, Reason_for_walking_cycling_journeys_by_percentage[#Headers],0),0)/100</f>
        <v>3.6750000000000005E-2</v>
      </c>
      <c r="G112" s="13">
        <f t="shared" si="5"/>
        <v>5790063.1810965342</v>
      </c>
      <c r="H112" s="89">
        <f>VLOOKUP(D112,Average_Distance_by_kilometre_grouping_for_mode_type[#All],MATCH(A112,Average_Distance_by_kilometre_grouping_for_mode_type[#Headers],0),0)</f>
        <v>30.1</v>
      </c>
      <c r="I112" s="89">
        <f>VLOOKUP(D112,Average_Distance_by_kilometres_grouping_for_trip_purpose[#All],MATCH(A112,Average_Distance_by_kilometres_grouping_for_trip_purpose[#Headers],0),0)</f>
        <v>32.770000000000003</v>
      </c>
      <c r="J112" s="89">
        <f t="shared" si="6"/>
        <v>31.435000000000002</v>
      </c>
      <c r="K112" s="89">
        <f t="shared" si="7"/>
        <v>0.66269632128175404</v>
      </c>
      <c r="L112" s="89">
        <v>1</v>
      </c>
      <c r="M112" s="13">
        <f t="shared" si="8"/>
        <v>3837053.5701016039</v>
      </c>
      <c r="N112" s="89">
        <f t="shared" si="9"/>
        <v>6.2872814217270216E-5</v>
      </c>
    </row>
    <row r="113" spans="1:14" x14ac:dyDescent="0.25">
      <c r="A113" s="79" t="s">
        <v>128</v>
      </c>
      <c r="B113" s="89" t="s">
        <v>7</v>
      </c>
      <c r="C113" s="89" t="s">
        <v>56</v>
      </c>
      <c r="D113" s="13" t="s">
        <v>12</v>
      </c>
      <c r="E113" s="35">
        <f>VLOOKUP(B113, Passenger_Kilometre_by_mode_type[#All],MATCH(A113, Passenger_Kilometre_by_mode_type[#Headers],0),0)</f>
        <v>157552739.62167439</v>
      </c>
      <c r="F113" s="89">
        <f>VLOOKUP(C113, Reason_for_walking_cycling_journeys_by_percentage[#All],MATCH(A113, Reason_for_walking_cycling_journeys_by_percentage[#Headers],0),0)/100</f>
        <v>7.4500000000000011E-2</v>
      </c>
      <c r="G113" s="13">
        <f t="shared" si="5"/>
        <v>11737679.101814743</v>
      </c>
      <c r="H113" s="89">
        <f>VLOOKUP(D113,Average_Distance_by_kilometre_grouping_for_mode_type[#All],MATCH(A113,Average_Distance_by_kilometre_grouping_for_mode_type[#Headers],0),0)</f>
        <v>1</v>
      </c>
      <c r="I113" s="89">
        <f>VLOOKUP(D113,Average_Distance_by_kilometres_grouping_for_trip_purpose[#All],MATCH(A113,Average_Distance_by_kilometres_grouping_for_trip_purpose[#Headers],0),0)</f>
        <v>1</v>
      </c>
      <c r="J113" s="89">
        <f t="shared" si="6"/>
        <v>1</v>
      </c>
      <c r="K113" s="89">
        <f t="shared" si="7"/>
        <v>2.1081479919890376E-2</v>
      </c>
      <c r="L113" s="89">
        <v>1</v>
      </c>
      <c r="M113" s="13">
        <f t="shared" si="8"/>
        <v>247447.6462910244</v>
      </c>
      <c r="N113" s="89">
        <f t="shared" si="9"/>
        <v>4.0546032546906574E-6</v>
      </c>
    </row>
    <row r="114" spans="1:14" x14ac:dyDescent="0.25">
      <c r="A114" s="79" t="s">
        <v>128</v>
      </c>
      <c r="B114" s="89" t="s">
        <v>7</v>
      </c>
      <c r="C114" s="89" t="s">
        <v>56</v>
      </c>
      <c r="D114" s="13" t="s">
        <v>181</v>
      </c>
      <c r="E114" s="35">
        <f>VLOOKUP(B114, Passenger_Kilometre_by_mode_type[#All],MATCH(A114, Passenger_Kilometre_by_mode_type[#Headers],0),0)</f>
        <v>157552739.62167439</v>
      </c>
      <c r="F114" s="89">
        <f>VLOOKUP(C114, Reason_for_walking_cycling_journeys_by_percentage[#All],MATCH(A114, Reason_for_walking_cycling_journeys_by_percentage[#Headers],0),0)/100</f>
        <v>7.4500000000000011E-2</v>
      </c>
      <c r="G114" s="13">
        <f t="shared" si="5"/>
        <v>11737679.101814743</v>
      </c>
      <c r="H114" s="89">
        <f>VLOOKUP(D114,Average_Distance_by_kilometre_grouping_for_mode_type[#All],MATCH(A114,Average_Distance_by_kilometre_grouping_for_mode_type[#Headers],0),0)</f>
        <v>3</v>
      </c>
      <c r="I114" s="89">
        <f>VLOOKUP(D114,Average_Distance_by_kilometres_grouping_for_trip_purpose[#All],MATCH(A114,Average_Distance_by_kilometres_grouping_for_trip_purpose[#Headers],0),0)</f>
        <v>3</v>
      </c>
      <c r="J114" s="89">
        <f t="shared" si="6"/>
        <v>3</v>
      </c>
      <c r="K114" s="89">
        <f t="shared" si="7"/>
        <v>6.3244439759671131E-2</v>
      </c>
      <c r="L114" s="89">
        <v>1</v>
      </c>
      <c r="M114" s="13">
        <f t="shared" si="8"/>
        <v>742342.93887307332</v>
      </c>
      <c r="N114" s="89">
        <f t="shared" si="9"/>
        <v>1.2163809764071974E-5</v>
      </c>
    </row>
    <row r="115" spans="1:14" x14ac:dyDescent="0.25">
      <c r="A115" s="79" t="s">
        <v>128</v>
      </c>
      <c r="B115" s="89" t="s">
        <v>7</v>
      </c>
      <c r="C115" s="89" t="s">
        <v>56</v>
      </c>
      <c r="D115" s="13" t="s">
        <v>180</v>
      </c>
      <c r="E115" s="35">
        <f>VLOOKUP(B115, Passenger_Kilometre_by_mode_type[#All],MATCH(A115, Passenger_Kilometre_by_mode_type[#Headers],0),0)</f>
        <v>157552739.62167439</v>
      </c>
      <c r="F115" s="89">
        <f>VLOOKUP(C115, Reason_for_walking_cycling_journeys_by_percentage[#All],MATCH(A115, Reason_for_walking_cycling_journeys_by_percentage[#Headers],0),0)/100</f>
        <v>7.4500000000000011E-2</v>
      </c>
      <c r="G115" s="13">
        <f t="shared" si="5"/>
        <v>11737679.101814743</v>
      </c>
      <c r="H115" s="89">
        <f>VLOOKUP(D115,Average_Distance_by_kilometre_grouping_for_mode_type[#All],MATCH(A115,Average_Distance_by_kilometre_grouping_for_mode_type[#Headers],0),0)</f>
        <v>5</v>
      </c>
      <c r="I115" s="89">
        <f>VLOOKUP(D115,Average_Distance_by_kilometres_grouping_for_trip_purpose[#All],MATCH(A115,Average_Distance_by_kilometres_grouping_for_trip_purpose[#Headers],0),0)</f>
        <v>5</v>
      </c>
      <c r="J115" s="89">
        <f t="shared" si="6"/>
        <v>5</v>
      </c>
      <c r="K115" s="89">
        <f t="shared" si="7"/>
        <v>0.10540739959945188</v>
      </c>
      <c r="L115" s="89">
        <v>1</v>
      </c>
      <c r="M115" s="13">
        <f t="shared" si="8"/>
        <v>1237238.2314551221</v>
      </c>
      <c r="N115" s="89">
        <f t="shared" si="9"/>
        <v>2.0273016273453289E-5</v>
      </c>
    </row>
    <row r="116" spans="1:14" x14ac:dyDescent="0.25">
      <c r="A116" s="79" t="s">
        <v>128</v>
      </c>
      <c r="B116" s="89" t="s">
        <v>7</v>
      </c>
      <c r="C116" s="89" t="s">
        <v>56</v>
      </c>
      <c r="D116" s="13" t="s">
        <v>182</v>
      </c>
      <c r="E116" s="35">
        <f>VLOOKUP(B116, Passenger_Kilometre_by_mode_type[#All],MATCH(A116, Passenger_Kilometre_by_mode_type[#Headers],0),0)</f>
        <v>157552739.62167439</v>
      </c>
      <c r="F116" s="89">
        <f>VLOOKUP(C116, Reason_for_walking_cycling_journeys_by_percentage[#All],MATCH(A116, Reason_for_walking_cycling_journeys_by_percentage[#Headers],0),0)/100</f>
        <v>7.4500000000000011E-2</v>
      </c>
      <c r="G116" s="13">
        <f t="shared" si="5"/>
        <v>11737679.101814743</v>
      </c>
      <c r="H116" s="89">
        <f>VLOOKUP(D116,Average_Distance_by_kilometre_grouping_for_mode_type[#All],MATCH(A116,Average_Distance_by_kilometre_grouping_for_mode_type[#Headers],0),0)</f>
        <v>7</v>
      </c>
      <c r="I116" s="89">
        <f>VLOOKUP(D116,Average_Distance_by_kilometres_grouping_for_trip_purpose[#All],MATCH(A116,Average_Distance_by_kilometres_grouping_for_trip_purpose[#Headers],0),0)</f>
        <v>7</v>
      </c>
      <c r="J116" s="89">
        <f t="shared" si="6"/>
        <v>7</v>
      </c>
      <c r="K116" s="89">
        <f t="shared" si="7"/>
        <v>0.14757035943923263</v>
      </c>
      <c r="L116" s="89">
        <v>1</v>
      </c>
      <c r="M116" s="13">
        <f t="shared" si="8"/>
        <v>1732133.5240371709</v>
      </c>
      <c r="N116" s="89">
        <f t="shared" si="9"/>
        <v>2.8382222782834603E-5</v>
      </c>
    </row>
    <row r="117" spans="1:14" x14ac:dyDescent="0.25">
      <c r="A117" s="79" t="s">
        <v>128</v>
      </c>
      <c r="B117" s="89" t="s">
        <v>7</v>
      </c>
      <c r="C117" s="89" t="s">
        <v>56</v>
      </c>
      <c r="D117" s="13" t="s">
        <v>1</v>
      </c>
      <c r="E117" s="35">
        <f>VLOOKUP(B117, Passenger_Kilometre_by_mode_type[#All],MATCH(A117, Passenger_Kilometre_by_mode_type[#Headers],0),0)</f>
        <v>157552739.62167439</v>
      </c>
      <c r="F117" s="89">
        <f>VLOOKUP(C117, Reason_for_walking_cycling_journeys_by_percentage[#All],MATCH(A117, Reason_for_walking_cycling_journeys_by_percentage[#Headers],0),0)/100</f>
        <v>7.4500000000000011E-2</v>
      </c>
      <c r="G117" s="13">
        <f t="shared" si="5"/>
        <v>11737679.101814743</v>
      </c>
      <c r="H117" s="89">
        <f>VLOOKUP(D117,Average_Distance_by_kilometre_grouping_for_mode_type[#All],MATCH(A117,Average_Distance_by_kilometre_grouping_for_mode_type[#Headers],0),0)</f>
        <v>30.1</v>
      </c>
      <c r="I117" s="89">
        <f>VLOOKUP(D117,Average_Distance_by_kilometres_grouping_for_trip_purpose[#All],MATCH(A117,Average_Distance_by_kilometres_grouping_for_trip_purpose[#Headers],0),0)</f>
        <v>32.770000000000003</v>
      </c>
      <c r="J117" s="89">
        <f t="shared" si="6"/>
        <v>31.435000000000002</v>
      </c>
      <c r="K117" s="89">
        <f t="shared" si="7"/>
        <v>0.66269632128175404</v>
      </c>
      <c r="L117" s="89">
        <v>1</v>
      </c>
      <c r="M117" s="13">
        <f t="shared" si="8"/>
        <v>7778516.7611583536</v>
      </c>
      <c r="N117" s="89">
        <f t="shared" si="9"/>
        <v>1.2745645331120083E-4</v>
      </c>
    </row>
    <row r="118" spans="1:14" x14ac:dyDescent="0.25">
      <c r="A118" s="79" t="s">
        <v>128</v>
      </c>
      <c r="B118" s="89" t="s">
        <v>7</v>
      </c>
      <c r="C118" s="89" t="s">
        <v>57</v>
      </c>
      <c r="D118" s="13" t="s">
        <v>12</v>
      </c>
      <c r="E118" s="35">
        <f>VLOOKUP(B118, Passenger_Kilometre_by_mode_type[#All],MATCH(A118, Passenger_Kilometre_by_mode_type[#Headers],0),0)</f>
        <v>157552739.62167439</v>
      </c>
      <c r="F118" s="89">
        <f>VLOOKUP(C118, Reason_for_walking_cycling_journeys_by_percentage[#All],MATCH(A118, Reason_for_walking_cycling_journeys_by_percentage[#Headers],0),0)/100</f>
        <v>0.19524999999999998</v>
      </c>
      <c r="G118" s="13">
        <f t="shared" si="5"/>
        <v>30762172.411131922</v>
      </c>
      <c r="H118" s="89">
        <f>VLOOKUP(D118,Average_Distance_by_kilometre_grouping_for_mode_type[#All],MATCH(A118,Average_Distance_by_kilometre_grouping_for_mode_type[#Headers],0),0)</f>
        <v>1</v>
      </c>
      <c r="I118" s="89">
        <f>VLOOKUP(D118,Average_Distance_by_kilometres_grouping_for_trip_purpose[#All],MATCH(A118,Average_Distance_by_kilometres_grouping_for_trip_purpose[#Headers],0),0)</f>
        <v>1</v>
      </c>
      <c r="J118" s="89">
        <f t="shared" si="6"/>
        <v>1</v>
      </c>
      <c r="K118" s="89">
        <f t="shared" si="7"/>
        <v>2.1081479919890376E-2</v>
      </c>
      <c r="L118" s="89">
        <v>1</v>
      </c>
      <c r="M118" s="13">
        <f t="shared" si="8"/>
        <v>648512.11997748329</v>
      </c>
      <c r="N118" s="89">
        <f t="shared" si="9"/>
        <v>1.0626325979575177E-5</v>
      </c>
    </row>
    <row r="119" spans="1:14" x14ac:dyDescent="0.25">
      <c r="A119" s="79" t="s">
        <v>128</v>
      </c>
      <c r="B119" s="89" t="s">
        <v>7</v>
      </c>
      <c r="C119" s="89" t="s">
        <v>57</v>
      </c>
      <c r="D119" s="13" t="s">
        <v>181</v>
      </c>
      <c r="E119" s="35">
        <f>VLOOKUP(B119, Passenger_Kilometre_by_mode_type[#All],MATCH(A119, Passenger_Kilometre_by_mode_type[#Headers],0),0)</f>
        <v>157552739.62167439</v>
      </c>
      <c r="F119" s="89">
        <f>VLOOKUP(C119, Reason_for_walking_cycling_journeys_by_percentage[#All],MATCH(A119, Reason_for_walking_cycling_journeys_by_percentage[#Headers],0),0)/100</f>
        <v>0.19524999999999998</v>
      </c>
      <c r="G119" s="13">
        <f t="shared" si="5"/>
        <v>30762172.411131922</v>
      </c>
      <c r="H119" s="89">
        <f>VLOOKUP(D119,Average_Distance_by_kilometre_grouping_for_mode_type[#All],MATCH(A119,Average_Distance_by_kilometre_grouping_for_mode_type[#Headers],0),0)</f>
        <v>3</v>
      </c>
      <c r="I119" s="89">
        <f>VLOOKUP(D119,Average_Distance_by_kilometres_grouping_for_trip_purpose[#All],MATCH(A119,Average_Distance_by_kilometres_grouping_for_trip_purpose[#Headers],0),0)</f>
        <v>3</v>
      </c>
      <c r="J119" s="89">
        <f t="shared" si="6"/>
        <v>3</v>
      </c>
      <c r="K119" s="89">
        <f t="shared" si="7"/>
        <v>6.3244439759671131E-2</v>
      </c>
      <c r="L119" s="89">
        <v>1</v>
      </c>
      <c r="M119" s="13">
        <f t="shared" si="8"/>
        <v>1945536.3599324501</v>
      </c>
      <c r="N119" s="89">
        <f t="shared" si="9"/>
        <v>3.1878977938725532E-5</v>
      </c>
    </row>
    <row r="120" spans="1:14" x14ac:dyDescent="0.25">
      <c r="A120" s="79" t="s">
        <v>128</v>
      </c>
      <c r="B120" s="89" t="s">
        <v>7</v>
      </c>
      <c r="C120" s="89" t="s">
        <v>57</v>
      </c>
      <c r="D120" s="13" t="s">
        <v>180</v>
      </c>
      <c r="E120" s="35">
        <f>VLOOKUP(B120, Passenger_Kilometre_by_mode_type[#All],MATCH(A120, Passenger_Kilometre_by_mode_type[#Headers],0),0)</f>
        <v>157552739.62167439</v>
      </c>
      <c r="F120" s="89">
        <f>VLOOKUP(C120, Reason_for_walking_cycling_journeys_by_percentage[#All],MATCH(A120, Reason_for_walking_cycling_journeys_by_percentage[#Headers],0),0)/100</f>
        <v>0.19524999999999998</v>
      </c>
      <c r="G120" s="13">
        <f t="shared" si="5"/>
        <v>30762172.411131922</v>
      </c>
      <c r="H120" s="89">
        <f>VLOOKUP(D120,Average_Distance_by_kilometre_grouping_for_mode_type[#All],MATCH(A120,Average_Distance_by_kilometre_grouping_for_mode_type[#Headers],0),0)</f>
        <v>5</v>
      </c>
      <c r="I120" s="89">
        <f>VLOOKUP(D120,Average_Distance_by_kilometres_grouping_for_trip_purpose[#All],MATCH(A120,Average_Distance_by_kilometres_grouping_for_trip_purpose[#Headers],0),0)</f>
        <v>5</v>
      </c>
      <c r="J120" s="89">
        <f t="shared" si="6"/>
        <v>5</v>
      </c>
      <c r="K120" s="89">
        <f t="shared" si="7"/>
        <v>0.10540739959945188</v>
      </c>
      <c r="L120" s="89">
        <v>1</v>
      </c>
      <c r="M120" s="13">
        <f t="shared" si="8"/>
        <v>3242560.5998874167</v>
      </c>
      <c r="N120" s="89">
        <f t="shared" si="9"/>
        <v>5.3131629897875887E-5</v>
      </c>
    </row>
    <row r="121" spans="1:14" x14ac:dyDescent="0.25">
      <c r="A121" s="79" t="s">
        <v>128</v>
      </c>
      <c r="B121" s="89" t="s">
        <v>7</v>
      </c>
      <c r="C121" s="89" t="s">
        <v>57</v>
      </c>
      <c r="D121" s="13" t="s">
        <v>182</v>
      </c>
      <c r="E121" s="35">
        <f>VLOOKUP(B121, Passenger_Kilometre_by_mode_type[#All],MATCH(A121, Passenger_Kilometre_by_mode_type[#Headers],0),0)</f>
        <v>157552739.62167439</v>
      </c>
      <c r="F121" s="89">
        <f>VLOOKUP(C121, Reason_for_walking_cycling_journeys_by_percentage[#All],MATCH(A121, Reason_for_walking_cycling_journeys_by_percentage[#Headers],0),0)/100</f>
        <v>0.19524999999999998</v>
      </c>
      <c r="G121" s="13">
        <f t="shared" si="5"/>
        <v>30762172.411131922</v>
      </c>
      <c r="H121" s="89">
        <f>VLOOKUP(D121,Average_Distance_by_kilometre_grouping_for_mode_type[#All],MATCH(A121,Average_Distance_by_kilometre_grouping_for_mode_type[#Headers],0),0)</f>
        <v>7</v>
      </c>
      <c r="I121" s="89">
        <f>VLOOKUP(D121,Average_Distance_by_kilometres_grouping_for_trip_purpose[#All],MATCH(A121,Average_Distance_by_kilometres_grouping_for_trip_purpose[#Headers],0),0)</f>
        <v>7</v>
      </c>
      <c r="J121" s="89">
        <f t="shared" si="6"/>
        <v>7</v>
      </c>
      <c r="K121" s="89">
        <f t="shared" si="7"/>
        <v>0.14757035943923263</v>
      </c>
      <c r="L121" s="89">
        <v>1</v>
      </c>
      <c r="M121" s="13">
        <f t="shared" si="8"/>
        <v>4539584.8398423837</v>
      </c>
      <c r="N121" s="89">
        <f t="shared" si="9"/>
        <v>7.4384281857026256E-5</v>
      </c>
    </row>
    <row r="122" spans="1:14" x14ac:dyDescent="0.25">
      <c r="A122" s="79" t="s">
        <v>128</v>
      </c>
      <c r="B122" s="89" t="s">
        <v>7</v>
      </c>
      <c r="C122" s="89" t="s">
        <v>57</v>
      </c>
      <c r="D122" s="13" t="s">
        <v>1</v>
      </c>
      <c r="E122" s="35">
        <f>VLOOKUP(B122, Passenger_Kilometre_by_mode_type[#All],MATCH(A122, Passenger_Kilometre_by_mode_type[#Headers],0),0)</f>
        <v>157552739.62167439</v>
      </c>
      <c r="F122" s="89">
        <f>VLOOKUP(C122, Reason_for_walking_cycling_journeys_by_percentage[#All],MATCH(A122, Reason_for_walking_cycling_journeys_by_percentage[#Headers],0),0)/100</f>
        <v>0.19524999999999998</v>
      </c>
      <c r="G122" s="13">
        <f t="shared" si="5"/>
        <v>30762172.411131922</v>
      </c>
      <c r="H122" s="89">
        <f>VLOOKUP(D122,Average_Distance_by_kilometre_grouping_for_mode_type[#All],MATCH(A122,Average_Distance_by_kilometre_grouping_for_mode_type[#Headers],0),0)</f>
        <v>30.1</v>
      </c>
      <c r="I122" s="89">
        <f>VLOOKUP(D122,Average_Distance_by_kilometres_grouping_for_trip_purpose[#All],MATCH(A122,Average_Distance_by_kilometres_grouping_for_trip_purpose[#Headers],0),0)</f>
        <v>32.770000000000003</v>
      </c>
      <c r="J122" s="89">
        <f t="shared" si="6"/>
        <v>31.435000000000002</v>
      </c>
      <c r="K122" s="89">
        <f t="shared" si="7"/>
        <v>0.66269632128175404</v>
      </c>
      <c r="L122" s="89">
        <v>1</v>
      </c>
      <c r="M122" s="13">
        <f t="shared" si="8"/>
        <v>20385978.491492189</v>
      </c>
      <c r="N122" s="89">
        <f t="shared" si="9"/>
        <v>3.3403855716794572E-4</v>
      </c>
    </row>
    <row r="123" spans="1:14" x14ac:dyDescent="0.25">
      <c r="A123" s="79" t="s">
        <v>128</v>
      </c>
      <c r="B123" s="89" t="s">
        <v>7</v>
      </c>
      <c r="C123" s="89" t="s">
        <v>93</v>
      </c>
      <c r="D123" s="13" t="s">
        <v>12</v>
      </c>
      <c r="E123" s="35">
        <f>VLOOKUP(B123, Passenger_Kilometre_by_mode_type[#All],MATCH(A123, Passenger_Kilometre_by_mode_type[#Headers],0),0)</f>
        <v>157552739.62167439</v>
      </c>
      <c r="F123" s="89">
        <f>VLOOKUP(C123, Reason_for_walking_cycling_journeys_by_percentage[#All],MATCH(A123, Reason_for_walking_cycling_journeys_by_percentage[#Headers],0),0)/100</f>
        <v>4.4499999999999991E-2</v>
      </c>
      <c r="G123" s="13">
        <f t="shared" si="5"/>
        <v>7011096.9131645085</v>
      </c>
      <c r="H123" s="89">
        <f>VLOOKUP(D123,Average_Distance_by_kilometre_grouping_for_mode_type[#All],MATCH(A123,Average_Distance_by_kilometre_grouping_for_mode_type[#Headers],0),0)</f>
        <v>1</v>
      </c>
      <c r="I123" s="89">
        <f>VLOOKUP(D123,Average_Distance_by_kilometres_grouping_for_trip_purpose[#All],MATCH(A123,Average_Distance_by_kilometres_grouping_for_trip_purpose[#Headers],0),0)</f>
        <v>1</v>
      </c>
      <c r="J123" s="89">
        <f t="shared" si="6"/>
        <v>1</v>
      </c>
      <c r="K123" s="89">
        <f t="shared" si="7"/>
        <v>2.1081479919890376E-2</v>
      </c>
      <c r="L123" s="89">
        <v>1</v>
      </c>
      <c r="M123" s="13">
        <f t="shared" si="8"/>
        <v>147804.29879128298</v>
      </c>
      <c r="N123" s="89">
        <f t="shared" si="9"/>
        <v>2.4218771118622039E-6</v>
      </c>
    </row>
    <row r="124" spans="1:14" x14ac:dyDescent="0.25">
      <c r="A124" s="79" t="s">
        <v>128</v>
      </c>
      <c r="B124" s="89" t="s">
        <v>7</v>
      </c>
      <c r="C124" s="89" t="s">
        <v>93</v>
      </c>
      <c r="D124" s="13" t="s">
        <v>181</v>
      </c>
      <c r="E124" s="35">
        <f>VLOOKUP(B124, Passenger_Kilometre_by_mode_type[#All],MATCH(A124, Passenger_Kilometre_by_mode_type[#Headers],0),0)</f>
        <v>157552739.62167439</v>
      </c>
      <c r="F124" s="89">
        <f>VLOOKUP(C124, Reason_for_walking_cycling_journeys_by_percentage[#All],MATCH(A124, Reason_for_walking_cycling_journeys_by_percentage[#Headers],0),0)/100</f>
        <v>4.4499999999999991E-2</v>
      </c>
      <c r="G124" s="13">
        <f t="shared" si="5"/>
        <v>7011096.9131645085</v>
      </c>
      <c r="H124" s="89">
        <f>VLOOKUP(D124,Average_Distance_by_kilometre_grouping_for_mode_type[#All],MATCH(A124,Average_Distance_by_kilometre_grouping_for_mode_type[#Headers],0),0)</f>
        <v>3</v>
      </c>
      <c r="I124" s="89">
        <f>VLOOKUP(D124,Average_Distance_by_kilometres_grouping_for_trip_purpose[#All],MATCH(A124,Average_Distance_by_kilometres_grouping_for_trip_purpose[#Headers],0),0)</f>
        <v>3</v>
      </c>
      <c r="J124" s="89">
        <f t="shared" si="6"/>
        <v>3</v>
      </c>
      <c r="K124" s="89">
        <f t="shared" si="7"/>
        <v>6.3244439759671131E-2</v>
      </c>
      <c r="L124" s="89">
        <v>1</v>
      </c>
      <c r="M124" s="13">
        <f t="shared" si="8"/>
        <v>443412.89637384895</v>
      </c>
      <c r="N124" s="89">
        <f t="shared" si="9"/>
        <v>7.265631335586612E-6</v>
      </c>
    </row>
    <row r="125" spans="1:14" x14ac:dyDescent="0.25">
      <c r="A125" s="79" t="s">
        <v>128</v>
      </c>
      <c r="B125" s="89" t="s">
        <v>7</v>
      </c>
      <c r="C125" s="89" t="s">
        <v>93</v>
      </c>
      <c r="D125" s="13" t="s">
        <v>180</v>
      </c>
      <c r="E125" s="35">
        <f>VLOOKUP(B125, Passenger_Kilometre_by_mode_type[#All],MATCH(A125, Passenger_Kilometre_by_mode_type[#Headers],0),0)</f>
        <v>157552739.62167439</v>
      </c>
      <c r="F125" s="89">
        <f>VLOOKUP(C125, Reason_for_walking_cycling_journeys_by_percentage[#All],MATCH(A125, Reason_for_walking_cycling_journeys_by_percentage[#Headers],0),0)/100</f>
        <v>4.4499999999999991E-2</v>
      </c>
      <c r="G125" s="13">
        <f t="shared" si="5"/>
        <v>7011096.9131645085</v>
      </c>
      <c r="H125" s="89">
        <f>VLOOKUP(D125,Average_Distance_by_kilometre_grouping_for_mode_type[#All],MATCH(A125,Average_Distance_by_kilometre_grouping_for_mode_type[#Headers],0),0)</f>
        <v>5</v>
      </c>
      <c r="I125" s="89">
        <f>VLOOKUP(D125,Average_Distance_by_kilometres_grouping_for_trip_purpose[#All],MATCH(A125,Average_Distance_by_kilometres_grouping_for_trip_purpose[#Headers],0),0)</f>
        <v>5</v>
      </c>
      <c r="J125" s="89">
        <f t="shared" si="6"/>
        <v>5</v>
      </c>
      <c r="K125" s="89">
        <f t="shared" si="7"/>
        <v>0.10540739959945188</v>
      </c>
      <c r="L125" s="89">
        <v>1</v>
      </c>
      <c r="M125" s="13">
        <f t="shared" si="8"/>
        <v>739021.49395641487</v>
      </c>
      <c r="N125" s="89">
        <f t="shared" si="9"/>
        <v>1.2109385559311019E-5</v>
      </c>
    </row>
    <row r="126" spans="1:14" x14ac:dyDescent="0.25">
      <c r="A126" s="79" t="s">
        <v>128</v>
      </c>
      <c r="B126" s="89" t="s">
        <v>7</v>
      </c>
      <c r="C126" s="89" t="s">
        <v>93</v>
      </c>
      <c r="D126" s="13" t="s">
        <v>182</v>
      </c>
      <c r="E126" s="35">
        <f>VLOOKUP(B126, Passenger_Kilometre_by_mode_type[#All],MATCH(A126, Passenger_Kilometre_by_mode_type[#Headers],0),0)</f>
        <v>157552739.62167439</v>
      </c>
      <c r="F126" s="89">
        <f>VLOOKUP(C126, Reason_for_walking_cycling_journeys_by_percentage[#All],MATCH(A126, Reason_for_walking_cycling_journeys_by_percentage[#Headers],0),0)/100</f>
        <v>4.4499999999999991E-2</v>
      </c>
      <c r="G126" s="13">
        <f t="shared" si="5"/>
        <v>7011096.9131645085</v>
      </c>
      <c r="H126" s="89">
        <f>VLOOKUP(D126,Average_Distance_by_kilometre_grouping_for_mode_type[#All],MATCH(A126,Average_Distance_by_kilometre_grouping_for_mode_type[#Headers],0),0)</f>
        <v>7</v>
      </c>
      <c r="I126" s="89">
        <f>VLOOKUP(D126,Average_Distance_by_kilometres_grouping_for_trip_purpose[#All],MATCH(A126,Average_Distance_by_kilometres_grouping_for_trip_purpose[#Headers],0),0)</f>
        <v>7</v>
      </c>
      <c r="J126" s="89">
        <f t="shared" si="6"/>
        <v>7</v>
      </c>
      <c r="K126" s="89">
        <f t="shared" si="7"/>
        <v>0.14757035943923263</v>
      </c>
      <c r="L126" s="89">
        <v>1</v>
      </c>
      <c r="M126" s="13">
        <f t="shared" si="8"/>
        <v>1034630.091538981</v>
      </c>
      <c r="N126" s="89">
        <f t="shared" si="9"/>
        <v>1.6953139783035429E-5</v>
      </c>
    </row>
    <row r="127" spans="1:14" x14ac:dyDescent="0.25">
      <c r="A127" s="79" t="s">
        <v>128</v>
      </c>
      <c r="B127" s="89" t="s">
        <v>7</v>
      </c>
      <c r="C127" s="89" t="s">
        <v>93</v>
      </c>
      <c r="D127" s="13" t="s">
        <v>1</v>
      </c>
      <c r="E127" s="35">
        <f>VLOOKUP(B127, Passenger_Kilometre_by_mode_type[#All],MATCH(A127, Passenger_Kilometre_by_mode_type[#Headers],0),0)</f>
        <v>157552739.62167439</v>
      </c>
      <c r="F127" s="89">
        <f>VLOOKUP(C127, Reason_for_walking_cycling_journeys_by_percentage[#All],MATCH(A127, Reason_for_walking_cycling_journeys_by_percentage[#Headers],0),0)/100</f>
        <v>4.4499999999999991E-2</v>
      </c>
      <c r="G127" s="13">
        <f t="shared" si="5"/>
        <v>7011096.9131645085</v>
      </c>
      <c r="H127" s="89">
        <f>VLOOKUP(D127,Average_Distance_by_kilometre_grouping_for_mode_type[#All],MATCH(A127,Average_Distance_by_kilometre_grouping_for_mode_type[#Headers],0),0)</f>
        <v>30.1</v>
      </c>
      <c r="I127" s="89">
        <f>VLOOKUP(D127,Average_Distance_by_kilometres_grouping_for_trip_purpose[#All],MATCH(A127,Average_Distance_by_kilometres_grouping_for_trip_purpose[#Headers],0),0)</f>
        <v>32.770000000000003</v>
      </c>
      <c r="J127" s="89">
        <f t="shared" si="6"/>
        <v>31.435000000000002</v>
      </c>
      <c r="K127" s="89">
        <f t="shared" si="7"/>
        <v>0.66269632128175404</v>
      </c>
      <c r="L127" s="89">
        <v>1</v>
      </c>
      <c r="M127" s="13">
        <f t="shared" si="8"/>
        <v>4646228.1325039808</v>
      </c>
      <c r="N127" s="89">
        <f t="shared" si="9"/>
        <v>7.6131707011388379E-5</v>
      </c>
    </row>
    <row r="128" spans="1:14" x14ac:dyDescent="0.25">
      <c r="A128" s="79" t="s">
        <v>128</v>
      </c>
      <c r="B128" s="89" t="s">
        <v>7</v>
      </c>
      <c r="C128" s="89" t="s">
        <v>243</v>
      </c>
      <c r="D128" s="13" t="s">
        <v>12</v>
      </c>
      <c r="E128" s="35">
        <f>VLOOKUP(B128, Passenger_Kilometre_by_mode_type[#All],MATCH(A128, Passenger_Kilometre_by_mode_type[#Headers],0),0)</f>
        <v>157552739.62167439</v>
      </c>
      <c r="F128" s="89">
        <f>VLOOKUP(C128, Reason_for_walking_cycling_journeys_by_percentage[#All],MATCH(A128, Reason_for_walking_cycling_journeys_by_percentage[#Headers],0),0)/100</f>
        <v>8.5500000000000007E-2</v>
      </c>
      <c r="G128" s="13">
        <f t="shared" si="5"/>
        <v>13470759.23765316</v>
      </c>
      <c r="H128" s="89">
        <f>VLOOKUP(D128,Average_Distance_by_kilometre_grouping_for_mode_type[#All],MATCH(A128,Average_Distance_by_kilometre_grouping_for_mode_type[#Headers],0),0)</f>
        <v>1</v>
      </c>
      <c r="I128" s="89">
        <f>VLOOKUP(D128,Average_Distance_by_kilometres_grouping_for_trip_purpose[#All],MATCH(A128,Average_Distance_by_kilometres_grouping_for_trip_purpose[#Headers],0),0)</f>
        <v>1</v>
      </c>
      <c r="J128" s="89">
        <f t="shared" si="6"/>
        <v>1</v>
      </c>
      <c r="K128" s="89">
        <f t="shared" si="7"/>
        <v>2.1081479919890376E-2</v>
      </c>
      <c r="L128" s="89">
        <v>1</v>
      </c>
      <c r="M128" s="13">
        <f t="shared" si="8"/>
        <v>283983.5403742629</v>
      </c>
      <c r="N128" s="89">
        <f t="shared" si="9"/>
        <v>4.6532695070610901E-6</v>
      </c>
    </row>
    <row r="129" spans="1:14" x14ac:dyDescent="0.25">
      <c r="A129" s="79" t="s">
        <v>128</v>
      </c>
      <c r="B129" s="89" t="s">
        <v>7</v>
      </c>
      <c r="C129" s="89" t="s">
        <v>243</v>
      </c>
      <c r="D129" s="13" t="s">
        <v>181</v>
      </c>
      <c r="E129" s="35">
        <f>VLOOKUP(B129, Passenger_Kilometre_by_mode_type[#All],MATCH(A129, Passenger_Kilometre_by_mode_type[#Headers],0),0)</f>
        <v>157552739.62167439</v>
      </c>
      <c r="F129" s="89">
        <f>VLOOKUP(C129, Reason_for_walking_cycling_journeys_by_percentage[#All],MATCH(A129, Reason_for_walking_cycling_journeys_by_percentage[#Headers],0),0)/100</f>
        <v>8.5500000000000007E-2</v>
      </c>
      <c r="G129" s="13">
        <f t="shared" si="5"/>
        <v>13470759.23765316</v>
      </c>
      <c r="H129" s="89">
        <f>VLOOKUP(D129,Average_Distance_by_kilometre_grouping_for_mode_type[#All],MATCH(A129,Average_Distance_by_kilometre_grouping_for_mode_type[#Headers],0),0)</f>
        <v>3</v>
      </c>
      <c r="I129" s="89">
        <f>VLOOKUP(D129,Average_Distance_by_kilometres_grouping_for_trip_purpose[#All],MATCH(A129,Average_Distance_by_kilometres_grouping_for_trip_purpose[#Headers],0),0)</f>
        <v>3</v>
      </c>
      <c r="J129" s="89">
        <f t="shared" si="6"/>
        <v>3</v>
      </c>
      <c r="K129" s="89">
        <f t="shared" si="7"/>
        <v>6.3244439759671131E-2</v>
      </c>
      <c r="L129" s="89">
        <v>1</v>
      </c>
      <c r="M129" s="13">
        <f t="shared" si="8"/>
        <v>851950.62112278875</v>
      </c>
      <c r="N129" s="89">
        <f t="shared" si="9"/>
        <v>1.395980852118327E-5</v>
      </c>
    </row>
    <row r="130" spans="1:14" x14ac:dyDescent="0.25">
      <c r="A130" s="79" t="s">
        <v>128</v>
      </c>
      <c r="B130" s="89" t="s">
        <v>7</v>
      </c>
      <c r="C130" s="89" t="s">
        <v>243</v>
      </c>
      <c r="D130" s="13" t="s">
        <v>180</v>
      </c>
      <c r="E130" s="35">
        <f>VLOOKUP(B130, Passenger_Kilometre_by_mode_type[#All],MATCH(A130, Passenger_Kilometre_by_mode_type[#Headers],0),0)</f>
        <v>157552739.62167439</v>
      </c>
      <c r="F130" s="89">
        <f>VLOOKUP(C130, Reason_for_walking_cycling_journeys_by_percentage[#All],MATCH(A130, Reason_for_walking_cycling_journeys_by_percentage[#Headers],0),0)/100</f>
        <v>8.5500000000000007E-2</v>
      </c>
      <c r="G130" s="13">
        <f t="shared" si="5"/>
        <v>13470759.23765316</v>
      </c>
      <c r="H130" s="89">
        <f>VLOOKUP(D130,Average_Distance_by_kilometre_grouping_for_mode_type[#All],MATCH(A130,Average_Distance_by_kilometre_grouping_for_mode_type[#Headers],0),0)</f>
        <v>5</v>
      </c>
      <c r="I130" s="89">
        <f>VLOOKUP(D130,Average_Distance_by_kilometres_grouping_for_trip_purpose[#All],MATCH(A130,Average_Distance_by_kilometres_grouping_for_trip_purpose[#Headers],0),0)</f>
        <v>5</v>
      </c>
      <c r="J130" s="89">
        <f t="shared" si="6"/>
        <v>5</v>
      </c>
      <c r="K130" s="89">
        <f t="shared" si="7"/>
        <v>0.10540739959945188</v>
      </c>
      <c r="L130" s="89">
        <v>1</v>
      </c>
      <c r="M130" s="13">
        <f t="shared" si="8"/>
        <v>1419917.7018713143</v>
      </c>
      <c r="N130" s="89">
        <f t="shared" si="9"/>
        <v>2.3266347535305446E-5</v>
      </c>
    </row>
    <row r="131" spans="1:14" x14ac:dyDescent="0.25">
      <c r="A131" s="79" t="s">
        <v>128</v>
      </c>
      <c r="B131" s="89" t="s">
        <v>7</v>
      </c>
      <c r="C131" s="89" t="s">
        <v>243</v>
      </c>
      <c r="D131" s="13" t="s">
        <v>182</v>
      </c>
      <c r="E131" s="35">
        <f>VLOOKUP(B131, Passenger_Kilometre_by_mode_type[#All],MATCH(A131, Passenger_Kilometre_by_mode_type[#Headers],0),0)</f>
        <v>157552739.62167439</v>
      </c>
      <c r="F131" s="89">
        <f>VLOOKUP(C131, Reason_for_walking_cycling_journeys_by_percentage[#All],MATCH(A131, Reason_for_walking_cycling_journeys_by_percentage[#Headers],0),0)/100</f>
        <v>8.5500000000000007E-2</v>
      </c>
      <c r="G131" s="13">
        <f t="shared" si="5"/>
        <v>13470759.23765316</v>
      </c>
      <c r="H131" s="89">
        <f>VLOOKUP(D131,Average_Distance_by_kilometre_grouping_for_mode_type[#All],MATCH(A131,Average_Distance_by_kilometre_grouping_for_mode_type[#Headers],0),0)</f>
        <v>7</v>
      </c>
      <c r="I131" s="89">
        <f>VLOOKUP(D131,Average_Distance_by_kilometres_grouping_for_trip_purpose[#All],MATCH(A131,Average_Distance_by_kilometres_grouping_for_trip_purpose[#Headers],0),0)</f>
        <v>7</v>
      </c>
      <c r="J131" s="89">
        <f t="shared" si="6"/>
        <v>7</v>
      </c>
      <c r="K131" s="89">
        <f t="shared" si="7"/>
        <v>0.14757035943923263</v>
      </c>
      <c r="L131" s="89">
        <v>1</v>
      </c>
      <c r="M131" s="13">
        <f t="shared" si="8"/>
        <v>1987884.7826198402</v>
      </c>
      <c r="N131" s="89">
        <f t="shared" si="9"/>
        <v>3.2572886549427626E-5</v>
      </c>
    </row>
    <row r="132" spans="1:14" x14ac:dyDescent="0.25">
      <c r="A132" s="79" t="s">
        <v>128</v>
      </c>
      <c r="B132" s="89" t="s">
        <v>7</v>
      </c>
      <c r="C132" s="89" t="s">
        <v>243</v>
      </c>
      <c r="D132" s="13" t="s">
        <v>1</v>
      </c>
      <c r="E132" s="35">
        <f>VLOOKUP(B132, Passenger_Kilometre_by_mode_type[#All],MATCH(A132, Passenger_Kilometre_by_mode_type[#Headers],0),0)</f>
        <v>157552739.62167439</v>
      </c>
      <c r="F132" s="89">
        <f>VLOOKUP(C132, Reason_for_walking_cycling_journeys_by_percentage[#All],MATCH(A132, Reason_for_walking_cycling_journeys_by_percentage[#Headers],0),0)/100</f>
        <v>8.5500000000000007E-2</v>
      </c>
      <c r="G132" s="13">
        <f t="shared" ref="G132:G195" si="10">E132*F132</f>
        <v>13470759.23765316</v>
      </c>
      <c r="H132" s="89">
        <f>VLOOKUP(D132,Average_Distance_by_kilometre_grouping_for_mode_type[#All],MATCH(A132,Average_Distance_by_kilometre_grouping_for_mode_type[#Headers],0),0)</f>
        <v>30.1</v>
      </c>
      <c r="I132" s="89">
        <f>VLOOKUP(D132,Average_Distance_by_kilometres_grouping_for_trip_purpose[#All],MATCH(A132,Average_Distance_by_kilometres_grouping_for_trip_purpose[#Headers],0),0)</f>
        <v>32.770000000000003</v>
      </c>
      <c r="J132" s="89">
        <f t="shared" ref="J132:J195" si="11">AVERAGE(H132:I132)</f>
        <v>31.435000000000002</v>
      </c>
      <c r="K132" s="89">
        <f t="shared" ref="K132:K195" si="12">J132/SUM(J132:J136)</f>
        <v>0.66269632128175404</v>
      </c>
      <c r="L132" s="89">
        <v>1</v>
      </c>
      <c r="M132" s="13">
        <f t="shared" ref="M132:M195" si="13">G132*K132*L132</f>
        <v>8927022.591664955</v>
      </c>
      <c r="N132" s="89">
        <f t="shared" ref="N132:N195" si="14">M132/SUM($M$3:$M$362)</f>
        <v>1.4627552695446538E-4</v>
      </c>
    </row>
    <row r="133" spans="1:14" x14ac:dyDescent="0.25">
      <c r="A133" s="79" t="s">
        <v>128</v>
      </c>
      <c r="B133" s="89" t="s">
        <v>7</v>
      </c>
      <c r="C133" s="89" t="s">
        <v>50</v>
      </c>
      <c r="D133" s="13" t="s">
        <v>12</v>
      </c>
      <c r="E133" s="35">
        <f>VLOOKUP(B133, Passenger_Kilometre_by_mode_type[#All],MATCH(A133, Passenger_Kilometre_by_mode_type[#Headers],0),0)</f>
        <v>157552739.62167439</v>
      </c>
      <c r="F133" s="89">
        <f>VLOOKUP(C133, Reason_for_walking_cycling_journeys_by_percentage[#All],MATCH(A133, Reason_for_walking_cycling_journeys_by_percentage[#Headers],0),0)/100</f>
        <v>6.4000000000000001E-2</v>
      </c>
      <c r="G133" s="13">
        <f t="shared" si="10"/>
        <v>10083375.33578716</v>
      </c>
      <c r="H133" s="89">
        <f>VLOOKUP(D133,Average_Distance_by_kilometre_grouping_for_mode_type[#All],MATCH(A133,Average_Distance_by_kilometre_grouping_for_mode_type[#Headers],0),0)</f>
        <v>1</v>
      </c>
      <c r="I133" s="89">
        <f>VLOOKUP(D133,Average_Distance_by_kilometres_grouping_for_trip_purpose[#All],MATCH(A133,Average_Distance_by_kilometres_grouping_for_trip_purpose[#Headers],0),0)</f>
        <v>1</v>
      </c>
      <c r="J133" s="89">
        <f t="shared" si="11"/>
        <v>1</v>
      </c>
      <c r="K133" s="89">
        <f t="shared" si="12"/>
        <v>2.1081479919890376E-2</v>
      </c>
      <c r="L133" s="89">
        <v>1</v>
      </c>
      <c r="M133" s="13">
        <f t="shared" si="13"/>
        <v>212572.4746661149</v>
      </c>
      <c r="N133" s="89">
        <f t="shared" si="14"/>
        <v>3.4831491047006982E-6</v>
      </c>
    </row>
    <row r="134" spans="1:14" x14ac:dyDescent="0.25">
      <c r="A134" s="79" t="s">
        <v>128</v>
      </c>
      <c r="B134" s="89" t="s">
        <v>7</v>
      </c>
      <c r="C134" s="89" t="s">
        <v>50</v>
      </c>
      <c r="D134" s="13" t="s">
        <v>181</v>
      </c>
      <c r="E134" s="35">
        <f>VLOOKUP(B134, Passenger_Kilometre_by_mode_type[#All],MATCH(A134, Passenger_Kilometre_by_mode_type[#Headers],0),0)</f>
        <v>157552739.62167439</v>
      </c>
      <c r="F134" s="89">
        <f>VLOOKUP(C134, Reason_for_walking_cycling_journeys_by_percentage[#All],MATCH(A134, Reason_for_walking_cycling_journeys_by_percentage[#Headers],0),0)/100</f>
        <v>6.4000000000000001E-2</v>
      </c>
      <c r="G134" s="13">
        <f t="shared" si="10"/>
        <v>10083375.33578716</v>
      </c>
      <c r="H134" s="89">
        <f>VLOOKUP(D134,Average_Distance_by_kilometre_grouping_for_mode_type[#All],MATCH(A134,Average_Distance_by_kilometre_grouping_for_mode_type[#Headers],0),0)</f>
        <v>3</v>
      </c>
      <c r="I134" s="89">
        <f>VLOOKUP(D134,Average_Distance_by_kilometres_grouping_for_trip_purpose[#All],MATCH(A134,Average_Distance_by_kilometres_grouping_for_trip_purpose[#Headers],0),0)</f>
        <v>3</v>
      </c>
      <c r="J134" s="89">
        <f t="shared" si="11"/>
        <v>3</v>
      </c>
      <c r="K134" s="89">
        <f t="shared" si="12"/>
        <v>6.3244439759671131E-2</v>
      </c>
      <c r="L134" s="89">
        <v>1</v>
      </c>
      <c r="M134" s="13">
        <f t="shared" si="13"/>
        <v>637717.42399834469</v>
      </c>
      <c r="N134" s="89">
        <f t="shared" si="14"/>
        <v>1.0449447314102096E-5</v>
      </c>
    </row>
    <row r="135" spans="1:14" x14ac:dyDescent="0.25">
      <c r="A135" s="79" t="s">
        <v>128</v>
      </c>
      <c r="B135" s="89" t="s">
        <v>7</v>
      </c>
      <c r="C135" s="89" t="s">
        <v>50</v>
      </c>
      <c r="D135" s="13" t="s">
        <v>180</v>
      </c>
      <c r="E135" s="35">
        <f>VLOOKUP(B135, Passenger_Kilometre_by_mode_type[#All],MATCH(A135, Passenger_Kilometre_by_mode_type[#Headers],0),0)</f>
        <v>157552739.62167439</v>
      </c>
      <c r="F135" s="89">
        <f>VLOOKUP(C135, Reason_for_walking_cycling_journeys_by_percentage[#All],MATCH(A135, Reason_for_walking_cycling_journeys_by_percentage[#Headers],0),0)/100</f>
        <v>6.4000000000000001E-2</v>
      </c>
      <c r="G135" s="13">
        <f t="shared" si="10"/>
        <v>10083375.33578716</v>
      </c>
      <c r="H135" s="89">
        <f>VLOOKUP(D135,Average_Distance_by_kilometre_grouping_for_mode_type[#All],MATCH(A135,Average_Distance_by_kilometre_grouping_for_mode_type[#Headers],0),0)</f>
        <v>5</v>
      </c>
      <c r="I135" s="89">
        <f>VLOOKUP(D135,Average_Distance_by_kilometres_grouping_for_trip_purpose[#All],MATCH(A135,Average_Distance_by_kilometres_grouping_for_trip_purpose[#Headers],0),0)</f>
        <v>5</v>
      </c>
      <c r="J135" s="89">
        <f t="shared" si="11"/>
        <v>5</v>
      </c>
      <c r="K135" s="89">
        <f t="shared" si="12"/>
        <v>0.10540739959945188</v>
      </c>
      <c r="L135" s="89">
        <v>1</v>
      </c>
      <c r="M135" s="13">
        <f t="shared" si="13"/>
        <v>1062862.3733305745</v>
      </c>
      <c r="N135" s="89">
        <f t="shared" si="14"/>
        <v>1.7415745523503492E-5</v>
      </c>
    </row>
    <row r="136" spans="1:14" x14ac:dyDescent="0.25">
      <c r="A136" s="79" t="s">
        <v>128</v>
      </c>
      <c r="B136" s="89" t="s">
        <v>7</v>
      </c>
      <c r="C136" s="89" t="s">
        <v>50</v>
      </c>
      <c r="D136" s="13" t="s">
        <v>182</v>
      </c>
      <c r="E136" s="35">
        <f>VLOOKUP(B136, Passenger_Kilometre_by_mode_type[#All],MATCH(A136, Passenger_Kilometre_by_mode_type[#Headers],0),0)</f>
        <v>157552739.62167439</v>
      </c>
      <c r="F136" s="89">
        <f>VLOOKUP(C136, Reason_for_walking_cycling_journeys_by_percentage[#All],MATCH(A136, Reason_for_walking_cycling_journeys_by_percentage[#Headers],0),0)/100</f>
        <v>6.4000000000000001E-2</v>
      </c>
      <c r="G136" s="13">
        <f t="shared" si="10"/>
        <v>10083375.33578716</v>
      </c>
      <c r="H136" s="89">
        <f>VLOOKUP(D136,Average_Distance_by_kilometre_grouping_for_mode_type[#All],MATCH(A136,Average_Distance_by_kilometre_grouping_for_mode_type[#Headers],0),0)</f>
        <v>7</v>
      </c>
      <c r="I136" s="89">
        <f>VLOOKUP(D136,Average_Distance_by_kilometres_grouping_for_trip_purpose[#All],MATCH(A136,Average_Distance_by_kilometres_grouping_for_trip_purpose[#Headers],0),0)</f>
        <v>7</v>
      </c>
      <c r="J136" s="89">
        <f t="shared" si="11"/>
        <v>7</v>
      </c>
      <c r="K136" s="89">
        <f t="shared" si="12"/>
        <v>0.14757035943923263</v>
      </c>
      <c r="L136" s="89">
        <v>1</v>
      </c>
      <c r="M136" s="13">
        <f t="shared" si="13"/>
        <v>1488007.3226628043</v>
      </c>
      <c r="N136" s="89">
        <f t="shared" si="14"/>
        <v>2.4382043732904889E-5</v>
      </c>
    </row>
    <row r="137" spans="1:14" x14ac:dyDescent="0.25">
      <c r="A137" s="79" t="s">
        <v>128</v>
      </c>
      <c r="B137" s="89" t="s">
        <v>7</v>
      </c>
      <c r="C137" s="89" t="s">
        <v>50</v>
      </c>
      <c r="D137" s="13" t="s">
        <v>1</v>
      </c>
      <c r="E137" s="35">
        <f>VLOOKUP(B137, Passenger_Kilometre_by_mode_type[#All],MATCH(A137, Passenger_Kilometre_by_mode_type[#Headers],0),0)</f>
        <v>157552739.62167439</v>
      </c>
      <c r="F137" s="89">
        <f>VLOOKUP(C137, Reason_for_walking_cycling_journeys_by_percentage[#All],MATCH(A137, Reason_for_walking_cycling_journeys_by_percentage[#Headers],0),0)/100</f>
        <v>6.4000000000000001E-2</v>
      </c>
      <c r="G137" s="13">
        <f t="shared" si="10"/>
        <v>10083375.33578716</v>
      </c>
      <c r="H137" s="89">
        <f>VLOOKUP(D137,Average_Distance_by_kilometre_grouping_for_mode_type[#All],MATCH(A137,Average_Distance_by_kilometre_grouping_for_mode_type[#Headers],0),0)</f>
        <v>30.1</v>
      </c>
      <c r="I137" s="89">
        <f>VLOOKUP(D137,Average_Distance_by_kilometres_grouping_for_trip_purpose[#All],MATCH(A137,Average_Distance_by_kilometres_grouping_for_trip_purpose[#Headers],0),0)</f>
        <v>32.770000000000003</v>
      </c>
      <c r="J137" s="89">
        <f t="shared" si="11"/>
        <v>31.435000000000002</v>
      </c>
      <c r="K137" s="89">
        <f t="shared" si="12"/>
        <v>0.66269632128175404</v>
      </c>
      <c r="L137" s="89">
        <v>1</v>
      </c>
      <c r="M137" s="13">
        <f t="shared" si="13"/>
        <v>6682215.7411293229</v>
      </c>
      <c r="N137" s="89">
        <f t="shared" si="14"/>
        <v>1.0949279210626647E-4</v>
      </c>
    </row>
    <row r="138" spans="1:14" x14ac:dyDescent="0.25">
      <c r="A138" s="79" t="s">
        <v>128</v>
      </c>
      <c r="B138" s="89" t="s">
        <v>8</v>
      </c>
      <c r="C138" s="89" t="s">
        <v>42</v>
      </c>
      <c r="D138" s="13" t="s">
        <v>12</v>
      </c>
      <c r="E138" s="35">
        <f>VLOOKUP(B138, Passenger_Kilometre_by_mode_type[#All],MATCH(A138, Passenger_Kilometre_by_mode_type[#Headers],0),0)</f>
        <v>2807733662.5477371</v>
      </c>
      <c r="F138" s="89">
        <f>VLOOKUP(C138, Reason_for_public_transport_journeys_by_percentage[#All],MATCH(A138, Reason_for_public_transport_journeys_by_percentage[#Headers],0),0)/100</f>
        <v>0.28824999999999995</v>
      </c>
      <c r="G138" s="13">
        <f t="shared" si="10"/>
        <v>809329228.22938514</v>
      </c>
      <c r="H138" s="89">
        <f>VLOOKUP(D138,Average_Distance_by_kilometre_grouping_for_mode_type[#All],MATCH(A138,Average_Distance_by_kilometre_grouping_for_mode_type[#Headers],0),0)</f>
        <v>1</v>
      </c>
      <c r="I138" s="89">
        <f>VLOOKUP(D138,Average_Distance_by_kilometres_grouping_for_trip_purpose[#All],MATCH(A138,Average_Distance_by_kilometres_grouping_for_trip_purpose[#Headers],0),0)</f>
        <v>1</v>
      </c>
      <c r="J138" s="89">
        <f t="shared" si="11"/>
        <v>1</v>
      </c>
      <c r="K138" s="89">
        <f t="shared" si="12"/>
        <v>2.1081479919890376E-2</v>
      </c>
      <c r="L138" s="89">
        <v>1</v>
      </c>
      <c r="M138" s="13">
        <f t="shared" si="13"/>
        <v>17061857.873498157</v>
      </c>
      <c r="N138" s="89">
        <f t="shared" si="14"/>
        <v>2.7957050916375742E-4</v>
      </c>
    </row>
    <row r="139" spans="1:14" x14ac:dyDescent="0.25">
      <c r="A139" s="79" t="s">
        <v>128</v>
      </c>
      <c r="B139" s="89" t="s">
        <v>8</v>
      </c>
      <c r="C139" s="89" t="s">
        <v>42</v>
      </c>
      <c r="D139" s="13" t="s">
        <v>181</v>
      </c>
      <c r="E139" s="35">
        <f>VLOOKUP(B139, Passenger_Kilometre_by_mode_type[#All],MATCH(A139, Passenger_Kilometre_by_mode_type[#Headers],0),0)</f>
        <v>2807733662.5477371</v>
      </c>
      <c r="F139" s="89">
        <f>VLOOKUP(C139, Reason_for_public_transport_journeys_by_percentage[#All],MATCH(A139, Reason_for_public_transport_journeys_by_percentage[#Headers],0),0)/100</f>
        <v>0.28824999999999995</v>
      </c>
      <c r="G139" s="13">
        <f t="shared" si="10"/>
        <v>809329228.22938514</v>
      </c>
      <c r="H139" s="89">
        <f>VLOOKUP(D139,Average_Distance_by_kilometre_grouping_for_mode_type[#All],MATCH(A139,Average_Distance_by_kilometre_grouping_for_mode_type[#Headers],0),0)</f>
        <v>3</v>
      </c>
      <c r="I139" s="89">
        <f>VLOOKUP(D139,Average_Distance_by_kilometres_grouping_for_trip_purpose[#All],MATCH(A139,Average_Distance_by_kilometres_grouping_for_trip_purpose[#Headers],0),0)</f>
        <v>3</v>
      </c>
      <c r="J139" s="89">
        <f t="shared" si="11"/>
        <v>3</v>
      </c>
      <c r="K139" s="89">
        <f t="shared" si="12"/>
        <v>6.3244439759671131E-2</v>
      </c>
      <c r="L139" s="89">
        <v>1</v>
      </c>
      <c r="M139" s="13">
        <f t="shared" si="13"/>
        <v>51185573.620494477</v>
      </c>
      <c r="N139" s="89">
        <f t="shared" si="14"/>
        <v>8.3871152749127236E-4</v>
      </c>
    </row>
    <row r="140" spans="1:14" x14ac:dyDescent="0.25">
      <c r="A140" s="79" t="s">
        <v>128</v>
      </c>
      <c r="B140" s="89" t="s">
        <v>8</v>
      </c>
      <c r="C140" s="89" t="s">
        <v>42</v>
      </c>
      <c r="D140" s="13" t="s">
        <v>180</v>
      </c>
      <c r="E140" s="35">
        <f>VLOOKUP(B140, Passenger_Kilometre_by_mode_type[#All],MATCH(A140, Passenger_Kilometre_by_mode_type[#Headers],0),0)</f>
        <v>2807733662.5477371</v>
      </c>
      <c r="F140" s="89">
        <f>VLOOKUP(C140, Reason_for_public_transport_journeys_by_percentage[#All],MATCH(A140, Reason_for_public_transport_journeys_by_percentage[#Headers],0),0)/100</f>
        <v>0.28824999999999995</v>
      </c>
      <c r="G140" s="13">
        <f t="shared" si="10"/>
        <v>809329228.22938514</v>
      </c>
      <c r="H140" s="89">
        <f>VLOOKUP(D140,Average_Distance_by_kilometre_grouping_for_mode_type[#All],MATCH(A140,Average_Distance_by_kilometre_grouping_for_mode_type[#Headers],0),0)</f>
        <v>5</v>
      </c>
      <c r="I140" s="89">
        <f>VLOOKUP(D140,Average_Distance_by_kilometres_grouping_for_trip_purpose[#All],MATCH(A140,Average_Distance_by_kilometres_grouping_for_trip_purpose[#Headers],0),0)</f>
        <v>5</v>
      </c>
      <c r="J140" s="89">
        <f t="shared" si="11"/>
        <v>5</v>
      </c>
      <c r="K140" s="89">
        <f t="shared" si="12"/>
        <v>0.10540739959945188</v>
      </c>
      <c r="L140" s="89">
        <v>1</v>
      </c>
      <c r="M140" s="13">
        <f t="shared" si="13"/>
        <v>85309289.367490783</v>
      </c>
      <c r="N140" s="89">
        <f t="shared" si="14"/>
        <v>1.3978525458187871E-3</v>
      </c>
    </row>
    <row r="141" spans="1:14" x14ac:dyDescent="0.25">
      <c r="A141" s="79" t="s">
        <v>128</v>
      </c>
      <c r="B141" s="89" t="s">
        <v>8</v>
      </c>
      <c r="C141" s="89" t="s">
        <v>42</v>
      </c>
      <c r="D141" s="13" t="s">
        <v>182</v>
      </c>
      <c r="E141" s="35">
        <f>VLOOKUP(B141, Passenger_Kilometre_by_mode_type[#All],MATCH(A141, Passenger_Kilometre_by_mode_type[#Headers],0),0)</f>
        <v>2807733662.5477371</v>
      </c>
      <c r="F141" s="89">
        <f>VLOOKUP(C141, Reason_for_public_transport_journeys_by_percentage[#All],MATCH(A141, Reason_for_public_transport_journeys_by_percentage[#Headers],0),0)/100</f>
        <v>0.28824999999999995</v>
      </c>
      <c r="G141" s="13">
        <f t="shared" si="10"/>
        <v>809329228.22938514</v>
      </c>
      <c r="H141" s="89">
        <f>VLOOKUP(D141,Average_Distance_by_kilometre_grouping_for_mode_type[#All],MATCH(A141,Average_Distance_by_kilometre_grouping_for_mode_type[#Headers],0),0)</f>
        <v>7</v>
      </c>
      <c r="I141" s="89">
        <f>VLOOKUP(D141,Average_Distance_by_kilometres_grouping_for_trip_purpose[#All],MATCH(A141,Average_Distance_by_kilometres_grouping_for_trip_purpose[#Headers],0),0)</f>
        <v>7</v>
      </c>
      <c r="J141" s="89">
        <f t="shared" si="11"/>
        <v>7</v>
      </c>
      <c r="K141" s="89">
        <f t="shared" si="12"/>
        <v>0.14757035943923263</v>
      </c>
      <c r="L141" s="89">
        <v>1</v>
      </c>
      <c r="M141" s="13">
        <f t="shared" si="13"/>
        <v>119433005.11448711</v>
      </c>
      <c r="N141" s="89">
        <f t="shared" si="14"/>
        <v>1.9569935641463023E-3</v>
      </c>
    </row>
    <row r="142" spans="1:14" x14ac:dyDescent="0.25">
      <c r="A142" s="79" t="s">
        <v>128</v>
      </c>
      <c r="B142" s="89" t="s">
        <v>8</v>
      </c>
      <c r="C142" s="89" t="s">
        <v>42</v>
      </c>
      <c r="D142" s="13" t="s">
        <v>1</v>
      </c>
      <c r="E142" s="35">
        <f>VLOOKUP(B142, Passenger_Kilometre_by_mode_type[#All],MATCH(A142, Passenger_Kilometre_by_mode_type[#Headers],0),0)</f>
        <v>2807733662.5477371</v>
      </c>
      <c r="F142" s="89">
        <f>VLOOKUP(C142, Reason_for_public_transport_journeys_by_percentage[#All],MATCH(A142, Reason_for_public_transport_journeys_by_percentage[#Headers],0),0)/100</f>
        <v>0.28824999999999995</v>
      </c>
      <c r="G142" s="13">
        <f t="shared" si="10"/>
        <v>809329228.22938514</v>
      </c>
      <c r="H142" s="89">
        <f>VLOOKUP(D142,Average_Distance_by_kilometre_grouping_for_mode_type[#All],MATCH(A142,Average_Distance_by_kilometre_grouping_for_mode_type[#Headers],0),0)</f>
        <v>30.1</v>
      </c>
      <c r="I142" s="89">
        <f>VLOOKUP(D142,Average_Distance_by_kilometres_grouping_for_trip_purpose[#All],MATCH(A142,Average_Distance_by_kilometres_grouping_for_trip_purpose[#Headers],0),0)</f>
        <v>32.770000000000003</v>
      </c>
      <c r="J142" s="89">
        <f t="shared" si="11"/>
        <v>31.435000000000002</v>
      </c>
      <c r="K142" s="89">
        <f t="shared" si="12"/>
        <v>0.66269632128175404</v>
      </c>
      <c r="L142" s="89">
        <v>1</v>
      </c>
      <c r="M142" s="13">
        <f t="shared" si="13"/>
        <v>536339502.25341463</v>
      </c>
      <c r="N142" s="89">
        <f t="shared" si="14"/>
        <v>8.7882989555627157E-3</v>
      </c>
    </row>
    <row r="143" spans="1:14" x14ac:dyDescent="0.25">
      <c r="A143" s="79" t="s">
        <v>128</v>
      </c>
      <c r="B143" s="89" t="s">
        <v>8</v>
      </c>
      <c r="C143" s="89" t="s">
        <v>43</v>
      </c>
      <c r="D143" s="13" t="s">
        <v>12</v>
      </c>
      <c r="E143" s="35">
        <f>VLOOKUP(B143, Passenger_Kilometre_by_mode_type[#All],MATCH(A143, Passenger_Kilometre_by_mode_type[#Headers],0),0)</f>
        <v>2807733662.5477371</v>
      </c>
      <c r="F143" s="89">
        <f>VLOOKUP(C143, Reason_for_public_transport_journeys_by_percentage[#All],MATCH(A143, Reason_for_public_transport_journeys_by_percentage[#Headers],0),0)/100</f>
        <v>0.12437499999999999</v>
      </c>
      <c r="G143" s="13">
        <f t="shared" si="10"/>
        <v>349211874.27937478</v>
      </c>
      <c r="H143" s="89">
        <f>VLOOKUP(D143,Average_Distance_by_kilometre_grouping_for_mode_type[#All],MATCH(A143,Average_Distance_by_kilometre_grouping_for_mode_type[#Headers],0),0)</f>
        <v>1</v>
      </c>
      <c r="I143" s="89">
        <f>VLOOKUP(D143,Average_Distance_by_kilometres_grouping_for_trip_purpose[#All],MATCH(A143,Average_Distance_by_kilometres_grouping_for_trip_purpose[#Headers],0),0)</f>
        <v>1</v>
      </c>
      <c r="J143" s="89">
        <f t="shared" si="11"/>
        <v>1</v>
      </c>
      <c r="K143" s="89">
        <f t="shared" si="12"/>
        <v>2.1081479919890376E-2</v>
      </c>
      <c r="L143" s="89">
        <v>1</v>
      </c>
      <c r="M143" s="13">
        <f t="shared" si="13"/>
        <v>7361903.1154079214</v>
      </c>
      <c r="N143" s="89">
        <f t="shared" si="14"/>
        <v>1.2062994649520323E-4</v>
      </c>
    </row>
    <row r="144" spans="1:14" x14ac:dyDescent="0.25">
      <c r="A144" s="79" t="s">
        <v>128</v>
      </c>
      <c r="B144" s="89" t="s">
        <v>8</v>
      </c>
      <c r="C144" s="89" t="s">
        <v>43</v>
      </c>
      <c r="D144" s="13" t="s">
        <v>181</v>
      </c>
      <c r="E144" s="35">
        <f>VLOOKUP(B144, Passenger_Kilometre_by_mode_type[#All],MATCH(A144, Passenger_Kilometre_by_mode_type[#Headers],0),0)</f>
        <v>2807733662.5477371</v>
      </c>
      <c r="F144" s="89">
        <f>VLOOKUP(C144, Reason_for_public_transport_journeys_by_percentage[#All],MATCH(A144, Reason_for_public_transport_journeys_by_percentage[#Headers],0),0)/100</f>
        <v>0.12437499999999999</v>
      </c>
      <c r="G144" s="13">
        <f t="shared" si="10"/>
        <v>349211874.27937478</v>
      </c>
      <c r="H144" s="89">
        <f>VLOOKUP(D144,Average_Distance_by_kilometre_grouping_for_mode_type[#All],MATCH(A144,Average_Distance_by_kilometre_grouping_for_mode_type[#Headers],0),0)</f>
        <v>3</v>
      </c>
      <c r="I144" s="89">
        <f>VLOOKUP(D144,Average_Distance_by_kilometres_grouping_for_trip_purpose[#All],MATCH(A144,Average_Distance_by_kilometres_grouping_for_trip_purpose[#Headers],0),0)</f>
        <v>3</v>
      </c>
      <c r="J144" s="89">
        <f t="shared" si="11"/>
        <v>3</v>
      </c>
      <c r="K144" s="89">
        <f t="shared" si="12"/>
        <v>6.3244439759671131E-2</v>
      </c>
      <c r="L144" s="89">
        <v>1</v>
      </c>
      <c r="M144" s="13">
        <f t="shared" si="13"/>
        <v>22085709.346223768</v>
      </c>
      <c r="N144" s="89">
        <f t="shared" si="14"/>
        <v>3.6188983948560977E-4</v>
      </c>
    </row>
    <row r="145" spans="1:14" x14ac:dyDescent="0.25">
      <c r="A145" s="79" t="s">
        <v>128</v>
      </c>
      <c r="B145" s="89" t="s">
        <v>8</v>
      </c>
      <c r="C145" s="89" t="s">
        <v>43</v>
      </c>
      <c r="D145" s="13" t="s">
        <v>180</v>
      </c>
      <c r="E145" s="35">
        <f>VLOOKUP(B145, Passenger_Kilometre_by_mode_type[#All],MATCH(A145, Passenger_Kilometre_by_mode_type[#Headers],0),0)</f>
        <v>2807733662.5477371</v>
      </c>
      <c r="F145" s="89">
        <f>VLOOKUP(C145, Reason_for_public_transport_journeys_by_percentage[#All],MATCH(A145, Reason_for_public_transport_journeys_by_percentage[#Headers],0),0)/100</f>
        <v>0.12437499999999999</v>
      </c>
      <c r="G145" s="13">
        <f t="shared" si="10"/>
        <v>349211874.27937478</v>
      </c>
      <c r="H145" s="89">
        <f>VLOOKUP(D145,Average_Distance_by_kilometre_grouping_for_mode_type[#All],MATCH(A145,Average_Distance_by_kilometre_grouping_for_mode_type[#Headers],0),0)</f>
        <v>5</v>
      </c>
      <c r="I145" s="89">
        <f>VLOOKUP(D145,Average_Distance_by_kilometres_grouping_for_trip_purpose[#All],MATCH(A145,Average_Distance_by_kilometres_grouping_for_trip_purpose[#Headers],0),0)</f>
        <v>5</v>
      </c>
      <c r="J145" s="89">
        <f t="shared" si="11"/>
        <v>5</v>
      </c>
      <c r="K145" s="89">
        <f t="shared" si="12"/>
        <v>0.10540739959945188</v>
      </c>
      <c r="L145" s="89">
        <v>1</v>
      </c>
      <c r="M145" s="13">
        <f t="shared" si="13"/>
        <v>36809515.577039607</v>
      </c>
      <c r="N145" s="89">
        <f t="shared" si="14"/>
        <v>6.0314973247601613E-4</v>
      </c>
    </row>
    <row r="146" spans="1:14" x14ac:dyDescent="0.25">
      <c r="A146" s="79" t="s">
        <v>128</v>
      </c>
      <c r="B146" s="89" t="s">
        <v>8</v>
      </c>
      <c r="C146" s="89" t="s">
        <v>43</v>
      </c>
      <c r="D146" s="13" t="s">
        <v>182</v>
      </c>
      <c r="E146" s="35">
        <f>VLOOKUP(B146, Passenger_Kilometre_by_mode_type[#All],MATCH(A146, Passenger_Kilometre_by_mode_type[#Headers],0),0)</f>
        <v>2807733662.5477371</v>
      </c>
      <c r="F146" s="89">
        <f>VLOOKUP(C146, Reason_for_public_transport_journeys_by_percentage[#All],MATCH(A146, Reason_for_public_transport_journeys_by_percentage[#Headers],0),0)/100</f>
        <v>0.12437499999999999</v>
      </c>
      <c r="G146" s="13">
        <f t="shared" si="10"/>
        <v>349211874.27937478</v>
      </c>
      <c r="H146" s="89">
        <f>VLOOKUP(D146,Average_Distance_by_kilometre_grouping_for_mode_type[#All],MATCH(A146,Average_Distance_by_kilometre_grouping_for_mode_type[#Headers],0),0)</f>
        <v>7</v>
      </c>
      <c r="I146" s="89">
        <f>VLOOKUP(D146,Average_Distance_by_kilometres_grouping_for_trip_purpose[#All],MATCH(A146,Average_Distance_by_kilometres_grouping_for_trip_purpose[#Headers],0),0)</f>
        <v>7</v>
      </c>
      <c r="J146" s="89">
        <f t="shared" si="11"/>
        <v>7</v>
      </c>
      <c r="K146" s="89">
        <f t="shared" si="12"/>
        <v>0.14757035943923263</v>
      </c>
      <c r="L146" s="89">
        <v>1</v>
      </c>
      <c r="M146" s="13">
        <f t="shared" si="13"/>
        <v>51533321.807855457</v>
      </c>
      <c r="N146" s="89">
        <f t="shared" si="14"/>
        <v>8.4440962546642275E-4</v>
      </c>
    </row>
    <row r="147" spans="1:14" x14ac:dyDescent="0.25">
      <c r="A147" s="79" t="s">
        <v>128</v>
      </c>
      <c r="B147" s="89" t="s">
        <v>8</v>
      </c>
      <c r="C147" s="89" t="s">
        <v>43</v>
      </c>
      <c r="D147" s="13" t="s">
        <v>1</v>
      </c>
      <c r="E147" s="35">
        <f>VLOOKUP(B147, Passenger_Kilometre_by_mode_type[#All],MATCH(A147, Passenger_Kilometre_by_mode_type[#Headers],0),0)</f>
        <v>2807733662.5477371</v>
      </c>
      <c r="F147" s="89">
        <f>VLOOKUP(C147, Reason_for_public_transport_journeys_by_percentage[#All],MATCH(A147, Reason_for_public_transport_journeys_by_percentage[#Headers],0),0)/100</f>
        <v>0.12437499999999999</v>
      </c>
      <c r="G147" s="13">
        <f t="shared" si="10"/>
        <v>349211874.27937478</v>
      </c>
      <c r="H147" s="89">
        <f>VLOOKUP(D147,Average_Distance_by_kilometre_grouping_for_mode_type[#All],MATCH(A147,Average_Distance_by_kilometre_grouping_for_mode_type[#Headers],0),0)</f>
        <v>30.1</v>
      </c>
      <c r="I147" s="89">
        <f>VLOOKUP(D147,Average_Distance_by_kilometres_grouping_for_trip_purpose[#All],MATCH(A147,Average_Distance_by_kilometres_grouping_for_trip_purpose[#Headers],0),0)</f>
        <v>32.770000000000003</v>
      </c>
      <c r="J147" s="89">
        <f t="shared" si="11"/>
        <v>31.435000000000002</v>
      </c>
      <c r="K147" s="89">
        <f t="shared" si="12"/>
        <v>0.66269632128175404</v>
      </c>
      <c r="L147" s="89">
        <v>1</v>
      </c>
      <c r="M147" s="13">
        <f t="shared" si="13"/>
        <v>231421424.43284804</v>
      </c>
      <c r="N147" s="89">
        <f t="shared" si="14"/>
        <v>3.7920023680767141E-3</v>
      </c>
    </row>
    <row r="148" spans="1:14" x14ac:dyDescent="0.25">
      <c r="A148" s="79" t="s">
        <v>128</v>
      </c>
      <c r="B148" s="89" t="s">
        <v>8</v>
      </c>
      <c r="C148" s="89" t="s">
        <v>44</v>
      </c>
      <c r="D148" s="13" t="s">
        <v>12</v>
      </c>
      <c r="E148" s="35">
        <f>VLOOKUP(B148, Passenger_Kilometre_by_mode_type[#All],MATCH(A148, Passenger_Kilometre_by_mode_type[#Headers],0),0)</f>
        <v>2807733662.5477371</v>
      </c>
      <c r="F148" s="89">
        <f>VLOOKUP(C148, Reason_for_public_transport_journeys_by_percentage[#All],MATCH(A148, Reason_for_public_transport_journeys_by_percentage[#Headers],0),0)/100</f>
        <v>0.18625</v>
      </c>
      <c r="G148" s="13">
        <f t="shared" si="10"/>
        <v>522940394.64951605</v>
      </c>
      <c r="H148" s="89">
        <f>VLOOKUP(D148,Average_Distance_by_kilometre_grouping_for_mode_type[#All],MATCH(A148,Average_Distance_by_kilometre_grouping_for_mode_type[#Headers],0),0)</f>
        <v>1</v>
      </c>
      <c r="I148" s="89">
        <f>VLOOKUP(D148,Average_Distance_by_kilometres_grouping_for_trip_purpose[#All],MATCH(A148,Average_Distance_by_kilometres_grouping_for_trip_purpose[#Headers],0),0)</f>
        <v>1</v>
      </c>
      <c r="J148" s="89">
        <f t="shared" si="11"/>
        <v>1</v>
      </c>
      <c r="K148" s="89">
        <f t="shared" si="12"/>
        <v>2.1081479919890376E-2</v>
      </c>
      <c r="L148" s="89">
        <v>1</v>
      </c>
      <c r="M148" s="13">
        <f t="shared" si="13"/>
        <v>11024357.42910332</v>
      </c>
      <c r="N148" s="89">
        <f t="shared" si="14"/>
        <v>1.8064182942497772E-4</v>
      </c>
    </row>
    <row r="149" spans="1:14" x14ac:dyDescent="0.25">
      <c r="A149" s="79" t="s">
        <v>128</v>
      </c>
      <c r="B149" s="89" t="s">
        <v>8</v>
      </c>
      <c r="C149" s="89" t="s">
        <v>44</v>
      </c>
      <c r="D149" s="13" t="s">
        <v>181</v>
      </c>
      <c r="E149" s="35">
        <f>VLOOKUP(B149, Passenger_Kilometre_by_mode_type[#All],MATCH(A149, Passenger_Kilometre_by_mode_type[#Headers],0),0)</f>
        <v>2807733662.5477371</v>
      </c>
      <c r="F149" s="89">
        <f>VLOOKUP(C149, Reason_for_public_transport_journeys_by_percentage[#All],MATCH(A149, Reason_for_public_transport_journeys_by_percentage[#Headers],0),0)/100</f>
        <v>0.18625</v>
      </c>
      <c r="G149" s="13">
        <f t="shared" si="10"/>
        <v>522940394.64951605</v>
      </c>
      <c r="H149" s="89">
        <f>VLOOKUP(D149,Average_Distance_by_kilometre_grouping_for_mode_type[#All],MATCH(A149,Average_Distance_by_kilometre_grouping_for_mode_type[#Headers],0),0)</f>
        <v>3</v>
      </c>
      <c r="I149" s="89">
        <f>VLOOKUP(D149,Average_Distance_by_kilometres_grouping_for_trip_purpose[#All],MATCH(A149,Average_Distance_by_kilometres_grouping_for_trip_purpose[#Headers],0),0)</f>
        <v>3</v>
      </c>
      <c r="J149" s="89">
        <f t="shared" si="11"/>
        <v>3</v>
      </c>
      <c r="K149" s="89">
        <f t="shared" si="12"/>
        <v>6.3244439759671131E-2</v>
      </c>
      <c r="L149" s="89">
        <v>1</v>
      </c>
      <c r="M149" s="13">
        <f t="shared" si="13"/>
        <v>33073072.287309963</v>
      </c>
      <c r="N149" s="89">
        <f t="shared" si="14"/>
        <v>5.4192548827493314E-4</v>
      </c>
    </row>
    <row r="150" spans="1:14" x14ac:dyDescent="0.25">
      <c r="A150" s="79" t="s">
        <v>128</v>
      </c>
      <c r="B150" s="89" t="s">
        <v>8</v>
      </c>
      <c r="C150" s="89" t="s">
        <v>44</v>
      </c>
      <c r="D150" s="13" t="s">
        <v>180</v>
      </c>
      <c r="E150" s="35">
        <f>VLOOKUP(B150, Passenger_Kilometre_by_mode_type[#All],MATCH(A150, Passenger_Kilometre_by_mode_type[#Headers],0),0)</f>
        <v>2807733662.5477371</v>
      </c>
      <c r="F150" s="89">
        <f>VLOOKUP(C150, Reason_for_public_transport_journeys_by_percentage[#All],MATCH(A150, Reason_for_public_transport_journeys_by_percentage[#Headers],0),0)/100</f>
        <v>0.18625</v>
      </c>
      <c r="G150" s="13">
        <f t="shared" si="10"/>
        <v>522940394.64951605</v>
      </c>
      <c r="H150" s="89">
        <f>VLOOKUP(D150,Average_Distance_by_kilometre_grouping_for_mode_type[#All],MATCH(A150,Average_Distance_by_kilometre_grouping_for_mode_type[#Headers],0),0)</f>
        <v>5</v>
      </c>
      <c r="I150" s="89">
        <f>VLOOKUP(D150,Average_Distance_by_kilometres_grouping_for_trip_purpose[#All],MATCH(A150,Average_Distance_by_kilometres_grouping_for_trip_purpose[#Headers],0),0)</f>
        <v>5</v>
      </c>
      <c r="J150" s="89">
        <f t="shared" si="11"/>
        <v>5</v>
      </c>
      <c r="K150" s="89">
        <f t="shared" si="12"/>
        <v>0.10540739959945188</v>
      </c>
      <c r="L150" s="89">
        <v>1</v>
      </c>
      <c r="M150" s="13">
        <f t="shared" si="13"/>
        <v>55121787.145516604</v>
      </c>
      <c r="N150" s="89">
        <f t="shared" si="14"/>
        <v>9.0320914712488864E-4</v>
      </c>
    </row>
    <row r="151" spans="1:14" x14ac:dyDescent="0.25">
      <c r="A151" s="79" t="s">
        <v>128</v>
      </c>
      <c r="B151" s="89" t="s">
        <v>8</v>
      </c>
      <c r="C151" s="89" t="s">
        <v>44</v>
      </c>
      <c r="D151" s="13" t="s">
        <v>182</v>
      </c>
      <c r="E151" s="35">
        <f>VLOOKUP(B151, Passenger_Kilometre_by_mode_type[#All],MATCH(A151, Passenger_Kilometre_by_mode_type[#Headers],0),0)</f>
        <v>2807733662.5477371</v>
      </c>
      <c r="F151" s="89">
        <f>VLOOKUP(C151, Reason_for_public_transport_journeys_by_percentage[#All],MATCH(A151, Reason_for_public_transport_journeys_by_percentage[#Headers],0),0)/100</f>
        <v>0.18625</v>
      </c>
      <c r="G151" s="13">
        <f t="shared" si="10"/>
        <v>522940394.64951605</v>
      </c>
      <c r="H151" s="89">
        <f>VLOOKUP(D151,Average_Distance_by_kilometre_grouping_for_mode_type[#All],MATCH(A151,Average_Distance_by_kilometre_grouping_for_mode_type[#Headers],0),0)</f>
        <v>7</v>
      </c>
      <c r="I151" s="89">
        <f>VLOOKUP(D151,Average_Distance_by_kilometres_grouping_for_trip_purpose[#All],MATCH(A151,Average_Distance_by_kilometres_grouping_for_trip_purpose[#Headers],0),0)</f>
        <v>7</v>
      </c>
      <c r="J151" s="89">
        <f t="shared" si="11"/>
        <v>7</v>
      </c>
      <c r="K151" s="89">
        <f t="shared" si="12"/>
        <v>0.14757035943923263</v>
      </c>
      <c r="L151" s="89">
        <v>1</v>
      </c>
      <c r="M151" s="13">
        <f t="shared" si="13"/>
        <v>77170502.003723249</v>
      </c>
      <c r="N151" s="89">
        <f t="shared" si="14"/>
        <v>1.264492805974844E-3</v>
      </c>
    </row>
    <row r="152" spans="1:14" x14ac:dyDescent="0.25">
      <c r="A152" s="79" t="s">
        <v>128</v>
      </c>
      <c r="B152" s="89" t="s">
        <v>8</v>
      </c>
      <c r="C152" s="89" t="s">
        <v>44</v>
      </c>
      <c r="D152" s="13" t="s">
        <v>1</v>
      </c>
      <c r="E152" s="35">
        <f>VLOOKUP(B152, Passenger_Kilometre_by_mode_type[#All],MATCH(A152, Passenger_Kilometre_by_mode_type[#Headers],0),0)</f>
        <v>2807733662.5477371</v>
      </c>
      <c r="F152" s="89">
        <f>VLOOKUP(C152, Reason_for_public_transport_journeys_by_percentage[#All],MATCH(A152, Reason_for_public_transport_journeys_by_percentage[#Headers],0),0)/100</f>
        <v>0.18625</v>
      </c>
      <c r="G152" s="13">
        <f t="shared" si="10"/>
        <v>522940394.64951605</v>
      </c>
      <c r="H152" s="89">
        <f>VLOOKUP(D152,Average_Distance_by_kilometre_grouping_for_mode_type[#All],MATCH(A152,Average_Distance_by_kilometre_grouping_for_mode_type[#Headers],0),0)</f>
        <v>30.1</v>
      </c>
      <c r="I152" s="89">
        <f>VLOOKUP(D152,Average_Distance_by_kilometres_grouping_for_trip_purpose[#All],MATCH(A152,Average_Distance_by_kilometres_grouping_for_trip_purpose[#Headers],0),0)</f>
        <v>32.770000000000003</v>
      </c>
      <c r="J152" s="89">
        <f t="shared" si="11"/>
        <v>31.435000000000002</v>
      </c>
      <c r="K152" s="89">
        <f t="shared" si="12"/>
        <v>0.66269632128175404</v>
      </c>
      <c r="L152" s="89">
        <v>1</v>
      </c>
      <c r="M152" s="13">
        <f t="shared" si="13"/>
        <v>346550675.78386295</v>
      </c>
      <c r="N152" s="89">
        <f t="shared" si="14"/>
        <v>5.6784759079741755E-3</v>
      </c>
    </row>
    <row r="153" spans="1:14" x14ac:dyDescent="0.25">
      <c r="A153" s="79" t="s">
        <v>128</v>
      </c>
      <c r="B153" s="89" t="s">
        <v>8</v>
      </c>
      <c r="C153" s="89" t="s">
        <v>45</v>
      </c>
      <c r="D153" s="13" t="s">
        <v>12</v>
      </c>
      <c r="E153" s="35">
        <f>VLOOKUP(B153, Passenger_Kilometre_by_mode_type[#All],MATCH(A153, Passenger_Kilometre_by_mode_type[#Headers],0),0)</f>
        <v>2807733662.5477371</v>
      </c>
      <c r="F153" s="89">
        <f>VLOOKUP(C153, Reason_for_public_transport_journeys_by_percentage[#All],MATCH(A153, Reason_for_public_transport_journeys_by_percentage[#Headers],0),0)/100</f>
        <v>1.7000000000000001E-2</v>
      </c>
      <c r="G153" s="13">
        <f t="shared" si="10"/>
        <v>47731472.263311535</v>
      </c>
      <c r="H153" s="89">
        <f>VLOOKUP(D153,Average_Distance_by_kilometre_grouping_for_mode_type[#All],MATCH(A153,Average_Distance_by_kilometre_grouping_for_mode_type[#Headers],0),0)</f>
        <v>1</v>
      </c>
      <c r="I153" s="89">
        <f>VLOOKUP(D153,Average_Distance_by_kilometres_grouping_for_trip_purpose[#All],MATCH(A153,Average_Distance_by_kilometres_grouping_for_trip_purpose[#Headers],0),0)</f>
        <v>1</v>
      </c>
      <c r="J153" s="89">
        <f t="shared" si="11"/>
        <v>1</v>
      </c>
      <c r="K153" s="89">
        <f t="shared" si="12"/>
        <v>2.1081479919890376E-2</v>
      </c>
      <c r="L153" s="89">
        <v>1</v>
      </c>
      <c r="M153" s="13">
        <f t="shared" si="13"/>
        <v>1006250.0740658066</v>
      </c>
      <c r="N153" s="89">
        <f t="shared" si="14"/>
        <v>1.6488113289796627E-5</v>
      </c>
    </row>
    <row r="154" spans="1:14" x14ac:dyDescent="0.25">
      <c r="A154" s="79" t="s">
        <v>128</v>
      </c>
      <c r="B154" s="89" t="s">
        <v>8</v>
      </c>
      <c r="C154" s="89" t="s">
        <v>45</v>
      </c>
      <c r="D154" s="13" t="s">
        <v>181</v>
      </c>
      <c r="E154" s="35">
        <f>VLOOKUP(B154, Passenger_Kilometre_by_mode_type[#All],MATCH(A154, Passenger_Kilometre_by_mode_type[#Headers],0),0)</f>
        <v>2807733662.5477371</v>
      </c>
      <c r="F154" s="89">
        <f>VLOOKUP(C154, Reason_for_public_transport_journeys_by_percentage[#All],MATCH(A154, Reason_for_public_transport_journeys_by_percentage[#Headers],0),0)/100</f>
        <v>1.7000000000000001E-2</v>
      </c>
      <c r="G154" s="13">
        <f t="shared" si="10"/>
        <v>47731472.263311535</v>
      </c>
      <c r="H154" s="89">
        <f>VLOOKUP(D154,Average_Distance_by_kilometre_grouping_for_mode_type[#All],MATCH(A154,Average_Distance_by_kilometre_grouping_for_mode_type[#Headers],0),0)</f>
        <v>3</v>
      </c>
      <c r="I154" s="89">
        <f>VLOOKUP(D154,Average_Distance_by_kilometres_grouping_for_trip_purpose[#All],MATCH(A154,Average_Distance_by_kilometres_grouping_for_trip_purpose[#Headers],0),0)</f>
        <v>3</v>
      </c>
      <c r="J154" s="89">
        <f t="shared" si="11"/>
        <v>3</v>
      </c>
      <c r="K154" s="89">
        <f t="shared" si="12"/>
        <v>6.3244439759671131E-2</v>
      </c>
      <c r="L154" s="89">
        <v>1</v>
      </c>
      <c r="M154" s="13">
        <f t="shared" si="13"/>
        <v>3018750.22219742</v>
      </c>
      <c r="N154" s="89">
        <f t="shared" si="14"/>
        <v>4.9464339869389881E-5</v>
      </c>
    </row>
    <row r="155" spans="1:14" x14ac:dyDescent="0.25">
      <c r="A155" s="79" t="s">
        <v>128</v>
      </c>
      <c r="B155" s="89" t="s">
        <v>8</v>
      </c>
      <c r="C155" s="89" t="s">
        <v>45</v>
      </c>
      <c r="D155" s="13" t="s">
        <v>180</v>
      </c>
      <c r="E155" s="35">
        <f>VLOOKUP(B155, Passenger_Kilometre_by_mode_type[#All],MATCH(A155, Passenger_Kilometre_by_mode_type[#Headers],0),0)</f>
        <v>2807733662.5477371</v>
      </c>
      <c r="F155" s="89">
        <f>VLOOKUP(C155, Reason_for_public_transport_journeys_by_percentage[#All],MATCH(A155, Reason_for_public_transport_journeys_by_percentage[#Headers],0),0)/100</f>
        <v>1.7000000000000001E-2</v>
      </c>
      <c r="G155" s="13">
        <f t="shared" si="10"/>
        <v>47731472.263311535</v>
      </c>
      <c r="H155" s="89">
        <f>VLOOKUP(D155,Average_Distance_by_kilometre_grouping_for_mode_type[#All],MATCH(A155,Average_Distance_by_kilometre_grouping_for_mode_type[#Headers],0),0)</f>
        <v>5</v>
      </c>
      <c r="I155" s="89">
        <f>VLOOKUP(D155,Average_Distance_by_kilometres_grouping_for_trip_purpose[#All],MATCH(A155,Average_Distance_by_kilometres_grouping_for_trip_purpose[#Headers],0),0)</f>
        <v>5</v>
      </c>
      <c r="J155" s="89">
        <f t="shared" si="11"/>
        <v>5</v>
      </c>
      <c r="K155" s="89">
        <f t="shared" si="12"/>
        <v>0.10540739959945188</v>
      </c>
      <c r="L155" s="89">
        <v>1</v>
      </c>
      <c r="M155" s="13">
        <f t="shared" si="13"/>
        <v>5031250.3703290327</v>
      </c>
      <c r="N155" s="89">
        <f t="shared" si="14"/>
        <v>8.2440566448983127E-5</v>
      </c>
    </row>
    <row r="156" spans="1:14" x14ac:dyDescent="0.25">
      <c r="A156" s="79" t="s">
        <v>128</v>
      </c>
      <c r="B156" s="89" t="s">
        <v>8</v>
      </c>
      <c r="C156" s="89" t="s">
        <v>45</v>
      </c>
      <c r="D156" s="13" t="s">
        <v>182</v>
      </c>
      <c r="E156" s="35">
        <f>VLOOKUP(B156, Passenger_Kilometre_by_mode_type[#All],MATCH(A156, Passenger_Kilometre_by_mode_type[#Headers],0),0)</f>
        <v>2807733662.5477371</v>
      </c>
      <c r="F156" s="89">
        <f>VLOOKUP(C156, Reason_for_public_transport_journeys_by_percentage[#All],MATCH(A156, Reason_for_public_transport_journeys_by_percentage[#Headers],0),0)/100</f>
        <v>1.7000000000000001E-2</v>
      </c>
      <c r="G156" s="13">
        <f t="shared" si="10"/>
        <v>47731472.263311535</v>
      </c>
      <c r="H156" s="89">
        <f>VLOOKUP(D156,Average_Distance_by_kilometre_grouping_for_mode_type[#All],MATCH(A156,Average_Distance_by_kilometre_grouping_for_mode_type[#Headers],0),0)</f>
        <v>7</v>
      </c>
      <c r="I156" s="89">
        <f>VLOOKUP(D156,Average_Distance_by_kilometres_grouping_for_trip_purpose[#All],MATCH(A156,Average_Distance_by_kilometres_grouping_for_trip_purpose[#Headers],0),0)</f>
        <v>7</v>
      </c>
      <c r="J156" s="89">
        <f t="shared" si="11"/>
        <v>7</v>
      </c>
      <c r="K156" s="89">
        <f t="shared" si="12"/>
        <v>0.14757035943923263</v>
      </c>
      <c r="L156" s="89">
        <v>1</v>
      </c>
      <c r="M156" s="13">
        <f t="shared" si="13"/>
        <v>7043750.5184606463</v>
      </c>
      <c r="N156" s="89">
        <f t="shared" si="14"/>
        <v>1.1541679302857638E-4</v>
      </c>
    </row>
    <row r="157" spans="1:14" x14ac:dyDescent="0.25">
      <c r="A157" s="79" t="s">
        <v>128</v>
      </c>
      <c r="B157" s="89" t="s">
        <v>8</v>
      </c>
      <c r="C157" s="89" t="s">
        <v>45</v>
      </c>
      <c r="D157" s="13" t="s">
        <v>1</v>
      </c>
      <c r="E157" s="35">
        <f>VLOOKUP(B157, Passenger_Kilometre_by_mode_type[#All],MATCH(A157, Passenger_Kilometre_by_mode_type[#Headers],0),0)</f>
        <v>2807733662.5477371</v>
      </c>
      <c r="F157" s="89">
        <f>VLOOKUP(C157, Reason_for_public_transport_journeys_by_percentage[#All],MATCH(A157, Reason_for_public_transport_journeys_by_percentage[#Headers],0),0)/100</f>
        <v>1.7000000000000001E-2</v>
      </c>
      <c r="G157" s="13">
        <f t="shared" si="10"/>
        <v>47731472.263311535</v>
      </c>
      <c r="H157" s="89">
        <f>VLOOKUP(D157,Average_Distance_by_kilometre_grouping_for_mode_type[#All],MATCH(A157,Average_Distance_by_kilometre_grouping_for_mode_type[#Headers],0),0)</f>
        <v>30.1</v>
      </c>
      <c r="I157" s="89">
        <f>VLOOKUP(D157,Average_Distance_by_kilometres_grouping_for_trip_purpose[#All],MATCH(A157,Average_Distance_by_kilometres_grouping_for_trip_purpose[#Headers],0),0)</f>
        <v>32.770000000000003</v>
      </c>
      <c r="J157" s="89">
        <f t="shared" si="11"/>
        <v>31.435000000000002</v>
      </c>
      <c r="K157" s="89">
        <f t="shared" si="12"/>
        <v>0.66269632128175404</v>
      </c>
      <c r="L157" s="89">
        <v>1</v>
      </c>
      <c r="M157" s="13">
        <f t="shared" si="13"/>
        <v>31631471.078258634</v>
      </c>
      <c r="N157" s="89">
        <f t="shared" si="14"/>
        <v>5.1830384126475698E-4</v>
      </c>
    </row>
    <row r="158" spans="1:14" x14ac:dyDescent="0.25">
      <c r="A158" s="79" t="s">
        <v>128</v>
      </c>
      <c r="B158" s="89" t="s">
        <v>8</v>
      </c>
      <c r="C158" s="89" t="s">
        <v>56</v>
      </c>
      <c r="D158" s="13" t="s">
        <v>12</v>
      </c>
      <c r="E158" s="35">
        <f>VLOOKUP(B158, Passenger_Kilometre_by_mode_type[#All],MATCH(A158, Passenger_Kilometre_by_mode_type[#Headers],0),0)</f>
        <v>2807733662.5477371</v>
      </c>
      <c r="F158" s="89">
        <f>VLOOKUP(C158, Reason_for_public_transport_journeys_by_percentage[#All],MATCH(A158, Reason_for_public_transport_journeys_by_percentage[#Headers],0),0)/100</f>
        <v>0.10375000000000002</v>
      </c>
      <c r="G158" s="13">
        <f t="shared" si="10"/>
        <v>291302367.48932779</v>
      </c>
      <c r="H158" s="89">
        <f>VLOOKUP(D158,Average_Distance_by_kilometre_grouping_for_mode_type[#All],MATCH(A158,Average_Distance_by_kilometre_grouping_for_mode_type[#Headers],0),0)</f>
        <v>1</v>
      </c>
      <c r="I158" s="89">
        <f>VLOOKUP(D158,Average_Distance_by_kilometres_grouping_for_trip_purpose[#All],MATCH(A158,Average_Distance_by_kilometres_grouping_for_trip_purpose[#Headers],0),0)</f>
        <v>1</v>
      </c>
      <c r="J158" s="89">
        <f t="shared" si="11"/>
        <v>1</v>
      </c>
      <c r="K158" s="89">
        <f t="shared" si="12"/>
        <v>2.1081479919890376E-2</v>
      </c>
      <c r="L158" s="89">
        <v>1</v>
      </c>
      <c r="M158" s="13">
        <f t="shared" si="13"/>
        <v>6141085.0108427908</v>
      </c>
      <c r="N158" s="89">
        <f t="shared" si="14"/>
        <v>1.0062598551861178E-4</v>
      </c>
    </row>
    <row r="159" spans="1:14" x14ac:dyDescent="0.25">
      <c r="A159" s="79" t="s">
        <v>128</v>
      </c>
      <c r="B159" s="89" t="s">
        <v>8</v>
      </c>
      <c r="C159" s="89" t="s">
        <v>56</v>
      </c>
      <c r="D159" s="13" t="s">
        <v>181</v>
      </c>
      <c r="E159" s="35">
        <f>VLOOKUP(B159, Passenger_Kilometre_by_mode_type[#All],MATCH(A159, Passenger_Kilometre_by_mode_type[#Headers],0),0)</f>
        <v>2807733662.5477371</v>
      </c>
      <c r="F159" s="89">
        <f>VLOOKUP(C159, Reason_for_public_transport_journeys_by_percentage[#All],MATCH(A159, Reason_for_public_transport_journeys_by_percentage[#Headers],0),0)/100</f>
        <v>0.10375000000000002</v>
      </c>
      <c r="G159" s="13">
        <f t="shared" si="10"/>
        <v>291302367.48932779</v>
      </c>
      <c r="H159" s="89">
        <f>VLOOKUP(D159,Average_Distance_by_kilometre_grouping_for_mode_type[#All],MATCH(A159,Average_Distance_by_kilometre_grouping_for_mode_type[#Headers],0),0)</f>
        <v>3</v>
      </c>
      <c r="I159" s="89">
        <f>VLOOKUP(D159,Average_Distance_by_kilometres_grouping_for_trip_purpose[#All],MATCH(A159,Average_Distance_by_kilometres_grouping_for_trip_purpose[#Headers],0),0)</f>
        <v>3</v>
      </c>
      <c r="J159" s="89">
        <f t="shared" si="11"/>
        <v>3</v>
      </c>
      <c r="K159" s="89">
        <f t="shared" si="12"/>
        <v>6.3244439759671131E-2</v>
      </c>
      <c r="L159" s="89">
        <v>1</v>
      </c>
      <c r="M159" s="13">
        <f t="shared" si="13"/>
        <v>18423255.032528374</v>
      </c>
      <c r="N159" s="89">
        <f t="shared" si="14"/>
        <v>3.0187795655583534E-4</v>
      </c>
    </row>
    <row r="160" spans="1:14" x14ac:dyDescent="0.25">
      <c r="A160" s="79" t="s">
        <v>128</v>
      </c>
      <c r="B160" s="89" t="s">
        <v>8</v>
      </c>
      <c r="C160" s="89" t="s">
        <v>56</v>
      </c>
      <c r="D160" s="13" t="s">
        <v>180</v>
      </c>
      <c r="E160" s="35">
        <f>VLOOKUP(B160, Passenger_Kilometre_by_mode_type[#All],MATCH(A160, Passenger_Kilometre_by_mode_type[#Headers],0),0)</f>
        <v>2807733662.5477371</v>
      </c>
      <c r="F160" s="89">
        <f>VLOOKUP(C160, Reason_for_public_transport_journeys_by_percentage[#All],MATCH(A160, Reason_for_public_transport_journeys_by_percentage[#Headers],0),0)/100</f>
        <v>0.10375000000000002</v>
      </c>
      <c r="G160" s="13">
        <f t="shared" si="10"/>
        <v>291302367.48932779</v>
      </c>
      <c r="H160" s="89">
        <f>VLOOKUP(D160,Average_Distance_by_kilometre_grouping_for_mode_type[#All],MATCH(A160,Average_Distance_by_kilometre_grouping_for_mode_type[#Headers],0),0)</f>
        <v>5</v>
      </c>
      <c r="I160" s="89">
        <f>VLOOKUP(D160,Average_Distance_by_kilometres_grouping_for_trip_purpose[#All],MATCH(A160,Average_Distance_by_kilometres_grouping_for_trip_purpose[#Headers],0),0)</f>
        <v>5</v>
      </c>
      <c r="J160" s="89">
        <f t="shared" si="11"/>
        <v>5</v>
      </c>
      <c r="K160" s="89">
        <f t="shared" si="12"/>
        <v>0.10540739959945188</v>
      </c>
      <c r="L160" s="89">
        <v>1</v>
      </c>
      <c r="M160" s="13">
        <f t="shared" si="13"/>
        <v>30705425.054213952</v>
      </c>
      <c r="N160" s="89">
        <f t="shared" si="14"/>
        <v>5.0312992759305884E-4</v>
      </c>
    </row>
    <row r="161" spans="1:14" x14ac:dyDescent="0.25">
      <c r="A161" s="79" t="s">
        <v>128</v>
      </c>
      <c r="B161" s="89" t="s">
        <v>8</v>
      </c>
      <c r="C161" s="89" t="s">
        <v>56</v>
      </c>
      <c r="D161" s="13" t="s">
        <v>182</v>
      </c>
      <c r="E161" s="35">
        <f>VLOOKUP(B161, Passenger_Kilometre_by_mode_type[#All],MATCH(A161, Passenger_Kilometre_by_mode_type[#Headers],0),0)</f>
        <v>2807733662.5477371</v>
      </c>
      <c r="F161" s="89">
        <f>VLOOKUP(C161, Reason_for_public_transport_journeys_by_percentage[#All],MATCH(A161, Reason_for_public_transport_journeys_by_percentage[#Headers],0),0)/100</f>
        <v>0.10375000000000002</v>
      </c>
      <c r="G161" s="13">
        <f t="shared" si="10"/>
        <v>291302367.48932779</v>
      </c>
      <c r="H161" s="89">
        <f>VLOOKUP(D161,Average_Distance_by_kilometre_grouping_for_mode_type[#All],MATCH(A161,Average_Distance_by_kilometre_grouping_for_mode_type[#Headers],0),0)</f>
        <v>7</v>
      </c>
      <c r="I161" s="89">
        <f>VLOOKUP(D161,Average_Distance_by_kilometres_grouping_for_trip_purpose[#All],MATCH(A161,Average_Distance_by_kilometres_grouping_for_trip_purpose[#Headers],0),0)</f>
        <v>7</v>
      </c>
      <c r="J161" s="89">
        <f t="shared" si="11"/>
        <v>7</v>
      </c>
      <c r="K161" s="89">
        <f t="shared" si="12"/>
        <v>0.14757035943923263</v>
      </c>
      <c r="L161" s="89">
        <v>1</v>
      </c>
      <c r="M161" s="13">
        <f t="shared" si="13"/>
        <v>42987595.075899534</v>
      </c>
      <c r="N161" s="89">
        <f t="shared" si="14"/>
        <v>7.043818986302824E-4</v>
      </c>
    </row>
    <row r="162" spans="1:14" x14ac:dyDescent="0.25">
      <c r="A162" s="79" t="s">
        <v>128</v>
      </c>
      <c r="B162" s="89" t="s">
        <v>8</v>
      </c>
      <c r="C162" s="89" t="s">
        <v>56</v>
      </c>
      <c r="D162" s="13" t="s">
        <v>1</v>
      </c>
      <c r="E162" s="35">
        <f>VLOOKUP(B162, Passenger_Kilometre_by_mode_type[#All],MATCH(A162, Passenger_Kilometre_by_mode_type[#Headers],0),0)</f>
        <v>2807733662.5477371</v>
      </c>
      <c r="F162" s="89">
        <f>VLOOKUP(C162, Reason_for_public_transport_journeys_by_percentage[#All],MATCH(A162, Reason_for_public_transport_journeys_by_percentage[#Headers],0),0)/100</f>
        <v>0.10375000000000002</v>
      </c>
      <c r="G162" s="13">
        <f t="shared" si="10"/>
        <v>291302367.48932779</v>
      </c>
      <c r="H162" s="89">
        <f>VLOOKUP(D162,Average_Distance_by_kilometre_grouping_for_mode_type[#All],MATCH(A162,Average_Distance_by_kilometre_grouping_for_mode_type[#Headers],0),0)</f>
        <v>30.1</v>
      </c>
      <c r="I162" s="89">
        <f>VLOOKUP(D162,Average_Distance_by_kilometres_grouping_for_trip_purpose[#All],MATCH(A162,Average_Distance_by_kilometres_grouping_for_trip_purpose[#Headers],0),0)</f>
        <v>32.770000000000003</v>
      </c>
      <c r="J162" s="89">
        <f t="shared" si="11"/>
        <v>31.435000000000002</v>
      </c>
      <c r="K162" s="89">
        <f t="shared" si="12"/>
        <v>0.66269632128175404</v>
      </c>
      <c r="L162" s="89">
        <v>1</v>
      </c>
      <c r="M162" s="13">
        <f t="shared" si="13"/>
        <v>193045007.31584316</v>
      </c>
      <c r="N162" s="89">
        <f t="shared" si="14"/>
        <v>3.1631778547775618E-3</v>
      </c>
    </row>
    <row r="163" spans="1:14" x14ac:dyDescent="0.25">
      <c r="A163" s="79" t="s">
        <v>128</v>
      </c>
      <c r="B163" s="89" t="s">
        <v>8</v>
      </c>
      <c r="C163" s="89" t="s">
        <v>57</v>
      </c>
      <c r="D163" s="13" t="s">
        <v>12</v>
      </c>
      <c r="E163" s="35">
        <f>VLOOKUP(B163, Passenger_Kilometre_by_mode_type[#All],MATCH(A163, Passenger_Kilometre_by_mode_type[#Headers],0),0)</f>
        <v>2807733662.5477371</v>
      </c>
      <c r="F163" s="89">
        <f>VLOOKUP(C163, Reason_for_public_transport_journeys_by_percentage[#All],MATCH(A163, Reason_for_public_transport_journeys_by_percentage[#Headers],0),0)/100</f>
        <v>7.0250000000000007E-2</v>
      </c>
      <c r="G163" s="13">
        <f t="shared" si="10"/>
        <v>197243289.79397854</v>
      </c>
      <c r="H163" s="89">
        <f>VLOOKUP(D163,Average_Distance_by_kilometre_grouping_for_mode_type[#All],MATCH(A163,Average_Distance_by_kilometre_grouping_for_mode_type[#Headers],0),0)</f>
        <v>1</v>
      </c>
      <c r="I163" s="89">
        <f>VLOOKUP(D163,Average_Distance_by_kilometres_grouping_for_trip_purpose[#All],MATCH(A163,Average_Distance_by_kilometres_grouping_for_trip_purpose[#Headers],0),0)</f>
        <v>1</v>
      </c>
      <c r="J163" s="89">
        <f t="shared" si="11"/>
        <v>1</v>
      </c>
      <c r="K163" s="89">
        <f t="shared" si="12"/>
        <v>2.1081479919890376E-2</v>
      </c>
      <c r="L163" s="89">
        <v>1</v>
      </c>
      <c r="M163" s="13">
        <f t="shared" si="13"/>
        <v>4158180.4531248771</v>
      </c>
      <c r="N163" s="89">
        <f t="shared" si="14"/>
        <v>6.8134703447541938E-5</v>
      </c>
    </row>
    <row r="164" spans="1:14" x14ac:dyDescent="0.25">
      <c r="A164" s="79" t="s">
        <v>128</v>
      </c>
      <c r="B164" s="89" t="s">
        <v>8</v>
      </c>
      <c r="C164" s="89" t="s">
        <v>57</v>
      </c>
      <c r="D164" s="13" t="s">
        <v>181</v>
      </c>
      <c r="E164" s="35">
        <f>VLOOKUP(B164, Passenger_Kilometre_by_mode_type[#All],MATCH(A164, Passenger_Kilometre_by_mode_type[#Headers],0),0)</f>
        <v>2807733662.5477371</v>
      </c>
      <c r="F164" s="89">
        <f>VLOOKUP(C164, Reason_for_public_transport_journeys_by_percentage[#All],MATCH(A164, Reason_for_public_transport_journeys_by_percentage[#Headers],0),0)/100</f>
        <v>7.0250000000000007E-2</v>
      </c>
      <c r="G164" s="13">
        <f t="shared" si="10"/>
        <v>197243289.79397854</v>
      </c>
      <c r="H164" s="89">
        <f>VLOOKUP(D164,Average_Distance_by_kilometre_grouping_for_mode_type[#All],MATCH(A164,Average_Distance_by_kilometre_grouping_for_mode_type[#Headers],0),0)</f>
        <v>3</v>
      </c>
      <c r="I164" s="89">
        <f>VLOOKUP(D164,Average_Distance_by_kilometres_grouping_for_trip_purpose[#All],MATCH(A164,Average_Distance_by_kilometres_grouping_for_trip_purpose[#Headers],0),0)</f>
        <v>3</v>
      </c>
      <c r="J164" s="89">
        <f t="shared" si="11"/>
        <v>3</v>
      </c>
      <c r="K164" s="89">
        <f t="shared" si="12"/>
        <v>6.3244439759671131E-2</v>
      </c>
      <c r="L164" s="89">
        <v>1</v>
      </c>
      <c r="M164" s="13">
        <f t="shared" si="13"/>
        <v>12474541.359374631</v>
      </c>
      <c r="N164" s="89">
        <f t="shared" si="14"/>
        <v>2.0440411034262581E-4</v>
      </c>
    </row>
    <row r="165" spans="1:14" x14ac:dyDescent="0.25">
      <c r="A165" s="79" t="s">
        <v>128</v>
      </c>
      <c r="B165" s="89" t="s">
        <v>8</v>
      </c>
      <c r="C165" s="89" t="s">
        <v>57</v>
      </c>
      <c r="D165" s="13" t="s">
        <v>180</v>
      </c>
      <c r="E165" s="35">
        <f>VLOOKUP(B165, Passenger_Kilometre_by_mode_type[#All],MATCH(A165, Passenger_Kilometre_by_mode_type[#Headers],0),0)</f>
        <v>2807733662.5477371</v>
      </c>
      <c r="F165" s="89">
        <f>VLOOKUP(C165, Reason_for_public_transport_journeys_by_percentage[#All],MATCH(A165, Reason_for_public_transport_journeys_by_percentage[#Headers],0),0)/100</f>
        <v>7.0250000000000007E-2</v>
      </c>
      <c r="G165" s="13">
        <f t="shared" si="10"/>
        <v>197243289.79397854</v>
      </c>
      <c r="H165" s="89">
        <f>VLOOKUP(D165,Average_Distance_by_kilometre_grouping_for_mode_type[#All],MATCH(A165,Average_Distance_by_kilometre_grouping_for_mode_type[#Headers],0),0)</f>
        <v>5</v>
      </c>
      <c r="I165" s="89">
        <f>VLOOKUP(D165,Average_Distance_by_kilometres_grouping_for_trip_purpose[#All],MATCH(A165,Average_Distance_by_kilometres_grouping_for_trip_purpose[#Headers],0),0)</f>
        <v>5</v>
      </c>
      <c r="J165" s="89">
        <f t="shared" si="11"/>
        <v>5</v>
      </c>
      <c r="K165" s="89">
        <f t="shared" si="12"/>
        <v>0.10540739959945188</v>
      </c>
      <c r="L165" s="89">
        <v>1</v>
      </c>
      <c r="M165" s="13">
        <f t="shared" si="13"/>
        <v>20790902.265624385</v>
      </c>
      <c r="N165" s="89">
        <f t="shared" si="14"/>
        <v>3.4067351723770969E-4</v>
      </c>
    </row>
    <row r="166" spans="1:14" x14ac:dyDescent="0.25">
      <c r="A166" s="79" t="s">
        <v>128</v>
      </c>
      <c r="B166" s="89" t="s">
        <v>8</v>
      </c>
      <c r="C166" s="89" t="s">
        <v>57</v>
      </c>
      <c r="D166" s="13" t="s">
        <v>182</v>
      </c>
      <c r="E166" s="35">
        <f>VLOOKUP(B166, Passenger_Kilometre_by_mode_type[#All],MATCH(A166, Passenger_Kilometre_by_mode_type[#Headers],0),0)</f>
        <v>2807733662.5477371</v>
      </c>
      <c r="F166" s="89">
        <f>VLOOKUP(C166, Reason_for_public_transport_journeys_by_percentage[#All],MATCH(A166, Reason_for_public_transport_journeys_by_percentage[#Headers],0),0)/100</f>
        <v>7.0250000000000007E-2</v>
      </c>
      <c r="G166" s="13">
        <f t="shared" si="10"/>
        <v>197243289.79397854</v>
      </c>
      <c r="H166" s="89">
        <f>VLOOKUP(D166,Average_Distance_by_kilometre_grouping_for_mode_type[#All],MATCH(A166,Average_Distance_by_kilometre_grouping_for_mode_type[#Headers],0),0)</f>
        <v>7</v>
      </c>
      <c r="I166" s="89">
        <f>VLOOKUP(D166,Average_Distance_by_kilometres_grouping_for_trip_purpose[#All],MATCH(A166,Average_Distance_by_kilometres_grouping_for_trip_purpose[#Headers],0),0)</f>
        <v>7</v>
      </c>
      <c r="J166" s="89">
        <f t="shared" si="11"/>
        <v>7</v>
      </c>
      <c r="K166" s="89">
        <f t="shared" si="12"/>
        <v>0.14757035943923263</v>
      </c>
      <c r="L166" s="89">
        <v>1</v>
      </c>
      <c r="M166" s="13">
        <f t="shared" si="13"/>
        <v>29107263.171874139</v>
      </c>
      <c r="N166" s="89">
        <f t="shared" si="14"/>
        <v>4.7694292413279357E-4</v>
      </c>
    </row>
    <row r="167" spans="1:14" x14ac:dyDescent="0.25">
      <c r="A167" s="79" t="s">
        <v>128</v>
      </c>
      <c r="B167" s="89" t="s">
        <v>8</v>
      </c>
      <c r="C167" s="89" t="s">
        <v>57</v>
      </c>
      <c r="D167" s="13" t="s">
        <v>1</v>
      </c>
      <c r="E167" s="35">
        <f>VLOOKUP(B167, Passenger_Kilometre_by_mode_type[#All],MATCH(A167, Passenger_Kilometre_by_mode_type[#Headers],0),0)</f>
        <v>2807733662.5477371</v>
      </c>
      <c r="F167" s="89">
        <f>VLOOKUP(C167, Reason_for_public_transport_journeys_by_percentage[#All],MATCH(A167, Reason_for_public_transport_journeys_by_percentage[#Headers],0),0)/100</f>
        <v>7.0250000000000007E-2</v>
      </c>
      <c r="G167" s="13">
        <f t="shared" si="10"/>
        <v>197243289.79397854</v>
      </c>
      <c r="H167" s="89">
        <f>VLOOKUP(D167,Average_Distance_by_kilometre_grouping_for_mode_type[#All],MATCH(A167,Average_Distance_by_kilometre_grouping_for_mode_type[#Headers],0),0)</f>
        <v>30.1</v>
      </c>
      <c r="I167" s="89">
        <f>VLOOKUP(D167,Average_Distance_by_kilometres_grouping_for_trip_purpose[#All],MATCH(A167,Average_Distance_by_kilometres_grouping_for_trip_purpose[#Headers],0),0)</f>
        <v>32.770000000000003</v>
      </c>
      <c r="J167" s="89">
        <f t="shared" si="11"/>
        <v>31.435000000000002</v>
      </c>
      <c r="K167" s="89">
        <f t="shared" si="12"/>
        <v>0.66269632128175404</v>
      </c>
      <c r="L167" s="89">
        <v>1</v>
      </c>
      <c r="M167" s="13">
        <f t="shared" si="13"/>
        <v>130712402.54398052</v>
      </c>
      <c r="N167" s="89">
        <f t="shared" si="14"/>
        <v>2.1418144028734812E-3</v>
      </c>
    </row>
    <row r="168" spans="1:14" x14ac:dyDescent="0.25">
      <c r="A168" s="79" t="s">
        <v>128</v>
      </c>
      <c r="B168" s="89" t="s">
        <v>8</v>
      </c>
      <c r="C168" s="89" t="s">
        <v>93</v>
      </c>
      <c r="D168" s="13" t="s">
        <v>12</v>
      </c>
      <c r="E168" s="35">
        <f>VLOOKUP(B168, Passenger_Kilometre_by_mode_type[#All],MATCH(A168, Passenger_Kilometre_by_mode_type[#Headers],0),0)</f>
        <v>2807733662.5477371</v>
      </c>
      <c r="F168" s="89">
        <f>VLOOKUP(C168, Reason_for_public_transport_journeys_by_percentage[#All],MATCH(A168, Reason_for_public_transport_journeys_by_percentage[#Headers],0),0)/100</f>
        <v>9.6374999999999988E-2</v>
      </c>
      <c r="G168" s="13">
        <f t="shared" si="10"/>
        <v>270595331.72803813</v>
      </c>
      <c r="H168" s="89">
        <f>VLOOKUP(D168,Average_Distance_by_kilometre_grouping_for_mode_type[#All],MATCH(A168,Average_Distance_by_kilometre_grouping_for_mode_type[#Headers],0),0)</f>
        <v>1</v>
      </c>
      <c r="I168" s="89">
        <f>VLOOKUP(D168,Average_Distance_by_kilometres_grouping_for_trip_purpose[#All],MATCH(A168,Average_Distance_by_kilometres_grouping_for_trip_purpose[#Headers],0),0)</f>
        <v>1</v>
      </c>
      <c r="J168" s="89">
        <f t="shared" si="11"/>
        <v>1</v>
      </c>
      <c r="K168" s="89">
        <f t="shared" si="12"/>
        <v>2.1081479919890376E-2</v>
      </c>
      <c r="L168" s="89">
        <v>1</v>
      </c>
      <c r="M168" s="13">
        <f t="shared" si="13"/>
        <v>5704550.0522407107</v>
      </c>
      <c r="N168" s="89">
        <f t="shared" si="14"/>
        <v>9.3473054017891144E-5</v>
      </c>
    </row>
    <row r="169" spans="1:14" x14ac:dyDescent="0.25">
      <c r="A169" s="79" t="s">
        <v>128</v>
      </c>
      <c r="B169" s="89" t="s">
        <v>8</v>
      </c>
      <c r="C169" s="89" t="s">
        <v>93</v>
      </c>
      <c r="D169" s="13" t="s">
        <v>181</v>
      </c>
      <c r="E169" s="35">
        <f>VLOOKUP(B169, Passenger_Kilometre_by_mode_type[#All],MATCH(A169, Passenger_Kilometre_by_mode_type[#Headers],0),0)</f>
        <v>2807733662.5477371</v>
      </c>
      <c r="F169" s="89">
        <f>VLOOKUP(C169, Reason_for_public_transport_journeys_by_percentage[#All],MATCH(A169, Reason_for_public_transport_journeys_by_percentage[#Headers],0),0)/100</f>
        <v>9.6374999999999988E-2</v>
      </c>
      <c r="G169" s="13">
        <f t="shared" si="10"/>
        <v>270595331.72803813</v>
      </c>
      <c r="H169" s="89">
        <f>VLOOKUP(D169,Average_Distance_by_kilometre_grouping_for_mode_type[#All],MATCH(A169,Average_Distance_by_kilometre_grouping_for_mode_type[#Headers],0),0)</f>
        <v>3</v>
      </c>
      <c r="I169" s="89">
        <f>VLOOKUP(D169,Average_Distance_by_kilometres_grouping_for_trip_purpose[#All],MATCH(A169,Average_Distance_by_kilometres_grouping_for_trip_purpose[#Headers],0),0)</f>
        <v>3</v>
      </c>
      <c r="J169" s="89">
        <f t="shared" si="11"/>
        <v>3</v>
      </c>
      <c r="K169" s="89">
        <f t="shared" si="12"/>
        <v>6.3244439759671131E-2</v>
      </c>
      <c r="L169" s="89">
        <v>1</v>
      </c>
      <c r="M169" s="13">
        <f t="shared" si="13"/>
        <v>17113650.156722132</v>
      </c>
      <c r="N169" s="89">
        <f t="shared" si="14"/>
        <v>2.8041916205367345E-4</v>
      </c>
    </row>
    <row r="170" spans="1:14" x14ac:dyDescent="0.25">
      <c r="A170" s="79" t="s">
        <v>128</v>
      </c>
      <c r="B170" s="89" t="s">
        <v>8</v>
      </c>
      <c r="C170" s="89" t="s">
        <v>93</v>
      </c>
      <c r="D170" s="13" t="s">
        <v>180</v>
      </c>
      <c r="E170" s="35">
        <f>VLOOKUP(B170, Passenger_Kilometre_by_mode_type[#All],MATCH(A170, Passenger_Kilometre_by_mode_type[#Headers],0),0)</f>
        <v>2807733662.5477371</v>
      </c>
      <c r="F170" s="89">
        <f>VLOOKUP(C170, Reason_for_public_transport_journeys_by_percentage[#All],MATCH(A170, Reason_for_public_transport_journeys_by_percentage[#Headers],0),0)/100</f>
        <v>9.6374999999999988E-2</v>
      </c>
      <c r="G170" s="13">
        <f t="shared" si="10"/>
        <v>270595331.72803813</v>
      </c>
      <c r="H170" s="89">
        <f>VLOOKUP(D170,Average_Distance_by_kilometre_grouping_for_mode_type[#All],MATCH(A170,Average_Distance_by_kilometre_grouping_for_mode_type[#Headers],0),0)</f>
        <v>5</v>
      </c>
      <c r="I170" s="89">
        <f>VLOOKUP(D170,Average_Distance_by_kilometres_grouping_for_trip_purpose[#All],MATCH(A170,Average_Distance_by_kilometres_grouping_for_trip_purpose[#Headers],0),0)</f>
        <v>5</v>
      </c>
      <c r="J170" s="89">
        <f t="shared" si="11"/>
        <v>5</v>
      </c>
      <c r="K170" s="89">
        <f t="shared" si="12"/>
        <v>0.10540739959945188</v>
      </c>
      <c r="L170" s="89">
        <v>1</v>
      </c>
      <c r="M170" s="13">
        <f t="shared" si="13"/>
        <v>28522750.261203554</v>
      </c>
      <c r="N170" s="89">
        <f t="shared" si="14"/>
        <v>4.6736527008945571E-4</v>
      </c>
    </row>
    <row r="171" spans="1:14" x14ac:dyDescent="0.25">
      <c r="A171" s="79" t="s">
        <v>128</v>
      </c>
      <c r="B171" s="89" t="s">
        <v>8</v>
      </c>
      <c r="C171" s="89" t="s">
        <v>93</v>
      </c>
      <c r="D171" s="13" t="s">
        <v>182</v>
      </c>
      <c r="E171" s="35">
        <f>VLOOKUP(B171, Passenger_Kilometre_by_mode_type[#All],MATCH(A171, Passenger_Kilometre_by_mode_type[#Headers],0),0)</f>
        <v>2807733662.5477371</v>
      </c>
      <c r="F171" s="89">
        <f>VLOOKUP(C171, Reason_for_public_transport_journeys_by_percentage[#All],MATCH(A171, Reason_for_public_transport_journeys_by_percentage[#Headers],0),0)/100</f>
        <v>9.6374999999999988E-2</v>
      </c>
      <c r="G171" s="13">
        <f t="shared" si="10"/>
        <v>270595331.72803813</v>
      </c>
      <c r="H171" s="89">
        <f>VLOOKUP(D171,Average_Distance_by_kilometre_grouping_for_mode_type[#All],MATCH(A171,Average_Distance_by_kilometre_grouping_for_mode_type[#Headers],0),0)</f>
        <v>7</v>
      </c>
      <c r="I171" s="89">
        <f>VLOOKUP(D171,Average_Distance_by_kilometres_grouping_for_trip_purpose[#All],MATCH(A171,Average_Distance_by_kilometres_grouping_for_trip_purpose[#Headers],0),0)</f>
        <v>7</v>
      </c>
      <c r="J171" s="89">
        <f t="shared" si="11"/>
        <v>7</v>
      </c>
      <c r="K171" s="89">
        <f t="shared" si="12"/>
        <v>0.14757035943923263</v>
      </c>
      <c r="L171" s="89">
        <v>1</v>
      </c>
      <c r="M171" s="13">
        <f t="shared" si="13"/>
        <v>39931850.365684979</v>
      </c>
      <c r="N171" s="89">
        <f t="shared" si="14"/>
        <v>6.5431137812523802E-4</v>
      </c>
    </row>
    <row r="172" spans="1:14" x14ac:dyDescent="0.25">
      <c r="A172" s="79" t="s">
        <v>128</v>
      </c>
      <c r="B172" s="89" t="s">
        <v>8</v>
      </c>
      <c r="C172" s="89" t="s">
        <v>93</v>
      </c>
      <c r="D172" s="13" t="s">
        <v>1</v>
      </c>
      <c r="E172" s="35">
        <f>VLOOKUP(B172, Passenger_Kilometre_by_mode_type[#All],MATCH(A172, Passenger_Kilometre_by_mode_type[#Headers],0),0)</f>
        <v>2807733662.5477371</v>
      </c>
      <c r="F172" s="89">
        <f>VLOOKUP(C172, Reason_for_public_transport_journeys_by_percentage[#All],MATCH(A172, Reason_for_public_transport_journeys_by_percentage[#Headers],0),0)/100</f>
        <v>9.6374999999999988E-2</v>
      </c>
      <c r="G172" s="13">
        <f t="shared" si="10"/>
        <v>270595331.72803813</v>
      </c>
      <c r="H172" s="89">
        <f>VLOOKUP(D172,Average_Distance_by_kilometre_grouping_for_mode_type[#All],MATCH(A172,Average_Distance_by_kilometre_grouping_for_mode_type[#Headers],0),0)</f>
        <v>30.1</v>
      </c>
      <c r="I172" s="89">
        <f>VLOOKUP(D172,Average_Distance_by_kilometres_grouping_for_trip_purpose[#All],MATCH(A172,Average_Distance_by_kilometres_grouping_for_trip_purpose[#Headers],0),0)</f>
        <v>32.770000000000003</v>
      </c>
      <c r="J172" s="89">
        <f t="shared" si="11"/>
        <v>31.435000000000002</v>
      </c>
      <c r="K172" s="89">
        <f t="shared" si="12"/>
        <v>0.66269632128175404</v>
      </c>
      <c r="L172" s="89">
        <v>1</v>
      </c>
      <c r="M172" s="13">
        <f t="shared" si="13"/>
        <v>179322530.89218676</v>
      </c>
      <c r="N172" s="89">
        <f t="shared" si="14"/>
        <v>2.9383254530524084E-3</v>
      </c>
    </row>
    <row r="173" spans="1:14" x14ac:dyDescent="0.25">
      <c r="A173" s="79" t="s">
        <v>128</v>
      </c>
      <c r="B173" s="89" t="s">
        <v>8</v>
      </c>
      <c r="C173" s="89" t="s">
        <v>243</v>
      </c>
      <c r="D173" s="13" t="s">
        <v>12</v>
      </c>
      <c r="E173" s="35">
        <f>VLOOKUP(B173, Passenger_Kilometre_by_mode_type[#All],MATCH(A173, Passenger_Kilometre_by_mode_type[#Headers],0),0)</f>
        <v>2807733662.5477371</v>
      </c>
      <c r="F173" s="89">
        <f>VLOOKUP(C173, Reason_for_public_transport_journeys_by_percentage[#All],MATCH(A173, Reason_for_public_transport_journeys_by_percentage[#Headers],0),0)/100</f>
        <v>2.2499999999999999E-2</v>
      </c>
      <c r="G173" s="13">
        <f t="shared" si="10"/>
        <v>63174007.407324083</v>
      </c>
      <c r="H173" s="89">
        <f>VLOOKUP(D173,Average_Distance_by_kilometre_grouping_for_mode_type[#All],MATCH(A173,Average_Distance_by_kilometre_grouping_for_mode_type[#Headers],0),0)</f>
        <v>1</v>
      </c>
      <c r="I173" s="89">
        <f>VLOOKUP(D173,Average_Distance_by_kilometres_grouping_for_trip_purpose[#All],MATCH(A173,Average_Distance_by_kilometres_grouping_for_trip_purpose[#Headers],0),0)</f>
        <v>1</v>
      </c>
      <c r="J173" s="89">
        <f t="shared" si="11"/>
        <v>1</v>
      </c>
      <c r="K173" s="89">
        <f t="shared" si="12"/>
        <v>2.1081479919890376E-2</v>
      </c>
      <c r="L173" s="89">
        <v>1</v>
      </c>
      <c r="M173" s="13">
        <f t="shared" si="13"/>
        <v>1331801.5686165085</v>
      </c>
      <c r="N173" s="89">
        <f t="shared" si="14"/>
        <v>2.1822502883554354E-5</v>
      </c>
    </row>
    <row r="174" spans="1:14" x14ac:dyDescent="0.25">
      <c r="A174" s="79" t="s">
        <v>128</v>
      </c>
      <c r="B174" s="89" t="s">
        <v>8</v>
      </c>
      <c r="C174" s="89" t="s">
        <v>243</v>
      </c>
      <c r="D174" s="13" t="s">
        <v>181</v>
      </c>
      <c r="E174" s="35">
        <f>VLOOKUP(B174, Passenger_Kilometre_by_mode_type[#All],MATCH(A174, Passenger_Kilometre_by_mode_type[#Headers],0),0)</f>
        <v>2807733662.5477371</v>
      </c>
      <c r="F174" s="89">
        <f>VLOOKUP(C174, Reason_for_public_transport_journeys_by_percentage[#All],MATCH(A174, Reason_for_public_transport_journeys_by_percentage[#Headers],0),0)/100</f>
        <v>2.2499999999999999E-2</v>
      </c>
      <c r="G174" s="13">
        <f t="shared" si="10"/>
        <v>63174007.407324083</v>
      </c>
      <c r="H174" s="89">
        <f>VLOOKUP(D174,Average_Distance_by_kilometre_grouping_for_mode_type[#All],MATCH(A174,Average_Distance_by_kilometre_grouping_for_mode_type[#Headers],0),0)</f>
        <v>3</v>
      </c>
      <c r="I174" s="89">
        <f>VLOOKUP(D174,Average_Distance_by_kilometres_grouping_for_trip_purpose[#All],MATCH(A174,Average_Distance_by_kilometres_grouping_for_trip_purpose[#Headers],0),0)</f>
        <v>3</v>
      </c>
      <c r="J174" s="89">
        <f t="shared" si="11"/>
        <v>3</v>
      </c>
      <c r="K174" s="89">
        <f t="shared" si="12"/>
        <v>6.3244439759671131E-2</v>
      </c>
      <c r="L174" s="89">
        <v>1</v>
      </c>
      <c r="M174" s="13">
        <f t="shared" si="13"/>
        <v>3995404.705849526</v>
      </c>
      <c r="N174" s="89">
        <f t="shared" si="14"/>
        <v>6.5467508650663068E-5</v>
      </c>
    </row>
    <row r="175" spans="1:14" x14ac:dyDescent="0.25">
      <c r="A175" s="79" t="s">
        <v>128</v>
      </c>
      <c r="B175" s="89" t="s">
        <v>8</v>
      </c>
      <c r="C175" s="89" t="s">
        <v>243</v>
      </c>
      <c r="D175" s="13" t="s">
        <v>180</v>
      </c>
      <c r="E175" s="35">
        <f>VLOOKUP(B175, Passenger_Kilometre_by_mode_type[#All],MATCH(A175, Passenger_Kilometre_by_mode_type[#Headers],0),0)</f>
        <v>2807733662.5477371</v>
      </c>
      <c r="F175" s="89">
        <f>VLOOKUP(C175, Reason_for_public_transport_journeys_by_percentage[#All],MATCH(A175, Reason_for_public_transport_journeys_by_percentage[#Headers],0),0)/100</f>
        <v>2.2499999999999999E-2</v>
      </c>
      <c r="G175" s="13">
        <f t="shared" si="10"/>
        <v>63174007.407324083</v>
      </c>
      <c r="H175" s="89">
        <f>VLOOKUP(D175,Average_Distance_by_kilometre_grouping_for_mode_type[#All],MATCH(A175,Average_Distance_by_kilometre_grouping_for_mode_type[#Headers],0),0)</f>
        <v>5</v>
      </c>
      <c r="I175" s="89">
        <f>VLOOKUP(D175,Average_Distance_by_kilometres_grouping_for_trip_purpose[#All],MATCH(A175,Average_Distance_by_kilometres_grouping_for_trip_purpose[#Headers],0),0)</f>
        <v>5</v>
      </c>
      <c r="J175" s="89">
        <f t="shared" si="11"/>
        <v>5</v>
      </c>
      <c r="K175" s="89">
        <f t="shared" si="12"/>
        <v>0.10540739959945188</v>
      </c>
      <c r="L175" s="89">
        <v>1</v>
      </c>
      <c r="M175" s="13">
        <f t="shared" si="13"/>
        <v>6659007.8430825425</v>
      </c>
      <c r="N175" s="89">
        <f t="shared" si="14"/>
        <v>1.0911251441777178E-4</v>
      </c>
    </row>
    <row r="176" spans="1:14" x14ac:dyDescent="0.25">
      <c r="A176" s="79" t="s">
        <v>128</v>
      </c>
      <c r="B176" s="89" t="s">
        <v>8</v>
      </c>
      <c r="C176" s="89" t="s">
        <v>243</v>
      </c>
      <c r="D176" s="13" t="s">
        <v>182</v>
      </c>
      <c r="E176" s="35">
        <f>VLOOKUP(B176, Passenger_Kilometre_by_mode_type[#All],MATCH(A176, Passenger_Kilometre_by_mode_type[#Headers],0),0)</f>
        <v>2807733662.5477371</v>
      </c>
      <c r="F176" s="89">
        <f>VLOOKUP(C176, Reason_for_public_transport_journeys_by_percentage[#All],MATCH(A176, Reason_for_public_transport_journeys_by_percentage[#Headers],0),0)/100</f>
        <v>2.2499999999999999E-2</v>
      </c>
      <c r="G176" s="13">
        <f t="shared" si="10"/>
        <v>63174007.407324083</v>
      </c>
      <c r="H176" s="89">
        <f>VLOOKUP(D176,Average_Distance_by_kilometre_grouping_for_mode_type[#All],MATCH(A176,Average_Distance_by_kilometre_grouping_for_mode_type[#Headers],0),0)</f>
        <v>7</v>
      </c>
      <c r="I176" s="89">
        <f>VLOOKUP(D176,Average_Distance_by_kilometres_grouping_for_trip_purpose[#All],MATCH(A176,Average_Distance_by_kilometres_grouping_for_trip_purpose[#Headers],0),0)</f>
        <v>7</v>
      </c>
      <c r="J176" s="89">
        <f t="shared" si="11"/>
        <v>7</v>
      </c>
      <c r="K176" s="89">
        <f t="shared" si="12"/>
        <v>0.14757035943923263</v>
      </c>
      <c r="L176" s="89">
        <v>1</v>
      </c>
      <c r="M176" s="13">
        <f t="shared" si="13"/>
        <v>9322610.9803155605</v>
      </c>
      <c r="N176" s="89">
        <f t="shared" si="14"/>
        <v>1.527575201848805E-4</v>
      </c>
    </row>
    <row r="177" spans="1:14" x14ac:dyDescent="0.25">
      <c r="A177" s="79" t="s">
        <v>128</v>
      </c>
      <c r="B177" s="89" t="s">
        <v>8</v>
      </c>
      <c r="C177" s="89" t="s">
        <v>243</v>
      </c>
      <c r="D177" s="13" t="s">
        <v>1</v>
      </c>
      <c r="E177" s="35">
        <f>VLOOKUP(B177, Passenger_Kilometre_by_mode_type[#All],MATCH(A177, Passenger_Kilometre_by_mode_type[#Headers],0),0)</f>
        <v>2807733662.5477371</v>
      </c>
      <c r="F177" s="89">
        <f>VLOOKUP(C177, Reason_for_public_transport_journeys_by_percentage[#All],MATCH(A177, Reason_for_public_transport_journeys_by_percentage[#Headers],0),0)/100</f>
        <v>2.2499999999999999E-2</v>
      </c>
      <c r="G177" s="13">
        <f t="shared" si="10"/>
        <v>63174007.407324083</v>
      </c>
      <c r="H177" s="89">
        <f>VLOOKUP(D177,Average_Distance_by_kilometre_grouping_for_mode_type[#All],MATCH(A177,Average_Distance_by_kilometre_grouping_for_mode_type[#Headers],0),0)</f>
        <v>30.1</v>
      </c>
      <c r="I177" s="89">
        <f>VLOOKUP(D177,Average_Distance_by_kilometres_grouping_for_trip_purpose[#All],MATCH(A177,Average_Distance_by_kilometres_grouping_for_trip_purpose[#Headers],0),0)</f>
        <v>32.770000000000003</v>
      </c>
      <c r="J177" s="89">
        <f t="shared" si="11"/>
        <v>31.435000000000002</v>
      </c>
      <c r="K177" s="89">
        <f t="shared" si="12"/>
        <v>0.66269632128175404</v>
      </c>
      <c r="L177" s="89">
        <v>1</v>
      </c>
      <c r="M177" s="13">
        <f t="shared" si="13"/>
        <v>41865182.309459947</v>
      </c>
      <c r="N177" s="89">
        <f t="shared" si="14"/>
        <v>6.8599037814453113E-4</v>
      </c>
    </row>
    <row r="178" spans="1:14" x14ac:dyDescent="0.25">
      <c r="A178" s="79" t="s">
        <v>128</v>
      </c>
      <c r="B178" s="89" t="s">
        <v>8</v>
      </c>
      <c r="C178" s="89" t="s">
        <v>50</v>
      </c>
      <c r="D178" s="13" t="s">
        <v>12</v>
      </c>
      <c r="E178" s="35">
        <f>VLOOKUP(B178, Passenger_Kilometre_by_mode_type[#All],MATCH(A178, Passenger_Kilometre_by_mode_type[#Headers],0),0)</f>
        <v>2807733662.5477371</v>
      </c>
      <c r="F178" s="89">
        <f>VLOOKUP(C178, Reason_for_public_transport_journeys_by_percentage[#All],MATCH(A178, Reason_for_public_transport_journeys_by_percentage[#Headers],0),0)/100</f>
        <v>9.1250000000000012E-2</v>
      </c>
      <c r="G178" s="13">
        <f t="shared" si="10"/>
        <v>256205696.70748106</v>
      </c>
      <c r="H178" s="89">
        <f>VLOOKUP(D178,Average_Distance_by_kilometre_grouping_for_mode_type[#All],MATCH(A178,Average_Distance_by_kilometre_grouping_for_mode_type[#Headers],0),0)</f>
        <v>1</v>
      </c>
      <c r="I178" s="89">
        <f>VLOOKUP(D178,Average_Distance_by_kilometres_grouping_for_trip_purpose[#All],MATCH(A178,Average_Distance_by_kilometres_grouping_for_trip_purpose[#Headers],0),0)</f>
        <v>1</v>
      </c>
      <c r="J178" s="89">
        <f t="shared" si="11"/>
        <v>1</v>
      </c>
      <c r="K178" s="89">
        <f t="shared" si="12"/>
        <v>2.1081479919890376E-2</v>
      </c>
      <c r="L178" s="89">
        <v>1</v>
      </c>
      <c r="M178" s="13">
        <f t="shared" si="13"/>
        <v>5401195.250500286</v>
      </c>
      <c r="N178" s="89">
        <f t="shared" si="14"/>
        <v>8.850237280552602E-5</v>
      </c>
    </row>
    <row r="179" spans="1:14" x14ac:dyDescent="0.25">
      <c r="A179" s="79" t="s">
        <v>128</v>
      </c>
      <c r="B179" s="89" t="s">
        <v>8</v>
      </c>
      <c r="C179" s="89" t="s">
        <v>50</v>
      </c>
      <c r="D179" s="13" t="s">
        <v>181</v>
      </c>
      <c r="E179" s="35">
        <f>VLOOKUP(B179, Passenger_Kilometre_by_mode_type[#All],MATCH(A179, Passenger_Kilometre_by_mode_type[#Headers],0),0)</f>
        <v>2807733662.5477371</v>
      </c>
      <c r="F179" s="89">
        <f>VLOOKUP(C179, Reason_for_public_transport_journeys_by_percentage[#All],MATCH(A179, Reason_for_public_transport_journeys_by_percentage[#Headers],0),0)/100</f>
        <v>9.1250000000000012E-2</v>
      </c>
      <c r="G179" s="13">
        <f t="shared" si="10"/>
        <v>256205696.70748106</v>
      </c>
      <c r="H179" s="89">
        <f>VLOOKUP(D179,Average_Distance_by_kilometre_grouping_for_mode_type[#All],MATCH(A179,Average_Distance_by_kilometre_grouping_for_mode_type[#Headers],0),0)</f>
        <v>3</v>
      </c>
      <c r="I179" s="89">
        <f>VLOOKUP(D179,Average_Distance_by_kilometres_grouping_for_trip_purpose[#All],MATCH(A179,Average_Distance_by_kilometres_grouping_for_trip_purpose[#Headers],0),0)</f>
        <v>3</v>
      </c>
      <c r="J179" s="89">
        <f t="shared" si="11"/>
        <v>3</v>
      </c>
      <c r="K179" s="89">
        <f t="shared" si="12"/>
        <v>6.3244439759671131E-2</v>
      </c>
      <c r="L179" s="89">
        <v>1</v>
      </c>
      <c r="M179" s="13">
        <f t="shared" si="13"/>
        <v>16203585.751500858</v>
      </c>
      <c r="N179" s="89">
        <f t="shared" si="14"/>
        <v>2.6550711841657803E-4</v>
      </c>
    </row>
    <row r="180" spans="1:14" x14ac:dyDescent="0.25">
      <c r="A180" s="79" t="s">
        <v>128</v>
      </c>
      <c r="B180" s="89" t="s">
        <v>8</v>
      </c>
      <c r="C180" s="89" t="s">
        <v>50</v>
      </c>
      <c r="D180" s="13" t="s">
        <v>180</v>
      </c>
      <c r="E180" s="35">
        <f>VLOOKUP(B180, Passenger_Kilometre_by_mode_type[#All],MATCH(A180, Passenger_Kilometre_by_mode_type[#Headers],0),0)</f>
        <v>2807733662.5477371</v>
      </c>
      <c r="F180" s="89">
        <f>VLOOKUP(C180, Reason_for_public_transport_journeys_by_percentage[#All],MATCH(A180, Reason_for_public_transport_journeys_by_percentage[#Headers],0),0)/100</f>
        <v>9.1250000000000012E-2</v>
      </c>
      <c r="G180" s="13">
        <f t="shared" si="10"/>
        <v>256205696.70748106</v>
      </c>
      <c r="H180" s="89">
        <f>VLOOKUP(D180,Average_Distance_by_kilometre_grouping_for_mode_type[#All],MATCH(A180,Average_Distance_by_kilometre_grouping_for_mode_type[#Headers],0),0)</f>
        <v>5</v>
      </c>
      <c r="I180" s="89">
        <f>VLOOKUP(D180,Average_Distance_by_kilometres_grouping_for_trip_purpose[#All],MATCH(A180,Average_Distance_by_kilometres_grouping_for_trip_purpose[#Headers],0),0)</f>
        <v>5</v>
      </c>
      <c r="J180" s="89">
        <f t="shared" si="11"/>
        <v>5</v>
      </c>
      <c r="K180" s="89">
        <f t="shared" si="12"/>
        <v>0.10540739959945188</v>
      </c>
      <c r="L180" s="89">
        <v>1</v>
      </c>
      <c r="M180" s="13">
        <f t="shared" si="13"/>
        <v>27005976.252501428</v>
      </c>
      <c r="N180" s="89">
        <f t="shared" si="14"/>
        <v>4.4251186402763007E-4</v>
      </c>
    </row>
    <row r="181" spans="1:14" x14ac:dyDescent="0.25">
      <c r="A181" s="79" t="s">
        <v>128</v>
      </c>
      <c r="B181" s="89" t="s">
        <v>8</v>
      </c>
      <c r="C181" s="89" t="s">
        <v>50</v>
      </c>
      <c r="D181" s="13" t="s">
        <v>182</v>
      </c>
      <c r="E181" s="35">
        <f>VLOOKUP(B181, Passenger_Kilometre_by_mode_type[#All],MATCH(A181, Passenger_Kilometre_by_mode_type[#Headers],0),0)</f>
        <v>2807733662.5477371</v>
      </c>
      <c r="F181" s="89">
        <f>VLOOKUP(C181, Reason_for_public_transport_journeys_by_percentage[#All],MATCH(A181, Reason_for_public_transport_journeys_by_percentage[#Headers],0),0)/100</f>
        <v>9.1250000000000012E-2</v>
      </c>
      <c r="G181" s="13">
        <f t="shared" si="10"/>
        <v>256205696.70748106</v>
      </c>
      <c r="H181" s="89">
        <f>VLOOKUP(D181,Average_Distance_by_kilometre_grouping_for_mode_type[#All],MATCH(A181,Average_Distance_by_kilometre_grouping_for_mode_type[#Headers],0),0)</f>
        <v>7</v>
      </c>
      <c r="I181" s="89">
        <f>VLOOKUP(D181,Average_Distance_by_kilometres_grouping_for_trip_purpose[#All],MATCH(A181,Average_Distance_by_kilometres_grouping_for_trip_purpose[#Headers],0),0)</f>
        <v>7</v>
      </c>
      <c r="J181" s="89">
        <f t="shared" si="11"/>
        <v>7</v>
      </c>
      <c r="K181" s="89">
        <f t="shared" si="12"/>
        <v>0.14757035943923263</v>
      </c>
      <c r="L181" s="89">
        <v>1</v>
      </c>
      <c r="M181" s="13">
        <f t="shared" si="13"/>
        <v>37808366.753502004</v>
      </c>
      <c r="N181" s="89">
        <f t="shared" si="14"/>
        <v>6.1951660963868217E-4</v>
      </c>
    </row>
    <row r="182" spans="1:14" x14ac:dyDescent="0.25">
      <c r="A182" s="79" t="s">
        <v>128</v>
      </c>
      <c r="B182" s="89" t="s">
        <v>8</v>
      </c>
      <c r="C182" s="89" t="s">
        <v>50</v>
      </c>
      <c r="D182" s="13" t="s">
        <v>1</v>
      </c>
      <c r="E182" s="35">
        <f>VLOOKUP(B182, Passenger_Kilometre_by_mode_type[#All],MATCH(A182, Passenger_Kilometre_by_mode_type[#Headers],0),0)</f>
        <v>2807733662.5477371</v>
      </c>
      <c r="F182" s="89">
        <f>VLOOKUP(C182, Reason_for_public_transport_journeys_by_percentage[#All],MATCH(A182, Reason_for_public_transport_journeys_by_percentage[#Headers],0),0)/100</f>
        <v>9.1250000000000012E-2</v>
      </c>
      <c r="G182" s="13">
        <f t="shared" si="10"/>
        <v>256205696.70748106</v>
      </c>
      <c r="H182" s="89">
        <f>VLOOKUP(D182,Average_Distance_by_kilometre_grouping_for_mode_type[#All],MATCH(A182,Average_Distance_by_kilometre_grouping_for_mode_type[#Headers],0),0)</f>
        <v>30.1</v>
      </c>
      <c r="I182" s="89">
        <f>VLOOKUP(D182,Average_Distance_by_kilometres_grouping_for_trip_purpose[#All],MATCH(A182,Average_Distance_by_kilometres_grouping_for_trip_purpose[#Headers],0),0)</f>
        <v>32.770000000000003</v>
      </c>
      <c r="J182" s="89">
        <f t="shared" si="11"/>
        <v>31.435000000000002</v>
      </c>
      <c r="K182" s="89">
        <f t="shared" si="12"/>
        <v>0.66269632128175404</v>
      </c>
      <c r="L182" s="89">
        <v>1</v>
      </c>
      <c r="M182" s="13">
        <f t="shared" si="13"/>
        <v>169786572.69947651</v>
      </c>
      <c r="N182" s="89">
        <f t="shared" si="14"/>
        <v>2.782072089141711E-3</v>
      </c>
    </row>
    <row r="183" spans="1:14" x14ac:dyDescent="0.25">
      <c r="A183" s="79" t="s">
        <v>128</v>
      </c>
      <c r="B183" s="89" t="s">
        <v>9</v>
      </c>
      <c r="C183" s="89" t="s">
        <v>42</v>
      </c>
      <c r="D183" s="13" t="s">
        <v>12</v>
      </c>
      <c r="E183" s="35">
        <f>VLOOKUP(B183, Passenger_Kilometre_by_mode_type[#All],MATCH(A183, Passenger_Kilometre_by_mode_type[#Headers],0),0)</f>
        <v>223983167.86609241</v>
      </c>
      <c r="F183" s="89">
        <f>VLOOKUP(C183, Reason_for_walking_cycling_journeys_by_percentage[#All],MATCH(A183, Reason_for_walking_cycling_journeys_by_percentage[#Headers],0),0)/100</f>
        <v>0.17649999999999999</v>
      </c>
      <c r="G183" s="13">
        <f t="shared" si="10"/>
        <v>39533029.128365308</v>
      </c>
      <c r="H183" s="89">
        <f>VLOOKUP(D183,Average_Distance_by_kilometre_grouping_for_mode_type[#All],MATCH(A183,Average_Distance_by_kilometre_grouping_for_mode_type[#Headers],0),0)</f>
        <v>1</v>
      </c>
      <c r="I183" s="89">
        <f>VLOOKUP(D183,Average_Distance_by_kilometres_grouping_for_trip_purpose[#All],MATCH(A183,Average_Distance_by_kilometres_grouping_for_trip_purpose[#Headers],0),0)</f>
        <v>1</v>
      </c>
      <c r="J183" s="89">
        <f t="shared" si="11"/>
        <v>1</v>
      </c>
      <c r="K183" s="89">
        <f t="shared" si="12"/>
        <v>2.1081479919890376E-2</v>
      </c>
      <c r="L183" s="89">
        <v>1</v>
      </c>
      <c r="M183" s="13">
        <f t="shared" si="13"/>
        <v>833414.75974207453</v>
      </c>
      <c r="N183" s="89">
        <f t="shared" si="14"/>
        <v>1.3656085430625569E-5</v>
      </c>
    </row>
    <row r="184" spans="1:14" x14ac:dyDescent="0.25">
      <c r="A184" s="79" t="s">
        <v>128</v>
      </c>
      <c r="B184" s="89" t="s">
        <v>9</v>
      </c>
      <c r="C184" s="89" t="s">
        <v>42</v>
      </c>
      <c r="D184" s="13" t="s">
        <v>181</v>
      </c>
      <c r="E184" s="35">
        <f>VLOOKUP(B184, Passenger_Kilometre_by_mode_type[#All],MATCH(A184, Passenger_Kilometre_by_mode_type[#Headers],0),0)</f>
        <v>223983167.86609241</v>
      </c>
      <c r="F184" s="89">
        <f>VLOOKUP(C184, Reason_for_walking_cycling_journeys_by_percentage[#All],MATCH(A184, Reason_for_walking_cycling_journeys_by_percentage[#Headers],0),0)/100</f>
        <v>0.17649999999999999</v>
      </c>
      <c r="G184" s="13">
        <f t="shared" si="10"/>
        <v>39533029.128365308</v>
      </c>
      <c r="H184" s="89">
        <f>VLOOKUP(D184,Average_Distance_by_kilometre_grouping_for_mode_type[#All],MATCH(A184,Average_Distance_by_kilometre_grouping_for_mode_type[#Headers],0),0)</f>
        <v>3</v>
      </c>
      <c r="I184" s="89">
        <f>VLOOKUP(D184,Average_Distance_by_kilometres_grouping_for_trip_purpose[#All],MATCH(A184,Average_Distance_by_kilometres_grouping_for_trip_purpose[#Headers],0),0)</f>
        <v>3</v>
      </c>
      <c r="J184" s="89">
        <f t="shared" si="11"/>
        <v>3</v>
      </c>
      <c r="K184" s="89">
        <f t="shared" si="12"/>
        <v>6.3244439759671131E-2</v>
      </c>
      <c r="L184" s="89">
        <v>1</v>
      </c>
      <c r="M184" s="13">
        <f t="shared" si="13"/>
        <v>2500244.2792262239</v>
      </c>
      <c r="N184" s="89">
        <f t="shared" si="14"/>
        <v>4.0968256291876717E-5</v>
      </c>
    </row>
    <row r="185" spans="1:14" x14ac:dyDescent="0.25">
      <c r="A185" s="79" t="s">
        <v>128</v>
      </c>
      <c r="B185" s="89" t="s">
        <v>9</v>
      </c>
      <c r="C185" s="89" t="s">
        <v>42</v>
      </c>
      <c r="D185" s="13" t="s">
        <v>180</v>
      </c>
      <c r="E185" s="35">
        <f>VLOOKUP(B185, Passenger_Kilometre_by_mode_type[#All],MATCH(A185, Passenger_Kilometre_by_mode_type[#Headers],0),0)</f>
        <v>223983167.86609241</v>
      </c>
      <c r="F185" s="89">
        <f>VLOOKUP(C185, Reason_for_walking_cycling_journeys_by_percentage[#All],MATCH(A185, Reason_for_walking_cycling_journeys_by_percentage[#Headers],0),0)/100</f>
        <v>0.17649999999999999</v>
      </c>
      <c r="G185" s="13">
        <f t="shared" si="10"/>
        <v>39533029.128365308</v>
      </c>
      <c r="H185" s="89">
        <f>VLOOKUP(D185,Average_Distance_by_kilometre_grouping_for_mode_type[#All],MATCH(A185,Average_Distance_by_kilometre_grouping_for_mode_type[#Headers],0),0)</f>
        <v>5</v>
      </c>
      <c r="I185" s="89">
        <f>VLOOKUP(D185,Average_Distance_by_kilometres_grouping_for_trip_purpose[#All],MATCH(A185,Average_Distance_by_kilometres_grouping_for_trip_purpose[#Headers],0),0)</f>
        <v>5</v>
      </c>
      <c r="J185" s="89">
        <f t="shared" si="11"/>
        <v>5</v>
      </c>
      <c r="K185" s="89">
        <f t="shared" si="12"/>
        <v>0.10540739959945188</v>
      </c>
      <c r="L185" s="89">
        <v>1</v>
      </c>
      <c r="M185" s="13">
        <f t="shared" si="13"/>
        <v>4167073.7987103728</v>
      </c>
      <c r="N185" s="89">
        <f t="shared" si="14"/>
        <v>6.8280427153127854E-5</v>
      </c>
    </row>
    <row r="186" spans="1:14" x14ac:dyDescent="0.25">
      <c r="A186" s="79" t="s">
        <v>128</v>
      </c>
      <c r="B186" s="89" t="s">
        <v>9</v>
      </c>
      <c r="C186" s="89" t="s">
        <v>42</v>
      </c>
      <c r="D186" s="13" t="s">
        <v>182</v>
      </c>
      <c r="E186" s="35">
        <f>VLOOKUP(B186, Passenger_Kilometre_by_mode_type[#All],MATCH(A186, Passenger_Kilometre_by_mode_type[#Headers],0),0)</f>
        <v>223983167.86609241</v>
      </c>
      <c r="F186" s="89">
        <f>VLOOKUP(C186, Reason_for_walking_cycling_journeys_by_percentage[#All],MATCH(A186, Reason_for_walking_cycling_journeys_by_percentage[#Headers],0),0)/100</f>
        <v>0.17649999999999999</v>
      </c>
      <c r="G186" s="13">
        <f t="shared" si="10"/>
        <v>39533029.128365308</v>
      </c>
      <c r="H186" s="89">
        <f>VLOOKUP(D186,Average_Distance_by_kilometre_grouping_for_mode_type[#All],MATCH(A186,Average_Distance_by_kilometre_grouping_for_mode_type[#Headers],0),0)</f>
        <v>7</v>
      </c>
      <c r="I186" s="89">
        <f>VLOOKUP(D186,Average_Distance_by_kilometres_grouping_for_trip_purpose[#All],MATCH(A186,Average_Distance_by_kilometres_grouping_for_trip_purpose[#Headers],0),0)</f>
        <v>7</v>
      </c>
      <c r="J186" s="89">
        <f t="shared" si="11"/>
        <v>7</v>
      </c>
      <c r="K186" s="89">
        <f t="shared" si="12"/>
        <v>0.14757035943923263</v>
      </c>
      <c r="L186" s="89">
        <v>1</v>
      </c>
      <c r="M186" s="13">
        <f t="shared" si="13"/>
        <v>5833903.3181945225</v>
      </c>
      <c r="N186" s="89">
        <f t="shared" si="14"/>
        <v>9.5592598014378999E-5</v>
      </c>
    </row>
    <row r="187" spans="1:14" x14ac:dyDescent="0.25">
      <c r="A187" s="79" t="s">
        <v>128</v>
      </c>
      <c r="B187" s="89" t="s">
        <v>9</v>
      </c>
      <c r="C187" s="89" t="s">
        <v>42</v>
      </c>
      <c r="D187" s="13" t="s">
        <v>1</v>
      </c>
      <c r="E187" s="35">
        <f>VLOOKUP(B187, Passenger_Kilometre_by_mode_type[#All],MATCH(A187, Passenger_Kilometre_by_mode_type[#Headers],0),0)</f>
        <v>223983167.86609241</v>
      </c>
      <c r="F187" s="89">
        <f>VLOOKUP(C187, Reason_for_walking_cycling_journeys_by_percentage[#All],MATCH(A187, Reason_for_walking_cycling_journeys_by_percentage[#Headers],0),0)/100</f>
        <v>0.17649999999999999</v>
      </c>
      <c r="G187" s="13">
        <f t="shared" si="10"/>
        <v>39533029.128365308</v>
      </c>
      <c r="H187" s="89">
        <f>VLOOKUP(D187,Average_Distance_by_kilometre_grouping_for_mode_type[#All],MATCH(A187,Average_Distance_by_kilometre_grouping_for_mode_type[#Headers],0),0)</f>
        <v>30.1</v>
      </c>
      <c r="I187" s="89">
        <f>VLOOKUP(D187,Average_Distance_by_kilometres_grouping_for_trip_purpose[#All],MATCH(A187,Average_Distance_by_kilometres_grouping_for_trip_purpose[#Headers],0),0)</f>
        <v>32.770000000000003</v>
      </c>
      <c r="J187" s="89">
        <f t="shared" si="11"/>
        <v>31.435000000000002</v>
      </c>
      <c r="K187" s="89">
        <f t="shared" si="12"/>
        <v>0.66269632128175404</v>
      </c>
      <c r="L187" s="89">
        <v>1</v>
      </c>
      <c r="M187" s="13">
        <f t="shared" si="13"/>
        <v>26198392.972492117</v>
      </c>
      <c r="N187" s="89">
        <f t="shared" si="14"/>
        <v>4.2927904551171486E-4</v>
      </c>
    </row>
    <row r="188" spans="1:14" x14ac:dyDescent="0.25">
      <c r="A188" s="79" t="s">
        <v>128</v>
      </c>
      <c r="B188" s="89" t="s">
        <v>9</v>
      </c>
      <c r="C188" s="89" t="s">
        <v>43</v>
      </c>
      <c r="D188" s="13" t="s">
        <v>12</v>
      </c>
      <c r="E188" s="35">
        <f>VLOOKUP(B188, Passenger_Kilometre_by_mode_type[#All],MATCH(A188, Passenger_Kilometre_by_mode_type[#Headers],0),0)</f>
        <v>223983167.86609241</v>
      </c>
      <c r="F188" s="89">
        <f>VLOOKUP(C188, Reason_for_walking_cycling_journeys_by_percentage[#All],MATCH(A188, Reason_for_walking_cycling_journeys_by_percentage[#Headers],0),0)/100</f>
        <v>8.5249999999999992E-2</v>
      </c>
      <c r="G188" s="13">
        <f t="shared" si="10"/>
        <v>19094565.060584377</v>
      </c>
      <c r="H188" s="89">
        <f>VLOOKUP(D188,Average_Distance_by_kilometre_grouping_for_mode_type[#All],MATCH(A188,Average_Distance_by_kilometre_grouping_for_mode_type[#Headers],0),0)</f>
        <v>1</v>
      </c>
      <c r="I188" s="89">
        <f>VLOOKUP(D188,Average_Distance_by_kilometres_grouping_for_trip_purpose[#All],MATCH(A188,Average_Distance_by_kilometres_grouping_for_trip_purpose[#Headers],0),0)</f>
        <v>1</v>
      </c>
      <c r="J188" s="89">
        <f t="shared" si="11"/>
        <v>1</v>
      </c>
      <c r="K188" s="89">
        <f t="shared" si="12"/>
        <v>2.1081479919890376E-2</v>
      </c>
      <c r="L188" s="89">
        <v>1</v>
      </c>
      <c r="M188" s="13">
        <f t="shared" si="13"/>
        <v>402541.68990374991</v>
      </c>
      <c r="N188" s="89">
        <f t="shared" si="14"/>
        <v>6.5959279487865717E-6</v>
      </c>
    </row>
    <row r="189" spans="1:14" x14ac:dyDescent="0.25">
      <c r="A189" s="79" t="s">
        <v>128</v>
      </c>
      <c r="B189" s="89" t="s">
        <v>9</v>
      </c>
      <c r="C189" s="89" t="s">
        <v>43</v>
      </c>
      <c r="D189" s="13" t="s">
        <v>181</v>
      </c>
      <c r="E189" s="35">
        <f>VLOOKUP(B189, Passenger_Kilometre_by_mode_type[#All],MATCH(A189, Passenger_Kilometre_by_mode_type[#Headers],0),0)</f>
        <v>223983167.86609241</v>
      </c>
      <c r="F189" s="89">
        <f>VLOOKUP(C189, Reason_for_walking_cycling_journeys_by_percentage[#All],MATCH(A189, Reason_for_walking_cycling_journeys_by_percentage[#Headers],0),0)/100</f>
        <v>8.5249999999999992E-2</v>
      </c>
      <c r="G189" s="13">
        <f t="shared" si="10"/>
        <v>19094565.060584377</v>
      </c>
      <c r="H189" s="89">
        <f>VLOOKUP(D189,Average_Distance_by_kilometre_grouping_for_mode_type[#All],MATCH(A189,Average_Distance_by_kilometre_grouping_for_mode_type[#Headers],0),0)</f>
        <v>3</v>
      </c>
      <c r="I189" s="89">
        <f>VLOOKUP(D189,Average_Distance_by_kilometres_grouping_for_trip_purpose[#All],MATCH(A189,Average_Distance_by_kilometres_grouping_for_trip_purpose[#Headers],0),0)</f>
        <v>3</v>
      </c>
      <c r="J189" s="89">
        <f t="shared" si="11"/>
        <v>3</v>
      </c>
      <c r="K189" s="89">
        <f t="shared" si="12"/>
        <v>6.3244439759671131E-2</v>
      </c>
      <c r="L189" s="89">
        <v>1</v>
      </c>
      <c r="M189" s="13">
        <f t="shared" si="13"/>
        <v>1207625.0697112498</v>
      </c>
      <c r="N189" s="89">
        <f t="shared" si="14"/>
        <v>1.9787783846359716E-5</v>
      </c>
    </row>
    <row r="190" spans="1:14" x14ac:dyDescent="0.25">
      <c r="A190" s="79" t="s">
        <v>128</v>
      </c>
      <c r="B190" s="89" t="s">
        <v>9</v>
      </c>
      <c r="C190" s="89" t="s">
        <v>43</v>
      </c>
      <c r="D190" s="13" t="s">
        <v>180</v>
      </c>
      <c r="E190" s="35">
        <f>VLOOKUP(B190, Passenger_Kilometre_by_mode_type[#All],MATCH(A190, Passenger_Kilometre_by_mode_type[#Headers],0),0)</f>
        <v>223983167.86609241</v>
      </c>
      <c r="F190" s="89">
        <f>VLOOKUP(C190, Reason_for_walking_cycling_journeys_by_percentage[#All],MATCH(A190, Reason_for_walking_cycling_journeys_by_percentage[#Headers],0),0)/100</f>
        <v>8.5249999999999992E-2</v>
      </c>
      <c r="G190" s="13">
        <f t="shared" si="10"/>
        <v>19094565.060584377</v>
      </c>
      <c r="H190" s="89">
        <f>VLOOKUP(D190,Average_Distance_by_kilometre_grouping_for_mode_type[#All],MATCH(A190,Average_Distance_by_kilometre_grouping_for_mode_type[#Headers],0),0)</f>
        <v>5</v>
      </c>
      <c r="I190" s="89">
        <f>VLOOKUP(D190,Average_Distance_by_kilometres_grouping_for_trip_purpose[#All],MATCH(A190,Average_Distance_by_kilometres_grouping_for_trip_purpose[#Headers],0),0)</f>
        <v>5</v>
      </c>
      <c r="J190" s="89">
        <f t="shared" si="11"/>
        <v>5</v>
      </c>
      <c r="K190" s="89">
        <f t="shared" si="12"/>
        <v>0.10540739959945188</v>
      </c>
      <c r="L190" s="89">
        <v>1</v>
      </c>
      <c r="M190" s="13">
        <f t="shared" si="13"/>
        <v>2012708.4495187495</v>
      </c>
      <c r="N190" s="89">
        <f t="shared" si="14"/>
        <v>3.2979639743932854E-5</v>
      </c>
    </row>
    <row r="191" spans="1:14" x14ac:dyDescent="0.25">
      <c r="A191" s="79" t="s">
        <v>128</v>
      </c>
      <c r="B191" s="89" t="s">
        <v>9</v>
      </c>
      <c r="C191" s="89" t="s">
        <v>43</v>
      </c>
      <c r="D191" s="13" t="s">
        <v>182</v>
      </c>
      <c r="E191" s="35">
        <f>VLOOKUP(B191, Passenger_Kilometre_by_mode_type[#All],MATCH(A191, Passenger_Kilometre_by_mode_type[#Headers],0),0)</f>
        <v>223983167.86609241</v>
      </c>
      <c r="F191" s="89">
        <f>VLOOKUP(C191, Reason_for_walking_cycling_journeys_by_percentage[#All],MATCH(A191, Reason_for_walking_cycling_journeys_by_percentage[#Headers],0),0)/100</f>
        <v>8.5249999999999992E-2</v>
      </c>
      <c r="G191" s="13">
        <f t="shared" si="10"/>
        <v>19094565.060584377</v>
      </c>
      <c r="H191" s="89">
        <f>VLOOKUP(D191,Average_Distance_by_kilometre_grouping_for_mode_type[#All],MATCH(A191,Average_Distance_by_kilometre_grouping_for_mode_type[#Headers],0),0)</f>
        <v>7</v>
      </c>
      <c r="I191" s="89">
        <f>VLOOKUP(D191,Average_Distance_by_kilometres_grouping_for_trip_purpose[#All],MATCH(A191,Average_Distance_by_kilometres_grouping_for_trip_purpose[#Headers],0),0)</f>
        <v>7</v>
      </c>
      <c r="J191" s="89">
        <f t="shared" si="11"/>
        <v>7</v>
      </c>
      <c r="K191" s="89">
        <f t="shared" si="12"/>
        <v>0.14757035943923263</v>
      </c>
      <c r="L191" s="89">
        <v>1</v>
      </c>
      <c r="M191" s="13">
        <f t="shared" si="13"/>
        <v>2817791.8293262497</v>
      </c>
      <c r="N191" s="89">
        <f t="shared" si="14"/>
        <v>4.6171495641506003E-5</v>
      </c>
    </row>
    <row r="192" spans="1:14" x14ac:dyDescent="0.25">
      <c r="A192" s="79" t="s">
        <v>128</v>
      </c>
      <c r="B192" s="89" t="s">
        <v>9</v>
      </c>
      <c r="C192" s="89" t="s">
        <v>43</v>
      </c>
      <c r="D192" s="13" t="s">
        <v>1</v>
      </c>
      <c r="E192" s="35">
        <f>VLOOKUP(B192, Passenger_Kilometre_by_mode_type[#All],MATCH(A192, Passenger_Kilometre_by_mode_type[#Headers],0),0)</f>
        <v>223983167.86609241</v>
      </c>
      <c r="F192" s="89">
        <f>VLOOKUP(C192, Reason_for_walking_cycling_journeys_by_percentage[#All],MATCH(A192, Reason_for_walking_cycling_journeys_by_percentage[#Headers],0),0)/100</f>
        <v>8.5249999999999992E-2</v>
      </c>
      <c r="G192" s="13">
        <f t="shared" si="10"/>
        <v>19094565.060584377</v>
      </c>
      <c r="H192" s="89">
        <f>VLOOKUP(D192,Average_Distance_by_kilometre_grouping_for_mode_type[#All],MATCH(A192,Average_Distance_by_kilometre_grouping_for_mode_type[#Headers],0),0)</f>
        <v>30.1</v>
      </c>
      <c r="I192" s="89">
        <f>VLOOKUP(D192,Average_Distance_by_kilometres_grouping_for_trip_purpose[#All],MATCH(A192,Average_Distance_by_kilometres_grouping_for_trip_purpose[#Headers],0),0)</f>
        <v>32.770000000000003</v>
      </c>
      <c r="J192" s="89">
        <f t="shared" si="11"/>
        <v>31.435000000000002</v>
      </c>
      <c r="K192" s="89">
        <f t="shared" si="12"/>
        <v>0.66269632128175404</v>
      </c>
      <c r="L192" s="89">
        <v>1</v>
      </c>
      <c r="M192" s="13">
        <f t="shared" si="13"/>
        <v>12653898.02212438</v>
      </c>
      <c r="N192" s="89">
        <f t="shared" si="14"/>
        <v>2.0734299507010591E-4</v>
      </c>
    </row>
    <row r="193" spans="1:14" x14ac:dyDescent="0.25">
      <c r="A193" s="79" t="s">
        <v>128</v>
      </c>
      <c r="B193" s="89" t="s">
        <v>9</v>
      </c>
      <c r="C193" s="89" t="s">
        <v>44</v>
      </c>
      <c r="D193" s="13" t="s">
        <v>12</v>
      </c>
      <c r="E193" s="35">
        <f>VLOOKUP(B193, Passenger_Kilometre_by_mode_type[#All],MATCH(A193, Passenger_Kilometre_by_mode_type[#Headers],0),0)</f>
        <v>223983167.86609241</v>
      </c>
      <c r="F193" s="89">
        <f>VLOOKUP(C193, Reason_for_walking_cycling_journeys_by_percentage[#All],MATCH(A193, Reason_for_walking_cycling_journeys_by_percentage[#Headers],0),0)/100</f>
        <v>0.23774999999999999</v>
      </c>
      <c r="G193" s="13">
        <f t="shared" si="10"/>
        <v>53251998.16016347</v>
      </c>
      <c r="H193" s="89">
        <f>VLOOKUP(D193,Average_Distance_by_kilometre_grouping_for_mode_type[#All],MATCH(A193,Average_Distance_by_kilometre_grouping_for_mode_type[#Headers],0),0)</f>
        <v>1</v>
      </c>
      <c r="I193" s="89">
        <f>VLOOKUP(D193,Average_Distance_by_kilometres_grouping_for_trip_purpose[#All],MATCH(A193,Average_Distance_by_kilometres_grouping_for_trip_purpose[#Headers],0),0)</f>
        <v>1</v>
      </c>
      <c r="J193" s="89">
        <f t="shared" si="11"/>
        <v>1</v>
      </c>
      <c r="K193" s="89">
        <f t="shared" si="12"/>
        <v>2.1081479919890376E-2</v>
      </c>
      <c r="L193" s="89">
        <v>1</v>
      </c>
      <c r="M193" s="13">
        <f t="shared" si="13"/>
        <v>1122630.9299075254</v>
      </c>
      <c r="N193" s="89">
        <f t="shared" si="14"/>
        <v>1.8395095247202431E-5</v>
      </c>
    </row>
    <row r="194" spans="1:14" x14ac:dyDescent="0.25">
      <c r="A194" s="79" t="s">
        <v>128</v>
      </c>
      <c r="B194" s="89" t="s">
        <v>9</v>
      </c>
      <c r="C194" s="89" t="s">
        <v>44</v>
      </c>
      <c r="D194" s="13" t="s">
        <v>181</v>
      </c>
      <c r="E194" s="35">
        <f>VLOOKUP(B194, Passenger_Kilometre_by_mode_type[#All],MATCH(A194, Passenger_Kilometre_by_mode_type[#Headers],0),0)</f>
        <v>223983167.86609241</v>
      </c>
      <c r="F194" s="89">
        <f>VLOOKUP(C194, Reason_for_walking_cycling_journeys_by_percentage[#All],MATCH(A194, Reason_for_walking_cycling_journeys_by_percentage[#Headers],0),0)/100</f>
        <v>0.23774999999999999</v>
      </c>
      <c r="G194" s="13">
        <f t="shared" si="10"/>
        <v>53251998.16016347</v>
      </c>
      <c r="H194" s="89">
        <f>VLOOKUP(D194,Average_Distance_by_kilometre_grouping_for_mode_type[#All],MATCH(A194,Average_Distance_by_kilometre_grouping_for_mode_type[#Headers],0),0)</f>
        <v>3</v>
      </c>
      <c r="I194" s="89">
        <f>VLOOKUP(D194,Average_Distance_by_kilometres_grouping_for_trip_purpose[#All],MATCH(A194,Average_Distance_by_kilometres_grouping_for_trip_purpose[#Headers],0),0)</f>
        <v>3</v>
      </c>
      <c r="J194" s="89">
        <f t="shared" si="11"/>
        <v>3</v>
      </c>
      <c r="K194" s="89">
        <f t="shared" si="12"/>
        <v>6.3244439759671131E-2</v>
      </c>
      <c r="L194" s="89">
        <v>1</v>
      </c>
      <c r="M194" s="13">
        <f t="shared" si="13"/>
        <v>3367892.7897225763</v>
      </c>
      <c r="N194" s="89">
        <f t="shared" si="14"/>
        <v>5.5185285741607297E-5</v>
      </c>
    </row>
    <row r="195" spans="1:14" x14ac:dyDescent="0.25">
      <c r="A195" s="79" t="s">
        <v>128</v>
      </c>
      <c r="B195" s="89" t="s">
        <v>9</v>
      </c>
      <c r="C195" s="89" t="s">
        <v>44</v>
      </c>
      <c r="D195" s="13" t="s">
        <v>180</v>
      </c>
      <c r="E195" s="35">
        <f>VLOOKUP(B195, Passenger_Kilometre_by_mode_type[#All],MATCH(A195, Passenger_Kilometre_by_mode_type[#Headers],0),0)</f>
        <v>223983167.86609241</v>
      </c>
      <c r="F195" s="89">
        <f>VLOOKUP(C195, Reason_for_walking_cycling_journeys_by_percentage[#All],MATCH(A195, Reason_for_walking_cycling_journeys_by_percentage[#Headers],0),0)/100</f>
        <v>0.23774999999999999</v>
      </c>
      <c r="G195" s="13">
        <f t="shared" si="10"/>
        <v>53251998.16016347</v>
      </c>
      <c r="H195" s="89">
        <f>VLOOKUP(D195,Average_Distance_by_kilometre_grouping_for_mode_type[#All],MATCH(A195,Average_Distance_by_kilometre_grouping_for_mode_type[#Headers],0),0)</f>
        <v>5</v>
      </c>
      <c r="I195" s="89">
        <f>VLOOKUP(D195,Average_Distance_by_kilometres_grouping_for_trip_purpose[#All],MATCH(A195,Average_Distance_by_kilometres_grouping_for_trip_purpose[#Headers],0),0)</f>
        <v>5</v>
      </c>
      <c r="J195" s="89">
        <f t="shared" si="11"/>
        <v>5</v>
      </c>
      <c r="K195" s="89">
        <f t="shared" si="12"/>
        <v>0.10540739959945188</v>
      </c>
      <c r="L195" s="89">
        <v>1</v>
      </c>
      <c r="M195" s="13">
        <f t="shared" si="13"/>
        <v>5613154.6495376267</v>
      </c>
      <c r="N195" s="89">
        <f t="shared" si="14"/>
        <v>9.1975476236012159E-5</v>
      </c>
    </row>
    <row r="196" spans="1:14" x14ac:dyDescent="0.25">
      <c r="A196" s="79" t="s">
        <v>128</v>
      </c>
      <c r="B196" s="89" t="s">
        <v>9</v>
      </c>
      <c r="C196" s="89" t="s">
        <v>44</v>
      </c>
      <c r="D196" s="13" t="s">
        <v>182</v>
      </c>
      <c r="E196" s="35">
        <f>VLOOKUP(B196, Passenger_Kilometre_by_mode_type[#All],MATCH(A196, Passenger_Kilometre_by_mode_type[#Headers],0),0)</f>
        <v>223983167.86609241</v>
      </c>
      <c r="F196" s="89">
        <f>VLOOKUP(C196, Reason_for_walking_cycling_journeys_by_percentage[#All],MATCH(A196, Reason_for_walking_cycling_journeys_by_percentage[#Headers],0),0)/100</f>
        <v>0.23774999999999999</v>
      </c>
      <c r="G196" s="13">
        <f t="shared" ref="G196:G259" si="15">E196*F196</f>
        <v>53251998.16016347</v>
      </c>
      <c r="H196" s="89">
        <f>VLOOKUP(D196,Average_Distance_by_kilometre_grouping_for_mode_type[#All],MATCH(A196,Average_Distance_by_kilometre_grouping_for_mode_type[#Headers],0),0)</f>
        <v>7</v>
      </c>
      <c r="I196" s="89">
        <f>VLOOKUP(D196,Average_Distance_by_kilometres_grouping_for_trip_purpose[#All],MATCH(A196,Average_Distance_by_kilometres_grouping_for_trip_purpose[#Headers],0),0)</f>
        <v>7</v>
      </c>
      <c r="J196" s="89">
        <f t="shared" ref="J196:J259" si="16">AVERAGE(H196:I196)</f>
        <v>7</v>
      </c>
      <c r="K196" s="89">
        <f t="shared" ref="K196:K259" si="17">J196/SUM(J196:J200)</f>
        <v>0.14757035943923263</v>
      </c>
      <c r="L196" s="89">
        <v>1</v>
      </c>
      <c r="M196" s="13">
        <f t="shared" ref="M196:M259" si="18">G196*K196*L196</f>
        <v>7858416.5093526784</v>
      </c>
      <c r="N196" s="89">
        <f t="shared" ref="N196:N259" si="19">M196/SUM($M$3:$M$362)</f>
        <v>1.2876566673041703E-4</v>
      </c>
    </row>
    <row r="197" spans="1:14" x14ac:dyDescent="0.25">
      <c r="A197" s="79" t="s">
        <v>128</v>
      </c>
      <c r="B197" s="89" t="s">
        <v>9</v>
      </c>
      <c r="C197" s="89" t="s">
        <v>44</v>
      </c>
      <c r="D197" s="13" t="s">
        <v>1</v>
      </c>
      <c r="E197" s="35">
        <f>VLOOKUP(B197, Passenger_Kilometre_by_mode_type[#All],MATCH(A197, Passenger_Kilometre_by_mode_type[#Headers],0),0)</f>
        <v>223983167.86609241</v>
      </c>
      <c r="F197" s="89">
        <f>VLOOKUP(C197, Reason_for_walking_cycling_journeys_by_percentage[#All],MATCH(A197, Reason_for_walking_cycling_journeys_by_percentage[#Headers],0),0)/100</f>
        <v>0.23774999999999999</v>
      </c>
      <c r="G197" s="13">
        <f t="shared" si="15"/>
        <v>53251998.16016347</v>
      </c>
      <c r="H197" s="89">
        <f>VLOOKUP(D197,Average_Distance_by_kilometre_grouping_for_mode_type[#All],MATCH(A197,Average_Distance_by_kilometre_grouping_for_mode_type[#Headers],0),0)</f>
        <v>30.1</v>
      </c>
      <c r="I197" s="89">
        <f>VLOOKUP(D197,Average_Distance_by_kilometres_grouping_for_trip_purpose[#All],MATCH(A197,Average_Distance_by_kilometres_grouping_for_trip_purpose[#Headers],0),0)</f>
        <v>32.770000000000003</v>
      </c>
      <c r="J197" s="89">
        <f t="shared" si="16"/>
        <v>31.435000000000002</v>
      </c>
      <c r="K197" s="89">
        <f t="shared" si="17"/>
        <v>0.66269632128175404</v>
      </c>
      <c r="L197" s="89">
        <v>1</v>
      </c>
      <c r="M197" s="13">
        <f t="shared" si="18"/>
        <v>35289903.281643063</v>
      </c>
      <c r="N197" s="89">
        <f t="shared" si="19"/>
        <v>5.7824981909580851E-4</v>
      </c>
    </row>
    <row r="198" spans="1:14" x14ac:dyDescent="0.25">
      <c r="A198" s="79" t="s">
        <v>128</v>
      </c>
      <c r="B198" s="89" t="s">
        <v>9</v>
      </c>
      <c r="C198" s="89" t="s">
        <v>45</v>
      </c>
      <c r="D198" s="13" t="s">
        <v>12</v>
      </c>
      <c r="E198" s="35">
        <f>VLOOKUP(B198, Passenger_Kilometre_by_mode_type[#All],MATCH(A198, Passenger_Kilometre_by_mode_type[#Headers],0),0)</f>
        <v>223983167.86609241</v>
      </c>
      <c r="F198" s="89">
        <f>VLOOKUP(C198, Reason_for_walking_cycling_journeys_by_percentage[#All],MATCH(A198, Reason_for_walking_cycling_journeys_by_percentage[#Headers],0),0)/100</f>
        <v>3.6750000000000005E-2</v>
      </c>
      <c r="G198" s="13">
        <f t="shared" si="15"/>
        <v>8231381.4190788977</v>
      </c>
      <c r="H198" s="89">
        <f>VLOOKUP(D198,Average_Distance_by_kilometre_grouping_for_mode_type[#All],MATCH(A198,Average_Distance_by_kilometre_grouping_for_mode_type[#Headers],0),0)</f>
        <v>1</v>
      </c>
      <c r="I198" s="89">
        <f>VLOOKUP(D198,Average_Distance_by_kilometres_grouping_for_trip_purpose[#All],MATCH(A198,Average_Distance_by_kilometres_grouping_for_trip_purpose[#Headers],0),0)</f>
        <v>1</v>
      </c>
      <c r="J198" s="89">
        <f t="shared" si="16"/>
        <v>1</v>
      </c>
      <c r="K198" s="89">
        <f t="shared" si="17"/>
        <v>2.1081479919890376E-2</v>
      </c>
      <c r="L198" s="89">
        <v>1</v>
      </c>
      <c r="M198" s="13">
        <f t="shared" si="18"/>
        <v>173529.70209927054</v>
      </c>
      <c r="N198" s="89">
        <f t="shared" si="19"/>
        <v>2.8434058899461183E-6</v>
      </c>
    </row>
    <row r="199" spans="1:14" x14ac:dyDescent="0.25">
      <c r="A199" s="79" t="s">
        <v>128</v>
      </c>
      <c r="B199" s="89" t="s">
        <v>9</v>
      </c>
      <c r="C199" s="89" t="s">
        <v>45</v>
      </c>
      <c r="D199" s="13" t="s">
        <v>181</v>
      </c>
      <c r="E199" s="35">
        <f>VLOOKUP(B199, Passenger_Kilometre_by_mode_type[#All],MATCH(A199, Passenger_Kilometre_by_mode_type[#Headers],0),0)</f>
        <v>223983167.86609241</v>
      </c>
      <c r="F199" s="89">
        <f>VLOOKUP(C199, Reason_for_walking_cycling_journeys_by_percentage[#All],MATCH(A199, Reason_for_walking_cycling_journeys_by_percentage[#Headers],0),0)/100</f>
        <v>3.6750000000000005E-2</v>
      </c>
      <c r="G199" s="13">
        <f t="shared" si="15"/>
        <v>8231381.4190788977</v>
      </c>
      <c r="H199" s="89">
        <f>VLOOKUP(D199,Average_Distance_by_kilometre_grouping_for_mode_type[#All],MATCH(A199,Average_Distance_by_kilometre_grouping_for_mode_type[#Headers],0),0)</f>
        <v>3</v>
      </c>
      <c r="I199" s="89">
        <f>VLOOKUP(D199,Average_Distance_by_kilometres_grouping_for_trip_purpose[#All],MATCH(A199,Average_Distance_by_kilometres_grouping_for_trip_purpose[#Headers],0),0)</f>
        <v>3</v>
      </c>
      <c r="J199" s="89">
        <f t="shared" si="16"/>
        <v>3</v>
      </c>
      <c r="K199" s="89">
        <f t="shared" si="17"/>
        <v>6.3244439759671131E-2</v>
      </c>
      <c r="L199" s="89">
        <v>1</v>
      </c>
      <c r="M199" s="13">
        <f t="shared" si="18"/>
        <v>520589.10629781161</v>
      </c>
      <c r="N199" s="89">
        <f t="shared" si="19"/>
        <v>8.5302176698383539E-6</v>
      </c>
    </row>
    <row r="200" spans="1:14" x14ac:dyDescent="0.25">
      <c r="A200" s="79" t="s">
        <v>128</v>
      </c>
      <c r="B200" s="89" t="s">
        <v>9</v>
      </c>
      <c r="C200" s="89" t="s">
        <v>45</v>
      </c>
      <c r="D200" s="13" t="s">
        <v>180</v>
      </c>
      <c r="E200" s="35">
        <f>VLOOKUP(B200, Passenger_Kilometre_by_mode_type[#All],MATCH(A200, Passenger_Kilometre_by_mode_type[#Headers],0),0)</f>
        <v>223983167.86609241</v>
      </c>
      <c r="F200" s="89">
        <f>VLOOKUP(C200, Reason_for_walking_cycling_journeys_by_percentage[#All],MATCH(A200, Reason_for_walking_cycling_journeys_by_percentage[#Headers],0),0)/100</f>
        <v>3.6750000000000005E-2</v>
      </c>
      <c r="G200" s="13">
        <f t="shared" si="15"/>
        <v>8231381.4190788977</v>
      </c>
      <c r="H200" s="89">
        <f>VLOOKUP(D200,Average_Distance_by_kilometre_grouping_for_mode_type[#All],MATCH(A200,Average_Distance_by_kilometre_grouping_for_mode_type[#Headers],0),0)</f>
        <v>5</v>
      </c>
      <c r="I200" s="89">
        <f>VLOOKUP(D200,Average_Distance_by_kilometres_grouping_for_trip_purpose[#All],MATCH(A200,Average_Distance_by_kilometres_grouping_for_trip_purpose[#Headers],0),0)</f>
        <v>5</v>
      </c>
      <c r="J200" s="89">
        <f t="shared" si="16"/>
        <v>5</v>
      </c>
      <c r="K200" s="89">
        <f t="shared" si="17"/>
        <v>0.10540739959945188</v>
      </c>
      <c r="L200" s="89">
        <v>1</v>
      </c>
      <c r="M200" s="13">
        <f t="shared" si="18"/>
        <v>867648.51049635257</v>
      </c>
      <c r="N200" s="89">
        <f t="shared" si="19"/>
        <v>1.4217029449730589E-5</v>
      </c>
    </row>
    <row r="201" spans="1:14" x14ac:dyDescent="0.25">
      <c r="A201" s="79" t="s">
        <v>128</v>
      </c>
      <c r="B201" s="89" t="s">
        <v>9</v>
      </c>
      <c r="C201" s="89" t="s">
        <v>45</v>
      </c>
      <c r="D201" s="13" t="s">
        <v>182</v>
      </c>
      <c r="E201" s="35">
        <f>VLOOKUP(B201, Passenger_Kilometre_by_mode_type[#All],MATCH(A201, Passenger_Kilometre_by_mode_type[#Headers],0),0)</f>
        <v>223983167.86609241</v>
      </c>
      <c r="F201" s="89">
        <f>VLOOKUP(C201, Reason_for_walking_cycling_journeys_by_percentage[#All],MATCH(A201, Reason_for_walking_cycling_journeys_by_percentage[#Headers],0),0)/100</f>
        <v>3.6750000000000005E-2</v>
      </c>
      <c r="G201" s="13">
        <f t="shared" si="15"/>
        <v>8231381.4190788977</v>
      </c>
      <c r="H201" s="89">
        <f>VLOOKUP(D201,Average_Distance_by_kilometre_grouping_for_mode_type[#All],MATCH(A201,Average_Distance_by_kilometre_grouping_for_mode_type[#Headers],0),0)</f>
        <v>7</v>
      </c>
      <c r="I201" s="89">
        <f>VLOOKUP(D201,Average_Distance_by_kilometres_grouping_for_trip_purpose[#All],MATCH(A201,Average_Distance_by_kilometres_grouping_for_trip_purpose[#Headers],0),0)</f>
        <v>7</v>
      </c>
      <c r="J201" s="89">
        <f t="shared" si="16"/>
        <v>7</v>
      </c>
      <c r="K201" s="89">
        <f t="shared" si="17"/>
        <v>0.14757035943923263</v>
      </c>
      <c r="L201" s="89">
        <v>1</v>
      </c>
      <c r="M201" s="13">
        <f t="shared" si="18"/>
        <v>1214707.9146948936</v>
      </c>
      <c r="N201" s="89">
        <f t="shared" si="19"/>
        <v>1.9903841229622825E-5</v>
      </c>
    </row>
    <row r="202" spans="1:14" x14ac:dyDescent="0.25">
      <c r="A202" s="79" t="s">
        <v>128</v>
      </c>
      <c r="B202" s="89" t="s">
        <v>9</v>
      </c>
      <c r="C202" s="89" t="s">
        <v>45</v>
      </c>
      <c r="D202" s="13" t="s">
        <v>1</v>
      </c>
      <c r="E202" s="35">
        <f>VLOOKUP(B202, Passenger_Kilometre_by_mode_type[#All],MATCH(A202, Passenger_Kilometre_by_mode_type[#Headers],0),0)</f>
        <v>223983167.86609241</v>
      </c>
      <c r="F202" s="89">
        <f>VLOOKUP(C202, Reason_for_walking_cycling_journeys_by_percentage[#All],MATCH(A202, Reason_for_walking_cycling_journeys_by_percentage[#Headers],0),0)/100</f>
        <v>3.6750000000000005E-2</v>
      </c>
      <c r="G202" s="13">
        <f t="shared" si="15"/>
        <v>8231381.4190788977</v>
      </c>
      <c r="H202" s="89">
        <f>VLOOKUP(D202,Average_Distance_by_kilometre_grouping_for_mode_type[#All],MATCH(A202,Average_Distance_by_kilometre_grouping_for_mode_type[#Headers],0),0)</f>
        <v>30.1</v>
      </c>
      <c r="I202" s="89">
        <f>VLOOKUP(D202,Average_Distance_by_kilometres_grouping_for_trip_purpose[#All],MATCH(A202,Average_Distance_by_kilometres_grouping_for_trip_purpose[#Headers],0),0)</f>
        <v>32.770000000000003</v>
      </c>
      <c r="J202" s="89">
        <f t="shared" si="16"/>
        <v>31.435000000000002</v>
      </c>
      <c r="K202" s="89">
        <f t="shared" si="17"/>
        <v>0.66269632128175404</v>
      </c>
      <c r="L202" s="89">
        <v>1</v>
      </c>
      <c r="M202" s="13">
        <f t="shared" si="18"/>
        <v>5454906.18549057</v>
      </c>
      <c r="N202" s="89">
        <f t="shared" si="19"/>
        <v>8.9382464150456235E-5</v>
      </c>
    </row>
    <row r="203" spans="1:14" x14ac:dyDescent="0.25">
      <c r="A203" s="79" t="s">
        <v>128</v>
      </c>
      <c r="B203" s="89" t="s">
        <v>9</v>
      </c>
      <c r="C203" s="89" t="s">
        <v>56</v>
      </c>
      <c r="D203" s="13" t="s">
        <v>12</v>
      </c>
      <c r="E203" s="35">
        <f>VLOOKUP(B203, Passenger_Kilometre_by_mode_type[#All],MATCH(A203, Passenger_Kilometre_by_mode_type[#Headers],0),0)</f>
        <v>223983167.86609241</v>
      </c>
      <c r="F203" s="89">
        <f>VLOOKUP(C203, Reason_for_walking_cycling_journeys_by_percentage[#All],MATCH(A203, Reason_for_walking_cycling_journeys_by_percentage[#Headers],0),0)/100</f>
        <v>7.4500000000000011E-2</v>
      </c>
      <c r="G203" s="13">
        <f t="shared" si="15"/>
        <v>16686746.006023888</v>
      </c>
      <c r="H203" s="89">
        <f>VLOOKUP(D203,Average_Distance_by_kilometre_grouping_for_mode_type[#All],MATCH(A203,Average_Distance_by_kilometre_grouping_for_mode_type[#Headers],0),0)</f>
        <v>1</v>
      </c>
      <c r="I203" s="89">
        <f>VLOOKUP(D203,Average_Distance_by_kilometres_grouping_for_trip_purpose[#All],MATCH(A203,Average_Distance_by_kilometres_grouping_for_trip_purpose[#Headers],0),0)</f>
        <v>1</v>
      </c>
      <c r="J203" s="89">
        <f t="shared" si="16"/>
        <v>1</v>
      </c>
      <c r="K203" s="89">
        <f t="shared" si="17"/>
        <v>2.1081479919890376E-2</v>
      </c>
      <c r="L203" s="89">
        <v>1</v>
      </c>
      <c r="M203" s="13">
        <f t="shared" si="18"/>
        <v>351781.30085430352</v>
      </c>
      <c r="N203" s="89">
        <f t="shared" si="19"/>
        <v>5.7641833687343077E-6</v>
      </c>
    </row>
    <row r="204" spans="1:14" x14ac:dyDescent="0.25">
      <c r="A204" s="79" t="s">
        <v>128</v>
      </c>
      <c r="B204" s="89" t="s">
        <v>9</v>
      </c>
      <c r="C204" s="89" t="s">
        <v>56</v>
      </c>
      <c r="D204" s="13" t="s">
        <v>181</v>
      </c>
      <c r="E204" s="35">
        <f>VLOOKUP(B204, Passenger_Kilometre_by_mode_type[#All],MATCH(A204, Passenger_Kilometre_by_mode_type[#Headers],0),0)</f>
        <v>223983167.86609241</v>
      </c>
      <c r="F204" s="89">
        <f>VLOOKUP(C204, Reason_for_walking_cycling_journeys_by_percentage[#All],MATCH(A204, Reason_for_walking_cycling_journeys_by_percentage[#Headers],0),0)/100</f>
        <v>7.4500000000000011E-2</v>
      </c>
      <c r="G204" s="13">
        <f t="shared" si="15"/>
        <v>16686746.006023888</v>
      </c>
      <c r="H204" s="89">
        <f>VLOOKUP(D204,Average_Distance_by_kilometre_grouping_for_mode_type[#All],MATCH(A204,Average_Distance_by_kilometre_grouping_for_mode_type[#Headers],0),0)</f>
        <v>3</v>
      </c>
      <c r="I204" s="89">
        <f>VLOOKUP(D204,Average_Distance_by_kilometres_grouping_for_trip_purpose[#All],MATCH(A204,Average_Distance_by_kilometres_grouping_for_trip_purpose[#Headers],0),0)</f>
        <v>3</v>
      </c>
      <c r="J204" s="89">
        <f t="shared" si="16"/>
        <v>3</v>
      </c>
      <c r="K204" s="89">
        <f t="shared" si="17"/>
        <v>6.3244439759671131E-2</v>
      </c>
      <c r="L204" s="89">
        <v>1</v>
      </c>
      <c r="M204" s="13">
        <f t="shared" si="18"/>
        <v>1055343.9025629107</v>
      </c>
      <c r="N204" s="89">
        <f t="shared" si="19"/>
        <v>1.7292550106202923E-5</v>
      </c>
    </row>
    <row r="205" spans="1:14" x14ac:dyDescent="0.25">
      <c r="A205" s="79" t="s">
        <v>128</v>
      </c>
      <c r="B205" s="89" t="s">
        <v>9</v>
      </c>
      <c r="C205" s="89" t="s">
        <v>56</v>
      </c>
      <c r="D205" s="13" t="s">
        <v>180</v>
      </c>
      <c r="E205" s="35">
        <f>VLOOKUP(B205, Passenger_Kilometre_by_mode_type[#All],MATCH(A205, Passenger_Kilometre_by_mode_type[#Headers],0),0)</f>
        <v>223983167.86609241</v>
      </c>
      <c r="F205" s="89">
        <f>VLOOKUP(C205, Reason_for_walking_cycling_journeys_by_percentage[#All],MATCH(A205, Reason_for_walking_cycling_journeys_by_percentage[#Headers],0),0)/100</f>
        <v>7.4500000000000011E-2</v>
      </c>
      <c r="G205" s="13">
        <f t="shared" si="15"/>
        <v>16686746.006023888</v>
      </c>
      <c r="H205" s="89">
        <f>VLOOKUP(D205,Average_Distance_by_kilometre_grouping_for_mode_type[#All],MATCH(A205,Average_Distance_by_kilometre_grouping_for_mode_type[#Headers],0),0)</f>
        <v>5</v>
      </c>
      <c r="I205" s="89">
        <f>VLOOKUP(D205,Average_Distance_by_kilometres_grouping_for_trip_purpose[#All],MATCH(A205,Average_Distance_by_kilometres_grouping_for_trip_purpose[#Headers],0),0)</f>
        <v>5</v>
      </c>
      <c r="J205" s="89">
        <f t="shared" si="16"/>
        <v>5</v>
      </c>
      <c r="K205" s="89">
        <f t="shared" si="17"/>
        <v>0.10540739959945188</v>
      </c>
      <c r="L205" s="89">
        <v>1</v>
      </c>
      <c r="M205" s="13">
        <f t="shared" si="18"/>
        <v>1758906.5042715175</v>
      </c>
      <c r="N205" s="89">
        <f t="shared" si="19"/>
        <v>2.8820916843671535E-5</v>
      </c>
    </row>
    <row r="206" spans="1:14" x14ac:dyDescent="0.25">
      <c r="A206" s="79" t="s">
        <v>128</v>
      </c>
      <c r="B206" s="89" t="s">
        <v>9</v>
      </c>
      <c r="C206" s="89" t="s">
        <v>56</v>
      </c>
      <c r="D206" s="13" t="s">
        <v>182</v>
      </c>
      <c r="E206" s="35">
        <f>VLOOKUP(B206, Passenger_Kilometre_by_mode_type[#All],MATCH(A206, Passenger_Kilometre_by_mode_type[#Headers],0),0)</f>
        <v>223983167.86609241</v>
      </c>
      <c r="F206" s="89">
        <f>VLOOKUP(C206, Reason_for_walking_cycling_journeys_by_percentage[#All],MATCH(A206, Reason_for_walking_cycling_journeys_by_percentage[#Headers],0),0)/100</f>
        <v>7.4500000000000011E-2</v>
      </c>
      <c r="G206" s="13">
        <f t="shared" si="15"/>
        <v>16686746.006023888</v>
      </c>
      <c r="H206" s="89">
        <f>VLOOKUP(D206,Average_Distance_by_kilometre_grouping_for_mode_type[#All],MATCH(A206,Average_Distance_by_kilometre_grouping_for_mode_type[#Headers],0),0)</f>
        <v>7</v>
      </c>
      <c r="I206" s="89">
        <f>VLOOKUP(D206,Average_Distance_by_kilometres_grouping_for_trip_purpose[#All],MATCH(A206,Average_Distance_by_kilometres_grouping_for_trip_purpose[#Headers],0),0)</f>
        <v>7</v>
      </c>
      <c r="J206" s="89">
        <f t="shared" si="16"/>
        <v>7</v>
      </c>
      <c r="K206" s="89">
        <f t="shared" si="17"/>
        <v>0.14757035943923263</v>
      </c>
      <c r="L206" s="89">
        <v>1</v>
      </c>
      <c r="M206" s="13">
        <f t="shared" si="18"/>
        <v>2462469.1059801248</v>
      </c>
      <c r="N206" s="89">
        <f t="shared" si="19"/>
        <v>4.0349283581140154E-5</v>
      </c>
    </row>
    <row r="207" spans="1:14" x14ac:dyDescent="0.25">
      <c r="A207" s="79" t="s">
        <v>128</v>
      </c>
      <c r="B207" s="89" t="s">
        <v>9</v>
      </c>
      <c r="C207" s="89" t="s">
        <v>56</v>
      </c>
      <c r="D207" s="13" t="s">
        <v>1</v>
      </c>
      <c r="E207" s="35">
        <f>VLOOKUP(B207, Passenger_Kilometre_by_mode_type[#All],MATCH(A207, Passenger_Kilometre_by_mode_type[#Headers],0),0)</f>
        <v>223983167.86609241</v>
      </c>
      <c r="F207" s="89">
        <f>VLOOKUP(C207, Reason_for_walking_cycling_journeys_by_percentage[#All],MATCH(A207, Reason_for_walking_cycling_journeys_by_percentage[#Headers],0),0)/100</f>
        <v>7.4500000000000011E-2</v>
      </c>
      <c r="G207" s="13">
        <f t="shared" si="15"/>
        <v>16686746.006023888</v>
      </c>
      <c r="H207" s="89">
        <f>VLOOKUP(D207,Average_Distance_by_kilometre_grouping_for_mode_type[#All],MATCH(A207,Average_Distance_by_kilometre_grouping_for_mode_type[#Headers],0),0)</f>
        <v>30.1</v>
      </c>
      <c r="I207" s="89">
        <f>VLOOKUP(D207,Average_Distance_by_kilometres_grouping_for_trip_purpose[#All],MATCH(A207,Average_Distance_by_kilometres_grouping_for_trip_purpose[#Headers],0),0)</f>
        <v>32.770000000000003</v>
      </c>
      <c r="J207" s="89">
        <f t="shared" si="16"/>
        <v>31.435000000000002</v>
      </c>
      <c r="K207" s="89">
        <f t="shared" si="17"/>
        <v>0.66269632128175404</v>
      </c>
      <c r="L207" s="89">
        <v>1</v>
      </c>
      <c r="M207" s="13">
        <f t="shared" si="18"/>
        <v>11058245.192355033</v>
      </c>
      <c r="N207" s="89">
        <f t="shared" si="19"/>
        <v>1.8119710419616298E-4</v>
      </c>
    </row>
    <row r="208" spans="1:14" x14ac:dyDescent="0.25">
      <c r="A208" s="79" t="s">
        <v>128</v>
      </c>
      <c r="B208" s="89" t="s">
        <v>9</v>
      </c>
      <c r="C208" s="89" t="s">
        <v>57</v>
      </c>
      <c r="D208" s="13" t="s">
        <v>12</v>
      </c>
      <c r="E208" s="35">
        <f>VLOOKUP(B208, Passenger_Kilometre_by_mode_type[#All],MATCH(A208, Passenger_Kilometre_by_mode_type[#Headers],0),0)</f>
        <v>223983167.86609241</v>
      </c>
      <c r="F208" s="89">
        <f>VLOOKUP(C208, Reason_for_walking_cycling_journeys_by_percentage[#All],MATCH(A208, Reason_for_walking_cycling_journeys_by_percentage[#Headers],0),0)/100</f>
        <v>0.19524999999999998</v>
      </c>
      <c r="G208" s="13">
        <f t="shared" si="15"/>
        <v>43732713.525854535</v>
      </c>
      <c r="H208" s="89">
        <f>VLOOKUP(D208,Average_Distance_by_kilometre_grouping_for_mode_type[#All],MATCH(A208,Average_Distance_by_kilometre_grouping_for_mode_type[#Headers],0),0)</f>
        <v>1</v>
      </c>
      <c r="I208" s="89">
        <f>VLOOKUP(D208,Average_Distance_by_kilometres_grouping_for_trip_purpose[#All],MATCH(A208,Average_Distance_by_kilometres_grouping_for_trip_purpose[#Headers],0),0)</f>
        <v>1</v>
      </c>
      <c r="J208" s="89">
        <f t="shared" si="16"/>
        <v>1</v>
      </c>
      <c r="K208" s="89">
        <f t="shared" si="17"/>
        <v>2.1081479919890376E-2</v>
      </c>
      <c r="L208" s="89">
        <v>1</v>
      </c>
      <c r="M208" s="13">
        <f t="shared" si="18"/>
        <v>921950.32203762059</v>
      </c>
      <c r="N208" s="89">
        <f t="shared" si="19"/>
        <v>1.5106802721414403E-5</v>
      </c>
    </row>
    <row r="209" spans="1:14" x14ac:dyDescent="0.25">
      <c r="A209" s="79" t="s">
        <v>128</v>
      </c>
      <c r="B209" s="89" t="s">
        <v>9</v>
      </c>
      <c r="C209" s="89" t="s">
        <v>57</v>
      </c>
      <c r="D209" s="13" t="s">
        <v>181</v>
      </c>
      <c r="E209" s="35">
        <f>VLOOKUP(B209, Passenger_Kilometre_by_mode_type[#All],MATCH(A209, Passenger_Kilometre_by_mode_type[#Headers],0),0)</f>
        <v>223983167.86609241</v>
      </c>
      <c r="F209" s="89">
        <f>VLOOKUP(C209, Reason_for_walking_cycling_journeys_by_percentage[#All],MATCH(A209, Reason_for_walking_cycling_journeys_by_percentage[#Headers],0),0)/100</f>
        <v>0.19524999999999998</v>
      </c>
      <c r="G209" s="13">
        <f t="shared" si="15"/>
        <v>43732713.525854535</v>
      </c>
      <c r="H209" s="89">
        <f>VLOOKUP(D209,Average_Distance_by_kilometre_grouping_for_mode_type[#All],MATCH(A209,Average_Distance_by_kilometre_grouping_for_mode_type[#Headers],0),0)</f>
        <v>3</v>
      </c>
      <c r="I209" s="89">
        <f>VLOOKUP(D209,Average_Distance_by_kilometres_grouping_for_trip_purpose[#All],MATCH(A209,Average_Distance_by_kilometres_grouping_for_trip_purpose[#Headers],0),0)</f>
        <v>3</v>
      </c>
      <c r="J209" s="89">
        <f t="shared" si="16"/>
        <v>3</v>
      </c>
      <c r="K209" s="89">
        <f t="shared" si="17"/>
        <v>6.3244439759671131E-2</v>
      </c>
      <c r="L209" s="89">
        <v>1</v>
      </c>
      <c r="M209" s="13">
        <f t="shared" si="18"/>
        <v>2765850.9661128619</v>
      </c>
      <c r="N209" s="89">
        <f t="shared" si="19"/>
        <v>4.5320408164243208E-5</v>
      </c>
    </row>
    <row r="210" spans="1:14" x14ac:dyDescent="0.25">
      <c r="A210" s="79" t="s">
        <v>128</v>
      </c>
      <c r="B210" s="89" t="s">
        <v>9</v>
      </c>
      <c r="C210" s="89" t="s">
        <v>57</v>
      </c>
      <c r="D210" s="13" t="s">
        <v>180</v>
      </c>
      <c r="E210" s="35">
        <f>VLOOKUP(B210, Passenger_Kilometre_by_mode_type[#All],MATCH(A210, Passenger_Kilometre_by_mode_type[#Headers],0),0)</f>
        <v>223983167.86609241</v>
      </c>
      <c r="F210" s="89">
        <f>VLOOKUP(C210, Reason_for_walking_cycling_journeys_by_percentage[#All],MATCH(A210, Reason_for_walking_cycling_journeys_by_percentage[#Headers],0),0)/100</f>
        <v>0.19524999999999998</v>
      </c>
      <c r="G210" s="13">
        <f t="shared" si="15"/>
        <v>43732713.525854535</v>
      </c>
      <c r="H210" s="89">
        <f>VLOOKUP(D210,Average_Distance_by_kilometre_grouping_for_mode_type[#All],MATCH(A210,Average_Distance_by_kilometre_grouping_for_mode_type[#Headers],0),0)</f>
        <v>5</v>
      </c>
      <c r="I210" s="89">
        <f>VLOOKUP(D210,Average_Distance_by_kilometres_grouping_for_trip_purpose[#All],MATCH(A210,Average_Distance_by_kilometres_grouping_for_trip_purpose[#Headers],0),0)</f>
        <v>5</v>
      </c>
      <c r="J210" s="89">
        <f t="shared" si="16"/>
        <v>5</v>
      </c>
      <c r="K210" s="89">
        <f t="shared" si="17"/>
        <v>0.10540739959945188</v>
      </c>
      <c r="L210" s="89">
        <v>1</v>
      </c>
      <c r="M210" s="13">
        <f t="shared" si="18"/>
        <v>4609751.6101881033</v>
      </c>
      <c r="N210" s="89">
        <f t="shared" si="19"/>
        <v>7.5534013607072024E-5</v>
      </c>
    </row>
    <row r="211" spans="1:14" x14ac:dyDescent="0.25">
      <c r="A211" s="79" t="s">
        <v>128</v>
      </c>
      <c r="B211" s="89" t="s">
        <v>9</v>
      </c>
      <c r="C211" s="89" t="s">
        <v>57</v>
      </c>
      <c r="D211" s="13" t="s">
        <v>182</v>
      </c>
      <c r="E211" s="35">
        <f>VLOOKUP(B211, Passenger_Kilometre_by_mode_type[#All],MATCH(A211, Passenger_Kilometre_by_mode_type[#Headers],0),0)</f>
        <v>223983167.86609241</v>
      </c>
      <c r="F211" s="89">
        <f>VLOOKUP(C211, Reason_for_walking_cycling_journeys_by_percentage[#All],MATCH(A211, Reason_for_walking_cycling_journeys_by_percentage[#Headers],0),0)/100</f>
        <v>0.19524999999999998</v>
      </c>
      <c r="G211" s="13">
        <f t="shared" si="15"/>
        <v>43732713.525854535</v>
      </c>
      <c r="H211" s="89">
        <f>VLOOKUP(D211,Average_Distance_by_kilometre_grouping_for_mode_type[#All],MATCH(A211,Average_Distance_by_kilometre_grouping_for_mode_type[#Headers],0),0)</f>
        <v>7</v>
      </c>
      <c r="I211" s="89">
        <f>VLOOKUP(D211,Average_Distance_by_kilometres_grouping_for_trip_purpose[#All],MATCH(A211,Average_Distance_by_kilometres_grouping_for_trip_purpose[#Headers],0),0)</f>
        <v>7</v>
      </c>
      <c r="J211" s="89">
        <f t="shared" si="16"/>
        <v>7</v>
      </c>
      <c r="K211" s="89">
        <f t="shared" si="17"/>
        <v>0.14757035943923263</v>
      </c>
      <c r="L211" s="89">
        <v>1</v>
      </c>
      <c r="M211" s="13">
        <f t="shared" si="18"/>
        <v>6453652.2542633442</v>
      </c>
      <c r="N211" s="89">
        <f t="shared" si="19"/>
        <v>1.0574761904990082E-4</v>
      </c>
    </row>
    <row r="212" spans="1:14" x14ac:dyDescent="0.25">
      <c r="A212" s="79" t="s">
        <v>128</v>
      </c>
      <c r="B212" s="89" t="s">
        <v>9</v>
      </c>
      <c r="C212" s="89" t="s">
        <v>57</v>
      </c>
      <c r="D212" s="13" t="s">
        <v>1</v>
      </c>
      <c r="E212" s="35">
        <f>VLOOKUP(B212, Passenger_Kilometre_by_mode_type[#All],MATCH(A212, Passenger_Kilometre_by_mode_type[#Headers],0),0)</f>
        <v>223983167.86609241</v>
      </c>
      <c r="F212" s="89">
        <f>VLOOKUP(C212, Reason_for_walking_cycling_journeys_by_percentage[#All],MATCH(A212, Reason_for_walking_cycling_journeys_by_percentage[#Headers],0),0)/100</f>
        <v>0.19524999999999998</v>
      </c>
      <c r="G212" s="13">
        <f t="shared" si="15"/>
        <v>43732713.525854535</v>
      </c>
      <c r="H212" s="89">
        <f>VLOOKUP(D212,Average_Distance_by_kilometre_grouping_for_mode_type[#All],MATCH(A212,Average_Distance_by_kilometre_grouping_for_mode_type[#Headers],0),0)</f>
        <v>30.1</v>
      </c>
      <c r="I212" s="89">
        <f>VLOOKUP(D212,Average_Distance_by_kilometres_grouping_for_trip_purpose[#All],MATCH(A212,Average_Distance_by_kilometres_grouping_for_trip_purpose[#Headers],0),0)</f>
        <v>32.770000000000003</v>
      </c>
      <c r="J212" s="89">
        <f t="shared" si="16"/>
        <v>31.435000000000002</v>
      </c>
      <c r="K212" s="89">
        <f t="shared" si="17"/>
        <v>0.66269632128175404</v>
      </c>
      <c r="L212" s="89">
        <v>1</v>
      </c>
      <c r="M212" s="13">
        <f t="shared" si="18"/>
        <v>28981508.373252608</v>
      </c>
      <c r="N212" s="89">
        <f t="shared" si="19"/>
        <v>4.7488234354766182E-4</v>
      </c>
    </row>
    <row r="213" spans="1:14" x14ac:dyDescent="0.25">
      <c r="A213" s="79" t="s">
        <v>128</v>
      </c>
      <c r="B213" s="89" t="s">
        <v>9</v>
      </c>
      <c r="C213" s="89" t="s">
        <v>93</v>
      </c>
      <c r="D213" s="13" t="s">
        <v>12</v>
      </c>
      <c r="E213" s="35">
        <f>VLOOKUP(B213, Passenger_Kilometre_by_mode_type[#All],MATCH(A213, Passenger_Kilometre_by_mode_type[#Headers],0),0)</f>
        <v>223983167.86609241</v>
      </c>
      <c r="F213" s="89">
        <f>VLOOKUP(C213, Reason_for_walking_cycling_journeys_by_percentage[#All],MATCH(A213, Reason_for_walking_cycling_journeys_by_percentage[#Headers],0),0)/100</f>
        <v>4.4499999999999991E-2</v>
      </c>
      <c r="G213" s="13">
        <f t="shared" si="15"/>
        <v>9967250.9700411111</v>
      </c>
      <c r="H213" s="89">
        <f>VLOOKUP(D213,Average_Distance_by_kilometre_grouping_for_mode_type[#All],MATCH(A213,Average_Distance_by_kilometre_grouping_for_mode_type[#Headers],0),0)</f>
        <v>1</v>
      </c>
      <c r="I213" s="89">
        <f>VLOOKUP(D213,Average_Distance_by_kilometres_grouping_for_trip_purpose[#All],MATCH(A213,Average_Distance_by_kilometres_grouping_for_trip_purpose[#Headers],0),0)</f>
        <v>1</v>
      </c>
      <c r="J213" s="89">
        <f t="shared" si="16"/>
        <v>1</v>
      </c>
      <c r="K213" s="89">
        <f t="shared" si="17"/>
        <v>2.1081479919890376E-2</v>
      </c>
      <c r="L213" s="89">
        <v>1</v>
      </c>
      <c r="M213" s="13">
        <f t="shared" si="18"/>
        <v>210124.40118142957</v>
      </c>
      <c r="N213" s="89">
        <f t="shared" si="19"/>
        <v>3.4430357034721691E-6</v>
      </c>
    </row>
    <row r="214" spans="1:14" x14ac:dyDescent="0.25">
      <c r="A214" s="79" t="s">
        <v>128</v>
      </c>
      <c r="B214" s="89" t="s">
        <v>9</v>
      </c>
      <c r="C214" s="89" t="s">
        <v>93</v>
      </c>
      <c r="D214" s="13" t="s">
        <v>181</v>
      </c>
      <c r="E214" s="35">
        <f>VLOOKUP(B214, Passenger_Kilometre_by_mode_type[#All],MATCH(A214, Passenger_Kilometre_by_mode_type[#Headers],0),0)</f>
        <v>223983167.86609241</v>
      </c>
      <c r="F214" s="89">
        <f>VLOOKUP(C214, Reason_for_walking_cycling_journeys_by_percentage[#All],MATCH(A214, Reason_for_walking_cycling_journeys_by_percentage[#Headers],0),0)/100</f>
        <v>4.4499999999999991E-2</v>
      </c>
      <c r="G214" s="13">
        <f t="shared" si="15"/>
        <v>9967250.9700411111</v>
      </c>
      <c r="H214" s="89">
        <f>VLOOKUP(D214,Average_Distance_by_kilometre_grouping_for_mode_type[#All],MATCH(A214,Average_Distance_by_kilometre_grouping_for_mode_type[#Headers],0),0)</f>
        <v>3</v>
      </c>
      <c r="I214" s="89">
        <f>VLOOKUP(D214,Average_Distance_by_kilometres_grouping_for_trip_purpose[#All],MATCH(A214,Average_Distance_by_kilometres_grouping_for_trip_purpose[#Headers],0),0)</f>
        <v>3</v>
      </c>
      <c r="J214" s="89">
        <f t="shared" si="16"/>
        <v>3</v>
      </c>
      <c r="K214" s="89">
        <f t="shared" si="17"/>
        <v>6.3244439759671131E-2</v>
      </c>
      <c r="L214" s="89">
        <v>1</v>
      </c>
      <c r="M214" s="13">
        <f t="shared" si="18"/>
        <v>630373.20354428864</v>
      </c>
      <c r="N214" s="89">
        <f t="shared" si="19"/>
        <v>1.0329107110416506E-5</v>
      </c>
    </row>
    <row r="215" spans="1:14" x14ac:dyDescent="0.25">
      <c r="A215" s="79" t="s">
        <v>128</v>
      </c>
      <c r="B215" s="89" t="s">
        <v>9</v>
      </c>
      <c r="C215" s="89" t="s">
        <v>93</v>
      </c>
      <c r="D215" s="13" t="s">
        <v>180</v>
      </c>
      <c r="E215" s="35">
        <f>VLOOKUP(B215, Passenger_Kilometre_by_mode_type[#All],MATCH(A215, Passenger_Kilometre_by_mode_type[#Headers],0),0)</f>
        <v>223983167.86609241</v>
      </c>
      <c r="F215" s="89">
        <f>VLOOKUP(C215, Reason_for_walking_cycling_journeys_by_percentage[#All],MATCH(A215, Reason_for_walking_cycling_journeys_by_percentage[#Headers],0),0)/100</f>
        <v>4.4499999999999991E-2</v>
      </c>
      <c r="G215" s="13">
        <f t="shared" si="15"/>
        <v>9967250.9700411111</v>
      </c>
      <c r="H215" s="89">
        <f>VLOOKUP(D215,Average_Distance_by_kilometre_grouping_for_mode_type[#All],MATCH(A215,Average_Distance_by_kilometre_grouping_for_mode_type[#Headers],0),0)</f>
        <v>5</v>
      </c>
      <c r="I215" s="89">
        <f>VLOOKUP(D215,Average_Distance_by_kilometres_grouping_for_trip_purpose[#All],MATCH(A215,Average_Distance_by_kilometres_grouping_for_trip_purpose[#Headers],0),0)</f>
        <v>5</v>
      </c>
      <c r="J215" s="89">
        <f t="shared" si="16"/>
        <v>5</v>
      </c>
      <c r="K215" s="89">
        <f t="shared" si="17"/>
        <v>0.10540739959945188</v>
      </c>
      <c r="L215" s="89">
        <v>1</v>
      </c>
      <c r="M215" s="13">
        <f t="shared" si="18"/>
        <v>1050622.0059071477</v>
      </c>
      <c r="N215" s="89">
        <f t="shared" si="19"/>
        <v>1.7215178517360843E-5</v>
      </c>
    </row>
    <row r="216" spans="1:14" x14ac:dyDescent="0.25">
      <c r="A216" s="79" t="s">
        <v>128</v>
      </c>
      <c r="B216" s="89" t="s">
        <v>9</v>
      </c>
      <c r="C216" s="89" t="s">
        <v>93</v>
      </c>
      <c r="D216" s="13" t="s">
        <v>182</v>
      </c>
      <c r="E216" s="35">
        <f>VLOOKUP(B216, Passenger_Kilometre_by_mode_type[#All],MATCH(A216, Passenger_Kilometre_by_mode_type[#Headers],0),0)</f>
        <v>223983167.86609241</v>
      </c>
      <c r="F216" s="89">
        <f>VLOOKUP(C216, Reason_for_walking_cycling_journeys_by_percentage[#All],MATCH(A216, Reason_for_walking_cycling_journeys_by_percentage[#Headers],0),0)/100</f>
        <v>4.4499999999999991E-2</v>
      </c>
      <c r="G216" s="13">
        <f t="shared" si="15"/>
        <v>9967250.9700411111</v>
      </c>
      <c r="H216" s="89">
        <f>VLOOKUP(D216,Average_Distance_by_kilometre_grouping_for_mode_type[#All],MATCH(A216,Average_Distance_by_kilometre_grouping_for_mode_type[#Headers],0),0)</f>
        <v>7</v>
      </c>
      <c r="I216" s="89">
        <f>VLOOKUP(D216,Average_Distance_by_kilometres_grouping_for_trip_purpose[#All],MATCH(A216,Average_Distance_by_kilometres_grouping_for_trip_purpose[#Headers],0),0)</f>
        <v>7</v>
      </c>
      <c r="J216" s="89">
        <f t="shared" si="16"/>
        <v>7</v>
      </c>
      <c r="K216" s="89">
        <f t="shared" si="17"/>
        <v>0.14757035943923263</v>
      </c>
      <c r="L216" s="89">
        <v>1</v>
      </c>
      <c r="M216" s="13">
        <f t="shared" si="18"/>
        <v>1470870.8082700069</v>
      </c>
      <c r="N216" s="89">
        <f t="shared" si="19"/>
        <v>2.4101249924305184E-5</v>
      </c>
    </row>
    <row r="217" spans="1:14" x14ac:dyDescent="0.25">
      <c r="A217" s="79" t="s">
        <v>128</v>
      </c>
      <c r="B217" s="89" t="s">
        <v>9</v>
      </c>
      <c r="C217" s="89" t="s">
        <v>93</v>
      </c>
      <c r="D217" s="13" t="s">
        <v>1</v>
      </c>
      <c r="E217" s="35">
        <f>VLOOKUP(B217, Passenger_Kilometre_by_mode_type[#All],MATCH(A217, Passenger_Kilometre_by_mode_type[#Headers],0),0)</f>
        <v>223983167.86609241</v>
      </c>
      <c r="F217" s="89">
        <f>VLOOKUP(C217, Reason_for_walking_cycling_journeys_by_percentage[#All],MATCH(A217, Reason_for_walking_cycling_journeys_by_percentage[#Headers],0),0)/100</f>
        <v>4.4499999999999991E-2</v>
      </c>
      <c r="G217" s="13">
        <f t="shared" si="15"/>
        <v>9967250.9700411111</v>
      </c>
      <c r="H217" s="89">
        <f>VLOOKUP(D217,Average_Distance_by_kilometre_grouping_for_mode_type[#All],MATCH(A217,Average_Distance_by_kilometre_grouping_for_mode_type[#Headers],0),0)</f>
        <v>30.1</v>
      </c>
      <c r="I217" s="89">
        <f>VLOOKUP(D217,Average_Distance_by_kilometres_grouping_for_trip_purpose[#All],MATCH(A217,Average_Distance_by_kilometres_grouping_for_trip_purpose[#Headers],0),0)</f>
        <v>32.770000000000003</v>
      </c>
      <c r="J217" s="89">
        <f t="shared" si="16"/>
        <v>31.435000000000002</v>
      </c>
      <c r="K217" s="89">
        <f t="shared" si="17"/>
        <v>0.66269632128175404</v>
      </c>
      <c r="L217" s="89">
        <v>1</v>
      </c>
      <c r="M217" s="13">
        <f t="shared" si="18"/>
        <v>6605260.551138239</v>
      </c>
      <c r="N217" s="89">
        <f t="shared" si="19"/>
        <v>1.0823182733864765E-4</v>
      </c>
    </row>
    <row r="218" spans="1:14" x14ac:dyDescent="0.25">
      <c r="A218" s="79" t="s">
        <v>128</v>
      </c>
      <c r="B218" s="89" t="s">
        <v>9</v>
      </c>
      <c r="C218" s="89" t="s">
        <v>243</v>
      </c>
      <c r="D218" s="13" t="s">
        <v>12</v>
      </c>
      <c r="E218" s="35">
        <f>VLOOKUP(B218, Passenger_Kilometre_by_mode_type[#All],MATCH(A218, Passenger_Kilometre_by_mode_type[#Headers],0),0)</f>
        <v>223983167.86609241</v>
      </c>
      <c r="F218" s="89">
        <f>VLOOKUP(C218, Reason_for_walking_cycling_journeys_by_percentage[#All],MATCH(A218, Reason_for_walking_cycling_journeys_by_percentage[#Headers],0),0)/100</f>
        <v>8.5500000000000007E-2</v>
      </c>
      <c r="G218" s="13">
        <f t="shared" si="15"/>
        <v>19150560.852550901</v>
      </c>
      <c r="H218" s="89">
        <f>VLOOKUP(D218,Average_Distance_by_kilometre_grouping_for_mode_type[#All],MATCH(A218,Average_Distance_by_kilometre_grouping_for_mode_type[#Headers],0),0)</f>
        <v>1</v>
      </c>
      <c r="I218" s="89">
        <f>VLOOKUP(D218,Average_Distance_by_kilometres_grouping_for_trip_purpose[#All],MATCH(A218,Average_Distance_by_kilometres_grouping_for_trip_purpose[#Headers],0),0)</f>
        <v>1</v>
      </c>
      <c r="J218" s="89">
        <f t="shared" si="16"/>
        <v>1</v>
      </c>
      <c r="K218" s="89">
        <f t="shared" si="17"/>
        <v>2.1081479919890376E-2</v>
      </c>
      <c r="L218" s="89">
        <v>1</v>
      </c>
      <c r="M218" s="13">
        <f t="shared" si="18"/>
        <v>403722.16406769055</v>
      </c>
      <c r="N218" s="89">
        <f t="shared" si="19"/>
        <v>6.6152708459970899E-6</v>
      </c>
    </row>
    <row r="219" spans="1:14" x14ac:dyDescent="0.25">
      <c r="A219" s="79" t="s">
        <v>128</v>
      </c>
      <c r="B219" s="89" t="s">
        <v>9</v>
      </c>
      <c r="C219" s="89" t="s">
        <v>243</v>
      </c>
      <c r="D219" s="13" t="s">
        <v>181</v>
      </c>
      <c r="E219" s="35">
        <f>VLOOKUP(B219, Passenger_Kilometre_by_mode_type[#All],MATCH(A219, Passenger_Kilometre_by_mode_type[#Headers],0),0)</f>
        <v>223983167.86609241</v>
      </c>
      <c r="F219" s="89">
        <f>VLOOKUP(C219, Reason_for_walking_cycling_journeys_by_percentage[#All],MATCH(A219, Reason_for_walking_cycling_journeys_by_percentage[#Headers],0),0)/100</f>
        <v>8.5500000000000007E-2</v>
      </c>
      <c r="G219" s="13">
        <f t="shared" si="15"/>
        <v>19150560.852550901</v>
      </c>
      <c r="H219" s="89">
        <f>VLOOKUP(D219,Average_Distance_by_kilometre_grouping_for_mode_type[#All],MATCH(A219,Average_Distance_by_kilometre_grouping_for_mode_type[#Headers],0),0)</f>
        <v>3</v>
      </c>
      <c r="I219" s="89">
        <f>VLOOKUP(D219,Average_Distance_by_kilometres_grouping_for_trip_purpose[#All],MATCH(A219,Average_Distance_by_kilometres_grouping_for_trip_purpose[#Headers],0),0)</f>
        <v>3</v>
      </c>
      <c r="J219" s="89">
        <f t="shared" si="16"/>
        <v>3</v>
      </c>
      <c r="K219" s="89">
        <f t="shared" si="17"/>
        <v>6.3244439759671131E-2</v>
      </c>
      <c r="L219" s="89">
        <v>1</v>
      </c>
      <c r="M219" s="13">
        <f t="shared" si="18"/>
        <v>1211166.4922030717</v>
      </c>
      <c r="N219" s="89">
        <f t="shared" si="19"/>
        <v>1.9845812537991271E-5</v>
      </c>
    </row>
    <row r="220" spans="1:14" x14ac:dyDescent="0.25">
      <c r="A220" s="79" t="s">
        <v>128</v>
      </c>
      <c r="B220" s="89" t="s">
        <v>9</v>
      </c>
      <c r="C220" s="89" t="s">
        <v>243</v>
      </c>
      <c r="D220" s="13" t="s">
        <v>180</v>
      </c>
      <c r="E220" s="35">
        <f>VLOOKUP(B220, Passenger_Kilometre_by_mode_type[#All],MATCH(A220, Passenger_Kilometre_by_mode_type[#Headers],0),0)</f>
        <v>223983167.86609241</v>
      </c>
      <c r="F220" s="89">
        <f>VLOOKUP(C220, Reason_for_walking_cycling_journeys_by_percentage[#All],MATCH(A220, Reason_for_walking_cycling_journeys_by_percentage[#Headers],0),0)/100</f>
        <v>8.5500000000000007E-2</v>
      </c>
      <c r="G220" s="13">
        <f t="shared" si="15"/>
        <v>19150560.852550901</v>
      </c>
      <c r="H220" s="89">
        <f>VLOOKUP(D220,Average_Distance_by_kilometre_grouping_for_mode_type[#All],MATCH(A220,Average_Distance_by_kilometre_grouping_for_mode_type[#Headers],0),0)</f>
        <v>5</v>
      </c>
      <c r="I220" s="89">
        <f>VLOOKUP(D220,Average_Distance_by_kilometres_grouping_for_trip_purpose[#All],MATCH(A220,Average_Distance_by_kilometres_grouping_for_trip_purpose[#Headers],0),0)</f>
        <v>5</v>
      </c>
      <c r="J220" s="89">
        <f t="shared" si="16"/>
        <v>5</v>
      </c>
      <c r="K220" s="89">
        <f t="shared" si="17"/>
        <v>0.10540739959945188</v>
      </c>
      <c r="L220" s="89">
        <v>1</v>
      </c>
      <c r="M220" s="13">
        <f t="shared" si="18"/>
        <v>2018610.8203384527</v>
      </c>
      <c r="N220" s="89">
        <f t="shared" si="19"/>
        <v>3.3076354229985445E-5</v>
      </c>
    </row>
    <row r="221" spans="1:14" x14ac:dyDescent="0.25">
      <c r="A221" s="79" t="s">
        <v>128</v>
      </c>
      <c r="B221" s="89" t="s">
        <v>9</v>
      </c>
      <c r="C221" s="89" t="s">
        <v>243</v>
      </c>
      <c r="D221" s="13" t="s">
        <v>182</v>
      </c>
      <c r="E221" s="35">
        <f>VLOOKUP(B221, Passenger_Kilometre_by_mode_type[#All],MATCH(A221, Passenger_Kilometre_by_mode_type[#Headers],0),0)</f>
        <v>223983167.86609241</v>
      </c>
      <c r="F221" s="89">
        <f>VLOOKUP(C221, Reason_for_walking_cycling_journeys_by_percentage[#All],MATCH(A221, Reason_for_walking_cycling_journeys_by_percentage[#Headers],0),0)/100</f>
        <v>8.5500000000000007E-2</v>
      </c>
      <c r="G221" s="13">
        <f t="shared" si="15"/>
        <v>19150560.852550901</v>
      </c>
      <c r="H221" s="89">
        <f>VLOOKUP(D221,Average_Distance_by_kilometre_grouping_for_mode_type[#All],MATCH(A221,Average_Distance_by_kilometre_grouping_for_mode_type[#Headers],0),0)</f>
        <v>7</v>
      </c>
      <c r="I221" s="89">
        <f>VLOOKUP(D221,Average_Distance_by_kilometres_grouping_for_trip_purpose[#All],MATCH(A221,Average_Distance_by_kilometres_grouping_for_trip_purpose[#Headers],0),0)</f>
        <v>7</v>
      </c>
      <c r="J221" s="89">
        <f t="shared" si="16"/>
        <v>7</v>
      </c>
      <c r="K221" s="89">
        <f t="shared" si="17"/>
        <v>0.14757035943923263</v>
      </c>
      <c r="L221" s="89">
        <v>1</v>
      </c>
      <c r="M221" s="13">
        <f t="shared" si="18"/>
        <v>2826055.1484738337</v>
      </c>
      <c r="N221" s="89">
        <f t="shared" si="19"/>
        <v>4.6306895921979624E-5</v>
      </c>
    </row>
    <row r="222" spans="1:14" x14ac:dyDescent="0.25">
      <c r="A222" s="79" t="s">
        <v>128</v>
      </c>
      <c r="B222" s="89" t="s">
        <v>9</v>
      </c>
      <c r="C222" s="89" t="s">
        <v>243</v>
      </c>
      <c r="D222" s="13" t="s">
        <v>1</v>
      </c>
      <c r="E222" s="35">
        <f>VLOOKUP(B222, Passenger_Kilometre_by_mode_type[#All],MATCH(A222, Passenger_Kilometre_by_mode_type[#Headers],0),0)</f>
        <v>223983167.86609241</v>
      </c>
      <c r="F222" s="89">
        <f>VLOOKUP(C222, Reason_for_walking_cycling_journeys_by_percentage[#All],MATCH(A222, Reason_for_walking_cycling_journeys_by_percentage[#Headers],0),0)/100</f>
        <v>8.5500000000000007E-2</v>
      </c>
      <c r="G222" s="13">
        <f t="shared" si="15"/>
        <v>19150560.852550901</v>
      </c>
      <c r="H222" s="89">
        <f>VLOOKUP(D222,Average_Distance_by_kilometre_grouping_for_mode_type[#All],MATCH(A222,Average_Distance_by_kilometre_grouping_for_mode_type[#Headers],0),0)</f>
        <v>30.1</v>
      </c>
      <c r="I222" s="89">
        <f>VLOOKUP(D222,Average_Distance_by_kilometres_grouping_for_trip_purpose[#All],MATCH(A222,Average_Distance_by_kilometres_grouping_for_trip_purpose[#Headers],0),0)</f>
        <v>32.770000000000003</v>
      </c>
      <c r="J222" s="89">
        <f t="shared" si="16"/>
        <v>31.435000000000002</v>
      </c>
      <c r="K222" s="89">
        <f t="shared" si="17"/>
        <v>0.66269632128175404</v>
      </c>
      <c r="L222" s="89">
        <v>1</v>
      </c>
      <c r="M222" s="13">
        <f t="shared" si="18"/>
        <v>12691006.227467854</v>
      </c>
      <c r="N222" s="89">
        <f t="shared" si="19"/>
        <v>2.0795103904391854E-4</v>
      </c>
    </row>
    <row r="223" spans="1:14" x14ac:dyDescent="0.25">
      <c r="A223" s="79" t="s">
        <v>128</v>
      </c>
      <c r="B223" s="89" t="s">
        <v>9</v>
      </c>
      <c r="C223" s="89" t="s">
        <v>50</v>
      </c>
      <c r="D223" s="13" t="s">
        <v>12</v>
      </c>
      <c r="E223" s="35">
        <f>VLOOKUP(B223, Passenger_Kilometre_by_mode_type[#All],MATCH(A223, Passenger_Kilometre_by_mode_type[#Headers],0),0)</f>
        <v>223983167.86609241</v>
      </c>
      <c r="F223" s="89">
        <f>VLOOKUP(C223, Reason_for_walking_cycling_journeys_by_percentage[#All],MATCH(A223, Reason_for_walking_cycling_journeys_by_percentage[#Headers],0),0)/100</f>
        <v>6.4000000000000001E-2</v>
      </c>
      <c r="G223" s="13">
        <f t="shared" si="15"/>
        <v>14334922.743429914</v>
      </c>
      <c r="H223" s="89">
        <f>VLOOKUP(D223,Average_Distance_by_kilometre_grouping_for_mode_type[#All],MATCH(A223,Average_Distance_by_kilometre_grouping_for_mode_type[#Headers],0),0)</f>
        <v>1</v>
      </c>
      <c r="I223" s="89">
        <f>VLOOKUP(D223,Average_Distance_by_kilometres_grouping_for_trip_purpose[#All],MATCH(A223,Average_Distance_by_kilometres_grouping_for_trip_purpose[#Headers],0),0)</f>
        <v>1</v>
      </c>
      <c r="J223" s="89">
        <f t="shared" si="16"/>
        <v>1</v>
      </c>
      <c r="K223" s="89">
        <f t="shared" si="17"/>
        <v>2.1081479919890376E-2</v>
      </c>
      <c r="L223" s="89">
        <v>1</v>
      </c>
      <c r="M223" s="13">
        <f t="shared" si="18"/>
        <v>302201.38596879761</v>
      </c>
      <c r="N223" s="89">
        <f t="shared" si="19"/>
        <v>4.9517816858925586E-6</v>
      </c>
    </row>
    <row r="224" spans="1:14" x14ac:dyDescent="0.25">
      <c r="A224" s="79" t="s">
        <v>128</v>
      </c>
      <c r="B224" s="89" t="s">
        <v>9</v>
      </c>
      <c r="C224" s="89" t="s">
        <v>50</v>
      </c>
      <c r="D224" s="13" t="s">
        <v>181</v>
      </c>
      <c r="E224" s="35">
        <f>VLOOKUP(B224, Passenger_Kilometre_by_mode_type[#All],MATCH(A224, Passenger_Kilometre_by_mode_type[#Headers],0),0)</f>
        <v>223983167.86609241</v>
      </c>
      <c r="F224" s="89">
        <f>VLOOKUP(C224, Reason_for_walking_cycling_journeys_by_percentage[#All],MATCH(A224, Reason_for_walking_cycling_journeys_by_percentage[#Headers],0),0)/100</f>
        <v>6.4000000000000001E-2</v>
      </c>
      <c r="G224" s="13">
        <f t="shared" si="15"/>
        <v>14334922.743429914</v>
      </c>
      <c r="H224" s="89">
        <f>VLOOKUP(D224,Average_Distance_by_kilometre_grouping_for_mode_type[#All],MATCH(A224,Average_Distance_by_kilometre_grouping_for_mode_type[#Headers],0),0)</f>
        <v>3</v>
      </c>
      <c r="I224" s="89">
        <f>VLOOKUP(D224,Average_Distance_by_kilometres_grouping_for_trip_purpose[#All],MATCH(A224,Average_Distance_by_kilometres_grouping_for_trip_purpose[#Headers],0),0)</f>
        <v>3</v>
      </c>
      <c r="J224" s="89">
        <f t="shared" si="16"/>
        <v>3</v>
      </c>
      <c r="K224" s="89">
        <f t="shared" si="17"/>
        <v>6.3244439759671131E-2</v>
      </c>
      <c r="L224" s="89">
        <v>1</v>
      </c>
      <c r="M224" s="13">
        <f t="shared" si="18"/>
        <v>906604.15790639282</v>
      </c>
      <c r="N224" s="89">
        <f t="shared" si="19"/>
        <v>1.4855345057677675E-5</v>
      </c>
    </row>
    <row r="225" spans="1:14" x14ac:dyDescent="0.25">
      <c r="A225" s="79" t="s">
        <v>128</v>
      </c>
      <c r="B225" s="89" t="s">
        <v>9</v>
      </c>
      <c r="C225" s="89" t="s">
        <v>50</v>
      </c>
      <c r="D225" s="13" t="s">
        <v>180</v>
      </c>
      <c r="E225" s="35">
        <f>VLOOKUP(B225, Passenger_Kilometre_by_mode_type[#All],MATCH(A225, Passenger_Kilometre_by_mode_type[#Headers],0),0)</f>
        <v>223983167.86609241</v>
      </c>
      <c r="F225" s="89">
        <f>VLOOKUP(C225, Reason_for_walking_cycling_journeys_by_percentage[#All],MATCH(A225, Reason_for_walking_cycling_journeys_by_percentage[#Headers],0),0)/100</f>
        <v>6.4000000000000001E-2</v>
      </c>
      <c r="G225" s="13">
        <f t="shared" si="15"/>
        <v>14334922.743429914</v>
      </c>
      <c r="H225" s="89">
        <f>VLOOKUP(D225,Average_Distance_by_kilometre_grouping_for_mode_type[#All],MATCH(A225,Average_Distance_by_kilometre_grouping_for_mode_type[#Headers],0),0)</f>
        <v>5</v>
      </c>
      <c r="I225" s="89">
        <f>VLOOKUP(D225,Average_Distance_by_kilometres_grouping_for_trip_purpose[#All],MATCH(A225,Average_Distance_by_kilometres_grouping_for_trip_purpose[#Headers],0),0)</f>
        <v>5</v>
      </c>
      <c r="J225" s="89">
        <f t="shared" si="16"/>
        <v>5</v>
      </c>
      <c r="K225" s="89">
        <f t="shared" si="17"/>
        <v>0.10540739959945188</v>
      </c>
      <c r="L225" s="89">
        <v>1</v>
      </c>
      <c r="M225" s="13">
        <f t="shared" si="18"/>
        <v>1511006.9298439878</v>
      </c>
      <c r="N225" s="89">
        <f t="shared" si="19"/>
        <v>2.4758908429462787E-5</v>
      </c>
    </row>
    <row r="226" spans="1:14" x14ac:dyDescent="0.25">
      <c r="A226" s="79" t="s">
        <v>128</v>
      </c>
      <c r="B226" s="89" t="s">
        <v>9</v>
      </c>
      <c r="C226" s="89" t="s">
        <v>50</v>
      </c>
      <c r="D226" s="13" t="s">
        <v>182</v>
      </c>
      <c r="E226" s="35">
        <f>VLOOKUP(B226, Passenger_Kilometre_by_mode_type[#All],MATCH(A226, Passenger_Kilometre_by_mode_type[#Headers],0),0)</f>
        <v>223983167.86609241</v>
      </c>
      <c r="F226" s="89">
        <f>VLOOKUP(C226, Reason_for_walking_cycling_journeys_by_percentage[#All],MATCH(A226, Reason_for_walking_cycling_journeys_by_percentage[#Headers],0),0)/100</f>
        <v>6.4000000000000001E-2</v>
      </c>
      <c r="G226" s="13">
        <f t="shared" si="15"/>
        <v>14334922.743429914</v>
      </c>
      <c r="H226" s="89">
        <f>VLOOKUP(D226,Average_Distance_by_kilometre_grouping_for_mode_type[#All],MATCH(A226,Average_Distance_by_kilometre_grouping_for_mode_type[#Headers],0),0)</f>
        <v>7</v>
      </c>
      <c r="I226" s="89">
        <f>VLOOKUP(D226,Average_Distance_by_kilometres_grouping_for_trip_purpose[#All],MATCH(A226,Average_Distance_by_kilometres_grouping_for_trip_purpose[#Headers],0),0)</f>
        <v>7</v>
      </c>
      <c r="J226" s="89">
        <f t="shared" si="16"/>
        <v>7</v>
      </c>
      <c r="K226" s="89">
        <f t="shared" si="17"/>
        <v>0.14757035943923263</v>
      </c>
      <c r="L226" s="89">
        <v>1</v>
      </c>
      <c r="M226" s="13">
        <f t="shared" si="18"/>
        <v>2115409.701781583</v>
      </c>
      <c r="N226" s="89">
        <f t="shared" si="19"/>
        <v>3.4662471801247906E-5</v>
      </c>
    </row>
    <row r="227" spans="1:14" x14ac:dyDescent="0.25">
      <c r="A227" s="79" t="s">
        <v>128</v>
      </c>
      <c r="B227" s="89" t="s">
        <v>9</v>
      </c>
      <c r="C227" s="89" t="s">
        <v>50</v>
      </c>
      <c r="D227" s="13" t="s">
        <v>1</v>
      </c>
      <c r="E227" s="35">
        <f>VLOOKUP(B227, Passenger_Kilometre_by_mode_type[#All],MATCH(A227, Passenger_Kilometre_by_mode_type[#Headers],0),0)</f>
        <v>223983167.86609241</v>
      </c>
      <c r="F227" s="89">
        <f>VLOOKUP(C227, Reason_for_walking_cycling_journeys_by_percentage[#All],MATCH(A227, Reason_for_walking_cycling_journeys_by_percentage[#Headers],0),0)/100</f>
        <v>6.4000000000000001E-2</v>
      </c>
      <c r="G227" s="13">
        <f t="shared" si="15"/>
        <v>14334922.743429914</v>
      </c>
      <c r="H227" s="89">
        <f>VLOOKUP(D227,Average_Distance_by_kilometre_grouping_for_mode_type[#All],MATCH(A227,Average_Distance_by_kilometre_grouping_for_mode_type[#Headers],0),0)</f>
        <v>30.1</v>
      </c>
      <c r="I227" s="89">
        <f>VLOOKUP(D227,Average_Distance_by_kilometres_grouping_for_trip_purpose[#All],MATCH(A227,Average_Distance_by_kilometres_grouping_for_trip_purpose[#Headers],0),0)</f>
        <v>32.770000000000003</v>
      </c>
      <c r="J227" s="89">
        <f t="shared" si="16"/>
        <v>31.435000000000002</v>
      </c>
      <c r="K227" s="89">
        <f t="shared" si="17"/>
        <v>0.66269632128175404</v>
      </c>
      <c r="L227" s="89">
        <v>1</v>
      </c>
      <c r="M227" s="13">
        <f t="shared" si="18"/>
        <v>9499700.5679291543</v>
      </c>
      <c r="N227" s="89">
        <f t="shared" si="19"/>
        <v>1.5565925729603259E-4</v>
      </c>
    </row>
    <row r="228" spans="1:14" x14ac:dyDescent="0.25">
      <c r="A228" s="79" t="s">
        <v>128</v>
      </c>
      <c r="B228" s="89" t="s">
        <v>10</v>
      </c>
      <c r="C228" s="89" t="s">
        <v>42</v>
      </c>
      <c r="D228" s="13" t="s">
        <v>12</v>
      </c>
      <c r="E228" s="35">
        <f>VLOOKUP(B228, Passenger_Kilometre_by_mode_type[#All],MATCH(A228, Passenger_Kilometre_by_mode_type[#Headers],0),0)</f>
        <v>2755466733.4071422</v>
      </c>
      <c r="F228" s="89">
        <f>VLOOKUP(C228, Reason_for_public_transport_journeys_by_percentage[#All],MATCH(A228, Reason_for_public_transport_journeys_by_percentage[#Headers],0),0)/100</f>
        <v>0.28824999999999995</v>
      </c>
      <c r="G228" s="13">
        <f t="shared" si="15"/>
        <v>794263285.90460861</v>
      </c>
      <c r="H228" s="89">
        <f>VLOOKUP(D228,Average_Distance_by_kilometre_grouping_for_mode_type[#All],MATCH(A228,Average_Distance_by_kilometre_grouping_for_mode_type[#Headers],0),0)</f>
        <v>1</v>
      </c>
      <c r="I228" s="89">
        <f>VLOOKUP(D228,Average_Distance_by_kilometres_grouping_for_trip_purpose[#All],MATCH(A228,Average_Distance_by_kilometres_grouping_for_trip_purpose[#Headers],0),0)</f>
        <v>1</v>
      </c>
      <c r="J228" s="89">
        <f t="shared" si="16"/>
        <v>1</v>
      </c>
      <c r="K228" s="89">
        <f t="shared" si="17"/>
        <v>2.1081479919890376E-2</v>
      </c>
      <c r="L228" s="89">
        <v>1</v>
      </c>
      <c r="M228" s="13">
        <f t="shared" si="18"/>
        <v>16744245.512904154</v>
      </c>
      <c r="N228" s="89">
        <f t="shared" si="19"/>
        <v>2.7436620784872348E-4</v>
      </c>
    </row>
    <row r="229" spans="1:14" x14ac:dyDescent="0.25">
      <c r="A229" s="79" t="s">
        <v>128</v>
      </c>
      <c r="B229" s="89" t="s">
        <v>10</v>
      </c>
      <c r="C229" s="89" t="s">
        <v>42</v>
      </c>
      <c r="D229" s="13" t="s">
        <v>181</v>
      </c>
      <c r="E229" s="35">
        <f>VLOOKUP(B229, Passenger_Kilometre_by_mode_type[#All],MATCH(A229, Passenger_Kilometre_by_mode_type[#Headers],0),0)</f>
        <v>2755466733.4071422</v>
      </c>
      <c r="F229" s="89">
        <f>VLOOKUP(C229, Reason_for_public_transport_journeys_by_percentage[#All],MATCH(A229, Reason_for_public_transport_journeys_by_percentage[#Headers],0),0)/100</f>
        <v>0.28824999999999995</v>
      </c>
      <c r="G229" s="13">
        <f t="shared" si="15"/>
        <v>794263285.90460861</v>
      </c>
      <c r="H229" s="89">
        <f>VLOOKUP(D229,Average_Distance_by_kilometre_grouping_for_mode_type[#All],MATCH(A229,Average_Distance_by_kilometre_grouping_for_mode_type[#Headers],0),0)</f>
        <v>3</v>
      </c>
      <c r="I229" s="89">
        <f>VLOOKUP(D229,Average_Distance_by_kilometres_grouping_for_trip_purpose[#All],MATCH(A229,Average_Distance_by_kilometres_grouping_for_trip_purpose[#Headers],0),0)</f>
        <v>3</v>
      </c>
      <c r="J229" s="89">
        <f t="shared" si="16"/>
        <v>3</v>
      </c>
      <c r="K229" s="89">
        <f t="shared" si="17"/>
        <v>6.3244439759671131E-2</v>
      </c>
      <c r="L229" s="89">
        <v>1</v>
      </c>
      <c r="M229" s="13">
        <f t="shared" si="18"/>
        <v>50232736.538712464</v>
      </c>
      <c r="N229" s="89">
        <f t="shared" si="19"/>
        <v>8.2309862354617051E-4</v>
      </c>
    </row>
    <row r="230" spans="1:14" x14ac:dyDescent="0.25">
      <c r="A230" s="79" t="s">
        <v>128</v>
      </c>
      <c r="B230" s="89" t="s">
        <v>10</v>
      </c>
      <c r="C230" s="89" t="s">
        <v>42</v>
      </c>
      <c r="D230" s="13" t="s">
        <v>180</v>
      </c>
      <c r="E230" s="35">
        <f>VLOOKUP(B230, Passenger_Kilometre_by_mode_type[#All],MATCH(A230, Passenger_Kilometre_by_mode_type[#Headers],0),0)</f>
        <v>2755466733.4071422</v>
      </c>
      <c r="F230" s="89">
        <f>VLOOKUP(C230, Reason_for_public_transport_journeys_by_percentage[#All],MATCH(A230, Reason_for_public_transport_journeys_by_percentage[#Headers],0),0)/100</f>
        <v>0.28824999999999995</v>
      </c>
      <c r="G230" s="13">
        <f t="shared" si="15"/>
        <v>794263285.90460861</v>
      </c>
      <c r="H230" s="89">
        <f>VLOOKUP(D230,Average_Distance_by_kilometre_grouping_for_mode_type[#All],MATCH(A230,Average_Distance_by_kilometre_grouping_for_mode_type[#Headers],0),0)</f>
        <v>5</v>
      </c>
      <c r="I230" s="89">
        <f>VLOOKUP(D230,Average_Distance_by_kilometres_grouping_for_trip_purpose[#All],MATCH(A230,Average_Distance_by_kilometres_grouping_for_trip_purpose[#Headers],0),0)</f>
        <v>5</v>
      </c>
      <c r="J230" s="89">
        <f t="shared" si="16"/>
        <v>5</v>
      </c>
      <c r="K230" s="89">
        <f t="shared" si="17"/>
        <v>0.10540739959945188</v>
      </c>
      <c r="L230" s="89">
        <v>1</v>
      </c>
      <c r="M230" s="13">
        <f t="shared" si="18"/>
        <v>83721227.564520776</v>
      </c>
      <c r="N230" s="89">
        <f t="shared" si="19"/>
        <v>1.3718310392436177E-3</v>
      </c>
    </row>
    <row r="231" spans="1:14" x14ac:dyDescent="0.25">
      <c r="A231" s="79" t="s">
        <v>128</v>
      </c>
      <c r="B231" s="89" t="s">
        <v>10</v>
      </c>
      <c r="C231" s="89" t="s">
        <v>42</v>
      </c>
      <c r="D231" s="13" t="s">
        <v>182</v>
      </c>
      <c r="E231" s="35">
        <f>VLOOKUP(B231, Passenger_Kilometre_by_mode_type[#All],MATCH(A231, Passenger_Kilometre_by_mode_type[#Headers],0),0)</f>
        <v>2755466733.4071422</v>
      </c>
      <c r="F231" s="89">
        <f>VLOOKUP(C231, Reason_for_public_transport_journeys_by_percentage[#All],MATCH(A231, Reason_for_public_transport_journeys_by_percentage[#Headers],0),0)/100</f>
        <v>0.28824999999999995</v>
      </c>
      <c r="G231" s="13">
        <f t="shared" si="15"/>
        <v>794263285.90460861</v>
      </c>
      <c r="H231" s="89">
        <f>VLOOKUP(D231,Average_Distance_by_kilometre_grouping_for_mode_type[#All],MATCH(A231,Average_Distance_by_kilometre_grouping_for_mode_type[#Headers],0),0)</f>
        <v>7</v>
      </c>
      <c r="I231" s="89">
        <f>VLOOKUP(D231,Average_Distance_by_kilometres_grouping_for_trip_purpose[#All],MATCH(A231,Average_Distance_by_kilometres_grouping_for_trip_purpose[#Headers],0),0)</f>
        <v>7</v>
      </c>
      <c r="J231" s="89">
        <f t="shared" si="16"/>
        <v>7</v>
      </c>
      <c r="K231" s="89">
        <f t="shared" si="17"/>
        <v>0.14757035943923263</v>
      </c>
      <c r="L231" s="89">
        <v>1</v>
      </c>
      <c r="M231" s="13">
        <f t="shared" si="18"/>
        <v>117209718.59032908</v>
      </c>
      <c r="N231" s="89">
        <f t="shared" si="19"/>
        <v>1.9205634549410646E-3</v>
      </c>
    </row>
    <row r="232" spans="1:14" x14ac:dyDescent="0.25">
      <c r="A232" s="79" t="s">
        <v>128</v>
      </c>
      <c r="B232" s="89" t="s">
        <v>10</v>
      </c>
      <c r="C232" s="89" t="s">
        <v>42</v>
      </c>
      <c r="D232" s="13" t="s">
        <v>1</v>
      </c>
      <c r="E232" s="35">
        <f>VLOOKUP(B232, Passenger_Kilometre_by_mode_type[#All],MATCH(A232, Passenger_Kilometre_by_mode_type[#Headers],0),0)</f>
        <v>2755466733.4071422</v>
      </c>
      <c r="F232" s="89">
        <f>VLOOKUP(C232, Reason_for_public_transport_journeys_by_percentage[#All],MATCH(A232, Reason_for_public_transport_journeys_by_percentage[#Headers],0),0)/100</f>
        <v>0.28824999999999995</v>
      </c>
      <c r="G232" s="13">
        <f t="shared" si="15"/>
        <v>794263285.90460861</v>
      </c>
      <c r="H232" s="89">
        <f>VLOOKUP(D232,Average_Distance_by_kilometre_grouping_for_mode_type[#All],MATCH(A232,Average_Distance_by_kilometre_grouping_for_mode_type[#Headers],0),0)</f>
        <v>30.1</v>
      </c>
      <c r="I232" s="89">
        <f>VLOOKUP(D232,Average_Distance_by_kilometres_grouping_for_trip_purpose[#All],MATCH(A232,Average_Distance_by_kilometres_grouping_for_trip_purpose[#Headers],0),0)</f>
        <v>32.770000000000003</v>
      </c>
      <c r="J232" s="89">
        <f t="shared" si="16"/>
        <v>31.435000000000002</v>
      </c>
      <c r="K232" s="89">
        <f t="shared" si="17"/>
        <v>0.66269632128175404</v>
      </c>
      <c r="L232" s="89">
        <v>1</v>
      </c>
      <c r="M232" s="13">
        <f t="shared" si="18"/>
        <v>526355357.69814217</v>
      </c>
      <c r="N232" s="89">
        <f t="shared" si="19"/>
        <v>8.6247017437246255E-3</v>
      </c>
    </row>
    <row r="233" spans="1:14" x14ac:dyDescent="0.25">
      <c r="A233" s="79" t="s">
        <v>128</v>
      </c>
      <c r="B233" s="89" t="s">
        <v>10</v>
      </c>
      <c r="C233" s="89" t="s">
        <v>43</v>
      </c>
      <c r="D233" s="13" t="s">
        <v>12</v>
      </c>
      <c r="E233" s="35">
        <f>VLOOKUP(B233, Passenger_Kilometre_by_mode_type[#All],MATCH(A233, Passenger_Kilometre_by_mode_type[#Headers],0),0)</f>
        <v>2755466733.4071422</v>
      </c>
      <c r="F233" s="89">
        <f>VLOOKUP(C233, Reason_for_public_transport_journeys_by_percentage[#All],MATCH(A233, Reason_for_public_transport_journeys_by_percentage[#Headers],0),0)/100</f>
        <v>0.12437499999999999</v>
      </c>
      <c r="G233" s="13">
        <f t="shared" si="15"/>
        <v>342711174.96751326</v>
      </c>
      <c r="H233" s="89">
        <f>VLOOKUP(D233,Average_Distance_by_kilometre_grouping_for_mode_type[#All],MATCH(A233,Average_Distance_by_kilometre_grouping_for_mode_type[#Headers],0),0)</f>
        <v>1</v>
      </c>
      <c r="I233" s="89">
        <f>VLOOKUP(D233,Average_Distance_by_kilometres_grouping_for_trip_purpose[#All],MATCH(A233,Average_Distance_by_kilometres_grouping_for_trip_purpose[#Headers],0),0)</f>
        <v>1</v>
      </c>
      <c r="J233" s="89">
        <f t="shared" si="16"/>
        <v>1</v>
      </c>
      <c r="K233" s="89">
        <f t="shared" si="17"/>
        <v>2.1081479919890376E-2</v>
      </c>
      <c r="L233" s="89">
        <v>1</v>
      </c>
      <c r="M233" s="13">
        <f t="shared" si="18"/>
        <v>7224858.7533996683</v>
      </c>
      <c r="N233" s="89">
        <f t="shared" si="19"/>
        <v>1.183843784950043E-4</v>
      </c>
    </row>
    <row r="234" spans="1:14" x14ac:dyDescent="0.25">
      <c r="A234" s="79" t="s">
        <v>128</v>
      </c>
      <c r="B234" s="89" t="s">
        <v>10</v>
      </c>
      <c r="C234" s="89" t="s">
        <v>43</v>
      </c>
      <c r="D234" s="13" t="s">
        <v>181</v>
      </c>
      <c r="E234" s="35">
        <f>VLOOKUP(B234, Passenger_Kilometre_by_mode_type[#All],MATCH(A234, Passenger_Kilometre_by_mode_type[#Headers],0),0)</f>
        <v>2755466733.4071422</v>
      </c>
      <c r="F234" s="89">
        <f>VLOOKUP(C234, Reason_for_public_transport_journeys_by_percentage[#All],MATCH(A234, Reason_for_public_transport_journeys_by_percentage[#Headers],0),0)/100</f>
        <v>0.12437499999999999</v>
      </c>
      <c r="G234" s="13">
        <f t="shared" si="15"/>
        <v>342711174.96751326</v>
      </c>
      <c r="H234" s="89">
        <f>VLOOKUP(D234,Average_Distance_by_kilometre_grouping_for_mode_type[#All],MATCH(A234,Average_Distance_by_kilometre_grouping_for_mode_type[#Headers],0),0)</f>
        <v>3</v>
      </c>
      <c r="I234" s="89">
        <f>VLOOKUP(D234,Average_Distance_by_kilometres_grouping_for_trip_purpose[#All],MATCH(A234,Average_Distance_by_kilometres_grouping_for_trip_purpose[#Headers],0),0)</f>
        <v>3</v>
      </c>
      <c r="J234" s="89">
        <f t="shared" si="16"/>
        <v>3</v>
      </c>
      <c r="K234" s="89">
        <f t="shared" si="17"/>
        <v>6.3244439759671131E-2</v>
      </c>
      <c r="L234" s="89">
        <v>1</v>
      </c>
      <c r="M234" s="13">
        <f t="shared" si="18"/>
        <v>21674576.260199007</v>
      </c>
      <c r="N234" s="89">
        <f t="shared" si="19"/>
        <v>3.5515313548501294E-4</v>
      </c>
    </row>
    <row r="235" spans="1:14" x14ac:dyDescent="0.25">
      <c r="A235" s="79" t="s">
        <v>128</v>
      </c>
      <c r="B235" s="89" t="s">
        <v>10</v>
      </c>
      <c r="C235" s="89" t="s">
        <v>43</v>
      </c>
      <c r="D235" s="13" t="s">
        <v>180</v>
      </c>
      <c r="E235" s="35">
        <f>VLOOKUP(B235, Passenger_Kilometre_by_mode_type[#All],MATCH(A235, Passenger_Kilometre_by_mode_type[#Headers],0),0)</f>
        <v>2755466733.4071422</v>
      </c>
      <c r="F235" s="89">
        <f>VLOOKUP(C235, Reason_for_public_transport_journeys_by_percentage[#All],MATCH(A235, Reason_for_public_transport_journeys_by_percentage[#Headers],0),0)/100</f>
        <v>0.12437499999999999</v>
      </c>
      <c r="G235" s="13">
        <f t="shared" si="15"/>
        <v>342711174.96751326</v>
      </c>
      <c r="H235" s="89">
        <f>VLOOKUP(D235,Average_Distance_by_kilometre_grouping_for_mode_type[#All],MATCH(A235,Average_Distance_by_kilometre_grouping_for_mode_type[#Headers],0),0)</f>
        <v>5</v>
      </c>
      <c r="I235" s="89">
        <f>VLOOKUP(D235,Average_Distance_by_kilometres_grouping_for_trip_purpose[#All],MATCH(A235,Average_Distance_by_kilometres_grouping_for_trip_purpose[#Headers],0),0)</f>
        <v>5</v>
      </c>
      <c r="J235" s="89">
        <f t="shared" si="16"/>
        <v>5</v>
      </c>
      <c r="K235" s="89">
        <f t="shared" si="17"/>
        <v>0.10540739959945188</v>
      </c>
      <c r="L235" s="89">
        <v>1</v>
      </c>
      <c r="M235" s="13">
        <f t="shared" si="18"/>
        <v>36124293.766998336</v>
      </c>
      <c r="N235" s="89">
        <f t="shared" si="19"/>
        <v>5.9192189247502143E-4</v>
      </c>
    </row>
    <row r="236" spans="1:14" x14ac:dyDescent="0.25">
      <c r="A236" s="79" t="s">
        <v>128</v>
      </c>
      <c r="B236" s="89" t="s">
        <v>10</v>
      </c>
      <c r="C236" s="89" t="s">
        <v>43</v>
      </c>
      <c r="D236" s="13" t="s">
        <v>182</v>
      </c>
      <c r="E236" s="35">
        <f>VLOOKUP(B236, Passenger_Kilometre_by_mode_type[#All],MATCH(A236, Passenger_Kilometre_by_mode_type[#Headers],0),0)</f>
        <v>2755466733.4071422</v>
      </c>
      <c r="F236" s="89">
        <f>VLOOKUP(C236, Reason_for_public_transport_journeys_by_percentage[#All],MATCH(A236, Reason_for_public_transport_journeys_by_percentage[#Headers],0),0)/100</f>
        <v>0.12437499999999999</v>
      </c>
      <c r="G236" s="13">
        <f t="shared" si="15"/>
        <v>342711174.96751326</v>
      </c>
      <c r="H236" s="89">
        <f>VLOOKUP(D236,Average_Distance_by_kilometre_grouping_for_mode_type[#All],MATCH(A236,Average_Distance_by_kilometre_grouping_for_mode_type[#Headers],0),0)</f>
        <v>7</v>
      </c>
      <c r="I236" s="89">
        <f>VLOOKUP(D236,Average_Distance_by_kilometres_grouping_for_trip_purpose[#All],MATCH(A236,Average_Distance_by_kilometres_grouping_for_trip_purpose[#Headers],0),0)</f>
        <v>7</v>
      </c>
      <c r="J236" s="89">
        <f t="shared" si="16"/>
        <v>7</v>
      </c>
      <c r="K236" s="89">
        <f t="shared" si="17"/>
        <v>0.14757035943923263</v>
      </c>
      <c r="L236" s="89">
        <v>1</v>
      </c>
      <c r="M236" s="13">
        <f t="shared" si="18"/>
        <v>50574011.273797676</v>
      </c>
      <c r="N236" s="89">
        <f t="shared" si="19"/>
        <v>8.2869064946503002E-4</v>
      </c>
    </row>
    <row r="237" spans="1:14" x14ac:dyDescent="0.25">
      <c r="A237" s="79" t="s">
        <v>128</v>
      </c>
      <c r="B237" s="89" t="s">
        <v>10</v>
      </c>
      <c r="C237" s="89" t="s">
        <v>43</v>
      </c>
      <c r="D237" s="13" t="s">
        <v>1</v>
      </c>
      <c r="E237" s="35">
        <f>VLOOKUP(B237, Passenger_Kilometre_by_mode_type[#All],MATCH(A237, Passenger_Kilometre_by_mode_type[#Headers],0),0)</f>
        <v>2755466733.4071422</v>
      </c>
      <c r="F237" s="89">
        <f>VLOOKUP(C237, Reason_for_public_transport_journeys_by_percentage[#All],MATCH(A237, Reason_for_public_transport_journeys_by_percentage[#Headers],0),0)/100</f>
        <v>0.12437499999999999</v>
      </c>
      <c r="G237" s="13">
        <f t="shared" si="15"/>
        <v>342711174.96751326</v>
      </c>
      <c r="H237" s="89">
        <f>VLOOKUP(D237,Average_Distance_by_kilometre_grouping_for_mode_type[#All],MATCH(A237,Average_Distance_by_kilometre_grouping_for_mode_type[#Headers],0),0)</f>
        <v>30.1</v>
      </c>
      <c r="I237" s="89">
        <f>VLOOKUP(D237,Average_Distance_by_kilometres_grouping_for_trip_purpose[#All],MATCH(A237,Average_Distance_by_kilometres_grouping_for_trip_purpose[#Headers],0),0)</f>
        <v>32.770000000000003</v>
      </c>
      <c r="J237" s="89">
        <f t="shared" si="16"/>
        <v>31.435000000000002</v>
      </c>
      <c r="K237" s="89">
        <f t="shared" si="17"/>
        <v>0.66269632128175404</v>
      </c>
      <c r="L237" s="89">
        <v>1</v>
      </c>
      <c r="M237" s="13">
        <f t="shared" si="18"/>
        <v>227113434.9131186</v>
      </c>
      <c r="N237" s="89">
        <f t="shared" si="19"/>
        <v>3.7214129379904608E-3</v>
      </c>
    </row>
    <row r="238" spans="1:14" x14ac:dyDescent="0.25">
      <c r="A238" s="79" t="s">
        <v>128</v>
      </c>
      <c r="B238" s="89" t="s">
        <v>10</v>
      </c>
      <c r="C238" s="89" t="s">
        <v>44</v>
      </c>
      <c r="D238" s="13" t="s">
        <v>12</v>
      </c>
      <c r="E238" s="35">
        <f>VLOOKUP(B238, Passenger_Kilometre_by_mode_type[#All],MATCH(A238, Passenger_Kilometre_by_mode_type[#Headers],0),0)</f>
        <v>2755466733.4071422</v>
      </c>
      <c r="F238" s="89">
        <f>VLOOKUP(C238, Reason_for_public_transport_journeys_by_percentage[#All],MATCH(A238, Reason_for_public_transport_journeys_by_percentage[#Headers],0),0)/100</f>
        <v>0.18625</v>
      </c>
      <c r="G238" s="13">
        <f t="shared" si="15"/>
        <v>513205679.09708023</v>
      </c>
      <c r="H238" s="89">
        <f>VLOOKUP(D238,Average_Distance_by_kilometre_grouping_for_mode_type[#All],MATCH(A238,Average_Distance_by_kilometre_grouping_for_mode_type[#Headers],0),0)</f>
        <v>1</v>
      </c>
      <c r="I238" s="89">
        <f>VLOOKUP(D238,Average_Distance_by_kilometres_grouping_for_trip_purpose[#All],MATCH(A238,Average_Distance_by_kilometres_grouping_for_trip_purpose[#Headers],0),0)</f>
        <v>1</v>
      </c>
      <c r="J238" s="89">
        <f t="shared" si="16"/>
        <v>1</v>
      </c>
      <c r="K238" s="89">
        <f t="shared" si="17"/>
        <v>2.1081479919890376E-2</v>
      </c>
      <c r="L238" s="89">
        <v>1</v>
      </c>
      <c r="M238" s="13">
        <f t="shared" si="18"/>
        <v>10819135.218658801</v>
      </c>
      <c r="N238" s="89">
        <f t="shared" si="19"/>
        <v>1.772791195553331E-4</v>
      </c>
    </row>
    <row r="239" spans="1:14" x14ac:dyDescent="0.25">
      <c r="A239" s="79" t="s">
        <v>128</v>
      </c>
      <c r="B239" s="89" t="s">
        <v>10</v>
      </c>
      <c r="C239" s="89" t="s">
        <v>44</v>
      </c>
      <c r="D239" s="13" t="s">
        <v>181</v>
      </c>
      <c r="E239" s="35">
        <f>VLOOKUP(B239, Passenger_Kilometre_by_mode_type[#All],MATCH(A239, Passenger_Kilometre_by_mode_type[#Headers],0),0)</f>
        <v>2755466733.4071422</v>
      </c>
      <c r="F239" s="89">
        <f>VLOOKUP(C239, Reason_for_public_transport_journeys_by_percentage[#All],MATCH(A239, Reason_for_public_transport_journeys_by_percentage[#Headers],0),0)/100</f>
        <v>0.18625</v>
      </c>
      <c r="G239" s="13">
        <f t="shared" si="15"/>
        <v>513205679.09708023</v>
      </c>
      <c r="H239" s="89">
        <f>VLOOKUP(D239,Average_Distance_by_kilometre_grouping_for_mode_type[#All],MATCH(A239,Average_Distance_by_kilometre_grouping_for_mode_type[#Headers],0),0)</f>
        <v>3</v>
      </c>
      <c r="I239" s="89">
        <f>VLOOKUP(D239,Average_Distance_by_kilometres_grouping_for_trip_purpose[#All],MATCH(A239,Average_Distance_by_kilometres_grouping_for_trip_purpose[#Headers],0),0)</f>
        <v>3</v>
      </c>
      <c r="J239" s="89">
        <f t="shared" si="16"/>
        <v>3</v>
      </c>
      <c r="K239" s="89">
        <f t="shared" si="17"/>
        <v>6.3244439759671131E-2</v>
      </c>
      <c r="L239" s="89">
        <v>1</v>
      </c>
      <c r="M239" s="13">
        <f t="shared" si="18"/>
        <v>32457405.655976404</v>
      </c>
      <c r="N239" s="89">
        <f t="shared" si="19"/>
        <v>5.3183735866599931E-4</v>
      </c>
    </row>
    <row r="240" spans="1:14" x14ac:dyDescent="0.25">
      <c r="A240" s="79" t="s">
        <v>128</v>
      </c>
      <c r="B240" s="89" t="s">
        <v>10</v>
      </c>
      <c r="C240" s="89" t="s">
        <v>44</v>
      </c>
      <c r="D240" s="13" t="s">
        <v>180</v>
      </c>
      <c r="E240" s="35">
        <f>VLOOKUP(B240, Passenger_Kilometre_by_mode_type[#All],MATCH(A240, Passenger_Kilometre_by_mode_type[#Headers],0),0)</f>
        <v>2755466733.4071422</v>
      </c>
      <c r="F240" s="89">
        <f>VLOOKUP(C240, Reason_for_public_transport_journeys_by_percentage[#All],MATCH(A240, Reason_for_public_transport_journeys_by_percentage[#Headers],0),0)/100</f>
        <v>0.18625</v>
      </c>
      <c r="G240" s="13">
        <f t="shared" si="15"/>
        <v>513205679.09708023</v>
      </c>
      <c r="H240" s="89">
        <f>VLOOKUP(D240,Average_Distance_by_kilometre_grouping_for_mode_type[#All],MATCH(A240,Average_Distance_by_kilometre_grouping_for_mode_type[#Headers],0),0)</f>
        <v>5</v>
      </c>
      <c r="I240" s="89">
        <f>VLOOKUP(D240,Average_Distance_by_kilometres_grouping_for_trip_purpose[#All],MATCH(A240,Average_Distance_by_kilometres_grouping_for_trip_purpose[#Headers],0),0)</f>
        <v>5</v>
      </c>
      <c r="J240" s="89">
        <f t="shared" si="16"/>
        <v>5</v>
      </c>
      <c r="K240" s="89">
        <f t="shared" si="17"/>
        <v>0.10540739959945188</v>
      </c>
      <c r="L240" s="89">
        <v>1</v>
      </c>
      <c r="M240" s="13">
        <f t="shared" si="18"/>
        <v>54095676.093294002</v>
      </c>
      <c r="N240" s="89">
        <f t="shared" si="19"/>
        <v>8.8639559777666541E-4</v>
      </c>
    </row>
    <row r="241" spans="1:14" x14ac:dyDescent="0.25">
      <c r="A241" s="79" t="s">
        <v>128</v>
      </c>
      <c r="B241" s="89" t="s">
        <v>10</v>
      </c>
      <c r="C241" s="89" t="s">
        <v>44</v>
      </c>
      <c r="D241" s="13" t="s">
        <v>182</v>
      </c>
      <c r="E241" s="35">
        <f>VLOOKUP(B241, Passenger_Kilometre_by_mode_type[#All],MATCH(A241, Passenger_Kilometre_by_mode_type[#Headers],0),0)</f>
        <v>2755466733.4071422</v>
      </c>
      <c r="F241" s="89">
        <f>VLOOKUP(C241, Reason_for_public_transport_journeys_by_percentage[#All],MATCH(A241, Reason_for_public_transport_journeys_by_percentage[#Headers],0),0)/100</f>
        <v>0.18625</v>
      </c>
      <c r="G241" s="13">
        <f t="shared" si="15"/>
        <v>513205679.09708023</v>
      </c>
      <c r="H241" s="89">
        <f>VLOOKUP(D241,Average_Distance_by_kilometre_grouping_for_mode_type[#All],MATCH(A241,Average_Distance_by_kilometre_grouping_for_mode_type[#Headers],0),0)</f>
        <v>7</v>
      </c>
      <c r="I241" s="89">
        <f>VLOOKUP(D241,Average_Distance_by_kilometres_grouping_for_trip_purpose[#All],MATCH(A241,Average_Distance_by_kilometres_grouping_for_trip_purpose[#Headers],0),0)</f>
        <v>7</v>
      </c>
      <c r="J241" s="89">
        <f t="shared" si="16"/>
        <v>7</v>
      </c>
      <c r="K241" s="89">
        <f t="shared" si="17"/>
        <v>0.14757035943923263</v>
      </c>
      <c r="L241" s="89">
        <v>1</v>
      </c>
      <c r="M241" s="13">
        <f t="shared" si="18"/>
        <v>75733946.530611604</v>
      </c>
      <c r="N241" s="89">
        <f t="shared" si="19"/>
        <v>1.2409538368873315E-3</v>
      </c>
    </row>
    <row r="242" spans="1:14" x14ac:dyDescent="0.25">
      <c r="A242" s="79" t="s">
        <v>128</v>
      </c>
      <c r="B242" s="89" t="s">
        <v>10</v>
      </c>
      <c r="C242" s="89" t="s">
        <v>44</v>
      </c>
      <c r="D242" s="13" t="s">
        <v>1</v>
      </c>
      <c r="E242" s="35">
        <f>VLOOKUP(B242, Passenger_Kilometre_by_mode_type[#All],MATCH(A242, Passenger_Kilometre_by_mode_type[#Headers],0),0)</f>
        <v>2755466733.4071422</v>
      </c>
      <c r="F242" s="89">
        <f>VLOOKUP(C242, Reason_for_public_transport_journeys_by_percentage[#All],MATCH(A242, Reason_for_public_transport_journeys_by_percentage[#Headers],0),0)/100</f>
        <v>0.18625</v>
      </c>
      <c r="G242" s="13">
        <f t="shared" si="15"/>
        <v>513205679.09708023</v>
      </c>
      <c r="H242" s="89">
        <f>VLOOKUP(D242,Average_Distance_by_kilometre_grouping_for_mode_type[#All],MATCH(A242,Average_Distance_by_kilometre_grouping_for_mode_type[#Headers],0),0)</f>
        <v>30.1</v>
      </c>
      <c r="I242" s="89">
        <f>VLOOKUP(D242,Average_Distance_by_kilometres_grouping_for_trip_purpose[#All],MATCH(A242,Average_Distance_by_kilometres_grouping_for_trip_purpose[#Headers],0),0)</f>
        <v>32.770000000000003</v>
      </c>
      <c r="J242" s="89">
        <f t="shared" si="16"/>
        <v>31.435000000000002</v>
      </c>
      <c r="K242" s="89">
        <f t="shared" si="17"/>
        <v>0.66269632128175404</v>
      </c>
      <c r="L242" s="89">
        <v>1</v>
      </c>
      <c r="M242" s="13">
        <f t="shared" si="18"/>
        <v>340099515.59853947</v>
      </c>
      <c r="N242" s="89">
        <f t="shared" si="19"/>
        <v>5.5727691232218971E-3</v>
      </c>
    </row>
    <row r="243" spans="1:14" x14ac:dyDescent="0.25">
      <c r="A243" s="79" t="s">
        <v>128</v>
      </c>
      <c r="B243" s="89" t="s">
        <v>10</v>
      </c>
      <c r="C243" s="89" t="s">
        <v>45</v>
      </c>
      <c r="D243" s="13" t="s">
        <v>12</v>
      </c>
      <c r="E243" s="35">
        <f>VLOOKUP(B243, Passenger_Kilometre_by_mode_type[#All],MATCH(A243, Passenger_Kilometre_by_mode_type[#Headers],0),0)</f>
        <v>2755466733.4071422</v>
      </c>
      <c r="F243" s="89">
        <f>VLOOKUP(C243, Reason_for_public_transport_journeys_by_percentage[#All],MATCH(A243, Reason_for_public_transport_journeys_by_percentage[#Headers],0),0)/100</f>
        <v>1.7000000000000001E-2</v>
      </c>
      <c r="G243" s="13">
        <f t="shared" si="15"/>
        <v>46842934.467921421</v>
      </c>
      <c r="H243" s="89">
        <f>VLOOKUP(D243,Average_Distance_by_kilometre_grouping_for_mode_type[#All],MATCH(A243,Average_Distance_by_kilometre_grouping_for_mode_type[#Headers],0),0)</f>
        <v>1</v>
      </c>
      <c r="I243" s="89">
        <f>VLOOKUP(D243,Average_Distance_by_kilometres_grouping_for_trip_purpose[#All],MATCH(A243,Average_Distance_by_kilometres_grouping_for_trip_purpose[#Headers],0),0)</f>
        <v>1</v>
      </c>
      <c r="J243" s="89">
        <f t="shared" si="16"/>
        <v>1</v>
      </c>
      <c r="K243" s="89">
        <f t="shared" si="17"/>
        <v>2.1081479919890376E-2</v>
      </c>
      <c r="L243" s="89">
        <v>1</v>
      </c>
      <c r="M243" s="13">
        <f t="shared" si="18"/>
        <v>987518.38237422623</v>
      </c>
      <c r="N243" s="89">
        <f t="shared" si="19"/>
        <v>1.6181181382231747E-5</v>
      </c>
    </row>
    <row r="244" spans="1:14" x14ac:dyDescent="0.25">
      <c r="A244" s="79" t="s">
        <v>128</v>
      </c>
      <c r="B244" s="89" t="s">
        <v>10</v>
      </c>
      <c r="C244" s="89" t="s">
        <v>45</v>
      </c>
      <c r="D244" s="13" t="s">
        <v>181</v>
      </c>
      <c r="E244" s="35">
        <f>VLOOKUP(B244, Passenger_Kilometre_by_mode_type[#All],MATCH(A244, Passenger_Kilometre_by_mode_type[#Headers],0),0)</f>
        <v>2755466733.4071422</v>
      </c>
      <c r="F244" s="89">
        <f>VLOOKUP(C244, Reason_for_public_transport_journeys_by_percentage[#All],MATCH(A244, Reason_for_public_transport_journeys_by_percentage[#Headers],0),0)/100</f>
        <v>1.7000000000000001E-2</v>
      </c>
      <c r="G244" s="13">
        <f t="shared" si="15"/>
        <v>46842934.467921421</v>
      </c>
      <c r="H244" s="89">
        <f>VLOOKUP(D244,Average_Distance_by_kilometre_grouping_for_mode_type[#All],MATCH(A244,Average_Distance_by_kilometre_grouping_for_mode_type[#Headers],0),0)</f>
        <v>3</v>
      </c>
      <c r="I244" s="89">
        <f>VLOOKUP(D244,Average_Distance_by_kilometres_grouping_for_trip_purpose[#All],MATCH(A244,Average_Distance_by_kilometres_grouping_for_trip_purpose[#Headers],0),0)</f>
        <v>3</v>
      </c>
      <c r="J244" s="89">
        <f t="shared" si="16"/>
        <v>3</v>
      </c>
      <c r="K244" s="89">
        <f t="shared" si="17"/>
        <v>6.3244439759671131E-2</v>
      </c>
      <c r="L244" s="89">
        <v>1</v>
      </c>
      <c r="M244" s="13">
        <f t="shared" si="18"/>
        <v>2962555.1471226788</v>
      </c>
      <c r="N244" s="89">
        <f t="shared" si="19"/>
        <v>4.8543544146695245E-5</v>
      </c>
    </row>
    <row r="245" spans="1:14" x14ac:dyDescent="0.25">
      <c r="A245" s="79" t="s">
        <v>128</v>
      </c>
      <c r="B245" s="89" t="s">
        <v>10</v>
      </c>
      <c r="C245" s="89" t="s">
        <v>45</v>
      </c>
      <c r="D245" s="13" t="s">
        <v>180</v>
      </c>
      <c r="E245" s="35">
        <f>VLOOKUP(B245, Passenger_Kilometre_by_mode_type[#All],MATCH(A245, Passenger_Kilometre_by_mode_type[#Headers],0),0)</f>
        <v>2755466733.4071422</v>
      </c>
      <c r="F245" s="89">
        <f>VLOOKUP(C245, Reason_for_public_transport_journeys_by_percentage[#All],MATCH(A245, Reason_for_public_transport_journeys_by_percentage[#Headers],0),0)/100</f>
        <v>1.7000000000000001E-2</v>
      </c>
      <c r="G245" s="13">
        <f t="shared" si="15"/>
        <v>46842934.467921421</v>
      </c>
      <c r="H245" s="89">
        <f>VLOOKUP(D245,Average_Distance_by_kilometre_grouping_for_mode_type[#All],MATCH(A245,Average_Distance_by_kilometre_grouping_for_mode_type[#Headers],0),0)</f>
        <v>5</v>
      </c>
      <c r="I245" s="89">
        <f>VLOOKUP(D245,Average_Distance_by_kilometres_grouping_for_trip_purpose[#All],MATCH(A245,Average_Distance_by_kilometres_grouping_for_trip_purpose[#Headers],0),0)</f>
        <v>5</v>
      </c>
      <c r="J245" s="89">
        <f t="shared" si="16"/>
        <v>5</v>
      </c>
      <c r="K245" s="89">
        <f t="shared" si="17"/>
        <v>0.10540739959945188</v>
      </c>
      <c r="L245" s="89">
        <v>1</v>
      </c>
      <c r="M245" s="13">
        <f t="shared" si="18"/>
        <v>4937591.9118711306</v>
      </c>
      <c r="N245" s="89">
        <f t="shared" si="19"/>
        <v>8.0905906911158719E-5</v>
      </c>
    </row>
    <row r="246" spans="1:14" x14ac:dyDescent="0.25">
      <c r="A246" s="79" t="s">
        <v>128</v>
      </c>
      <c r="B246" s="89" t="s">
        <v>10</v>
      </c>
      <c r="C246" s="89" t="s">
        <v>45</v>
      </c>
      <c r="D246" s="13" t="s">
        <v>182</v>
      </c>
      <c r="E246" s="35">
        <f>VLOOKUP(B246, Passenger_Kilometre_by_mode_type[#All],MATCH(A246, Passenger_Kilometre_by_mode_type[#Headers],0),0)</f>
        <v>2755466733.4071422</v>
      </c>
      <c r="F246" s="89">
        <f>VLOOKUP(C246, Reason_for_public_transport_journeys_by_percentage[#All],MATCH(A246, Reason_for_public_transport_journeys_by_percentage[#Headers],0),0)/100</f>
        <v>1.7000000000000001E-2</v>
      </c>
      <c r="G246" s="13">
        <f t="shared" si="15"/>
        <v>46842934.467921421</v>
      </c>
      <c r="H246" s="89">
        <f>VLOOKUP(D246,Average_Distance_by_kilometre_grouping_for_mode_type[#All],MATCH(A246,Average_Distance_by_kilometre_grouping_for_mode_type[#Headers],0),0)</f>
        <v>7</v>
      </c>
      <c r="I246" s="89">
        <f>VLOOKUP(D246,Average_Distance_by_kilometres_grouping_for_trip_purpose[#All],MATCH(A246,Average_Distance_by_kilometres_grouping_for_trip_purpose[#Headers],0),0)</f>
        <v>7</v>
      </c>
      <c r="J246" s="89">
        <f t="shared" si="16"/>
        <v>7</v>
      </c>
      <c r="K246" s="89">
        <f t="shared" si="17"/>
        <v>0.14757035943923263</v>
      </c>
      <c r="L246" s="89">
        <v>1</v>
      </c>
      <c r="M246" s="13">
        <f t="shared" si="18"/>
        <v>6912628.6766195837</v>
      </c>
      <c r="N246" s="89">
        <f t="shared" si="19"/>
        <v>1.1326826967562223E-4</v>
      </c>
    </row>
    <row r="247" spans="1:14" x14ac:dyDescent="0.25">
      <c r="A247" s="79" t="s">
        <v>128</v>
      </c>
      <c r="B247" s="89" t="s">
        <v>10</v>
      </c>
      <c r="C247" s="89" t="s">
        <v>45</v>
      </c>
      <c r="D247" s="13" t="s">
        <v>1</v>
      </c>
      <c r="E247" s="35">
        <f>VLOOKUP(B247, Passenger_Kilometre_by_mode_type[#All],MATCH(A247, Passenger_Kilometre_by_mode_type[#Headers],0),0)</f>
        <v>2755466733.4071422</v>
      </c>
      <c r="F247" s="89">
        <f>VLOOKUP(C247, Reason_for_public_transport_journeys_by_percentage[#All],MATCH(A247, Reason_for_public_transport_journeys_by_percentage[#Headers],0),0)/100</f>
        <v>1.7000000000000001E-2</v>
      </c>
      <c r="G247" s="13">
        <f t="shared" si="15"/>
        <v>46842934.467921421</v>
      </c>
      <c r="H247" s="89">
        <f>VLOOKUP(D247,Average_Distance_by_kilometre_grouping_for_mode_type[#All],MATCH(A247,Average_Distance_by_kilometre_grouping_for_mode_type[#Headers],0),0)</f>
        <v>30.1</v>
      </c>
      <c r="I247" s="89">
        <f>VLOOKUP(D247,Average_Distance_by_kilometres_grouping_for_trip_purpose[#All],MATCH(A247,Average_Distance_by_kilometres_grouping_for_trip_purpose[#Headers],0),0)</f>
        <v>32.770000000000003</v>
      </c>
      <c r="J247" s="89">
        <f t="shared" si="16"/>
        <v>31.435000000000002</v>
      </c>
      <c r="K247" s="89">
        <f t="shared" si="17"/>
        <v>0.66269632128175404</v>
      </c>
      <c r="L247" s="89">
        <v>1</v>
      </c>
      <c r="M247" s="13">
        <f t="shared" si="18"/>
        <v>31042640.349933803</v>
      </c>
      <c r="N247" s="89">
        <f t="shared" si="19"/>
        <v>5.0865543675045503E-4</v>
      </c>
    </row>
    <row r="248" spans="1:14" x14ac:dyDescent="0.25">
      <c r="A248" s="79" t="s">
        <v>128</v>
      </c>
      <c r="B248" s="89" t="s">
        <v>10</v>
      </c>
      <c r="C248" s="89" t="s">
        <v>56</v>
      </c>
      <c r="D248" s="13" t="s">
        <v>12</v>
      </c>
      <c r="E248" s="35">
        <f>VLOOKUP(B248, Passenger_Kilometre_by_mode_type[#All],MATCH(A248, Passenger_Kilometre_by_mode_type[#Headers],0),0)</f>
        <v>2755466733.4071422</v>
      </c>
      <c r="F248" s="89">
        <f>VLOOKUP(C248, Reason_for_public_transport_journeys_by_percentage[#All],MATCH(A248, Reason_for_public_transport_journeys_by_percentage[#Headers],0),0)/100</f>
        <v>0.10375000000000002</v>
      </c>
      <c r="G248" s="13">
        <f t="shared" si="15"/>
        <v>285879673.59099108</v>
      </c>
      <c r="H248" s="89">
        <f>VLOOKUP(D248,Average_Distance_by_kilometre_grouping_for_mode_type[#All],MATCH(A248,Average_Distance_by_kilometre_grouping_for_mode_type[#Headers],0),0)</f>
        <v>1</v>
      </c>
      <c r="I248" s="89">
        <f>VLOOKUP(D248,Average_Distance_by_kilometres_grouping_for_trip_purpose[#All],MATCH(A248,Average_Distance_by_kilometres_grouping_for_trip_purpose[#Headers],0),0)</f>
        <v>1</v>
      </c>
      <c r="J248" s="89">
        <f t="shared" si="16"/>
        <v>1</v>
      </c>
      <c r="K248" s="89">
        <f t="shared" si="17"/>
        <v>2.1081479919890376E-2</v>
      </c>
      <c r="L248" s="89">
        <v>1</v>
      </c>
      <c r="M248" s="13">
        <f t="shared" si="18"/>
        <v>6026766.5983132934</v>
      </c>
      <c r="N248" s="89">
        <f t="shared" si="19"/>
        <v>9.8752798141561407E-5</v>
      </c>
    </row>
    <row r="249" spans="1:14" x14ac:dyDescent="0.25">
      <c r="A249" s="79" t="s">
        <v>128</v>
      </c>
      <c r="B249" s="89" t="s">
        <v>10</v>
      </c>
      <c r="C249" s="89" t="s">
        <v>56</v>
      </c>
      <c r="D249" s="13" t="s">
        <v>181</v>
      </c>
      <c r="E249" s="35">
        <f>VLOOKUP(B249, Passenger_Kilometre_by_mode_type[#All],MATCH(A249, Passenger_Kilometre_by_mode_type[#Headers],0),0)</f>
        <v>2755466733.4071422</v>
      </c>
      <c r="F249" s="89">
        <f>VLOOKUP(C249, Reason_for_public_transport_journeys_by_percentage[#All],MATCH(A249, Reason_for_public_transport_journeys_by_percentage[#Headers],0),0)/100</f>
        <v>0.10375000000000002</v>
      </c>
      <c r="G249" s="13">
        <f t="shared" si="15"/>
        <v>285879673.59099108</v>
      </c>
      <c r="H249" s="89">
        <f>VLOOKUP(D249,Average_Distance_by_kilometre_grouping_for_mode_type[#All],MATCH(A249,Average_Distance_by_kilometre_grouping_for_mode_type[#Headers],0),0)</f>
        <v>3</v>
      </c>
      <c r="I249" s="89">
        <f>VLOOKUP(D249,Average_Distance_by_kilometres_grouping_for_trip_purpose[#All],MATCH(A249,Average_Distance_by_kilometres_grouping_for_trip_purpose[#Headers],0),0)</f>
        <v>3</v>
      </c>
      <c r="J249" s="89">
        <f t="shared" si="16"/>
        <v>3</v>
      </c>
      <c r="K249" s="89">
        <f t="shared" si="17"/>
        <v>6.3244439759671131E-2</v>
      </c>
      <c r="L249" s="89">
        <v>1</v>
      </c>
      <c r="M249" s="13">
        <f t="shared" si="18"/>
        <v>18080299.794939883</v>
      </c>
      <c r="N249" s="89">
        <f t="shared" si="19"/>
        <v>2.962583944246843E-4</v>
      </c>
    </row>
    <row r="250" spans="1:14" x14ac:dyDescent="0.25">
      <c r="A250" s="79" t="s">
        <v>128</v>
      </c>
      <c r="B250" s="89" t="s">
        <v>10</v>
      </c>
      <c r="C250" s="89" t="s">
        <v>56</v>
      </c>
      <c r="D250" s="13" t="s">
        <v>180</v>
      </c>
      <c r="E250" s="35">
        <f>VLOOKUP(B250, Passenger_Kilometre_by_mode_type[#All],MATCH(A250, Passenger_Kilometre_by_mode_type[#Headers],0),0)</f>
        <v>2755466733.4071422</v>
      </c>
      <c r="F250" s="89">
        <f>VLOOKUP(C250, Reason_for_public_transport_journeys_by_percentage[#All],MATCH(A250, Reason_for_public_transport_journeys_by_percentage[#Headers],0),0)/100</f>
        <v>0.10375000000000002</v>
      </c>
      <c r="G250" s="13">
        <f t="shared" si="15"/>
        <v>285879673.59099108</v>
      </c>
      <c r="H250" s="89">
        <f>VLOOKUP(D250,Average_Distance_by_kilometre_grouping_for_mode_type[#All],MATCH(A250,Average_Distance_by_kilometre_grouping_for_mode_type[#Headers],0),0)</f>
        <v>5</v>
      </c>
      <c r="I250" s="89">
        <f>VLOOKUP(D250,Average_Distance_by_kilometres_grouping_for_trip_purpose[#All],MATCH(A250,Average_Distance_by_kilometres_grouping_for_trip_purpose[#Headers],0),0)</f>
        <v>5</v>
      </c>
      <c r="J250" s="89">
        <f t="shared" si="16"/>
        <v>5</v>
      </c>
      <c r="K250" s="89">
        <f t="shared" si="17"/>
        <v>0.10540739959945188</v>
      </c>
      <c r="L250" s="89">
        <v>1</v>
      </c>
      <c r="M250" s="13">
        <f t="shared" si="18"/>
        <v>30133832.991566464</v>
      </c>
      <c r="N250" s="89">
        <f t="shared" si="19"/>
        <v>4.9376399070780706E-4</v>
      </c>
    </row>
    <row r="251" spans="1:14" x14ac:dyDescent="0.25">
      <c r="A251" s="79" t="s">
        <v>128</v>
      </c>
      <c r="B251" s="89" t="s">
        <v>10</v>
      </c>
      <c r="C251" s="89" t="s">
        <v>56</v>
      </c>
      <c r="D251" s="13" t="s">
        <v>182</v>
      </c>
      <c r="E251" s="35">
        <f>VLOOKUP(B251, Passenger_Kilometre_by_mode_type[#All],MATCH(A251, Passenger_Kilometre_by_mode_type[#Headers],0),0)</f>
        <v>2755466733.4071422</v>
      </c>
      <c r="F251" s="89">
        <f>VLOOKUP(C251, Reason_for_public_transport_journeys_by_percentage[#All],MATCH(A251, Reason_for_public_transport_journeys_by_percentage[#Headers],0),0)/100</f>
        <v>0.10375000000000002</v>
      </c>
      <c r="G251" s="13">
        <f t="shared" si="15"/>
        <v>285879673.59099108</v>
      </c>
      <c r="H251" s="89">
        <f>VLOOKUP(D251,Average_Distance_by_kilometre_grouping_for_mode_type[#All],MATCH(A251,Average_Distance_by_kilometre_grouping_for_mode_type[#Headers],0),0)</f>
        <v>7</v>
      </c>
      <c r="I251" s="89">
        <f>VLOOKUP(D251,Average_Distance_by_kilometres_grouping_for_trip_purpose[#All],MATCH(A251,Average_Distance_by_kilometres_grouping_for_trip_purpose[#Headers],0),0)</f>
        <v>7</v>
      </c>
      <c r="J251" s="89">
        <f t="shared" si="16"/>
        <v>7</v>
      </c>
      <c r="K251" s="89">
        <f t="shared" si="17"/>
        <v>0.14757035943923263</v>
      </c>
      <c r="L251" s="89">
        <v>1</v>
      </c>
      <c r="M251" s="13">
        <f t="shared" si="18"/>
        <v>42187366.188193053</v>
      </c>
      <c r="N251" s="89">
        <f t="shared" si="19"/>
        <v>6.9126958699092993E-4</v>
      </c>
    </row>
    <row r="252" spans="1:14" x14ac:dyDescent="0.25">
      <c r="A252" s="79" t="s">
        <v>128</v>
      </c>
      <c r="B252" s="89" t="s">
        <v>10</v>
      </c>
      <c r="C252" s="89" t="s">
        <v>56</v>
      </c>
      <c r="D252" s="13" t="s">
        <v>1</v>
      </c>
      <c r="E252" s="35">
        <f>VLOOKUP(B252, Passenger_Kilometre_by_mode_type[#All],MATCH(A252, Passenger_Kilometre_by_mode_type[#Headers],0),0)</f>
        <v>2755466733.4071422</v>
      </c>
      <c r="F252" s="89">
        <f>VLOOKUP(C252, Reason_for_public_transport_journeys_by_percentage[#All],MATCH(A252, Reason_for_public_transport_journeys_by_percentage[#Headers],0),0)/100</f>
        <v>0.10375000000000002</v>
      </c>
      <c r="G252" s="13">
        <f t="shared" si="15"/>
        <v>285879673.59099108</v>
      </c>
      <c r="H252" s="89">
        <f>VLOOKUP(D252,Average_Distance_by_kilometre_grouping_for_mode_type[#All],MATCH(A252,Average_Distance_by_kilometre_grouping_for_mode_type[#Headers],0),0)</f>
        <v>30.1</v>
      </c>
      <c r="I252" s="89">
        <f>VLOOKUP(D252,Average_Distance_by_kilometres_grouping_for_trip_purpose[#All],MATCH(A252,Average_Distance_by_kilometres_grouping_for_trip_purpose[#Headers],0),0)</f>
        <v>32.770000000000003</v>
      </c>
      <c r="J252" s="89">
        <f t="shared" si="16"/>
        <v>31.435000000000002</v>
      </c>
      <c r="K252" s="89">
        <f t="shared" si="17"/>
        <v>0.66269632128175404</v>
      </c>
      <c r="L252" s="89">
        <v>1</v>
      </c>
      <c r="M252" s="13">
        <f t="shared" si="18"/>
        <v>189451408.0179784</v>
      </c>
      <c r="N252" s="89">
        <f t="shared" si="19"/>
        <v>3.1042942095799832E-3</v>
      </c>
    </row>
    <row r="253" spans="1:14" x14ac:dyDescent="0.25">
      <c r="A253" s="79" t="s">
        <v>128</v>
      </c>
      <c r="B253" s="89" t="s">
        <v>10</v>
      </c>
      <c r="C253" s="89" t="s">
        <v>57</v>
      </c>
      <c r="D253" s="13" t="s">
        <v>12</v>
      </c>
      <c r="E253" s="35">
        <f>VLOOKUP(B253, Passenger_Kilometre_by_mode_type[#All],MATCH(A253, Passenger_Kilometre_by_mode_type[#Headers],0),0)</f>
        <v>2755466733.4071422</v>
      </c>
      <c r="F253" s="89">
        <f>VLOOKUP(C253, Reason_for_public_transport_journeys_by_percentage[#All],MATCH(A253, Reason_for_public_transport_journeys_by_percentage[#Headers],0),0)/100</f>
        <v>7.0250000000000007E-2</v>
      </c>
      <c r="G253" s="13">
        <f t="shared" si="15"/>
        <v>193571538.02185175</v>
      </c>
      <c r="H253" s="89">
        <f>VLOOKUP(D253,Average_Distance_by_kilometre_grouping_for_mode_type[#All],MATCH(A253,Average_Distance_by_kilometre_grouping_for_mode_type[#Headers],0),0)</f>
        <v>1</v>
      </c>
      <c r="I253" s="89">
        <f>VLOOKUP(D253,Average_Distance_by_kilometres_grouping_for_trip_purpose[#All],MATCH(A253,Average_Distance_by_kilometres_grouping_for_trip_purpose[#Headers],0),0)</f>
        <v>1</v>
      </c>
      <c r="J253" s="89">
        <f t="shared" si="16"/>
        <v>1</v>
      </c>
      <c r="K253" s="89">
        <f t="shared" si="17"/>
        <v>2.1081479919890376E-2</v>
      </c>
      <c r="L253" s="89">
        <v>1</v>
      </c>
      <c r="M253" s="13">
        <f t="shared" si="18"/>
        <v>4080774.4918699642</v>
      </c>
      <c r="N253" s="89">
        <f t="shared" si="19"/>
        <v>6.6866352476575305E-5</v>
      </c>
    </row>
    <row r="254" spans="1:14" x14ac:dyDescent="0.25">
      <c r="A254" s="79" t="s">
        <v>128</v>
      </c>
      <c r="B254" s="89" t="s">
        <v>10</v>
      </c>
      <c r="C254" s="89" t="s">
        <v>57</v>
      </c>
      <c r="D254" s="13" t="s">
        <v>181</v>
      </c>
      <c r="E254" s="35">
        <f>VLOOKUP(B254, Passenger_Kilometre_by_mode_type[#All],MATCH(A254, Passenger_Kilometre_by_mode_type[#Headers],0),0)</f>
        <v>2755466733.4071422</v>
      </c>
      <c r="F254" s="89">
        <f>VLOOKUP(C254, Reason_for_public_transport_journeys_by_percentage[#All],MATCH(A254, Reason_for_public_transport_journeys_by_percentage[#Headers],0),0)/100</f>
        <v>7.0250000000000007E-2</v>
      </c>
      <c r="G254" s="13">
        <f t="shared" si="15"/>
        <v>193571538.02185175</v>
      </c>
      <c r="H254" s="89">
        <f>VLOOKUP(D254,Average_Distance_by_kilometre_grouping_for_mode_type[#All],MATCH(A254,Average_Distance_by_kilometre_grouping_for_mode_type[#Headers],0),0)</f>
        <v>3</v>
      </c>
      <c r="I254" s="89">
        <f>VLOOKUP(D254,Average_Distance_by_kilometres_grouping_for_trip_purpose[#All],MATCH(A254,Average_Distance_by_kilometres_grouping_for_trip_purpose[#Headers],0),0)</f>
        <v>3</v>
      </c>
      <c r="J254" s="89">
        <f t="shared" si="16"/>
        <v>3</v>
      </c>
      <c r="K254" s="89">
        <f t="shared" si="17"/>
        <v>6.3244439759671131E-2</v>
      </c>
      <c r="L254" s="89">
        <v>1</v>
      </c>
      <c r="M254" s="13">
        <f t="shared" si="18"/>
        <v>12242323.475609893</v>
      </c>
      <c r="N254" s="89">
        <f t="shared" si="19"/>
        <v>2.0059905742972591E-4</v>
      </c>
    </row>
    <row r="255" spans="1:14" x14ac:dyDescent="0.25">
      <c r="A255" s="79" t="s">
        <v>128</v>
      </c>
      <c r="B255" s="89" t="s">
        <v>10</v>
      </c>
      <c r="C255" s="89" t="s">
        <v>57</v>
      </c>
      <c r="D255" s="13" t="s">
        <v>180</v>
      </c>
      <c r="E255" s="35">
        <f>VLOOKUP(B255, Passenger_Kilometre_by_mode_type[#All],MATCH(A255, Passenger_Kilometre_by_mode_type[#Headers],0),0)</f>
        <v>2755466733.4071422</v>
      </c>
      <c r="F255" s="89">
        <f>VLOOKUP(C255, Reason_for_public_transport_journeys_by_percentage[#All],MATCH(A255, Reason_for_public_transport_journeys_by_percentage[#Headers],0),0)/100</f>
        <v>7.0250000000000007E-2</v>
      </c>
      <c r="G255" s="13">
        <f t="shared" si="15"/>
        <v>193571538.02185175</v>
      </c>
      <c r="H255" s="89">
        <f>VLOOKUP(D255,Average_Distance_by_kilometre_grouping_for_mode_type[#All],MATCH(A255,Average_Distance_by_kilometre_grouping_for_mode_type[#Headers],0),0)</f>
        <v>5</v>
      </c>
      <c r="I255" s="89">
        <f>VLOOKUP(D255,Average_Distance_by_kilometres_grouping_for_trip_purpose[#All],MATCH(A255,Average_Distance_by_kilometres_grouping_for_trip_purpose[#Headers],0),0)</f>
        <v>5</v>
      </c>
      <c r="J255" s="89">
        <f t="shared" si="16"/>
        <v>5</v>
      </c>
      <c r="K255" s="89">
        <f t="shared" si="17"/>
        <v>0.10540739959945188</v>
      </c>
      <c r="L255" s="89">
        <v>1</v>
      </c>
      <c r="M255" s="13">
        <f t="shared" si="18"/>
        <v>20403872.459349819</v>
      </c>
      <c r="N255" s="89">
        <f t="shared" si="19"/>
        <v>3.343317623828765E-4</v>
      </c>
    </row>
    <row r="256" spans="1:14" x14ac:dyDescent="0.25">
      <c r="A256" s="79" t="s">
        <v>128</v>
      </c>
      <c r="B256" s="89" t="s">
        <v>10</v>
      </c>
      <c r="C256" s="89" t="s">
        <v>57</v>
      </c>
      <c r="D256" s="13" t="s">
        <v>182</v>
      </c>
      <c r="E256" s="35">
        <f>VLOOKUP(B256, Passenger_Kilometre_by_mode_type[#All],MATCH(A256, Passenger_Kilometre_by_mode_type[#Headers],0),0)</f>
        <v>2755466733.4071422</v>
      </c>
      <c r="F256" s="89">
        <f>VLOOKUP(C256, Reason_for_public_transport_journeys_by_percentage[#All],MATCH(A256, Reason_for_public_transport_journeys_by_percentage[#Headers],0),0)/100</f>
        <v>7.0250000000000007E-2</v>
      </c>
      <c r="G256" s="13">
        <f t="shared" si="15"/>
        <v>193571538.02185175</v>
      </c>
      <c r="H256" s="89">
        <f>VLOOKUP(D256,Average_Distance_by_kilometre_grouping_for_mode_type[#All],MATCH(A256,Average_Distance_by_kilometre_grouping_for_mode_type[#Headers],0),0)</f>
        <v>7</v>
      </c>
      <c r="I256" s="89">
        <f>VLOOKUP(D256,Average_Distance_by_kilometres_grouping_for_trip_purpose[#All],MATCH(A256,Average_Distance_by_kilometres_grouping_for_trip_purpose[#Headers],0),0)</f>
        <v>7</v>
      </c>
      <c r="J256" s="89">
        <f t="shared" si="16"/>
        <v>7</v>
      </c>
      <c r="K256" s="89">
        <f t="shared" si="17"/>
        <v>0.14757035943923263</v>
      </c>
      <c r="L256" s="89">
        <v>1</v>
      </c>
      <c r="M256" s="13">
        <f t="shared" si="18"/>
        <v>28565421.44308975</v>
      </c>
      <c r="N256" s="89">
        <f t="shared" si="19"/>
        <v>4.6806446733602716E-4</v>
      </c>
    </row>
    <row r="257" spans="1:14" x14ac:dyDescent="0.25">
      <c r="A257" s="79" t="s">
        <v>128</v>
      </c>
      <c r="B257" s="89" t="s">
        <v>10</v>
      </c>
      <c r="C257" s="89" t="s">
        <v>57</v>
      </c>
      <c r="D257" s="13" t="s">
        <v>1</v>
      </c>
      <c r="E257" s="35">
        <f>VLOOKUP(B257, Passenger_Kilometre_by_mode_type[#All],MATCH(A257, Passenger_Kilometre_by_mode_type[#Headers],0),0)</f>
        <v>2755466733.4071422</v>
      </c>
      <c r="F257" s="89">
        <f>VLOOKUP(C257, Reason_for_public_transport_journeys_by_percentage[#All],MATCH(A257, Reason_for_public_transport_journeys_by_percentage[#Headers],0),0)/100</f>
        <v>7.0250000000000007E-2</v>
      </c>
      <c r="G257" s="13">
        <f t="shared" si="15"/>
        <v>193571538.02185175</v>
      </c>
      <c r="H257" s="89">
        <f>VLOOKUP(D257,Average_Distance_by_kilometre_grouping_for_mode_type[#All],MATCH(A257,Average_Distance_by_kilometre_grouping_for_mode_type[#Headers],0),0)</f>
        <v>30.1</v>
      </c>
      <c r="I257" s="89">
        <f>VLOOKUP(D257,Average_Distance_by_kilometres_grouping_for_trip_purpose[#All],MATCH(A257,Average_Distance_by_kilometres_grouping_for_trip_purpose[#Headers],0),0)</f>
        <v>32.770000000000003</v>
      </c>
      <c r="J257" s="89">
        <f t="shared" si="16"/>
        <v>31.435000000000002</v>
      </c>
      <c r="K257" s="89">
        <f t="shared" si="17"/>
        <v>0.66269632128175404</v>
      </c>
      <c r="L257" s="89">
        <v>1</v>
      </c>
      <c r="M257" s="13">
        <f t="shared" si="18"/>
        <v>128279146.15193233</v>
      </c>
      <c r="N257" s="89">
        <f t="shared" si="19"/>
        <v>2.1019437901011449E-3</v>
      </c>
    </row>
    <row r="258" spans="1:14" x14ac:dyDescent="0.25">
      <c r="A258" s="79" t="s">
        <v>128</v>
      </c>
      <c r="B258" s="89" t="s">
        <v>10</v>
      </c>
      <c r="C258" s="89" t="s">
        <v>93</v>
      </c>
      <c r="D258" s="13" t="s">
        <v>12</v>
      </c>
      <c r="E258" s="35">
        <f>VLOOKUP(B258, Passenger_Kilometre_by_mode_type[#All],MATCH(A258, Passenger_Kilometre_by_mode_type[#Headers],0),0)</f>
        <v>2755466733.4071422</v>
      </c>
      <c r="F258" s="89">
        <f>VLOOKUP(C258, Reason_for_public_transport_journeys_by_percentage[#All],MATCH(A258, Reason_for_public_transport_journeys_by_percentage[#Headers],0),0)/100</f>
        <v>9.6374999999999988E-2</v>
      </c>
      <c r="G258" s="13">
        <f t="shared" si="15"/>
        <v>265558106.43211329</v>
      </c>
      <c r="H258" s="89">
        <f>VLOOKUP(D258,Average_Distance_by_kilometre_grouping_for_mode_type[#All],MATCH(A258,Average_Distance_by_kilometre_grouping_for_mode_type[#Headers],0),0)</f>
        <v>1</v>
      </c>
      <c r="I258" s="89">
        <f>VLOOKUP(D258,Average_Distance_by_kilometres_grouping_for_trip_purpose[#All],MATCH(A258,Average_Distance_by_kilometres_grouping_for_trip_purpose[#Headers],0),0)</f>
        <v>1</v>
      </c>
      <c r="J258" s="89">
        <f t="shared" si="16"/>
        <v>1</v>
      </c>
      <c r="K258" s="89">
        <f t="shared" si="17"/>
        <v>2.1081479919890376E-2</v>
      </c>
      <c r="L258" s="89">
        <v>1</v>
      </c>
      <c r="M258" s="13">
        <f t="shared" si="18"/>
        <v>5598357.8883127077</v>
      </c>
      <c r="N258" s="89">
        <f t="shared" si="19"/>
        <v>9.1733020924269666E-5</v>
      </c>
    </row>
    <row r="259" spans="1:14" x14ac:dyDescent="0.25">
      <c r="A259" s="79" t="s">
        <v>128</v>
      </c>
      <c r="B259" s="89" t="s">
        <v>10</v>
      </c>
      <c r="C259" s="89" t="s">
        <v>93</v>
      </c>
      <c r="D259" s="13" t="s">
        <v>181</v>
      </c>
      <c r="E259" s="35">
        <f>VLOOKUP(B259, Passenger_Kilometre_by_mode_type[#All],MATCH(A259, Passenger_Kilometre_by_mode_type[#Headers],0),0)</f>
        <v>2755466733.4071422</v>
      </c>
      <c r="F259" s="89">
        <f>VLOOKUP(C259, Reason_for_public_transport_journeys_by_percentage[#All],MATCH(A259, Reason_for_public_transport_journeys_by_percentage[#Headers],0),0)/100</f>
        <v>9.6374999999999988E-2</v>
      </c>
      <c r="G259" s="13">
        <f t="shared" si="15"/>
        <v>265558106.43211329</v>
      </c>
      <c r="H259" s="89">
        <f>VLOOKUP(D259,Average_Distance_by_kilometre_grouping_for_mode_type[#All],MATCH(A259,Average_Distance_by_kilometre_grouping_for_mode_type[#Headers],0),0)</f>
        <v>3</v>
      </c>
      <c r="I259" s="89">
        <f>VLOOKUP(D259,Average_Distance_by_kilometres_grouping_for_trip_purpose[#All],MATCH(A259,Average_Distance_by_kilometres_grouping_for_trip_purpose[#Headers],0),0)</f>
        <v>3</v>
      </c>
      <c r="J259" s="89">
        <f t="shared" si="16"/>
        <v>3</v>
      </c>
      <c r="K259" s="89">
        <f t="shared" si="17"/>
        <v>6.3244439759671131E-2</v>
      </c>
      <c r="L259" s="89">
        <v>1</v>
      </c>
      <c r="M259" s="13">
        <f t="shared" si="18"/>
        <v>16795073.664938122</v>
      </c>
      <c r="N259" s="89">
        <f t="shared" si="19"/>
        <v>2.7519906277280898E-4</v>
      </c>
    </row>
    <row r="260" spans="1:14" x14ac:dyDescent="0.25">
      <c r="A260" s="79" t="s">
        <v>128</v>
      </c>
      <c r="B260" s="89" t="s">
        <v>10</v>
      </c>
      <c r="C260" s="89" t="s">
        <v>93</v>
      </c>
      <c r="D260" s="13" t="s">
        <v>180</v>
      </c>
      <c r="E260" s="35">
        <f>VLOOKUP(B260, Passenger_Kilometre_by_mode_type[#All],MATCH(A260, Passenger_Kilometre_by_mode_type[#Headers],0),0)</f>
        <v>2755466733.4071422</v>
      </c>
      <c r="F260" s="89">
        <f>VLOOKUP(C260, Reason_for_public_transport_journeys_by_percentage[#All],MATCH(A260, Reason_for_public_transport_journeys_by_percentage[#Headers],0),0)/100</f>
        <v>9.6374999999999988E-2</v>
      </c>
      <c r="G260" s="13">
        <f t="shared" ref="G260:G323" si="20">E260*F260</f>
        <v>265558106.43211329</v>
      </c>
      <c r="H260" s="89">
        <f>VLOOKUP(D260,Average_Distance_by_kilometre_grouping_for_mode_type[#All],MATCH(A260,Average_Distance_by_kilometre_grouping_for_mode_type[#Headers],0),0)</f>
        <v>5</v>
      </c>
      <c r="I260" s="89">
        <f>VLOOKUP(D260,Average_Distance_by_kilometres_grouping_for_trip_purpose[#All],MATCH(A260,Average_Distance_by_kilometres_grouping_for_trip_purpose[#Headers],0),0)</f>
        <v>5</v>
      </c>
      <c r="J260" s="89">
        <f t="shared" ref="J260:J323" si="21">AVERAGE(H260:I260)</f>
        <v>5</v>
      </c>
      <c r="K260" s="89">
        <f t="shared" ref="K260:K323" si="22">J260/SUM(J260:J264)</f>
        <v>0.10540739959945188</v>
      </c>
      <c r="L260" s="89">
        <v>1</v>
      </c>
      <c r="M260" s="13">
        <f t="shared" ref="M260:M323" si="23">G260*K260*L260</f>
        <v>27991789.441563535</v>
      </c>
      <c r="N260" s="89">
        <f t="shared" ref="N260:N323" si="24">M260/SUM($M$3:$M$362)</f>
        <v>4.5866510462134823E-4</v>
      </c>
    </row>
    <row r="261" spans="1:14" x14ac:dyDescent="0.25">
      <c r="A261" s="79" t="s">
        <v>128</v>
      </c>
      <c r="B261" s="89" t="s">
        <v>10</v>
      </c>
      <c r="C261" s="89" t="s">
        <v>93</v>
      </c>
      <c r="D261" s="13" t="s">
        <v>182</v>
      </c>
      <c r="E261" s="35">
        <f>VLOOKUP(B261, Passenger_Kilometre_by_mode_type[#All],MATCH(A261, Passenger_Kilometre_by_mode_type[#Headers],0),0)</f>
        <v>2755466733.4071422</v>
      </c>
      <c r="F261" s="89">
        <f>VLOOKUP(C261, Reason_for_public_transport_journeys_by_percentage[#All],MATCH(A261, Reason_for_public_transport_journeys_by_percentage[#Headers],0),0)/100</f>
        <v>9.6374999999999988E-2</v>
      </c>
      <c r="G261" s="13">
        <f t="shared" si="20"/>
        <v>265558106.43211329</v>
      </c>
      <c r="H261" s="89">
        <f>VLOOKUP(D261,Average_Distance_by_kilometre_grouping_for_mode_type[#All],MATCH(A261,Average_Distance_by_kilometre_grouping_for_mode_type[#Headers],0),0)</f>
        <v>7</v>
      </c>
      <c r="I261" s="89">
        <f>VLOOKUP(D261,Average_Distance_by_kilometres_grouping_for_trip_purpose[#All],MATCH(A261,Average_Distance_by_kilometres_grouping_for_trip_purpose[#Headers],0),0)</f>
        <v>7</v>
      </c>
      <c r="J261" s="89">
        <f t="shared" si="21"/>
        <v>7</v>
      </c>
      <c r="K261" s="89">
        <f t="shared" si="22"/>
        <v>0.14757035943923263</v>
      </c>
      <c r="L261" s="89">
        <v>1</v>
      </c>
      <c r="M261" s="13">
        <f t="shared" si="23"/>
        <v>39188505.218188956</v>
      </c>
      <c r="N261" s="89">
        <f t="shared" si="24"/>
        <v>6.4213114646988765E-4</v>
      </c>
    </row>
    <row r="262" spans="1:14" x14ac:dyDescent="0.25">
      <c r="A262" s="79" t="s">
        <v>128</v>
      </c>
      <c r="B262" s="89" t="s">
        <v>10</v>
      </c>
      <c r="C262" s="89" t="s">
        <v>93</v>
      </c>
      <c r="D262" s="13" t="s">
        <v>1</v>
      </c>
      <c r="E262" s="35">
        <f>VLOOKUP(B262, Passenger_Kilometre_by_mode_type[#All],MATCH(A262, Passenger_Kilometre_by_mode_type[#Headers],0),0)</f>
        <v>2755466733.4071422</v>
      </c>
      <c r="F262" s="89">
        <f>VLOOKUP(C262, Reason_for_public_transport_journeys_by_percentage[#All],MATCH(A262, Reason_for_public_transport_journeys_by_percentage[#Headers],0),0)/100</f>
        <v>9.6374999999999988E-2</v>
      </c>
      <c r="G262" s="13">
        <f t="shared" si="20"/>
        <v>265558106.43211329</v>
      </c>
      <c r="H262" s="89">
        <f>VLOOKUP(D262,Average_Distance_by_kilometre_grouping_for_mode_type[#All],MATCH(A262,Average_Distance_by_kilometre_grouping_for_mode_type[#Headers],0),0)</f>
        <v>30.1</v>
      </c>
      <c r="I262" s="89">
        <f>VLOOKUP(D262,Average_Distance_by_kilometres_grouping_for_trip_purpose[#All],MATCH(A262,Average_Distance_by_kilometres_grouping_for_trip_purpose[#Headers],0),0)</f>
        <v>32.770000000000003</v>
      </c>
      <c r="J262" s="89">
        <f t="shared" si="21"/>
        <v>31.435000000000002</v>
      </c>
      <c r="K262" s="89">
        <f t="shared" si="22"/>
        <v>0.66269632128175404</v>
      </c>
      <c r="L262" s="89">
        <v>1</v>
      </c>
      <c r="M262" s="13">
        <f t="shared" si="23"/>
        <v>175984380.21910998</v>
      </c>
      <c r="N262" s="89">
        <f t="shared" si="24"/>
        <v>2.8836275127544172E-3</v>
      </c>
    </row>
    <row r="263" spans="1:14" x14ac:dyDescent="0.25">
      <c r="A263" s="79" t="s">
        <v>128</v>
      </c>
      <c r="B263" s="89" t="s">
        <v>10</v>
      </c>
      <c r="C263" s="89" t="s">
        <v>243</v>
      </c>
      <c r="D263" s="13" t="s">
        <v>12</v>
      </c>
      <c r="E263" s="35">
        <f>VLOOKUP(B263, Passenger_Kilometre_by_mode_type[#All],MATCH(A263, Passenger_Kilometre_by_mode_type[#Headers],0),0)</f>
        <v>2755466733.4071422</v>
      </c>
      <c r="F263" s="89">
        <f>VLOOKUP(C263, Reason_for_public_transport_journeys_by_percentage[#All],MATCH(A263, Reason_for_public_transport_journeys_by_percentage[#Headers],0),0)/100</f>
        <v>2.2499999999999999E-2</v>
      </c>
      <c r="G263" s="13">
        <f t="shared" si="20"/>
        <v>61998001.501660697</v>
      </c>
      <c r="H263" s="89">
        <f>VLOOKUP(D263,Average_Distance_by_kilometre_grouping_for_mode_type[#All],MATCH(A263,Average_Distance_by_kilometre_grouping_for_mode_type[#Headers],0),0)</f>
        <v>1</v>
      </c>
      <c r="I263" s="89">
        <f>VLOOKUP(D263,Average_Distance_by_kilometres_grouping_for_trip_purpose[#All],MATCH(A263,Average_Distance_by_kilometres_grouping_for_trip_purpose[#Headers],0),0)</f>
        <v>1</v>
      </c>
      <c r="J263" s="89">
        <f t="shared" si="21"/>
        <v>1</v>
      </c>
      <c r="K263" s="89">
        <f t="shared" si="22"/>
        <v>2.1081479919890376E-2</v>
      </c>
      <c r="L263" s="89">
        <v>1</v>
      </c>
      <c r="M263" s="13">
        <f t="shared" si="23"/>
        <v>1307009.6237305934</v>
      </c>
      <c r="N263" s="89">
        <f t="shared" si="24"/>
        <v>2.1416269476483191E-5</v>
      </c>
    </row>
    <row r="264" spans="1:14" x14ac:dyDescent="0.25">
      <c r="A264" s="79" t="s">
        <v>128</v>
      </c>
      <c r="B264" s="89" t="s">
        <v>10</v>
      </c>
      <c r="C264" s="89" t="s">
        <v>243</v>
      </c>
      <c r="D264" s="13" t="s">
        <v>181</v>
      </c>
      <c r="E264" s="35">
        <f>VLOOKUP(B264, Passenger_Kilometre_by_mode_type[#All],MATCH(A264, Passenger_Kilometre_by_mode_type[#Headers],0),0)</f>
        <v>2755466733.4071422</v>
      </c>
      <c r="F264" s="89">
        <f>VLOOKUP(C264, Reason_for_public_transport_journeys_by_percentage[#All],MATCH(A264, Reason_for_public_transport_journeys_by_percentage[#Headers],0),0)/100</f>
        <v>2.2499999999999999E-2</v>
      </c>
      <c r="G264" s="13">
        <f t="shared" si="20"/>
        <v>61998001.501660697</v>
      </c>
      <c r="H264" s="89">
        <f>VLOOKUP(D264,Average_Distance_by_kilometre_grouping_for_mode_type[#All],MATCH(A264,Average_Distance_by_kilometre_grouping_for_mode_type[#Headers],0),0)</f>
        <v>3</v>
      </c>
      <c r="I264" s="89">
        <f>VLOOKUP(D264,Average_Distance_by_kilometres_grouping_for_trip_purpose[#All],MATCH(A264,Average_Distance_by_kilometres_grouping_for_trip_purpose[#Headers],0),0)</f>
        <v>3</v>
      </c>
      <c r="J264" s="89">
        <f t="shared" si="21"/>
        <v>3</v>
      </c>
      <c r="K264" s="89">
        <f t="shared" si="22"/>
        <v>6.3244439759671131E-2</v>
      </c>
      <c r="L264" s="89">
        <v>1</v>
      </c>
      <c r="M264" s="13">
        <f t="shared" si="23"/>
        <v>3921028.8711917801</v>
      </c>
      <c r="N264" s="89">
        <f t="shared" si="24"/>
        <v>6.4248808429449576E-5</v>
      </c>
    </row>
    <row r="265" spans="1:14" x14ac:dyDescent="0.25">
      <c r="A265" s="79" t="s">
        <v>128</v>
      </c>
      <c r="B265" s="89" t="s">
        <v>10</v>
      </c>
      <c r="C265" s="89" t="s">
        <v>243</v>
      </c>
      <c r="D265" s="13" t="s">
        <v>180</v>
      </c>
      <c r="E265" s="35">
        <f>VLOOKUP(B265, Passenger_Kilometre_by_mode_type[#All],MATCH(A265, Passenger_Kilometre_by_mode_type[#Headers],0),0)</f>
        <v>2755466733.4071422</v>
      </c>
      <c r="F265" s="89">
        <f>VLOOKUP(C265, Reason_for_public_transport_journeys_by_percentage[#All],MATCH(A265, Reason_for_public_transport_journeys_by_percentage[#Headers],0),0)/100</f>
        <v>2.2499999999999999E-2</v>
      </c>
      <c r="G265" s="13">
        <f t="shared" si="20"/>
        <v>61998001.501660697</v>
      </c>
      <c r="H265" s="89">
        <f>VLOOKUP(D265,Average_Distance_by_kilometre_grouping_for_mode_type[#All],MATCH(A265,Average_Distance_by_kilometre_grouping_for_mode_type[#Headers],0),0)</f>
        <v>5</v>
      </c>
      <c r="I265" s="89">
        <f>VLOOKUP(D265,Average_Distance_by_kilometres_grouping_for_trip_purpose[#All],MATCH(A265,Average_Distance_by_kilometres_grouping_for_trip_purpose[#Headers],0),0)</f>
        <v>5</v>
      </c>
      <c r="J265" s="89">
        <f t="shared" si="21"/>
        <v>5</v>
      </c>
      <c r="K265" s="89">
        <f t="shared" si="22"/>
        <v>0.10540739959945188</v>
      </c>
      <c r="L265" s="89">
        <v>1</v>
      </c>
      <c r="M265" s="13">
        <f t="shared" si="23"/>
        <v>6535048.1186529668</v>
      </c>
      <c r="N265" s="89">
        <f t="shared" si="24"/>
        <v>1.0708134738241596E-4</v>
      </c>
    </row>
    <row r="266" spans="1:14" x14ac:dyDescent="0.25">
      <c r="A266" s="79" t="s">
        <v>128</v>
      </c>
      <c r="B266" s="89" t="s">
        <v>10</v>
      </c>
      <c r="C266" s="89" t="s">
        <v>243</v>
      </c>
      <c r="D266" s="13" t="s">
        <v>182</v>
      </c>
      <c r="E266" s="35">
        <f>VLOOKUP(B266, Passenger_Kilometre_by_mode_type[#All],MATCH(A266, Passenger_Kilometre_by_mode_type[#Headers],0),0)</f>
        <v>2755466733.4071422</v>
      </c>
      <c r="F266" s="89">
        <f>VLOOKUP(C266, Reason_for_public_transport_journeys_by_percentage[#All],MATCH(A266, Reason_for_public_transport_journeys_by_percentage[#Headers],0),0)/100</f>
        <v>2.2499999999999999E-2</v>
      </c>
      <c r="G266" s="13">
        <f t="shared" si="20"/>
        <v>61998001.501660697</v>
      </c>
      <c r="H266" s="89">
        <f>VLOOKUP(D266,Average_Distance_by_kilometre_grouping_for_mode_type[#All],MATCH(A266,Average_Distance_by_kilometre_grouping_for_mode_type[#Headers],0),0)</f>
        <v>7</v>
      </c>
      <c r="I266" s="89">
        <f>VLOOKUP(D266,Average_Distance_by_kilometres_grouping_for_trip_purpose[#All],MATCH(A266,Average_Distance_by_kilometres_grouping_for_trip_purpose[#Headers],0),0)</f>
        <v>7</v>
      </c>
      <c r="J266" s="89">
        <f t="shared" si="21"/>
        <v>7</v>
      </c>
      <c r="K266" s="89">
        <f t="shared" si="22"/>
        <v>0.14757035943923263</v>
      </c>
      <c r="L266" s="89">
        <v>1</v>
      </c>
      <c r="M266" s="13">
        <f t="shared" si="23"/>
        <v>9149067.3661141545</v>
      </c>
      <c r="N266" s="89">
        <f t="shared" si="24"/>
        <v>1.4991388633538237E-4</v>
      </c>
    </row>
    <row r="267" spans="1:14" x14ac:dyDescent="0.25">
      <c r="A267" s="79" t="s">
        <v>128</v>
      </c>
      <c r="B267" s="89" t="s">
        <v>10</v>
      </c>
      <c r="C267" s="89" t="s">
        <v>243</v>
      </c>
      <c r="D267" s="13" t="s">
        <v>1</v>
      </c>
      <c r="E267" s="35">
        <f>VLOOKUP(B267, Passenger_Kilometre_by_mode_type[#All],MATCH(A267, Passenger_Kilometre_by_mode_type[#Headers],0),0)</f>
        <v>2755466733.4071422</v>
      </c>
      <c r="F267" s="89">
        <f>VLOOKUP(C267, Reason_for_public_transport_journeys_by_percentage[#All],MATCH(A267, Reason_for_public_transport_journeys_by_percentage[#Headers],0),0)/100</f>
        <v>2.2499999999999999E-2</v>
      </c>
      <c r="G267" s="13">
        <f t="shared" si="20"/>
        <v>61998001.501660697</v>
      </c>
      <c r="H267" s="89">
        <f>VLOOKUP(D267,Average_Distance_by_kilometre_grouping_for_mode_type[#All],MATCH(A267,Average_Distance_by_kilometre_grouping_for_mode_type[#Headers],0),0)</f>
        <v>30.1</v>
      </c>
      <c r="I267" s="89">
        <f>VLOOKUP(D267,Average_Distance_by_kilometres_grouping_for_trip_purpose[#All],MATCH(A267,Average_Distance_by_kilometres_grouping_for_trip_purpose[#Headers],0),0)</f>
        <v>32.770000000000003</v>
      </c>
      <c r="J267" s="89">
        <f t="shared" si="21"/>
        <v>31.435000000000002</v>
      </c>
      <c r="K267" s="89">
        <f t="shared" si="22"/>
        <v>0.66269632128175404</v>
      </c>
      <c r="L267" s="89">
        <v>1</v>
      </c>
      <c r="M267" s="13">
        <f t="shared" si="23"/>
        <v>41085847.521971203</v>
      </c>
      <c r="N267" s="89">
        <f t="shared" si="24"/>
        <v>6.732204309932491E-4</v>
      </c>
    </row>
    <row r="268" spans="1:14" x14ac:dyDescent="0.25">
      <c r="A268" s="79" t="s">
        <v>128</v>
      </c>
      <c r="B268" s="89" t="s">
        <v>10</v>
      </c>
      <c r="C268" s="89" t="s">
        <v>50</v>
      </c>
      <c r="D268" s="13" t="s">
        <v>12</v>
      </c>
      <c r="E268" s="35">
        <f>VLOOKUP(B268, Passenger_Kilometre_by_mode_type[#All],MATCH(A268, Passenger_Kilometre_by_mode_type[#Headers],0),0)</f>
        <v>2755466733.4071422</v>
      </c>
      <c r="F268" s="89">
        <f>VLOOKUP(C268, Reason_for_public_transport_journeys_by_percentage[#All],MATCH(A268, Reason_for_public_transport_journeys_by_percentage[#Headers],0),0)/100</f>
        <v>9.1250000000000012E-2</v>
      </c>
      <c r="G268" s="13">
        <f t="shared" si="20"/>
        <v>251436339.42340174</v>
      </c>
      <c r="H268" s="89">
        <f>VLOOKUP(D268,Average_Distance_by_kilometre_grouping_for_mode_type[#All],MATCH(A268,Average_Distance_by_kilometre_grouping_for_mode_type[#Headers],0),0)</f>
        <v>1</v>
      </c>
      <c r="I268" s="89">
        <f>VLOOKUP(D268,Average_Distance_by_kilometres_grouping_for_trip_purpose[#All],MATCH(A268,Average_Distance_by_kilometres_grouping_for_trip_purpose[#Headers],0),0)</f>
        <v>1</v>
      </c>
      <c r="J268" s="89">
        <f t="shared" si="21"/>
        <v>1</v>
      </c>
      <c r="K268" s="89">
        <f t="shared" si="22"/>
        <v>2.1081479919890376E-2</v>
      </c>
      <c r="L268" s="89">
        <v>1</v>
      </c>
      <c r="M268" s="13">
        <f t="shared" si="23"/>
        <v>5300650.1406851849</v>
      </c>
      <c r="N268" s="89">
        <f t="shared" si="24"/>
        <v>8.6854870654626281E-5</v>
      </c>
    </row>
    <row r="269" spans="1:14" x14ac:dyDescent="0.25">
      <c r="A269" s="79" t="s">
        <v>128</v>
      </c>
      <c r="B269" s="89" t="s">
        <v>10</v>
      </c>
      <c r="C269" s="89" t="s">
        <v>50</v>
      </c>
      <c r="D269" s="13" t="s">
        <v>181</v>
      </c>
      <c r="E269" s="35">
        <f>VLOOKUP(B269, Passenger_Kilometre_by_mode_type[#All],MATCH(A269, Passenger_Kilometre_by_mode_type[#Headers],0),0)</f>
        <v>2755466733.4071422</v>
      </c>
      <c r="F269" s="89">
        <f>VLOOKUP(C269, Reason_for_public_transport_journeys_by_percentage[#All],MATCH(A269, Reason_for_public_transport_journeys_by_percentage[#Headers],0),0)/100</f>
        <v>9.1250000000000012E-2</v>
      </c>
      <c r="G269" s="13">
        <f t="shared" si="20"/>
        <v>251436339.42340174</v>
      </c>
      <c r="H269" s="89">
        <f>VLOOKUP(D269,Average_Distance_by_kilometre_grouping_for_mode_type[#All],MATCH(A269,Average_Distance_by_kilometre_grouping_for_mode_type[#Headers],0),0)</f>
        <v>3</v>
      </c>
      <c r="I269" s="89">
        <f>VLOOKUP(D269,Average_Distance_by_kilometres_grouping_for_trip_purpose[#All],MATCH(A269,Average_Distance_by_kilometres_grouping_for_trip_purpose[#Headers],0),0)</f>
        <v>3</v>
      </c>
      <c r="J269" s="89">
        <f t="shared" si="21"/>
        <v>3</v>
      </c>
      <c r="K269" s="89">
        <f t="shared" si="22"/>
        <v>6.3244439759671131E-2</v>
      </c>
      <c r="L269" s="89">
        <v>1</v>
      </c>
      <c r="M269" s="13">
        <f t="shared" si="23"/>
        <v>15901950.422055556</v>
      </c>
      <c r="N269" s="89">
        <f t="shared" si="24"/>
        <v>2.605646119638789E-4</v>
      </c>
    </row>
    <row r="270" spans="1:14" x14ac:dyDescent="0.25">
      <c r="A270" s="79" t="s">
        <v>128</v>
      </c>
      <c r="B270" s="89" t="s">
        <v>10</v>
      </c>
      <c r="C270" s="89" t="s">
        <v>50</v>
      </c>
      <c r="D270" s="13" t="s">
        <v>180</v>
      </c>
      <c r="E270" s="35">
        <f>VLOOKUP(B270, Passenger_Kilometre_by_mode_type[#All],MATCH(A270, Passenger_Kilometre_by_mode_type[#Headers],0),0)</f>
        <v>2755466733.4071422</v>
      </c>
      <c r="F270" s="89">
        <f>VLOOKUP(C270, Reason_for_public_transport_journeys_by_percentage[#All],MATCH(A270, Reason_for_public_transport_journeys_by_percentage[#Headers],0),0)/100</f>
        <v>9.1250000000000012E-2</v>
      </c>
      <c r="G270" s="13">
        <f t="shared" si="20"/>
        <v>251436339.42340174</v>
      </c>
      <c r="H270" s="89">
        <f>VLOOKUP(D270,Average_Distance_by_kilometre_grouping_for_mode_type[#All],MATCH(A270,Average_Distance_by_kilometre_grouping_for_mode_type[#Headers],0),0)</f>
        <v>5</v>
      </c>
      <c r="I270" s="89">
        <f>VLOOKUP(D270,Average_Distance_by_kilometres_grouping_for_trip_purpose[#All],MATCH(A270,Average_Distance_by_kilometres_grouping_for_trip_purpose[#Headers],0),0)</f>
        <v>5</v>
      </c>
      <c r="J270" s="89">
        <f t="shared" si="21"/>
        <v>5</v>
      </c>
      <c r="K270" s="89">
        <f t="shared" si="22"/>
        <v>0.10540739959945188</v>
      </c>
      <c r="L270" s="89">
        <v>1</v>
      </c>
      <c r="M270" s="13">
        <f t="shared" si="23"/>
        <v>26503250.703425921</v>
      </c>
      <c r="N270" s="89">
        <f t="shared" si="24"/>
        <v>4.3427435327313141E-4</v>
      </c>
    </row>
    <row r="271" spans="1:14" x14ac:dyDescent="0.25">
      <c r="A271" s="79" t="s">
        <v>128</v>
      </c>
      <c r="B271" s="89" t="s">
        <v>10</v>
      </c>
      <c r="C271" s="89" t="s">
        <v>50</v>
      </c>
      <c r="D271" s="13" t="s">
        <v>182</v>
      </c>
      <c r="E271" s="35">
        <f>VLOOKUP(B271, Passenger_Kilometre_by_mode_type[#All],MATCH(A271, Passenger_Kilometre_by_mode_type[#Headers],0),0)</f>
        <v>2755466733.4071422</v>
      </c>
      <c r="F271" s="89">
        <f>VLOOKUP(C271, Reason_for_public_transport_journeys_by_percentage[#All],MATCH(A271, Reason_for_public_transport_journeys_by_percentage[#Headers],0),0)/100</f>
        <v>9.1250000000000012E-2</v>
      </c>
      <c r="G271" s="13">
        <f t="shared" si="20"/>
        <v>251436339.42340174</v>
      </c>
      <c r="H271" s="89">
        <f>VLOOKUP(D271,Average_Distance_by_kilometre_grouping_for_mode_type[#All],MATCH(A271,Average_Distance_by_kilometre_grouping_for_mode_type[#Headers],0),0)</f>
        <v>7</v>
      </c>
      <c r="I271" s="89">
        <f>VLOOKUP(D271,Average_Distance_by_kilometres_grouping_for_trip_purpose[#All],MATCH(A271,Average_Distance_by_kilometres_grouping_for_trip_purpose[#Headers],0),0)</f>
        <v>7</v>
      </c>
      <c r="J271" s="89">
        <f t="shared" si="21"/>
        <v>7</v>
      </c>
      <c r="K271" s="89">
        <f t="shared" si="22"/>
        <v>0.14757035943923263</v>
      </c>
      <c r="L271" s="89">
        <v>1</v>
      </c>
      <c r="M271" s="13">
        <f t="shared" si="23"/>
        <v>37104550.984796293</v>
      </c>
      <c r="N271" s="89">
        <f t="shared" si="24"/>
        <v>6.0798409458238402E-4</v>
      </c>
    </row>
    <row r="272" spans="1:14" x14ac:dyDescent="0.25">
      <c r="A272" s="79" t="s">
        <v>128</v>
      </c>
      <c r="B272" s="89" t="s">
        <v>10</v>
      </c>
      <c r="C272" s="89" t="s">
        <v>50</v>
      </c>
      <c r="D272" s="13" t="s">
        <v>1</v>
      </c>
      <c r="E272" s="35">
        <f>VLOOKUP(B272, Passenger_Kilometre_by_mode_type[#All],MATCH(A272, Passenger_Kilometre_by_mode_type[#Headers],0),0)</f>
        <v>2755466733.4071422</v>
      </c>
      <c r="F272" s="89">
        <f>VLOOKUP(C272, Reason_for_public_transport_journeys_by_percentage[#All],MATCH(A272, Reason_for_public_transport_journeys_by_percentage[#Headers],0),0)/100</f>
        <v>9.1250000000000012E-2</v>
      </c>
      <c r="G272" s="13">
        <f t="shared" si="20"/>
        <v>251436339.42340174</v>
      </c>
      <c r="H272" s="89">
        <f>VLOOKUP(D272,Average_Distance_by_kilometre_grouping_for_mode_type[#All],MATCH(A272,Average_Distance_by_kilometre_grouping_for_mode_type[#Headers],0),0)</f>
        <v>30.1</v>
      </c>
      <c r="I272" s="89">
        <f>VLOOKUP(D272,Average_Distance_by_kilometres_grouping_for_trip_purpose[#All],MATCH(A272,Average_Distance_by_kilometres_grouping_for_trip_purpose[#Headers],0),0)</f>
        <v>32.770000000000003</v>
      </c>
      <c r="J272" s="89">
        <f t="shared" si="21"/>
        <v>31.435000000000002</v>
      </c>
      <c r="K272" s="89">
        <f t="shared" si="22"/>
        <v>0.66269632128175404</v>
      </c>
      <c r="L272" s="89">
        <v>1</v>
      </c>
      <c r="M272" s="13">
        <f t="shared" si="23"/>
        <v>166625937.1724388</v>
      </c>
      <c r="N272" s="89">
        <f t="shared" si="24"/>
        <v>2.7302828590281777E-3</v>
      </c>
    </row>
    <row r="273" spans="1:14" x14ac:dyDescent="0.25">
      <c r="A273" s="79" t="s">
        <v>128</v>
      </c>
      <c r="B273" s="89" t="s">
        <v>11</v>
      </c>
      <c r="C273" s="89" t="s">
        <v>42</v>
      </c>
      <c r="D273" s="13" t="s">
        <v>12</v>
      </c>
      <c r="E273" s="35">
        <f>VLOOKUP(B273, Passenger_Kilometre_by_mode_type[#All],MATCH(A273, Passenger_Kilometre_by_mode_type[#Headers],0),0)</f>
        <v>0</v>
      </c>
      <c r="F273" s="89">
        <f>VLOOKUP(C273, Reason_for_public_transport_journeys_by_percentage[#All],MATCH(A273, Reason_for_public_transport_journeys_by_percentage[#Headers],0),0)/100</f>
        <v>0.28824999999999995</v>
      </c>
      <c r="G273" s="13">
        <f t="shared" si="20"/>
        <v>0</v>
      </c>
      <c r="H273" s="89">
        <f>VLOOKUP(D273,Average_Distance_by_kilometre_grouping_for_mode_type[#All],MATCH(A273,Average_Distance_by_kilometre_grouping_for_mode_type[#Headers],0),0)</f>
        <v>1</v>
      </c>
      <c r="I273" s="89">
        <f>VLOOKUP(D273,Average_Distance_by_kilometres_grouping_for_trip_purpose[#All],MATCH(A273,Average_Distance_by_kilometres_grouping_for_trip_purpose[#Headers],0),0)</f>
        <v>1</v>
      </c>
      <c r="J273" s="89">
        <f t="shared" si="21"/>
        <v>1</v>
      </c>
      <c r="K273" s="89">
        <f t="shared" si="22"/>
        <v>2.1081479919890376E-2</v>
      </c>
      <c r="L273" s="89">
        <v>1</v>
      </c>
      <c r="M273" s="13">
        <f t="shared" si="23"/>
        <v>0</v>
      </c>
      <c r="N273" s="89">
        <f t="shared" si="24"/>
        <v>0</v>
      </c>
    </row>
    <row r="274" spans="1:14" x14ac:dyDescent="0.25">
      <c r="A274" s="79" t="s">
        <v>128</v>
      </c>
      <c r="B274" s="89" t="s">
        <v>11</v>
      </c>
      <c r="C274" s="89" t="s">
        <v>42</v>
      </c>
      <c r="D274" s="13" t="s">
        <v>181</v>
      </c>
      <c r="E274" s="35">
        <f>VLOOKUP(B274, Passenger_Kilometre_by_mode_type[#All],MATCH(A274, Passenger_Kilometre_by_mode_type[#Headers],0),0)</f>
        <v>0</v>
      </c>
      <c r="F274" s="89">
        <f>VLOOKUP(C274, Reason_for_public_transport_journeys_by_percentage[#All],MATCH(A274, Reason_for_public_transport_journeys_by_percentage[#Headers],0),0)/100</f>
        <v>0.28824999999999995</v>
      </c>
      <c r="G274" s="13">
        <f t="shared" si="20"/>
        <v>0</v>
      </c>
      <c r="H274" s="89">
        <f>VLOOKUP(D274,Average_Distance_by_kilometre_grouping_for_mode_type[#All],MATCH(A274,Average_Distance_by_kilometre_grouping_for_mode_type[#Headers],0),0)</f>
        <v>3</v>
      </c>
      <c r="I274" s="89">
        <f>VLOOKUP(D274,Average_Distance_by_kilometres_grouping_for_trip_purpose[#All],MATCH(A274,Average_Distance_by_kilometres_grouping_for_trip_purpose[#Headers],0),0)</f>
        <v>3</v>
      </c>
      <c r="J274" s="89">
        <f t="shared" si="21"/>
        <v>3</v>
      </c>
      <c r="K274" s="89">
        <f t="shared" si="22"/>
        <v>6.3244439759671131E-2</v>
      </c>
      <c r="L274" s="89">
        <v>1</v>
      </c>
      <c r="M274" s="13">
        <f t="shared" si="23"/>
        <v>0</v>
      </c>
      <c r="N274" s="89">
        <f t="shared" si="24"/>
        <v>0</v>
      </c>
    </row>
    <row r="275" spans="1:14" x14ac:dyDescent="0.25">
      <c r="A275" s="79" t="s">
        <v>128</v>
      </c>
      <c r="B275" s="89" t="s">
        <v>11</v>
      </c>
      <c r="C275" s="89" t="s">
        <v>42</v>
      </c>
      <c r="D275" s="13" t="s">
        <v>180</v>
      </c>
      <c r="E275" s="35">
        <f>VLOOKUP(B275, Passenger_Kilometre_by_mode_type[#All],MATCH(A275, Passenger_Kilometre_by_mode_type[#Headers],0),0)</f>
        <v>0</v>
      </c>
      <c r="F275" s="89">
        <f>VLOOKUP(C275, Reason_for_public_transport_journeys_by_percentage[#All],MATCH(A275, Reason_for_public_transport_journeys_by_percentage[#Headers],0),0)/100</f>
        <v>0.28824999999999995</v>
      </c>
      <c r="G275" s="13">
        <f t="shared" si="20"/>
        <v>0</v>
      </c>
      <c r="H275" s="89">
        <f>VLOOKUP(D275,Average_Distance_by_kilometre_grouping_for_mode_type[#All],MATCH(A275,Average_Distance_by_kilometre_grouping_for_mode_type[#Headers],0),0)</f>
        <v>5</v>
      </c>
      <c r="I275" s="89">
        <f>VLOOKUP(D275,Average_Distance_by_kilometres_grouping_for_trip_purpose[#All],MATCH(A275,Average_Distance_by_kilometres_grouping_for_trip_purpose[#Headers],0),0)</f>
        <v>5</v>
      </c>
      <c r="J275" s="89">
        <f t="shared" si="21"/>
        <v>5</v>
      </c>
      <c r="K275" s="89">
        <f t="shared" si="22"/>
        <v>0.10540739959945188</v>
      </c>
      <c r="L275" s="89">
        <v>1</v>
      </c>
      <c r="M275" s="13">
        <f t="shared" si="23"/>
        <v>0</v>
      </c>
      <c r="N275" s="89">
        <f t="shared" si="24"/>
        <v>0</v>
      </c>
    </row>
    <row r="276" spans="1:14" x14ac:dyDescent="0.25">
      <c r="A276" s="79" t="s">
        <v>128</v>
      </c>
      <c r="B276" s="89" t="s">
        <v>11</v>
      </c>
      <c r="C276" s="89" t="s">
        <v>42</v>
      </c>
      <c r="D276" s="13" t="s">
        <v>182</v>
      </c>
      <c r="E276" s="35">
        <f>VLOOKUP(B276, Passenger_Kilometre_by_mode_type[#All],MATCH(A276, Passenger_Kilometre_by_mode_type[#Headers],0),0)</f>
        <v>0</v>
      </c>
      <c r="F276" s="89">
        <f>VLOOKUP(C276, Reason_for_public_transport_journeys_by_percentage[#All],MATCH(A276, Reason_for_public_transport_journeys_by_percentage[#Headers],0),0)/100</f>
        <v>0.28824999999999995</v>
      </c>
      <c r="G276" s="13">
        <f t="shared" si="20"/>
        <v>0</v>
      </c>
      <c r="H276" s="89">
        <f>VLOOKUP(D276,Average_Distance_by_kilometre_grouping_for_mode_type[#All],MATCH(A276,Average_Distance_by_kilometre_grouping_for_mode_type[#Headers],0),0)</f>
        <v>7</v>
      </c>
      <c r="I276" s="89">
        <f>VLOOKUP(D276,Average_Distance_by_kilometres_grouping_for_trip_purpose[#All],MATCH(A276,Average_Distance_by_kilometres_grouping_for_trip_purpose[#Headers],0),0)</f>
        <v>7</v>
      </c>
      <c r="J276" s="89">
        <f t="shared" si="21"/>
        <v>7</v>
      </c>
      <c r="K276" s="89">
        <f t="shared" si="22"/>
        <v>0.14757035943923263</v>
      </c>
      <c r="L276" s="89">
        <v>1</v>
      </c>
      <c r="M276" s="13">
        <f t="shared" si="23"/>
        <v>0</v>
      </c>
      <c r="N276" s="89">
        <f t="shared" si="24"/>
        <v>0</v>
      </c>
    </row>
    <row r="277" spans="1:14" x14ac:dyDescent="0.25">
      <c r="A277" s="79" t="s">
        <v>128</v>
      </c>
      <c r="B277" s="89" t="s">
        <v>11</v>
      </c>
      <c r="C277" s="89" t="s">
        <v>42</v>
      </c>
      <c r="D277" s="13" t="s">
        <v>1</v>
      </c>
      <c r="E277" s="35">
        <f>VLOOKUP(B277, Passenger_Kilometre_by_mode_type[#All],MATCH(A277, Passenger_Kilometre_by_mode_type[#Headers],0),0)</f>
        <v>0</v>
      </c>
      <c r="F277" s="89">
        <f>VLOOKUP(C277, Reason_for_public_transport_journeys_by_percentage[#All],MATCH(A277, Reason_for_public_transport_journeys_by_percentage[#Headers],0),0)/100</f>
        <v>0.28824999999999995</v>
      </c>
      <c r="G277" s="13">
        <f t="shared" si="20"/>
        <v>0</v>
      </c>
      <c r="H277" s="89">
        <f>VLOOKUP(D277,Average_Distance_by_kilometre_grouping_for_mode_type[#All],MATCH(A277,Average_Distance_by_kilometre_grouping_for_mode_type[#Headers],0),0)</f>
        <v>30.1</v>
      </c>
      <c r="I277" s="89">
        <f>VLOOKUP(D277,Average_Distance_by_kilometres_grouping_for_trip_purpose[#All],MATCH(A277,Average_Distance_by_kilometres_grouping_for_trip_purpose[#Headers],0),0)</f>
        <v>32.770000000000003</v>
      </c>
      <c r="J277" s="89">
        <f t="shared" si="21"/>
        <v>31.435000000000002</v>
      </c>
      <c r="K277" s="89">
        <f t="shared" si="22"/>
        <v>0.66269632128175404</v>
      </c>
      <c r="L277" s="89">
        <v>1</v>
      </c>
      <c r="M277" s="13">
        <f t="shared" si="23"/>
        <v>0</v>
      </c>
      <c r="N277" s="89">
        <f t="shared" si="24"/>
        <v>0</v>
      </c>
    </row>
    <row r="278" spans="1:14" x14ac:dyDescent="0.25">
      <c r="A278" s="79" t="s">
        <v>128</v>
      </c>
      <c r="B278" s="89" t="s">
        <v>11</v>
      </c>
      <c r="C278" s="89" t="s">
        <v>43</v>
      </c>
      <c r="D278" s="13" t="s">
        <v>12</v>
      </c>
      <c r="E278" s="35">
        <f>VLOOKUP(B278, Passenger_Kilometre_by_mode_type[#All],MATCH(A278, Passenger_Kilometre_by_mode_type[#Headers],0),0)</f>
        <v>0</v>
      </c>
      <c r="F278" s="89">
        <f>VLOOKUP(C278, Reason_for_public_transport_journeys_by_percentage[#All],MATCH(A278, Reason_for_public_transport_journeys_by_percentage[#Headers],0),0)/100</f>
        <v>0.12437499999999999</v>
      </c>
      <c r="G278" s="13">
        <f t="shared" si="20"/>
        <v>0</v>
      </c>
      <c r="H278" s="89">
        <f>VLOOKUP(D278,Average_Distance_by_kilometre_grouping_for_mode_type[#All],MATCH(A278,Average_Distance_by_kilometre_grouping_for_mode_type[#Headers],0),0)</f>
        <v>1</v>
      </c>
      <c r="I278" s="89">
        <f>VLOOKUP(D278,Average_Distance_by_kilometres_grouping_for_trip_purpose[#All],MATCH(A278,Average_Distance_by_kilometres_grouping_for_trip_purpose[#Headers],0),0)</f>
        <v>1</v>
      </c>
      <c r="J278" s="89">
        <f t="shared" si="21"/>
        <v>1</v>
      </c>
      <c r="K278" s="89">
        <f t="shared" si="22"/>
        <v>2.1081479919890376E-2</v>
      </c>
      <c r="L278" s="89">
        <v>1</v>
      </c>
      <c r="M278" s="13">
        <f t="shared" si="23"/>
        <v>0</v>
      </c>
      <c r="N278" s="89">
        <f t="shared" si="24"/>
        <v>0</v>
      </c>
    </row>
    <row r="279" spans="1:14" x14ac:dyDescent="0.25">
      <c r="A279" s="79" t="s">
        <v>128</v>
      </c>
      <c r="B279" s="89" t="s">
        <v>11</v>
      </c>
      <c r="C279" s="89" t="s">
        <v>43</v>
      </c>
      <c r="D279" s="13" t="s">
        <v>181</v>
      </c>
      <c r="E279" s="35">
        <f>VLOOKUP(B279, Passenger_Kilometre_by_mode_type[#All],MATCH(A279, Passenger_Kilometre_by_mode_type[#Headers],0),0)</f>
        <v>0</v>
      </c>
      <c r="F279" s="89">
        <f>VLOOKUP(C279, Reason_for_public_transport_journeys_by_percentage[#All],MATCH(A279, Reason_for_public_transport_journeys_by_percentage[#Headers],0),0)/100</f>
        <v>0.12437499999999999</v>
      </c>
      <c r="G279" s="13">
        <f t="shared" si="20"/>
        <v>0</v>
      </c>
      <c r="H279" s="89">
        <f>VLOOKUP(D279,Average_Distance_by_kilometre_grouping_for_mode_type[#All],MATCH(A279,Average_Distance_by_kilometre_grouping_for_mode_type[#Headers],0),0)</f>
        <v>3</v>
      </c>
      <c r="I279" s="89">
        <f>VLOOKUP(D279,Average_Distance_by_kilometres_grouping_for_trip_purpose[#All],MATCH(A279,Average_Distance_by_kilometres_grouping_for_trip_purpose[#Headers],0),0)</f>
        <v>3</v>
      </c>
      <c r="J279" s="89">
        <f t="shared" si="21"/>
        <v>3</v>
      </c>
      <c r="K279" s="89">
        <f t="shared" si="22"/>
        <v>6.3244439759671131E-2</v>
      </c>
      <c r="L279" s="89">
        <v>1</v>
      </c>
      <c r="M279" s="13">
        <f t="shared" si="23"/>
        <v>0</v>
      </c>
      <c r="N279" s="89">
        <f t="shared" si="24"/>
        <v>0</v>
      </c>
    </row>
    <row r="280" spans="1:14" x14ac:dyDescent="0.25">
      <c r="A280" s="79" t="s">
        <v>128</v>
      </c>
      <c r="B280" s="89" t="s">
        <v>11</v>
      </c>
      <c r="C280" s="89" t="s">
        <v>43</v>
      </c>
      <c r="D280" s="13" t="s">
        <v>180</v>
      </c>
      <c r="E280" s="35">
        <f>VLOOKUP(B280, Passenger_Kilometre_by_mode_type[#All],MATCH(A280, Passenger_Kilometre_by_mode_type[#Headers],0),0)</f>
        <v>0</v>
      </c>
      <c r="F280" s="89">
        <f>VLOOKUP(C280, Reason_for_public_transport_journeys_by_percentage[#All],MATCH(A280, Reason_for_public_transport_journeys_by_percentage[#Headers],0),0)/100</f>
        <v>0.12437499999999999</v>
      </c>
      <c r="G280" s="13">
        <f t="shared" si="20"/>
        <v>0</v>
      </c>
      <c r="H280" s="89">
        <f>VLOOKUP(D280,Average_Distance_by_kilometre_grouping_for_mode_type[#All],MATCH(A280,Average_Distance_by_kilometre_grouping_for_mode_type[#Headers],0),0)</f>
        <v>5</v>
      </c>
      <c r="I280" s="89">
        <f>VLOOKUP(D280,Average_Distance_by_kilometres_grouping_for_trip_purpose[#All],MATCH(A280,Average_Distance_by_kilometres_grouping_for_trip_purpose[#Headers],0),0)</f>
        <v>5</v>
      </c>
      <c r="J280" s="89">
        <f t="shared" si="21"/>
        <v>5</v>
      </c>
      <c r="K280" s="89">
        <f t="shared" si="22"/>
        <v>0.10540739959945188</v>
      </c>
      <c r="L280" s="89">
        <v>1</v>
      </c>
      <c r="M280" s="13">
        <f t="shared" si="23"/>
        <v>0</v>
      </c>
      <c r="N280" s="89">
        <f t="shared" si="24"/>
        <v>0</v>
      </c>
    </row>
    <row r="281" spans="1:14" x14ac:dyDescent="0.25">
      <c r="A281" s="79" t="s">
        <v>128</v>
      </c>
      <c r="B281" s="89" t="s">
        <v>11</v>
      </c>
      <c r="C281" s="89" t="s">
        <v>43</v>
      </c>
      <c r="D281" s="13" t="s">
        <v>182</v>
      </c>
      <c r="E281" s="35">
        <f>VLOOKUP(B281, Passenger_Kilometre_by_mode_type[#All],MATCH(A281, Passenger_Kilometre_by_mode_type[#Headers],0),0)</f>
        <v>0</v>
      </c>
      <c r="F281" s="89">
        <f>VLOOKUP(C281, Reason_for_public_transport_journeys_by_percentage[#All],MATCH(A281, Reason_for_public_transport_journeys_by_percentage[#Headers],0),0)/100</f>
        <v>0.12437499999999999</v>
      </c>
      <c r="G281" s="13">
        <f t="shared" si="20"/>
        <v>0</v>
      </c>
      <c r="H281" s="89">
        <f>VLOOKUP(D281,Average_Distance_by_kilometre_grouping_for_mode_type[#All],MATCH(A281,Average_Distance_by_kilometre_grouping_for_mode_type[#Headers],0),0)</f>
        <v>7</v>
      </c>
      <c r="I281" s="89">
        <f>VLOOKUP(D281,Average_Distance_by_kilometres_grouping_for_trip_purpose[#All],MATCH(A281,Average_Distance_by_kilometres_grouping_for_trip_purpose[#Headers],0),0)</f>
        <v>7</v>
      </c>
      <c r="J281" s="89">
        <f t="shared" si="21"/>
        <v>7</v>
      </c>
      <c r="K281" s="89">
        <f t="shared" si="22"/>
        <v>0.14757035943923263</v>
      </c>
      <c r="L281" s="89">
        <v>1</v>
      </c>
      <c r="M281" s="13">
        <f t="shared" si="23"/>
        <v>0</v>
      </c>
      <c r="N281" s="89">
        <f t="shared" si="24"/>
        <v>0</v>
      </c>
    </row>
    <row r="282" spans="1:14" x14ac:dyDescent="0.25">
      <c r="A282" s="79" t="s">
        <v>128</v>
      </c>
      <c r="B282" s="89" t="s">
        <v>11</v>
      </c>
      <c r="C282" s="89" t="s">
        <v>43</v>
      </c>
      <c r="D282" s="13" t="s">
        <v>1</v>
      </c>
      <c r="E282" s="35">
        <f>VLOOKUP(B282, Passenger_Kilometre_by_mode_type[#All],MATCH(A282, Passenger_Kilometre_by_mode_type[#Headers],0),0)</f>
        <v>0</v>
      </c>
      <c r="F282" s="89">
        <f>VLOOKUP(C282, Reason_for_public_transport_journeys_by_percentage[#All],MATCH(A282, Reason_for_public_transport_journeys_by_percentage[#Headers],0),0)/100</f>
        <v>0.12437499999999999</v>
      </c>
      <c r="G282" s="13">
        <f t="shared" si="20"/>
        <v>0</v>
      </c>
      <c r="H282" s="89">
        <f>VLOOKUP(D282,Average_Distance_by_kilometre_grouping_for_mode_type[#All],MATCH(A282,Average_Distance_by_kilometre_grouping_for_mode_type[#Headers],0),0)</f>
        <v>30.1</v>
      </c>
      <c r="I282" s="89">
        <f>VLOOKUP(D282,Average_Distance_by_kilometres_grouping_for_trip_purpose[#All],MATCH(A282,Average_Distance_by_kilometres_grouping_for_trip_purpose[#Headers],0),0)</f>
        <v>32.770000000000003</v>
      </c>
      <c r="J282" s="89">
        <f t="shared" si="21"/>
        <v>31.435000000000002</v>
      </c>
      <c r="K282" s="89">
        <f t="shared" si="22"/>
        <v>0.66269632128175404</v>
      </c>
      <c r="L282" s="89">
        <v>1</v>
      </c>
      <c r="M282" s="13">
        <f t="shared" si="23"/>
        <v>0</v>
      </c>
      <c r="N282" s="89">
        <f t="shared" si="24"/>
        <v>0</v>
      </c>
    </row>
    <row r="283" spans="1:14" x14ac:dyDescent="0.25">
      <c r="A283" s="79" t="s">
        <v>128</v>
      </c>
      <c r="B283" s="89" t="s">
        <v>11</v>
      </c>
      <c r="C283" s="89" t="s">
        <v>44</v>
      </c>
      <c r="D283" s="13" t="s">
        <v>12</v>
      </c>
      <c r="E283" s="35">
        <f>VLOOKUP(B283, Passenger_Kilometre_by_mode_type[#All],MATCH(A283, Passenger_Kilometre_by_mode_type[#Headers],0),0)</f>
        <v>0</v>
      </c>
      <c r="F283" s="89">
        <f>VLOOKUP(C283, Reason_for_public_transport_journeys_by_percentage[#All],MATCH(A283, Reason_for_public_transport_journeys_by_percentage[#Headers],0),0)/100</f>
        <v>0.18625</v>
      </c>
      <c r="G283" s="13">
        <f t="shared" si="20"/>
        <v>0</v>
      </c>
      <c r="H283" s="89">
        <f>VLOOKUP(D283,Average_Distance_by_kilometre_grouping_for_mode_type[#All],MATCH(A283,Average_Distance_by_kilometre_grouping_for_mode_type[#Headers],0),0)</f>
        <v>1</v>
      </c>
      <c r="I283" s="89">
        <f>VLOOKUP(D283,Average_Distance_by_kilometres_grouping_for_trip_purpose[#All],MATCH(A283,Average_Distance_by_kilometres_grouping_for_trip_purpose[#Headers],0),0)</f>
        <v>1</v>
      </c>
      <c r="J283" s="89">
        <f t="shared" si="21"/>
        <v>1</v>
      </c>
      <c r="K283" s="89">
        <f t="shared" si="22"/>
        <v>2.1081479919890376E-2</v>
      </c>
      <c r="L283" s="89">
        <v>1</v>
      </c>
      <c r="M283" s="13">
        <f t="shared" si="23"/>
        <v>0</v>
      </c>
      <c r="N283" s="89">
        <f t="shared" si="24"/>
        <v>0</v>
      </c>
    </row>
    <row r="284" spans="1:14" x14ac:dyDescent="0.25">
      <c r="A284" s="79" t="s">
        <v>128</v>
      </c>
      <c r="B284" s="89" t="s">
        <v>11</v>
      </c>
      <c r="C284" s="89" t="s">
        <v>44</v>
      </c>
      <c r="D284" s="13" t="s">
        <v>181</v>
      </c>
      <c r="E284" s="35">
        <f>VLOOKUP(B284, Passenger_Kilometre_by_mode_type[#All],MATCH(A284, Passenger_Kilometre_by_mode_type[#Headers],0),0)</f>
        <v>0</v>
      </c>
      <c r="F284" s="89">
        <f>VLOOKUP(C284, Reason_for_public_transport_journeys_by_percentage[#All],MATCH(A284, Reason_for_public_transport_journeys_by_percentage[#Headers],0),0)/100</f>
        <v>0.18625</v>
      </c>
      <c r="G284" s="13">
        <f t="shared" si="20"/>
        <v>0</v>
      </c>
      <c r="H284" s="89">
        <f>VLOOKUP(D284,Average_Distance_by_kilometre_grouping_for_mode_type[#All],MATCH(A284,Average_Distance_by_kilometre_grouping_for_mode_type[#Headers],0),0)</f>
        <v>3</v>
      </c>
      <c r="I284" s="89">
        <f>VLOOKUP(D284,Average_Distance_by_kilometres_grouping_for_trip_purpose[#All],MATCH(A284,Average_Distance_by_kilometres_grouping_for_trip_purpose[#Headers],0),0)</f>
        <v>3</v>
      </c>
      <c r="J284" s="89">
        <f t="shared" si="21"/>
        <v>3</v>
      </c>
      <c r="K284" s="89">
        <f t="shared" si="22"/>
        <v>6.3244439759671131E-2</v>
      </c>
      <c r="L284" s="89">
        <v>1</v>
      </c>
      <c r="M284" s="13">
        <f t="shared" si="23"/>
        <v>0</v>
      </c>
      <c r="N284" s="89">
        <f t="shared" si="24"/>
        <v>0</v>
      </c>
    </row>
    <row r="285" spans="1:14" x14ac:dyDescent="0.25">
      <c r="A285" s="79" t="s">
        <v>128</v>
      </c>
      <c r="B285" s="89" t="s">
        <v>11</v>
      </c>
      <c r="C285" s="89" t="s">
        <v>44</v>
      </c>
      <c r="D285" s="13" t="s">
        <v>180</v>
      </c>
      <c r="E285" s="35">
        <f>VLOOKUP(B285, Passenger_Kilometre_by_mode_type[#All],MATCH(A285, Passenger_Kilometre_by_mode_type[#Headers],0),0)</f>
        <v>0</v>
      </c>
      <c r="F285" s="89">
        <f>VLOOKUP(C285, Reason_for_public_transport_journeys_by_percentage[#All],MATCH(A285, Reason_for_public_transport_journeys_by_percentage[#Headers],0),0)/100</f>
        <v>0.18625</v>
      </c>
      <c r="G285" s="13">
        <f t="shared" si="20"/>
        <v>0</v>
      </c>
      <c r="H285" s="89">
        <f>VLOOKUP(D285,Average_Distance_by_kilometre_grouping_for_mode_type[#All],MATCH(A285,Average_Distance_by_kilometre_grouping_for_mode_type[#Headers],0),0)</f>
        <v>5</v>
      </c>
      <c r="I285" s="89">
        <f>VLOOKUP(D285,Average_Distance_by_kilometres_grouping_for_trip_purpose[#All],MATCH(A285,Average_Distance_by_kilometres_grouping_for_trip_purpose[#Headers],0),0)</f>
        <v>5</v>
      </c>
      <c r="J285" s="89">
        <f t="shared" si="21"/>
        <v>5</v>
      </c>
      <c r="K285" s="89">
        <f t="shared" si="22"/>
        <v>0.10540739959945188</v>
      </c>
      <c r="L285" s="89">
        <v>1</v>
      </c>
      <c r="M285" s="13">
        <f t="shared" si="23"/>
        <v>0</v>
      </c>
      <c r="N285" s="89">
        <f t="shared" si="24"/>
        <v>0</v>
      </c>
    </row>
    <row r="286" spans="1:14" x14ac:dyDescent="0.25">
      <c r="A286" s="79" t="s">
        <v>128</v>
      </c>
      <c r="B286" s="89" t="s">
        <v>11</v>
      </c>
      <c r="C286" s="89" t="s">
        <v>44</v>
      </c>
      <c r="D286" s="13" t="s">
        <v>182</v>
      </c>
      <c r="E286" s="35">
        <f>VLOOKUP(B286, Passenger_Kilometre_by_mode_type[#All],MATCH(A286, Passenger_Kilometre_by_mode_type[#Headers],0),0)</f>
        <v>0</v>
      </c>
      <c r="F286" s="89">
        <f>VLOOKUP(C286, Reason_for_public_transport_journeys_by_percentage[#All],MATCH(A286, Reason_for_public_transport_journeys_by_percentage[#Headers],0),0)/100</f>
        <v>0.18625</v>
      </c>
      <c r="G286" s="13">
        <f t="shared" si="20"/>
        <v>0</v>
      </c>
      <c r="H286" s="89">
        <f>VLOOKUP(D286,Average_Distance_by_kilometre_grouping_for_mode_type[#All],MATCH(A286,Average_Distance_by_kilometre_grouping_for_mode_type[#Headers],0),0)</f>
        <v>7</v>
      </c>
      <c r="I286" s="89">
        <f>VLOOKUP(D286,Average_Distance_by_kilometres_grouping_for_trip_purpose[#All],MATCH(A286,Average_Distance_by_kilometres_grouping_for_trip_purpose[#Headers],0),0)</f>
        <v>7</v>
      </c>
      <c r="J286" s="89">
        <f t="shared" si="21"/>
        <v>7</v>
      </c>
      <c r="K286" s="89">
        <f t="shared" si="22"/>
        <v>0.14757035943923263</v>
      </c>
      <c r="L286" s="89">
        <v>1</v>
      </c>
      <c r="M286" s="13">
        <f t="shared" si="23"/>
        <v>0</v>
      </c>
      <c r="N286" s="89">
        <f t="shared" si="24"/>
        <v>0</v>
      </c>
    </row>
    <row r="287" spans="1:14" x14ac:dyDescent="0.25">
      <c r="A287" s="79" t="s">
        <v>128</v>
      </c>
      <c r="B287" s="89" t="s">
        <v>11</v>
      </c>
      <c r="C287" s="89" t="s">
        <v>44</v>
      </c>
      <c r="D287" s="13" t="s">
        <v>1</v>
      </c>
      <c r="E287" s="35">
        <f>VLOOKUP(B287, Passenger_Kilometre_by_mode_type[#All],MATCH(A287, Passenger_Kilometre_by_mode_type[#Headers],0),0)</f>
        <v>0</v>
      </c>
      <c r="F287" s="89">
        <f>VLOOKUP(C287, Reason_for_public_transport_journeys_by_percentage[#All],MATCH(A287, Reason_for_public_transport_journeys_by_percentage[#Headers],0),0)/100</f>
        <v>0.18625</v>
      </c>
      <c r="G287" s="13">
        <f t="shared" si="20"/>
        <v>0</v>
      </c>
      <c r="H287" s="89">
        <f>VLOOKUP(D287,Average_Distance_by_kilometre_grouping_for_mode_type[#All],MATCH(A287,Average_Distance_by_kilometre_grouping_for_mode_type[#Headers],0),0)</f>
        <v>30.1</v>
      </c>
      <c r="I287" s="89">
        <f>VLOOKUP(D287,Average_Distance_by_kilometres_grouping_for_trip_purpose[#All],MATCH(A287,Average_Distance_by_kilometres_grouping_for_trip_purpose[#Headers],0),0)</f>
        <v>32.770000000000003</v>
      </c>
      <c r="J287" s="89">
        <f t="shared" si="21"/>
        <v>31.435000000000002</v>
      </c>
      <c r="K287" s="89">
        <f t="shared" si="22"/>
        <v>0.66269632128175404</v>
      </c>
      <c r="L287" s="89">
        <v>1</v>
      </c>
      <c r="M287" s="13">
        <f t="shared" si="23"/>
        <v>0</v>
      </c>
      <c r="N287" s="89">
        <f t="shared" si="24"/>
        <v>0</v>
      </c>
    </row>
    <row r="288" spans="1:14" x14ac:dyDescent="0.25">
      <c r="A288" s="79" t="s">
        <v>128</v>
      </c>
      <c r="B288" s="89" t="s">
        <v>11</v>
      </c>
      <c r="C288" s="89" t="s">
        <v>45</v>
      </c>
      <c r="D288" s="13" t="s">
        <v>12</v>
      </c>
      <c r="E288" s="35">
        <f>VLOOKUP(B288, Passenger_Kilometre_by_mode_type[#All],MATCH(A288, Passenger_Kilometre_by_mode_type[#Headers],0),0)</f>
        <v>0</v>
      </c>
      <c r="F288" s="89">
        <f>VLOOKUP(C288, Reason_for_public_transport_journeys_by_percentage[#All],MATCH(A288, Reason_for_public_transport_journeys_by_percentage[#Headers],0),0)/100</f>
        <v>1.7000000000000001E-2</v>
      </c>
      <c r="G288" s="13">
        <f t="shared" si="20"/>
        <v>0</v>
      </c>
      <c r="H288" s="89">
        <f>VLOOKUP(D288,Average_Distance_by_kilometre_grouping_for_mode_type[#All],MATCH(A288,Average_Distance_by_kilometre_grouping_for_mode_type[#Headers],0),0)</f>
        <v>1</v>
      </c>
      <c r="I288" s="89">
        <f>VLOOKUP(D288,Average_Distance_by_kilometres_grouping_for_trip_purpose[#All],MATCH(A288,Average_Distance_by_kilometres_grouping_for_trip_purpose[#Headers],0),0)</f>
        <v>1</v>
      </c>
      <c r="J288" s="89">
        <f t="shared" si="21"/>
        <v>1</v>
      </c>
      <c r="K288" s="89">
        <f t="shared" si="22"/>
        <v>2.1081479919890376E-2</v>
      </c>
      <c r="L288" s="89">
        <v>1</v>
      </c>
      <c r="M288" s="13">
        <f t="shared" si="23"/>
        <v>0</v>
      </c>
      <c r="N288" s="89">
        <f t="shared" si="24"/>
        <v>0</v>
      </c>
    </row>
    <row r="289" spans="1:14" x14ac:dyDescent="0.25">
      <c r="A289" s="79" t="s">
        <v>128</v>
      </c>
      <c r="B289" s="89" t="s">
        <v>11</v>
      </c>
      <c r="C289" s="89" t="s">
        <v>45</v>
      </c>
      <c r="D289" s="13" t="s">
        <v>181</v>
      </c>
      <c r="E289" s="35">
        <f>VLOOKUP(B289, Passenger_Kilometre_by_mode_type[#All],MATCH(A289, Passenger_Kilometre_by_mode_type[#Headers],0),0)</f>
        <v>0</v>
      </c>
      <c r="F289" s="89">
        <f>VLOOKUP(C289, Reason_for_public_transport_journeys_by_percentage[#All],MATCH(A289, Reason_for_public_transport_journeys_by_percentage[#Headers],0),0)/100</f>
        <v>1.7000000000000001E-2</v>
      </c>
      <c r="G289" s="13">
        <f t="shared" si="20"/>
        <v>0</v>
      </c>
      <c r="H289" s="89">
        <f>VLOOKUP(D289,Average_Distance_by_kilometre_grouping_for_mode_type[#All],MATCH(A289,Average_Distance_by_kilometre_grouping_for_mode_type[#Headers],0),0)</f>
        <v>3</v>
      </c>
      <c r="I289" s="89">
        <f>VLOOKUP(D289,Average_Distance_by_kilometres_grouping_for_trip_purpose[#All],MATCH(A289,Average_Distance_by_kilometres_grouping_for_trip_purpose[#Headers],0),0)</f>
        <v>3</v>
      </c>
      <c r="J289" s="89">
        <f t="shared" si="21"/>
        <v>3</v>
      </c>
      <c r="K289" s="89">
        <f t="shared" si="22"/>
        <v>6.3244439759671131E-2</v>
      </c>
      <c r="L289" s="89">
        <v>1</v>
      </c>
      <c r="M289" s="13">
        <f t="shared" si="23"/>
        <v>0</v>
      </c>
      <c r="N289" s="89">
        <f t="shared" si="24"/>
        <v>0</v>
      </c>
    </row>
    <row r="290" spans="1:14" x14ac:dyDescent="0.25">
      <c r="A290" s="79" t="s">
        <v>128</v>
      </c>
      <c r="B290" s="89" t="s">
        <v>11</v>
      </c>
      <c r="C290" s="89" t="s">
        <v>45</v>
      </c>
      <c r="D290" s="13" t="s">
        <v>180</v>
      </c>
      <c r="E290" s="35">
        <f>VLOOKUP(B290, Passenger_Kilometre_by_mode_type[#All],MATCH(A290, Passenger_Kilometre_by_mode_type[#Headers],0),0)</f>
        <v>0</v>
      </c>
      <c r="F290" s="89">
        <f>VLOOKUP(C290, Reason_for_public_transport_journeys_by_percentage[#All],MATCH(A290, Reason_for_public_transport_journeys_by_percentage[#Headers],0),0)/100</f>
        <v>1.7000000000000001E-2</v>
      </c>
      <c r="G290" s="13">
        <f t="shared" si="20"/>
        <v>0</v>
      </c>
      <c r="H290" s="89">
        <f>VLOOKUP(D290,Average_Distance_by_kilometre_grouping_for_mode_type[#All],MATCH(A290,Average_Distance_by_kilometre_grouping_for_mode_type[#Headers],0),0)</f>
        <v>5</v>
      </c>
      <c r="I290" s="89">
        <f>VLOOKUP(D290,Average_Distance_by_kilometres_grouping_for_trip_purpose[#All],MATCH(A290,Average_Distance_by_kilometres_grouping_for_trip_purpose[#Headers],0),0)</f>
        <v>5</v>
      </c>
      <c r="J290" s="89">
        <f t="shared" si="21"/>
        <v>5</v>
      </c>
      <c r="K290" s="89">
        <f t="shared" si="22"/>
        <v>0.10540739959945188</v>
      </c>
      <c r="L290" s="89">
        <v>1</v>
      </c>
      <c r="M290" s="13">
        <f t="shared" si="23"/>
        <v>0</v>
      </c>
      <c r="N290" s="89">
        <f t="shared" si="24"/>
        <v>0</v>
      </c>
    </row>
    <row r="291" spans="1:14" x14ac:dyDescent="0.25">
      <c r="A291" s="79" t="s">
        <v>128</v>
      </c>
      <c r="B291" s="89" t="s">
        <v>11</v>
      </c>
      <c r="C291" s="89" t="s">
        <v>45</v>
      </c>
      <c r="D291" s="13" t="s">
        <v>182</v>
      </c>
      <c r="E291" s="35">
        <f>VLOOKUP(B291, Passenger_Kilometre_by_mode_type[#All],MATCH(A291, Passenger_Kilometre_by_mode_type[#Headers],0),0)</f>
        <v>0</v>
      </c>
      <c r="F291" s="89">
        <f>VLOOKUP(C291, Reason_for_public_transport_journeys_by_percentage[#All],MATCH(A291, Reason_for_public_transport_journeys_by_percentage[#Headers],0),0)/100</f>
        <v>1.7000000000000001E-2</v>
      </c>
      <c r="G291" s="13">
        <f t="shared" si="20"/>
        <v>0</v>
      </c>
      <c r="H291" s="89">
        <f>VLOOKUP(D291,Average_Distance_by_kilometre_grouping_for_mode_type[#All],MATCH(A291,Average_Distance_by_kilometre_grouping_for_mode_type[#Headers],0),0)</f>
        <v>7</v>
      </c>
      <c r="I291" s="89">
        <f>VLOOKUP(D291,Average_Distance_by_kilometres_grouping_for_trip_purpose[#All],MATCH(A291,Average_Distance_by_kilometres_grouping_for_trip_purpose[#Headers],0),0)</f>
        <v>7</v>
      </c>
      <c r="J291" s="89">
        <f t="shared" si="21"/>
        <v>7</v>
      </c>
      <c r="K291" s="89">
        <f t="shared" si="22"/>
        <v>0.14757035943923263</v>
      </c>
      <c r="L291" s="89">
        <v>1</v>
      </c>
      <c r="M291" s="13">
        <f t="shared" si="23"/>
        <v>0</v>
      </c>
      <c r="N291" s="89">
        <f t="shared" si="24"/>
        <v>0</v>
      </c>
    </row>
    <row r="292" spans="1:14" x14ac:dyDescent="0.25">
      <c r="A292" s="79" t="s">
        <v>128</v>
      </c>
      <c r="B292" s="89" t="s">
        <v>11</v>
      </c>
      <c r="C292" s="89" t="s">
        <v>45</v>
      </c>
      <c r="D292" s="13" t="s">
        <v>1</v>
      </c>
      <c r="E292" s="35">
        <f>VLOOKUP(B292, Passenger_Kilometre_by_mode_type[#All],MATCH(A292, Passenger_Kilometre_by_mode_type[#Headers],0),0)</f>
        <v>0</v>
      </c>
      <c r="F292" s="89">
        <f>VLOOKUP(C292, Reason_for_public_transport_journeys_by_percentage[#All],MATCH(A292, Reason_for_public_transport_journeys_by_percentage[#Headers],0),0)/100</f>
        <v>1.7000000000000001E-2</v>
      </c>
      <c r="G292" s="13">
        <f t="shared" si="20"/>
        <v>0</v>
      </c>
      <c r="H292" s="89">
        <f>VLOOKUP(D292,Average_Distance_by_kilometre_grouping_for_mode_type[#All],MATCH(A292,Average_Distance_by_kilometre_grouping_for_mode_type[#Headers],0),0)</f>
        <v>30.1</v>
      </c>
      <c r="I292" s="89">
        <f>VLOOKUP(D292,Average_Distance_by_kilometres_grouping_for_trip_purpose[#All],MATCH(A292,Average_Distance_by_kilometres_grouping_for_trip_purpose[#Headers],0),0)</f>
        <v>32.770000000000003</v>
      </c>
      <c r="J292" s="89">
        <f t="shared" si="21"/>
        <v>31.435000000000002</v>
      </c>
      <c r="K292" s="89">
        <f t="shared" si="22"/>
        <v>0.66269632128175404</v>
      </c>
      <c r="L292" s="89">
        <v>1</v>
      </c>
      <c r="M292" s="13">
        <f t="shared" si="23"/>
        <v>0</v>
      </c>
      <c r="N292" s="89">
        <f t="shared" si="24"/>
        <v>0</v>
      </c>
    </row>
    <row r="293" spans="1:14" x14ac:dyDescent="0.25">
      <c r="A293" s="79" t="s">
        <v>128</v>
      </c>
      <c r="B293" s="89" t="s">
        <v>11</v>
      </c>
      <c r="C293" s="89" t="s">
        <v>56</v>
      </c>
      <c r="D293" s="13" t="s">
        <v>12</v>
      </c>
      <c r="E293" s="35">
        <f>VLOOKUP(B293, Passenger_Kilometre_by_mode_type[#All],MATCH(A293, Passenger_Kilometre_by_mode_type[#Headers],0),0)</f>
        <v>0</v>
      </c>
      <c r="F293" s="89">
        <f>VLOOKUP(C293, Reason_for_public_transport_journeys_by_percentage[#All],MATCH(A293, Reason_for_public_transport_journeys_by_percentage[#Headers],0),0)/100</f>
        <v>0.10375000000000002</v>
      </c>
      <c r="G293" s="13">
        <f t="shared" si="20"/>
        <v>0</v>
      </c>
      <c r="H293" s="89">
        <f>VLOOKUP(D293,Average_Distance_by_kilometre_grouping_for_mode_type[#All],MATCH(A293,Average_Distance_by_kilometre_grouping_for_mode_type[#Headers],0),0)</f>
        <v>1</v>
      </c>
      <c r="I293" s="89">
        <f>VLOOKUP(D293,Average_Distance_by_kilometres_grouping_for_trip_purpose[#All],MATCH(A293,Average_Distance_by_kilometres_grouping_for_trip_purpose[#Headers],0),0)</f>
        <v>1</v>
      </c>
      <c r="J293" s="89">
        <f t="shared" si="21"/>
        <v>1</v>
      </c>
      <c r="K293" s="89">
        <f t="shared" si="22"/>
        <v>2.1081479919890376E-2</v>
      </c>
      <c r="L293" s="89">
        <v>1</v>
      </c>
      <c r="M293" s="13">
        <f t="shared" si="23"/>
        <v>0</v>
      </c>
      <c r="N293" s="89">
        <f t="shared" si="24"/>
        <v>0</v>
      </c>
    </row>
    <row r="294" spans="1:14" x14ac:dyDescent="0.25">
      <c r="A294" s="79" t="s">
        <v>128</v>
      </c>
      <c r="B294" s="89" t="s">
        <v>11</v>
      </c>
      <c r="C294" s="89" t="s">
        <v>56</v>
      </c>
      <c r="D294" s="13" t="s">
        <v>181</v>
      </c>
      <c r="E294" s="35">
        <f>VLOOKUP(B294, Passenger_Kilometre_by_mode_type[#All],MATCH(A294, Passenger_Kilometre_by_mode_type[#Headers],0),0)</f>
        <v>0</v>
      </c>
      <c r="F294" s="89">
        <f>VLOOKUP(C294, Reason_for_public_transport_journeys_by_percentage[#All],MATCH(A294, Reason_for_public_transport_journeys_by_percentage[#Headers],0),0)/100</f>
        <v>0.10375000000000002</v>
      </c>
      <c r="G294" s="13">
        <f t="shared" si="20"/>
        <v>0</v>
      </c>
      <c r="H294" s="89">
        <f>VLOOKUP(D294,Average_Distance_by_kilometre_grouping_for_mode_type[#All],MATCH(A294,Average_Distance_by_kilometre_grouping_for_mode_type[#Headers],0),0)</f>
        <v>3</v>
      </c>
      <c r="I294" s="89">
        <f>VLOOKUP(D294,Average_Distance_by_kilometres_grouping_for_trip_purpose[#All],MATCH(A294,Average_Distance_by_kilometres_grouping_for_trip_purpose[#Headers],0),0)</f>
        <v>3</v>
      </c>
      <c r="J294" s="89">
        <f t="shared" si="21"/>
        <v>3</v>
      </c>
      <c r="K294" s="89">
        <f t="shared" si="22"/>
        <v>6.3244439759671131E-2</v>
      </c>
      <c r="L294" s="89">
        <v>1</v>
      </c>
      <c r="M294" s="13">
        <f t="shared" si="23"/>
        <v>0</v>
      </c>
      <c r="N294" s="89">
        <f t="shared" si="24"/>
        <v>0</v>
      </c>
    </row>
    <row r="295" spans="1:14" x14ac:dyDescent="0.25">
      <c r="A295" s="79" t="s">
        <v>128</v>
      </c>
      <c r="B295" s="89" t="s">
        <v>11</v>
      </c>
      <c r="C295" s="89" t="s">
        <v>56</v>
      </c>
      <c r="D295" s="13" t="s">
        <v>180</v>
      </c>
      <c r="E295" s="35">
        <f>VLOOKUP(B295, Passenger_Kilometre_by_mode_type[#All],MATCH(A295, Passenger_Kilometre_by_mode_type[#Headers],0),0)</f>
        <v>0</v>
      </c>
      <c r="F295" s="89">
        <f>VLOOKUP(C295, Reason_for_public_transport_journeys_by_percentage[#All],MATCH(A295, Reason_for_public_transport_journeys_by_percentage[#Headers],0),0)/100</f>
        <v>0.10375000000000002</v>
      </c>
      <c r="G295" s="13">
        <f t="shared" si="20"/>
        <v>0</v>
      </c>
      <c r="H295" s="89">
        <f>VLOOKUP(D295,Average_Distance_by_kilometre_grouping_for_mode_type[#All],MATCH(A295,Average_Distance_by_kilometre_grouping_for_mode_type[#Headers],0),0)</f>
        <v>5</v>
      </c>
      <c r="I295" s="89">
        <f>VLOOKUP(D295,Average_Distance_by_kilometres_grouping_for_trip_purpose[#All],MATCH(A295,Average_Distance_by_kilometres_grouping_for_trip_purpose[#Headers],0),0)</f>
        <v>5</v>
      </c>
      <c r="J295" s="89">
        <f t="shared" si="21"/>
        <v>5</v>
      </c>
      <c r="K295" s="89">
        <f t="shared" si="22"/>
        <v>0.10540739959945188</v>
      </c>
      <c r="L295" s="89">
        <v>1</v>
      </c>
      <c r="M295" s="13">
        <f t="shared" si="23"/>
        <v>0</v>
      </c>
      <c r="N295" s="89">
        <f t="shared" si="24"/>
        <v>0</v>
      </c>
    </row>
    <row r="296" spans="1:14" x14ac:dyDescent="0.25">
      <c r="A296" s="79" t="s">
        <v>128</v>
      </c>
      <c r="B296" s="89" t="s">
        <v>11</v>
      </c>
      <c r="C296" s="89" t="s">
        <v>56</v>
      </c>
      <c r="D296" s="13" t="s">
        <v>182</v>
      </c>
      <c r="E296" s="35">
        <f>VLOOKUP(B296, Passenger_Kilometre_by_mode_type[#All],MATCH(A296, Passenger_Kilometre_by_mode_type[#Headers],0),0)</f>
        <v>0</v>
      </c>
      <c r="F296" s="89">
        <f>VLOOKUP(C296, Reason_for_public_transport_journeys_by_percentage[#All],MATCH(A296, Reason_for_public_transport_journeys_by_percentage[#Headers],0),0)/100</f>
        <v>0.10375000000000002</v>
      </c>
      <c r="G296" s="13">
        <f t="shared" si="20"/>
        <v>0</v>
      </c>
      <c r="H296" s="89">
        <f>VLOOKUP(D296,Average_Distance_by_kilometre_grouping_for_mode_type[#All],MATCH(A296,Average_Distance_by_kilometre_grouping_for_mode_type[#Headers],0),0)</f>
        <v>7</v>
      </c>
      <c r="I296" s="89">
        <f>VLOOKUP(D296,Average_Distance_by_kilometres_grouping_for_trip_purpose[#All],MATCH(A296,Average_Distance_by_kilometres_grouping_for_trip_purpose[#Headers],0),0)</f>
        <v>7</v>
      </c>
      <c r="J296" s="89">
        <f t="shared" si="21"/>
        <v>7</v>
      </c>
      <c r="K296" s="89">
        <f t="shared" si="22"/>
        <v>0.14757035943923263</v>
      </c>
      <c r="L296" s="89">
        <v>1</v>
      </c>
      <c r="M296" s="13">
        <f t="shared" si="23"/>
        <v>0</v>
      </c>
      <c r="N296" s="89">
        <f t="shared" si="24"/>
        <v>0</v>
      </c>
    </row>
    <row r="297" spans="1:14" x14ac:dyDescent="0.25">
      <c r="A297" s="79" t="s">
        <v>128</v>
      </c>
      <c r="B297" s="89" t="s">
        <v>11</v>
      </c>
      <c r="C297" s="89" t="s">
        <v>56</v>
      </c>
      <c r="D297" s="13" t="s">
        <v>1</v>
      </c>
      <c r="E297" s="35">
        <f>VLOOKUP(B297, Passenger_Kilometre_by_mode_type[#All],MATCH(A297, Passenger_Kilometre_by_mode_type[#Headers],0),0)</f>
        <v>0</v>
      </c>
      <c r="F297" s="89">
        <f>VLOOKUP(C297, Reason_for_public_transport_journeys_by_percentage[#All],MATCH(A297, Reason_for_public_transport_journeys_by_percentage[#Headers],0),0)/100</f>
        <v>0.10375000000000002</v>
      </c>
      <c r="G297" s="13">
        <f t="shared" si="20"/>
        <v>0</v>
      </c>
      <c r="H297" s="89">
        <f>VLOOKUP(D297,Average_Distance_by_kilometre_grouping_for_mode_type[#All],MATCH(A297,Average_Distance_by_kilometre_grouping_for_mode_type[#Headers],0),0)</f>
        <v>30.1</v>
      </c>
      <c r="I297" s="89">
        <f>VLOOKUP(D297,Average_Distance_by_kilometres_grouping_for_trip_purpose[#All],MATCH(A297,Average_Distance_by_kilometres_grouping_for_trip_purpose[#Headers],0),0)</f>
        <v>32.770000000000003</v>
      </c>
      <c r="J297" s="89">
        <f t="shared" si="21"/>
        <v>31.435000000000002</v>
      </c>
      <c r="K297" s="89">
        <f t="shared" si="22"/>
        <v>0.66269632128175404</v>
      </c>
      <c r="L297" s="89">
        <v>1</v>
      </c>
      <c r="M297" s="13">
        <f t="shared" si="23"/>
        <v>0</v>
      </c>
      <c r="N297" s="89">
        <f t="shared" si="24"/>
        <v>0</v>
      </c>
    </row>
    <row r="298" spans="1:14" x14ac:dyDescent="0.25">
      <c r="A298" s="79" t="s">
        <v>128</v>
      </c>
      <c r="B298" s="89" t="s">
        <v>11</v>
      </c>
      <c r="C298" s="89" t="s">
        <v>57</v>
      </c>
      <c r="D298" s="13" t="s">
        <v>12</v>
      </c>
      <c r="E298" s="35">
        <f>VLOOKUP(B298, Passenger_Kilometre_by_mode_type[#All],MATCH(A298, Passenger_Kilometre_by_mode_type[#Headers],0),0)</f>
        <v>0</v>
      </c>
      <c r="F298" s="89">
        <f>VLOOKUP(C298, Reason_for_public_transport_journeys_by_percentage[#All],MATCH(A298, Reason_for_public_transport_journeys_by_percentage[#Headers],0),0)/100</f>
        <v>7.0250000000000007E-2</v>
      </c>
      <c r="G298" s="13">
        <f t="shared" si="20"/>
        <v>0</v>
      </c>
      <c r="H298" s="89">
        <f>VLOOKUP(D298,Average_Distance_by_kilometre_grouping_for_mode_type[#All],MATCH(A298,Average_Distance_by_kilometre_grouping_for_mode_type[#Headers],0),0)</f>
        <v>1</v>
      </c>
      <c r="I298" s="89">
        <f>VLOOKUP(D298,Average_Distance_by_kilometres_grouping_for_trip_purpose[#All],MATCH(A298,Average_Distance_by_kilometres_grouping_for_trip_purpose[#Headers],0),0)</f>
        <v>1</v>
      </c>
      <c r="J298" s="89">
        <f t="shared" si="21"/>
        <v>1</v>
      </c>
      <c r="K298" s="89">
        <f t="shared" si="22"/>
        <v>2.1081479919890376E-2</v>
      </c>
      <c r="L298" s="89">
        <v>1</v>
      </c>
      <c r="M298" s="13">
        <f t="shared" si="23"/>
        <v>0</v>
      </c>
      <c r="N298" s="89">
        <f t="shared" si="24"/>
        <v>0</v>
      </c>
    </row>
    <row r="299" spans="1:14" x14ac:dyDescent="0.25">
      <c r="A299" s="79" t="s">
        <v>128</v>
      </c>
      <c r="B299" s="89" t="s">
        <v>11</v>
      </c>
      <c r="C299" s="89" t="s">
        <v>57</v>
      </c>
      <c r="D299" s="13" t="s">
        <v>181</v>
      </c>
      <c r="E299" s="35">
        <f>VLOOKUP(B299, Passenger_Kilometre_by_mode_type[#All],MATCH(A299, Passenger_Kilometre_by_mode_type[#Headers],0),0)</f>
        <v>0</v>
      </c>
      <c r="F299" s="89">
        <f>VLOOKUP(C299, Reason_for_public_transport_journeys_by_percentage[#All],MATCH(A299, Reason_for_public_transport_journeys_by_percentage[#Headers],0),0)/100</f>
        <v>7.0250000000000007E-2</v>
      </c>
      <c r="G299" s="13">
        <f t="shared" si="20"/>
        <v>0</v>
      </c>
      <c r="H299" s="89">
        <f>VLOOKUP(D299,Average_Distance_by_kilometre_grouping_for_mode_type[#All],MATCH(A299,Average_Distance_by_kilometre_grouping_for_mode_type[#Headers],0),0)</f>
        <v>3</v>
      </c>
      <c r="I299" s="89">
        <f>VLOOKUP(D299,Average_Distance_by_kilometres_grouping_for_trip_purpose[#All],MATCH(A299,Average_Distance_by_kilometres_grouping_for_trip_purpose[#Headers],0),0)</f>
        <v>3</v>
      </c>
      <c r="J299" s="89">
        <f t="shared" si="21"/>
        <v>3</v>
      </c>
      <c r="K299" s="89">
        <f t="shared" si="22"/>
        <v>6.3244439759671131E-2</v>
      </c>
      <c r="L299" s="89">
        <v>1</v>
      </c>
      <c r="M299" s="13">
        <f t="shared" si="23"/>
        <v>0</v>
      </c>
      <c r="N299" s="89">
        <f t="shared" si="24"/>
        <v>0</v>
      </c>
    </row>
    <row r="300" spans="1:14" x14ac:dyDescent="0.25">
      <c r="A300" s="79" t="s">
        <v>128</v>
      </c>
      <c r="B300" s="89" t="s">
        <v>11</v>
      </c>
      <c r="C300" s="89" t="s">
        <v>57</v>
      </c>
      <c r="D300" s="13" t="s">
        <v>180</v>
      </c>
      <c r="E300" s="35">
        <f>VLOOKUP(B300, Passenger_Kilometre_by_mode_type[#All],MATCH(A300, Passenger_Kilometre_by_mode_type[#Headers],0),0)</f>
        <v>0</v>
      </c>
      <c r="F300" s="89">
        <f>VLOOKUP(C300, Reason_for_public_transport_journeys_by_percentage[#All],MATCH(A300, Reason_for_public_transport_journeys_by_percentage[#Headers],0),0)/100</f>
        <v>7.0250000000000007E-2</v>
      </c>
      <c r="G300" s="13">
        <f t="shared" si="20"/>
        <v>0</v>
      </c>
      <c r="H300" s="89">
        <f>VLOOKUP(D300,Average_Distance_by_kilometre_grouping_for_mode_type[#All],MATCH(A300,Average_Distance_by_kilometre_grouping_for_mode_type[#Headers],0),0)</f>
        <v>5</v>
      </c>
      <c r="I300" s="89">
        <f>VLOOKUP(D300,Average_Distance_by_kilometres_grouping_for_trip_purpose[#All],MATCH(A300,Average_Distance_by_kilometres_grouping_for_trip_purpose[#Headers],0),0)</f>
        <v>5</v>
      </c>
      <c r="J300" s="89">
        <f t="shared" si="21"/>
        <v>5</v>
      </c>
      <c r="K300" s="89">
        <f t="shared" si="22"/>
        <v>0.10540739959945188</v>
      </c>
      <c r="L300" s="89">
        <v>1</v>
      </c>
      <c r="M300" s="13">
        <f t="shared" si="23"/>
        <v>0</v>
      </c>
      <c r="N300" s="89">
        <f t="shared" si="24"/>
        <v>0</v>
      </c>
    </row>
    <row r="301" spans="1:14" x14ac:dyDescent="0.25">
      <c r="A301" s="79" t="s">
        <v>128</v>
      </c>
      <c r="B301" s="89" t="s">
        <v>11</v>
      </c>
      <c r="C301" s="89" t="s">
        <v>57</v>
      </c>
      <c r="D301" s="13" t="s">
        <v>182</v>
      </c>
      <c r="E301" s="35">
        <f>VLOOKUP(B301, Passenger_Kilometre_by_mode_type[#All],MATCH(A301, Passenger_Kilometre_by_mode_type[#Headers],0),0)</f>
        <v>0</v>
      </c>
      <c r="F301" s="89">
        <f>VLOOKUP(C301, Reason_for_public_transport_journeys_by_percentage[#All],MATCH(A301, Reason_for_public_transport_journeys_by_percentage[#Headers],0),0)/100</f>
        <v>7.0250000000000007E-2</v>
      </c>
      <c r="G301" s="13">
        <f t="shared" si="20"/>
        <v>0</v>
      </c>
      <c r="H301" s="89">
        <f>VLOOKUP(D301,Average_Distance_by_kilometre_grouping_for_mode_type[#All],MATCH(A301,Average_Distance_by_kilometre_grouping_for_mode_type[#Headers],0),0)</f>
        <v>7</v>
      </c>
      <c r="I301" s="89">
        <f>VLOOKUP(D301,Average_Distance_by_kilometres_grouping_for_trip_purpose[#All],MATCH(A301,Average_Distance_by_kilometres_grouping_for_trip_purpose[#Headers],0),0)</f>
        <v>7</v>
      </c>
      <c r="J301" s="89">
        <f t="shared" si="21"/>
        <v>7</v>
      </c>
      <c r="K301" s="89">
        <f t="shared" si="22"/>
        <v>0.14757035943923263</v>
      </c>
      <c r="L301" s="89">
        <v>1</v>
      </c>
      <c r="M301" s="13">
        <f t="shared" si="23"/>
        <v>0</v>
      </c>
      <c r="N301" s="89">
        <f t="shared" si="24"/>
        <v>0</v>
      </c>
    </row>
    <row r="302" spans="1:14" x14ac:dyDescent="0.25">
      <c r="A302" s="79" t="s">
        <v>128</v>
      </c>
      <c r="B302" s="89" t="s">
        <v>11</v>
      </c>
      <c r="C302" s="89" t="s">
        <v>57</v>
      </c>
      <c r="D302" s="13" t="s">
        <v>1</v>
      </c>
      <c r="E302" s="35">
        <f>VLOOKUP(B302, Passenger_Kilometre_by_mode_type[#All],MATCH(A302, Passenger_Kilometre_by_mode_type[#Headers],0),0)</f>
        <v>0</v>
      </c>
      <c r="F302" s="89">
        <f>VLOOKUP(C302, Reason_for_public_transport_journeys_by_percentage[#All],MATCH(A302, Reason_for_public_transport_journeys_by_percentage[#Headers],0),0)/100</f>
        <v>7.0250000000000007E-2</v>
      </c>
      <c r="G302" s="13">
        <f t="shared" si="20"/>
        <v>0</v>
      </c>
      <c r="H302" s="89">
        <f>VLOOKUP(D302,Average_Distance_by_kilometre_grouping_for_mode_type[#All],MATCH(A302,Average_Distance_by_kilometre_grouping_for_mode_type[#Headers],0),0)</f>
        <v>30.1</v>
      </c>
      <c r="I302" s="89">
        <f>VLOOKUP(D302,Average_Distance_by_kilometres_grouping_for_trip_purpose[#All],MATCH(A302,Average_Distance_by_kilometres_grouping_for_trip_purpose[#Headers],0),0)</f>
        <v>32.770000000000003</v>
      </c>
      <c r="J302" s="89">
        <f t="shared" si="21"/>
        <v>31.435000000000002</v>
      </c>
      <c r="K302" s="89">
        <f t="shared" si="22"/>
        <v>0.66269632128175404</v>
      </c>
      <c r="L302" s="89">
        <v>1</v>
      </c>
      <c r="M302" s="13">
        <f t="shared" si="23"/>
        <v>0</v>
      </c>
      <c r="N302" s="89">
        <f t="shared" si="24"/>
        <v>0</v>
      </c>
    </row>
    <row r="303" spans="1:14" x14ac:dyDescent="0.25">
      <c r="A303" s="79" t="s">
        <v>128</v>
      </c>
      <c r="B303" s="89" t="s">
        <v>11</v>
      </c>
      <c r="C303" s="89" t="s">
        <v>93</v>
      </c>
      <c r="D303" s="13" t="s">
        <v>12</v>
      </c>
      <c r="E303" s="35">
        <f>VLOOKUP(B303, Passenger_Kilometre_by_mode_type[#All],MATCH(A303, Passenger_Kilometre_by_mode_type[#Headers],0),0)</f>
        <v>0</v>
      </c>
      <c r="F303" s="89">
        <f>VLOOKUP(C303, Reason_for_public_transport_journeys_by_percentage[#All],MATCH(A303, Reason_for_public_transport_journeys_by_percentage[#Headers],0),0)/100</f>
        <v>9.6374999999999988E-2</v>
      </c>
      <c r="G303" s="13">
        <f t="shared" si="20"/>
        <v>0</v>
      </c>
      <c r="H303" s="89">
        <f>VLOOKUP(D303,Average_Distance_by_kilometre_grouping_for_mode_type[#All],MATCH(A303,Average_Distance_by_kilometre_grouping_for_mode_type[#Headers],0),0)</f>
        <v>1</v>
      </c>
      <c r="I303" s="89">
        <f>VLOOKUP(D303,Average_Distance_by_kilometres_grouping_for_trip_purpose[#All],MATCH(A303,Average_Distance_by_kilometres_grouping_for_trip_purpose[#Headers],0),0)</f>
        <v>1</v>
      </c>
      <c r="J303" s="89">
        <f t="shared" si="21"/>
        <v>1</v>
      </c>
      <c r="K303" s="89">
        <f t="shared" si="22"/>
        <v>2.1081479919890376E-2</v>
      </c>
      <c r="L303" s="89">
        <v>1</v>
      </c>
      <c r="M303" s="13">
        <f t="shared" si="23"/>
        <v>0</v>
      </c>
      <c r="N303" s="89">
        <f t="shared" si="24"/>
        <v>0</v>
      </c>
    </row>
    <row r="304" spans="1:14" x14ac:dyDescent="0.25">
      <c r="A304" s="79" t="s">
        <v>128</v>
      </c>
      <c r="B304" s="89" t="s">
        <v>11</v>
      </c>
      <c r="C304" s="89" t="s">
        <v>93</v>
      </c>
      <c r="D304" s="13" t="s">
        <v>181</v>
      </c>
      <c r="E304" s="35">
        <f>VLOOKUP(B304, Passenger_Kilometre_by_mode_type[#All],MATCH(A304, Passenger_Kilometre_by_mode_type[#Headers],0),0)</f>
        <v>0</v>
      </c>
      <c r="F304" s="89">
        <f>VLOOKUP(C304, Reason_for_public_transport_journeys_by_percentage[#All],MATCH(A304, Reason_for_public_transport_journeys_by_percentage[#Headers],0),0)/100</f>
        <v>9.6374999999999988E-2</v>
      </c>
      <c r="G304" s="13">
        <f t="shared" si="20"/>
        <v>0</v>
      </c>
      <c r="H304" s="89">
        <f>VLOOKUP(D304,Average_Distance_by_kilometre_grouping_for_mode_type[#All],MATCH(A304,Average_Distance_by_kilometre_grouping_for_mode_type[#Headers],0),0)</f>
        <v>3</v>
      </c>
      <c r="I304" s="89">
        <f>VLOOKUP(D304,Average_Distance_by_kilometres_grouping_for_trip_purpose[#All],MATCH(A304,Average_Distance_by_kilometres_grouping_for_trip_purpose[#Headers],0),0)</f>
        <v>3</v>
      </c>
      <c r="J304" s="89">
        <f t="shared" si="21"/>
        <v>3</v>
      </c>
      <c r="K304" s="89">
        <f t="shared" si="22"/>
        <v>6.3244439759671131E-2</v>
      </c>
      <c r="L304" s="89">
        <v>1</v>
      </c>
      <c r="M304" s="13">
        <f t="shared" si="23"/>
        <v>0</v>
      </c>
      <c r="N304" s="89">
        <f t="shared" si="24"/>
        <v>0</v>
      </c>
    </row>
    <row r="305" spans="1:14" x14ac:dyDescent="0.25">
      <c r="A305" s="79" t="s">
        <v>128</v>
      </c>
      <c r="B305" s="89" t="s">
        <v>11</v>
      </c>
      <c r="C305" s="89" t="s">
        <v>93</v>
      </c>
      <c r="D305" s="13" t="s">
        <v>180</v>
      </c>
      <c r="E305" s="35">
        <f>VLOOKUP(B305, Passenger_Kilometre_by_mode_type[#All],MATCH(A305, Passenger_Kilometre_by_mode_type[#Headers],0),0)</f>
        <v>0</v>
      </c>
      <c r="F305" s="89">
        <f>VLOOKUP(C305, Reason_for_public_transport_journeys_by_percentage[#All],MATCH(A305, Reason_for_public_transport_journeys_by_percentage[#Headers],0),0)/100</f>
        <v>9.6374999999999988E-2</v>
      </c>
      <c r="G305" s="13">
        <f t="shared" si="20"/>
        <v>0</v>
      </c>
      <c r="H305" s="89">
        <f>VLOOKUP(D305,Average_Distance_by_kilometre_grouping_for_mode_type[#All],MATCH(A305,Average_Distance_by_kilometre_grouping_for_mode_type[#Headers],0),0)</f>
        <v>5</v>
      </c>
      <c r="I305" s="89">
        <f>VLOOKUP(D305,Average_Distance_by_kilometres_grouping_for_trip_purpose[#All],MATCH(A305,Average_Distance_by_kilometres_grouping_for_trip_purpose[#Headers],0),0)</f>
        <v>5</v>
      </c>
      <c r="J305" s="89">
        <f t="shared" si="21"/>
        <v>5</v>
      </c>
      <c r="K305" s="89">
        <f t="shared" si="22"/>
        <v>0.10540739959945188</v>
      </c>
      <c r="L305" s="89">
        <v>1</v>
      </c>
      <c r="M305" s="13">
        <f t="shared" si="23"/>
        <v>0</v>
      </c>
      <c r="N305" s="89">
        <f t="shared" si="24"/>
        <v>0</v>
      </c>
    </row>
    <row r="306" spans="1:14" x14ac:dyDescent="0.25">
      <c r="A306" s="79" t="s">
        <v>128</v>
      </c>
      <c r="B306" s="89" t="s">
        <v>11</v>
      </c>
      <c r="C306" s="89" t="s">
        <v>93</v>
      </c>
      <c r="D306" s="13" t="s">
        <v>182</v>
      </c>
      <c r="E306" s="35">
        <f>VLOOKUP(B306, Passenger_Kilometre_by_mode_type[#All],MATCH(A306, Passenger_Kilometre_by_mode_type[#Headers],0),0)</f>
        <v>0</v>
      </c>
      <c r="F306" s="89">
        <f>VLOOKUP(C306, Reason_for_public_transport_journeys_by_percentage[#All],MATCH(A306, Reason_for_public_transport_journeys_by_percentage[#Headers],0),0)/100</f>
        <v>9.6374999999999988E-2</v>
      </c>
      <c r="G306" s="13">
        <f t="shared" si="20"/>
        <v>0</v>
      </c>
      <c r="H306" s="89">
        <f>VLOOKUP(D306,Average_Distance_by_kilometre_grouping_for_mode_type[#All],MATCH(A306,Average_Distance_by_kilometre_grouping_for_mode_type[#Headers],0),0)</f>
        <v>7</v>
      </c>
      <c r="I306" s="89">
        <f>VLOOKUP(D306,Average_Distance_by_kilometres_grouping_for_trip_purpose[#All],MATCH(A306,Average_Distance_by_kilometres_grouping_for_trip_purpose[#Headers],0),0)</f>
        <v>7</v>
      </c>
      <c r="J306" s="89">
        <f t="shared" si="21"/>
        <v>7</v>
      </c>
      <c r="K306" s="89">
        <f t="shared" si="22"/>
        <v>0.14757035943923263</v>
      </c>
      <c r="L306" s="89">
        <v>1</v>
      </c>
      <c r="M306" s="13">
        <f t="shared" si="23"/>
        <v>0</v>
      </c>
      <c r="N306" s="89">
        <f t="shared" si="24"/>
        <v>0</v>
      </c>
    </row>
    <row r="307" spans="1:14" x14ac:dyDescent="0.25">
      <c r="A307" s="79" t="s">
        <v>128</v>
      </c>
      <c r="B307" s="89" t="s">
        <v>11</v>
      </c>
      <c r="C307" s="89" t="s">
        <v>93</v>
      </c>
      <c r="D307" s="13" t="s">
        <v>1</v>
      </c>
      <c r="E307" s="35">
        <f>VLOOKUP(B307, Passenger_Kilometre_by_mode_type[#All],MATCH(A307, Passenger_Kilometre_by_mode_type[#Headers],0),0)</f>
        <v>0</v>
      </c>
      <c r="F307" s="89">
        <f>VLOOKUP(C307, Reason_for_public_transport_journeys_by_percentage[#All],MATCH(A307, Reason_for_public_transport_journeys_by_percentage[#Headers],0),0)/100</f>
        <v>9.6374999999999988E-2</v>
      </c>
      <c r="G307" s="13">
        <f t="shared" si="20"/>
        <v>0</v>
      </c>
      <c r="H307" s="89">
        <f>VLOOKUP(D307,Average_Distance_by_kilometre_grouping_for_mode_type[#All],MATCH(A307,Average_Distance_by_kilometre_grouping_for_mode_type[#Headers],0),0)</f>
        <v>30.1</v>
      </c>
      <c r="I307" s="89">
        <f>VLOOKUP(D307,Average_Distance_by_kilometres_grouping_for_trip_purpose[#All],MATCH(A307,Average_Distance_by_kilometres_grouping_for_trip_purpose[#Headers],0),0)</f>
        <v>32.770000000000003</v>
      </c>
      <c r="J307" s="89">
        <f t="shared" si="21"/>
        <v>31.435000000000002</v>
      </c>
      <c r="K307" s="89">
        <f t="shared" si="22"/>
        <v>0.66269632128175404</v>
      </c>
      <c r="L307" s="89">
        <v>1</v>
      </c>
      <c r="M307" s="13">
        <f t="shared" si="23"/>
        <v>0</v>
      </c>
      <c r="N307" s="89">
        <f t="shared" si="24"/>
        <v>0</v>
      </c>
    </row>
    <row r="308" spans="1:14" x14ac:dyDescent="0.25">
      <c r="A308" s="79" t="s">
        <v>128</v>
      </c>
      <c r="B308" s="89" t="s">
        <v>11</v>
      </c>
      <c r="C308" s="89" t="s">
        <v>243</v>
      </c>
      <c r="D308" s="13" t="s">
        <v>12</v>
      </c>
      <c r="E308" s="35">
        <f>VLOOKUP(B308, Passenger_Kilometre_by_mode_type[#All],MATCH(A308, Passenger_Kilometre_by_mode_type[#Headers],0),0)</f>
        <v>0</v>
      </c>
      <c r="F308" s="89">
        <f>VLOOKUP(C308, Reason_for_public_transport_journeys_by_percentage[#All],MATCH(A308, Reason_for_public_transport_journeys_by_percentage[#Headers],0),0)/100</f>
        <v>2.2499999999999999E-2</v>
      </c>
      <c r="G308" s="13">
        <f t="shared" si="20"/>
        <v>0</v>
      </c>
      <c r="H308" s="89">
        <f>VLOOKUP(D308,Average_Distance_by_kilometre_grouping_for_mode_type[#All],MATCH(A308,Average_Distance_by_kilometre_grouping_for_mode_type[#Headers],0),0)</f>
        <v>1</v>
      </c>
      <c r="I308" s="89">
        <f>VLOOKUP(D308,Average_Distance_by_kilometres_grouping_for_trip_purpose[#All],MATCH(A308,Average_Distance_by_kilometres_grouping_for_trip_purpose[#Headers],0),0)</f>
        <v>1</v>
      </c>
      <c r="J308" s="89">
        <f t="shared" si="21"/>
        <v>1</v>
      </c>
      <c r="K308" s="89">
        <f t="shared" si="22"/>
        <v>2.1081479919890376E-2</v>
      </c>
      <c r="L308" s="89">
        <v>1</v>
      </c>
      <c r="M308" s="13">
        <f t="shared" si="23"/>
        <v>0</v>
      </c>
      <c r="N308" s="89">
        <f t="shared" si="24"/>
        <v>0</v>
      </c>
    </row>
    <row r="309" spans="1:14" x14ac:dyDescent="0.25">
      <c r="A309" s="79" t="s">
        <v>128</v>
      </c>
      <c r="B309" s="89" t="s">
        <v>11</v>
      </c>
      <c r="C309" s="89" t="s">
        <v>243</v>
      </c>
      <c r="D309" s="13" t="s">
        <v>181</v>
      </c>
      <c r="E309" s="35">
        <f>VLOOKUP(B309, Passenger_Kilometre_by_mode_type[#All],MATCH(A309, Passenger_Kilometre_by_mode_type[#Headers],0),0)</f>
        <v>0</v>
      </c>
      <c r="F309" s="89">
        <f>VLOOKUP(C309, Reason_for_public_transport_journeys_by_percentage[#All],MATCH(A309, Reason_for_public_transport_journeys_by_percentage[#Headers],0),0)/100</f>
        <v>2.2499999999999999E-2</v>
      </c>
      <c r="G309" s="13">
        <f t="shared" si="20"/>
        <v>0</v>
      </c>
      <c r="H309" s="89">
        <f>VLOOKUP(D309,Average_Distance_by_kilometre_grouping_for_mode_type[#All],MATCH(A309,Average_Distance_by_kilometre_grouping_for_mode_type[#Headers],0),0)</f>
        <v>3</v>
      </c>
      <c r="I309" s="89">
        <f>VLOOKUP(D309,Average_Distance_by_kilometres_grouping_for_trip_purpose[#All],MATCH(A309,Average_Distance_by_kilometres_grouping_for_trip_purpose[#Headers],0),0)</f>
        <v>3</v>
      </c>
      <c r="J309" s="89">
        <f t="shared" si="21"/>
        <v>3</v>
      </c>
      <c r="K309" s="89">
        <f t="shared" si="22"/>
        <v>6.3244439759671131E-2</v>
      </c>
      <c r="L309" s="89">
        <v>1</v>
      </c>
      <c r="M309" s="13">
        <f t="shared" si="23"/>
        <v>0</v>
      </c>
      <c r="N309" s="89">
        <f t="shared" si="24"/>
        <v>0</v>
      </c>
    </row>
    <row r="310" spans="1:14" x14ac:dyDescent="0.25">
      <c r="A310" s="79" t="s">
        <v>128</v>
      </c>
      <c r="B310" s="89" t="s">
        <v>11</v>
      </c>
      <c r="C310" s="89" t="s">
        <v>243</v>
      </c>
      <c r="D310" s="13" t="s">
        <v>180</v>
      </c>
      <c r="E310" s="35">
        <f>VLOOKUP(B310, Passenger_Kilometre_by_mode_type[#All],MATCH(A310, Passenger_Kilometre_by_mode_type[#Headers],0),0)</f>
        <v>0</v>
      </c>
      <c r="F310" s="89">
        <f>VLOOKUP(C310, Reason_for_public_transport_journeys_by_percentage[#All],MATCH(A310, Reason_for_public_transport_journeys_by_percentage[#Headers],0),0)/100</f>
        <v>2.2499999999999999E-2</v>
      </c>
      <c r="G310" s="13">
        <f t="shared" si="20"/>
        <v>0</v>
      </c>
      <c r="H310" s="89">
        <f>VLOOKUP(D310,Average_Distance_by_kilometre_grouping_for_mode_type[#All],MATCH(A310,Average_Distance_by_kilometre_grouping_for_mode_type[#Headers],0),0)</f>
        <v>5</v>
      </c>
      <c r="I310" s="89">
        <f>VLOOKUP(D310,Average_Distance_by_kilometres_grouping_for_trip_purpose[#All],MATCH(A310,Average_Distance_by_kilometres_grouping_for_trip_purpose[#Headers],0),0)</f>
        <v>5</v>
      </c>
      <c r="J310" s="89">
        <f t="shared" si="21"/>
        <v>5</v>
      </c>
      <c r="K310" s="89">
        <f t="shared" si="22"/>
        <v>0.10540739959945188</v>
      </c>
      <c r="L310" s="89">
        <v>1</v>
      </c>
      <c r="M310" s="13">
        <f t="shared" si="23"/>
        <v>0</v>
      </c>
      <c r="N310" s="89">
        <f t="shared" si="24"/>
        <v>0</v>
      </c>
    </row>
    <row r="311" spans="1:14" x14ac:dyDescent="0.25">
      <c r="A311" s="79" t="s">
        <v>128</v>
      </c>
      <c r="B311" s="89" t="s">
        <v>11</v>
      </c>
      <c r="C311" s="89" t="s">
        <v>243</v>
      </c>
      <c r="D311" s="13" t="s">
        <v>182</v>
      </c>
      <c r="E311" s="35">
        <f>VLOOKUP(B311, Passenger_Kilometre_by_mode_type[#All],MATCH(A311, Passenger_Kilometre_by_mode_type[#Headers],0),0)</f>
        <v>0</v>
      </c>
      <c r="F311" s="89">
        <f>VLOOKUP(C311, Reason_for_public_transport_journeys_by_percentage[#All],MATCH(A311, Reason_for_public_transport_journeys_by_percentage[#Headers],0),0)/100</f>
        <v>2.2499999999999999E-2</v>
      </c>
      <c r="G311" s="13">
        <f t="shared" si="20"/>
        <v>0</v>
      </c>
      <c r="H311" s="89">
        <f>VLOOKUP(D311,Average_Distance_by_kilometre_grouping_for_mode_type[#All],MATCH(A311,Average_Distance_by_kilometre_grouping_for_mode_type[#Headers],0),0)</f>
        <v>7</v>
      </c>
      <c r="I311" s="89">
        <f>VLOOKUP(D311,Average_Distance_by_kilometres_grouping_for_trip_purpose[#All],MATCH(A311,Average_Distance_by_kilometres_grouping_for_trip_purpose[#Headers],0),0)</f>
        <v>7</v>
      </c>
      <c r="J311" s="89">
        <f t="shared" si="21"/>
        <v>7</v>
      </c>
      <c r="K311" s="89">
        <f t="shared" si="22"/>
        <v>0.14757035943923263</v>
      </c>
      <c r="L311" s="89">
        <v>1</v>
      </c>
      <c r="M311" s="13">
        <f t="shared" si="23"/>
        <v>0</v>
      </c>
      <c r="N311" s="89">
        <f t="shared" si="24"/>
        <v>0</v>
      </c>
    </row>
    <row r="312" spans="1:14" x14ac:dyDescent="0.25">
      <c r="A312" s="79" t="s">
        <v>128</v>
      </c>
      <c r="B312" s="89" t="s">
        <v>11</v>
      </c>
      <c r="C312" s="89" t="s">
        <v>243</v>
      </c>
      <c r="D312" s="13" t="s">
        <v>1</v>
      </c>
      <c r="E312" s="35">
        <f>VLOOKUP(B312, Passenger_Kilometre_by_mode_type[#All],MATCH(A312, Passenger_Kilometre_by_mode_type[#Headers],0),0)</f>
        <v>0</v>
      </c>
      <c r="F312" s="89">
        <f>VLOOKUP(C312, Reason_for_public_transport_journeys_by_percentage[#All],MATCH(A312, Reason_for_public_transport_journeys_by_percentage[#Headers],0),0)/100</f>
        <v>2.2499999999999999E-2</v>
      </c>
      <c r="G312" s="13">
        <f t="shared" si="20"/>
        <v>0</v>
      </c>
      <c r="H312" s="89">
        <f>VLOOKUP(D312,Average_Distance_by_kilometre_grouping_for_mode_type[#All],MATCH(A312,Average_Distance_by_kilometre_grouping_for_mode_type[#Headers],0),0)</f>
        <v>30.1</v>
      </c>
      <c r="I312" s="89">
        <f>VLOOKUP(D312,Average_Distance_by_kilometres_grouping_for_trip_purpose[#All],MATCH(A312,Average_Distance_by_kilometres_grouping_for_trip_purpose[#Headers],0),0)</f>
        <v>32.770000000000003</v>
      </c>
      <c r="J312" s="89">
        <f t="shared" si="21"/>
        <v>31.435000000000002</v>
      </c>
      <c r="K312" s="89">
        <f t="shared" si="22"/>
        <v>0.66269632128175404</v>
      </c>
      <c r="L312" s="89">
        <v>1</v>
      </c>
      <c r="M312" s="13">
        <f t="shared" si="23"/>
        <v>0</v>
      </c>
      <c r="N312" s="89">
        <f t="shared" si="24"/>
        <v>0</v>
      </c>
    </row>
    <row r="313" spans="1:14" x14ac:dyDescent="0.25">
      <c r="A313" s="79" t="s">
        <v>128</v>
      </c>
      <c r="B313" s="89" t="s">
        <v>11</v>
      </c>
      <c r="C313" s="89" t="s">
        <v>50</v>
      </c>
      <c r="D313" s="13" t="s">
        <v>12</v>
      </c>
      <c r="E313" s="35">
        <f>VLOOKUP(B313, Passenger_Kilometre_by_mode_type[#All],MATCH(A313, Passenger_Kilometre_by_mode_type[#Headers],0),0)</f>
        <v>0</v>
      </c>
      <c r="F313" s="89">
        <f>VLOOKUP(C313, Reason_for_public_transport_journeys_by_percentage[#All],MATCH(A313, Reason_for_public_transport_journeys_by_percentage[#Headers],0),0)/100</f>
        <v>9.1250000000000012E-2</v>
      </c>
      <c r="G313" s="13">
        <f t="shared" si="20"/>
        <v>0</v>
      </c>
      <c r="H313" s="89">
        <f>VLOOKUP(D313,Average_Distance_by_kilometre_grouping_for_mode_type[#All],MATCH(A313,Average_Distance_by_kilometre_grouping_for_mode_type[#Headers],0),0)</f>
        <v>1</v>
      </c>
      <c r="I313" s="89">
        <f>VLOOKUP(D313,Average_Distance_by_kilometres_grouping_for_trip_purpose[#All],MATCH(A313,Average_Distance_by_kilometres_grouping_for_trip_purpose[#Headers],0),0)</f>
        <v>1</v>
      </c>
      <c r="J313" s="89">
        <f t="shared" si="21"/>
        <v>1</v>
      </c>
      <c r="K313" s="89">
        <f t="shared" si="22"/>
        <v>2.1081479919890376E-2</v>
      </c>
      <c r="L313" s="89">
        <v>1</v>
      </c>
      <c r="M313" s="13">
        <f t="shared" si="23"/>
        <v>0</v>
      </c>
      <c r="N313" s="89">
        <f t="shared" si="24"/>
        <v>0</v>
      </c>
    </row>
    <row r="314" spans="1:14" x14ac:dyDescent="0.25">
      <c r="A314" s="79" t="s">
        <v>128</v>
      </c>
      <c r="B314" s="89" t="s">
        <v>11</v>
      </c>
      <c r="C314" s="89" t="s">
        <v>50</v>
      </c>
      <c r="D314" s="13" t="s">
        <v>181</v>
      </c>
      <c r="E314" s="35">
        <f>VLOOKUP(B314, Passenger_Kilometre_by_mode_type[#All],MATCH(A314, Passenger_Kilometre_by_mode_type[#Headers],0),0)</f>
        <v>0</v>
      </c>
      <c r="F314" s="89">
        <f>VLOOKUP(C314, Reason_for_public_transport_journeys_by_percentage[#All],MATCH(A314, Reason_for_public_transport_journeys_by_percentage[#Headers],0),0)/100</f>
        <v>9.1250000000000012E-2</v>
      </c>
      <c r="G314" s="13">
        <f t="shared" si="20"/>
        <v>0</v>
      </c>
      <c r="H314" s="89">
        <f>VLOOKUP(D314,Average_Distance_by_kilometre_grouping_for_mode_type[#All],MATCH(A314,Average_Distance_by_kilometre_grouping_for_mode_type[#Headers],0),0)</f>
        <v>3</v>
      </c>
      <c r="I314" s="89">
        <f>VLOOKUP(D314,Average_Distance_by_kilometres_grouping_for_trip_purpose[#All],MATCH(A314,Average_Distance_by_kilometres_grouping_for_trip_purpose[#Headers],0),0)</f>
        <v>3</v>
      </c>
      <c r="J314" s="89">
        <f t="shared" si="21"/>
        <v>3</v>
      </c>
      <c r="K314" s="89">
        <f t="shared" si="22"/>
        <v>5.8326042578011078E-2</v>
      </c>
      <c r="L314" s="89">
        <v>1</v>
      </c>
      <c r="M314" s="13">
        <f t="shared" si="23"/>
        <v>0</v>
      </c>
      <c r="N314" s="89">
        <f t="shared" si="24"/>
        <v>0</v>
      </c>
    </row>
    <row r="315" spans="1:14" x14ac:dyDescent="0.25">
      <c r="A315" s="79" t="s">
        <v>128</v>
      </c>
      <c r="B315" s="89" t="s">
        <v>11</v>
      </c>
      <c r="C315" s="89" t="s">
        <v>50</v>
      </c>
      <c r="D315" s="13" t="s">
        <v>180</v>
      </c>
      <c r="E315" s="35">
        <f>VLOOKUP(B315, Passenger_Kilometre_by_mode_type[#All],MATCH(A315, Passenger_Kilometre_by_mode_type[#Headers],0),0)</f>
        <v>0</v>
      </c>
      <c r="F315" s="89">
        <f>VLOOKUP(C315, Reason_for_public_transport_journeys_by_percentage[#All],MATCH(A315, Reason_for_public_transport_journeys_by_percentage[#Headers],0),0)/100</f>
        <v>9.1250000000000012E-2</v>
      </c>
      <c r="G315" s="13">
        <f t="shared" si="20"/>
        <v>0</v>
      </c>
      <c r="H315" s="89">
        <f>VLOOKUP(D315,Average_Distance_by_kilometre_grouping_for_mode_type[#All],MATCH(A315,Average_Distance_by_kilometre_grouping_for_mode_type[#Headers],0),0)</f>
        <v>5</v>
      </c>
      <c r="I315" s="89">
        <f>VLOOKUP(D315,Average_Distance_by_kilometres_grouping_for_trip_purpose[#All],MATCH(A315,Average_Distance_by_kilometres_grouping_for_trip_purpose[#Headers],0),0)</f>
        <v>5</v>
      </c>
      <c r="J315" s="89">
        <f t="shared" si="21"/>
        <v>5</v>
      </c>
      <c r="K315" s="89">
        <f t="shared" si="22"/>
        <v>9.7210070963351797E-2</v>
      </c>
      <c r="L315" s="89">
        <v>1</v>
      </c>
      <c r="M315" s="13">
        <f t="shared" si="23"/>
        <v>0</v>
      </c>
      <c r="N315" s="89">
        <f t="shared" si="24"/>
        <v>0</v>
      </c>
    </row>
    <row r="316" spans="1:14" x14ac:dyDescent="0.25">
      <c r="A316" s="79" t="s">
        <v>128</v>
      </c>
      <c r="B316" s="89" t="s">
        <v>11</v>
      </c>
      <c r="C316" s="89" t="s">
        <v>50</v>
      </c>
      <c r="D316" s="13" t="s">
        <v>182</v>
      </c>
      <c r="E316" s="35">
        <f>VLOOKUP(B316, Passenger_Kilometre_by_mode_type[#All],MATCH(A316, Passenger_Kilometre_by_mode_type[#Headers],0),0)</f>
        <v>0</v>
      </c>
      <c r="F316" s="89">
        <f>VLOOKUP(C316, Reason_for_public_transport_journeys_by_percentage[#All],MATCH(A316, Reason_for_public_transport_journeys_by_percentage[#Headers],0),0)/100</f>
        <v>9.1250000000000012E-2</v>
      </c>
      <c r="G316" s="13">
        <f t="shared" si="20"/>
        <v>0</v>
      </c>
      <c r="H316" s="89">
        <f>VLOOKUP(D316,Average_Distance_by_kilometre_grouping_for_mode_type[#All],MATCH(A316,Average_Distance_by_kilometre_grouping_for_mode_type[#Headers],0),0)</f>
        <v>7</v>
      </c>
      <c r="I316" s="89">
        <f>VLOOKUP(D316,Average_Distance_by_kilometres_grouping_for_trip_purpose[#All],MATCH(A316,Average_Distance_by_kilometres_grouping_for_trip_purpose[#Headers],0),0)</f>
        <v>7</v>
      </c>
      <c r="J316" s="89">
        <f t="shared" si="21"/>
        <v>7</v>
      </c>
      <c r="K316" s="89">
        <f t="shared" si="22"/>
        <v>0.13609409934869252</v>
      </c>
      <c r="L316" s="89">
        <v>1</v>
      </c>
      <c r="M316" s="13">
        <f t="shared" si="23"/>
        <v>0</v>
      </c>
      <c r="N316" s="89">
        <f t="shared" si="24"/>
        <v>0</v>
      </c>
    </row>
    <row r="317" spans="1:14" x14ac:dyDescent="0.25">
      <c r="A317" s="79" t="s">
        <v>128</v>
      </c>
      <c r="B317" s="89" t="s">
        <v>11</v>
      </c>
      <c r="C317" s="89" t="s">
        <v>50</v>
      </c>
      <c r="D317" s="13" t="s">
        <v>1</v>
      </c>
      <c r="E317" s="35">
        <f>VLOOKUP(B317, Passenger_Kilometre_by_mode_type[#All],MATCH(A317, Passenger_Kilometre_by_mode_type[#Headers],0),0)</f>
        <v>0</v>
      </c>
      <c r="F317" s="89">
        <f>VLOOKUP(C317, Reason_for_public_transport_journeys_by_percentage[#All],MATCH(A317, Reason_for_public_transport_journeys_by_percentage[#Headers],0),0)/100</f>
        <v>9.1250000000000012E-2</v>
      </c>
      <c r="G317" s="13">
        <f t="shared" si="20"/>
        <v>0</v>
      </c>
      <c r="H317" s="89">
        <f>VLOOKUP(D317,Average_Distance_by_kilometre_grouping_for_mode_type[#All],MATCH(A317,Average_Distance_by_kilometre_grouping_for_mode_type[#Headers],0),0)</f>
        <v>30.1</v>
      </c>
      <c r="I317" s="89">
        <f>VLOOKUP(D317,Average_Distance_by_kilometres_grouping_for_trip_purpose[#All],MATCH(A317,Average_Distance_by_kilometres_grouping_for_trip_purpose[#Headers],0),0)</f>
        <v>32.770000000000003</v>
      </c>
      <c r="J317" s="89">
        <f t="shared" si="21"/>
        <v>31.435000000000002</v>
      </c>
      <c r="K317" s="89">
        <f t="shared" si="22"/>
        <v>0.61115971614659281</v>
      </c>
      <c r="L317" s="89">
        <v>1</v>
      </c>
      <c r="M317" s="13">
        <f t="shared" si="23"/>
        <v>0</v>
      </c>
      <c r="N317" s="89">
        <f t="shared" si="24"/>
        <v>0</v>
      </c>
    </row>
    <row r="318" spans="1:14" x14ac:dyDescent="0.25">
      <c r="A318" s="79" t="s">
        <v>128</v>
      </c>
      <c r="B318" s="89" t="s">
        <v>90</v>
      </c>
      <c r="C318" s="89" t="s">
        <v>42</v>
      </c>
      <c r="D318" s="13" t="s">
        <v>12</v>
      </c>
      <c r="E318" s="35">
        <f>VLOOKUP(B318, Passenger_Kilometre_by_mode_type[#All],MATCH(A318, Passenger_Kilometre_by_mode_type[#Headers],0),0)</f>
        <v>5875413924.046442</v>
      </c>
      <c r="F318" s="89">
        <f>VLOOKUP(C318, Reason_for_lorry_motorcycle_other_journeys_by_percentage[#All],MATCH(A318, Reason_for_lorry_motorcycle_other_journeys_by_percentage[#Headers],0),0)/100</f>
        <v>0.52124999999999999</v>
      </c>
      <c r="G318" s="13">
        <f t="shared" si="20"/>
        <v>3062559507.9092078</v>
      </c>
      <c r="H318" s="89">
        <v>9</v>
      </c>
      <c r="I318" s="89">
        <f>VLOOKUP(D318,Average_Distance_by_kilometres_grouping_for_trip_purpose[#All],MATCH(A318,Average_Distance_by_kilometres_grouping_for_trip_purpose[#Headers],0),0)</f>
        <v>1</v>
      </c>
      <c r="J318" s="89">
        <f t="shared" si="21"/>
        <v>5</v>
      </c>
      <c r="K318" s="89">
        <f t="shared" si="22"/>
        <v>9.7210070963351797E-2</v>
      </c>
      <c r="L318" s="89">
        <v>1</v>
      </c>
      <c r="M318" s="13">
        <f t="shared" si="23"/>
        <v>297711627.09334183</v>
      </c>
      <c r="N318" s="89">
        <f t="shared" si="24"/>
        <v>4.8782138374120392E-3</v>
      </c>
    </row>
    <row r="319" spans="1:14" x14ac:dyDescent="0.25">
      <c r="A319" s="79" t="s">
        <v>128</v>
      </c>
      <c r="B319" s="89" t="s">
        <v>90</v>
      </c>
      <c r="C319" s="89" t="s">
        <v>42</v>
      </c>
      <c r="D319" s="13" t="s">
        <v>181</v>
      </c>
      <c r="E319" s="35">
        <f>VLOOKUP(B319, Passenger_Kilometre_by_mode_type[#All],MATCH(A319, Passenger_Kilometre_by_mode_type[#Headers],0),0)</f>
        <v>5875413924.046442</v>
      </c>
      <c r="F319" s="89">
        <f>VLOOKUP(C319, Reason_for_lorry_motorcycle_other_journeys_by_percentage[#All],MATCH(A319, Reason_for_lorry_motorcycle_other_journeys_by_percentage[#Headers],0),0)/100</f>
        <v>0.52124999999999999</v>
      </c>
      <c r="G319" s="13">
        <f t="shared" si="20"/>
        <v>3062559507.9092078</v>
      </c>
      <c r="H319" s="89">
        <f>VLOOKUP(D319,Average_Distance_by_kilometre_grouping_for_mode_type[#All],MATCH(A319,Average_Distance_by_kilometre_grouping_for_mode_type[#Headers],0),0)</f>
        <v>3</v>
      </c>
      <c r="I319" s="89">
        <f>VLOOKUP(D319,Average_Distance_by_kilometres_grouping_for_trip_purpose[#All],MATCH(A319,Average_Distance_by_kilometres_grouping_for_trip_purpose[#Headers],0),0)</f>
        <v>3</v>
      </c>
      <c r="J319" s="89">
        <f t="shared" si="21"/>
        <v>3</v>
      </c>
      <c r="K319" s="89">
        <f t="shared" si="22"/>
        <v>6.3244439759671131E-2</v>
      </c>
      <c r="L319" s="89">
        <v>1</v>
      </c>
      <c r="M319" s="13">
        <f t="shared" si="23"/>
        <v>193689860.30837196</v>
      </c>
      <c r="N319" s="89">
        <f t="shared" si="24"/>
        <v>3.1737442233872237E-3</v>
      </c>
    </row>
    <row r="320" spans="1:14" x14ac:dyDescent="0.25">
      <c r="A320" s="79" t="s">
        <v>128</v>
      </c>
      <c r="B320" s="89" t="s">
        <v>90</v>
      </c>
      <c r="C320" s="89" t="s">
        <v>42</v>
      </c>
      <c r="D320" s="13" t="s">
        <v>180</v>
      </c>
      <c r="E320" s="35">
        <f>VLOOKUP(B320, Passenger_Kilometre_by_mode_type[#All],MATCH(A320, Passenger_Kilometre_by_mode_type[#Headers],0),0)</f>
        <v>5875413924.046442</v>
      </c>
      <c r="F320" s="89">
        <f>VLOOKUP(C320, Reason_for_lorry_motorcycle_other_journeys_by_percentage[#All],MATCH(A320, Reason_for_lorry_motorcycle_other_journeys_by_percentage[#Headers],0),0)/100</f>
        <v>0.52124999999999999</v>
      </c>
      <c r="G320" s="13">
        <f t="shared" si="20"/>
        <v>3062559507.9092078</v>
      </c>
      <c r="H320" s="89">
        <f>VLOOKUP(D320,Average_Distance_by_kilometre_grouping_for_mode_type[#All],MATCH(A320,Average_Distance_by_kilometre_grouping_for_mode_type[#Headers],0),0)</f>
        <v>5</v>
      </c>
      <c r="I320" s="89">
        <f>VLOOKUP(D320,Average_Distance_by_kilometres_grouping_for_trip_purpose[#All],MATCH(A320,Average_Distance_by_kilometres_grouping_for_trip_purpose[#Headers],0),0)</f>
        <v>5</v>
      </c>
      <c r="J320" s="89">
        <f t="shared" si="21"/>
        <v>5</v>
      </c>
      <c r="K320" s="89">
        <f t="shared" si="22"/>
        <v>0.10540739959945188</v>
      </c>
      <c r="L320" s="89">
        <v>1</v>
      </c>
      <c r="M320" s="13">
        <f t="shared" si="23"/>
        <v>322816433.84728658</v>
      </c>
      <c r="N320" s="89">
        <f t="shared" si="24"/>
        <v>5.2895737056453725E-3</v>
      </c>
    </row>
    <row r="321" spans="1:14" x14ac:dyDescent="0.25">
      <c r="A321" s="79" t="s">
        <v>128</v>
      </c>
      <c r="B321" s="89" t="s">
        <v>90</v>
      </c>
      <c r="C321" s="89" t="s">
        <v>42</v>
      </c>
      <c r="D321" s="13" t="s">
        <v>182</v>
      </c>
      <c r="E321" s="35">
        <f>VLOOKUP(B321, Passenger_Kilometre_by_mode_type[#All],MATCH(A321, Passenger_Kilometre_by_mode_type[#Headers],0),0)</f>
        <v>5875413924.046442</v>
      </c>
      <c r="F321" s="89">
        <f>VLOOKUP(C321, Reason_for_lorry_motorcycle_other_journeys_by_percentage[#All],MATCH(A321, Reason_for_lorry_motorcycle_other_journeys_by_percentage[#Headers],0),0)/100</f>
        <v>0.52124999999999999</v>
      </c>
      <c r="G321" s="13">
        <f t="shared" si="20"/>
        <v>3062559507.9092078</v>
      </c>
      <c r="H321" s="89">
        <f>VLOOKUP(D321,Average_Distance_by_kilometre_grouping_for_mode_type[#All],MATCH(A321,Average_Distance_by_kilometre_grouping_for_mode_type[#Headers],0),0)</f>
        <v>7</v>
      </c>
      <c r="I321" s="89">
        <f>VLOOKUP(D321,Average_Distance_by_kilometres_grouping_for_trip_purpose[#All],MATCH(A321,Average_Distance_by_kilometres_grouping_for_trip_purpose[#Headers],0),0)</f>
        <v>7</v>
      </c>
      <c r="J321" s="89">
        <f t="shared" si="21"/>
        <v>7</v>
      </c>
      <c r="K321" s="89">
        <f t="shared" si="22"/>
        <v>0.14757035943923263</v>
      </c>
      <c r="L321" s="89">
        <v>1</v>
      </c>
      <c r="M321" s="13">
        <f t="shared" si="23"/>
        <v>451943007.3862012</v>
      </c>
      <c r="N321" s="89">
        <f t="shared" si="24"/>
        <v>7.4054031879035214E-3</v>
      </c>
    </row>
    <row r="322" spans="1:14" x14ac:dyDescent="0.25">
      <c r="A322" s="79" t="s">
        <v>128</v>
      </c>
      <c r="B322" s="89" t="s">
        <v>90</v>
      </c>
      <c r="C322" s="89" t="s">
        <v>42</v>
      </c>
      <c r="D322" s="13" t="s">
        <v>1</v>
      </c>
      <c r="E322" s="35">
        <f>VLOOKUP(B322, Passenger_Kilometre_by_mode_type[#All],MATCH(A322, Passenger_Kilometre_by_mode_type[#Headers],0),0)</f>
        <v>5875413924.046442</v>
      </c>
      <c r="F322" s="89">
        <f>VLOOKUP(C322, Reason_for_lorry_motorcycle_other_journeys_by_percentage[#All],MATCH(A322, Reason_for_lorry_motorcycle_other_journeys_by_percentage[#Headers],0),0)/100</f>
        <v>0.52124999999999999</v>
      </c>
      <c r="G322" s="13">
        <f t="shared" si="20"/>
        <v>3062559507.9092078</v>
      </c>
      <c r="H322" s="89">
        <f>VLOOKUP(D322,Average_Distance_by_kilometre_grouping_for_mode_type[#All],MATCH(A322,Average_Distance_by_kilometre_grouping_for_mode_type[#Headers],0),0)</f>
        <v>30.1</v>
      </c>
      <c r="I322" s="89">
        <f>VLOOKUP(D322,Average_Distance_by_kilometres_grouping_for_trip_purpose[#All],MATCH(A322,Average_Distance_by_kilometres_grouping_for_trip_purpose[#Headers],0),0)</f>
        <v>32.770000000000003</v>
      </c>
      <c r="J322" s="89">
        <f t="shared" si="21"/>
        <v>31.435000000000002</v>
      </c>
      <c r="K322" s="89">
        <f t="shared" si="22"/>
        <v>0.66269632128175404</v>
      </c>
      <c r="L322" s="89">
        <v>1</v>
      </c>
      <c r="M322" s="13">
        <f t="shared" si="23"/>
        <v>2029546919.5978909</v>
      </c>
      <c r="N322" s="89">
        <f t="shared" si="24"/>
        <v>3.325554988739246E-2</v>
      </c>
    </row>
    <row r="323" spans="1:14" x14ac:dyDescent="0.25">
      <c r="A323" s="79" t="s">
        <v>128</v>
      </c>
      <c r="B323" s="89" t="s">
        <v>90</v>
      </c>
      <c r="C323" s="89" t="s">
        <v>43</v>
      </c>
      <c r="D323" s="13" t="s">
        <v>12</v>
      </c>
      <c r="E323" s="35">
        <f>VLOOKUP(B323, Passenger_Kilometre_by_mode_type[#All],MATCH(A323, Passenger_Kilometre_by_mode_type[#Headers],0),0)</f>
        <v>5875413924.046442</v>
      </c>
      <c r="F323" s="89">
        <f>VLOOKUP(C323, Reason_for_lorry_motorcycle_other_journeys_by_percentage[#All],MATCH(A323, Reason_for_lorry_motorcycle_other_journeys_by_percentage[#Headers],0),0)/100</f>
        <v>1.7250000000000001E-2</v>
      </c>
      <c r="G323" s="13">
        <f t="shared" si="20"/>
        <v>101350890.18980113</v>
      </c>
      <c r="H323" s="89">
        <f>VLOOKUP(D323,Average_Distance_by_kilometre_grouping_for_mode_type[#All],MATCH(A323,Average_Distance_by_kilometre_grouping_for_mode_type[#Headers],0),0)</f>
        <v>1</v>
      </c>
      <c r="I323" s="89">
        <f>VLOOKUP(D323,Average_Distance_by_kilometres_grouping_for_trip_purpose[#All],MATCH(A323,Average_Distance_by_kilometres_grouping_for_trip_purpose[#Headers],0),0)</f>
        <v>1</v>
      </c>
      <c r="J323" s="89">
        <f t="shared" si="21"/>
        <v>1</v>
      </c>
      <c r="K323" s="89">
        <f t="shared" si="22"/>
        <v>2.1081479919890376E-2</v>
      </c>
      <c r="L323" s="89">
        <v>1</v>
      </c>
      <c r="M323" s="13">
        <f t="shared" si="23"/>
        <v>2136626.7563993069</v>
      </c>
      <c r="N323" s="89">
        <f t="shared" si="24"/>
        <v>3.5010128123695991E-5</v>
      </c>
    </row>
    <row r="324" spans="1:14" x14ac:dyDescent="0.25">
      <c r="A324" s="79" t="s">
        <v>128</v>
      </c>
      <c r="B324" s="89" t="s">
        <v>90</v>
      </c>
      <c r="C324" s="89" t="s">
        <v>43</v>
      </c>
      <c r="D324" s="13" t="s">
        <v>181</v>
      </c>
      <c r="E324" s="35">
        <f>VLOOKUP(B324, Passenger_Kilometre_by_mode_type[#All],MATCH(A324, Passenger_Kilometre_by_mode_type[#Headers],0),0)</f>
        <v>5875413924.046442</v>
      </c>
      <c r="F324" s="89">
        <f>VLOOKUP(C324, Reason_for_lorry_motorcycle_other_journeys_by_percentage[#All],MATCH(A324, Reason_for_lorry_motorcycle_other_journeys_by_percentage[#Headers],0),0)/100</f>
        <v>1.7250000000000001E-2</v>
      </c>
      <c r="G324" s="13">
        <f t="shared" ref="G324:G387" si="25">E324*F324</f>
        <v>101350890.18980113</v>
      </c>
      <c r="H324" s="89">
        <f>VLOOKUP(D324,Average_Distance_by_kilometre_grouping_for_mode_type[#All],MATCH(A324,Average_Distance_by_kilometre_grouping_for_mode_type[#Headers],0),0)</f>
        <v>3</v>
      </c>
      <c r="I324" s="89">
        <f>VLOOKUP(D324,Average_Distance_by_kilometres_grouping_for_trip_purpose[#All],MATCH(A324,Average_Distance_by_kilometres_grouping_for_trip_purpose[#Headers],0),0)</f>
        <v>3</v>
      </c>
      <c r="J324" s="89">
        <f t="shared" ref="J324:J387" si="26">AVERAGE(H324:I324)</f>
        <v>3</v>
      </c>
      <c r="K324" s="89">
        <f t="shared" ref="K324:K387" si="27">J324/SUM(J324:J328)</f>
        <v>6.3244439759671131E-2</v>
      </c>
      <c r="L324" s="89">
        <v>1</v>
      </c>
      <c r="M324" s="13">
        <f t="shared" ref="M324:M387" si="28">G324*K324*L324</f>
        <v>6409880.2691979213</v>
      </c>
      <c r="N324" s="89">
        <f t="shared" ref="N324:N362" si="29">M324/SUM($M$3:$M$362)</f>
        <v>1.0503038437108799E-4</v>
      </c>
    </row>
    <row r="325" spans="1:14" x14ac:dyDescent="0.25">
      <c r="A325" s="79" t="s">
        <v>128</v>
      </c>
      <c r="B325" s="89" t="s">
        <v>90</v>
      </c>
      <c r="C325" s="89" t="s">
        <v>43</v>
      </c>
      <c r="D325" s="13" t="s">
        <v>180</v>
      </c>
      <c r="E325" s="35">
        <f>VLOOKUP(B325, Passenger_Kilometre_by_mode_type[#All],MATCH(A325, Passenger_Kilometre_by_mode_type[#Headers],0),0)</f>
        <v>5875413924.046442</v>
      </c>
      <c r="F325" s="89">
        <f>VLOOKUP(C325, Reason_for_lorry_motorcycle_other_journeys_by_percentage[#All],MATCH(A325, Reason_for_lorry_motorcycle_other_journeys_by_percentage[#Headers],0),0)/100</f>
        <v>1.7250000000000001E-2</v>
      </c>
      <c r="G325" s="13">
        <f t="shared" si="25"/>
        <v>101350890.18980113</v>
      </c>
      <c r="H325" s="89">
        <f>VLOOKUP(D325,Average_Distance_by_kilometre_grouping_for_mode_type[#All],MATCH(A325,Average_Distance_by_kilometre_grouping_for_mode_type[#Headers],0),0)</f>
        <v>5</v>
      </c>
      <c r="I325" s="89">
        <f>VLOOKUP(D325,Average_Distance_by_kilometres_grouping_for_trip_purpose[#All],MATCH(A325,Average_Distance_by_kilometres_grouping_for_trip_purpose[#Headers],0),0)</f>
        <v>5</v>
      </c>
      <c r="J325" s="89">
        <f t="shared" si="26"/>
        <v>5</v>
      </c>
      <c r="K325" s="89">
        <f t="shared" si="27"/>
        <v>0.10540739959945188</v>
      </c>
      <c r="L325" s="89">
        <v>1</v>
      </c>
      <c r="M325" s="13">
        <f t="shared" si="28"/>
        <v>10683133.781996535</v>
      </c>
      <c r="N325" s="89">
        <f t="shared" si="29"/>
        <v>1.7505064061847998E-4</v>
      </c>
    </row>
    <row r="326" spans="1:14" x14ac:dyDescent="0.25">
      <c r="A326" s="79" t="s">
        <v>128</v>
      </c>
      <c r="B326" s="89" t="s">
        <v>90</v>
      </c>
      <c r="C326" s="89" t="s">
        <v>43</v>
      </c>
      <c r="D326" s="13" t="s">
        <v>182</v>
      </c>
      <c r="E326" s="35">
        <f>VLOOKUP(B326, Passenger_Kilometre_by_mode_type[#All],MATCH(A326, Passenger_Kilometre_by_mode_type[#Headers],0),0)</f>
        <v>5875413924.046442</v>
      </c>
      <c r="F326" s="89">
        <f>VLOOKUP(C326, Reason_for_lorry_motorcycle_other_journeys_by_percentage[#All],MATCH(A326, Reason_for_lorry_motorcycle_other_journeys_by_percentage[#Headers],0),0)/100</f>
        <v>1.7250000000000001E-2</v>
      </c>
      <c r="G326" s="13">
        <f t="shared" si="25"/>
        <v>101350890.18980113</v>
      </c>
      <c r="H326" s="89">
        <f>VLOOKUP(D326,Average_Distance_by_kilometre_grouping_for_mode_type[#All],MATCH(A326,Average_Distance_by_kilometre_grouping_for_mode_type[#Headers],0),0)</f>
        <v>7</v>
      </c>
      <c r="I326" s="89">
        <f>VLOOKUP(D326,Average_Distance_by_kilometres_grouping_for_trip_purpose[#All],MATCH(A326,Average_Distance_by_kilometres_grouping_for_trip_purpose[#Headers],0),0)</f>
        <v>7</v>
      </c>
      <c r="J326" s="89">
        <f t="shared" si="26"/>
        <v>7</v>
      </c>
      <c r="K326" s="89">
        <f t="shared" si="27"/>
        <v>0.14757035943923263</v>
      </c>
      <c r="L326" s="89">
        <v>1</v>
      </c>
      <c r="M326" s="13">
        <f t="shared" si="28"/>
        <v>14956387.294795148</v>
      </c>
      <c r="N326" s="89">
        <f t="shared" si="29"/>
        <v>2.4507089686587194E-4</v>
      </c>
    </row>
    <row r="327" spans="1:14" x14ac:dyDescent="0.25">
      <c r="A327" s="79" t="s">
        <v>128</v>
      </c>
      <c r="B327" s="89" t="s">
        <v>90</v>
      </c>
      <c r="C327" s="89" t="s">
        <v>43</v>
      </c>
      <c r="D327" s="13" t="s">
        <v>1</v>
      </c>
      <c r="E327" s="35">
        <f>VLOOKUP(B327, Passenger_Kilometre_by_mode_type[#All],MATCH(A327, Passenger_Kilometre_by_mode_type[#Headers],0),0)</f>
        <v>5875413924.046442</v>
      </c>
      <c r="F327" s="89">
        <f>VLOOKUP(C327, Reason_for_lorry_motorcycle_other_journeys_by_percentage[#All],MATCH(A327, Reason_for_lorry_motorcycle_other_journeys_by_percentage[#Headers],0),0)/100</f>
        <v>1.7250000000000001E-2</v>
      </c>
      <c r="G327" s="13">
        <f t="shared" si="25"/>
        <v>101350890.18980113</v>
      </c>
      <c r="H327" s="89">
        <f>VLOOKUP(D327,Average_Distance_by_kilometre_grouping_for_mode_type[#All],MATCH(A327,Average_Distance_by_kilometre_grouping_for_mode_type[#Headers],0),0)</f>
        <v>30.1</v>
      </c>
      <c r="I327" s="89">
        <f>VLOOKUP(D327,Average_Distance_by_kilometres_grouping_for_trip_purpose[#All],MATCH(A327,Average_Distance_by_kilometres_grouping_for_trip_purpose[#Headers],0),0)</f>
        <v>32.770000000000003</v>
      </c>
      <c r="J327" s="89">
        <f t="shared" si="26"/>
        <v>31.435000000000002</v>
      </c>
      <c r="K327" s="89">
        <f t="shared" si="27"/>
        <v>0.66269632128175404</v>
      </c>
      <c r="L327" s="89">
        <v>1</v>
      </c>
      <c r="M327" s="13">
        <f t="shared" si="28"/>
        <v>67164862.087412223</v>
      </c>
      <c r="N327" s="89">
        <f t="shared" si="29"/>
        <v>1.1005433775683837E-3</v>
      </c>
    </row>
    <row r="328" spans="1:14" x14ac:dyDescent="0.25">
      <c r="A328" s="79" t="s">
        <v>128</v>
      </c>
      <c r="B328" s="89" t="s">
        <v>90</v>
      </c>
      <c r="C328" s="89" t="s">
        <v>44</v>
      </c>
      <c r="D328" s="13" t="s">
        <v>12</v>
      </c>
      <c r="E328" s="35">
        <f>VLOOKUP(B328, Passenger_Kilometre_by_mode_type[#All],MATCH(A328, Passenger_Kilometre_by_mode_type[#Headers],0),0)</f>
        <v>5875413924.046442</v>
      </c>
      <c r="F328" s="89">
        <f>VLOOKUP(C328, Reason_for_lorry_motorcycle_other_journeys_by_percentage[#All],MATCH(A328, Reason_for_lorry_motorcycle_other_journeys_by_percentage[#Headers],0),0)/100</f>
        <v>9.5499999999999988E-2</v>
      </c>
      <c r="G328" s="13">
        <f t="shared" si="25"/>
        <v>561102029.74643517</v>
      </c>
      <c r="H328" s="89">
        <f>VLOOKUP(D328,Average_Distance_by_kilometre_grouping_for_mode_type[#All],MATCH(A328,Average_Distance_by_kilometre_grouping_for_mode_type[#Headers],0),0)</f>
        <v>1</v>
      </c>
      <c r="I328" s="89">
        <f>VLOOKUP(D328,Average_Distance_by_kilometres_grouping_for_trip_purpose[#All],MATCH(A328,Average_Distance_by_kilometres_grouping_for_trip_purpose[#Headers],0),0)</f>
        <v>1</v>
      </c>
      <c r="J328" s="89">
        <f t="shared" si="26"/>
        <v>1</v>
      </c>
      <c r="K328" s="89">
        <f t="shared" si="27"/>
        <v>2.1081479919890376E-2</v>
      </c>
      <c r="L328" s="89">
        <v>1</v>
      </c>
      <c r="M328" s="13">
        <f t="shared" si="28"/>
        <v>11828861.173109205</v>
      </c>
      <c r="N328" s="89">
        <f t="shared" si="29"/>
        <v>1.938241875833604E-4</v>
      </c>
    </row>
    <row r="329" spans="1:14" x14ac:dyDescent="0.25">
      <c r="A329" s="79" t="s">
        <v>128</v>
      </c>
      <c r="B329" s="89" t="s">
        <v>90</v>
      </c>
      <c r="C329" s="89" t="s">
        <v>44</v>
      </c>
      <c r="D329" s="13" t="s">
        <v>181</v>
      </c>
      <c r="E329" s="35">
        <f>VLOOKUP(B329, Passenger_Kilometre_by_mode_type[#All],MATCH(A329, Passenger_Kilometre_by_mode_type[#Headers],0),0)</f>
        <v>5875413924.046442</v>
      </c>
      <c r="F329" s="89">
        <f>VLOOKUP(C329, Reason_for_lorry_motorcycle_other_journeys_by_percentage[#All],MATCH(A329, Reason_for_lorry_motorcycle_other_journeys_by_percentage[#Headers],0),0)/100</f>
        <v>9.5499999999999988E-2</v>
      </c>
      <c r="G329" s="13">
        <f t="shared" si="25"/>
        <v>561102029.74643517</v>
      </c>
      <c r="H329" s="89">
        <f>VLOOKUP(D329,Average_Distance_by_kilometre_grouping_for_mode_type[#All],MATCH(A329,Average_Distance_by_kilometre_grouping_for_mode_type[#Headers],0),0)</f>
        <v>3</v>
      </c>
      <c r="I329" s="89">
        <f>VLOOKUP(D329,Average_Distance_by_kilometres_grouping_for_trip_purpose[#All],MATCH(A329,Average_Distance_by_kilometres_grouping_for_trip_purpose[#Headers],0),0)</f>
        <v>3</v>
      </c>
      <c r="J329" s="89">
        <f t="shared" si="26"/>
        <v>3</v>
      </c>
      <c r="K329" s="89">
        <f t="shared" si="27"/>
        <v>6.3244439759671131E-2</v>
      </c>
      <c r="L329" s="89">
        <v>1</v>
      </c>
      <c r="M329" s="13">
        <f t="shared" si="28"/>
        <v>35486583.519327618</v>
      </c>
      <c r="N329" s="89">
        <f t="shared" si="29"/>
        <v>5.8147256275008121E-4</v>
      </c>
    </row>
    <row r="330" spans="1:14" x14ac:dyDescent="0.25">
      <c r="A330" s="79" t="s">
        <v>128</v>
      </c>
      <c r="B330" s="89" t="s">
        <v>90</v>
      </c>
      <c r="C330" s="89" t="s">
        <v>44</v>
      </c>
      <c r="D330" s="13" t="s">
        <v>180</v>
      </c>
      <c r="E330" s="35">
        <f>VLOOKUP(B330, Passenger_Kilometre_by_mode_type[#All],MATCH(A330, Passenger_Kilometre_by_mode_type[#Headers],0),0)</f>
        <v>5875413924.046442</v>
      </c>
      <c r="F330" s="89">
        <f>VLOOKUP(C330, Reason_for_lorry_motorcycle_other_journeys_by_percentage[#All],MATCH(A330, Reason_for_lorry_motorcycle_other_journeys_by_percentage[#Headers],0),0)/100</f>
        <v>9.5499999999999988E-2</v>
      </c>
      <c r="G330" s="13">
        <f t="shared" si="25"/>
        <v>561102029.74643517</v>
      </c>
      <c r="H330" s="89">
        <f>VLOOKUP(D330,Average_Distance_by_kilometre_grouping_for_mode_type[#All],MATCH(A330,Average_Distance_by_kilometre_grouping_for_mode_type[#Headers],0),0)</f>
        <v>5</v>
      </c>
      <c r="I330" s="89">
        <f>VLOOKUP(D330,Average_Distance_by_kilometres_grouping_for_trip_purpose[#All],MATCH(A330,Average_Distance_by_kilometres_grouping_for_trip_purpose[#Headers],0),0)</f>
        <v>5</v>
      </c>
      <c r="J330" s="89">
        <f t="shared" si="26"/>
        <v>5</v>
      </c>
      <c r="K330" s="89">
        <f t="shared" si="27"/>
        <v>0.10540739959945188</v>
      </c>
      <c r="L330" s="89">
        <v>1</v>
      </c>
      <c r="M330" s="13">
        <f t="shared" si="28"/>
        <v>59144305.865546025</v>
      </c>
      <c r="N330" s="89">
        <f t="shared" si="29"/>
        <v>9.6912093791680202E-4</v>
      </c>
    </row>
    <row r="331" spans="1:14" x14ac:dyDescent="0.25">
      <c r="A331" s="79" t="s">
        <v>128</v>
      </c>
      <c r="B331" s="89" t="s">
        <v>90</v>
      </c>
      <c r="C331" s="89" t="s">
        <v>44</v>
      </c>
      <c r="D331" s="13" t="s">
        <v>182</v>
      </c>
      <c r="E331" s="35">
        <f>VLOOKUP(B331, Passenger_Kilometre_by_mode_type[#All],MATCH(A331, Passenger_Kilometre_by_mode_type[#Headers],0),0)</f>
        <v>5875413924.046442</v>
      </c>
      <c r="F331" s="89">
        <f>VLOOKUP(C331, Reason_for_lorry_motorcycle_other_journeys_by_percentage[#All],MATCH(A331, Reason_for_lorry_motorcycle_other_journeys_by_percentage[#Headers],0),0)/100</f>
        <v>9.5499999999999988E-2</v>
      </c>
      <c r="G331" s="13">
        <f t="shared" si="25"/>
        <v>561102029.74643517</v>
      </c>
      <c r="H331" s="89">
        <f>VLOOKUP(D331,Average_Distance_by_kilometre_grouping_for_mode_type[#All],MATCH(A331,Average_Distance_by_kilometre_grouping_for_mode_type[#Headers],0),0)</f>
        <v>7</v>
      </c>
      <c r="I331" s="89">
        <f>VLOOKUP(D331,Average_Distance_by_kilometres_grouping_for_trip_purpose[#All],MATCH(A331,Average_Distance_by_kilometres_grouping_for_trip_purpose[#Headers],0),0)</f>
        <v>7</v>
      </c>
      <c r="J331" s="89">
        <f t="shared" si="26"/>
        <v>7</v>
      </c>
      <c r="K331" s="89">
        <f t="shared" si="27"/>
        <v>0.14757035943923263</v>
      </c>
      <c r="L331" s="89">
        <v>1</v>
      </c>
      <c r="M331" s="13">
        <f t="shared" si="28"/>
        <v>82802028.21176444</v>
      </c>
      <c r="N331" s="89">
        <f t="shared" si="29"/>
        <v>1.3567693130835229E-3</v>
      </c>
    </row>
    <row r="332" spans="1:14" x14ac:dyDescent="0.25">
      <c r="A332" s="79" t="s">
        <v>128</v>
      </c>
      <c r="B332" s="89" t="s">
        <v>90</v>
      </c>
      <c r="C332" s="89" t="s">
        <v>44</v>
      </c>
      <c r="D332" s="13" t="s">
        <v>1</v>
      </c>
      <c r="E332" s="35">
        <f>VLOOKUP(B332, Passenger_Kilometre_by_mode_type[#All],MATCH(A332, Passenger_Kilometre_by_mode_type[#Headers],0),0)</f>
        <v>5875413924.046442</v>
      </c>
      <c r="F332" s="89">
        <f>VLOOKUP(C332, Reason_for_lorry_motorcycle_other_journeys_by_percentage[#All],MATCH(A332, Reason_for_lorry_motorcycle_other_journeys_by_percentage[#Headers],0),0)/100</f>
        <v>9.5499999999999988E-2</v>
      </c>
      <c r="G332" s="13">
        <f t="shared" si="25"/>
        <v>561102029.74643517</v>
      </c>
      <c r="H332" s="89">
        <f>VLOOKUP(D332,Average_Distance_by_kilometre_grouping_for_mode_type[#All],MATCH(A332,Average_Distance_by_kilometre_grouping_for_mode_type[#Headers],0),0)</f>
        <v>30.1</v>
      </c>
      <c r="I332" s="89">
        <f>VLOOKUP(D332,Average_Distance_by_kilometres_grouping_for_trip_purpose[#All],MATCH(A332,Average_Distance_by_kilometres_grouping_for_trip_purpose[#Headers],0),0)</f>
        <v>32.770000000000003</v>
      </c>
      <c r="J332" s="89">
        <f t="shared" si="26"/>
        <v>31.435000000000002</v>
      </c>
      <c r="K332" s="89">
        <f t="shared" si="27"/>
        <v>0.66269632128175404</v>
      </c>
      <c r="L332" s="89">
        <v>1</v>
      </c>
      <c r="M332" s="13">
        <f t="shared" si="28"/>
        <v>371840250.97668791</v>
      </c>
      <c r="N332" s="89">
        <f t="shared" si="29"/>
        <v>6.0928633366829354E-3</v>
      </c>
    </row>
    <row r="333" spans="1:14" x14ac:dyDescent="0.25">
      <c r="A333" s="79" t="s">
        <v>128</v>
      </c>
      <c r="B333" s="89" t="s">
        <v>90</v>
      </c>
      <c r="C333" s="89" t="s">
        <v>45</v>
      </c>
      <c r="D333" s="13" t="s">
        <v>12</v>
      </c>
      <c r="E333" s="35">
        <f>VLOOKUP(B333, Passenger_Kilometre_by_mode_type[#All],MATCH(A333, Passenger_Kilometre_by_mode_type[#Headers],0),0)</f>
        <v>5875413924.046442</v>
      </c>
      <c r="F333" s="89">
        <f>VLOOKUP(C333, Reason_for_lorry_motorcycle_other_journeys_by_percentage[#All],MATCH(A333, Reason_for_lorry_motorcycle_other_journeys_by_percentage[#Headers],0),0)/100</f>
        <v>3.3750000000000002E-2</v>
      </c>
      <c r="G333" s="13">
        <f t="shared" si="25"/>
        <v>198295219.93656743</v>
      </c>
      <c r="H333" s="89">
        <f>VLOOKUP(D333,Average_Distance_by_kilometre_grouping_for_mode_type[#All],MATCH(A333,Average_Distance_by_kilometre_grouping_for_mode_type[#Headers],0),0)</f>
        <v>1</v>
      </c>
      <c r="I333" s="89">
        <f>VLOOKUP(D333,Average_Distance_by_kilometres_grouping_for_trip_purpose[#All],MATCH(A333,Average_Distance_by_kilometres_grouping_for_trip_purpose[#Headers],0),0)</f>
        <v>1</v>
      </c>
      <c r="J333" s="89">
        <f t="shared" si="26"/>
        <v>1</v>
      </c>
      <c r="K333" s="89">
        <f t="shared" si="27"/>
        <v>2.1081479919890376E-2</v>
      </c>
      <c r="L333" s="89">
        <v>1</v>
      </c>
      <c r="M333" s="13">
        <f t="shared" si="28"/>
        <v>4180356.697302992</v>
      </c>
      <c r="N333" s="89">
        <f t="shared" si="29"/>
        <v>6.8498076763753036E-5</v>
      </c>
    </row>
    <row r="334" spans="1:14" x14ac:dyDescent="0.25">
      <c r="A334" s="79" t="s">
        <v>128</v>
      </c>
      <c r="B334" s="89" t="s">
        <v>90</v>
      </c>
      <c r="C334" s="89" t="s">
        <v>45</v>
      </c>
      <c r="D334" s="13" t="s">
        <v>181</v>
      </c>
      <c r="E334" s="35">
        <f>VLOOKUP(B334, Passenger_Kilometre_by_mode_type[#All],MATCH(A334, Passenger_Kilometre_by_mode_type[#Headers],0),0)</f>
        <v>5875413924.046442</v>
      </c>
      <c r="F334" s="89">
        <f>VLOOKUP(C334, Reason_for_lorry_motorcycle_other_journeys_by_percentage[#All],MATCH(A334, Reason_for_lorry_motorcycle_other_journeys_by_percentage[#Headers],0),0)/100</f>
        <v>3.3750000000000002E-2</v>
      </c>
      <c r="G334" s="13">
        <f t="shared" si="25"/>
        <v>198295219.93656743</v>
      </c>
      <c r="H334" s="89">
        <f>VLOOKUP(D334,Average_Distance_by_kilometre_grouping_for_mode_type[#All],MATCH(A334,Average_Distance_by_kilometre_grouping_for_mode_type[#Headers],0),0)</f>
        <v>3</v>
      </c>
      <c r="I334" s="89">
        <f>VLOOKUP(D334,Average_Distance_by_kilometres_grouping_for_trip_purpose[#All],MATCH(A334,Average_Distance_by_kilometres_grouping_for_trip_purpose[#Headers],0),0)</f>
        <v>3</v>
      </c>
      <c r="J334" s="89">
        <f t="shared" si="26"/>
        <v>3</v>
      </c>
      <c r="K334" s="89">
        <f t="shared" si="27"/>
        <v>6.3244439759671131E-2</v>
      </c>
      <c r="L334" s="89">
        <v>1</v>
      </c>
      <c r="M334" s="13">
        <f t="shared" si="28"/>
        <v>12541070.091908976</v>
      </c>
      <c r="N334" s="89">
        <f t="shared" si="29"/>
        <v>2.0549423029125912E-4</v>
      </c>
    </row>
    <row r="335" spans="1:14" x14ac:dyDescent="0.25">
      <c r="A335" s="79" t="s">
        <v>128</v>
      </c>
      <c r="B335" s="89" t="s">
        <v>90</v>
      </c>
      <c r="C335" s="89" t="s">
        <v>45</v>
      </c>
      <c r="D335" s="13" t="s">
        <v>180</v>
      </c>
      <c r="E335" s="35">
        <f>VLOOKUP(B335, Passenger_Kilometre_by_mode_type[#All],MATCH(A335, Passenger_Kilometre_by_mode_type[#Headers],0),0)</f>
        <v>5875413924.046442</v>
      </c>
      <c r="F335" s="89">
        <f>VLOOKUP(C335, Reason_for_lorry_motorcycle_other_journeys_by_percentage[#All],MATCH(A335, Reason_for_lorry_motorcycle_other_journeys_by_percentage[#Headers],0),0)/100</f>
        <v>3.3750000000000002E-2</v>
      </c>
      <c r="G335" s="13">
        <f t="shared" si="25"/>
        <v>198295219.93656743</v>
      </c>
      <c r="H335" s="89">
        <f>VLOOKUP(D335,Average_Distance_by_kilometre_grouping_for_mode_type[#All],MATCH(A335,Average_Distance_by_kilometre_grouping_for_mode_type[#Headers],0),0)</f>
        <v>5</v>
      </c>
      <c r="I335" s="89">
        <f>VLOOKUP(D335,Average_Distance_by_kilometres_grouping_for_trip_purpose[#All],MATCH(A335,Average_Distance_by_kilometres_grouping_for_trip_purpose[#Headers],0),0)</f>
        <v>5</v>
      </c>
      <c r="J335" s="89">
        <f t="shared" si="26"/>
        <v>5</v>
      </c>
      <c r="K335" s="89">
        <f t="shared" si="27"/>
        <v>0.10540739959945188</v>
      </c>
      <c r="L335" s="89">
        <v>1</v>
      </c>
      <c r="M335" s="13">
        <f t="shared" si="28"/>
        <v>20901783.486514959</v>
      </c>
      <c r="N335" s="89">
        <f t="shared" si="29"/>
        <v>3.4249038381876516E-4</v>
      </c>
    </row>
    <row r="336" spans="1:14" x14ac:dyDescent="0.25">
      <c r="A336" s="79" t="s">
        <v>128</v>
      </c>
      <c r="B336" s="89" t="s">
        <v>90</v>
      </c>
      <c r="C336" s="89" t="s">
        <v>45</v>
      </c>
      <c r="D336" s="13" t="s">
        <v>182</v>
      </c>
      <c r="E336" s="35">
        <f>VLOOKUP(B336, Passenger_Kilometre_by_mode_type[#All],MATCH(A336, Passenger_Kilometre_by_mode_type[#Headers],0),0)</f>
        <v>5875413924.046442</v>
      </c>
      <c r="F336" s="89">
        <f>VLOOKUP(C336, Reason_for_lorry_motorcycle_other_journeys_by_percentage[#All],MATCH(A336, Reason_for_lorry_motorcycle_other_journeys_by_percentage[#Headers],0),0)/100</f>
        <v>3.3750000000000002E-2</v>
      </c>
      <c r="G336" s="13">
        <f t="shared" si="25"/>
        <v>198295219.93656743</v>
      </c>
      <c r="H336" s="89">
        <f>VLOOKUP(D336,Average_Distance_by_kilometre_grouping_for_mode_type[#All],MATCH(A336,Average_Distance_by_kilometre_grouping_for_mode_type[#Headers],0),0)</f>
        <v>7</v>
      </c>
      <c r="I336" s="89">
        <f>VLOOKUP(D336,Average_Distance_by_kilometres_grouping_for_trip_purpose[#All],MATCH(A336,Average_Distance_by_kilometres_grouping_for_trip_purpose[#Headers],0),0)</f>
        <v>7</v>
      </c>
      <c r="J336" s="89">
        <f t="shared" si="26"/>
        <v>7</v>
      </c>
      <c r="K336" s="89">
        <f t="shared" si="27"/>
        <v>0.14757035943923263</v>
      </c>
      <c r="L336" s="89">
        <v>1</v>
      </c>
      <c r="M336" s="13">
        <f t="shared" si="28"/>
        <v>29262496.881120943</v>
      </c>
      <c r="N336" s="89">
        <f t="shared" si="29"/>
        <v>4.7948653734627121E-4</v>
      </c>
    </row>
    <row r="337" spans="1:14" x14ac:dyDescent="0.25">
      <c r="A337" s="79" t="s">
        <v>128</v>
      </c>
      <c r="B337" s="89" t="s">
        <v>90</v>
      </c>
      <c r="C337" s="89" t="s">
        <v>45</v>
      </c>
      <c r="D337" s="13" t="s">
        <v>1</v>
      </c>
      <c r="E337" s="35">
        <f>VLOOKUP(B337, Passenger_Kilometre_by_mode_type[#All],MATCH(A337, Passenger_Kilometre_by_mode_type[#Headers],0),0)</f>
        <v>5875413924.046442</v>
      </c>
      <c r="F337" s="89">
        <f>VLOOKUP(C337, Reason_for_lorry_motorcycle_other_journeys_by_percentage[#All],MATCH(A337, Reason_for_lorry_motorcycle_other_journeys_by_percentage[#Headers],0),0)/100</f>
        <v>3.3750000000000002E-2</v>
      </c>
      <c r="G337" s="13">
        <f t="shared" si="25"/>
        <v>198295219.93656743</v>
      </c>
      <c r="H337" s="89">
        <f>VLOOKUP(D337,Average_Distance_by_kilometre_grouping_for_mode_type[#All],MATCH(A337,Average_Distance_by_kilometre_grouping_for_mode_type[#Headers],0),0)</f>
        <v>30.1</v>
      </c>
      <c r="I337" s="89">
        <f>VLOOKUP(D337,Average_Distance_by_kilometres_grouping_for_trip_purpose[#All],MATCH(A337,Average_Distance_by_kilometres_grouping_for_trip_purpose[#Headers],0),0)</f>
        <v>32.770000000000003</v>
      </c>
      <c r="J337" s="89">
        <f t="shared" si="26"/>
        <v>31.435000000000002</v>
      </c>
      <c r="K337" s="89">
        <f t="shared" si="27"/>
        <v>0.66269632128175404</v>
      </c>
      <c r="L337" s="89">
        <v>1</v>
      </c>
      <c r="M337" s="13">
        <f t="shared" si="28"/>
        <v>131409512.77971956</v>
      </c>
      <c r="N337" s="89">
        <f t="shared" si="29"/>
        <v>2.1532370430685766E-3</v>
      </c>
    </row>
    <row r="338" spans="1:14" x14ac:dyDescent="0.25">
      <c r="A338" s="79" t="s">
        <v>128</v>
      </c>
      <c r="B338" s="89" t="s">
        <v>90</v>
      </c>
      <c r="C338" s="89" t="s">
        <v>56</v>
      </c>
      <c r="D338" s="13" t="s">
        <v>12</v>
      </c>
      <c r="E338" s="35">
        <f>VLOOKUP(B338, Passenger_Kilometre_by_mode_type[#All],MATCH(A338, Passenger_Kilometre_by_mode_type[#Headers],0),0)</f>
        <v>5875413924.046442</v>
      </c>
      <c r="F338" s="89">
        <f>VLOOKUP(C338, Reason_for_lorry_motorcycle_other_journeys_by_percentage[#All],MATCH(A338, Reason_for_lorry_motorcycle_other_journeys_by_percentage[#Headers],0),0)/100</f>
        <v>6.6500000000000004E-2</v>
      </c>
      <c r="G338" s="13">
        <f t="shared" si="25"/>
        <v>390715025.94908839</v>
      </c>
      <c r="H338" s="89">
        <f>VLOOKUP(D338,Average_Distance_by_kilometre_grouping_for_mode_type[#All],MATCH(A338,Average_Distance_by_kilometre_grouping_for_mode_type[#Headers],0),0)</f>
        <v>1</v>
      </c>
      <c r="I338" s="89">
        <f>VLOOKUP(D338,Average_Distance_by_kilometres_grouping_for_trip_purpose[#All],MATCH(A338,Average_Distance_by_kilometres_grouping_for_trip_purpose[#Headers],0),0)</f>
        <v>1</v>
      </c>
      <c r="J338" s="89">
        <f t="shared" si="26"/>
        <v>1</v>
      </c>
      <c r="K338" s="89">
        <f t="shared" si="27"/>
        <v>2.1081479919890376E-2</v>
      </c>
      <c r="L338" s="89">
        <v>1</v>
      </c>
      <c r="M338" s="13">
        <f t="shared" si="28"/>
        <v>8236850.9739451539</v>
      </c>
      <c r="N338" s="89">
        <f t="shared" si="29"/>
        <v>1.3496658088265411E-4</v>
      </c>
    </row>
    <row r="339" spans="1:14" x14ac:dyDescent="0.25">
      <c r="A339" s="79" t="s">
        <v>128</v>
      </c>
      <c r="B339" s="89" t="s">
        <v>90</v>
      </c>
      <c r="C339" s="89" t="s">
        <v>56</v>
      </c>
      <c r="D339" s="13" t="s">
        <v>181</v>
      </c>
      <c r="E339" s="35">
        <f>VLOOKUP(B339, Passenger_Kilometre_by_mode_type[#All],MATCH(A339, Passenger_Kilometre_by_mode_type[#Headers],0),0)</f>
        <v>5875413924.046442</v>
      </c>
      <c r="F339" s="89">
        <f>VLOOKUP(C339, Reason_for_lorry_motorcycle_other_journeys_by_percentage[#All],MATCH(A339, Reason_for_lorry_motorcycle_other_journeys_by_percentage[#Headers],0),0)/100</f>
        <v>6.6500000000000004E-2</v>
      </c>
      <c r="G339" s="13">
        <f t="shared" si="25"/>
        <v>390715025.94908839</v>
      </c>
      <c r="H339" s="89">
        <f>VLOOKUP(D339,Average_Distance_by_kilometre_grouping_for_mode_type[#All],MATCH(A339,Average_Distance_by_kilometre_grouping_for_mode_type[#Headers],0),0)</f>
        <v>3</v>
      </c>
      <c r="I339" s="89">
        <f>VLOOKUP(D339,Average_Distance_by_kilometres_grouping_for_trip_purpose[#All],MATCH(A339,Average_Distance_by_kilometres_grouping_for_trip_purpose[#Headers],0),0)</f>
        <v>3</v>
      </c>
      <c r="J339" s="89">
        <f t="shared" si="26"/>
        <v>3</v>
      </c>
      <c r="K339" s="89">
        <f t="shared" si="27"/>
        <v>6.3244439759671131E-2</v>
      </c>
      <c r="L339" s="89">
        <v>1</v>
      </c>
      <c r="M339" s="13">
        <f t="shared" si="28"/>
        <v>24710552.921835463</v>
      </c>
      <c r="N339" s="89">
        <f t="shared" si="29"/>
        <v>4.0489974264796235E-4</v>
      </c>
    </row>
    <row r="340" spans="1:14" x14ac:dyDescent="0.25">
      <c r="A340" s="79" t="s">
        <v>128</v>
      </c>
      <c r="B340" s="89" t="s">
        <v>90</v>
      </c>
      <c r="C340" s="89" t="s">
        <v>56</v>
      </c>
      <c r="D340" s="13" t="s">
        <v>180</v>
      </c>
      <c r="E340" s="35">
        <f>VLOOKUP(B340, Passenger_Kilometre_by_mode_type[#All],MATCH(A340, Passenger_Kilometre_by_mode_type[#Headers],0),0)</f>
        <v>5875413924.046442</v>
      </c>
      <c r="F340" s="89">
        <f>VLOOKUP(C340, Reason_for_lorry_motorcycle_other_journeys_by_percentage[#All],MATCH(A340, Reason_for_lorry_motorcycle_other_journeys_by_percentage[#Headers],0),0)/100</f>
        <v>6.6500000000000004E-2</v>
      </c>
      <c r="G340" s="13">
        <f t="shared" si="25"/>
        <v>390715025.94908839</v>
      </c>
      <c r="H340" s="89">
        <f>VLOOKUP(D340,Average_Distance_by_kilometre_grouping_for_mode_type[#All],MATCH(A340,Average_Distance_by_kilometre_grouping_for_mode_type[#Headers],0),0)</f>
        <v>5</v>
      </c>
      <c r="I340" s="89">
        <f>VLOOKUP(D340,Average_Distance_by_kilometres_grouping_for_trip_purpose[#All],MATCH(A340,Average_Distance_by_kilometres_grouping_for_trip_purpose[#Headers],0),0)</f>
        <v>5</v>
      </c>
      <c r="J340" s="89">
        <f t="shared" si="26"/>
        <v>5</v>
      </c>
      <c r="K340" s="89">
        <f t="shared" si="27"/>
        <v>0.10540739959945188</v>
      </c>
      <c r="L340" s="89">
        <v>1</v>
      </c>
      <c r="M340" s="13">
        <f t="shared" si="28"/>
        <v>41184254.869725771</v>
      </c>
      <c r="N340" s="89">
        <f t="shared" si="29"/>
        <v>6.7483290441327061E-4</v>
      </c>
    </row>
    <row r="341" spans="1:14" x14ac:dyDescent="0.25">
      <c r="A341" s="79" t="s">
        <v>128</v>
      </c>
      <c r="B341" s="89" t="s">
        <v>90</v>
      </c>
      <c r="C341" s="89" t="s">
        <v>56</v>
      </c>
      <c r="D341" s="13" t="s">
        <v>182</v>
      </c>
      <c r="E341" s="35">
        <f>VLOOKUP(B341, Passenger_Kilometre_by_mode_type[#All],MATCH(A341, Passenger_Kilometre_by_mode_type[#Headers],0),0)</f>
        <v>5875413924.046442</v>
      </c>
      <c r="F341" s="89">
        <f>VLOOKUP(C341, Reason_for_lorry_motorcycle_other_journeys_by_percentage[#All],MATCH(A341, Reason_for_lorry_motorcycle_other_journeys_by_percentage[#Headers],0),0)/100</f>
        <v>6.6500000000000004E-2</v>
      </c>
      <c r="G341" s="13">
        <f t="shared" si="25"/>
        <v>390715025.94908839</v>
      </c>
      <c r="H341" s="89">
        <f>VLOOKUP(D341,Average_Distance_by_kilometre_grouping_for_mode_type[#All],MATCH(A341,Average_Distance_by_kilometre_grouping_for_mode_type[#Headers],0),0)</f>
        <v>7</v>
      </c>
      <c r="I341" s="89">
        <f>VLOOKUP(D341,Average_Distance_by_kilometres_grouping_for_trip_purpose[#All],MATCH(A341,Average_Distance_by_kilometres_grouping_for_trip_purpose[#Headers],0),0)</f>
        <v>7</v>
      </c>
      <c r="J341" s="89">
        <f t="shared" si="26"/>
        <v>7</v>
      </c>
      <c r="K341" s="89">
        <f t="shared" si="27"/>
        <v>0.14757035943923263</v>
      </c>
      <c r="L341" s="89">
        <v>1</v>
      </c>
      <c r="M341" s="13">
        <f t="shared" si="28"/>
        <v>57657956.817616083</v>
      </c>
      <c r="N341" s="89">
        <f t="shared" si="29"/>
        <v>9.4476606617857888E-4</v>
      </c>
    </row>
    <row r="342" spans="1:14" x14ac:dyDescent="0.25">
      <c r="A342" s="79" t="s">
        <v>128</v>
      </c>
      <c r="B342" s="89" t="s">
        <v>90</v>
      </c>
      <c r="C342" s="89" t="s">
        <v>56</v>
      </c>
      <c r="D342" s="13" t="s">
        <v>1</v>
      </c>
      <c r="E342" s="35">
        <f>VLOOKUP(B342, Passenger_Kilometre_by_mode_type[#All],MATCH(A342, Passenger_Kilometre_by_mode_type[#Headers],0),0)</f>
        <v>5875413924.046442</v>
      </c>
      <c r="F342" s="89">
        <f>VLOOKUP(C342, Reason_for_lorry_motorcycle_other_journeys_by_percentage[#All],MATCH(A342, Reason_for_lorry_motorcycle_other_journeys_by_percentage[#Headers],0),0)/100</f>
        <v>6.6500000000000004E-2</v>
      </c>
      <c r="G342" s="13">
        <f t="shared" si="25"/>
        <v>390715025.94908839</v>
      </c>
      <c r="H342" s="89">
        <f>VLOOKUP(D342,Average_Distance_by_kilometre_grouping_for_mode_type[#All],MATCH(A342,Average_Distance_by_kilometre_grouping_for_mode_type[#Headers],0),0)</f>
        <v>30.1</v>
      </c>
      <c r="I342" s="89">
        <f>VLOOKUP(D342,Average_Distance_by_kilometres_grouping_for_trip_purpose[#All],MATCH(A342,Average_Distance_by_kilometres_grouping_for_trip_purpose[#Headers],0),0)</f>
        <v>32.770000000000003</v>
      </c>
      <c r="J342" s="89">
        <f t="shared" si="26"/>
        <v>31.435000000000002</v>
      </c>
      <c r="K342" s="89">
        <f t="shared" si="27"/>
        <v>0.66269632128175404</v>
      </c>
      <c r="L342" s="89">
        <v>1</v>
      </c>
      <c r="M342" s="13">
        <f t="shared" si="28"/>
        <v>258925410.36596596</v>
      </c>
      <c r="N342" s="89">
        <f t="shared" si="29"/>
        <v>4.2426744700462329E-3</v>
      </c>
    </row>
    <row r="343" spans="1:14" x14ac:dyDescent="0.25">
      <c r="A343" s="79" t="s">
        <v>128</v>
      </c>
      <c r="B343" s="89" t="s">
        <v>90</v>
      </c>
      <c r="C343" s="89" t="s">
        <v>57</v>
      </c>
      <c r="D343" s="13" t="s">
        <v>12</v>
      </c>
      <c r="E343" s="35">
        <f>VLOOKUP(B343, Passenger_Kilometre_by_mode_type[#All],MATCH(A343, Passenger_Kilometre_by_mode_type[#Headers],0),0)</f>
        <v>5875413924.046442</v>
      </c>
      <c r="F343" s="89">
        <f>VLOOKUP(C343, Reason_for_lorry_motorcycle_other_journeys_by_percentage[#All],MATCH(A343, Reason_for_lorry_motorcycle_other_journeys_by_percentage[#Headers],0),0)/100</f>
        <v>6.8500000000000005E-2</v>
      </c>
      <c r="G343" s="13">
        <f t="shared" si="25"/>
        <v>402465853.79718131</v>
      </c>
      <c r="H343" s="89">
        <f>VLOOKUP(D343,Average_Distance_by_kilometre_grouping_for_mode_type[#All],MATCH(A343,Average_Distance_by_kilometre_grouping_for_mode_type[#Headers],0),0)</f>
        <v>1</v>
      </c>
      <c r="I343" s="89">
        <f>VLOOKUP(D343,Average_Distance_by_kilometres_grouping_for_trip_purpose[#All],MATCH(A343,Average_Distance_by_kilometres_grouping_for_trip_purpose[#Headers],0),0)</f>
        <v>1</v>
      </c>
      <c r="J343" s="89">
        <f t="shared" si="26"/>
        <v>1</v>
      </c>
      <c r="K343" s="89">
        <f t="shared" si="27"/>
        <v>2.1081479919890376E-2</v>
      </c>
      <c r="L343" s="89">
        <v>1</v>
      </c>
      <c r="M343" s="13">
        <f t="shared" si="28"/>
        <v>8484575.8152668141</v>
      </c>
      <c r="N343" s="89">
        <f t="shared" si="29"/>
        <v>1.3902572617235801E-4</v>
      </c>
    </row>
    <row r="344" spans="1:14" x14ac:dyDescent="0.25">
      <c r="A344" s="79" t="s">
        <v>128</v>
      </c>
      <c r="B344" s="89" t="s">
        <v>90</v>
      </c>
      <c r="C344" s="89" t="s">
        <v>57</v>
      </c>
      <c r="D344" s="13" t="s">
        <v>181</v>
      </c>
      <c r="E344" s="35">
        <f>VLOOKUP(B344, Passenger_Kilometre_by_mode_type[#All],MATCH(A344, Passenger_Kilometre_by_mode_type[#Headers],0),0)</f>
        <v>5875413924.046442</v>
      </c>
      <c r="F344" s="89">
        <f>VLOOKUP(C344, Reason_for_lorry_motorcycle_other_journeys_by_percentage[#All],MATCH(A344, Reason_for_lorry_motorcycle_other_journeys_by_percentage[#Headers],0),0)/100</f>
        <v>6.8500000000000005E-2</v>
      </c>
      <c r="G344" s="13">
        <f t="shared" si="25"/>
        <v>402465853.79718131</v>
      </c>
      <c r="H344" s="89">
        <f>VLOOKUP(D344,Average_Distance_by_kilometre_grouping_for_mode_type[#All],MATCH(A344,Average_Distance_by_kilometre_grouping_for_mode_type[#Headers],0),0)</f>
        <v>3</v>
      </c>
      <c r="I344" s="89">
        <f>VLOOKUP(D344,Average_Distance_by_kilometres_grouping_for_trip_purpose[#All],MATCH(A344,Average_Distance_by_kilometres_grouping_for_trip_purpose[#Headers],0),0)</f>
        <v>3</v>
      </c>
      <c r="J344" s="89">
        <f t="shared" si="26"/>
        <v>3</v>
      </c>
      <c r="K344" s="89">
        <f t="shared" si="27"/>
        <v>6.3244439759671131E-2</v>
      </c>
      <c r="L344" s="89">
        <v>1</v>
      </c>
      <c r="M344" s="13">
        <f t="shared" si="28"/>
        <v>25453727.445800442</v>
      </c>
      <c r="N344" s="89">
        <f t="shared" si="29"/>
        <v>4.1707717851707408E-4</v>
      </c>
    </row>
    <row r="345" spans="1:14" x14ac:dyDescent="0.25">
      <c r="A345" s="79" t="s">
        <v>128</v>
      </c>
      <c r="B345" s="89" t="s">
        <v>90</v>
      </c>
      <c r="C345" s="89" t="s">
        <v>57</v>
      </c>
      <c r="D345" s="13" t="s">
        <v>180</v>
      </c>
      <c r="E345" s="35">
        <f>VLOOKUP(B345, Passenger_Kilometre_by_mode_type[#All],MATCH(A345, Passenger_Kilometre_by_mode_type[#Headers],0),0)</f>
        <v>5875413924.046442</v>
      </c>
      <c r="F345" s="89">
        <f>VLOOKUP(C345, Reason_for_lorry_motorcycle_other_journeys_by_percentage[#All],MATCH(A345, Reason_for_lorry_motorcycle_other_journeys_by_percentage[#Headers],0),0)/100</f>
        <v>6.8500000000000005E-2</v>
      </c>
      <c r="G345" s="13">
        <f t="shared" si="25"/>
        <v>402465853.79718131</v>
      </c>
      <c r="H345" s="89">
        <f>VLOOKUP(D345,Average_Distance_by_kilometre_grouping_for_mode_type[#All],MATCH(A345,Average_Distance_by_kilometre_grouping_for_mode_type[#Headers],0),0)</f>
        <v>5</v>
      </c>
      <c r="I345" s="89">
        <f>VLOOKUP(D345,Average_Distance_by_kilometres_grouping_for_trip_purpose[#All],MATCH(A345,Average_Distance_by_kilometres_grouping_for_trip_purpose[#Headers],0),0)</f>
        <v>5</v>
      </c>
      <c r="J345" s="89">
        <f t="shared" si="26"/>
        <v>5</v>
      </c>
      <c r="K345" s="89">
        <f t="shared" si="27"/>
        <v>0.10540739959945188</v>
      </c>
      <c r="L345" s="89">
        <v>1</v>
      </c>
      <c r="M345" s="13">
        <f t="shared" si="28"/>
        <v>42422879.076334067</v>
      </c>
      <c r="N345" s="89">
        <f t="shared" si="29"/>
        <v>6.9512863086179004E-4</v>
      </c>
    </row>
    <row r="346" spans="1:14" x14ac:dyDescent="0.25">
      <c r="A346" s="79" t="s">
        <v>128</v>
      </c>
      <c r="B346" s="89" t="s">
        <v>90</v>
      </c>
      <c r="C346" s="89" t="s">
        <v>57</v>
      </c>
      <c r="D346" s="13" t="s">
        <v>182</v>
      </c>
      <c r="E346" s="35">
        <f>VLOOKUP(B346, Passenger_Kilometre_by_mode_type[#All],MATCH(A346, Passenger_Kilometre_by_mode_type[#Headers],0),0)</f>
        <v>5875413924.046442</v>
      </c>
      <c r="F346" s="89">
        <f>VLOOKUP(C346, Reason_for_lorry_motorcycle_other_journeys_by_percentage[#All],MATCH(A346, Reason_for_lorry_motorcycle_other_journeys_by_percentage[#Headers],0),0)/100</f>
        <v>6.8500000000000005E-2</v>
      </c>
      <c r="G346" s="13">
        <f t="shared" si="25"/>
        <v>402465853.79718131</v>
      </c>
      <c r="H346" s="89">
        <f>VLOOKUP(D346,Average_Distance_by_kilometre_grouping_for_mode_type[#All],MATCH(A346,Average_Distance_by_kilometre_grouping_for_mode_type[#Headers],0),0)</f>
        <v>7</v>
      </c>
      <c r="I346" s="89">
        <f>VLOOKUP(D346,Average_Distance_by_kilometres_grouping_for_trip_purpose[#All],MATCH(A346,Average_Distance_by_kilometres_grouping_for_trip_purpose[#Headers],0),0)</f>
        <v>7</v>
      </c>
      <c r="J346" s="89">
        <f t="shared" si="26"/>
        <v>7</v>
      </c>
      <c r="K346" s="89">
        <f t="shared" si="27"/>
        <v>0.14757035943923263</v>
      </c>
      <c r="L346" s="89">
        <v>1</v>
      </c>
      <c r="M346" s="13">
        <f t="shared" si="28"/>
        <v>59392030.706867695</v>
      </c>
      <c r="N346" s="89">
        <f t="shared" si="29"/>
        <v>9.7318008320650606E-4</v>
      </c>
    </row>
    <row r="347" spans="1:14" x14ac:dyDescent="0.25">
      <c r="A347" s="79" t="s">
        <v>128</v>
      </c>
      <c r="B347" s="89" t="s">
        <v>90</v>
      </c>
      <c r="C347" s="89" t="s">
        <v>57</v>
      </c>
      <c r="D347" s="13" t="s">
        <v>1</v>
      </c>
      <c r="E347" s="35">
        <f>VLOOKUP(B347, Passenger_Kilometre_by_mode_type[#All],MATCH(A347, Passenger_Kilometre_by_mode_type[#Headers],0),0)</f>
        <v>5875413924.046442</v>
      </c>
      <c r="F347" s="89">
        <f>VLOOKUP(C347, Reason_for_lorry_motorcycle_other_journeys_by_percentage[#All],MATCH(A347, Reason_for_lorry_motorcycle_other_journeys_by_percentage[#Headers],0),0)/100</f>
        <v>6.8500000000000005E-2</v>
      </c>
      <c r="G347" s="13">
        <f t="shared" si="25"/>
        <v>402465853.79718131</v>
      </c>
      <c r="H347" s="89">
        <f>VLOOKUP(D347,Average_Distance_by_kilometre_grouping_for_mode_type[#All],MATCH(A347,Average_Distance_by_kilometre_grouping_for_mode_type[#Headers],0),0)</f>
        <v>30.1</v>
      </c>
      <c r="I347" s="89">
        <f>VLOOKUP(D347,Average_Distance_by_kilometres_grouping_for_trip_purpose[#All],MATCH(A347,Average_Distance_by_kilometres_grouping_for_trip_purpose[#Headers],0),0)</f>
        <v>32.770000000000003</v>
      </c>
      <c r="J347" s="89">
        <f t="shared" si="26"/>
        <v>31.435000000000002</v>
      </c>
      <c r="K347" s="89">
        <f t="shared" si="27"/>
        <v>0.66269632128175404</v>
      </c>
      <c r="L347" s="89">
        <v>1</v>
      </c>
      <c r="M347" s="13">
        <f t="shared" si="28"/>
        <v>266712640.75291231</v>
      </c>
      <c r="N347" s="89">
        <f t="shared" si="29"/>
        <v>4.3702737022280743E-3</v>
      </c>
    </row>
    <row r="348" spans="1:14" x14ac:dyDescent="0.25">
      <c r="A348" s="79" t="s">
        <v>128</v>
      </c>
      <c r="B348" s="89" t="s">
        <v>90</v>
      </c>
      <c r="C348" s="89" t="s">
        <v>93</v>
      </c>
      <c r="D348" s="13" t="s">
        <v>12</v>
      </c>
      <c r="E348" s="35">
        <f>VLOOKUP(B348, Passenger_Kilometre_by_mode_type[#All],MATCH(A348, Passenger_Kilometre_by_mode_type[#Headers],0),0)</f>
        <v>5875413924.046442</v>
      </c>
      <c r="F348" s="89">
        <f>VLOOKUP(C348, Reason_for_lorry_motorcycle_other_journeys_by_percentage[#All],MATCH(A348, Reason_for_lorry_motorcycle_other_journeys_by_percentage[#Headers],0),0)/100</f>
        <v>8.8250000000000009E-2</v>
      </c>
      <c r="G348" s="13">
        <f t="shared" si="25"/>
        <v>518505278.79709858</v>
      </c>
      <c r="H348" s="89">
        <f>VLOOKUP(D348,Average_Distance_by_kilometre_grouping_for_mode_type[#All],MATCH(A348,Average_Distance_by_kilometre_grouping_for_mode_type[#Headers],0),0)</f>
        <v>1</v>
      </c>
      <c r="I348" s="89">
        <f>VLOOKUP(D348,Average_Distance_by_kilometres_grouping_for_trip_purpose[#All],MATCH(A348,Average_Distance_by_kilometres_grouping_for_trip_purpose[#Headers],0),0)</f>
        <v>1</v>
      </c>
      <c r="J348" s="89">
        <f t="shared" si="26"/>
        <v>1</v>
      </c>
      <c r="K348" s="89">
        <f t="shared" si="27"/>
        <v>2.1081479919890376E-2</v>
      </c>
      <c r="L348" s="89">
        <v>1</v>
      </c>
      <c r="M348" s="13">
        <f t="shared" si="28"/>
        <v>10930858.623318195</v>
      </c>
      <c r="N348" s="89">
        <f t="shared" si="29"/>
        <v>1.7910978590818388E-4</v>
      </c>
    </row>
    <row r="349" spans="1:14" x14ac:dyDescent="0.25">
      <c r="A349" s="79" t="s">
        <v>128</v>
      </c>
      <c r="B349" s="89" t="s">
        <v>90</v>
      </c>
      <c r="C349" s="89" t="s">
        <v>93</v>
      </c>
      <c r="D349" s="13" t="s">
        <v>181</v>
      </c>
      <c r="E349" s="35">
        <f>VLOOKUP(B349, Passenger_Kilometre_by_mode_type[#All],MATCH(A349, Passenger_Kilometre_by_mode_type[#Headers],0),0)</f>
        <v>5875413924.046442</v>
      </c>
      <c r="F349" s="89">
        <f>VLOOKUP(C349, Reason_for_lorry_motorcycle_other_journeys_by_percentage[#All],MATCH(A349, Reason_for_lorry_motorcycle_other_journeys_by_percentage[#Headers],0),0)/100</f>
        <v>8.8250000000000009E-2</v>
      </c>
      <c r="G349" s="13">
        <f t="shared" si="25"/>
        <v>518505278.79709858</v>
      </c>
      <c r="H349" s="89">
        <f>VLOOKUP(D349,Average_Distance_by_kilometre_grouping_for_mode_type[#All],MATCH(A349,Average_Distance_by_kilometre_grouping_for_mode_type[#Headers],0),0)</f>
        <v>3</v>
      </c>
      <c r="I349" s="89">
        <f>VLOOKUP(D349,Average_Distance_by_kilometres_grouping_for_trip_purpose[#All],MATCH(A349,Average_Distance_by_kilometres_grouping_for_trip_purpose[#Headers],0),0)</f>
        <v>3</v>
      </c>
      <c r="J349" s="89">
        <f t="shared" si="26"/>
        <v>3</v>
      </c>
      <c r="K349" s="89">
        <f t="shared" si="27"/>
        <v>6.3244439759671131E-2</v>
      </c>
      <c r="L349" s="89">
        <v>1</v>
      </c>
      <c r="M349" s="13">
        <f t="shared" si="28"/>
        <v>32792575.869954586</v>
      </c>
      <c r="N349" s="89">
        <f t="shared" si="29"/>
        <v>5.373293577245516E-4</v>
      </c>
    </row>
    <row r="350" spans="1:14" x14ac:dyDescent="0.25">
      <c r="A350" s="79" t="s">
        <v>128</v>
      </c>
      <c r="B350" s="89" t="s">
        <v>90</v>
      </c>
      <c r="C350" s="89" t="s">
        <v>93</v>
      </c>
      <c r="D350" s="13" t="s">
        <v>180</v>
      </c>
      <c r="E350" s="35">
        <f>VLOOKUP(B350, Passenger_Kilometre_by_mode_type[#All],MATCH(A350, Passenger_Kilometre_by_mode_type[#Headers],0),0)</f>
        <v>5875413924.046442</v>
      </c>
      <c r="F350" s="89">
        <f>VLOOKUP(C350, Reason_for_lorry_motorcycle_other_journeys_by_percentage[#All],MATCH(A350, Reason_for_lorry_motorcycle_other_journeys_by_percentage[#Headers],0),0)/100</f>
        <v>8.8250000000000009E-2</v>
      </c>
      <c r="G350" s="13">
        <f t="shared" si="25"/>
        <v>518505278.79709858</v>
      </c>
      <c r="H350" s="89">
        <f>VLOOKUP(D350,Average_Distance_by_kilometre_grouping_for_mode_type[#All],MATCH(A350,Average_Distance_by_kilometre_grouping_for_mode_type[#Headers],0),0)</f>
        <v>5</v>
      </c>
      <c r="I350" s="89">
        <f>VLOOKUP(D350,Average_Distance_by_kilometres_grouping_for_trip_purpose[#All],MATCH(A350,Average_Distance_by_kilometres_grouping_for_trip_purpose[#Headers],0),0)</f>
        <v>5</v>
      </c>
      <c r="J350" s="89">
        <f t="shared" si="26"/>
        <v>5</v>
      </c>
      <c r="K350" s="89">
        <f t="shared" si="27"/>
        <v>0.10540739959945188</v>
      </c>
      <c r="L350" s="89">
        <v>1</v>
      </c>
      <c r="M350" s="13">
        <f t="shared" si="28"/>
        <v>54654293.116590969</v>
      </c>
      <c r="N350" s="89">
        <f t="shared" si="29"/>
        <v>8.9554892954091931E-4</v>
      </c>
    </row>
    <row r="351" spans="1:14" x14ac:dyDescent="0.25">
      <c r="A351" s="79" t="s">
        <v>128</v>
      </c>
      <c r="B351" s="89" t="s">
        <v>90</v>
      </c>
      <c r="C351" s="89" t="s">
        <v>93</v>
      </c>
      <c r="D351" s="13" t="s">
        <v>182</v>
      </c>
      <c r="E351" s="35">
        <f>VLOOKUP(B351, Passenger_Kilometre_by_mode_type[#All],MATCH(A351, Passenger_Kilometre_by_mode_type[#Headers],0),0)</f>
        <v>5875413924.046442</v>
      </c>
      <c r="F351" s="89">
        <f>VLOOKUP(C351, Reason_for_lorry_motorcycle_other_journeys_by_percentage[#All],MATCH(A351, Reason_for_lorry_motorcycle_other_journeys_by_percentage[#Headers],0),0)/100</f>
        <v>8.8250000000000009E-2</v>
      </c>
      <c r="G351" s="13">
        <f t="shared" si="25"/>
        <v>518505278.79709858</v>
      </c>
      <c r="H351" s="89">
        <f>VLOOKUP(D351,Average_Distance_by_kilometre_grouping_for_mode_type[#All],MATCH(A351,Average_Distance_by_kilometre_grouping_for_mode_type[#Headers],0),0)</f>
        <v>7</v>
      </c>
      <c r="I351" s="89">
        <f>VLOOKUP(D351,Average_Distance_by_kilometres_grouping_for_trip_purpose[#All],MATCH(A351,Average_Distance_by_kilometres_grouping_for_trip_purpose[#Headers],0),0)</f>
        <v>7</v>
      </c>
      <c r="J351" s="89">
        <f t="shared" si="26"/>
        <v>7</v>
      </c>
      <c r="K351" s="89">
        <f t="shared" si="27"/>
        <v>0.14757035943923263</v>
      </c>
      <c r="L351" s="89">
        <v>1</v>
      </c>
      <c r="M351" s="13">
        <f t="shared" si="28"/>
        <v>76516010.363227367</v>
      </c>
      <c r="N351" s="89">
        <f t="shared" si="29"/>
        <v>1.2537685013572872E-3</v>
      </c>
    </row>
    <row r="352" spans="1:14" x14ac:dyDescent="0.25">
      <c r="A352" s="79" t="s">
        <v>128</v>
      </c>
      <c r="B352" s="89" t="s">
        <v>90</v>
      </c>
      <c r="C352" s="89" t="s">
        <v>93</v>
      </c>
      <c r="D352" s="13" t="s">
        <v>1</v>
      </c>
      <c r="E352" s="35">
        <f>VLOOKUP(B352, Passenger_Kilometre_by_mode_type[#All],MATCH(A352, Passenger_Kilometre_by_mode_type[#Headers],0),0)</f>
        <v>5875413924.046442</v>
      </c>
      <c r="F352" s="89">
        <f>VLOOKUP(C352, Reason_for_lorry_motorcycle_other_journeys_by_percentage[#All],MATCH(A352, Reason_for_lorry_motorcycle_other_journeys_by_percentage[#Headers],0),0)/100</f>
        <v>8.8250000000000009E-2</v>
      </c>
      <c r="G352" s="13">
        <f t="shared" si="25"/>
        <v>518505278.79709858</v>
      </c>
      <c r="H352" s="89">
        <f>VLOOKUP(D352,Average_Distance_by_kilometre_grouping_for_mode_type[#All],MATCH(A352,Average_Distance_by_kilometre_grouping_for_mode_type[#Headers],0),0)</f>
        <v>30.1</v>
      </c>
      <c r="I352" s="89">
        <f>VLOOKUP(D352,Average_Distance_by_kilometres_grouping_for_trip_purpose[#All],MATCH(A352,Average_Distance_by_kilometres_grouping_for_trip_purpose[#Headers],0),0)</f>
        <v>32.770000000000003</v>
      </c>
      <c r="J352" s="89">
        <f t="shared" si="26"/>
        <v>31.435000000000002</v>
      </c>
      <c r="K352" s="89">
        <f t="shared" si="27"/>
        <v>0.66269632128175404</v>
      </c>
      <c r="L352" s="89">
        <v>1</v>
      </c>
      <c r="M352" s="13">
        <f t="shared" si="28"/>
        <v>343611540.82400751</v>
      </c>
      <c r="N352" s="89">
        <f t="shared" si="29"/>
        <v>5.6303161200237607E-3</v>
      </c>
    </row>
    <row r="353" spans="1:14" x14ac:dyDescent="0.25">
      <c r="A353" s="79" t="s">
        <v>128</v>
      </c>
      <c r="B353" s="89" t="s">
        <v>90</v>
      </c>
      <c r="C353" s="89" t="s">
        <v>243</v>
      </c>
      <c r="D353" s="13" t="s">
        <v>12</v>
      </c>
      <c r="E353" s="35">
        <f>VLOOKUP(B353, Passenger_Kilometre_by_mode_type[#All],MATCH(A353, Passenger_Kilometre_by_mode_type[#Headers],0),0)</f>
        <v>5875413924.046442</v>
      </c>
      <c r="F353" s="89">
        <f>VLOOKUP(C353, Reason_for_lorry_motorcycle_other_journeys_by_percentage[#All],MATCH(A353, Reason_for_lorry_motorcycle_other_journeys_by_percentage[#Headers],0),0)/100</f>
        <v>4.8249999999999994E-2</v>
      </c>
      <c r="G353" s="13">
        <f t="shared" si="25"/>
        <v>283488721.83524078</v>
      </c>
      <c r="H353" s="89">
        <f>VLOOKUP(D353,Average_Distance_by_kilometre_grouping_for_mode_type[#All],MATCH(A353,Average_Distance_by_kilometre_grouping_for_mode_type[#Headers],0),0)</f>
        <v>1</v>
      </c>
      <c r="I353" s="89">
        <f>VLOOKUP(D353,Average_Distance_by_kilometres_grouping_for_trip_purpose[#All],MATCH(A353,Average_Distance_by_kilometres_grouping_for_trip_purpose[#Headers],0),0)</f>
        <v>1</v>
      </c>
      <c r="J353" s="89">
        <f t="shared" si="26"/>
        <v>1</v>
      </c>
      <c r="K353" s="89">
        <f t="shared" si="27"/>
        <v>2.1081479919890376E-2</v>
      </c>
      <c r="L353" s="89">
        <v>1</v>
      </c>
      <c r="M353" s="13">
        <f t="shared" si="28"/>
        <v>5976361.7968850173</v>
      </c>
      <c r="N353" s="89">
        <f t="shared" si="29"/>
        <v>9.7926880114106171E-5</v>
      </c>
    </row>
    <row r="354" spans="1:14" x14ac:dyDescent="0.25">
      <c r="A354" s="79" t="s">
        <v>128</v>
      </c>
      <c r="B354" s="89" t="s">
        <v>90</v>
      </c>
      <c r="C354" s="89" t="s">
        <v>243</v>
      </c>
      <c r="D354" s="13" t="s">
        <v>181</v>
      </c>
      <c r="E354" s="35">
        <f>VLOOKUP(B354, Passenger_Kilometre_by_mode_type[#All],MATCH(A354, Passenger_Kilometre_by_mode_type[#Headers],0),0)</f>
        <v>5875413924.046442</v>
      </c>
      <c r="F354" s="89">
        <f>VLOOKUP(C354, Reason_for_lorry_motorcycle_other_journeys_by_percentage[#All],MATCH(A354, Reason_for_lorry_motorcycle_other_journeys_by_percentage[#Headers],0),0)/100</f>
        <v>4.8249999999999994E-2</v>
      </c>
      <c r="G354" s="13">
        <f t="shared" si="25"/>
        <v>283488721.83524078</v>
      </c>
      <c r="H354" s="89">
        <f>VLOOKUP(D354,Average_Distance_by_kilometre_grouping_for_mode_type[#All],MATCH(A354,Average_Distance_by_kilometre_grouping_for_mode_type[#Headers],0),0)</f>
        <v>3</v>
      </c>
      <c r="I354" s="89">
        <f>VLOOKUP(D354,Average_Distance_by_kilometres_grouping_for_trip_purpose[#All],MATCH(A354,Average_Distance_by_kilometres_grouping_for_trip_purpose[#Headers],0),0)</f>
        <v>3</v>
      </c>
      <c r="J354" s="89">
        <f t="shared" si="26"/>
        <v>3</v>
      </c>
      <c r="K354" s="89">
        <f t="shared" si="27"/>
        <v>6.3244439759671131E-2</v>
      </c>
      <c r="L354" s="89">
        <v>1</v>
      </c>
      <c r="M354" s="13">
        <f t="shared" si="28"/>
        <v>17929085.390655052</v>
      </c>
      <c r="N354" s="89">
        <f t="shared" si="29"/>
        <v>2.937806403423185E-4</v>
      </c>
    </row>
    <row r="355" spans="1:14" x14ac:dyDescent="0.25">
      <c r="A355" s="79" t="s">
        <v>128</v>
      </c>
      <c r="B355" s="89" t="s">
        <v>90</v>
      </c>
      <c r="C355" s="89" t="s">
        <v>243</v>
      </c>
      <c r="D355" s="13" t="s">
        <v>180</v>
      </c>
      <c r="E355" s="35">
        <f>VLOOKUP(B355, Passenger_Kilometre_by_mode_type[#All],MATCH(A355, Passenger_Kilometre_by_mode_type[#Headers],0),0)</f>
        <v>5875413924.046442</v>
      </c>
      <c r="F355" s="89">
        <f>VLOOKUP(C355, Reason_for_lorry_motorcycle_other_journeys_by_percentage[#All],MATCH(A355, Reason_for_lorry_motorcycle_other_journeys_by_percentage[#Headers],0),0)/100</f>
        <v>4.8249999999999994E-2</v>
      </c>
      <c r="G355" s="13">
        <f t="shared" si="25"/>
        <v>283488721.83524078</v>
      </c>
      <c r="H355" s="89">
        <f>VLOOKUP(D355,Average_Distance_by_kilometre_grouping_for_mode_type[#All],MATCH(A355,Average_Distance_by_kilometre_grouping_for_mode_type[#Headers],0),0)</f>
        <v>5</v>
      </c>
      <c r="I355" s="89">
        <f>VLOOKUP(D355,Average_Distance_by_kilometres_grouping_for_trip_purpose[#All],MATCH(A355,Average_Distance_by_kilometres_grouping_for_trip_purpose[#Headers],0),0)</f>
        <v>5</v>
      </c>
      <c r="J355" s="89">
        <f t="shared" si="26"/>
        <v>5</v>
      </c>
      <c r="K355" s="89">
        <f t="shared" si="27"/>
        <v>0.10540739959945188</v>
      </c>
      <c r="L355" s="89">
        <v>1</v>
      </c>
      <c r="M355" s="13">
        <f t="shared" si="28"/>
        <v>29881808.984425083</v>
      </c>
      <c r="N355" s="89">
        <f t="shared" si="29"/>
        <v>4.8963440057053081E-4</v>
      </c>
    </row>
    <row r="356" spans="1:14" x14ac:dyDescent="0.25">
      <c r="A356" s="79" t="s">
        <v>128</v>
      </c>
      <c r="B356" s="89" t="s">
        <v>90</v>
      </c>
      <c r="C356" s="89" t="s">
        <v>243</v>
      </c>
      <c r="D356" s="13" t="s">
        <v>182</v>
      </c>
      <c r="E356" s="35">
        <f>VLOOKUP(B356, Passenger_Kilometre_by_mode_type[#All],MATCH(A356, Passenger_Kilometre_by_mode_type[#Headers],0),0)</f>
        <v>5875413924.046442</v>
      </c>
      <c r="F356" s="89">
        <f>VLOOKUP(C356, Reason_for_lorry_motorcycle_other_journeys_by_percentage[#All],MATCH(A356, Reason_for_lorry_motorcycle_other_journeys_by_percentage[#Headers],0),0)/100</f>
        <v>4.8249999999999994E-2</v>
      </c>
      <c r="G356" s="13">
        <f t="shared" si="25"/>
        <v>283488721.83524078</v>
      </c>
      <c r="H356" s="89">
        <f>VLOOKUP(D356,Average_Distance_by_kilometre_grouping_for_mode_type[#All],MATCH(A356,Average_Distance_by_kilometre_grouping_for_mode_type[#Headers],0),0)</f>
        <v>7</v>
      </c>
      <c r="I356" s="89">
        <f>VLOOKUP(D356,Average_Distance_by_kilometres_grouping_for_trip_purpose[#All],MATCH(A356,Average_Distance_by_kilometres_grouping_for_trip_purpose[#Headers],0),0)</f>
        <v>7</v>
      </c>
      <c r="J356" s="89">
        <f t="shared" si="26"/>
        <v>7</v>
      </c>
      <c r="K356" s="89">
        <f t="shared" si="27"/>
        <v>0.14757035943923263</v>
      </c>
      <c r="L356" s="89">
        <v>1</v>
      </c>
      <c r="M356" s="13">
        <f t="shared" si="28"/>
        <v>41834532.578195117</v>
      </c>
      <c r="N356" s="89">
        <f t="shared" si="29"/>
        <v>6.8548816079874318E-4</v>
      </c>
    </row>
    <row r="357" spans="1:14" x14ac:dyDescent="0.25">
      <c r="A357" s="79" t="s">
        <v>128</v>
      </c>
      <c r="B357" s="89" t="s">
        <v>90</v>
      </c>
      <c r="C357" s="89" t="s">
        <v>243</v>
      </c>
      <c r="D357" s="13" t="s">
        <v>1</v>
      </c>
      <c r="E357" s="35">
        <f>VLOOKUP(B357, Passenger_Kilometre_by_mode_type[#All],MATCH(A357, Passenger_Kilometre_by_mode_type[#Headers],0),0)</f>
        <v>5875413924.046442</v>
      </c>
      <c r="F357" s="89">
        <f>VLOOKUP(C357, Reason_for_lorry_motorcycle_other_journeys_by_percentage[#All],MATCH(A357, Reason_for_lorry_motorcycle_other_journeys_by_percentage[#Headers],0),0)/100</f>
        <v>4.8249999999999994E-2</v>
      </c>
      <c r="G357" s="13">
        <f t="shared" si="25"/>
        <v>283488721.83524078</v>
      </c>
      <c r="H357" s="89">
        <f>VLOOKUP(D357,Average_Distance_by_kilometre_grouping_for_mode_type[#All],MATCH(A357,Average_Distance_by_kilometre_grouping_for_mode_type[#Headers],0),0)</f>
        <v>30.1</v>
      </c>
      <c r="I357" s="89">
        <f>VLOOKUP(D357,Average_Distance_by_kilometres_grouping_for_trip_purpose[#All],MATCH(A357,Average_Distance_by_kilometres_grouping_for_trip_purpose[#Headers],0),0)</f>
        <v>32.770000000000003</v>
      </c>
      <c r="J357" s="89">
        <f t="shared" si="26"/>
        <v>31.435000000000002</v>
      </c>
      <c r="K357" s="89">
        <f t="shared" si="27"/>
        <v>0.66269632128175404</v>
      </c>
      <c r="L357" s="89">
        <v>1</v>
      </c>
      <c r="M357" s="13">
        <f t="shared" si="28"/>
        <v>187866933.08508053</v>
      </c>
      <c r="N357" s="89">
        <f t="shared" si="29"/>
        <v>3.0783314763869279E-3</v>
      </c>
    </row>
    <row r="358" spans="1:14" x14ac:dyDescent="0.25">
      <c r="A358" s="79" t="s">
        <v>128</v>
      </c>
      <c r="B358" s="89" t="s">
        <v>90</v>
      </c>
      <c r="C358" s="89" t="s">
        <v>50</v>
      </c>
      <c r="D358" s="13" t="s">
        <v>12</v>
      </c>
      <c r="E358" s="35">
        <f>VLOOKUP(B358, Passenger_Kilometre_by_mode_type[#All],MATCH(A358, Passenger_Kilometre_by_mode_type[#Headers],0),0)</f>
        <v>5875413924.046442</v>
      </c>
      <c r="F358" s="89">
        <f>VLOOKUP(C358, Reason_for_lorry_motorcycle_other_journeys_by_percentage[#All],MATCH(A358, Reason_for_lorry_motorcycle_other_journeys_by_percentage[#Headers],0),0)/100</f>
        <v>6.0749999999999998E-2</v>
      </c>
      <c r="G358" s="13">
        <f t="shared" si="25"/>
        <v>356931395.88582134</v>
      </c>
      <c r="H358" s="89">
        <f>VLOOKUP(D358,Average_Distance_by_kilometre_grouping_for_mode_type[#All],MATCH(A358,Average_Distance_by_kilometre_grouping_for_mode_type[#Headers],0),0)</f>
        <v>1</v>
      </c>
      <c r="I358" s="89">
        <f>VLOOKUP(D358,Average_Distance_by_kilometres_grouping_for_trip_purpose[#All],MATCH(A358,Average_Distance_by_kilometres_grouping_for_trip_purpose[#Headers],0),0)</f>
        <v>1</v>
      </c>
      <c r="J358" s="89">
        <f t="shared" si="26"/>
        <v>1</v>
      </c>
      <c r="K358" s="89">
        <f t="shared" si="27"/>
        <v>2.1081479919890376E-2</v>
      </c>
      <c r="L358" s="89">
        <v>1</v>
      </c>
      <c r="M358" s="13">
        <f t="shared" si="28"/>
        <v>7524642.0551453847</v>
      </c>
      <c r="N358" s="89">
        <f t="shared" si="29"/>
        <v>1.2329653817475544E-4</v>
      </c>
    </row>
    <row r="359" spans="1:14" x14ac:dyDescent="0.25">
      <c r="A359" s="79" t="s">
        <v>128</v>
      </c>
      <c r="B359" s="89" t="s">
        <v>90</v>
      </c>
      <c r="C359" s="89" t="s">
        <v>50</v>
      </c>
      <c r="D359" s="13" t="s">
        <v>181</v>
      </c>
      <c r="E359" s="35">
        <f>VLOOKUP(B359, Passenger_Kilometre_by_mode_type[#All],MATCH(A359, Passenger_Kilometre_by_mode_type[#Headers],0),0)</f>
        <v>5875413924.046442</v>
      </c>
      <c r="F359" s="89">
        <f>VLOOKUP(C359, Reason_for_lorry_motorcycle_other_journeys_by_percentage[#All],MATCH(A359, Reason_for_lorry_motorcycle_other_journeys_by_percentage[#Headers],0),0)/100</f>
        <v>6.0749999999999998E-2</v>
      </c>
      <c r="G359" s="13">
        <f t="shared" si="25"/>
        <v>356931395.88582134</v>
      </c>
      <c r="H359" s="89">
        <f>VLOOKUP(D359,Average_Distance_by_kilometre_grouping_for_mode_type[#All],MATCH(A359,Average_Distance_by_kilometre_grouping_for_mode_type[#Headers],0),0)</f>
        <v>3</v>
      </c>
      <c r="I359" s="89">
        <f>VLOOKUP(D359,Average_Distance_by_kilometres_grouping_for_trip_purpose[#All],MATCH(A359,Average_Distance_by_kilometres_grouping_for_trip_purpose[#Headers],0),0)</f>
        <v>3</v>
      </c>
      <c r="J359" s="89">
        <f t="shared" si="26"/>
        <v>3</v>
      </c>
      <c r="K359" s="89">
        <f t="shared" si="27"/>
        <v>6.3244439759671131E-2</v>
      </c>
      <c r="L359" s="89">
        <v>1</v>
      </c>
      <c r="M359" s="13">
        <f t="shared" si="28"/>
        <v>22573926.165436156</v>
      </c>
      <c r="N359" s="89">
        <f t="shared" si="29"/>
        <v>3.6988961452426636E-4</v>
      </c>
    </row>
    <row r="360" spans="1:14" x14ac:dyDescent="0.25">
      <c r="A360" s="79" t="s">
        <v>128</v>
      </c>
      <c r="B360" s="89" t="s">
        <v>90</v>
      </c>
      <c r="C360" s="89" t="s">
        <v>50</v>
      </c>
      <c r="D360" s="13" t="s">
        <v>180</v>
      </c>
      <c r="E360" s="35">
        <f>VLOOKUP(B360, Passenger_Kilometre_by_mode_type[#All],MATCH(A360, Passenger_Kilometre_by_mode_type[#Headers],0),0)</f>
        <v>5875413924.046442</v>
      </c>
      <c r="F360" s="89">
        <f>VLOOKUP(C360, Reason_for_lorry_motorcycle_other_journeys_by_percentage[#All],MATCH(A360, Reason_for_lorry_motorcycle_other_journeys_by_percentage[#Headers],0),0)/100</f>
        <v>6.0749999999999998E-2</v>
      </c>
      <c r="G360" s="13">
        <f t="shared" si="25"/>
        <v>356931395.88582134</v>
      </c>
      <c r="H360" s="89">
        <f>VLOOKUP(D360,Average_Distance_by_kilometre_grouping_for_mode_type[#All],MATCH(A360,Average_Distance_by_kilometre_grouping_for_mode_type[#Headers],0),0)</f>
        <v>5</v>
      </c>
      <c r="I360" s="89">
        <f>VLOOKUP(D360,Average_Distance_by_kilometres_grouping_for_trip_purpose[#All],MATCH(A360,Average_Distance_by_kilometres_grouping_for_trip_purpose[#Headers],0),0)</f>
        <v>5</v>
      </c>
      <c r="J360" s="89">
        <f t="shared" si="26"/>
        <v>5</v>
      </c>
      <c r="K360" s="89">
        <f t="shared" si="27"/>
        <v>0.10540739959945188</v>
      </c>
      <c r="L360" s="89">
        <v>1</v>
      </c>
      <c r="M360" s="13">
        <f t="shared" si="28"/>
        <v>37623210.275726922</v>
      </c>
      <c r="N360" s="89">
        <f t="shared" si="29"/>
        <v>6.1648269087377725E-4</v>
      </c>
    </row>
    <row r="361" spans="1:14" x14ac:dyDescent="0.25">
      <c r="A361" s="79" t="s">
        <v>128</v>
      </c>
      <c r="B361" s="89" t="s">
        <v>90</v>
      </c>
      <c r="C361" s="89" t="s">
        <v>50</v>
      </c>
      <c r="D361" s="13" t="s">
        <v>182</v>
      </c>
      <c r="E361" s="35">
        <f>VLOOKUP(B361, Passenger_Kilometre_by_mode_type[#All],MATCH(A361, Passenger_Kilometre_by_mode_type[#Headers],0),0)</f>
        <v>5875413924.046442</v>
      </c>
      <c r="F361" s="89">
        <f>VLOOKUP(C361, Reason_for_lorry_motorcycle_other_journeys_by_percentage[#All],MATCH(A361, Reason_for_lorry_motorcycle_other_journeys_by_percentage[#Headers],0),0)/100</f>
        <v>6.0749999999999998E-2</v>
      </c>
      <c r="G361" s="13">
        <f t="shared" si="25"/>
        <v>356931395.88582134</v>
      </c>
      <c r="H361" s="89">
        <f>VLOOKUP(D361,Average_Distance_by_kilometre_grouping_for_mode_type[#All],MATCH(A361,Average_Distance_by_kilometre_grouping_for_mode_type[#Headers],0),0)</f>
        <v>7</v>
      </c>
      <c r="I361" s="89">
        <f>VLOOKUP(D361,Average_Distance_by_kilometres_grouping_for_trip_purpose[#All],MATCH(A361,Average_Distance_by_kilometres_grouping_for_trip_purpose[#Headers],0),0)</f>
        <v>7</v>
      </c>
      <c r="J361" s="89">
        <f t="shared" si="26"/>
        <v>7</v>
      </c>
      <c r="K361" s="89">
        <f t="shared" si="27"/>
        <v>0.14757035943923263</v>
      </c>
      <c r="L361" s="89">
        <v>1</v>
      </c>
      <c r="M361" s="13">
        <f t="shared" si="28"/>
        <v>52672494.386017695</v>
      </c>
      <c r="N361" s="89">
        <f t="shared" si="29"/>
        <v>8.630757672232882E-4</v>
      </c>
    </row>
    <row r="362" spans="1:14" x14ac:dyDescent="0.25">
      <c r="A362" s="79" t="s">
        <v>128</v>
      </c>
      <c r="B362" s="89" t="s">
        <v>90</v>
      </c>
      <c r="C362" s="89" t="s">
        <v>50</v>
      </c>
      <c r="D362" s="13" t="s">
        <v>1</v>
      </c>
      <c r="E362" s="35">
        <f>VLOOKUP(B362, Passenger_Kilometre_by_mode_type[#All],MATCH(A362, Passenger_Kilometre_by_mode_type[#Headers],0),0)</f>
        <v>5875413924.046442</v>
      </c>
      <c r="F362" s="89">
        <f>VLOOKUP(C362, Reason_for_lorry_motorcycle_other_journeys_by_percentage[#All],MATCH(A362, Reason_for_lorry_motorcycle_other_journeys_by_percentage[#Headers],0),0)/100</f>
        <v>6.0749999999999998E-2</v>
      </c>
      <c r="G362" s="13">
        <f t="shared" si="25"/>
        <v>356931395.88582134</v>
      </c>
      <c r="H362" s="89">
        <f>VLOOKUP(D362,Average_Distance_by_kilometre_grouping_for_mode_type[#All],MATCH(A362,Average_Distance_by_kilometre_grouping_for_mode_type[#Headers],0),0)</f>
        <v>30.1</v>
      </c>
      <c r="I362" s="89">
        <f>VLOOKUP(D362,Average_Distance_by_kilometres_grouping_for_trip_purpose[#All],MATCH(A362,Average_Distance_by_kilometres_grouping_for_trip_purpose[#Headers],0),0)</f>
        <v>32.770000000000003</v>
      </c>
      <c r="J362" s="89">
        <f t="shared" si="26"/>
        <v>31.435000000000002</v>
      </c>
      <c r="K362" s="89">
        <f t="shared" si="27"/>
        <v>0.66269632128175404</v>
      </c>
      <c r="L362" s="89">
        <v>1</v>
      </c>
      <c r="M362" s="13">
        <f t="shared" si="28"/>
        <v>236537123.00349522</v>
      </c>
      <c r="N362" s="89">
        <f t="shared" si="29"/>
        <v>3.8758266775234381E-3</v>
      </c>
    </row>
    <row r="363" spans="1:14" s="169" customFormat="1" x14ac:dyDescent="0.25">
      <c r="A363" s="168" t="s">
        <v>32</v>
      </c>
      <c r="B363" s="169" t="s">
        <v>5</v>
      </c>
      <c r="C363" s="169" t="s">
        <v>42</v>
      </c>
      <c r="D363" s="170" t="s">
        <v>12</v>
      </c>
      <c r="E363" s="171">
        <f>VLOOKUP(B363, Passenger_Kilometre_by_mode_type[#All],MATCH(A363, Passenger_Kilometre_by_mode_type[#Headers],0),0)</f>
        <v>37448909302.314651</v>
      </c>
      <c r="F363" s="169">
        <f>VLOOKUP(C363, Reason_for_car_journeys_by_percentage[#All],MATCH(A363, Reason_for_car_journeys_by_percentage[#Headers],0),0)/100</f>
        <v>0.24349999999999997</v>
      </c>
      <c r="G363" s="170">
        <f t="shared" si="25"/>
        <v>9118809415.1136169</v>
      </c>
      <c r="H363" s="169">
        <f>VLOOKUP(D363,Average_Distance_by_kilometre_grouping_for_mode_type[#All],MATCH(A363,Average_Distance_by_kilometre_grouping_for_mode_type[#Headers],0),0)</f>
        <v>1</v>
      </c>
      <c r="I363" s="169">
        <f>VLOOKUP(D363,Average_Distance_by_kilometres_grouping_for_trip_purpose[#All],MATCH(A363,Average_Distance_by_kilometres_grouping_for_trip_purpose[#Headers],0),0)</f>
        <v>1</v>
      </c>
      <c r="J363" s="169">
        <f t="shared" si="26"/>
        <v>1</v>
      </c>
      <c r="K363" s="169">
        <f t="shared" si="27"/>
        <v>2.0300446609825416E-2</v>
      </c>
      <c r="L363" s="169">
        <v>1</v>
      </c>
      <c r="M363" s="170">
        <f t="shared" si="28"/>
        <v>185115903.6766873</v>
      </c>
      <c r="N363" s="169">
        <f>M363/SUM($M$363:$M$722)</f>
        <v>3.5759536521437511E-3</v>
      </c>
    </row>
    <row r="364" spans="1:14" x14ac:dyDescent="0.25">
      <c r="A364" s="79" t="s">
        <v>32</v>
      </c>
      <c r="B364" s="89" t="s">
        <v>5</v>
      </c>
      <c r="C364" s="89" t="s">
        <v>42</v>
      </c>
      <c r="D364" s="13" t="s">
        <v>181</v>
      </c>
      <c r="E364" s="35">
        <f>VLOOKUP(B364, Passenger_Kilometre_by_mode_type[#All],MATCH(A364, Passenger_Kilometre_by_mode_type[#Headers],0),0)</f>
        <v>37448909302.314651</v>
      </c>
      <c r="F364" s="89">
        <f>VLOOKUP(C364, Reason_for_car_journeys_by_percentage[#All],MATCH(A364, Reason_for_car_journeys_by_percentage[#Headers],0),0)/100</f>
        <v>0.24349999999999997</v>
      </c>
      <c r="G364" s="13">
        <f t="shared" si="25"/>
        <v>9118809415.1136169</v>
      </c>
      <c r="H364" s="89">
        <f>VLOOKUP(D364,Average_Distance_by_kilometre_grouping_for_mode_type[#All],MATCH(A364,Average_Distance_by_kilometre_grouping_for_mode_type[#Headers],0),0)</f>
        <v>3</v>
      </c>
      <c r="I364" s="89">
        <f>VLOOKUP(D364,Average_Distance_by_kilometres_grouping_for_trip_purpose[#All],MATCH(A364,Average_Distance_by_kilometres_grouping_for_trip_purpose[#Headers],0),0)</f>
        <v>3</v>
      </c>
      <c r="J364" s="89">
        <f t="shared" si="26"/>
        <v>3</v>
      </c>
      <c r="K364" s="89">
        <f t="shared" si="27"/>
        <v>6.0901339829476243E-2</v>
      </c>
      <c r="L364" s="89">
        <v>1</v>
      </c>
      <c r="M364" s="13">
        <f t="shared" si="28"/>
        <v>555347711.03006184</v>
      </c>
      <c r="N364" s="11">
        <f t="shared" ref="N364:N427" si="30">M364/SUM($M$363:$M$722)</f>
        <v>1.0727860956431252E-2</v>
      </c>
    </row>
    <row r="365" spans="1:14" x14ac:dyDescent="0.25">
      <c r="A365" s="79" t="s">
        <v>32</v>
      </c>
      <c r="B365" s="89" t="s">
        <v>5</v>
      </c>
      <c r="C365" s="89" t="s">
        <v>42</v>
      </c>
      <c r="D365" s="13" t="s">
        <v>180</v>
      </c>
      <c r="E365" s="35">
        <f>VLOOKUP(B365, Passenger_Kilometre_by_mode_type[#All],MATCH(A365, Passenger_Kilometre_by_mode_type[#Headers],0),0)</f>
        <v>37448909302.314651</v>
      </c>
      <c r="F365" s="89">
        <f>VLOOKUP(C365, Reason_for_car_journeys_by_percentage[#All],MATCH(A365, Reason_for_car_journeys_by_percentage[#Headers],0),0)/100</f>
        <v>0.24349999999999997</v>
      </c>
      <c r="G365" s="13">
        <f t="shared" si="25"/>
        <v>9118809415.1136169</v>
      </c>
      <c r="H365" s="89">
        <f>VLOOKUP(D365,Average_Distance_by_kilometre_grouping_for_mode_type[#All],MATCH(A365,Average_Distance_by_kilometre_grouping_for_mode_type[#Headers],0),0)</f>
        <v>5</v>
      </c>
      <c r="I365" s="89">
        <f>VLOOKUP(D365,Average_Distance_by_kilometres_grouping_for_trip_purpose[#All],MATCH(A365,Average_Distance_by_kilometres_grouping_for_trip_purpose[#Headers],0),0)</f>
        <v>5</v>
      </c>
      <c r="J365" s="89">
        <f t="shared" si="26"/>
        <v>5</v>
      </c>
      <c r="K365" s="89">
        <f t="shared" si="27"/>
        <v>0.10150223304912707</v>
      </c>
      <c r="L365" s="89">
        <v>1</v>
      </c>
      <c r="M365" s="13">
        <f t="shared" si="28"/>
        <v>925579518.38343644</v>
      </c>
      <c r="N365" s="11">
        <f t="shared" si="30"/>
        <v>1.7879768260718753E-2</v>
      </c>
    </row>
    <row r="366" spans="1:14" x14ac:dyDescent="0.25">
      <c r="A366" s="79" t="s">
        <v>32</v>
      </c>
      <c r="B366" s="89" t="s">
        <v>5</v>
      </c>
      <c r="C366" s="89" t="s">
        <v>42</v>
      </c>
      <c r="D366" s="13" t="s">
        <v>182</v>
      </c>
      <c r="E366" s="35">
        <f>VLOOKUP(B366, Passenger_Kilometre_by_mode_type[#All],MATCH(A366, Passenger_Kilometre_by_mode_type[#Headers],0),0)</f>
        <v>37448909302.314651</v>
      </c>
      <c r="F366" s="89">
        <f>VLOOKUP(C366, Reason_for_car_journeys_by_percentage[#All],MATCH(A366, Reason_for_car_journeys_by_percentage[#Headers],0),0)/100</f>
        <v>0.24349999999999997</v>
      </c>
      <c r="G366" s="13">
        <f t="shared" si="25"/>
        <v>9118809415.1136169</v>
      </c>
      <c r="H366" s="89">
        <f>VLOOKUP(D366,Average_Distance_by_kilometre_grouping_for_mode_type[#All],MATCH(A366,Average_Distance_by_kilometre_grouping_for_mode_type[#Headers],0),0)</f>
        <v>7</v>
      </c>
      <c r="I366" s="89">
        <f>VLOOKUP(D366,Average_Distance_by_kilometres_grouping_for_trip_purpose[#All],MATCH(A366,Average_Distance_by_kilometres_grouping_for_trip_purpose[#Headers],0),0)</f>
        <v>7</v>
      </c>
      <c r="J366" s="89">
        <f t="shared" si="26"/>
        <v>7</v>
      </c>
      <c r="K366" s="89">
        <f t="shared" si="27"/>
        <v>0.14210312626877789</v>
      </c>
      <c r="L366" s="89">
        <v>1</v>
      </c>
      <c r="M366" s="13">
        <f t="shared" si="28"/>
        <v>1295811325.7368109</v>
      </c>
      <c r="N366" s="11">
        <f t="shared" si="30"/>
        <v>2.5031675565006253E-2</v>
      </c>
    </row>
    <row r="367" spans="1:14" x14ac:dyDescent="0.25">
      <c r="A367" s="79" t="s">
        <v>32</v>
      </c>
      <c r="B367" s="89" t="s">
        <v>5</v>
      </c>
      <c r="C367" s="89" t="s">
        <v>42</v>
      </c>
      <c r="D367" s="13" t="s">
        <v>1</v>
      </c>
      <c r="E367" s="35">
        <f>VLOOKUP(B367, Passenger_Kilometre_by_mode_type[#All],MATCH(A367, Passenger_Kilometre_by_mode_type[#Headers],0),0)</f>
        <v>37448909302.314651</v>
      </c>
      <c r="F367" s="89">
        <f>VLOOKUP(C367, Reason_for_car_journeys_by_percentage[#All],MATCH(A367, Reason_for_car_journeys_by_percentage[#Headers],0),0)/100</f>
        <v>0.24349999999999997</v>
      </c>
      <c r="G367" s="13">
        <f t="shared" si="25"/>
        <v>9118809415.1136169</v>
      </c>
      <c r="H367" s="89">
        <f>VLOOKUP(D367,Average_Distance_by_kilometre_grouping_for_mode_type[#All],MATCH(A367,Average_Distance_by_kilometre_grouping_for_mode_type[#Headers],0),0)</f>
        <v>31.75</v>
      </c>
      <c r="I367" s="89">
        <f>VLOOKUP(D367,Average_Distance_by_kilometres_grouping_for_trip_purpose[#All],MATCH(A367,Average_Distance_by_kilometres_grouping_for_trip_purpose[#Headers],0),0)</f>
        <v>34.770000000000003</v>
      </c>
      <c r="J367" s="89">
        <f t="shared" si="26"/>
        <v>33.260000000000005</v>
      </c>
      <c r="K367" s="89">
        <f t="shared" si="27"/>
        <v>0.67519285424279341</v>
      </c>
      <c r="L367" s="89">
        <v>1</v>
      </c>
      <c r="M367" s="13">
        <f t="shared" si="28"/>
        <v>6156954956.2866201</v>
      </c>
      <c r="N367" s="11">
        <f t="shared" si="30"/>
        <v>0.11893621847030117</v>
      </c>
    </row>
    <row r="368" spans="1:14" x14ac:dyDescent="0.25">
      <c r="A368" s="79" t="s">
        <v>32</v>
      </c>
      <c r="B368" s="89" t="s">
        <v>5</v>
      </c>
      <c r="C368" s="89" t="s">
        <v>43</v>
      </c>
      <c r="D368" s="13" t="s">
        <v>12</v>
      </c>
      <c r="E368" s="35">
        <f>VLOOKUP(B368, Passenger_Kilometre_by_mode_type[#All],MATCH(A368, Passenger_Kilometre_by_mode_type[#Headers],0),0)</f>
        <v>37448909302.314651</v>
      </c>
      <c r="F368" s="89">
        <f>VLOOKUP(C368, Reason_for_car_journeys_by_percentage[#All],MATCH(A368, Reason_for_car_journeys_by_percentage[#Headers],0),0)/100</f>
        <v>3.5499999999999997E-2</v>
      </c>
      <c r="G368" s="13">
        <f t="shared" si="25"/>
        <v>1329436280.2321701</v>
      </c>
      <c r="H368" s="89">
        <f>VLOOKUP(D368,Average_Distance_by_kilometre_grouping_for_mode_type[#All],MATCH(A368,Average_Distance_by_kilometre_grouping_for_mode_type[#Headers],0),0)</f>
        <v>1</v>
      </c>
      <c r="I368" s="89">
        <f>VLOOKUP(D368,Average_Distance_by_kilometres_grouping_for_trip_purpose[#All],MATCH(A368,Average_Distance_by_kilometres_grouping_for_trip_purpose[#Headers],0),0)</f>
        <v>1</v>
      </c>
      <c r="J368" s="89">
        <f t="shared" si="26"/>
        <v>1</v>
      </c>
      <c r="K368" s="89">
        <f t="shared" si="27"/>
        <v>2.0300446609825416E-2</v>
      </c>
      <c r="L368" s="89">
        <v>1</v>
      </c>
      <c r="M368" s="13">
        <f t="shared" si="28"/>
        <v>26988150.228018068</v>
      </c>
      <c r="N368" s="11">
        <f t="shared" si="30"/>
        <v>5.213402655076106E-4</v>
      </c>
    </row>
    <row r="369" spans="1:14" x14ac:dyDescent="0.25">
      <c r="A369" s="79" t="s">
        <v>32</v>
      </c>
      <c r="B369" s="89" t="s">
        <v>5</v>
      </c>
      <c r="C369" s="89" t="s">
        <v>43</v>
      </c>
      <c r="D369" s="13" t="s">
        <v>181</v>
      </c>
      <c r="E369" s="35">
        <f>VLOOKUP(B369, Passenger_Kilometre_by_mode_type[#All],MATCH(A369, Passenger_Kilometre_by_mode_type[#Headers],0),0)</f>
        <v>37448909302.314651</v>
      </c>
      <c r="F369" s="89">
        <f>VLOOKUP(C369, Reason_for_car_journeys_by_percentage[#All],MATCH(A369, Reason_for_car_journeys_by_percentage[#Headers],0),0)/100</f>
        <v>3.5499999999999997E-2</v>
      </c>
      <c r="G369" s="13">
        <f t="shared" si="25"/>
        <v>1329436280.2321701</v>
      </c>
      <c r="H369" s="89">
        <f>VLOOKUP(D369,Average_Distance_by_kilometre_grouping_for_mode_type[#All],MATCH(A369,Average_Distance_by_kilometre_grouping_for_mode_type[#Headers],0),0)</f>
        <v>3</v>
      </c>
      <c r="I369" s="89">
        <f>VLOOKUP(D369,Average_Distance_by_kilometres_grouping_for_trip_purpose[#All],MATCH(A369,Average_Distance_by_kilometres_grouping_for_trip_purpose[#Headers],0),0)</f>
        <v>3</v>
      </c>
      <c r="J369" s="89">
        <f t="shared" si="26"/>
        <v>3</v>
      </c>
      <c r="K369" s="89">
        <f t="shared" si="27"/>
        <v>6.0901339829476243E-2</v>
      </c>
      <c r="L369" s="89">
        <v>1</v>
      </c>
      <c r="M369" s="13">
        <f t="shared" si="28"/>
        <v>80964450.684054196</v>
      </c>
      <c r="N369" s="11">
        <f t="shared" si="30"/>
        <v>1.5640207965228316E-3</v>
      </c>
    </row>
    <row r="370" spans="1:14" x14ac:dyDescent="0.25">
      <c r="A370" s="79" t="s">
        <v>32</v>
      </c>
      <c r="B370" s="89" t="s">
        <v>5</v>
      </c>
      <c r="C370" s="89" t="s">
        <v>43</v>
      </c>
      <c r="D370" s="13" t="s">
        <v>180</v>
      </c>
      <c r="E370" s="35">
        <f>VLOOKUP(B370, Passenger_Kilometre_by_mode_type[#All],MATCH(A370, Passenger_Kilometre_by_mode_type[#Headers],0),0)</f>
        <v>37448909302.314651</v>
      </c>
      <c r="F370" s="89">
        <f>VLOOKUP(C370, Reason_for_car_journeys_by_percentage[#All],MATCH(A370, Reason_for_car_journeys_by_percentage[#Headers],0),0)/100</f>
        <v>3.5499999999999997E-2</v>
      </c>
      <c r="G370" s="13">
        <f t="shared" si="25"/>
        <v>1329436280.2321701</v>
      </c>
      <c r="H370" s="89">
        <f>VLOOKUP(D370,Average_Distance_by_kilometre_grouping_for_mode_type[#All],MATCH(A370,Average_Distance_by_kilometre_grouping_for_mode_type[#Headers],0),0)</f>
        <v>5</v>
      </c>
      <c r="I370" s="89">
        <f>VLOOKUP(D370,Average_Distance_by_kilometres_grouping_for_trip_purpose[#All],MATCH(A370,Average_Distance_by_kilometres_grouping_for_trip_purpose[#Headers],0),0)</f>
        <v>5</v>
      </c>
      <c r="J370" s="89">
        <f t="shared" si="26"/>
        <v>5</v>
      </c>
      <c r="K370" s="89">
        <f t="shared" si="27"/>
        <v>0.10150223304912707</v>
      </c>
      <c r="L370" s="89">
        <v>1</v>
      </c>
      <c r="M370" s="13">
        <f t="shared" si="28"/>
        <v>134940751.14009035</v>
      </c>
      <c r="N370" s="11">
        <f t="shared" si="30"/>
        <v>2.606701327538053E-3</v>
      </c>
    </row>
    <row r="371" spans="1:14" x14ac:dyDescent="0.25">
      <c r="A371" s="79" t="s">
        <v>32</v>
      </c>
      <c r="B371" s="89" t="s">
        <v>5</v>
      </c>
      <c r="C371" s="89" t="s">
        <v>43</v>
      </c>
      <c r="D371" s="13" t="s">
        <v>182</v>
      </c>
      <c r="E371" s="35">
        <f>VLOOKUP(B371, Passenger_Kilometre_by_mode_type[#All],MATCH(A371, Passenger_Kilometre_by_mode_type[#Headers],0),0)</f>
        <v>37448909302.314651</v>
      </c>
      <c r="F371" s="89">
        <f>VLOOKUP(C371, Reason_for_car_journeys_by_percentage[#All],MATCH(A371, Reason_for_car_journeys_by_percentage[#Headers],0),0)/100</f>
        <v>3.5499999999999997E-2</v>
      </c>
      <c r="G371" s="13">
        <f t="shared" si="25"/>
        <v>1329436280.2321701</v>
      </c>
      <c r="H371" s="89">
        <f>VLOOKUP(D371,Average_Distance_by_kilometre_grouping_for_mode_type[#All],MATCH(A371,Average_Distance_by_kilometre_grouping_for_mode_type[#Headers],0),0)</f>
        <v>7</v>
      </c>
      <c r="I371" s="89">
        <f>VLOOKUP(D371,Average_Distance_by_kilometres_grouping_for_trip_purpose[#All],MATCH(A371,Average_Distance_by_kilometres_grouping_for_trip_purpose[#Headers],0),0)</f>
        <v>7</v>
      </c>
      <c r="J371" s="89">
        <f t="shared" si="26"/>
        <v>7</v>
      </c>
      <c r="K371" s="89">
        <f t="shared" si="27"/>
        <v>0.14210312626877789</v>
      </c>
      <c r="L371" s="89">
        <v>1</v>
      </c>
      <c r="M371" s="13">
        <f t="shared" si="28"/>
        <v>188917051.59612644</v>
      </c>
      <c r="N371" s="11">
        <f t="shared" si="30"/>
        <v>3.6493818585532733E-3</v>
      </c>
    </row>
    <row r="372" spans="1:14" x14ac:dyDescent="0.25">
      <c r="A372" s="79" t="s">
        <v>32</v>
      </c>
      <c r="B372" s="89" t="s">
        <v>5</v>
      </c>
      <c r="C372" s="89" t="s">
        <v>43</v>
      </c>
      <c r="D372" s="13" t="s">
        <v>1</v>
      </c>
      <c r="E372" s="35">
        <f>VLOOKUP(B372, Passenger_Kilometre_by_mode_type[#All],MATCH(A372, Passenger_Kilometre_by_mode_type[#Headers],0),0)</f>
        <v>37448909302.314651</v>
      </c>
      <c r="F372" s="89">
        <f>VLOOKUP(C372, Reason_for_car_journeys_by_percentage[#All],MATCH(A372, Reason_for_car_journeys_by_percentage[#Headers],0),0)/100</f>
        <v>3.5499999999999997E-2</v>
      </c>
      <c r="G372" s="13">
        <f t="shared" si="25"/>
        <v>1329436280.2321701</v>
      </c>
      <c r="H372" s="89">
        <f>VLOOKUP(D372,Average_Distance_by_kilometre_grouping_for_mode_type[#All],MATCH(A372,Average_Distance_by_kilometre_grouping_for_mode_type[#Headers],0),0)</f>
        <v>31.75</v>
      </c>
      <c r="I372" s="89">
        <f>VLOOKUP(D372,Average_Distance_by_kilometres_grouping_for_trip_purpose[#All],MATCH(A372,Average_Distance_by_kilometres_grouping_for_trip_purpose[#Headers],0),0)</f>
        <v>34.770000000000003</v>
      </c>
      <c r="J372" s="89">
        <f t="shared" si="26"/>
        <v>33.260000000000005</v>
      </c>
      <c r="K372" s="89">
        <f t="shared" si="27"/>
        <v>0.67519285424279341</v>
      </c>
      <c r="L372" s="89">
        <v>1</v>
      </c>
      <c r="M372" s="13">
        <f t="shared" si="28"/>
        <v>897625876.58388102</v>
      </c>
      <c r="N372" s="11">
        <f t="shared" si="30"/>
        <v>1.7339777230783129E-2</v>
      </c>
    </row>
    <row r="373" spans="1:14" x14ac:dyDescent="0.25">
      <c r="A373" s="79" t="s">
        <v>32</v>
      </c>
      <c r="B373" s="89" t="s">
        <v>5</v>
      </c>
      <c r="C373" s="89" t="s">
        <v>44</v>
      </c>
      <c r="D373" s="13" t="s">
        <v>12</v>
      </c>
      <c r="E373" s="35">
        <f>VLOOKUP(B373, Passenger_Kilometre_by_mode_type[#All],MATCH(A373, Passenger_Kilometre_by_mode_type[#Headers],0),0)</f>
        <v>37448909302.314651</v>
      </c>
      <c r="F373" s="89">
        <f>VLOOKUP(C373, Reason_for_car_journeys_by_percentage[#All],MATCH(A373, Reason_for_car_journeys_by_percentage[#Headers],0),0)/100</f>
        <v>0.23275000000000001</v>
      </c>
      <c r="G373" s="13">
        <f t="shared" si="25"/>
        <v>8716233640.1137352</v>
      </c>
      <c r="H373" s="89">
        <f>VLOOKUP(D373,Average_Distance_by_kilometre_grouping_for_mode_type[#All],MATCH(A373,Average_Distance_by_kilometre_grouping_for_mode_type[#Headers],0),0)</f>
        <v>1</v>
      </c>
      <c r="I373" s="89">
        <f>VLOOKUP(D373,Average_Distance_by_kilometres_grouping_for_trip_purpose[#All],MATCH(A373,Average_Distance_by_kilometres_grouping_for_trip_purpose[#Headers],0),0)</f>
        <v>1</v>
      </c>
      <c r="J373" s="89">
        <f t="shared" si="26"/>
        <v>1</v>
      </c>
      <c r="K373" s="89">
        <f t="shared" si="27"/>
        <v>2.0300446609825416E-2</v>
      </c>
      <c r="L373" s="89">
        <v>1</v>
      </c>
      <c r="M373" s="13">
        <f t="shared" si="28"/>
        <v>176943435.64989311</v>
      </c>
      <c r="N373" s="11">
        <f t="shared" si="30"/>
        <v>3.4180830083632777E-3</v>
      </c>
    </row>
    <row r="374" spans="1:14" x14ac:dyDescent="0.25">
      <c r="A374" s="79" t="s">
        <v>32</v>
      </c>
      <c r="B374" s="89" t="s">
        <v>5</v>
      </c>
      <c r="C374" s="89" t="s">
        <v>44</v>
      </c>
      <c r="D374" s="13" t="s">
        <v>181</v>
      </c>
      <c r="E374" s="35">
        <f>VLOOKUP(B374, Passenger_Kilometre_by_mode_type[#All],MATCH(A374, Passenger_Kilometre_by_mode_type[#Headers],0),0)</f>
        <v>37448909302.314651</v>
      </c>
      <c r="F374" s="89">
        <f>VLOOKUP(C374, Reason_for_car_journeys_by_percentage[#All],MATCH(A374, Reason_for_car_journeys_by_percentage[#Headers],0),0)/100</f>
        <v>0.23275000000000001</v>
      </c>
      <c r="G374" s="13">
        <f t="shared" si="25"/>
        <v>8716233640.1137352</v>
      </c>
      <c r="H374" s="89">
        <f>VLOOKUP(D374,Average_Distance_by_kilometre_grouping_for_mode_type[#All],MATCH(A374,Average_Distance_by_kilometre_grouping_for_mode_type[#Headers],0),0)</f>
        <v>3</v>
      </c>
      <c r="I374" s="89">
        <f>VLOOKUP(D374,Average_Distance_by_kilometres_grouping_for_trip_purpose[#All],MATCH(A374,Average_Distance_by_kilometres_grouping_for_trip_purpose[#Headers],0),0)</f>
        <v>3</v>
      </c>
      <c r="J374" s="89">
        <f t="shared" si="26"/>
        <v>3</v>
      </c>
      <c r="K374" s="89">
        <f t="shared" si="27"/>
        <v>6.0901339829476243E-2</v>
      </c>
      <c r="L374" s="89">
        <v>1</v>
      </c>
      <c r="M374" s="13">
        <f t="shared" si="28"/>
        <v>530830306.94967932</v>
      </c>
      <c r="N374" s="11">
        <f t="shared" si="30"/>
        <v>1.0254249025089833E-2</v>
      </c>
    </row>
    <row r="375" spans="1:14" x14ac:dyDescent="0.25">
      <c r="A375" s="79" t="s">
        <v>32</v>
      </c>
      <c r="B375" s="89" t="s">
        <v>5</v>
      </c>
      <c r="C375" s="89" t="s">
        <v>44</v>
      </c>
      <c r="D375" s="13" t="s">
        <v>180</v>
      </c>
      <c r="E375" s="35">
        <f>VLOOKUP(B375, Passenger_Kilometre_by_mode_type[#All],MATCH(A375, Passenger_Kilometre_by_mode_type[#Headers],0),0)</f>
        <v>37448909302.314651</v>
      </c>
      <c r="F375" s="89">
        <f>VLOOKUP(C375, Reason_for_car_journeys_by_percentage[#All],MATCH(A375, Reason_for_car_journeys_by_percentage[#Headers],0),0)/100</f>
        <v>0.23275000000000001</v>
      </c>
      <c r="G375" s="13">
        <f t="shared" si="25"/>
        <v>8716233640.1137352</v>
      </c>
      <c r="H375" s="89">
        <f>VLOOKUP(D375,Average_Distance_by_kilometre_grouping_for_mode_type[#All],MATCH(A375,Average_Distance_by_kilometre_grouping_for_mode_type[#Headers],0),0)</f>
        <v>5</v>
      </c>
      <c r="I375" s="89">
        <f>VLOOKUP(D375,Average_Distance_by_kilometres_grouping_for_trip_purpose[#All],MATCH(A375,Average_Distance_by_kilometres_grouping_for_trip_purpose[#Headers],0),0)</f>
        <v>5</v>
      </c>
      <c r="J375" s="89">
        <f t="shared" si="26"/>
        <v>5</v>
      </c>
      <c r="K375" s="89">
        <f t="shared" si="27"/>
        <v>0.10150223304912707</v>
      </c>
      <c r="L375" s="89">
        <v>1</v>
      </c>
      <c r="M375" s="13">
        <f t="shared" si="28"/>
        <v>884717178.24946558</v>
      </c>
      <c r="N375" s="11">
        <f t="shared" si="30"/>
        <v>1.7090415041816388E-2</v>
      </c>
    </row>
    <row r="376" spans="1:14" x14ac:dyDescent="0.25">
      <c r="A376" s="79" t="s">
        <v>32</v>
      </c>
      <c r="B376" s="89" t="s">
        <v>5</v>
      </c>
      <c r="C376" s="89" t="s">
        <v>44</v>
      </c>
      <c r="D376" s="13" t="s">
        <v>182</v>
      </c>
      <c r="E376" s="35">
        <f>VLOOKUP(B376, Passenger_Kilometre_by_mode_type[#All],MATCH(A376, Passenger_Kilometre_by_mode_type[#Headers],0),0)</f>
        <v>37448909302.314651</v>
      </c>
      <c r="F376" s="89">
        <f>VLOOKUP(C376, Reason_for_car_journeys_by_percentage[#All],MATCH(A376, Reason_for_car_journeys_by_percentage[#Headers],0),0)/100</f>
        <v>0.23275000000000001</v>
      </c>
      <c r="G376" s="13">
        <f t="shared" si="25"/>
        <v>8716233640.1137352</v>
      </c>
      <c r="H376" s="89">
        <f>VLOOKUP(D376,Average_Distance_by_kilometre_grouping_for_mode_type[#All],MATCH(A376,Average_Distance_by_kilometre_grouping_for_mode_type[#Headers],0),0)</f>
        <v>7</v>
      </c>
      <c r="I376" s="89">
        <f>VLOOKUP(D376,Average_Distance_by_kilometres_grouping_for_trip_purpose[#All],MATCH(A376,Average_Distance_by_kilometres_grouping_for_trip_purpose[#Headers],0),0)</f>
        <v>7</v>
      </c>
      <c r="J376" s="89">
        <f t="shared" si="26"/>
        <v>7</v>
      </c>
      <c r="K376" s="89">
        <f t="shared" si="27"/>
        <v>0.14210312626877789</v>
      </c>
      <c r="L376" s="89">
        <v>1</v>
      </c>
      <c r="M376" s="13">
        <f t="shared" si="28"/>
        <v>1238604049.5492516</v>
      </c>
      <c r="N376" s="11">
        <f t="shared" si="30"/>
        <v>2.392658105854294E-2</v>
      </c>
    </row>
    <row r="377" spans="1:14" x14ac:dyDescent="0.25">
      <c r="A377" s="79" t="s">
        <v>32</v>
      </c>
      <c r="B377" s="89" t="s">
        <v>5</v>
      </c>
      <c r="C377" s="89" t="s">
        <v>44</v>
      </c>
      <c r="D377" s="13" t="s">
        <v>1</v>
      </c>
      <c r="E377" s="35">
        <f>VLOOKUP(B377, Passenger_Kilometre_by_mode_type[#All],MATCH(A377, Passenger_Kilometre_by_mode_type[#Headers],0),0)</f>
        <v>37448909302.314651</v>
      </c>
      <c r="F377" s="89">
        <f>VLOOKUP(C377, Reason_for_car_journeys_by_percentage[#All],MATCH(A377, Reason_for_car_journeys_by_percentage[#Headers],0),0)/100</f>
        <v>0.23275000000000001</v>
      </c>
      <c r="G377" s="13">
        <f t="shared" si="25"/>
        <v>8716233640.1137352</v>
      </c>
      <c r="H377" s="89">
        <f>VLOOKUP(D377,Average_Distance_by_kilometre_grouping_for_mode_type[#All],MATCH(A377,Average_Distance_by_kilometre_grouping_for_mode_type[#Headers],0),0)</f>
        <v>31.75</v>
      </c>
      <c r="I377" s="89">
        <f>VLOOKUP(D377,Average_Distance_by_kilometres_grouping_for_trip_purpose[#All],MATCH(A377,Average_Distance_by_kilometres_grouping_for_trip_purpose[#Headers],0),0)</f>
        <v>34.770000000000003</v>
      </c>
      <c r="J377" s="89">
        <f t="shared" si="26"/>
        <v>33.260000000000005</v>
      </c>
      <c r="K377" s="89">
        <f t="shared" si="27"/>
        <v>0.67519285424279341</v>
      </c>
      <c r="L377" s="89">
        <v>1</v>
      </c>
      <c r="M377" s="13">
        <f t="shared" si="28"/>
        <v>5885138669.7154455</v>
      </c>
      <c r="N377" s="11">
        <f t="shared" si="30"/>
        <v>0.11368544085816262</v>
      </c>
    </row>
    <row r="378" spans="1:14" x14ac:dyDescent="0.25">
      <c r="A378" s="79" t="s">
        <v>32</v>
      </c>
      <c r="B378" s="89" t="s">
        <v>5</v>
      </c>
      <c r="C378" s="89" t="s">
        <v>45</v>
      </c>
      <c r="D378" s="13" t="s">
        <v>12</v>
      </c>
      <c r="E378" s="35">
        <f>VLOOKUP(B378, Passenger_Kilometre_by_mode_type[#All],MATCH(A378, Passenger_Kilometre_by_mode_type[#Headers],0),0)</f>
        <v>37448909302.314651</v>
      </c>
      <c r="F378" s="89">
        <f>VLOOKUP(C378, Reason_for_car_journeys_by_percentage[#All],MATCH(A378, Reason_for_car_journeys_by_percentage[#Headers],0),0)/100</f>
        <v>1.3500000000000002E-2</v>
      </c>
      <c r="G378" s="13">
        <f t="shared" si="25"/>
        <v>505560275.58124787</v>
      </c>
      <c r="H378" s="89">
        <f>VLOOKUP(D378,Average_Distance_by_kilometre_grouping_for_mode_type[#All],MATCH(A378,Average_Distance_by_kilometre_grouping_for_mode_type[#Headers],0),0)</f>
        <v>1</v>
      </c>
      <c r="I378" s="89">
        <f>VLOOKUP(D378,Average_Distance_by_kilometres_grouping_for_trip_purpose[#All],MATCH(A378,Average_Distance_by_kilometres_grouping_for_trip_purpose[#Headers],0),0)</f>
        <v>1</v>
      </c>
      <c r="J378" s="89">
        <f t="shared" si="26"/>
        <v>1</v>
      </c>
      <c r="K378" s="89">
        <f t="shared" si="27"/>
        <v>2.0300446609825416E-2</v>
      </c>
      <c r="L378" s="89">
        <v>1</v>
      </c>
      <c r="M378" s="13">
        <f t="shared" si="28"/>
        <v>10263099.382485745</v>
      </c>
      <c r="N378" s="11">
        <f t="shared" si="30"/>
        <v>1.9825615730571108E-4</v>
      </c>
    </row>
    <row r="379" spans="1:14" x14ac:dyDescent="0.25">
      <c r="A379" s="79" t="s">
        <v>32</v>
      </c>
      <c r="B379" s="89" t="s">
        <v>5</v>
      </c>
      <c r="C379" s="89" t="s">
        <v>45</v>
      </c>
      <c r="D379" s="13" t="s">
        <v>181</v>
      </c>
      <c r="E379" s="35">
        <f>VLOOKUP(B379, Passenger_Kilometre_by_mode_type[#All],MATCH(A379, Passenger_Kilometre_by_mode_type[#Headers],0),0)</f>
        <v>37448909302.314651</v>
      </c>
      <c r="F379" s="89">
        <f>VLOOKUP(C379, Reason_for_car_journeys_by_percentage[#All],MATCH(A379, Reason_for_car_journeys_by_percentage[#Headers],0),0)/100</f>
        <v>1.3500000000000002E-2</v>
      </c>
      <c r="G379" s="13">
        <f t="shared" si="25"/>
        <v>505560275.58124787</v>
      </c>
      <c r="H379" s="89">
        <f>VLOOKUP(D379,Average_Distance_by_kilometre_grouping_for_mode_type[#All],MATCH(A379,Average_Distance_by_kilometre_grouping_for_mode_type[#Headers],0),0)</f>
        <v>3</v>
      </c>
      <c r="I379" s="89">
        <f>VLOOKUP(D379,Average_Distance_by_kilometres_grouping_for_trip_purpose[#All],MATCH(A379,Average_Distance_by_kilometres_grouping_for_trip_purpose[#Headers],0),0)</f>
        <v>3</v>
      </c>
      <c r="J379" s="89">
        <f t="shared" si="26"/>
        <v>3</v>
      </c>
      <c r="K379" s="89">
        <f t="shared" si="27"/>
        <v>6.0901339829476243E-2</v>
      </c>
      <c r="L379" s="89">
        <v>1</v>
      </c>
      <c r="M379" s="13">
        <f t="shared" si="28"/>
        <v>30789298.147457238</v>
      </c>
      <c r="N379" s="11">
        <f t="shared" si="30"/>
        <v>5.9476847191713327E-4</v>
      </c>
    </row>
    <row r="380" spans="1:14" x14ac:dyDescent="0.25">
      <c r="A380" s="79" t="s">
        <v>32</v>
      </c>
      <c r="B380" s="89" t="s">
        <v>5</v>
      </c>
      <c r="C380" s="89" t="s">
        <v>45</v>
      </c>
      <c r="D380" s="13" t="s">
        <v>180</v>
      </c>
      <c r="E380" s="35">
        <f>VLOOKUP(B380, Passenger_Kilometre_by_mode_type[#All],MATCH(A380, Passenger_Kilometre_by_mode_type[#Headers],0),0)</f>
        <v>37448909302.314651</v>
      </c>
      <c r="F380" s="89">
        <f>VLOOKUP(C380, Reason_for_car_journeys_by_percentage[#All],MATCH(A380, Reason_for_car_journeys_by_percentage[#Headers],0),0)/100</f>
        <v>1.3500000000000002E-2</v>
      </c>
      <c r="G380" s="13">
        <f t="shared" si="25"/>
        <v>505560275.58124787</v>
      </c>
      <c r="H380" s="89">
        <f>VLOOKUP(D380,Average_Distance_by_kilometre_grouping_for_mode_type[#All],MATCH(A380,Average_Distance_by_kilometre_grouping_for_mode_type[#Headers],0),0)</f>
        <v>5</v>
      </c>
      <c r="I380" s="89">
        <f>VLOOKUP(D380,Average_Distance_by_kilometres_grouping_for_trip_purpose[#All],MATCH(A380,Average_Distance_by_kilometres_grouping_for_trip_purpose[#Headers],0),0)</f>
        <v>5</v>
      </c>
      <c r="J380" s="89">
        <f t="shared" si="26"/>
        <v>5</v>
      </c>
      <c r="K380" s="89">
        <f t="shared" si="27"/>
        <v>0.10150223304912707</v>
      </c>
      <c r="L380" s="89">
        <v>1</v>
      </c>
      <c r="M380" s="13">
        <f t="shared" si="28"/>
        <v>51315496.912428729</v>
      </c>
      <c r="N380" s="11">
        <f t="shared" si="30"/>
        <v>9.9128078652855538E-4</v>
      </c>
    </row>
    <row r="381" spans="1:14" x14ac:dyDescent="0.25">
      <c r="A381" s="79" t="s">
        <v>32</v>
      </c>
      <c r="B381" s="89" t="s">
        <v>5</v>
      </c>
      <c r="C381" s="89" t="s">
        <v>45</v>
      </c>
      <c r="D381" s="13" t="s">
        <v>182</v>
      </c>
      <c r="E381" s="35">
        <f>VLOOKUP(B381, Passenger_Kilometre_by_mode_type[#All],MATCH(A381, Passenger_Kilometre_by_mode_type[#Headers],0),0)</f>
        <v>37448909302.314651</v>
      </c>
      <c r="F381" s="89">
        <f>VLOOKUP(C381, Reason_for_car_journeys_by_percentage[#All],MATCH(A381, Reason_for_car_journeys_by_percentage[#Headers],0),0)/100</f>
        <v>1.3500000000000002E-2</v>
      </c>
      <c r="G381" s="13">
        <f t="shared" si="25"/>
        <v>505560275.58124787</v>
      </c>
      <c r="H381" s="89">
        <f>VLOOKUP(D381,Average_Distance_by_kilometre_grouping_for_mode_type[#All],MATCH(A381,Average_Distance_by_kilometre_grouping_for_mode_type[#Headers],0),0)</f>
        <v>7</v>
      </c>
      <c r="I381" s="89">
        <f>VLOOKUP(D381,Average_Distance_by_kilometres_grouping_for_trip_purpose[#All],MATCH(A381,Average_Distance_by_kilometres_grouping_for_trip_purpose[#Headers],0),0)</f>
        <v>7</v>
      </c>
      <c r="J381" s="89">
        <f t="shared" si="26"/>
        <v>7</v>
      </c>
      <c r="K381" s="89">
        <f t="shared" si="27"/>
        <v>0.14210312626877789</v>
      </c>
      <c r="L381" s="89">
        <v>1</v>
      </c>
      <c r="M381" s="13">
        <f t="shared" si="28"/>
        <v>71841695.677400216</v>
      </c>
      <c r="N381" s="11">
        <f t="shared" si="30"/>
        <v>1.3877931011399775E-3</v>
      </c>
    </row>
    <row r="382" spans="1:14" x14ac:dyDescent="0.25">
      <c r="A382" s="79" t="s">
        <v>32</v>
      </c>
      <c r="B382" s="89" t="s">
        <v>5</v>
      </c>
      <c r="C382" s="89" t="s">
        <v>45</v>
      </c>
      <c r="D382" s="13" t="s">
        <v>1</v>
      </c>
      <c r="E382" s="35">
        <f>VLOOKUP(B382, Passenger_Kilometre_by_mode_type[#All],MATCH(A382, Passenger_Kilometre_by_mode_type[#Headers],0),0)</f>
        <v>37448909302.314651</v>
      </c>
      <c r="F382" s="89">
        <f>VLOOKUP(C382, Reason_for_car_journeys_by_percentage[#All],MATCH(A382, Reason_for_car_journeys_by_percentage[#Headers],0),0)/100</f>
        <v>1.3500000000000002E-2</v>
      </c>
      <c r="G382" s="13">
        <f t="shared" si="25"/>
        <v>505560275.58124787</v>
      </c>
      <c r="H382" s="89">
        <f>VLOOKUP(D382,Average_Distance_by_kilometre_grouping_for_mode_type[#All],MATCH(A382,Average_Distance_by_kilometre_grouping_for_mode_type[#Headers],0),0)</f>
        <v>31.75</v>
      </c>
      <c r="I382" s="89">
        <f>VLOOKUP(D382,Average_Distance_by_kilometres_grouping_for_trip_purpose[#All],MATCH(A382,Average_Distance_by_kilometres_grouping_for_trip_purpose[#Headers],0),0)</f>
        <v>34.770000000000003</v>
      </c>
      <c r="J382" s="89">
        <f t="shared" si="26"/>
        <v>33.260000000000005</v>
      </c>
      <c r="K382" s="89">
        <f t="shared" si="27"/>
        <v>0.67519285424279341</v>
      </c>
      <c r="L382" s="89">
        <v>1</v>
      </c>
      <c r="M382" s="13">
        <f t="shared" si="28"/>
        <v>341350685.46147597</v>
      </c>
      <c r="N382" s="11">
        <f t="shared" si="30"/>
        <v>6.5939997919879523E-3</v>
      </c>
    </row>
    <row r="383" spans="1:14" x14ac:dyDescent="0.25">
      <c r="A383" s="79" t="s">
        <v>32</v>
      </c>
      <c r="B383" s="89" t="s">
        <v>5</v>
      </c>
      <c r="C383" s="89" t="s">
        <v>56</v>
      </c>
      <c r="D383" s="13" t="s">
        <v>12</v>
      </c>
      <c r="E383" s="35">
        <f>VLOOKUP(B383, Passenger_Kilometre_by_mode_type[#All],MATCH(A383, Passenger_Kilometre_by_mode_type[#Headers],0),0)</f>
        <v>37448909302.314651</v>
      </c>
      <c r="F383" s="89">
        <f>VLOOKUP(C383, Reason_for_car_journeys_by_percentage[#All],MATCH(A383, Reason_for_car_journeys_by_percentage[#Headers],0),0)/100</f>
        <v>0.1125</v>
      </c>
      <c r="G383" s="13">
        <f t="shared" si="25"/>
        <v>4213002296.5103984</v>
      </c>
      <c r="H383" s="89">
        <f>VLOOKUP(D383,Average_Distance_by_kilometre_grouping_for_mode_type[#All],MATCH(A383,Average_Distance_by_kilometre_grouping_for_mode_type[#Headers],0),0)</f>
        <v>1</v>
      </c>
      <c r="I383" s="89">
        <f>VLOOKUP(D383,Average_Distance_by_kilometres_grouping_for_trip_purpose[#All],MATCH(A383,Average_Distance_by_kilometres_grouping_for_trip_purpose[#Headers],0),0)</f>
        <v>1</v>
      </c>
      <c r="J383" s="89">
        <f t="shared" si="26"/>
        <v>1</v>
      </c>
      <c r="K383" s="89">
        <f t="shared" si="27"/>
        <v>2.0300446609825416E-2</v>
      </c>
      <c r="L383" s="89">
        <v>1</v>
      </c>
      <c r="M383" s="13">
        <f t="shared" si="28"/>
        <v>85525828.187381208</v>
      </c>
      <c r="N383" s="11">
        <f t="shared" si="30"/>
        <v>1.652134644214259E-3</v>
      </c>
    </row>
    <row r="384" spans="1:14" x14ac:dyDescent="0.25">
      <c r="A384" s="79" t="s">
        <v>32</v>
      </c>
      <c r="B384" s="89" t="s">
        <v>5</v>
      </c>
      <c r="C384" s="89" t="s">
        <v>56</v>
      </c>
      <c r="D384" s="13" t="s">
        <v>181</v>
      </c>
      <c r="E384" s="35">
        <f>VLOOKUP(B384, Passenger_Kilometre_by_mode_type[#All],MATCH(A384, Passenger_Kilometre_by_mode_type[#Headers],0),0)</f>
        <v>37448909302.314651</v>
      </c>
      <c r="F384" s="89">
        <f>VLOOKUP(C384, Reason_for_car_journeys_by_percentage[#All],MATCH(A384, Reason_for_car_journeys_by_percentage[#Headers],0),0)/100</f>
        <v>0.1125</v>
      </c>
      <c r="G384" s="13">
        <f t="shared" si="25"/>
        <v>4213002296.5103984</v>
      </c>
      <c r="H384" s="89">
        <f>VLOOKUP(D384,Average_Distance_by_kilometre_grouping_for_mode_type[#All],MATCH(A384,Average_Distance_by_kilometre_grouping_for_mode_type[#Headers],0),0)</f>
        <v>3</v>
      </c>
      <c r="I384" s="89">
        <f>VLOOKUP(D384,Average_Distance_by_kilometres_grouping_for_trip_purpose[#All],MATCH(A384,Average_Distance_by_kilometres_grouping_for_trip_purpose[#Headers],0),0)</f>
        <v>3</v>
      </c>
      <c r="J384" s="89">
        <f t="shared" si="26"/>
        <v>3</v>
      </c>
      <c r="K384" s="89">
        <f t="shared" si="27"/>
        <v>6.0901339829476243E-2</v>
      </c>
      <c r="L384" s="89">
        <v>1</v>
      </c>
      <c r="M384" s="13">
        <f t="shared" si="28"/>
        <v>256577484.56214359</v>
      </c>
      <c r="N384" s="11">
        <f t="shared" si="30"/>
        <v>4.9564039326427762E-3</v>
      </c>
    </row>
    <row r="385" spans="1:14" x14ac:dyDescent="0.25">
      <c r="A385" s="79" t="s">
        <v>32</v>
      </c>
      <c r="B385" s="89" t="s">
        <v>5</v>
      </c>
      <c r="C385" s="89" t="s">
        <v>56</v>
      </c>
      <c r="D385" s="13" t="s">
        <v>180</v>
      </c>
      <c r="E385" s="35">
        <f>VLOOKUP(B385, Passenger_Kilometre_by_mode_type[#All],MATCH(A385, Passenger_Kilometre_by_mode_type[#Headers],0),0)</f>
        <v>37448909302.314651</v>
      </c>
      <c r="F385" s="89">
        <f>VLOOKUP(C385, Reason_for_car_journeys_by_percentage[#All],MATCH(A385, Reason_for_car_journeys_by_percentage[#Headers],0),0)/100</f>
        <v>0.1125</v>
      </c>
      <c r="G385" s="13">
        <f t="shared" si="25"/>
        <v>4213002296.5103984</v>
      </c>
      <c r="H385" s="89">
        <f>VLOOKUP(D385,Average_Distance_by_kilometre_grouping_for_mode_type[#All],MATCH(A385,Average_Distance_by_kilometre_grouping_for_mode_type[#Headers],0),0)</f>
        <v>5</v>
      </c>
      <c r="I385" s="89">
        <f>VLOOKUP(D385,Average_Distance_by_kilometres_grouping_for_trip_purpose[#All],MATCH(A385,Average_Distance_by_kilometres_grouping_for_trip_purpose[#Headers],0),0)</f>
        <v>5</v>
      </c>
      <c r="J385" s="89">
        <f t="shared" si="26"/>
        <v>5</v>
      </c>
      <c r="K385" s="89">
        <f t="shared" si="27"/>
        <v>0.10150223304912707</v>
      </c>
      <c r="L385" s="89">
        <v>1</v>
      </c>
      <c r="M385" s="13">
        <f t="shared" si="28"/>
        <v>427629140.93690604</v>
      </c>
      <c r="N385" s="11">
        <f t="shared" si="30"/>
        <v>8.2606732210712946E-3</v>
      </c>
    </row>
    <row r="386" spans="1:14" x14ac:dyDescent="0.25">
      <c r="A386" s="79" t="s">
        <v>32</v>
      </c>
      <c r="B386" s="89" t="s">
        <v>5</v>
      </c>
      <c r="C386" s="89" t="s">
        <v>56</v>
      </c>
      <c r="D386" s="13" t="s">
        <v>182</v>
      </c>
      <c r="E386" s="35">
        <f>VLOOKUP(B386, Passenger_Kilometre_by_mode_type[#All],MATCH(A386, Passenger_Kilometre_by_mode_type[#Headers],0),0)</f>
        <v>37448909302.314651</v>
      </c>
      <c r="F386" s="89">
        <f>VLOOKUP(C386, Reason_for_car_journeys_by_percentage[#All],MATCH(A386, Reason_for_car_journeys_by_percentage[#Headers],0),0)/100</f>
        <v>0.1125</v>
      </c>
      <c r="G386" s="13">
        <f t="shared" si="25"/>
        <v>4213002296.5103984</v>
      </c>
      <c r="H386" s="89">
        <f>VLOOKUP(D386,Average_Distance_by_kilometre_grouping_for_mode_type[#All],MATCH(A386,Average_Distance_by_kilometre_grouping_for_mode_type[#Headers],0),0)</f>
        <v>7</v>
      </c>
      <c r="I386" s="89">
        <f>VLOOKUP(D386,Average_Distance_by_kilometres_grouping_for_trip_purpose[#All],MATCH(A386,Average_Distance_by_kilometres_grouping_for_trip_purpose[#Headers],0),0)</f>
        <v>7</v>
      </c>
      <c r="J386" s="89">
        <f t="shared" si="26"/>
        <v>7</v>
      </c>
      <c r="K386" s="89">
        <f t="shared" si="27"/>
        <v>0.14210312626877789</v>
      </c>
      <c r="L386" s="89">
        <v>1</v>
      </c>
      <c r="M386" s="13">
        <f t="shared" si="28"/>
        <v>598680797.3116684</v>
      </c>
      <c r="N386" s="11">
        <f t="shared" si="30"/>
        <v>1.1564942509499812E-2</v>
      </c>
    </row>
    <row r="387" spans="1:14" x14ac:dyDescent="0.25">
      <c r="A387" s="79" t="s">
        <v>32</v>
      </c>
      <c r="B387" s="89" t="s">
        <v>5</v>
      </c>
      <c r="C387" s="89" t="s">
        <v>56</v>
      </c>
      <c r="D387" s="13" t="s">
        <v>1</v>
      </c>
      <c r="E387" s="35">
        <f>VLOOKUP(B387, Passenger_Kilometre_by_mode_type[#All],MATCH(A387, Passenger_Kilometre_by_mode_type[#Headers],0),0)</f>
        <v>37448909302.314651</v>
      </c>
      <c r="F387" s="89">
        <f>VLOOKUP(C387, Reason_for_car_journeys_by_percentage[#All],MATCH(A387, Reason_for_car_journeys_by_percentage[#Headers],0),0)/100</f>
        <v>0.1125</v>
      </c>
      <c r="G387" s="13">
        <f t="shared" si="25"/>
        <v>4213002296.5103984</v>
      </c>
      <c r="H387" s="89">
        <f>VLOOKUP(D387,Average_Distance_by_kilometre_grouping_for_mode_type[#All],MATCH(A387,Average_Distance_by_kilometre_grouping_for_mode_type[#Headers],0),0)</f>
        <v>31.75</v>
      </c>
      <c r="I387" s="89">
        <f>VLOOKUP(D387,Average_Distance_by_kilometres_grouping_for_trip_purpose[#All],MATCH(A387,Average_Distance_by_kilometres_grouping_for_trip_purpose[#Headers],0),0)</f>
        <v>34.770000000000003</v>
      </c>
      <c r="J387" s="89">
        <f t="shared" si="26"/>
        <v>33.260000000000005</v>
      </c>
      <c r="K387" s="89">
        <f t="shared" si="27"/>
        <v>0.67519285424279341</v>
      </c>
      <c r="L387" s="89">
        <v>1</v>
      </c>
      <c r="M387" s="13">
        <f t="shared" si="28"/>
        <v>2844589045.5122995</v>
      </c>
      <c r="N387" s="11">
        <f t="shared" si="30"/>
        <v>5.4949998266566262E-2</v>
      </c>
    </row>
    <row r="388" spans="1:14" x14ac:dyDescent="0.25">
      <c r="A388" s="79" t="s">
        <v>32</v>
      </c>
      <c r="B388" s="89" t="s">
        <v>5</v>
      </c>
      <c r="C388" s="89" t="s">
        <v>57</v>
      </c>
      <c r="D388" s="13" t="s">
        <v>12</v>
      </c>
      <c r="E388" s="35">
        <f>VLOOKUP(B388, Passenger_Kilometre_by_mode_type[#All],MATCH(A388, Passenger_Kilometre_by_mode_type[#Headers],0),0)</f>
        <v>37448909302.314651</v>
      </c>
      <c r="F388" s="89">
        <f>VLOOKUP(C388, Reason_for_car_journeys_by_percentage[#All],MATCH(A388, Reason_for_car_journeys_by_percentage[#Headers],0),0)/100</f>
        <v>7.8750000000000001E-2</v>
      </c>
      <c r="G388" s="13">
        <f t="shared" ref="G388:G451" si="31">E388*F388</f>
        <v>2949101607.5572786</v>
      </c>
      <c r="H388" s="89">
        <f>VLOOKUP(D388,Average_Distance_by_kilometre_grouping_for_mode_type[#All],MATCH(A388,Average_Distance_by_kilometre_grouping_for_mode_type[#Headers],0),0)</f>
        <v>1</v>
      </c>
      <c r="I388" s="89">
        <f>VLOOKUP(D388,Average_Distance_by_kilometres_grouping_for_trip_purpose[#All],MATCH(A388,Average_Distance_by_kilometres_grouping_for_trip_purpose[#Headers],0),0)</f>
        <v>1</v>
      </c>
      <c r="J388" s="89">
        <f t="shared" ref="J388:J451" si="32">AVERAGE(H388:I388)</f>
        <v>1</v>
      </c>
      <c r="K388" s="89">
        <f t="shared" ref="K388:K451" si="33">J388/SUM(J388:J392)</f>
        <v>2.0300446609825416E-2</v>
      </c>
      <c r="L388" s="89">
        <v>1</v>
      </c>
      <c r="M388" s="13">
        <f t="shared" ref="M388:M451" si="34">G388*K388*L388</f>
        <v>59868079.73116684</v>
      </c>
      <c r="N388" s="11">
        <f t="shared" si="30"/>
        <v>1.1564942509499812E-3</v>
      </c>
    </row>
    <row r="389" spans="1:14" x14ac:dyDescent="0.25">
      <c r="A389" s="79" t="s">
        <v>32</v>
      </c>
      <c r="B389" s="89" t="s">
        <v>5</v>
      </c>
      <c r="C389" s="89" t="s">
        <v>57</v>
      </c>
      <c r="D389" s="13" t="s">
        <v>181</v>
      </c>
      <c r="E389" s="35">
        <f>VLOOKUP(B389, Passenger_Kilometre_by_mode_type[#All],MATCH(A389, Passenger_Kilometre_by_mode_type[#Headers],0),0)</f>
        <v>37448909302.314651</v>
      </c>
      <c r="F389" s="89">
        <f>VLOOKUP(C389, Reason_for_car_journeys_by_percentage[#All],MATCH(A389, Reason_for_car_journeys_by_percentage[#Headers],0),0)/100</f>
        <v>7.8750000000000001E-2</v>
      </c>
      <c r="G389" s="13">
        <f t="shared" si="31"/>
        <v>2949101607.5572786</v>
      </c>
      <c r="H389" s="89">
        <f>VLOOKUP(D389,Average_Distance_by_kilometre_grouping_for_mode_type[#All],MATCH(A389,Average_Distance_by_kilometre_grouping_for_mode_type[#Headers],0),0)</f>
        <v>3</v>
      </c>
      <c r="I389" s="89">
        <f>VLOOKUP(D389,Average_Distance_by_kilometres_grouping_for_trip_purpose[#All],MATCH(A389,Average_Distance_by_kilometres_grouping_for_trip_purpose[#Headers],0),0)</f>
        <v>3</v>
      </c>
      <c r="J389" s="89">
        <f t="shared" si="32"/>
        <v>3</v>
      </c>
      <c r="K389" s="89">
        <f t="shared" si="33"/>
        <v>6.0901339829476243E-2</v>
      </c>
      <c r="L389" s="89">
        <v>1</v>
      </c>
      <c r="M389" s="13">
        <f t="shared" si="34"/>
        <v>179604239.19350052</v>
      </c>
      <c r="N389" s="11">
        <f t="shared" si="30"/>
        <v>3.4694827528499433E-3</v>
      </c>
    </row>
    <row r="390" spans="1:14" x14ac:dyDescent="0.25">
      <c r="A390" s="79" t="s">
        <v>32</v>
      </c>
      <c r="B390" s="89" t="s">
        <v>5</v>
      </c>
      <c r="C390" s="89" t="s">
        <v>57</v>
      </c>
      <c r="D390" s="13" t="s">
        <v>180</v>
      </c>
      <c r="E390" s="35">
        <f>VLOOKUP(B390, Passenger_Kilometre_by_mode_type[#All],MATCH(A390, Passenger_Kilometre_by_mode_type[#Headers],0),0)</f>
        <v>37448909302.314651</v>
      </c>
      <c r="F390" s="89">
        <f>VLOOKUP(C390, Reason_for_car_journeys_by_percentage[#All],MATCH(A390, Reason_for_car_journeys_by_percentage[#Headers],0),0)/100</f>
        <v>7.8750000000000001E-2</v>
      </c>
      <c r="G390" s="13">
        <f t="shared" si="31"/>
        <v>2949101607.5572786</v>
      </c>
      <c r="H390" s="89">
        <f>VLOOKUP(D390,Average_Distance_by_kilometre_grouping_for_mode_type[#All],MATCH(A390,Average_Distance_by_kilometre_grouping_for_mode_type[#Headers],0),0)</f>
        <v>5</v>
      </c>
      <c r="I390" s="89">
        <f>VLOOKUP(D390,Average_Distance_by_kilometres_grouping_for_trip_purpose[#All],MATCH(A390,Average_Distance_by_kilometres_grouping_for_trip_purpose[#Headers],0),0)</f>
        <v>5</v>
      </c>
      <c r="J390" s="89">
        <f t="shared" si="32"/>
        <v>5</v>
      </c>
      <c r="K390" s="89">
        <f t="shared" si="33"/>
        <v>0.10150223304912707</v>
      </c>
      <c r="L390" s="89">
        <v>1</v>
      </c>
      <c r="M390" s="13">
        <f t="shared" si="34"/>
        <v>299340398.6558342</v>
      </c>
      <c r="N390" s="11">
        <f t="shared" si="30"/>
        <v>5.782471254749906E-3</v>
      </c>
    </row>
    <row r="391" spans="1:14" x14ac:dyDescent="0.25">
      <c r="A391" s="79" t="s">
        <v>32</v>
      </c>
      <c r="B391" s="89" t="s">
        <v>5</v>
      </c>
      <c r="C391" s="89" t="s">
        <v>57</v>
      </c>
      <c r="D391" s="13" t="s">
        <v>182</v>
      </c>
      <c r="E391" s="35">
        <f>VLOOKUP(B391, Passenger_Kilometre_by_mode_type[#All],MATCH(A391, Passenger_Kilometre_by_mode_type[#Headers],0),0)</f>
        <v>37448909302.314651</v>
      </c>
      <c r="F391" s="89">
        <f>VLOOKUP(C391, Reason_for_car_journeys_by_percentage[#All],MATCH(A391, Reason_for_car_journeys_by_percentage[#Headers],0),0)/100</f>
        <v>7.8750000000000001E-2</v>
      </c>
      <c r="G391" s="13">
        <f t="shared" si="31"/>
        <v>2949101607.5572786</v>
      </c>
      <c r="H391" s="89">
        <f>VLOOKUP(D391,Average_Distance_by_kilometre_grouping_for_mode_type[#All],MATCH(A391,Average_Distance_by_kilometre_grouping_for_mode_type[#Headers],0),0)</f>
        <v>7</v>
      </c>
      <c r="I391" s="89">
        <f>VLOOKUP(D391,Average_Distance_by_kilometres_grouping_for_trip_purpose[#All],MATCH(A391,Average_Distance_by_kilometres_grouping_for_trip_purpose[#Headers],0),0)</f>
        <v>7</v>
      </c>
      <c r="J391" s="89">
        <f t="shared" si="32"/>
        <v>7</v>
      </c>
      <c r="K391" s="89">
        <f t="shared" si="33"/>
        <v>0.14210312626877789</v>
      </c>
      <c r="L391" s="89">
        <v>1</v>
      </c>
      <c r="M391" s="13">
        <f t="shared" si="34"/>
        <v>419076558.11816782</v>
      </c>
      <c r="N391" s="11">
        <f t="shared" si="30"/>
        <v>8.0954597566498671E-3</v>
      </c>
    </row>
    <row r="392" spans="1:14" x14ac:dyDescent="0.25">
      <c r="A392" s="79" t="s">
        <v>32</v>
      </c>
      <c r="B392" s="89" t="s">
        <v>5</v>
      </c>
      <c r="C392" s="89" t="s">
        <v>57</v>
      </c>
      <c r="D392" s="13" t="s">
        <v>1</v>
      </c>
      <c r="E392" s="35">
        <f>VLOOKUP(B392, Passenger_Kilometre_by_mode_type[#All],MATCH(A392, Passenger_Kilometre_by_mode_type[#Headers],0),0)</f>
        <v>37448909302.314651</v>
      </c>
      <c r="F392" s="89">
        <f>VLOOKUP(C392, Reason_for_car_journeys_by_percentage[#All],MATCH(A392, Reason_for_car_journeys_by_percentage[#Headers],0),0)/100</f>
        <v>7.8750000000000001E-2</v>
      </c>
      <c r="G392" s="13">
        <f t="shared" si="31"/>
        <v>2949101607.5572786</v>
      </c>
      <c r="H392" s="89">
        <f>VLOOKUP(D392,Average_Distance_by_kilometre_grouping_for_mode_type[#All],MATCH(A392,Average_Distance_by_kilometre_grouping_for_mode_type[#Headers],0),0)</f>
        <v>31.75</v>
      </c>
      <c r="I392" s="89">
        <f>VLOOKUP(D392,Average_Distance_by_kilometres_grouping_for_trip_purpose[#All],MATCH(A392,Average_Distance_by_kilometres_grouping_for_trip_purpose[#Headers],0),0)</f>
        <v>34.770000000000003</v>
      </c>
      <c r="J392" s="89">
        <f t="shared" si="32"/>
        <v>33.260000000000005</v>
      </c>
      <c r="K392" s="89">
        <f t="shared" si="33"/>
        <v>0.67519285424279341</v>
      </c>
      <c r="L392" s="89">
        <v>1</v>
      </c>
      <c r="M392" s="13">
        <f t="shared" si="34"/>
        <v>1991212331.8586094</v>
      </c>
      <c r="N392" s="11">
        <f t="shared" si="30"/>
        <v>3.8464998786596379E-2</v>
      </c>
    </row>
    <row r="393" spans="1:14" x14ac:dyDescent="0.25">
      <c r="A393" s="79" t="s">
        <v>32</v>
      </c>
      <c r="B393" s="89" t="s">
        <v>5</v>
      </c>
      <c r="C393" s="89" t="s">
        <v>93</v>
      </c>
      <c r="D393" s="13" t="s">
        <v>12</v>
      </c>
      <c r="E393" s="35">
        <f>VLOOKUP(B393, Passenger_Kilometre_by_mode_type[#All],MATCH(A393, Passenger_Kilometre_by_mode_type[#Headers],0),0)</f>
        <v>37448909302.314651</v>
      </c>
      <c r="F393" s="89">
        <f>VLOOKUP(C393, Reason_for_car_journeys_by_percentage[#All],MATCH(A393, Reason_for_car_journeys_by_percentage[#Headers],0),0)/100</f>
        <v>6.7250000000000004E-2</v>
      </c>
      <c r="G393" s="13">
        <f t="shared" si="31"/>
        <v>2518439150.5806603</v>
      </c>
      <c r="H393" s="89">
        <f>VLOOKUP(D393,Average_Distance_by_kilometre_grouping_for_mode_type[#All],MATCH(A393,Average_Distance_by_kilometre_grouping_for_mode_type[#Headers],0),0)</f>
        <v>1</v>
      </c>
      <c r="I393" s="89">
        <f>VLOOKUP(D393,Average_Distance_by_kilometres_grouping_for_trip_purpose[#All],MATCH(A393,Average_Distance_by_kilometres_grouping_for_trip_purpose[#Headers],0),0)</f>
        <v>1</v>
      </c>
      <c r="J393" s="89">
        <f t="shared" si="32"/>
        <v>1</v>
      </c>
      <c r="K393" s="89">
        <f t="shared" si="33"/>
        <v>2.0300446609825416E-2</v>
      </c>
      <c r="L393" s="89">
        <v>1</v>
      </c>
      <c r="M393" s="13">
        <f t="shared" si="34"/>
        <v>51125439.516456768</v>
      </c>
      <c r="N393" s="11">
        <f t="shared" si="30"/>
        <v>9.876093762080792E-4</v>
      </c>
    </row>
    <row r="394" spans="1:14" x14ac:dyDescent="0.25">
      <c r="A394" s="79" t="s">
        <v>32</v>
      </c>
      <c r="B394" s="89" t="s">
        <v>5</v>
      </c>
      <c r="C394" s="89" t="s">
        <v>93</v>
      </c>
      <c r="D394" s="13" t="s">
        <v>181</v>
      </c>
      <c r="E394" s="35">
        <f>VLOOKUP(B394, Passenger_Kilometre_by_mode_type[#All],MATCH(A394, Passenger_Kilometre_by_mode_type[#Headers],0),0)</f>
        <v>37448909302.314651</v>
      </c>
      <c r="F394" s="89">
        <f>VLOOKUP(C394, Reason_for_car_journeys_by_percentage[#All],MATCH(A394, Reason_for_car_journeys_by_percentage[#Headers],0),0)/100</f>
        <v>6.7250000000000004E-2</v>
      </c>
      <c r="G394" s="13">
        <f t="shared" si="31"/>
        <v>2518439150.5806603</v>
      </c>
      <c r="H394" s="89">
        <f>VLOOKUP(D394,Average_Distance_by_kilometre_grouping_for_mode_type[#All],MATCH(A394,Average_Distance_by_kilometre_grouping_for_mode_type[#Headers],0),0)</f>
        <v>3</v>
      </c>
      <c r="I394" s="89">
        <f>VLOOKUP(D394,Average_Distance_by_kilometres_grouping_for_trip_purpose[#All],MATCH(A394,Average_Distance_by_kilometres_grouping_for_trip_purpose[#Headers],0),0)</f>
        <v>3</v>
      </c>
      <c r="J394" s="89">
        <f t="shared" si="32"/>
        <v>3</v>
      </c>
      <c r="K394" s="89">
        <f t="shared" si="33"/>
        <v>6.0901339829476243E-2</v>
      </c>
      <c r="L394" s="89">
        <v>1</v>
      </c>
      <c r="M394" s="13">
        <f t="shared" si="34"/>
        <v>153376318.54937029</v>
      </c>
      <c r="N394" s="11">
        <f t="shared" si="30"/>
        <v>2.9628281286242374E-3</v>
      </c>
    </row>
    <row r="395" spans="1:14" x14ac:dyDescent="0.25">
      <c r="A395" s="79" t="s">
        <v>32</v>
      </c>
      <c r="B395" s="89" t="s">
        <v>5</v>
      </c>
      <c r="C395" s="89" t="s">
        <v>93</v>
      </c>
      <c r="D395" s="13" t="s">
        <v>180</v>
      </c>
      <c r="E395" s="35">
        <f>VLOOKUP(B395, Passenger_Kilometre_by_mode_type[#All],MATCH(A395, Passenger_Kilometre_by_mode_type[#Headers],0),0)</f>
        <v>37448909302.314651</v>
      </c>
      <c r="F395" s="89">
        <f>VLOOKUP(C395, Reason_for_car_journeys_by_percentage[#All],MATCH(A395, Reason_for_car_journeys_by_percentage[#Headers],0),0)/100</f>
        <v>6.7250000000000004E-2</v>
      </c>
      <c r="G395" s="13">
        <f t="shared" si="31"/>
        <v>2518439150.5806603</v>
      </c>
      <c r="H395" s="89">
        <f>VLOOKUP(D395,Average_Distance_by_kilometre_grouping_for_mode_type[#All],MATCH(A395,Average_Distance_by_kilometre_grouping_for_mode_type[#Headers],0),0)</f>
        <v>5</v>
      </c>
      <c r="I395" s="89">
        <f>VLOOKUP(D395,Average_Distance_by_kilometres_grouping_for_trip_purpose[#All],MATCH(A395,Average_Distance_by_kilometres_grouping_for_trip_purpose[#Headers],0),0)</f>
        <v>5</v>
      </c>
      <c r="J395" s="89">
        <f t="shared" si="32"/>
        <v>5</v>
      </c>
      <c r="K395" s="89">
        <f t="shared" si="33"/>
        <v>0.10150223304912707</v>
      </c>
      <c r="L395" s="89">
        <v>1</v>
      </c>
      <c r="M395" s="13">
        <f t="shared" si="34"/>
        <v>255627197.58228382</v>
      </c>
      <c r="N395" s="11">
        <f t="shared" si="30"/>
        <v>4.9380468810403958E-3</v>
      </c>
    </row>
    <row r="396" spans="1:14" x14ac:dyDescent="0.25">
      <c r="A396" s="79" t="s">
        <v>32</v>
      </c>
      <c r="B396" s="89" t="s">
        <v>5</v>
      </c>
      <c r="C396" s="89" t="s">
        <v>93</v>
      </c>
      <c r="D396" s="13" t="s">
        <v>182</v>
      </c>
      <c r="E396" s="35">
        <f>VLOOKUP(B396, Passenger_Kilometre_by_mode_type[#All],MATCH(A396, Passenger_Kilometre_by_mode_type[#Headers],0),0)</f>
        <v>37448909302.314651</v>
      </c>
      <c r="F396" s="89">
        <f>VLOOKUP(C396, Reason_for_car_journeys_by_percentage[#All],MATCH(A396, Reason_for_car_journeys_by_percentage[#Headers],0),0)/100</f>
        <v>6.7250000000000004E-2</v>
      </c>
      <c r="G396" s="13">
        <f t="shared" si="31"/>
        <v>2518439150.5806603</v>
      </c>
      <c r="H396" s="89">
        <f>VLOOKUP(D396,Average_Distance_by_kilometre_grouping_for_mode_type[#All],MATCH(A396,Average_Distance_by_kilometre_grouping_for_mode_type[#Headers],0),0)</f>
        <v>7</v>
      </c>
      <c r="I396" s="89">
        <f>VLOOKUP(D396,Average_Distance_by_kilometres_grouping_for_trip_purpose[#All],MATCH(A396,Average_Distance_by_kilometres_grouping_for_trip_purpose[#Headers],0),0)</f>
        <v>7</v>
      </c>
      <c r="J396" s="89">
        <f t="shared" si="32"/>
        <v>7</v>
      </c>
      <c r="K396" s="89">
        <f t="shared" si="33"/>
        <v>0.14210312626877789</v>
      </c>
      <c r="L396" s="89">
        <v>1</v>
      </c>
      <c r="M396" s="13">
        <f t="shared" si="34"/>
        <v>357878076.6151973</v>
      </c>
      <c r="N396" s="11">
        <f t="shared" si="30"/>
        <v>6.9132656334565537E-3</v>
      </c>
    </row>
    <row r="397" spans="1:14" x14ac:dyDescent="0.25">
      <c r="A397" s="79" t="s">
        <v>32</v>
      </c>
      <c r="B397" s="89" t="s">
        <v>5</v>
      </c>
      <c r="C397" s="89" t="s">
        <v>93</v>
      </c>
      <c r="D397" s="13" t="s">
        <v>1</v>
      </c>
      <c r="E397" s="35">
        <f>VLOOKUP(B397, Passenger_Kilometre_by_mode_type[#All],MATCH(A397, Passenger_Kilometre_by_mode_type[#Headers],0),0)</f>
        <v>37448909302.314651</v>
      </c>
      <c r="F397" s="89">
        <f>VLOOKUP(C397, Reason_for_car_journeys_by_percentage[#All],MATCH(A397, Reason_for_car_journeys_by_percentage[#Headers],0),0)/100</f>
        <v>6.7250000000000004E-2</v>
      </c>
      <c r="G397" s="13">
        <f t="shared" si="31"/>
        <v>2518439150.5806603</v>
      </c>
      <c r="H397" s="89">
        <f>VLOOKUP(D397,Average_Distance_by_kilometre_grouping_for_mode_type[#All],MATCH(A397,Average_Distance_by_kilometre_grouping_for_mode_type[#Headers],0),0)</f>
        <v>31.75</v>
      </c>
      <c r="I397" s="89">
        <f>VLOOKUP(D397,Average_Distance_by_kilometres_grouping_for_trip_purpose[#All],MATCH(A397,Average_Distance_by_kilometres_grouping_for_trip_purpose[#Headers],0),0)</f>
        <v>34.770000000000003</v>
      </c>
      <c r="J397" s="89">
        <f t="shared" si="32"/>
        <v>33.260000000000005</v>
      </c>
      <c r="K397" s="89">
        <f t="shared" si="33"/>
        <v>0.67519285424279341</v>
      </c>
      <c r="L397" s="89">
        <v>1</v>
      </c>
      <c r="M397" s="13">
        <f t="shared" si="34"/>
        <v>1700432118.3173523</v>
      </c>
      <c r="N397" s="11">
        <f t="shared" si="30"/>
        <v>3.2847887852680717E-2</v>
      </c>
    </row>
    <row r="398" spans="1:14" x14ac:dyDescent="0.25">
      <c r="A398" s="79" t="s">
        <v>32</v>
      </c>
      <c r="B398" s="89" t="s">
        <v>5</v>
      </c>
      <c r="C398" s="89" t="s">
        <v>243</v>
      </c>
      <c r="D398" s="13" t="s">
        <v>12</v>
      </c>
      <c r="E398" s="35">
        <f>VLOOKUP(B398, Passenger_Kilometre_by_mode_type[#All],MATCH(A398, Passenger_Kilometre_by_mode_type[#Headers],0),0)</f>
        <v>37448909302.314651</v>
      </c>
      <c r="F398" s="89">
        <f>VLOOKUP(C398, Reason_for_car_journeys_by_percentage[#All],MATCH(A398, Reason_for_car_journeys_by_percentage[#Headers],0),0)/100</f>
        <v>0.18149999999999999</v>
      </c>
      <c r="G398" s="13">
        <f t="shared" si="31"/>
        <v>6796977038.3701086</v>
      </c>
      <c r="H398" s="89">
        <f>VLOOKUP(D398,Average_Distance_by_kilometre_grouping_for_mode_type[#All],MATCH(A398,Average_Distance_by_kilometre_grouping_for_mode_type[#Headers],0),0)</f>
        <v>1</v>
      </c>
      <c r="I398" s="89">
        <f>VLOOKUP(D398,Average_Distance_by_kilometres_grouping_for_trip_purpose[#All],MATCH(A398,Average_Distance_by_kilometres_grouping_for_trip_purpose[#Headers],0),0)</f>
        <v>1</v>
      </c>
      <c r="J398" s="89">
        <f t="shared" si="32"/>
        <v>1</v>
      </c>
      <c r="K398" s="89">
        <f t="shared" si="33"/>
        <v>2.0300446609825416E-2</v>
      </c>
      <c r="L398" s="89">
        <v>1</v>
      </c>
      <c r="M398" s="13">
        <f t="shared" si="34"/>
        <v>137981669.47564167</v>
      </c>
      <c r="N398" s="11">
        <f t="shared" si="30"/>
        <v>2.665443892665671E-3</v>
      </c>
    </row>
    <row r="399" spans="1:14" x14ac:dyDescent="0.25">
      <c r="A399" s="79" t="s">
        <v>32</v>
      </c>
      <c r="B399" s="89" t="s">
        <v>5</v>
      </c>
      <c r="C399" s="89" t="s">
        <v>243</v>
      </c>
      <c r="D399" s="13" t="s">
        <v>181</v>
      </c>
      <c r="E399" s="35">
        <f>VLOOKUP(B399, Passenger_Kilometre_by_mode_type[#All],MATCH(A399, Passenger_Kilometre_by_mode_type[#Headers],0),0)</f>
        <v>37448909302.314651</v>
      </c>
      <c r="F399" s="89">
        <f>VLOOKUP(C399, Reason_for_car_journeys_by_percentage[#All],MATCH(A399, Reason_for_car_journeys_by_percentage[#Headers],0),0)/100</f>
        <v>0.18149999999999999</v>
      </c>
      <c r="G399" s="13">
        <f t="shared" si="31"/>
        <v>6796977038.3701086</v>
      </c>
      <c r="H399" s="89">
        <f>VLOOKUP(D399,Average_Distance_by_kilometre_grouping_for_mode_type[#All],MATCH(A399,Average_Distance_by_kilometre_grouping_for_mode_type[#Headers],0),0)</f>
        <v>3</v>
      </c>
      <c r="I399" s="89">
        <f>VLOOKUP(D399,Average_Distance_by_kilometres_grouping_for_trip_purpose[#All],MATCH(A399,Average_Distance_by_kilometres_grouping_for_trip_purpose[#Headers],0),0)</f>
        <v>3</v>
      </c>
      <c r="J399" s="89">
        <f t="shared" si="32"/>
        <v>3</v>
      </c>
      <c r="K399" s="89">
        <f t="shared" si="33"/>
        <v>6.0901339829476243E-2</v>
      </c>
      <c r="L399" s="89">
        <v>1</v>
      </c>
      <c r="M399" s="13">
        <f t="shared" si="34"/>
        <v>413945008.42692494</v>
      </c>
      <c r="N399" s="11">
        <f t="shared" si="30"/>
        <v>7.9963316779970116E-3</v>
      </c>
    </row>
    <row r="400" spans="1:14" x14ac:dyDescent="0.25">
      <c r="A400" s="79" t="s">
        <v>32</v>
      </c>
      <c r="B400" s="89" t="s">
        <v>5</v>
      </c>
      <c r="C400" s="89" t="s">
        <v>243</v>
      </c>
      <c r="D400" s="13" t="s">
        <v>180</v>
      </c>
      <c r="E400" s="35">
        <f>VLOOKUP(B400, Passenger_Kilometre_by_mode_type[#All],MATCH(A400, Passenger_Kilometre_by_mode_type[#Headers],0),0)</f>
        <v>37448909302.314651</v>
      </c>
      <c r="F400" s="89">
        <f>VLOOKUP(C400, Reason_for_car_journeys_by_percentage[#All],MATCH(A400, Reason_for_car_journeys_by_percentage[#Headers],0),0)/100</f>
        <v>0.18149999999999999</v>
      </c>
      <c r="G400" s="13">
        <f t="shared" si="31"/>
        <v>6796977038.3701086</v>
      </c>
      <c r="H400" s="89">
        <f>VLOOKUP(D400,Average_Distance_by_kilometre_grouping_for_mode_type[#All],MATCH(A400,Average_Distance_by_kilometre_grouping_for_mode_type[#Headers],0),0)</f>
        <v>5</v>
      </c>
      <c r="I400" s="89">
        <f>VLOOKUP(D400,Average_Distance_by_kilometres_grouping_for_trip_purpose[#All],MATCH(A400,Average_Distance_by_kilometres_grouping_for_trip_purpose[#Headers],0),0)</f>
        <v>5</v>
      </c>
      <c r="J400" s="89">
        <f t="shared" si="32"/>
        <v>5</v>
      </c>
      <c r="K400" s="89">
        <f t="shared" si="33"/>
        <v>0.10150223304912707</v>
      </c>
      <c r="L400" s="89">
        <v>1</v>
      </c>
      <c r="M400" s="13">
        <f t="shared" si="34"/>
        <v>689908347.37820828</v>
      </c>
      <c r="N400" s="11">
        <f t="shared" si="30"/>
        <v>1.3327219463328353E-2</v>
      </c>
    </row>
    <row r="401" spans="1:14" x14ac:dyDescent="0.25">
      <c r="A401" s="79" t="s">
        <v>32</v>
      </c>
      <c r="B401" s="89" t="s">
        <v>5</v>
      </c>
      <c r="C401" s="89" t="s">
        <v>243</v>
      </c>
      <c r="D401" s="13" t="s">
        <v>182</v>
      </c>
      <c r="E401" s="35">
        <f>VLOOKUP(B401, Passenger_Kilometre_by_mode_type[#All],MATCH(A401, Passenger_Kilometre_by_mode_type[#Headers],0),0)</f>
        <v>37448909302.314651</v>
      </c>
      <c r="F401" s="89">
        <f>VLOOKUP(C401, Reason_for_car_journeys_by_percentage[#All],MATCH(A401, Reason_for_car_journeys_by_percentage[#Headers],0),0)/100</f>
        <v>0.18149999999999999</v>
      </c>
      <c r="G401" s="13">
        <f t="shared" si="31"/>
        <v>6796977038.3701086</v>
      </c>
      <c r="H401" s="89">
        <f>VLOOKUP(D401,Average_Distance_by_kilometre_grouping_for_mode_type[#All],MATCH(A401,Average_Distance_by_kilometre_grouping_for_mode_type[#Headers],0),0)</f>
        <v>7</v>
      </c>
      <c r="I401" s="89">
        <f>VLOOKUP(D401,Average_Distance_by_kilometres_grouping_for_trip_purpose[#All],MATCH(A401,Average_Distance_by_kilometres_grouping_for_trip_purpose[#Headers],0),0)</f>
        <v>7</v>
      </c>
      <c r="J401" s="89">
        <f t="shared" si="32"/>
        <v>7</v>
      </c>
      <c r="K401" s="89">
        <f t="shared" si="33"/>
        <v>0.14210312626877789</v>
      </c>
      <c r="L401" s="89">
        <v>1</v>
      </c>
      <c r="M401" s="13">
        <f t="shared" si="34"/>
        <v>965871686.3294915</v>
      </c>
      <c r="N401" s="11">
        <f t="shared" si="30"/>
        <v>1.8658107248659694E-2</v>
      </c>
    </row>
    <row r="402" spans="1:14" x14ac:dyDescent="0.25">
      <c r="A402" s="79" t="s">
        <v>32</v>
      </c>
      <c r="B402" s="89" t="s">
        <v>5</v>
      </c>
      <c r="C402" s="89" t="s">
        <v>243</v>
      </c>
      <c r="D402" s="13" t="s">
        <v>1</v>
      </c>
      <c r="E402" s="35">
        <f>VLOOKUP(B402, Passenger_Kilometre_by_mode_type[#All],MATCH(A402, Passenger_Kilometre_by_mode_type[#Headers],0),0)</f>
        <v>37448909302.314651</v>
      </c>
      <c r="F402" s="89">
        <f>VLOOKUP(C402, Reason_for_car_journeys_by_percentage[#All],MATCH(A402, Reason_for_car_journeys_by_percentage[#Headers],0),0)/100</f>
        <v>0.18149999999999999</v>
      </c>
      <c r="G402" s="13">
        <f t="shared" si="31"/>
        <v>6796977038.3701086</v>
      </c>
      <c r="H402" s="89">
        <f>VLOOKUP(D402,Average_Distance_by_kilometre_grouping_for_mode_type[#All],MATCH(A402,Average_Distance_by_kilometre_grouping_for_mode_type[#Headers],0),0)</f>
        <v>31.75</v>
      </c>
      <c r="I402" s="89">
        <f>VLOOKUP(D402,Average_Distance_by_kilometres_grouping_for_trip_purpose[#All],MATCH(A402,Average_Distance_by_kilometres_grouping_for_trip_purpose[#Headers],0),0)</f>
        <v>34.770000000000003</v>
      </c>
      <c r="J402" s="89">
        <f t="shared" si="32"/>
        <v>33.260000000000005</v>
      </c>
      <c r="K402" s="89">
        <f t="shared" si="33"/>
        <v>0.67519285424279341</v>
      </c>
      <c r="L402" s="89">
        <v>1</v>
      </c>
      <c r="M402" s="13">
        <f t="shared" si="34"/>
        <v>4589270326.7598419</v>
      </c>
      <c r="N402" s="11">
        <f t="shared" si="30"/>
        <v>8.8652663870060211E-2</v>
      </c>
    </row>
    <row r="403" spans="1:14" x14ac:dyDescent="0.25">
      <c r="A403" s="79" t="s">
        <v>32</v>
      </c>
      <c r="B403" s="89" t="s">
        <v>5</v>
      </c>
      <c r="C403" s="89" t="s">
        <v>50</v>
      </c>
      <c r="D403" s="13" t="s">
        <v>12</v>
      </c>
      <c r="E403" s="35">
        <f>VLOOKUP(B403, Passenger_Kilometre_by_mode_type[#All],MATCH(A403, Passenger_Kilometre_by_mode_type[#Headers],0),0)</f>
        <v>37448909302.314651</v>
      </c>
      <c r="F403" s="89">
        <f>VLOOKUP(C403, Reason_for_car_journeys_by_percentage[#All],MATCH(A403, Reason_for_car_journeys_by_percentage[#Headers],0),0)/100</f>
        <v>3.4750000000000003E-2</v>
      </c>
      <c r="G403" s="13">
        <f t="shared" si="31"/>
        <v>1301349598.2554343</v>
      </c>
      <c r="H403" s="89">
        <f>VLOOKUP(D403,Average_Distance_by_kilometre_grouping_for_mode_type[#All],MATCH(A403,Average_Distance_by_kilometre_grouping_for_mode_type[#Headers],0),0)</f>
        <v>1</v>
      </c>
      <c r="I403" s="89">
        <f>VLOOKUP(D403,Average_Distance_by_kilometres_grouping_for_trip_purpose[#All],MATCH(A403,Average_Distance_by_kilometres_grouping_for_trip_purpose[#Headers],0),0)</f>
        <v>1</v>
      </c>
      <c r="J403" s="89">
        <f t="shared" si="32"/>
        <v>1</v>
      </c>
      <c r="K403" s="89">
        <f t="shared" si="33"/>
        <v>2.0300446609825416E-2</v>
      </c>
      <c r="L403" s="89">
        <v>1</v>
      </c>
      <c r="M403" s="13">
        <f t="shared" si="34"/>
        <v>26417978.040102199</v>
      </c>
      <c r="N403" s="11">
        <f t="shared" si="30"/>
        <v>5.1032603454618229E-4</v>
      </c>
    </row>
    <row r="404" spans="1:14" x14ac:dyDescent="0.25">
      <c r="A404" s="79" t="s">
        <v>32</v>
      </c>
      <c r="B404" s="89" t="s">
        <v>5</v>
      </c>
      <c r="C404" s="89" t="s">
        <v>50</v>
      </c>
      <c r="D404" s="13" t="s">
        <v>181</v>
      </c>
      <c r="E404" s="35">
        <f>VLOOKUP(B404, Passenger_Kilometre_by_mode_type[#All],MATCH(A404, Passenger_Kilometre_by_mode_type[#Headers],0),0)</f>
        <v>37448909302.314651</v>
      </c>
      <c r="F404" s="89">
        <f>VLOOKUP(C404, Reason_for_car_journeys_by_percentage[#All],MATCH(A404, Reason_for_car_journeys_by_percentage[#Headers],0),0)/100</f>
        <v>3.4750000000000003E-2</v>
      </c>
      <c r="G404" s="13">
        <f t="shared" si="31"/>
        <v>1301349598.2554343</v>
      </c>
      <c r="H404" s="89">
        <f>VLOOKUP(D404,Average_Distance_by_kilometre_grouping_for_mode_type[#All],MATCH(A404,Average_Distance_by_kilometre_grouping_for_mode_type[#Headers],0),0)</f>
        <v>3</v>
      </c>
      <c r="I404" s="89">
        <f>VLOOKUP(D404,Average_Distance_by_kilometres_grouping_for_trip_purpose[#All],MATCH(A404,Average_Distance_by_kilometres_grouping_for_trip_purpose[#Headers],0),0)</f>
        <v>3</v>
      </c>
      <c r="J404" s="89">
        <f t="shared" si="32"/>
        <v>3</v>
      </c>
      <c r="K404" s="89">
        <f t="shared" si="33"/>
        <v>6.0901339829476243E-2</v>
      </c>
      <c r="L404" s="89">
        <v>1</v>
      </c>
      <c r="M404" s="13">
        <f t="shared" si="34"/>
        <v>79253934.120306581</v>
      </c>
      <c r="N404" s="11">
        <f t="shared" si="30"/>
        <v>1.5309781036385464E-3</v>
      </c>
    </row>
    <row r="405" spans="1:14" x14ac:dyDescent="0.25">
      <c r="A405" s="79" t="s">
        <v>32</v>
      </c>
      <c r="B405" s="89" t="s">
        <v>5</v>
      </c>
      <c r="C405" s="89" t="s">
        <v>50</v>
      </c>
      <c r="D405" s="13" t="s">
        <v>180</v>
      </c>
      <c r="E405" s="35">
        <f>VLOOKUP(B405, Passenger_Kilometre_by_mode_type[#All],MATCH(A405, Passenger_Kilometre_by_mode_type[#Headers],0),0)</f>
        <v>37448909302.314651</v>
      </c>
      <c r="F405" s="89">
        <f>VLOOKUP(C405, Reason_for_car_journeys_by_percentage[#All],MATCH(A405, Reason_for_car_journeys_by_percentage[#Headers],0),0)/100</f>
        <v>3.4750000000000003E-2</v>
      </c>
      <c r="G405" s="13">
        <f t="shared" si="31"/>
        <v>1301349598.2554343</v>
      </c>
      <c r="H405" s="89">
        <f>VLOOKUP(D405,Average_Distance_by_kilometre_grouping_for_mode_type[#All],MATCH(A405,Average_Distance_by_kilometre_grouping_for_mode_type[#Headers],0),0)</f>
        <v>5</v>
      </c>
      <c r="I405" s="89">
        <f>VLOOKUP(D405,Average_Distance_by_kilometres_grouping_for_trip_purpose[#All],MATCH(A405,Average_Distance_by_kilometres_grouping_for_trip_purpose[#Headers],0),0)</f>
        <v>5</v>
      </c>
      <c r="J405" s="89">
        <f t="shared" si="32"/>
        <v>5</v>
      </c>
      <c r="K405" s="89">
        <f t="shared" si="33"/>
        <v>0.10150223304912707</v>
      </c>
      <c r="L405" s="89">
        <v>1</v>
      </c>
      <c r="M405" s="13">
        <f t="shared" si="34"/>
        <v>132089890.20051098</v>
      </c>
      <c r="N405" s="11">
        <f t="shared" si="30"/>
        <v>2.5516301727309112E-3</v>
      </c>
    </row>
    <row r="406" spans="1:14" x14ac:dyDescent="0.25">
      <c r="A406" s="79" t="s">
        <v>32</v>
      </c>
      <c r="B406" s="89" t="s">
        <v>5</v>
      </c>
      <c r="C406" s="89" t="s">
        <v>50</v>
      </c>
      <c r="D406" s="13" t="s">
        <v>182</v>
      </c>
      <c r="E406" s="35">
        <f>VLOOKUP(B406, Passenger_Kilometre_by_mode_type[#All],MATCH(A406, Passenger_Kilometre_by_mode_type[#Headers],0),0)</f>
        <v>37448909302.314651</v>
      </c>
      <c r="F406" s="89">
        <f>VLOOKUP(C406, Reason_for_car_journeys_by_percentage[#All],MATCH(A406, Reason_for_car_journeys_by_percentage[#Headers],0),0)/100</f>
        <v>3.4750000000000003E-2</v>
      </c>
      <c r="G406" s="13">
        <f t="shared" si="31"/>
        <v>1301349598.2554343</v>
      </c>
      <c r="H406" s="89">
        <f>VLOOKUP(D406,Average_Distance_by_kilometre_grouping_for_mode_type[#All],MATCH(A406,Average_Distance_by_kilometre_grouping_for_mode_type[#Headers],0),0)</f>
        <v>7</v>
      </c>
      <c r="I406" s="89">
        <f>VLOOKUP(D406,Average_Distance_by_kilometres_grouping_for_trip_purpose[#All],MATCH(A406,Average_Distance_by_kilometres_grouping_for_trip_purpose[#Headers],0),0)</f>
        <v>7</v>
      </c>
      <c r="J406" s="89">
        <f t="shared" si="32"/>
        <v>7</v>
      </c>
      <c r="K406" s="89">
        <f t="shared" si="33"/>
        <v>0.14210312626877789</v>
      </c>
      <c r="L406" s="89">
        <v>1</v>
      </c>
      <c r="M406" s="13">
        <f t="shared" si="34"/>
        <v>184925846.28071535</v>
      </c>
      <c r="N406" s="11">
        <f t="shared" si="30"/>
        <v>3.5722822418232749E-3</v>
      </c>
    </row>
    <row r="407" spans="1:14" x14ac:dyDescent="0.25">
      <c r="A407" s="79" t="s">
        <v>32</v>
      </c>
      <c r="B407" s="89" t="s">
        <v>5</v>
      </c>
      <c r="C407" s="89" t="s">
        <v>50</v>
      </c>
      <c r="D407" s="13" t="s">
        <v>1</v>
      </c>
      <c r="E407" s="35">
        <f>VLOOKUP(B407, Passenger_Kilometre_by_mode_type[#All],MATCH(A407, Passenger_Kilometre_by_mode_type[#Headers],0),0)</f>
        <v>37448909302.314651</v>
      </c>
      <c r="F407" s="89">
        <f>VLOOKUP(C407, Reason_for_car_journeys_by_percentage[#All],MATCH(A407, Reason_for_car_journeys_by_percentage[#Headers],0),0)/100</f>
        <v>3.4750000000000003E-2</v>
      </c>
      <c r="G407" s="13">
        <f t="shared" si="31"/>
        <v>1301349598.2554343</v>
      </c>
      <c r="H407" s="89">
        <f>VLOOKUP(D407,Average_Distance_by_kilometre_grouping_for_mode_type[#All],MATCH(A407,Average_Distance_by_kilometre_grouping_for_mode_type[#Headers],0),0)</f>
        <v>31.75</v>
      </c>
      <c r="I407" s="89">
        <f>VLOOKUP(D407,Average_Distance_by_kilometres_grouping_for_trip_purpose[#All],MATCH(A407,Average_Distance_by_kilometres_grouping_for_trip_purpose[#Headers],0),0)</f>
        <v>34.770000000000003</v>
      </c>
      <c r="J407" s="89">
        <f t="shared" si="32"/>
        <v>33.260000000000005</v>
      </c>
      <c r="K407" s="89">
        <f t="shared" si="33"/>
        <v>0.67519285424279341</v>
      </c>
      <c r="L407" s="89">
        <v>1</v>
      </c>
      <c r="M407" s="13">
        <f t="shared" si="34"/>
        <v>878661949.61379921</v>
      </c>
      <c r="N407" s="11">
        <f t="shared" si="30"/>
        <v>1.6973443909006024E-2</v>
      </c>
    </row>
    <row r="408" spans="1:14" x14ac:dyDescent="0.25">
      <c r="A408" s="79" t="s">
        <v>32</v>
      </c>
      <c r="B408" s="89" t="s">
        <v>6</v>
      </c>
      <c r="C408" s="89" t="s">
        <v>42</v>
      </c>
      <c r="D408" s="13" t="s">
        <v>12</v>
      </c>
      <c r="E408" s="35">
        <f>VLOOKUP(B408, Passenger_Kilometre_by_mode_type[#All],MATCH(A408, Passenger_Kilometre_by_mode_type[#Headers],0),0)</f>
        <v>6545814439.711257</v>
      </c>
      <c r="F408" s="89">
        <f>VLOOKUP(C408, Reason_for_car_journeys_by_percentage[#All],MATCH(A408, Reason_for_car_journeys_by_percentage[#Headers],0),0)/100</f>
        <v>0.24349999999999997</v>
      </c>
      <c r="G408" s="13">
        <f t="shared" si="31"/>
        <v>1593905816.0696909</v>
      </c>
      <c r="H408" s="89">
        <f>VLOOKUP(D408,Average_Distance_by_kilometre_grouping_for_mode_type[#All],MATCH(A408,Average_Distance_by_kilometre_grouping_for_mode_type[#Headers],0),0)</f>
        <v>1</v>
      </c>
      <c r="I408" s="89">
        <f>VLOOKUP(D408,Average_Distance_by_kilometres_grouping_for_trip_purpose[#All],MATCH(A408,Average_Distance_by_kilometres_grouping_for_trip_purpose[#Headers],0),0)</f>
        <v>1</v>
      </c>
      <c r="J408" s="89">
        <f t="shared" si="32"/>
        <v>1</v>
      </c>
      <c r="K408" s="89">
        <f t="shared" si="33"/>
        <v>2.0300446609825416E-2</v>
      </c>
      <c r="L408" s="89">
        <v>1</v>
      </c>
      <c r="M408" s="13">
        <f t="shared" si="34"/>
        <v>32356999.920212969</v>
      </c>
      <c r="N408" s="11">
        <f t="shared" si="30"/>
        <v>6.2505235767958643E-4</v>
      </c>
    </row>
    <row r="409" spans="1:14" x14ac:dyDescent="0.25">
      <c r="A409" s="79" t="s">
        <v>32</v>
      </c>
      <c r="B409" s="89" t="s">
        <v>6</v>
      </c>
      <c r="C409" s="89" t="s">
        <v>42</v>
      </c>
      <c r="D409" s="13" t="s">
        <v>181</v>
      </c>
      <c r="E409" s="35">
        <f>VLOOKUP(B409, Passenger_Kilometre_by_mode_type[#All],MATCH(A409, Passenger_Kilometre_by_mode_type[#Headers],0),0)</f>
        <v>6545814439.711257</v>
      </c>
      <c r="F409" s="89">
        <f>VLOOKUP(C409, Reason_for_car_journeys_by_percentage[#All],MATCH(A409, Reason_for_car_journeys_by_percentage[#Headers],0),0)/100</f>
        <v>0.24349999999999997</v>
      </c>
      <c r="G409" s="13">
        <f t="shared" si="31"/>
        <v>1593905816.0696909</v>
      </c>
      <c r="H409" s="89">
        <f>VLOOKUP(D409,Average_Distance_by_kilometre_grouping_for_mode_type[#All],MATCH(A409,Average_Distance_by_kilometre_grouping_for_mode_type[#Headers],0),0)</f>
        <v>3</v>
      </c>
      <c r="I409" s="89">
        <f>VLOOKUP(D409,Average_Distance_by_kilometres_grouping_for_trip_purpose[#All],MATCH(A409,Average_Distance_by_kilometres_grouping_for_trip_purpose[#Headers],0),0)</f>
        <v>3</v>
      </c>
      <c r="J409" s="89">
        <f t="shared" si="32"/>
        <v>3</v>
      </c>
      <c r="K409" s="89">
        <f t="shared" si="33"/>
        <v>6.0901339829476243E-2</v>
      </c>
      <c r="L409" s="89">
        <v>1</v>
      </c>
      <c r="M409" s="13">
        <f t="shared" si="34"/>
        <v>97070999.760638908</v>
      </c>
      <c r="N409" s="11">
        <f t="shared" si="30"/>
        <v>1.8751570730387594E-3</v>
      </c>
    </row>
    <row r="410" spans="1:14" x14ac:dyDescent="0.25">
      <c r="A410" s="79" t="s">
        <v>32</v>
      </c>
      <c r="B410" s="89" t="s">
        <v>6</v>
      </c>
      <c r="C410" s="89" t="s">
        <v>42</v>
      </c>
      <c r="D410" s="13" t="s">
        <v>180</v>
      </c>
      <c r="E410" s="35">
        <f>VLOOKUP(B410, Passenger_Kilometre_by_mode_type[#All],MATCH(A410, Passenger_Kilometre_by_mode_type[#Headers],0),0)</f>
        <v>6545814439.711257</v>
      </c>
      <c r="F410" s="89">
        <f>VLOOKUP(C410, Reason_for_car_journeys_by_percentage[#All],MATCH(A410, Reason_for_car_journeys_by_percentage[#Headers],0),0)/100</f>
        <v>0.24349999999999997</v>
      </c>
      <c r="G410" s="13">
        <f t="shared" si="31"/>
        <v>1593905816.0696909</v>
      </c>
      <c r="H410" s="89">
        <f>VLOOKUP(D410,Average_Distance_by_kilometre_grouping_for_mode_type[#All],MATCH(A410,Average_Distance_by_kilometre_grouping_for_mode_type[#Headers],0),0)</f>
        <v>5</v>
      </c>
      <c r="I410" s="89">
        <f>VLOOKUP(D410,Average_Distance_by_kilometres_grouping_for_trip_purpose[#All],MATCH(A410,Average_Distance_by_kilometres_grouping_for_trip_purpose[#Headers],0),0)</f>
        <v>5</v>
      </c>
      <c r="J410" s="89">
        <f t="shared" si="32"/>
        <v>5</v>
      </c>
      <c r="K410" s="89">
        <f t="shared" si="33"/>
        <v>0.10150223304912707</v>
      </c>
      <c r="L410" s="89">
        <v>1</v>
      </c>
      <c r="M410" s="13">
        <f t="shared" si="34"/>
        <v>161784999.60106483</v>
      </c>
      <c r="N410" s="11">
        <f t="shared" si="30"/>
        <v>3.1252617883979323E-3</v>
      </c>
    </row>
    <row r="411" spans="1:14" x14ac:dyDescent="0.25">
      <c r="A411" s="79" t="s">
        <v>32</v>
      </c>
      <c r="B411" s="89" t="s">
        <v>6</v>
      </c>
      <c r="C411" s="89" t="s">
        <v>42</v>
      </c>
      <c r="D411" s="13" t="s">
        <v>182</v>
      </c>
      <c r="E411" s="35">
        <f>VLOOKUP(B411, Passenger_Kilometre_by_mode_type[#All],MATCH(A411, Passenger_Kilometre_by_mode_type[#Headers],0),0)</f>
        <v>6545814439.711257</v>
      </c>
      <c r="F411" s="89">
        <f>VLOOKUP(C411, Reason_for_car_journeys_by_percentage[#All],MATCH(A411, Reason_for_car_journeys_by_percentage[#Headers],0),0)/100</f>
        <v>0.24349999999999997</v>
      </c>
      <c r="G411" s="13">
        <f t="shared" si="31"/>
        <v>1593905816.0696909</v>
      </c>
      <c r="H411" s="89">
        <f>VLOOKUP(D411,Average_Distance_by_kilometre_grouping_for_mode_type[#All],MATCH(A411,Average_Distance_by_kilometre_grouping_for_mode_type[#Headers],0),0)</f>
        <v>7</v>
      </c>
      <c r="I411" s="89">
        <f>VLOOKUP(D411,Average_Distance_by_kilometres_grouping_for_trip_purpose[#All],MATCH(A411,Average_Distance_by_kilometres_grouping_for_trip_purpose[#Headers],0),0)</f>
        <v>7</v>
      </c>
      <c r="J411" s="89">
        <f t="shared" si="32"/>
        <v>7</v>
      </c>
      <c r="K411" s="89">
        <f t="shared" si="33"/>
        <v>0.14210312626877789</v>
      </c>
      <c r="L411" s="89">
        <v>1</v>
      </c>
      <c r="M411" s="13">
        <f t="shared" si="34"/>
        <v>226498999.44149074</v>
      </c>
      <c r="N411" s="11">
        <f t="shared" si="30"/>
        <v>4.3753665037571049E-3</v>
      </c>
    </row>
    <row r="412" spans="1:14" x14ac:dyDescent="0.25">
      <c r="A412" s="79" t="s">
        <v>32</v>
      </c>
      <c r="B412" s="89" t="s">
        <v>6</v>
      </c>
      <c r="C412" s="89" t="s">
        <v>42</v>
      </c>
      <c r="D412" s="13" t="s">
        <v>1</v>
      </c>
      <c r="E412" s="35">
        <f>VLOOKUP(B412, Passenger_Kilometre_by_mode_type[#All],MATCH(A412, Passenger_Kilometre_by_mode_type[#Headers],0),0)</f>
        <v>6545814439.711257</v>
      </c>
      <c r="F412" s="89">
        <f>VLOOKUP(C412, Reason_for_car_journeys_by_percentage[#All],MATCH(A412, Reason_for_car_journeys_by_percentage[#Headers],0),0)/100</f>
        <v>0.24349999999999997</v>
      </c>
      <c r="G412" s="13">
        <f t="shared" si="31"/>
        <v>1593905816.0696909</v>
      </c>
      <c r="H412" s="89">
        <f>VLOOKUP(D412,Average_Distance_by_kilometre_grouping_for_mode_type[#All],MATCH(A412,Average_Distance_by_kilometre_grouping_for_mode_type[#Headers],0),0)</f>
        <v>31.75</v>
      </c>
      <c r="I412" s="89">
        <f>VLOOKUP(D412,Average_Distance_by_kilometres_grouping_for_trip_purpose[#All],MATCH(A412,Average_Distance_by_kilometres_grouping_for_trip_purpose[#Headers],0),0)</f>
        <v>34.770000000000003</v>
      </c>
      <c r="J412" s="89">
        <f t="shared" si="32"/>
        <v>33.260000000000005</v>
      </c>
      <c r="K412" s="89">
        <f t="shared" si="33"/>
        <v>0.67519285424279341</v>
      </c>
      <c r="L412" s="89">
        <v>1</v>
      </c>
      <c r="M412" s="13">
        <f t="shared" si="34"/>
        <v>1076193817.3462834</v>
      </c>
      <c r="N412" s="11">
        <f t="shared" si="30"/>
        <v>2.0789241416423049E-2</v>
      </c>
    </row>
    <row r="413" spans="1:14" x14ac:dyDescent="0.25">
      <c r="A413" s="79" t="s">
        <v>32</v>
      </c>
      <c r="B413" s="89" t="s">
        <v>6</v>
      </c>
      <c r="C413" s="89" t="s">
        <v>43</v>
      </c>
      <c r="D413" s="13" t="s">
        <v>12</v>
      </c>
      <c r="E413" s="35">
        <f>VLOOKUP(B413, Passenger_Kilometre_by_mode_type[#All],MATCH(A413, Passenger_Kilometre_by_mode_type[#Headers],0),0)</f>
        <v>6545814439.711257</v>
      </c>
      <c r="F413" s="89">
        <f>VLOOKUP(C413, Reason_for_car_journeys_by_percentage[#All],MATCH(A413, Reason_for_car_journeys_by_percentage[#Headers],0),0)/100</f>
        <v>3.5499999999999997E-2</v>
      </c>
      <c r="G413" s="13">
        <f t="shared" si="31"/>
        <v>232376412.60974962</v>
      </c>
      <c r="H413" s="89">
        <f>VLOOKUP(D413,Average_Distance_by_kilometre_grouping_for_mode_type[#All],MATCH(A413,Average_Distance_by_kilometre_grouping_for_mode_type[#Headers],0),0)</f>
        <v>1</v>
      </c>
      <c r="I413" s="89">
        <f>VLOOKUP(D413,Average_Distance_by_kilometres_grouping_for_trip_purpose[#All],MATCH(A413,Average_Distance_by_kilometres_grouping_for_trip_purpose[#Headers],0),0)</f>
        <v>1</v>
      </c>
      <c r="J413" s="89">
        <f t="shared" si="32"/>
        <v>1</v>
      </c>
      <c r="K413" s="89">
        <f t="shared" si="33"/>
        <v>2.0300446609825416E-2</v>
      </c>
      <c r="L413" s="89">
        <v>1</v>
      </c>
      <c r="M413" s="13">
        <f t="shared" si="34"/>
        <v>4717344.957566984</v>
      </c>
      <c r="N413" s="11">
        <f t="shared" si="30"/>
        <v>9.112672976437505E-5</v>
      </c>
    </row>
    <row r="414" spans="1:14" x14ac:dyDescent="0.25">
      <c r="A414" s="79" t="s">
        <v>32</v>
      </c>
      <c r="B414" s="89" t="s">
        <v>6</v>
      </c>
      <c r="C414" s="89" t="s">
        <v>43</v>
      </c>
      <c r="D414" s="13" t="s">
        <v>181</v>
      </c>
      <c r="E414" s="35">
        <f>VLOOKUP(B414, Passenger_Kilometre_by_mode_type[#All],MATCH(A414, Passenger_Kilometre_by_mode_type[#Headers],0),0)</f>
        <v>6545814439.711257</v>
      </c>
      <c r="F414" s="89">
        <f>VLOOKUP(C414, Reason_for_car_journeys_by_percentage[#All],MATCH(A414, Reason_for_car_journeys_by_percentage[#Headers],0),0)/100</f>
        <v>3.5499999999999997E-2</v>
      </c>
      <c r="G414" s="13">
        <f t="shared" si="31"/>
        <v>232376412.60974962</v>
      </c>
      <c r="H414" s="89">
        <f>VLOOKUP(D414,Average_Distance_by_kilometre_grouping_for_mode_type[#All],MATCH(A414,Average_Distance_by_kilometre_grouping_for_mode_type[#Headers],0),0)</f>
        <v>3</v>
      </c>
      <c r="I414" s="89">
        <f>VLOOKUP(D414,Average_Distance_by_kilometres_grouping_for_trip_purpose[#All],MATCH(A414,Average_Distance_by_kilometres_grouping_for_trip_purpose[#Headers],0),0)</f>
        <v>3</v>
      </c>
      <c r="J414" s="89">
        <f t="shared" si="32"/>
        <v>3</v>
      </c>
      <c r="K414" s="89">
        <f t="shared" si="33"/>
        <v>6.0901339829476243E-2</v>
      </c>
      <c r="L414" s="89">
        <v>1</v>
      </c>
      <c r="M414" s="13">
        <f t="shared" si="34"/>
        <v>14152034.87270095</v>
      </c>
      <c r="N414" s="11">
        <f t="shared" si="30"/>
        <v>2.7338018929312511E-4</v>
      </c>
    </row>
    <row r="415" spans="1:14" x14ac:dyDescent="0.25">
      <c r="A415" s="79" t="s">
        <v>32</v>
      </c>
      <c r="B415" s="89" t="s">
        <v>6</v>
      </c>
      <c r="C415" s="89" t="s">
        <v>43</v>
      </c>
      <c r="D415" s="13" t="s">
        <v>180</v>
      </c>
      <c r="E415" s="35">
        <f>VLOOKUP(B415, Passenger_Kilometre_by_mode_type[#All],MATCH(A415, Passenger_Kilometre_by_mode_type[#Headers],0),0)</f>
        <v>6545814439.711257</v>
      </c>
      <c r="F415" s="89">
        <f>VLOOKUP(C415, Reason_for_car_journeys_by_percentage[#All],MATCH(A415, Reason_for_car_journeys_by_percentage[#Headers],0),0)/100</f>
        <v>3.5499999999999997E-2</v>
      </c>
      <c r="G415" s="13">
        <f t="shared" si="31"/>
        <v>232376412.60974962</v>
      </c>
      <c r="H415" s="89">
        <f>VLOOKUP(D415,Average_Distance_by_kilometre_grouping_for_mode_type[#All],MATCH(A415,Average_Distance_by_kilometre_grouping_for_mode_type[#Headers],0),0)</f>
        <v>5</v>
      </c>
      <c r="I415" s="89">
        <f>VLOOKUP(D415,Average_Distance_by_kilometres_grouping_for_trip_purpose[#All],MATCH(A415,Average_Distance_by_kilometres_grouping_for_trip_purpose[#Headers],0),0)</f>
        <v>5</v>
      </c>
      <c r="J415" s="89">
        <f t="shared" si="32"/>
        <v>5</v>
      </c>
      <c r="K415" s="89">
        <f t="shared" si="33"/>
        <v>0.10150223304912707</v>
      </c>
      <c r="L415" s="89">
        <v>1</v>
      </c>
      <c r="M415" s="13">
        <f t="shared" si="34"/>
        <v>23586724.787834916</v>
      </c>
      <c r="N415" s="11">
        <f t="shared" si="30"/>
        <v>4.5563364882187518E-4</v>
      </c>
    </row>
    <row r="416" spans="1:14" x14ac:dyDescent="0.25">
      <c r="A416" s="79" t="s">
        <v>32</v>
      </c>
      <c r="B416" s="89" t="s">
        <v>6</v>
      </c>
      <c r="C416" s="89" t="s">
        <v>43</v>
      </c>
      <c r="D416" s="13" t="s">
        <v>182</v>
      </c>
      <c r="E416" s="35">
        <f>VLOOKUP(B416, Passenger_Kilometre_by_mode_type[#All],MATCH(A416, Passenger_Kilometre_by_mode_type[#Headers],0),0)</f>
        <v>6545814439.711257</v>
      </c>
      <c r="F416" s="89">
        <f>VLOOKUP(C416, Reason_for_car_journeys_by_percentage[#All],MATCH(A416, Reason_for_car_journeys_by_percentage[#Headers],0),0)/100</f>
        <v>3.5499999999999997E-2</v>
      </c>
      <c r="G416" s="13">
        <f t="shared" si="31"/>
        <v>232376412.60974962</v>
      </c>
      <c r="H416" s="89">
        <f>VLOOKUP(D416,Average_Distance_by_kilometre_grouping_for_mode_type[#All],MATCH(A416,Average_Distance_by_kilometre_grouping_for_mode_type[#Headers],0),0)</f>
        <v>7</v>
      </c>
      <c r="I416" s="89">
        <f>VLOOKUP(D416,Average_Distance_by_kilometres_grouping_for_trip_purpose[#All],MATCH(A416,Average_Distance_by_kilometres_grouping_for_trip_purpose[#Headers],0),0)</f>
        <v>7</v>
      </c>
      <c r="J416" s="89">
        <f t="shared" si="32"/>
        <v>7</v>
      </c>
      <c r="K416" s="89">
        <f t="shared" si="33"/>
        <v>0.14210312626877789</v>
      </c>
      <c r="L416" s="89">
        <v>1</v>
      </c>
      <c r="M416" s="13">
        <f t="shared" si="34"/>
        <v>33021414.702968881</v>
      </c>
      <c r="N416" s="11">
        <f t="shared" si="30"/>
        <v>6.378871083506252E-4</v>
      </c>
    </row>
    <row r="417" spans="1:14" x14ac:dyDescent="0.25">
      <c r="A417" s="79" t="s">
        <v>32</v>
      </c>
      <c r="B417" s="89" t="s">
        <v>6</v>
      </c>
      <c r="C417" s="89" t="s">
        <v>43</v>
      </c>
      <c r="D417" s="13" t="s">
        <v>1</v>
      </c>
      <c r="E417" s="35">
        <f>VLOOKUP(B417, Passenger_Kilometre_by_mode_type[#All],MATCH(A417, Passenger_Kilometre_by_mode_type[#Headers],0),0)</f>
        <v>6545814439.711257</v>
      </c>
      <c r="F417" s="89">
        <f>VLOOKUP(C417, Reason_for_car_journeys_by_percentage[#All],MATCH(A417, Reason_for_car_journeys_by_percentage[#Headers],0),0)/100</f>
        <v>3.5499999999999997E-2</v>
      </c>
      <c r="G417" s="13">
        <f t="shared" si="31"/>
        <v>232376412.60974962</v>
      </c>
      <c r="H417" s="89">
        <f>VLOOKUP(D417,Average_Distance_by_kilometre_grouping_for_mode_type[#All],MATCH(A417,Average_Distance_by_kilometre_grouping_for_mode_type[#Headers],0),0)</f>
        <v>31.75</v>
      </c>
      <c r="I417" s="89">
        <f>VLOOKUP(D417,Average_Distance_by_kilometres_grouping_for_trip_purpose[#All],MATCH(A417,Average_Distance_by_kilometres_grouping_for_trip_purpose[#Headers],0),0)</f>
        <v>34.770000000000003</v>
      </c>
      <c r="J417" s="89">
        <f t="shared" si="32"/>
        <v>33.260000000000005</v>
      </c>
      <c r="K417" s="89">
        <f t="shared" si="33"/>
        <v>0.67519285424279341</v>
      </c>
      <c r="L417" s="89">
        <v>1</v>
      </c>
      <c r="M417" s="13">
        <f t="shared" si="34"/>
        <v>156898893.2886779</v>
      </c>
      <c r="N417" s="11">
        <f t="shared" si="30"/>
        <v>3.0308750319631142E-3</v>
      </c>
    </row>
    <row r="418" spans="1:14" x14ac:dyDescent="0.25">
      <c r="A418" s="79" t="s">
        <v>32</v>
      </c>
      <c r="B418" s="89" t="s">
        <v>6</v>
      </c>
      <c r="C418" s="89" t="s">
        <v>44</v>
      </c>
      <c r="D418" s="13" t="s">
        <v>12</v>
      </c>
      <c r="E418" s="35">
        <f>VLOOKUP(B418, Passenger_Kilometre_by_mode_type[#All],MATCH(A418, Passenger_Kilometre_by_mode_type[#Headers],0),0)</f>
        <v>6545814439.711257</v>
      </c>
      <c r="F418" s="89">
        <f>VLOOKUP(C418, Reason_for_car_journeys_by_percentage[#All],MATCH(A418, Reason_for_car_journeys_by_percentage[#Headers],0),0)/100</f>
        <v>0.23275000000000001</v>
      </c>
      <c r="G418" s="13">
        <f t="shared" si="31"/>
        <v>1523538310.8427951</v>
      </c>
      <c r="H418" s="89">
        <f>VLOOKUP(D418,Average_Distance_by_kilometre_grouping_for_mode_type[#All],MATCH(A418,Average_Distance_by_kilometre_grouping_for_mode_type[#Headers],0),0)</f>
        <v>1</v>
      </c>
      <c r="I418" s="89">
        <f>VLOOKUP(D418,Average_Distance_by_kilometres_grouping_for_trip_purpose[#All],MATCH(A418,Average_Distance_by_kilometres_grouping_for_trip_purpose[#Headers],0),0)</f>
        <v>1</v>
      </c>
      <c r="J418" s="89">
        <f t="shared" si="32"/>
        <v>1</v>
      </c>
      <c r="K418" s="89">
        <f t="shared" si="33"/>
        <v>2.0300446609825416E-2</v>
      </c>
      <c r="L418" s="89">
        <v>1</v>
      </c>
      <c r="M418" s="13">
        <f t="shared" si="34"/>
        <v>30928508.137287762</v>
      </c>
      <c r="N418" s="11">
        <f t="shared" si="30"/>
        <v>5.9745764373685334E-4</v>
      </c>
    </row>
    <row r="419" spans="1:14" x14ac:dyDescent="0.25">
      <c r="A419" s="79" t="s">
        <v>32</v>
      </c>
      <c r="B419" s="89" t="s">
        <v>6</v>
      </c>
      <c r="C419" s="89" t="s">
        <v>44</v>
      </c>
      <c r="D419" s="13" t="s">
        <v>181</v>
      </c>
      <c r="E419" s="35">
        <f>VLOOKUP(B419, Passenger_Kilometre_by_mode_type[#All],MATCH(A419, Passenger_Kilometre_by_mode_type[#Headers],0),0)</f>
        <v>6545814439.711257</v>
      </c>
      <c r="F419" s="89">
        <f>VLOOKUP(C419, Reason_for_car_journeys_by_percentage[#All],MATCH(A419, Reason_for_car_journeys_by_percentage[#Headers],0),0)/100</f>
        <v>0.23275000000000001</v>
      </c>
      <c r="G419" s="13">
        <f t="shared" si="31"/>
        <v>1523538310.8427951</v>
      </c>
      <c r="H419" s="89">
        <f>VLOOKUP(D419,Average_Distance_by_kilometre_grouping_for_mode_type[#All],MATCH(A419,Average_Distance_by_kilometre_grouping_for_mode_type[#Headers],0),0)</f>
        <v>3</v>
      </c>
      <c r="I419" s="89">
        <f>VLOOKUP(D419,Average_Distance_by_kilometres_grouping_for_trip_purpose[#All],MATCH(A419,Average_Distance_by_kilometres_grouping_for_trip_purpose[#Headers],0),0)</f>
        <v>3</v>
      </c>
      <c r="J419" s="89">
        <f t="shared" si="32"/>
        <v>3</v>
      </c>
      <c r="K419" s="89">
        <f t="shared" si="33"/>
        <v>6.0901339829476243E-2</v>
      </c>
      <c r="L419" s="89">
        <v>1</v>
      </c>
      <c r="M419" s="13">
        <f t="shared" si="34"/>
        <v>92785524.411863282</v>
      </c>
      <c r="N419" s="11">
        <f t="shared" si="30"/>
        <v>1.7923729312105598E-3</v>
      </c>
    </row>
    <row r="420" spans="1:14" x14ac:dyDescent="0.25">
      <c r="A420" s="79" t="s">
        <v>32</v>
      </c>
      <c r="B420" s="89" t="s">
        <v>6</v>
      </c>
      <c r="C420" s="89" t="s">
        <v>44</v>
      </c>
      <c r="D420" s="13" t="s">
        <v>180</v>
      </c>
      <c r="E420" s="35">
        <f>VLOOKUP(B420, Passenger_Kilometre_by_mode_type[#All],MATCH(A420, Passenger_Kilometre_by_mode_type[#Headers],0),0)</f>
        <v>6545814439.711257</v>
      </c>
      <c r="F420" s="89">
        <f>VLOOKUP(C420, Reason_for_car_journeys_by_percentage[#All],MATCH(A420, Reason_for_car_journeys_by_percentage[#Headers],0),0)/100</f>
        <v>0.23275000000000001</v>
      </c>
      <c r="G420" s="13">
        <f t="shared" si="31"/>
        <v>1523538310.8427951</v>
      </c>
      <c r="H420" s="89">
        <f>VLOOKUP(D420,Average_Distance_by_kilometre_grouping_for_mode_type[#All],MATCH(A420,Average_Distance_by_kilometre_grouping_for_mode_type[#Headers],0),0)</f>
        <v>5</v>
      </c>
      <c r="I420" s="89">
        <f>VLOOKUP(D420,Average_Distance_by_kilometres_grouping_for_trip_purpose[#All],MATCH(A420,Average_Distance_by_kilometres_grouping_for_trip_purpose[#Headers],0),0)</f>
        <v>5</v>
      </c>
      <c r="J420" s="89">
        <f t="shared" si="32"/>
        <v>5</v>
      </c>
      <c r="K420" s="89">
        <f t="shared" si="33"/>
        <v>0.10150223304912707</v>
      </c>
      <c r="L420" s="89">
        <v>1</v>
      </c>
      <c r="M420" s="13">
        <f t="shared" si="34"/>
        <v>154642540.6864388</v>
      </c>
      <c r="N420" s="11">
        <f t="shared" si="30"/>
        <v>2.9872882186842663E-3</v>
      </c>
    </row>
    <row r="421" spans="1:14" x14ac:dyDescent="0.25">
      <c r="A421" s="79" t="s">
        <v>32</v>
      </c>
      <c r="B421" s="89" t="s">
        <v>6</v>
      </c>
      <c r="C421" s="89" t="s">
        <v>44</v>
      </c>
      <c r="D421" s="13" t="s">
        <v>182</v>
      </c>
      <c r="E421" s="35">
        <f>VLOOKUP(B421, Passenger_Kilometre_by_mode_type[#All],MATCH(A421, Passenger_Kilometre_by_mode_type[#Headers],0),0)</f>
        <v>6545814439.711257</v>
      </c>
      <c r="F421" s="89">
        <f>VLOOKUP(C421, Reason_for_car_journeys_by_percentage[#All],MATCH(A421, Reason_for_car_journeys_by_percentage[#Headers],0),0)/100</f>
        <v>0.23275000000000001</v>
      </c>
      <c r="G421" s="13">
        <f t="shared" si="31"/>
        <v>1523538310.8427951</v>
      </c>
      <c r="H421" s="89">
        <f>VLOOKUP(D421,Average_Distance_by_kilometre_grouping_for_mode_type[#All],MATCH(A421,Average_Distance_by_kilometre_grouping_for_mode_type[#Headers],0),0)</f>
        <v>7</v>
      </c>
      <c r="I421" s="89">
        <f>VLOOKUP(D421,Average_Distance_by_kilometres_grouping_for_trip_purpose[#All],MATCH(A421,Average_Distance_by_kilometres_grouping_for_trip_purpose[#Headers],0),0)</f>
        <v>7</v>
      </c>
      <c r="J421" s="89">
        <f t="shared" si="32"/>
        <v>7</v>
      </c>
      <c r="K421" s="89">
        <f t="shared" si="33"/>
        <v>0.14210312626877789</v>
      </c>
      <c r="L421" s="89">
        <v>1</v>
      </c>
      <c r="M421" s="13">
        <f t="shared" si="34"/>
        <v>216499556.9610143</v>
      </c>
      <c r="N421" s="11">
        <f t="shared" si="30"/>
        <v>4.182203506157973E-3</v>
      </c>
    </row>
    <row r="422" spans="1:14" x14ac:dyDescent="0.25">
      <c r="A422" s="79" t="s">
        <v>32</v>
      </c>
      <c r="B422" s="89" t="s">
        <v>6</v>
      </c>
      <c r="C422" s="89" t="s">
        <v>44</v>
      </c>
      <c r="D422" s="13" t="s">
        <v>1</v>
      </c>
      <c r="E422" s="35">
        <f>VLOOKUP(B422, Passenger_Kilometre_by_mode_type[#All],MATCH(A422, Passenger_Kilometre_by_mode_type[#Headers],0),0)</f>
        <v>6545814439.711257</v>
      </c>
      <c r="F422" s="89">
        <f>VLOOKUP(C422, Reason_for_car_journeys_by_percentage[#All],MATCH(A422, Reason_for_car_journeys_by_percentage[#Headers],0),0)/100</f>
        <v>0.23275000000000001</v>
      </c>
      <c r="G422" s="13">
        <f t="shared" si="31"/>
        <v>1523538310.8427951</v>
      </c>
      <c r="H422" s="89">
        <f>VLOOKUP(D422,Average_Distance_by_kilometre_grouping_for_mode_type[#All],MATCH(A422,Average_Distance_by_kilometre_grouping_for_mode_type[#Headers],0),0)</f>
        <v>31.75</v>
      </c>
      <c r="I422" s="89">
        <f>VLOOKUP(D422,Average_Distance_by_kilometres_grouping_for_trip_purpose[#All],MATCH(A422,Average_Distance_by_kilometres_grouping_for_trip_purpose[#Headers],0),0)</f>
        <v>34.770000000000003</v>
      </c>
      <c r="J422" s="89">
        <f t="shared" si="32"/>
        <v>33.260000000000005</v>
      </c>
      <c r="K422" s="89">
        <f t="shared" si="33"/>
        <v>0.67519285424279341</v>
      </c>
      <c r="L422" s="89">
        <v>1</v>
      </c>
      <c r="M422" s="13">
        <f t="shared" si="34"/>
        <v>1028682180.646191</v>
      </c>
      <c r="N422" s="11">
        <f t="shared" si="30"/>
        <v>1.9871441230687743E-2</v>
      </c>
    </row>
    <row r="423" spans="1:14" x14ac:dyDescent="0.25">
      <c r="A423" s="79" t="s">
        <v>32</v>
      </c>
      <c r="B423" s="89" t="s">
        <v>6</v>
      </c>
      <c r="C423" s="89" t="s">
        <v>45</v>
      </c>
      <c r="D423" s="13" t="s">
        <v>12</v>
      </c>
      <c r="E423" s="35">
        <f>VLOOKUP(B423, Passenger_Kilometre_by_mode_type[#All],MATCH(A423, Passenger_Kilometre_by_mode_type[#Headers],0),0)</f>
        <v>6545814439.711257</v>
      </c>
      <c r="F423" s="89">
        <f>VLOOKUP(C423, Reason_for_car_journeys_by_percentage[#All],MATCH(A423, Reason_for_car_journeys_by_percentage[#Headers],0),0)/100</f>
        <v>1.3500000000000002E-2</v>
      </c>
      <c r="G423" s="13">
        <f t="shared" si="31"/>
        <v>88368494.936101973</v>
      </c>
      <c r="H423" s="89">
        <f>VLOOKUP(D423,Average_Distance_by_kilometre_grouping_for_mode_type[#All],MATCH(A423,Average_Distance_by_kilometre_grouping_for_mode_type[#Headers],0),0)</f>
        <v>1</v>
      </c>
      <c r="I423" s="89">
        <f>VLOOKUP(D423,Average_Distance_by_kilometres_grouping_for_trip_purpose[#All],MATCH(A423,Average_Distance_by_kilometres_grouping_for_trip_purpose[#Headers],0),0)</f>
        <v>1</v>
      </c>
      <c r="J423" s="89">
        <f t="shared" si="32"/>
        <v>1</v>
      </c>
      <c r="K423" s="89">
        <f t="shared" si="33"/>
        <v>2.0300446609825416E-2</v>
      </c>
      <c r="L423" s="89">
        <v>1</v>
      </c>
      <c r="M423" s="13">
        <f t="shared" si="34"/>
        <v>1793919.9134409658</v>
      </c>
      <c r="N423" s="11">
        <f t="shared" si="30"/>
        <v>3.4653826811804598E-5</v>
      </c>
    </row>
    <row r="424" spans="1:14" x14ac:dyDescent="0.25">
      <c r="A424" s="79" t="s">
        <v>32</v>
      </c>
      <c r="B424" s="89" t="s">
        <v>6</v>
      </c>
      <c r="C424" s="89" t="s">
        <v>45</v>
      </c>
      <c r="D424" s="13" t="s">
        <v>181</v>
      </c>
      <c r="E424" s="35">
        <f>VLOOKUP(B424, Passenger_Kilometre_by_mode_type[#All],MATCH(A424, Passenger_Kilometre_by_mode_type[#Headers],0),0)</f>
        <v>6545814439.711257</v>
      </c>
      <c r="F424" s="89">
        <f>VLOOKUP(C424, Reason_for_car_journeys_by_percentage[#All],MATCH(A424, Reason_for_car_journeys_by_percentage[#Headers],0),0)/100</f>
        <v>1.3500000000000002E-2</v>
      </c>
      <c r="G424" s="13">
        <f t="shared" si="31"/>
        <v>88368494.936101973</v>
      </c>
      <c r="H424" s="89">
        <f>VLOOKUP(D424,Average_Distance_by_kilometre_grouping_for_mode_type[#All],MATCH(A424,Average_Distance_by_kilometre_grouping_for_mode_type[#Headers],0),0)</f>
        <v>3</v>
      </c>
      <c r="I424" s="89">
        <f>VLOOKUP(D424,Average_Distance_by_kilometres_grouping_for_trip_purpose[#All],MATCH(A424,Average_Distance_by_kilometres_grouping_for_trip_purpose[#Headers],0),0)</f>
        <v>3</v>
      </c>
      <c r="J424" s="89">
        <f t="shared" si="32"/>
        <v>3</v>
      </c>
      <c r="K424" s="89">
        <f t="shared" si="33"/>
        <v>6.0901339829476243E-2</v>
      </c>
      <c r="L424" s="89">
        <v>1</v>
      </c>
      <c r="M424" s="13">
        <f t="shared" si="34"/>
        <v>5381759.7403228972</v>
      </c>
      <c r="N424" s="11">
        <f t="shared" si="30"/>
        <v>1.0396148043541379E-4</v>
      </c>
    </row>
    <row r="425" spans="1:14" x14ac:dyDescent="0.25">
      <c r="A425" s="79" t="s">
        <v>32</v>
      </c>
      <c r="B425" s="89" t="s">
        <v>6</v>
      </c>
      <c r="C425" s="89" t="s">
        <v>45</v>
      </c>
      <c r="D425" s="13" t="s">
        <v>180</v>
      </c>
      <c r="E425" s="35">
        <f>VLOOKUP(B425, Passenger_Kilometre_by_mode_type[#All],MATCH(A425, Passenger_Kilometre_by_mode_type[#Headers],0),0)</f>
        <v>6545814439.711257</v>
      </c>
      <c r="F425" s="89">
        <f>VLOOKUP(C425, Reason_for_car_journeys_by_percentage[#All],MATCH(A425, Reason_for_car_journeys_by_percentage[#Headers],0),0)/100</f>
        <v>1.3500000000000002E-2</v>
      </c>
      <c r="G425" s="13">
        <f t="shared" si="31"/>
        <v>88368494.936101973</v>
      </c>
      <c r="H425" s="89">
        <f>VLOOKUP(D425,Average_Distance_by_kilometre_grouping_for_mode_type[#All],MATCH(A425,Average_Distance_by_kilometre_grouping_for_mode_type[#Headers],0),0)</f>
        <v>5</v>
      </c>
      <c r="I425" s="89">
        <f>VLOOKUP(D425,Average_Distance_by_kilometres_grouping_for_trip_purpose[#All],MATCH(A425,Average_Distance_by_kilometres_grouping_for_trip_purpose[#Headers],0),0)</f>
        <v>5</v>
      </c>
      <c r="J425" s="89">
        <f t="shared" si="32"/>
        <v>5</v>
      </c>
      <c r="K425" s="89">
        <f t="shared" si="33"/>
        <v>0.10150223304912707</v>
      </c>
      <c r="L425" s="89">
        <v>1</v>
      </c>
      <c r="M425" s="13">
        <f t="shared" si="34"/>
        <v>8969599.5672048274</v>
      </c>
      <c r="N425" s="11">
        <f t="shared" si="30"/>
        <v>1.7326913405902295E-4</v>
      </c>
    </row>
    <row r="426" spans="1:14" x14ac:dyDescent="0.25">
      <c r="A426" s="79" t="s">
        <v>32</v>
      </c>
      <c r="B426" s="89" t="s">
        <v>6</v>
      </c>
      <c r="C426" s="89" t="s">
        <v>45</v>
      </c>
      <c r="D426" s="13" t="s">
        <v>182</v>
      </c>
      <c r="E426" s="35">
        <f>VLOOKUP(B426, Passenger_Kilometre_by_mode_type[#All],MATCH(A426, Passenger_Kilometre_by_mode_type[#Headers],0),0)</f>
        <v>6545814439.711257</v>
      </c>
      <c r="F426" s="89">
        <f>VLOOKUP(C426, Reason_for_car_journeys_by_percentage[#All],MATCH(A426, Reason_for_car_journeys_by_percentage[#Headers],0),0)/100</f>
        <v>1.3500000000000002E-2</v>
      </c>
      <c r="G426" s="13">
        <f t="shared" si="31"/>
        <v>88368494.936101973</v>
      </c>
      <c r="H426" s="89">
        <f>VLOOKUP(D426,Average_Distance_by_kilometre_grouping_for_mode_type[#All],MATCH(A426,Average_Distance_by_kilometre_grouping_for_mode_type[#Headers],0),0)</f>
        <v>7</v>
      </c>
      <c r="I426" s="89">
        <f>VLOOKUP(D426,Average_Distance_by_kilometres_grouping_for_trip_purpose[#All],MATCH(A426,Average_Distance_by_kilometres_grouping_for_trip_purpose[#Headers],0),0)</f>
        <v>7</v>
      </c>
      <c r="J426" s="89">
        <f t="shared" si="32"/>
        <v>7</v>
      </c>
      <c r="K426" s="89">
        <f t="shared" si="33"/>
        <v>0.14210312626877789</v>
      </c>
      <c r="L426" s="89">
        <v>1</v>
      </c>
      <c r="M426" s="13">
        <f t="shared" si="34"/>
        <v>12557439.394086758</v>
      </c>
      <c r="N426" s="11">
        <f t="shared" si="30"/>
        <v>2.4257678768263211E-4</v>
      </c>
    </row>
    <row r="427" spans="1:14" x14ac:dyDescent="0.25">
      <c r="A427" s="79" t="s">
        <v>32</v>
      </c>
      <c r="B427" s="89" t="s">
        <v>6</v>
      </c>
      <c r="C427" s="89" t="s">
        <v>45</v>
      </c>
      <c r="D427" s="13" t="s">
        <v>1</v>
      </c>
      <c r="E427" s="35">
        <f>VLOOKUP(B427, Passenger_Kilometre_by_mode_type[#All],MATCH(A427, Passenger_Kilometre_by_mode_type[#Headers],0),0)</f>
        <v>6545814439.711257</v>
      </c>
      <c r="F427" s="89">
        <f>VLOOKUP(C427, Reason_for_car_journeys_by_percentage[#All],MATCH(A427, Reason_for_car_journeys_by_percentage[#Headers],0),0)/100</f>
        <v>1.3500000000000002E-2</v>
      </c>
      <c r="G427" s="13">
        <f t="shared" si="31"/>
        <v>88368494.936101973</v>
      </c>
      <c r="H427" s="89">
        <f>VLOOKUP(D427,Average_Distance_by_kilometre_grouping_for_mode_type[#All],MATCH(A427,Average_Distance_by_kilometre_grouping_for_mode_type[#Headers],0),0)</f>
        <v>31.75</v>
      </c>
      <c r="I427" s="89">
        <f>VLOOKUP(D427,Average_Distance_by_kilometres_grouping_for_trip_purpose[#All],MATCH(A427,Average_Distance_by_kilometres_grouping_for_trip_purpose[#Headers],0),0)</f>
        <v>34.770000000000003</v>
      </c>
      <c r="J427" s="89">
        <f t="shared" si="32"/>
        <v>33.260000000000005</v>
      </c>
      <c r="K427" s="89">
        <f t="shared" si="33"/>
        <v>0.67519285424279341</v>
      </c>
      <c r="L427" s="89">
        <v>1</v>
      </c>
      <c r="M427" s="13">
        <f t="shared" si="34"/>
        <v>59665776.321046524</v>
      </c>
      <c r="N427" s="11">
        <f t="shared" si="30"/>
        <v>1.1525862797606209E-3</v>
      </c>
    </row>
    <row r="428" spans="1:14" x14ac:dyDescent="0.25">
      <c r="A428" s="79" t="s">
        <v>32</v>
      </c>
      <c r="B428" s="89" t="s">
        <v>6</v>
      </c>
      <c r="C428" s="89" t="s">
        <v>56</v>
      </c>
      <c r="D428" s="13" t="s">
        <v>12</v>
      </c>
      <c r="E428" s="35">
        <f>VLOOKUP(B428, Passenger_Kilometre_by_mode_type[#All],MATCH(A428, Passenger_Kilometre_by_mode_type[#Headers],0),0)</f>
        <v>6545814439.711257</v>
      </c>
      <c r="F428" s="89">
        <f>VLOOKUP(C428, Reason_for_car_journeys_by_percentage[#All],MATCH(A428, Reason_for_car_journeys_by_percentage[#Headers],0),0)/100</f>
        <v>0.1125</v>
      </c>
      <c r="G428" s="13">
        <f t="shared" si="31"/>
        <v>736404124.46751642</v>
      </c>
      <c r="H428" s="89">
        <f>VLOOKUP(D428,Average_Distance_by_kilometre_grouping_for_mode_type[#All],MATCH(A428,Average_Distance_by_kilometre_grouping_for_mode_type[#Headers],0),0)</f>
        <v>1</v>
      </c>
      <c r="I428" s="89">
        <f>VLOOKUP(D428,Average_Distance_by_kilometres_grouping_for_trip_purpose[#All],MATCH(A428,Average_Distance_by_kilometres_grouping_for_trip_purpose[#Headers],0),0)</f>
        <v>1</v>
      </c>
      <c r="J428" s="89">
        <f t="shared" si="32"/>
        <v>1</v>
      </c>
      <c r="K428" s="89">
        <f t="shared" si="33"/>
        <v>2.0300446609825416E-2</v>
      </c>
      <c r="L428" s="89">
        <v>1</v>
      </c>
      <c r="M428" s="13">
        <f t="shared" si="34"/>
        <v>14949332.612008046</v>
      </c>
      <c r="N428" s="11">
        <f t="shared" ref="N428:N491" si="35">M428/SUM($M$363:$M$722)</f>
        <v>2.8878189009837158E-4</v>
      </c>
    </row>
    <row r="429" spans="1:14" x14ac:dyDescent="0.25">
      <c r="A429" s="79" t="s">
        <v>32</v>
      </c>
      <c r="B429" s="89" t="s">
        <v>6</v>
      </c>
      <c r="C429" s="89" t="s">
        <v>56</v>
      </c>
      <c r="D429" s="13" t="s">
        <v>181</v>
      </c>
      <c r="E429" s="35">
        <f>VLOOKUP(B429, Passenger_Kilometre_by_mode_type[#All],MATCH(A429, Passenger_Kilometre_by_mode_type[#Headers],0),0)</f>
        <v>6545814439.711257</v>
      </c>
      <c r="F429" s="89">
        <f>VLOOKUP(C429, Reason_for_car_journeys_by_percentage[#All],MATCH(A429, Reason_for_car_journeys_by_percentage[#Headers],0),0)/100</f>
        <v>0.1125</v>
      </c>
      <c r="G429" s="13">
        <f t="shared" si="31"/>
        <v>736404124.46751642</v>
      </c>
      <c r="H429" s="89">
        <f>VLOOKUP(D429,Average_Distance_by_kilometre_grouping_for_mode_type[#All],MATCH(A429,Average_Distance_by_kilometre_grouping_for_mode_type[#Headers],0),0)</f>
        <v>3</v>
      </c>
      <c r="I429" s="89">
        <f>VLOOKUP(D429,Average_Distance_by_kilometres_grouping_for_trip_purpose[#All],MATCH(A429,Average_Distance_by_kilometres_grouping_for_trip_purpose[#Headers],0),0)</f>
        <v>3</v>
      </c>
      <c r="J429" s="89">
        <f t="shared" si="32"/>
        <v>3</v>
      </c>
      <c r="K429" s="89">
        <f t="shared" si="33"/>
        <v>6.0901339829476243E-2</v>
      </c>
      <c r="L429" s="89">
        <v>1</v>
      </c>
      <c r="M429" s="13">
        <f t="shared" si="34"/>
        <v>44847997.836024135</v>
      </c>
      <c r="N429" s="11">
        <f t="shared" si="35"/>
        <v>8.6634567029511469E-4</v>
      </c>
    </row>
    <row r="430" spans="1:14" x14ac:dyDescent="0.25">
      <c r="A430" s="79" t="s">
        <v>32</v>
      </c>
      <c r="B430" s="89" t="s">
        <v>6</v>
      </c>
      <c r="C430" s="89" t="s">
        <v>56</v>
      </c>
      <c r="D430" s="13" t="s">
        <v>180</v>
      </c>
      <c r="E430" s="35">
        <f>VLOOKUP(B430, Passenger_Kilometre_by_mode_type[#All],MATCH(A430, Passenger_Kilometre_by_mode_type[#Headers],0),0)</f>
        <v>6545814439.711257</v>
      </c>
      <c r="F430" s="89">
        <f>VLOOKUP(C430, Reason_for_car_journeys_by_percentage[#All],MATCH(A430, Reason_for_car_journeys_by_percentage[#Headers],0),0)/100</f>
        <v>0.1125</v>
      </c>
      <c r="G430" s="13">
        <f t="shared" si="31"/>
        <v>736404124.46751642</v>
      </c>
      <c r="H430" s="89">
        <f>VLOOKUP(D430,Average_Distance_by_kilometre_grouping_for_mode_type[#All],MATCH(A430,Average_Distance_by_kilometre_grouping_for_mode_type[#Headers],0),0)</f>
        <v>5</v>
      </c>
      <c r="I430" s="89">
        <f>VLOOKUP(D430,Average_Distance_by_kilometres_grouping_for_trip_purpose[#All],MATCH(A430,Average_Distance_by_kilometres_grouping_for_trip_purpose[#Headers],0),0)</f>
        <v>5</v>
      </c>
      <c r="J430" s="89">
        <f t="shared" si="32"/>
        <v>5</v>
      </c>
      <c r="K430" s="89">
        <f t="shared" si="33"/>
        <v>0.10150223304912707</v>
      </c>
      <c r="L430" s="89">
        <v>1</v>
      </c>
      <c r="M430" s="13">
        <f t="shared" si="34"/>
        <v>74746663.060040236</v>
      </c>
      <c r="N430" s="11">
        <f t="shared" si="35"/>
        <v>1.4439094504918582E-3</v>
      </c>
    </row>
    <row r="431" spans="1:14" x14ac:dyDescent="0.25">
      <c r="A431" s="79" t="s">
        <v>32</v>
      </c>
      <c r="B431" s="89" t="s">
        <v>6</v>
      </c>
      <c r="C431" s="89" t="s">
        <v>56</v>
      </c>
      <c r="D431" s="13" t="s">
        <v>182</v>
      </c>
      <c r="E431" s="35">
        <f>VLOOKUP(B431, Passenger_Kilometre_by_mode_type[#All],MATCH(A431, Passenger_Kilometre_by_mode_type[#Headers],0),0)</f>
        <v>6545814439.711257</v>
      </c>
      <c r="F431" s="89">
        <f>VLOOKUP(C431, Reason_for_car_journeys_by_percentage[#All],MATCH(A431, Reason_for_car_journeys_by_percentage[#Headers],0),0)/100</f>
        <v>0.1125</v>
      </c>
      <c r="G431" s="13">
        <f t="shared" si="31"/>
        <v>736404124.46751642</v>
      </c>
      <c r="H431" s="89">
        <f>VLOOKUP(D431,Average_Distance_by_kilometre_grouping_for_mode_type[#All],MATCH(A431,Average_Distance_by_kilometre_grouping_for_mode_type[#Headers],0),0)</f>
        <v>7</v>
      </c>
      <c r="I431" s="89">
        <f>VLOOKUP(D431,Average_Distance_by_kilometres_grouping_for_trip_purpose[#All],MATCH(A431,Average_Distance_by_kilometres_grouping_for_trip_purpose[#Headers],0),0)</f>
        <v>7</v>
      </c>
      <c r="J431" s="89">
        <f t="shared" si="32"/>
        <v>7</v>
      </c>
      <c r="K431" s="89">
        <f t="shared" si="33"/>
        <v>0.14210312626877789</v>
      </c>
      <c r="L431" s="89">
        <v>1</v>
      </c>
      <c r="M431" s="13">
        <f t="shared" si="34"/>
        <v>104645328.28405631</v>
      </c>
      <c r="N431" s="11">
        <f t="shared" si="35"/>
        <v>2.0214732306886008E-3</v>
      </c>
    </row>
    <row r="432" spans="1:14" x14ac:dyDescent="0.25">
      <c r="A432" s="79" t="s">
        <v>32</v>
      </c>
      <c r="B432" s="89" t="s">
        <v>6</v>
      </c>
      <c r="C432" s="89" t="s">
        <v>56</v>
      </c>
      <c r="D432" s="13" t="s">
        <v>1</v>
      </c>
      <c r="E432" s="35">
        <f>VLOOKUP(B432, Passenger_Kilometre_by_mode_type[#All],MATCH(A432, Passenger_Kilometre_by_mode_type[#Headers],0),0)</f>
        <v>6545814439.711257</v>
      </c>
      <c r="F432" s="89">
        <f>VLOOKUP(C432, Reason_for_car_journeys_by_percentage[#All],MATCH(A432, Reason_for_car_journeys_by_percentage[#Headers],0),0)/100</f>
        <v>0.1125</v>
      </c>
      <c r="G432" s="13">
        <f t="shared" si="31"/>
        <v>736404124.46751642</v>
      </c>
      <c r="H432" s="89">
        <f>VLOOKUP(D432,Average_Distance_by_kilometre_grouping_for_mode_type[#All],MATCH(A432,Average_Distance_by_kilometre_grouping_for_mode_type[#Headers],0),0)</f>
        <v>31.75</v>
      </c>
      <c r="I432" s="89">
        <f>VLOOKUP(D432,Average_Distance_by_kilometres_grouping_for_trip_purpose[#All],MATCH(A432,Average_Distance_by_kilometres_grouping_for_trip_purpose[#Headers],0),0)</f>
        <v>34.770000000000003</v>
      </c>
      <c r="J432" s="89">
        <f t="shared" si="32"/>
        <v>33.260000000000005</v>
      </c>
      <c r="K432" s="89">
        <f t="shared" si="33"/>
        <v>0.67519285424279341</v>
      </c>
      <c r="L432" s="89">
        <v>1</v>
      </c>
      <c r="M432" s="13">
        <f t="shared" si="34"/>
        <v>497214802.67538768</v>
      </c>
      <c r="N432" s="11">
        <f t="shared" si="35"/>
        <v>9.6048856646718406E-3</v>
      </c>
    </row>
    <row r="433" spans="1:14" x14ac:dyDescent="0.25">
      <c r="A433" s="79" t="s">
        <v>32</v>
      </c>
      <c r="B433" s="89" t="s">
        <v>6</v>
      </c>
      <c r="C433" s="89" t="s">
        <v>57</v>
      </c>
      <c r="D433" s="13" t="s">
        <v>12</v>
      </c>
      <c r="E433" s="35">
        <f>VLOOKUP(B433, Passenger_Kilometre_by_mode_type[#All],MATCH(A433, Passenger_Kilometre_by_mode_type[#Headers],0),0)</f>
        <v>6545814439.711257</v>
      </c>
      <c r="F433" s="89">
        <f>VLOOKUP(C433, Reason_for_car_journeys_by_percentage[#All],MATCH(A433, Reason_for_car_journeys_by_percentage[#Headers],0),0)/100</f>
        <v>7.8750000000000001E-2</v>
      </c>
      <c r="G433" s="13">
        <f t="shared" si="31"/>
        <v>515482887.12726152</v>
      </c>
      <c r="H433" s="89">
        <f>VLOOKUP(D433,Average_Distance_by_kilometre_grouping_for_mode_type[#All],MATCH(A433,Average_Distance_by_kilometre_grouping_for_mode_type[#Headers],0),0)</f>
        <v>1</v>
      </c>
      <c r="I433" s="89">
        <f>VLOOKUP(D433,Average_Distance_by_kilometres_grouping_for_trip_purpose[#All],MATCH(A433,Average_Distance_by_kilometres_grouping_for_trip_purpose[#Headers],0),0)</f>
        <v>1</v>
      </c>
      <c r="J433" s="89">
        <f t="shared" si="32"/>
        <v>1</v>
      </c>
      <c r="K433" s="89">
        <f t="shared" si="33"/>
        <v>2.0300446609825416E-2</v>
      </c>
      <c r="L433" s="89">
        <v>1</v>
      </c>
      <c r="M433" s="13">
        <f t="shared" si="34"/>
        <v>10464532.828405634</v>
      </c>
      <c r="N433" s="11">
        <f t="shared" si="35"/>
        <v>2.0214732306886014E-4</v>
      </c>
    </row>
    <row r="434" spans="1:14" x14ac:dyDescent="0.25">
      <c r="A434" s="79" t="s">
        <v>32</v>
      </c>
      <c r="B434" s="89" t="s">
        <v>6</v>
      </c>
      <c r="C434" s="89" t="s">
        <v>57</v>
      </c>
      <c r="D434" s="13" t="s">
        <v>181</v>
      </c>
      <c r="E434" s="35">
        <f>VLOOKUP(B434, Passenger_Kilometre_by_mode_type[#All],MATCH(A434, Passenger_Kilometre_by_mode_type[#Headers],0),0)</f>
        <v>6545814439.711257</v>
      </c>
      <c r="F434" s="89">
        <f>VLOOKUP(C434, Reason_for_car_journeys_by_percentage[#All],MATCH(A434, Reason_for_car_journeys_by_percentage[#Headers],0),0)/100</f>
        <v>7.8750000000000001E-2</v>
      </c>
      <c r="G434" s="13">
        <f t="shared" si="31"/>
        <v>515482887.12726152</v>
      </c>
      <c r="H434" s="89">
        <f>VLOOKUP(D434,Average_Distance_by_kilometre_grouping_for_mode_type[#All],MATCH(A434,Average_Distance_by_kilometre_grouping_for_mode_type[#Headers],0),0)</f>
        <v>3</v>
      </c>
      <c r="I434" s="89">
        <f>VLOOKUP(D434,Average_Distance_by_kilometres_grouping_for_trip_purpose[#All],MATCH(A434,Average_Distance_by_kilometres_grouping_for_trip_purpose[#Headers],0),0)</f>
        <v>3</v>
      </c>
      <c r="J434" s="89">
        <f t="shared" si="32"/>
        <v>3</v>
      </c>
      <c r="K434" s="89">
        <f t="shared" si="33"/>
        <v>6.0901339829476243E-2</v>
      </c>
      <c r="L434" s="89">
        <v>1</v>
      </c>
      <c r="M434" s="13">
        <f t="shared" si="34"/>
        <v>31393598.485216897</v>
      </c>
      <c r="N434" s="11">
        <f t="shared" si="35"/>
        <v>6.0644196920658032E-4</v>
      </c>
    </row>
    <row r="435" spans="1:14" x14ac:dyDescent="0.25">
      <c r="A435" s="79" t="s">
        <v>32</v>
      </c>
      <c r="B435" s="89" t="s">
        <v>6</v>
      </c>
      <c r="C435" s="89" t="s">
        <v>57</v>
      </c>
      <c r="D435" s="13" t="s">
        <v>180</v>
      </c>
      <c r="E435" s="35">
        <f>VLOOKUP(B435, Passenger_Kilometre_by_mode_type[#All],MATCH(A435, Passenger_Kilometre_by_mode_type[#Headers],0),0)</f>
        <v>6545814439.711257</v>
      </c>
      <c r="F435" s="89">
        <f>VLOOKUP(C435, Reason_for_car_journeys_by_percentage[#All],MATCH(A435, Reason_for_car_journeys_by_percentage[#Headers],0),0)/100</f>
        <v>7.8750000000000001E-2</v>
      </c>
      <c r="G435" s="13">
        <f t="shared" si="31"/>
        <v>515482887.12726152</v>
      </c>
      <c r="H435" s="89">
        <f>VLOOKUP(D435,Average_Distance_by_kilometre_grouping_for_mode_type[#All],MATCH(A435,Average_Distance_by_kilometre_grouping_for_mode_type[#Headers],0),0)</f>
        <v>5</v>
      </c>
      <c r="I435" s="89">
        <f>VLOOKUP(D435,Average_Distance_by_kilometres_grouping_for_trip_purpose[#All],MATCH(A435,Average_Distance_by_kilometres_grouping_for_trip_purpose[#Headers],0),0)</f>
        <v>5</v>
      </c>
      <c r="J435" s="89">
        <f t="shared" si="32"/>
        <v>5</v>
      </c>
      <c r="K435" s="89">
        <f t="shared" si="33"/>
        <v>0.10150223304912707</v>
      </c>
      <c r="L435" s="89">
        <v>1</v>
      </c>
      <c r="M435" s="13">
        <f t="shared" si="34"/>
        <v>52322664.142028168</v>
      </c>
      <c r="N435" s="11">
        <f t="shared" si="35"/>
        <v>1.0107366153443006E-3</v>
      </c>
    </row>
    <row r="436" spans="1:14" x14ac:dyDescent="0.25">
      <c r="A436" s="79" t="s">
        <v>32</v>
      </c>
      <c r="B436" s="89" t="s">
        <v>6</v>
      </c>
      <c r="C436" s="89" t="s">
        <v>57</v>
      </c>
      <c r="D436" s="13" t="s">
        <v>182</v>
      </c>
      <c r="E436" s="35">
        <f>VLOOKUP(B436, Passenger_Kilometre_by_mode_type[#All],MATCH(A436, Passenger_Kilometre_by_mode_type[#Headers],0),0)</f>
        <v>6545814439.711257</v>
      </c>
      <c r="F436" s="89">
        <f>VLOOKUP(C436, Reason_for_car_journeys_by_percentage[#All],MATCH(A436, Reason_for_car_journeys_by_percentage[#Headers],0),0)/100</f>
        <v>7.8750000000000001E-2</v>
      </c>
      <c r="G436" s="13">
        <f t="shared" si="31"/>
        <v>515482887.12726152</v>
      </c>
      <c r="H436" s="89">
        <f>VLOOKUP(D436,Average_Distance_by_kilometre_grouping_for_mode_type[#All],MATCH(A436,Average_Distance_by_kilometre_grouping_for_mode_type[#Headers],0),0)</f>
        <v>7</v>
      </c>
      <c r="I436" s="89">
        <f>VLOOKUP(D436,Average_Distance_by_kilometres_grouping_for_trip_purpose[#All],MATCH(A436,Average_Distance_by_kilometres_grouping_for_trip_purpose[#Headers],0),0)</f>
        <v>7</v>
      </c>
      <c r="J436" s="89">
        <f t="shared" si="32"/>
        <v>7</v>
      </c>
      <c r="K436" s="89">
        <f t="shared" si="33"/>
        <v>0.14210312626877789</v>
      </c>
      <c r="L436" s="89">
        <v>1</v>
      </c>
      <c r="M436" s="13">
        <f t="shared" si="34"/>
        <v>73251729.79883942</v>
      </c>
      <c r="N436" s="11">
        <f t="shared" si="35"/>
        <v>1.4150312614820207E-3</v>
      </c>
    </row>
    <row r="437" spans="1:14" x14ac:dyDescent="0.25">
      <c r="A437" s="79" t="s">
        <v>32</v>
      </c>
      <c r="B437" s="89" t="s">
        <v>6</v>
      </c>
      <c r="C437" s="89" t="s">
        <v>57</v>
      </c>
      <c r="D437" s="13" t="s">
        <v>1</v>
      </c>
      <c r="E437" s="35">
        <f>VLOOKUP(B437, Passenger_Kilometre_by_mode_type[#All],MATCH(A437, Passenger_Kilometre_by_mode_type[#Headers],0),0)</f>
        <v>6545814439.711257</v>
      </c>
      <c r="F437" s="89">
        <f>VLOOKUP(C437, Reason_for_car_journeys_by_percentage[#All],MATCH(A437, Reason_for_car_journeys_by_percentage[#Headers],0),0)/100</f>
        <v>7.8750000000000001E-2</v>
      </c>
      <c r="G437" s="13">
        <f t="shared" si="31"/>
        <v>515482887.12726152</v>
      </c>
      <c r="H437" s="89">
        <f>VLOOKUP(D437,Average_Distance_by_kilometre_grouping_for_mode_type[#All],MATCH(A437,Average_Distance_by_kilometre_grouping_for_mode_type[#Headers],0),0)</f>
        <v>31.75</v>
      </c>
      <c r="I437" s="89">
        <f>VLOOKUP(D437,Average_Distance_by_kilometres_grouping_for_trip_purpose[#All],MATCH(A437,Average_Distance_by_kilometres_grouping_for_trip_purpose[#Headers],0),0)</f>
        <v>34.770000000000003</v>
      </c>
      <c r="J437" s="89">
        <f t="shared" si="32"/>
        <v>33.260000000000005</v>
      </c>
      <c r="K437" s="89">
        <f t="shared" si="33"/>
        <v>0.67519285424279341</v>
      </c>
      <c r="L437" s="89">
        <v>1</v>
      </c>
      <c r="M437" s="13">
        <f t="shared" si="34"/>
        <v>348050361.87277138</v>
      </c>
      <c r="N437" s="11">
        <f t="shared" si="35"/>
        <v>6.7234199652702886E-3</v>
      </c>
    </row>
    <row r="438" spans="1:14" x14ac:dyDescent="0.25">
      <c r="A438" s="79" t="s">
        <v>32</v>
      </c>
      <c r="B438" s="89" t="s">
        <v>6</v>
      </c>
      <c r="C438" s="89" t="s">
        <v>93</v>
      </c>
      <c r="D438" s="13" t="s">
        <v>12</v>
      </c>
      <c r="E438" s="35">
        <f>VLOOKUP(B438, Passenger_Kilometre_by_mode_type[#All],MATCH(A438, Passenger_Kilometre_by_mode_type[#Headers],0),0)</f>
        <v>6545814439.711257</v>
      </c>
      <c r="F438" s="89">
        <f>VLOOKUP(C438, Reason_for_car_journeys_by_percentage[#All],MATCH(A438, Reason_for_car_journeys_by_percentage[#Headers],0),0)/100</f>
        <v>6.7250000000000004E-2</v>
      </c>
      <c r="G438" s="13">
        <f t="shared" si="31"/>
        <v>440206021.07058203</v>
      </c>
      <c r="H438" s="89">
        <f>VLOOKUP(D438,Average_Distance_by_kilometre_grouping_for_mode_type[#All],MATCH(A438,Average_Distance_by_kilometre_grouping_for_mode_type[#Headers],0),0)</f>
        <v>1</v>
      </c>
      <c r="I438" s="89">
        <f>VLOOKUP(D438,Average_Distance_by_kilometres_grouping_for_trip_purpose[#All],MATCH(A438,Average_Distance_by_kilometres_grouping_for_trip_purpose[#Headers],0),0)</f>
        <v>1</v>
      </c>
      <c r="J438" s="89">
        <f t="shared" si="32"/>
        <v>1</v>
      </c>
      <c r="K438" s="89">
        <f t="shared" si="33"/>
        <v>2.0300446609825416E-2</v>
      </c>
      <c r="L438" s="89">
        <v>1</v>
      </c>
      <c r="M438" s="13">
        <f t="shared" si="34"/>
        <v>8936378.8280670326</v>
      </c>
      <c r="N438" s="11">
        <f t="shared" si="35"/>
        <v>1.7262739652547103E-4</v>
      </c>
    </row>
    <row r="439" spans="1:14" x14ac:dyDescent="0.25">
      <c r="A439" s="79" t="s">
        <v>32</v>
      </c>
      <c r="B439" s="89" t="s">
        <v>6</v>
      </c>
      <c r="C439" s="89" t="s">
        <v>93</v>
      </c>
      <c r="D439" s="13" t="s">
        <v>181</v>
      </c>
      <c r="E439" s="35">
        <f>VLOOKUP(B439, Passenger_Kilometre_by_mode_type[#All],MATCH(A439, Passenger_Kilometre_by_mode_type[#Headers],0),0)</f>
        <v>6545814439.711257</v>
      </c>
      <c r="F439" s="89">
        <f>VLOOKUP(C439, Reason_for_car_journeys_by_percentage[#All],MATCH(A439, Reason_for_car_journeys_by_percentage[#Headers],0),0)/100</f>
        <v>6.7250000000000004E-2</v>
      </c>
      <c r="G439" s="13">
        <f t="shared" si="31"/>
        <v>440206021.07058203</v>
      </c>
      <c r="H439" s="89">
        <f>VLOOKUP(D439,Average_Distance_by_kilometre_grouping_for_mode_type[#All],MATCH(A439,Average_Distance_by_kilometre_grouping_for_mode_type[#Headers],0),0)</f>
        <v>3</v>
      </c>
      <c r="I439" s="89">
        <f>VLOOKUP(D439,Average_Distance_by_kilometres_grouping_for_trip_purpose[#All],MATCH(A439,Average_Distance_by_kilometres_grouping_for_trip_purpose[#Headers],0),0)</f>
        <v>3</v>
      </c>
      <c r="J439" s="89">
        <f t="shared" si="32"/>
        <v>3</v>
      </c>
      <c r="K439" s="89">
        <f t="shared" si="33"/>
        <v>6.0901339829476243E-2</v>
      </c>
      <c r="L439" s="89">
        <v>1</v>
      </c>
      <c r="M439" s="13">
        <f t="shared" si="34"/>
        <v>26809136.484201096</v>
      </c>
      <c r="N439" s="11">
        <f t="shared" si="35"/>
        <v>5.1788218957641305E-4</v>
      </c>
    </row>
    <row r="440" spans="1:14" x14ac:dyDescent="0.25">
      <c r="A440" s="79" t="s">
        <v>32</v>
      </c>
      <c r="B440" s="89" t="s">
        <v>6</v>
      </c>
      <c r="C440" s="89" t="s">
        <v>93</v>
      </c>
      <c r="D440" s="13" t="s">
        <v>180</v>
      </c>
      <c r="E440" s="35">
        <f>VLOOKUP(B440, Passenger_Kilometre_by_mode_type[#All],MATCH(A440, Passenger_Kilometre_by_mode_type[#Headers],0),0)</f>
        <v>6545814439.711257</v>
      </c>
      <c r="F440" s="89">
        <f>VLOOKUP(C440, Reason_for_car_journeys_by_percentage[#All],MATCH(A440, Reason_for_car_journeys_by_percentage[#Headers],0),0)/100</f>
        <v>6.7250000000000004E-2</v>
      </c>
      <c r="G440" s="13">
        <f t="shared" si="31"/>
        <v>440206021.07058203</v>
      </c>
      <c r="H440" s="89">
        <f>VLOOKUP(D440,Average_Distance_by_kilometre_grouping_for_mode_type[#All],MATCH(A440,Average_Distance_by_kilometre_grouping_for_mode_type[#Headers],0),0)</f>
        <v>5</v>
      </c>
      <c r="I440" s="89">
        <f>VLOOKUP(D440,Average_Distance_by_kilometres_grouping_for_trip_purpose[#All],MATCH(A440,Average_Distance_by_kilometres_grouping_for_trip_purpose[#Headers],0),0)</f>
        <v>5</v>
      </c>
      <c r="J440" s="89">
        <f t="shared" si="32"/>
        <v>5</v>
      </c>
      <c r="K440" s="89">
        <f t="shared" si="33"/>
        <v>0.10150223304912707</v>
      </c>
      <c r="L440" s="89">
        <v>1</v>
      </c>
      <c r="M440" s="13">
        <f t="shared" si="34"/>
        <v>44681894.140335158</v>
      </c>
      <c r="N440" s="11">
        <f t="shared" si="35"/>
        <v>8.6313698262735505E-4</v>
      </c>
    </row>
    <row r="441" spans="1:14" x14ac:dyDescent="0.25">
      <c r="A441" s="79" t="s">
        <v>32</v>
      </c>
      <c r="B441" s="89" t="s">
        <v>6</v>
      </c>
      <c r="C441" s="89" t="s">
        <v>93</v>
      </c>
      <c r="D441" s="13" t="s">
        <v>182</v>
      </c>
      <c r="E441" s="35">
        <f>VLOOKUP(B441, Passenger_Kilometre_by_mode_type[#All],MATCH(A441, Passenger_Kilometre_by_mode_type[#Headers],0),0)</f>
        <v>6545814439.711257</v>
      </c>
      <c r="F441" s="89">
        <f>VLOOKUP(C441, Reason_for_car_journeys_by_percentage[#All],MATCH(A441, Reason_for_car_journeys_by_percentage[#Headers],0),0)/100</f>
        <v>6.7250000000000004E-2</v>
      </c>
      <c r="G441" s="13">
        <f t="shared" si="31"/>
        <v>440206021.07058203</v>
      </c>
      <c r="H441" s="89">
        <f>VLOOKUP(D441,Average_Distance_by_kilometre_grouping_for_mode_type[#All],MATCH(A441,Average_Distance_by_kilometre_grouping_for_mode_type[#Headers],0),0)</f>
        <v>7</v>
      </c>
      <c r="I441" s="89">
        <f>VLOOKUP(D441,Average_Distance_by_kilometres_grouping_for_trip_purpose[#All],MATCH(A441,Average_Distance_by_kilometres_grouping_for_trip_purpose[#Headers],0),0)</f>
        <v>7</v>
      </c>
      <c r="J441" s="89">
        <f t="shared" si="32"/>
        <v>7</v>
      </c>
      <c r="K441" s="89">
        <f t="shared" si="33"/>
        <v>0.14210312626877789</v>
      </c>
      <c r="L441" s="89">
        <v>1</v>
      </c>
      <c r="M441" s="13">
        <f t="shared" si="34"/>
        <v>62554651.796469219</v>
      </c>
      <c r="N441" s="11">
        <f t="shared" si="35"/>
        <v>1.2083917756782971E-3</v>
      </c>
    </row>
    <row r="442" spans="1:14" x14ac:dyDescent="0.25">
      <c r="A442" s="79" t="s">
        <v>32</v>
      </c>
      <c r="B442" s="89" t="s">
        <v>6</v>
      </c>
      <c r="C442" s="89" t="s">
        <v>93</v>
      </c>
      <c r="D442" s="13" t="s">
        <v>1</v>
      </c>
      <c r="E442" s="35">
        <f>VLOOKUP(B442, Passenger_Kilometre_by_mode_type[#All],MATCH(A442, Passenger_Kilometre_by_mode_type[#Headers],0),0)</f>
        <v>6545814439.711257</v>
      </c>
      <c r="F442" s="89">
        <f>VLOOKUP(C442, Reason_for_car_journeys_by_percentage[#All],MATCH(A442, Reason_for_car_journeys_by_percentage[#Headers],0),0)/100</f>
        <v>6.7250000000000004E-2</v>
      </c>
      <c r="G442" s="13">
        <f t="shared" si="31"/>
        <v>440206021.07058203</v>
      </c>
      <c r="H442" s="89">
        <f>VLOOKUP(D442,Average_Distance_by_kilometre_grouping_for_mode_type[#All],MATCH(A442,Average_Distance_by_kilometre_grouping_for_mode_type[#Headers],0),0)</f>
        <v>31.75</v>
      </c>
      <c r="I442" s="89">
        <f>VLOOKUP(D442,Average_Distance_by_kilometres_grouping_for_trip_purpose[#All],MATCH(A442,Average_Distance_by_kilometres_grouping_for_trip_purpose[#Headers],0),0)</f>
        <v>34.770000000000003</v>
      </c>
      <c r="J442" s="89">
        <f t="shared" si="32"/>
        <v>33.260000000000005</v>
      </c>
      <c r="K442" s="89">
        <f t="shared" si="33"/>
        <v>0.67519285424279341</v>
      </c>
      <c r="L442" s="89">
        <v>1</v>
      </c>
      <c r="M442" s="13">
        <f t="shared" si="34"/>
        <v>297223959.82150954</v>
      </c>
      <c r="N442" s="11">
        <f t="shared" si="35"/>
        <v>5.7415872084371671E-3</v>
      </c>
    </row>
    <row r="443" spans="1:14" x14ac:dyDescent="0.25">
      <c r="A443" s="79" t="s">
        <v>32</v>
      </c>
      <c r="B443" s="89" t="s">
        <v>6</v>
      </c>
      <c r="C443" s="89" t="s">
        <v>243</v>
      </c>
      <c r="D443" s="13" t="s">
        <v>12</v>
      </c>
      <c r="E443" s="35">
        <f>VLOOKUP(B443, Passenger_Kilometre_by_mode_type[#All],MATCH(A443, Passenger_Kilometre_by_mode_type[#Headers],0),0)</f>
        <v>6545814439.711257</v>
      </c>
      <c r="F443" s="89">
        <f>VLOOKUP(C443, Reason_for_car_journeys_by_percentage[#All],MATCH(A443, Reason_for_car_journeys_by_percentage[#Headers],0),0)/100</f>
        <v>0.18149999999999999</v>
      </c>
      <c r="G443" s="13">
        <f t="shared" si="31"/>
        <v>1188065320.8075931</v>
      </c>
      <c r="H443" s="89">
        <f>VLOOKUP(D443,Average_Distance_by_kilometre_grouping_for_mode_type[#All],MATCH(A443,Average_Distance_by_kilometre_grouping_for_mode_type[#Headers],0),0)</f>
        <v>1</v>
      </c>
      <c r="I443" s="89">
        <f>VLOOKUP(D443,Average_Distance_by_kilometres_grouping_for_trip_purpose[#All],MATCH(A443,Average_Distance_by_kilometres_grouping_for_trip_purpose[#Headers],0),0)</f>
        <v>1</v>
      </c>
      <c r="J443" s="89">
        <f t="shared" si="32"/>
        <v>1</v>
      </c>
      <c r="K443" s="89">
        <f t="shared" si="33"/>
        <v>2.0300446609825416E-2</v>
      </c>
      <c r="L443" s="89">
        <v>1</v>
      </c>
      <c r="M443" s="13">
        <f t="shared" si="34"/>
        <v>24118256.614039648</v>
      </c>
      <c r="N443" s="11">
        <f t="shared" si="35"/>
        <v>4.6590144935870618E-4</v>
      </c>
    </row>
    <row r="444" spans="1:14" x14ac:dyDescent="0.25">
      <c r="A444" s="79" t="s">
        <v>32</v>
      </c>
      <c r="B444" s="89" t="s">
        <v>6</v>
      </c>
      <c r="C444" s="89" t="s">
        <v>243</v>
      </c>
      <c r="D444" s="13" t="s">
        <v>181</v>
      </c>
      <c r="E444" s="35">
        <f>VLOOKUP(B444, Passenger_Kilometre_by_mode_type[#All],MATCH(A444, Passenger_Kilometre_by_mode_type[#Headers],0),0)</f>
        <v>6545814439.711257</v>
      </c>
      <c r="F444" s="89">
        <f>VLOOKUP(C444, Reason_for_car_journeys_by_percentage[#All],MATCH(A444, Reason_for_car_journeys_by_percentage[#Headers],0),0)/100</f>
        <v>0.18149999999999999</v>
      </c>
      <c r="G444" s="13">
        <f t="shared" si="31"/>
        <v>1188065320.8075931</v>
      </c>
      <c r="H444" s="89">
        <f>VLOOKUP(D444,Average_Distance_by_kilometre_grouping_for_mode_type[#All],MATCH(A444,Average_Distance_by_kilometre_grouping_for_mode_type[#Headers],0),0)</f>
        <v>3</v>
      </c>
      <c r="I444" s="89">
        <f>VLOOKUP(D444,Average_Distance_by_kilometres_grouping_for_trip_purpose[#All],MATCH(A444,Average_Distance_by_kilometres_grouping_for_trip_purpose[#Headers],0),0)</f>
        <v>3</v>
      </c>
      <c r="J444" s="89">
        <f t="shared" si="32"/>
        <v>3</v>
      </c>
      <c r="K444" s="89">
        <f t="shared" si="33"/>
        <v>6.0901339829476243E-2</v>
      </c>
      <c r="L444" s="89">
        <v>1</v>
      </c>
      <c r="M444" s="13">
        <f t="shared" si="34"/>
        <v>72354769.842118934</v>
      </c>
      <c r="N444" s="11">
        <f t="shared" si="35"/>
        <v>1.3977043480761183E-3</v>
      </c>
    </row>
    <row r="445" spans="1:14" x14ac:dyDescent="0.25">
      <c r="A445" s="79" t="s">
        <v>32</v>
      </c>
      <c r="B445" s="89" t="s">
        <v>6</v>
      </c>
      <c r="C445" s="89" t="s">
        <v>243</v>
      </c>
      <c r="D445" s="13" t="s">
        <v>180</v>
      </c>
      <c r="E445" s="35">
        <f>VLOOKUP(B445, Passenger_Kilometre_by_mode_type[#All],MATCH(A445, Passenger_Kilometre_by_mode_type[#Headers],0),0)</f>
        <v>6545814439.711257</v>
      </c>
      <c r="F445" s="89">
        <f>VLOOKUP(C445, Reason_for_car_journeys_by_percentage[#All],MATCH(A445, Reason_for_car_journeys_by_percentage[#Headers],0),0)/100</f>
        <v>0.18149999999999999</v>
      </c>
      <c r="G445" s="13">
        <f t="shared" si="31"/>
        <v>1188065320.8075931</v>
      </c>
      <c r="H445" s="89">
        <f>VLOOKUP(D445,Average_Distance_by_kilometre_grouping_for_mode_type[#All],MATCH(A445,Average_Distance_by_kilometre_grouping_for_mode_type[#Headers],0),0)</f>
        <v>5</v>
      </c>
      <c r="I445" s="89">
        <f>VLOOKUP(D445,Average_Distance_by_kilometres_grouping_for_trip_purpose[#All],MATCH(A445,Average_Distance_by_kilometres_grouping_for_trip_purpose[#Headers],0),0)</f>
        <v>5</v>
      </c>
      <c r="J445" s="89">
        <f t="shared" si="32"/>
        <v>5</v>
      </c>
      <c r="K445" s="89">
        <f t="shared" si="33"/>
        <v>0.10150223304912707</v>
      </c>
      <c r="L445" s="89">
        <v>1</v>
      </c>
      <c r="M445" s="13">
        <f t="shared" si="34"/>
        <v>120591283.07019824</v>
      </c>
      <c r="N445" s="11">
        <f t="shared" si="35"/>
        <v>2.3295072467935307E-3</v>
      </c>
    </row>
    <row r="446" spans="1:14" x14ac:dyDescent="0.25">
      <c r="A446" s="79" t="s">
        <v>32</v>
      </c>
      <c r="B446" s="89" t="s">
        <v>6</v>
      </c>
      <c r="C446" s="89" t="s">
        <v>243</v>
      </c>
      <c r="D446" s="13" t="s">
        <v>182</v>
      </c>
      <c r="E446" s="35">
        <f>VLOOKUP(B446, Passenger_Kilometre_by_mode_type[#All],MATCH(A446, Passenger_Kilometre_by_mode_type[#Headers],0),0)</f>
        <v>6545814439.711257</v>
      </c>
      <c r="F446" s="89">
        <f>VLOOKUP(C446, Reason_for_car_journeys_by_percentage[#All],MATCH(A446, Reason_for_car_journeys_by_percentage[#Headers],0),0)/100</f>
        <v>0.18149999999999999</v>
      </c>
      <c r="G446" s="13">
        <f t="shared" si="31"/>
        <v>1188065320.8075931</v>
      </c>
      <c r="H446" s="89">
        <f>VLOOKUP(D446,Average_Distance_by_kilometre_grouping_for_mode_type[#All],MATCH(A446,Average_Distance_by_kilometre_grouping_for_mode_type[#Headers],0),0)</f>
        <v>7</v>
      </c>
      <c r="I446" s="89">
        <f>VLOOKUP(D446,Average_Distance_by_kilometres_grouping_for_trip_purpose[#All],MATCH(A446,Average_Distance_by_kilometres_grouping_for_trip_purpose[#Headers],0),0)</f>
        <v>7</v>
      </c>
      <c r="J446" s="89">
        <f t="shared" si="32"/>
        <v>7</v>
      </c>
      <c r="K446" s="89">
        <f t="shared" si="33"/>
        <v>0.14210312626877789</v>
      </c>
      <c r="L446" s="89">
        <v>1</v>
      </c>
      <c r="M446" s="13">
        <f t="shared" si="34"/>
        <v>168827796.2982775</v>
      </c>
      <c r="N446" s="11">
        <f t="shared" si="35"/>
        <v>3.2613101455109426E-3</v>
      </c>
    </row>
    <row r="447" spans="1:14" x14ac:dyDescent="0.25">
      <c r="A447" s="79" t="s">
        <v>32</v>
      </c>
      <c r="B447" s="89" t="s">
        <v>6</v>
      </c>
      <c r="C447" s="89" t="s">
        <v>243</v>
      </c>
      <c r="D447" s="13" t="s">
        <v>1</v>
      </c>
      <c r="E447" s="35">
        <f>VLOOKUP(B447, Passenger_Kilometre_by_mode_type[#All],MATCH(A447, Passenger_Kilometre_by_mode_type[#Headers],0),0)</f>
        <v>6545814439.711257</v>
      </c>
      <c r="F447" s="89">
        <f>VLOOKUP(C447, Reason_for_car_journeys_by_percentage[#All],MATCH(A447, Reason_for_car_journeys_by_percentage[#Headers],0),0)/100</f>
        <v>0.18149999999999999</v>
      </c>
      <c r="G447" s="13">
        <f t="shared" si="31"/>
        <v>1188065320.8075931</v>
      </c>
      <c r="H447" s="89">
        <f>VLOOKUP(D447,Average_Distance_by_kilometre_grouping_for_mode_type[#All],MATCH(A447,Average_Distance_by_kilometre_grouping_for_mode_type[#Headers],0),0)</f>
        <v>31.75</v>
      </c>
      <c r="I447" s="89">
        <f>VLOOKUP(D447,Average_Distance_by_kilometres_grouping_for_trip_purpose[#All],MATCH(A447,Average_Distance_by_kilometres_grouping_for_trip_purpose[#Headers],0),0)</f>
        <v>34.770000000000003</v>
      </c>
      <c r="J447" s="89">
        <f t="shared" si="32"/>
        <v>33.260000000000005</v>
      </c>
      <c r="K447" s="89">
        <f t="shared" si="33"/>
        <v>0.67519285424279341</v>
      </c>
      <c r="L447" s="89">
        <v>1</v>
      </c>
      <c r="M447" s="13">
        <f t="shared" si="34"/>
        <v>802173214.98295879</v>
      </c>
      <c r="N447" s="11">
        <f t="shared" si="35"/>
        <v>1.549588220567057E-2</v>
      </c>
    </row>
    <row r="448" spans="1:14" x14ac:dyDescent="0.25">
      <c r="A448" s="79" t="s">
        <v>32</v>
      </c>
      <c r="B448" s="89" t="s">
        <v>6</v>
      </c>
      <c r="C448" s="89" t="s">
        <v>50</v>
      </c>
      <c r="D448" s="13" t="s">
        <v>12</v>
      </c>
      <c r="E448" s="35">
        <f>VLOOKUP(B448, Passenger_Kilometre_by_mode_type[#All],MATCH(A448, Passenger_Kilometre_by_mode_type[#Headers],0),0)</f>
        <v>6545814439.711257</v>
      </c>
      <c r="F448" s="89">
        <f>VLOOKUP(C448, Reason_for_car_journeys_by_percentage[#All],MATCH(A448, Reason_for_car_journeys_by_percentage[#Headers],0),0)/100</f>
        <v>3.4750000000000003E-2</v>
      </c>
      <c r="G448" s="13">
        <f t="shared" si="31"/>
        <v>227467051.77996621</v>
      </c>
      <c r="H448" s="89">
        <f>VLOOKUP(D448,Average_Distance_by_kilometre_grouping_for_mode_type[#All],MATCH(A448,Average_Distance_by_kilometre_grouping_for_mode_type[#Headers],0),0)</f>
        <v>1</v>
      </c>
      <c r="I448" s="89">
        <f>VLOOKUP(D448,Average_Distance_by_kilometres_grouping_for_trip_purpose[#All],MATCH(A448,Average_Distance_by_kilometres_grouping_for_trip_purpose[#Headers],0),0)</f>
        <v>1</v>
      </c>
      <c r="J448" s="89">
        <f t="shared" si="32"/>
        <v>1</v>
      </c>
      <c r="K448" s="89">
        <f t="shared" si="33"/>
        <v>2.0300446609825416E-2</v>
      </c>
      <c r="L448" s="89">
        <v>1</v>
      </c>
      <c r="M448" s="13">
        <f t="shared" si="34"/>
        <v>4617682.7401535977</v>
      </c>
      <c r="N448" s="11">
        <f t="shared" si="35"/>
        <v>8.9201517163719254E-5</v>
      </c>
    </row>
    <row r="449" spans="1:14" x14ac:dyDescent="0.25">
      <c r="A449" s="79" t="s">
        <v>32</v>
      </c>
      <c r="B449" s="89" t="s">
        <v>6</v>
      </c>
      <c r="C449" s="89" t="s">
        <v>50</v>
      </c>
      <c r="D449" s="13" t="s">
        <v>181</v>
      </c>
      <c r="E449" s="35">
        <f>VLOOKUP(B449, Passenger_Kilometre_by_mode_type[#All],MATCH(A449, Passenger_Kilometre_by_mode_type[#Headers],0),0)</f>
        <v>6545814439.711257</v>
      </c>
      <c r="F449" s="89">
        <f>VLOOKUP(C449, Reason_for_car_journeys_by_percentage[#All],MATCH(A449, Reason_for_car_journeys_by_percentage[#Headers],0),0)/100</f>
        <v>3.4750000000000003E-2</v>
      </c>
      <c r="G449" s="13">
        <f t="shared" si="31"/>
        <v>227467051.77996621</v>
      </c>
      <c r="H449" s="89">
        <f>VLOOKUP(D449,Average_Distance_by_kilometre_grouping_for_mode_type[#All],MATCH(A449,Average_Distance_by_kilometre_grouping_for_mode_type[#Headers],0),0)</f>
        <v>3</v>
      </c>
      <c r="I449" s="89">
        <f>VLOOKUP(D449,Average_Distance_by_kilometres_grouping_for_trip_purpose[#All],MATCH(A449,Average_Distance_by_kilometres_grouping_for_trip_purpose[#Headers],0),0)</f>
        <v>3</v>
      </c>
      <c r="J449" s="89">
        <f t="shared" si="32"/>
        <v>3</v>
      </c>
      <c r="K449" s="89">
        <f t="shared" si="33"/>
        <v>6.0901339829476243E-2</v>
      </c>
      <c r="L449" s="89">
        <v>1</v>
      </c>
      <c r="M449" s="13">
        <f t="shared" si="34"/>
        <v>13853048.220460791</v>
      </c>
      <c r="N449" s="11">
        <f t="shared" si="35"/>
        <v>2.6760455149115771E-4</v>
      </c>
    </row>
    <row r="450" spans="1:14" x14ac:dyDescent="0.25">
      <c r="A450" s="79" t="s">
        <v>32</v>
      </c>
      <c r="B450" s="89" t="s">
        <v>6</v>
      </c>
      <c r="C450" s="89" t="s">
        <v>50</v>
      </c>
      <c r="D450" s="13" t="s">
        <v>180</v>
      </c>
      <c r="E450" s="35">
        <f>VLOOKUP(B450, Passenger_Kilometre_by_mode_type[#All],MATCH(A450, Passenger_Kilometre_by_mode_type[#Headers],0),0)</f>
        <v>6545814439.711257</v>
      </c>
      <c r="F450" s="89">
        <f>VLOOKUP(C450, Reason_for_car_journeys_by_percentage[#All],MATCH(A450, Reason_for_car_journeys_by_percentage[#Headers],0),0)/100</f>
        <v>3.4750000000000003E-2</v>
      </c>
      <c r="G450" s="13">
        <f t="shared" si="31"/>
        <v>227467051.77996621</v>
      </c>
      <c r="H450" s="89">
        <f>VLOOKUP(D450,Average_Distance_by_kilometre_grouping_for_mode_type[#All],MATCH(A450,Average_Distance_by_kilometre_grouping_for_mode_type[#Headers],0),0)</f>
        <v>5</v>
      </c>
      <c r="I450" s="89">
        <f>VLOOKUP(D450,Average_Distance_by_kilometres_grouping_for_trip_purpose[#All],MATCH(A450,Average_Distance_by_kilometres_grouping_for_trip_purpose[#Headers],0),0)</f>
        <v>5</v>
      </c>
      <c r="J450" s="89">
        <f t="shared" si="32"/>
        <v>5</v>
      </c>
      <c r="K450" s="89">
        <f t="shared" si="33"/>
        <v>0.10150223304912707</v>
      </c>
      <c r="L450" s="89">
        <v>1</v>
      </c>
      <c r="M450" s="13">
        <f t="shared" si="34"/>
        <v>23088413.700767986</v>
      </c>
      <c r="N450" s="11">
        <f t="shared" si="35"/>
        <v>4.4600758581859622E-4</v>
      </c>
    </row>
    <row r="451" spans="1:14" x14ac:dyDescent="0.25">
      <c r="A451" s="79" t="s">
        <v>32</v>
      </c>
      <c r="B451" s="89" t="s">
        <v>6</v>
      </c>
      <c r="C451" s="89" t="s">
        <v>50</v>
      </c>
      <c r="D451" s="13" t="s">
        <v>182</v>
      </c>
      <c r="E451" s="35">
        <f>VLOOKUP(B451, Passenger_Kilometre_by_mode_type[#All],MATCH(A451, Passenger_Kilometre_by_mode_type[#Headers],0),0)</f>
        <v>6545814439.711257</v>
      </c>
      <c r="F451" s="89">
        <f>VLOOKUP(C451, Reason_for_car_journeys_by_percentage[#All],MATCH(A451, Reason_for_car_journeys_by_percentage[#Headers],0),0)/100</f>
        <v>3.4750000000000003E-2</v>
      </c>
      <c r="G451" s="13">
        <f t="shared" si="31"/>
        <v>227467051.77996621</v>
      </c>
      <c r="H451" s="89">
        <f>VLOOKUP(D451,Average_Distance_by_kilometre_grouping_for_mode_type[#All],MATCH(A451,Average_Distance_by_kilometre_grouping_for_mode_type[#Headers],0),0)</f>
        <v>7</v>
      </c>
      <c r="I451" s="89">
        <f>VLOOKUP(D451,Average_Distance_by_kilometres_grouping_for_trip_purpose[#All],MATCH(A451,Average_Distance_by_kilometres_grouping_for_trip_purpose[#Headers],0),0)</f>
        <v>7</v>
      </c>
      <c r="J451" s="89">
        <f t="shared" si="32"/>
        <v>7</v>
      </c>
      <c r="K451" s="89">
        <f t="shared" si="33"/>
        <v>0.14210312626877789</v>
      </c>
      <c r="L451" s="89">
        <v>1</v>
      </c>
      <c r="M451" s="13">
        <f t="shared" si="34"/>
        <v>32323779.181075174</v>
      </c>
      <c r="N451" s="11">
        <f t="shared" si="35"/>
        <v>6.2441062014603462E-4</v>
      </c>
    </row>
    <row r="452" spans="1:14" x14ac:dyDescent="0.25">
      <c r="A452" s="79" t="s">
        <v>32</v>
      </c>
      <c r="B452" s="89" t="s">
        <v>6</v>
      </c>
      <c r="C452" s="89" t="s">
        <v>50</v>
      </c>
      <c r="D452" s="13" t="s">
        <v>1</v>
      </c>
      <c r="E452" s="35">
        <f>VLOOKUP(B452, Passenger_Kilometre_by_mode_type[#All],MATCH(A452, Passenger_Kilometre_by_mode_type[#Headers],0),0)</f>
        <v>6545814439.711257</v>
      </c>
      <c r="F452" s="89">
        <f>VLOOKUP(C452, Reason_for_car_journeys_by_percentage[#All],MATCH(A452, Reason_for_car_journeys_by_percentage[#Headers],0),0)/100</f>
        <v>3.4750000000000003E-2</v>
      </c>
      <c r="G452" s="13">
        <f t="shared" ref="G452:G515" si="36">E452*F452</f>
        <v>227467051.77996621</v>
      </c>
      <c r="H452" s="89">
        <f>VLOOKUP(D452,Average_Distance_by_kilometre_grouping_for_mode_type[#All],MATCH(A452,Average_Distance_by_kilometre_grouping_for_mode_type[#Headers],0),0)</f>
        <v>31.75</v>
      </c>
      <c r="I452" s="89">
        <f>VLOOKUP(D452,Average_Distance_by_kilometres_grouping_for_trip_purpose[#All],MATCH(A452,Average_Distance_by_kilometres_grouping_for_trip_purpose[#Headers],0),0)</f>
        <v>34.770000000000003</v>
      </c>
      <c r="J452" s="89">
        <f t="shared" ref="J452:J515" si="37">AVERAGE(H452:I452)</f>
        <v>33.260000000000005</v>
      </c>
      <c r="K452" s="89">
        <f t="shared" ref="K452:K515" si="38">J452/SUM(J452:J456)</f>
        <v>0.67519285424279341</v>
      </c>
      <c r="L452" s="89">
        <v>1</v>
      </c>
      <c r="M452" s="13">
        <f t="shared" ref="M452:M515" si="39">G452*K452*L452</f>
        <v>153584127.93750867</v>
      </c>
      <c r="N452" s="11">
        <f t="shared" si="35"/>
        <v>2.9668424608653024E-3</v>
      </c>
    </row>
    <row r="453" spans="1:14" x14ac:dyDescent="0.25">
      <c r="A453" s="79" t="s">
        <v>32</v>
      </c>
      <c r="B453" s="89" t="s">
        <v>7</v>
      </c>
      <c r="C453" s="89" t="s">
        <v>42</v>
      </c>
      <c r="D453" s="13" t="s">
        <v>12</v>
      </c>
      <c r="E453" s="35">
        <f>VLOOKUP(B453, Passenger_Kilometre_by_mode_type[#All],MATCH(A453, Passenger_Kilometre_by_mode_type[#Headers],0),0)</f>
        <v>122861193.40584016</v>
      </c>
      <c r="F453" s="89">
        <f>VLOOKUP(C453, Reason_for_walking_cycling_journeys_by_percentage[#All],MATCH(A453, Reason_for_walking_cycling_journeys_by_percentage[#Headers],0),0)/100</f>
        <v>0.17649999999999999</v>
      </c>
      <c r="G453" s="13">
        <f t="shared" si="36"/>
        <v>21685000.636130787</v>
      </c>
      <c r="H453" s="89">
        <f>VLOOKUP(D453,Average_Distance_by_kilometre_grouping_for_mode_type[#All],MATCH(A453,Average_Distance_by_kilometre_grouping_for_mode_type[#Headers],0),0)</f>
        <v>1</v>
      </c>
      <c r="I453" s="89">
        <f>VLOOKUP(D453,Average_Distance_by_kilometres_grouping_for_trip_purpose[#All],MATCH(A453,Average_Distance_by_kilometres_grouping_for_trip_purpose[#Headers],0),0)</f>
        <v>1</v>
      </c>
      <c r="J453" s="89">
        <f t="shared" si="37"/>
        <v>1</v>
      </c>
      <c r="K453" s="89">
        <f t="shared" si="38"/>
        <v>2.0300446609825416E-2</v>
      </c>
      <c r="L453" s="89">
        <v>1</v>
      </c>
      <c r="M453" s="13">
        <f t="shared" si="39"/>
        <v>440215.19764780323</v>
      </c>
      <c r="N453" s="11">
        <f t="shared" si="35"/>
        <v>8.5038028202440821E-6</v>
      </c>
    </row>
    <row r="454" spans="1:14" x14ac:dyDescent="0.25">
      <c r="A454" s="79" t="s">
        <v>32</v>
      </c>
      <c r="B454" s="89" t="s">
        <v>7</v>
      </c>
      <c r="C454" s="89" t="s">
        <v>42</v>
      </c>
      <c r="D454" s="13" t="s">
        <v>181</v>
      </c>
      <c r="E454" s="35">
        <f>VLOOKUP(B454, Passenger_Kilometre_by_mode_type[#All],MATCH(A454, Passenger_Kilometre_by_mode_type[#Headers],0),0)</f>
        <v>122861193.40584016</v>
      </c>
      <c r="F454" s="89">
        <f>VLOOKUP(C454, Reason_for_walking_cycling_journeys_by_percentage[#All],MATCH(A454, Reason_for_walking_cycling_journeys_by_percentage[#Headers],0),0)/100</f>
        <v>0.17649999999999999</v>
      </c>
      <c r="G454" s="13">
        <f t="shared" si="36"/>
        <v>21685000.636130787</v>
      </c>
      <c r="H454" s="89">
        <f>VLOOKUP(D454,Average_Distance_by_kilometre_grouping_for_mode_type[#All],MATCH(A454,Average_Distance_by_kilometre_grouping_for_mode_type[#Headers],0),0)</f>
        <v>3</v>
      </c>
      <c r="I454" s="89">
        <f>VLOOKUP(D454,Average_Distance_by_kilometres_grouping_for_trip_purpose[#All],MATCH(A454,Average_Distance_by_kilometres_grouping_for_trip_purpose[#Headers],0),0)</f>
        <v>3</v>
      </c>
      <c r="J454" s="89">
        <f t="shared" si="37"/>
        <v>3</v>
      </c>
      <c r="K454" s="89">
        <f t="shared" si="38"/>
        <v>6.0901339829476243E-2</v>
      </c>
      <c r="L454" s="89">
        <v>1</v>
      </c>
      <c r="M454" s="13">
        <f t="shared" si="39"/>
        <v>1320645.5929434097</v>
      </c>
      <c r="N454" s="11">
        <f t="shared" si="35"/>
        <v>2.5511408460732245E-5</v>
      </c>
    </row>
    <row r="455" spans="1:14" x14ac:dyDescent="0.25">
      <c r="A455" s="79" t="s">
        <v>32</v>
      </c>
      <c r="B455" s="89" t="s">
        <v>7</v>
      </c>
      <c r="C455" s="89" t="s">
        <v>42</v>
      </c>
      <c r="D455" s="13" t="s">
        <v>180</v>
      </c>
      <c r="E455" s="35">
        <f>VLOOKUP(B455, Passenger_Kilometre_by_mode_type[#All],MATCH(A455, Passenger_Kilometre_by_mode_type[#Headers],0),0)</f>
        <v>122861193.40584016</v>
      </c>
      <c r="F455" s="89">
        <f>VLOOKUP(C455, Reason_for_walking_cycling_journeys_by_percentage[#All],MATCH(A455, Reason_for_walking_cycling_journeys_by_percentage[#Headers],0),0)/100</f>
        <v>0.17649999999999999</v>
      </c>
      <c r="G455" s="13">
        <f t="shared" si="36"/>
        <v>21685000.636130787</v>
      </c>
      <c r="H455" s="89">
        <f>VLOOKUP(D455,Average_Distance_by_kilometre_grouping_for_mode_type[#All],MATCH(A455,Average_Distance_by_kilometre_grouping_for_mode_type[#Headers],0),0)</f>
        <v>5</v>
      </c>
      <c r="I455" s="89">
        <f>VLOOKUP(D455,Average_Distance_by_kilometres_grouping_for_trip_purpose[#All],MATCH(A455,Average_Distance_by_kilometres_grouping_for_trip_purpose[#Headers],0),0)</f>
        <v>5</v>
      </c>
      <c r="J455" s="89">
        <f t="shared" si="37"/>
        <v>5</v>
      </c>
      <c r="K455" s="89">
        <f t="shared" si="38"/>
        <v>0.10150223304912707</v>
      </c>
      <c r="L455" s="89">
        <v>1</v>
      </c>
      <c r="M455" s="13">
        <f t="shared" si="39"/>
        <v>2201075.9882390159</v>
      </c>
      <c r="N455" s="11">
        <f t="shared" si="35"/>
        <v>4.2519014101220406E-5</v>
      </c>
    </row>
    <row r="456" spans="1:14" x14ac:dyDescent="0.25">
      <c r="A456" s="79" t="s">
        <v>32</v>
      </c>
      <c r="B456" s="89" t="s">
        <v>7</v>
      </c>
      <c r="C456" s="89" t="s">
        <v>42</v>
      </c>
      <c r="D456" s="13" t="s">
        <v>182</v>
      </c>
      <c r="E456" s="35">
        <f>VLOOKUP(B456, Passenger_Kilometre_by_mode_type[#All],MATCH(A456, Passenger_Kilometre_by_mode_type[#Headers],0),0)</f>
        <v>122861193.40584016</v>
      </c>
      <c r="F456" s="89">
        <f>VLOOKUP(C456, Reason_for_walking_cycling_journeys_by_percentage[#All],MATCH(A456, Reason_for_walking_cycling_journeys_by_percentage[#Headers],0),0)/100</f>
        <v>0.17649999999999999</v>
      </c>
      <c r="G456" s="13">
        <f t="shared" si="36"/>
        <v>21685000.636130787</v>
      </c>
      <c r="H456" s="89">
        <f>VLOOKUP(D456,Average_Distance_by_kilometre_grouping_for_mode_type[#All],MATCH(A456,Average_Distance_by_kilometre_grouping_for_mode_type[#Headers],0),0)</f>
        <v>7</v>
      </c>
      <c r="I456" s="89">
        <f>VLOOKUP(D456,Average_Distance_by_kilometres_grouping_for_trip_purpose[#All],MATCH(A456,Average_Distance_by_kilometres_grouping_for_trip_purpose[#Headers],0),0)</f>
        <v>7</v>
      </c>
      <c r="J456" s="89">
        <f t="shared" si="37"/>
        <v>7</v>
      </c>
      <c r="K456" s="89">
        <f t="shared" si="38"/>
        <v>0.14210312626877789</v>
      </c>
      <c r="L456" s="89">
        <v>1</v>
      </c>
      <c r="M456" s="13">
        <f t="shared" si="39"/>
        <v>3081506.3835346219</v>
      </c>
      <c r="N456" s="11">
        <f t="shared" si="35"/>
        <v>5.9526619741708553E-5</v>
      </c>
    </row>
    <row r="457" spans="1:14" x14ac:dyDescent="0.25">
      <c r="A457" s="79" t="s">
        <v>32</v>
      </c>
      <c r="B457" s="89" t="s">
        <v>7</v>
      </c>
      <c r="C457" s="89" t="s">
        <v>42</v>
      </c>
      <c r="D457" s="13" t="s">
        <v>1</v>
      </c>
      <c r="E457" s="35">
        <f>VLOOKUP(B457, Passenger_Kilometre_by_mode_type[#All],MATCH(A457, Passenger_Kilometre_by_mode_type[#Headers],0),0)</f>
        <v>122861193.40584016</v>
      </c>
      <c r="F457" s="89">
        <f>VLOOKUP(C457, Reason_for_walking_cycling_journeys_by_percentage[#All],MATCH(A457, Reason_for_walking_cycling_journeys_by_percentage[#Headers],0),0)/100</f>
        <v>0.17649999999999999</v>
      </c>
      <c r="G457" s="13">
        <f t="shared" si="36"/>
        <v>21685000.636130787</v>
      </c>
      <c r="H457" s="89">
        <f>VLOOKUP(D457,Average_Distance_by_kilometre_grouping_for_mode_type[#All],MATCH(A457,Average_Distance_by_kilometre_grouping_for_mode_type[#Headers],0),0)</f>
        <v>31.75</v>
      </c>
      <c r="I457" s="89">
        <f>VLOOKUP(D457,Average_Distance_by_kilometres_grouping_for_trip_purpose[#All],MATCH(A457,Average_Distance_by_kilometres_grouping_for_trip_purpose[#Headers],0),0)</f>
        <v>34.770000000000003</v>
      </c>
      <c r="J457" s="89">
        <f t="shared" si="37"/>
        <v>33.260000000000005</v>
      </c>
      <c r="K457" s="89">
        <f t="shared" si="38"/>
        <v>0.67519285424279341</v>
      </c>
      <c r="L457" s="89">
        <v>1</v>
      </c>
      <c r="M457" s="13">
        <f t="shared" si="39"/>
        <v>14641557.473765938</v>
      </c>
      <c r="N457" s="11">
        <f t="shared" si="35"/>
        <v>2.828364818013182E-4</v>
      </c>
    </row>
    <row r="458" spans="1:14" x14ac:dyDescent="0.25">
      <c r="A458" s="79" t="s">
        <v>32</v>
      </c>
      <c r="B458" s="89" t="s">
        <v>7</v>
      </c>
      <c r="C458" s="89" t="s">
        <v>43</v>
      </c>
      <c r="D458" s="13" t="s">
        <v>12</v>
      </c>
      <c r="E458" s="35">
        <f>VLOOKUP(B458, Passenger_Kilometre_by_mode_type[#All],MATCH(A458, Passenger_Kilometre_by_mode_type[#Headers],0),0)</f>
        <v>122861193.40584016</v>
      </c>
      <c r="F458" s="89">
        <f>VLOOKUP(C458, Reason_for_walking_cycling_journeys_by_percentage[#All],MATCH(A458, Reason_for_walking_cycling_journeys_by_percentage[#Headers],0),0)/100</f>
        <v>8.5249999999999992E-2</v>
      </c>
      <c r="G458" s="13">
        <f t="shared" si="36"/>
        <v>10473916.737847872</v>
      </c>
      <c r="H458" s="89">
        <f>VLOOKUP(D458,Average_Distance_by_kilometre_grouping_for_mode_type[#All],MATCH(A458,Average_Distance_by_kilometre_grouping_for_mode_type[#Headers],0),0)</f>
        <v>1</v>
      </c>
      <c r="I458" s="89">
        <f>VLOOKUP(D458,Average_Distance_by_kilometres_grouping_for_trip_purpose[#All],MATCH(A458,Average_Distance_by_kilometres_grouping_for_trip_purpose[#Headers],0),0)</f>
        <v>1</v>
      </c>
      <c r="J458" s="89">
        <f t="shared" si="37"/>
        <v>1</v>
      </c>
      <c r="K458" s="89">
        <f t="shared" si="38"/>
        <v>2.0300446609825416E-2</v>
      </c>
      <c r="L458" s="89">
        <v>1</v>
      </c>
      <c r="M458" s="13">
        <f t="shared" si="39"/>
        <v>212625.1875324375</v>
      </c>
      <c r="N458" s="11">
        <f t="shared" si="35"/>
        <v>4.1073608522708656E-6</v>
      </c>
    </row>
    <row r="459" spans="1:14" x14ac:dyDescent="0.25">
      <c r="A459" s="79" t="s">
        <v>32</v>
      </c>
      <c r="B459" s="89" t="s">
        <v>7</v>
      </c>
      <c r="C459" s="89" t="s">
        <v>43</v>
      </c>
      <c r="D459" s="13" t="s">
        <v>181</v>
      </c>
      <c r="E459" s="35">
        <f>VLOOKUP(B459, Passenger_Kilometre_by_mode_type[#All],MATCH(A459, Passenger_Kilometre_by_mode_type[#Headers],0),0)</f>
        <v>122861193.40584016</v>
      </c>
      <c r="F459" s="89">
        <f>VLOOKUP(C459, Reason_for_walking_cycling_journeys_by_percentage[#All],MATCH(A459, Reason_for_walking_cycling_journeys_by_percentage[#Headers],0),0)/100</f>
        <v>8.5249999999999992E-2</v>
      </c>
      <c r="G459" s="13">
        <f t="shared" si="36"/>
        <v>10473916.737847872</v>
      </c>
      <c r="H459" s="89">
        <f>VLOOKUP(D459,Average_Distance_by_kilometre_grouping_for_mode_type[#All],MATCH(A459,Average_Distance_by_kilometre_grouping_for_mode_type[#Headers],0),0)</f>
        <v>3</v>
      </c>
      <c r="I459" s="89">
        <f>VLOOKUP(D459,Average_Distance_by_kilometres_grouping_for_trip_purpose[#All],MATCH(A459,Average_Distance_by_kilometres_grouping_for_trip_purpose[#Headers],0),0)</f>
        <v>3</v>
      </c>
      <c r="J459" s="89">
        <f t="shared" si="37"/>
        <v>3</v>
      </c>
      <c r="K459" s="89">
        <f t="shared" si="38"/>
        <v>6.0901339829476243E-2</v>
      </c>
      <c r="L459" s="89">
        <v>1</v>
      </c>
      <c r="M459" s="13">
        <f t="shared" si="39"/>
        <v>637875.5625973125</v>
      </c>
      <c r="N459" s="11">
        <f t="shared" si="35"/>
        <v>1.2322082556812598E-5</v>
      </c>
    </row>
    <row r="460" spans="1:14" x14ac:dyDescent="0.25">
      <c r="A460" s="79" t="s">
        <v>32</v>
      </c>
      <c r="B460" s="89" t="s">
        <v>7</v>
      </c>
      <c r="C460" s="89" t="s">
        <v>43</v>
      </c>
      <c r="D460" s="13" t="s">
        <v>180</v>
      </c>
      <c r="E460" s="35">
        <f>VLOOKUP(B460, Passenger_Kilometre_by_mode_type[#All],MATCH(A460, Passenger_Kilometre_by_mode_type[#Headers],0),0)</f>
        <v>122861193.40584016</v>
      </c>
      <c r="F460" s="89">
        <f>VLOOKUP(C460, Reason_for_walking_cycling_journeys_by_percentage[#All],MATCH(A460, Reason_for_walking_cycling_journeys_by_percentage[#Headers],0),0)/100</f>
        <v>8.5249999999999992E-2</v>
      </c>
      <c r="G460" s="13">
        <f t="shared" si="36"/>
        <v>10473916.737847872</v>
      </c>
      <c r="H460" s="89">
        <f>VLOOKUP(D460,Average_Distance_by_kilometre_grouping_for_mode_type[#All],MATCH(A460,Average_Distance_by_kilometre_grouping_for_mode_type[#Headers],0),0)</f>
        <v>5</v>
      </c>
      <c r="I460" s="89">
        <f>VLOOKUP(D460,Average_Distance_by_kilometres_grouping_for_trip_purpose[#All],MATCH(A460,Average_Distance_by_kilometres_grouping_for_trip_purpose[#Headers],0),0)</f>
        <v>5</v>
      </c>
      <c r="J460" s="89">
        <f t="shared" si="37"/>
        <v>5</v>
      </c>
      <c r="K460" s="89">
        <f t="shared" si="38"/>
        <v>0.10150223304912707</v>
      </c>
      <c r="L460" s="89">
        <v>1</v>
      </c>
      <c r="M460" s="13">
        <f t="shared" si="39"/>
        <v>1063125.9376621875</v>
      </c>
      <c r="N460" s="11">
        <f t="shared" si="35"/>
        <v>2.0536804261354331E-5</v>
      </c>
    </row>
    <row r="461" spans="1:14" x14ac:dyDescent="0.25">
      <c r="A461" s="79" t="s">
        <v>32</v>
      </c>
      <c r="B461" s="89" t="s">
        <v>7</v>
      </c>
      <c r="C461" s="89" t="s">
        <v>43</v>
      </c>
      <c r="D461" s="13" t="s">
        <v>182</v>
      </c>
      <c r="E461" s="35">
        <f>VLOOKUP(B461, Passenger_Kilometre_by_mode_type[#All],MATCH(A461, Passenger_Kilometre_by_mode_type[#Headers],0),0)</f>
        <v>122861193.40584016</v>
      </c>
      <c r="F461" s="89">
        <f>VLOOKUP(C461, Reason_for_walking_cycling_journeys_by_percentage[#All],MATCH(A461, Reason_for_walking_cycling_journeys_by_percentage[#Headers],0),0)/100</f>
        <v>8.5249999999999992E-2</v>
      </c>
      <c r="G461" s="13">
        <f t="shared" si="36"/>
        <v>10473916.737847872</v>
      </c>
      <c r="H461" s="89">
        <f>VLOOKUP(D461,Average_Distance_by_kilometre_grouping_for_mode_type[#All],MATCH(A461,Average_Distance_by_kilometre_grouping_for_mode_type[#Headers],0),0)</f>
        <v>7</v>
      </c>
      <c r="I461" s="89">
        <f>VLOOKUP(D461,Average_Distance_by_kilometres_grouping_for_trip_purpose[#All],MATCH(A461,Average_Distance_by_kilometres_grouping_for_trip_purpose[#Headers],0),0)</f>
        <v>7</v>
      </c>
      <c r="J461" s="89">
        <f t="shared" si="37"/>
        <v>7</v>
      </c>
      <c r="K461" s="89">
        <f t="shared" si="38"/>
        <v>0.14210312626877789</v>
      </c>
      <c r="L461" s="89">
        <v>1</v>
      </c>
      <c r="M461" s="13">
        <f t="shared" si="39"/>
        <v>1488376.3127270623</v>
      </c>
      <c r="N461" s="11">
        <f t="shared" si="35"/>
        <v>2.8751525965896057E-5</v>
      </c>
    </row>
    <row r="462" spans="1:14" x14ac:dyDescent="0.25">
      <c r="A462" s="79" t="s">
        <v>32</v>
      </c>
      <c r="B462" s="89" t="s">
        <v>7</v>
      </c>
      <c r="C462" s="89" t="s">
        <v>43</v>
      </c>
      <c r="D462" s="13" t="s">
        <v>1</v>
      </c>
      <c r="E462" s="35">
        <f>VLOOKUP(B462, Passenger_Kilometre_by_mode_type[#All],MATCH(A462, Passenger_Kilometre_by_mode_type[#Headers],0),0)</f>
        <v>122861193.40584016</v>
      </c>
      <c r="F462" s="89">
        <f>VLOOKUP(C462, Reason_for_walking_cycling_journeys_by_percentage[#All],MATCH(A462, Reason_for_walking_cycling_journeys_by_percentage[#Headers],0),0)/100</f>
        <v>8.5249999999999992E-2</v>
      </c>
      <c r="G462" s="13">
        <f t="shared" si="36"/>
        <v>10473916.737847872</v>
      </c>
      <c r="H462" s="89">
        <f>VLOOKUP(D462,Average_Distance_by_kilometre_grouping_for_mode_type[#All],MATCH(A462,Average_Distance_by_kilometre_grouping_for_mode_type[#Headers],0),0)</f>
        <v>31.75</v>
      </c>
      <c r="I462" s="89">
        <f>VLOOKUP(D462,Average_Distance_by_kilometres_grouping_for_trip_purpose[#All],MATCH(A462,Average_Distance_by_kilometres_grouping_for_trip_purpose[#Headers],0),0)</f>
        <v>34.770000000000003</v>
      </c>
      <c r="J462" s="89">
        <f t="shared" si="37"/>
        <v>33.260000000000005</v>
      </c>
      <c r="K462" s="89">
        <f t="shared" si="38"/>
        <v>0.67519285424279341</v>
      </c>
      <c r="L462" s="89">
        <v>1</v>
      </c>
      <c r="M462" s="13">
        <f t="shared" si="39"/>
        <v>7071913.7373288721</v>
      </c>
      <c r="N462" s="11">
        <f t="shared" si="35"/>
        <v>1.3661082194652902E-4</v>
      </c>
    </row>
    <row r="463" spans="1:14" x14ac:dyDescent="0.25">
      <c r="A463" s="79" t="s">
        <v>32</v>
      </c>
      <c r="B463" s="89" t="s">
        <v>7</v>
      </c>
      <c r="C463" s="89" t="s">
        <v>44</v>
      </c>
      <c r="D463" s="13" t="s">
        <v>12</v>
      </c>
      <c r="E463" s="35">
        <f>VLOOKUP(B463, Passenger_Kilometre_by_mode_type[#All],MATCH(A463, Passenger_Kilometre_by_mode_type[#Headers],0),0)</f>
        <v>122861193.40584016</v>
      </c>
      <c r="F463" s="89">
        <f>VLOOKUP(C463, Reason_for_walking_cycling_journeys_by_percentage[#All],MATCH(A463, Reason_for_walking_cycling_journeys_by_percentage[#Headers],0),0)/100</f>
        <v>0.23774999999999999</v>
      </c>
      <c r="G463" s="13">
        <f t="shared" si="36"/>
        <v>29210248.732238498</v>
      </c>
      <c r="H463" s="89">
        <f>VLOOKUP(D463,Average_Distance_by_kilometre_grouping_for_mode_type[#All],MATCH(A463,Average_Distance_by_kilometre_grouping_for_mode_type[#Headers],0),0)</f>
        <v>1</v>
      </c>
      <c r="I463" s="89">
        <f>VLOOKUP(D463,Average_Distance_by_kilometres_grouping_for_trip_purpose[#All],MATCH(A463,Average_Distance_by_kilometres_grouping_for_trip_purpose[#Headers],0),0)</f>
        <v>1</v>
      </c>
      <c r="J463" s="89">
        <f t="shared" si="37"/>
        <v>1</v>
      </c>
      <c r="K463" s="89">
        <f t="shared" si="38"/>
        <v>2.0300446609825416E-2</v>
      </c>
      <c r="L463" s="89">
        <v>1</v>
      </c>
      <c r="M463" s="13">
        <f t="shared" si="39"/>
        <v>592981.09484852816</v>
      </c>
      <c r="N463" s="11">
        <f t="shared" si="35"/>
        <v>1.1454839209705555E-5</v>
      </c>
    </row>
    <row r="464" spans="1:14" x14ac:dyDescent="0.25">
      <c r="A464" s="79" t="s">
        <v>32</v>
      </c>
      <c r="B464" s="89" t="s">
        <v>7</v>
      </c>
      <c r="C464" s="89" t="s">
        <v>44</v>
      </c>
      <c r="D464" s="13" t="s">
        <v>181</v>
      </c>
      <c r="E464" s="35">
        <f>VLOOKUP(B464, Passenger_Kilometre_by_mode_type[#All],MATCH(A464, Passenger_Kilometre_by_mode_type[#Headers],0),0)</f>
        <v>122861193.40584016</v>
      </c>
      <c r="F464" s="89">
        <f>VLOOKUP(C464, Reason_for_walking_cycling_journeys_by_percentage[#All],MATCH(A464, Reason_for_walking_cycling_journeys_by_percentage[#Headers],0),0)/100</f>
        <v>0.23774999999999999</v>
      </c>
      <c r="G464" s="13">
        <f t="shared" si="36"/>
        <v>29210248.732238498</v>
      </c>
      <c r="H464" s="89">
        <f>VLOOKUP(D464,Average_Distance_by_kilometre_grouping_for_mode_type[#All],MATCH(A464,Average_Distance_by_kilometre_grouping_for_mode_type[#Headers],0),0)</f>
        <v>3</v>
      </c>
      <c r="I464" s="89">
        <f>VLOOKUP(D464,Average_Distance_by_kilometres_grouping_for_trip_purpose[#All],MATCH(A464,Average_Distance_by_kilometres_grouping_for_trip_purpose[#Headers],0),0)</f>
        <v>3</v>
      </c>
      <c r="J464" s="89">
        <f t="shared" si="37"/>
        <v>3</v>
      </c>
      <c r="K464" s="89">
        <f t="shared" si="38"/>
        <v>6.0901339829476243E-2</v>
      </c>
      <c r="L464" s="89">
        <v>1</v>
      </c>
      <c r="M464" s="13">
        <f t="shared" si="39"/>
        <v>1778943.2845455843</v>
      </c>
      <c r="N464" s="11">
        <f t="shared" si="35"/>
        <v>3.4364517629116658E-5</v>
      </c>
    </row>
    <row r="465" spans="1:14" x14ac:dyDescent="0.25">
      <c r="A465" s="79" t="s">
        <v>32</v>
      </c>
      <c r="B465" s="89" t="s">
        <v>7</v>
      </c>
      <c r="C465" s="89" t="s">
        <v>44</v>
      </c>
      <c r="D465" s="13" t="s">
        <v>180</v>
      </c>
      <c r="E465" s="35">
        <f>VLOOKUP(B465, Passenger_Kilometre_by_mode_type[#All],MATCH(A465, Passenger_Kilometre_by_mode_type[#Headers],0),0)</f>
        <v>122861193.40584016</v>
      </c>
      <c r="F465" s="89">
        <f>VLOOKUP(C465, Reason_for_walking_cycling_journeys_by_percentage[#All],MATCH(A465, Reason_for_walking_cycling_journeys_by_percentage[#Headers],0),0)/100</f>
        <v>0.23774999999999999</v>
      </c>
      <c r="G465" s="13">
        <f t="shared" si="36"/>
        <v>29210248.732238498</v>
      </c>
      <c r="H465" s="89">
        <f>VLOOKUP(D465,Average_Distance_by_kilometre_grouping_for_mode_type[#All],MATCH(A465,Average_Distance_by_kilometre_grouping_for_mode_type[#Headers],0),0)</f>
        <v>5</v>
      </c>
      <c r="I465" s="89">
        <f>VLOOKUP(D465,Average_Distance_by_kilometres_grouping_for_trip_purpose[#All],MATCH(A465,Average_Distance_by_kilometres_grouping_for_trip_purpose[#Headers],0),0)</f>
        <v>5</v>
      </c>
      <c r="J465" s="89">
        <f t="shared" si="37"/>
        <v>5</v>
      </c>
      <c r="K465" s="89">
        <f t="shared" si="38"/>
        <v>0.10150223304912707</v>
      </c>
      <c r="L465" s="89">
        <v>1</v>
      </c>
      <c r="M465" s="13">
        <f t="shared" si="39"/>
        <v>2964905.4742426407</v>
      </c>
      <c r="N465" s="11">
        <f t="shared" si="35"/>
        <v>5.7274196048527768E-5</v>
      </c>
    </row>
    <row r="466" spans="1:14" x14ac:dyDescent="0.25">
      <c r="A466" s="79" t="s">
        <v>32</v>
      </c>
      <c r="B466" s="89" t="s">
        <v>7</v>
      </c>
      <c r="C466" s="89" t="s">
        <v>44</v>
      </c>
      <c r="D466" s="13" t="s">
        <v>182</v>
      </c>
      <c r="E466" s="35">
        <f>VLOOKUP(B466, Passenger_Kilometre_by_mode_type[#All],MATCH(A466, Passenger_Kilometre_by_mode_type[#Headers],0),0)</f>
        <v>122861193.40584016</v>
      </c>
      <c r="F466" s="89">
        <f>VLOOKUP(C466, Reason_for_walking_cycling_journeys_by_percentage[#All],MATCH(A466, Reason_for_walking_cycling_journeys_by_percentage[#Headers],0),0)/100</f>
        <v>0.23774999999999999</v>
      </c>
      <c r="G466" s="13">
        <f t="shared" si="36"/>
        <v>29210248.732238498</v>
      </c>
      <c r="H466" s="89">
        <f>VLOOKUP(D466,Average_Distance_by_kilometre_grouping_for_mode_type[#All],MATCH(A466,Average_Distance_by_kilometre_grouping_for_mode_type[#Headers],0),0)</f>
        <v>7</v>
      </c>
      <c r="I466" s="89">
        <f>VLOOKUP(D466,Average_Distance_by_kilometres_grouping_for_trip_purpose[#All],MATCH(A466,Average_Distance_by_kilometres_grouping_for_trip_purpose[#Headers],0),0)</f>
        <v>7</v>
      </c>
      <c r="J466" s="89">
        <f t="shared" si="37"/>
        <v>7</v>
      </c>
      <c r="K466" s="89">
        <f t="shared" si="38"/>
        <v>0.14210312626877789</v>
      </c>
      <c r="L466" s="89">
        <v>1</v>
      </c>
      <c r="M466" s="13">
        <f t="shared" si="39"/>
        <v>4150867.6639396963</v>
      </c>
      <c r="N466" s="11">
        <f t="shared" si="35"/>
        <v>8.0183874467938871E-5</v>
      </c>
    </row>
    <row r="467" spans="1:14" x14ac:dyDescent="0.25">
      <c r="A467" s="79" t="s">
        <v>32</v>
      </c>
      <c r="B467" s="89" t="s">
        <v>7</v>
      </c>
      <c r="C467" s="89" t="s">
        <v>44</v>
      </c>
      <c r="D467" s="13" t="s">
        <v>1</v>
      </c>
      <c r="E467" s="35">
        <f>VLOOKUP(B467, Passenger_Kilometre_by_mode_type[#All],MATCH(A467, Passenger_Kilometre_by_mode_type[#Headers],0),0)</f>
        <v>122861193.40584016</v>
      </c>
      <c r="F467" s="89">
        <f>VLOOKUP(C467, Reason_for_walking_cycling_journeys_by_percentage[#All],MATCH(A467, Reason_for_walking_cycling_journeys_by_percentage[#Headers],0),0)/100</f>
        <v>0.23774999999999999</v>
      </c>
      <c r="G467" s="13">
        <f t="shared" si="36"/>
        <v>29210248.732238498</v>
      </c>
      <c r="H467" s="89">
        <f>VLOOKUP(D467,Average_Distance_by_kilometre_grouping_for_mode_type[#All],MATCH(A467,Average_Distance_by_kilometre_grouping_for_mode_type[#Headers],0),0)</f>
        <v>31.75</v>
      </c>
      <c r="I467" s="89">
        <f>VLOOKUP(D467,Average_Distance_by_kilometres_grouping_for_trip_purpose[#All],MATCH(A467,Average_Distance_by_kilometres_grouping_for_trip_purpose[#Headers],0),0)</f>
        <v>34.770000000000003</v>
      </c>
      <c r="J467" s="89">
        <f t="shared" si="37"/>
        <v>33.260000000000005</v>
      </c>
      <c r="K467" s="89">
        <f t="shared" si="38"/>
        <v>0.67519285424279341</v>
      </c>
      <c r="L467" s="89">
        <v>1</v>
      </c>
      <c r="M467" s="13">
        <f t="shared" si="39"/>
        <v>19722551.214662049</v>
      </c>
      <c r="N467" s="11">
        <f t="shared" si="35"/>
        <v>3.8098795211480681E-4</v>
      </c>
    </row>
    <row r="468" spans="1:14" x14ac:dyDescent="0.25">
      <c r="A468" s="79" t="s">
        <v>32</v>
      </c>
      <c r="B468" s="89" t="s">
        <v>7</v>
      </c>
      <c r="C468" s="89" t="s">
        <v>45</v>
      </c>
      <c r="D468" s="13" t="s">
        <v>12</v>
      </c>
      <c r="E468" s="35">
        <f>VLOOKUP(B468, Passenger_Kilometre_by_mode_type[#All],MATCH(A468, Passenger_Kilometre_by_mode_type[#Headers],0),0)</f>
        <v>122861193.40584016</v>
      </c>
      <c r="F468" s="89">
        <f>VLOOKUP(C468, Reason_for_walking_cycling_journeys_by_percentage[#All],MATCH(A468, Reason_for_walking_cycling_journeys_by_percentage[#Headers],0),0)/100</f>
        <v>3.6750000000000005E-2</v>
      </c>
      <c r="G468" s="13">
        <f t="shared" si="36"/>
        <v>4515148.8576646261</v>
      </c>
      <c r="H468" s="89">
        <f>VLOOKUP(D468,Average_Distance_by_kilometre_grouping_for_mode_type[#All],MATCH(A468,Average_Distance_by_kilometre_grouping_for_mode_type[#Headers],0),0)</f>
        <v>1</v>
      </c>
      <c r="I468" s="89">
        <f>VLOOKUP(D468,Average_Distance_by_kilometres_grouping_for_trip_purpose[#All],MATCH(A468,Average_Distance_by_kilometres_grouping_for_trip_purpose[#Headers],0),0)</f>
        <v>1</v>
      </c>
      <c r="J468" s="89">
        <f t="shared" si="37"/>
        <v>1</v>
      </c>
      <c r="K468" s="89">
        <f t="shared" si="38"/>
        <v>2.0300446609825416E-2</v>
      </c>
      <c r="L468" s="89">
        <v>1</v>
      </c>
      <c r="M468" s="13">
        <f t="shared" si="39"/>
        <v>91659.538320434964</v>
      </c>
      <c r="N468" s="11">
        <f t="shared" si="35"/>
        <v>1.7706218336768841E-6</v>
      </c>
    </row>
    <row r="469" spans="1:14" x14ac:dyDescent="0.25">
      <c r="A469" s="79" t="s">
        <v>32</v>
      </c>
      <c r="B469" s="89" t="s">
        <v>7</v>
      </c>
      <c r="C469" s="89" t="s">
        <v>45</v>
      </c>
      <c r="D469" s="13" t="s">
        <v>181</v>
      </c>
      <c r="E469" s="35">
        <f>VLOOKUP(B469, Passenger_Kilometre_by_mode_type[#All],MATCH(A469, Passenger_Kilometre_by_mode_type[#Headers],0),0)</f>
        <v>122861193.40584016</v>
      </c>
      <c r="F469" s="89">
        <f>VLOOKUP(C469, Reason_for_walking_cycling_journeys_by_percentage[#All],MATCH(A469, Reason_for_walking_cycling_journeys_by_percentage[#Headers],0),0)/100</f>
        <v>3.6750000000000005E-2</v>
      </c>
      <c r="G469" s="13">
        <f t="shared" si="36"/>
        <v>4515148.8576646261</v>
      </c>
      <c r="H469" s="89">
        <f>VLOOKUP(D469,Average_Distance_by_kilometre_grouping_for_mode_type[#All],MATCH(A469,Average_Distance_by_kilometre_grouping_for_mode_type[#Headers],0),0)</f>
        <v>3</v>
      </c>
      <c r="I469" s="89">
        <f>VLOOKUP(D469,Average_Distance_by_kilometres_grouping_for_trip_purpose[#All],MATCH(A469,Average_Distance_by_kilometres_grouping_for_trip_purpose[#Headers],0),0)</f>
        <v>3</v>
      </c>
      <c r="J469" s="89">
        <f t="shared" si="37"/>
        <v>3</v>
      </c>
      <c r="K469" s="89">
        <f t="shared" si="38"/>
        <v>6.0901339829476243E-2</v>
      </c>
      <c r="L469" s="89">
        <v>1</v>
      </c>
      <c r="M469" s="13">
        <f t="shared" si="39"/>
        <v>274978.61496130488</v>
      </c>
      <c r="N469" s="11">
        <f t="shared" si="35"/>
        <v>5.3118655010306516E-6</v>
      </c>
    </row>
    <row r="470" spans="1:14" x14ac:dyDescent="0.25">
      <c r="A470" s="79" t="s">
        <v>32</v>
      </c>
      <c r="B470" s="89" t="s">
        <v>7</v>
      </c>
      <c r="C470" s="89" t="s">
        <v>45</v>
      </c>
      <c r="D470" s="13" t="s">
        <v>180</v>
      </c>
      <c r="E470" s="35">
        <f>VLOOKUP(B470, Passenger_Kilometre_by_mode_type[#All],MATCH(A470, Passenger_Kilometre_by_mode_type[#Headers],0),0)</f>
        <v>122861193.40584016</v>
      </c>
      <c r="F470" s="89">
        <f>VLOOKUP(C470, Reason_for_walking_cycling_journeys_by_percentage[#All],MATCH(A470, Reason_for_walking_cycling_journeys_by_percentage[#Headers],0),0)/100</f>
        <v>3.6750000000000005E-2</v>
      </c>
      <c r="G470" s="13">
        <f t="shared" si="36"/>
        <v>4515148.8576646261</v>
      </c>
      <c r="H470" s="89">
        <f>VLOOKUP(D470,Average_Distance_by_kilometre_grouping_for_mode_type[#All],MATCH(A470,Average_Distance_by_kilometre_grouping_for_mode_type[#Headers],0),0)</f>
        <v>5</v>
      </c>
      <c r="I470" s="89">
        <f>VLOOKUP(D470,Average_Distance_by_kilometres_grouping_for_trip_purpose[#All],MATCH(A470,Average_Distance_by_kilometres_grouping_for_trip_purpose[#Headers],0),0)</f>
        <v>5</v>
      </c>
      <c r="J470" s="89">
        <f t="shared" si="37"/>
        <v>5</v>
      </c>
      <c r="K470" s="89">
        <f t="shared" si="38"/>
        <v>0.10150223304912707</v>
      </c>
      <c r="L470" s="89">
        <v>1</v>
      </c>
      <c r="M470" s="13">
        <f t="shared" si="39"/>
        <v>458297.69160217477</v>
      </c>
      <c r="N470" s="11">
        <f t="shared" si="35"/>
        <v>8.8531091683844202E-6</v>
      </c>
    </row>
    <row r="471" spans="1:14" x14ac:dyDescent="0.25">
      <c r="A471" s="79" t="s">
        <v>32</v>
      </c>
      <c r="B471" s="89" t="s">
        <v>7</v>
      </c>
      <c r="C471" s="89" t="s">
        <v>45</v>
      </c>
      <c r="D471" s="13" t="s">
        <v>182</v>
      </c>
      <c r="E471" s="35">
        <f>VLOOKUP(B471, Passenger_Kilometre_by_mode_type[#All],MATCH(A471, Passenger_Kilometre_by_mode_type[#Headers],0),0)</f>
        <v>122861193.40584016</v>
      </c>
      <c r="F471" s="89">
        <f>VLOOKUP(C471, Reason_for_walking_cycling_journeys_by_percentage[#All],MATCH(A471, Reason_for_walking_cycling_journeys_by_percentage[#Headers],0),0)/100</f>
        <v>3.6750000000000005E-2</v>
      </c>
      <c r="G471" s="13">
        <f t="shared" si="36"/>
        <v>4515148.8576646261</v>
      </c>
      <c r="H471" s="89">
        <f>VLOOKUP(D471,Average_Distance_by_kilometre_grouping_for_mode_type[#All],MATCH(A471,Average_Distance_by_kilometre_grouping_for_mode_type[#Headers],0),0)</f>
        <v>7</v>
      </c>
      <c r="I471" s="89">
        <f>VLOOKUP(D471,Average_Distance_by_kilometres_grouping_for_trip_purpose[#All],MATCH(A471,Average_Distance_by_kilometres_grouping_for_trip_purpose[#Headers],0),0)</f>
        <v>7</v>
      </c>
      <c r="J471" s="89">
        <f t="shared" si="37"/>
        <v>7</v>
      </c>
      <c r="K471" s="89">
        <f t="shared" si="38"/>
        <v>0.14210312626877789</v>
      </c>
      <c r="L471" s="89">
        <v>1</v>
      </c>
      <c r="M471" s="13">
        <f t="shared" si="39"/>
        <v>641616.76824304461</v>
      </c>
      <c r="N471" s="11">
        <f t="shared" si="35"/>
        <v>1.2394352835738186E-5</v>
      </c>
    </row>
    <row r="472" spans="1:14" x14ac:dyDescent="0.25">
      <c r="A472" s="79" t="s">
        <v>32</v>
      </c>
      <c r="B472" s="89" t="s">
        <v>7</v>
      </c>
      <c r="C472" s="89" t="s">
        <v>45</v>
      </c>
      <c r="D472" s="13" t="s">
        <v>1</v>
      </c>
      <c r="E472" s="35">
        <f>VLOOKUP(B472, Passenger_Kilometre_by_mode_type[#All],MATCH(A472, Passenger_Kilometre_by_mode_type[#Headers],0),0)</f>
        <v>122861193.40584016</v>
      </c>
      <c r="F472" s="89">
        <f>VLOOKUP(C472, Reason_for_walking_cycling_journeys_by_percentage[#All],MATCH(A472, Reason_for_walking_cycling_journeys_by_percentage[#Headers],0),0)/100</f>
        <v>3.6750000000000005E-2</v>
      </c>
      <c r="G472" s="13">
        <f t="shared" si="36"/>
        <v>4515148.8576646261</v>
      </c>
      <c r="H472" s="89">
        <f>VLOOKUP(D472,Average_Distance_by_kilometre_grouping_for_mode_type[#All],MATCH(A472,Average_Distance_by_kilometre_grouping_for_mode_type[#Headers],0),0)</f>
        <v>31.75</v>
      </c>
      <c r="I472" s="89">
        <f>VLOOKUP(D472,Average_Distance_by_kilometres_grouping_for_trip_purpose[#All],MATCH(A472,Average_Distance_by_kilometres_grouping_for_trip_purpose[#Headers],0),0)</f>
        <v>34.770000000000003</v>
      </c>
      <c r="J472" s="89">
        <f t="shared" si="37"/>
        <v>33.260000000000005</v>
      </c>
      <c r="K472" s="89">
        <f t="shared" si="38"/>
        <v>0.67519285424279341</v>
      </c>
      <c r="L472" s="89">
        <v>1</v>
      </c>
      <c r="M472" s="13">
        <f t="shared" si="39"/>
        <v>3048596.2445376669</v>
      </c>
      <c r="N472" s="11">
        <f t="shared" si="35"/>
        <v>5.8890882188093166E-5</v>
      </c>
    </row>
    <row r="473" spans="1:14" x14ac:dyDescent="0.25">
      <c r="A473" s="79" t="s">
        <v>32</v>
      </c>
      <c r="B473" s="89" t="s">
        <v>7</v>
      </c>
      <c r="C473" s="89" t="s">
        <v>56</v>
      </c>
      <c r="D473" s="13" t="s">
        <v>12</v>
      </c>
      <c r="E473" s="35">
        <f>VLOOKUP(B473, Passenger_Kilometre_by_mode_type[#All],MATCH(A473, Passenger_Kilometre_by_mode_type[#Headers],0),0)</f>
        <v>122861193.40584016</v>
      </c>
      <c r="F473" s="89">
        <f>VLOOKUP(C473, Reason_for_walking_cycling_journeys_by_percentage[#All],MATCH(A473, Reason_for_walking_cycling_journeys_by_percentage[#Headers],0),0)/100</f>
        <v>7.4500000000000011E-2</v>
      </c>
      <c r="G473" s="13">
        <f t="shared" si="36"/>
        <v>9153158.9087350927</v>
      </c>
      <c r="H473" s="89">
        <f>VLOOKUP(D473,Average_Distance_by_kilometre_grouping_for_mode_type[#All],MATCH(A473,Average_Distance_by_kilometre_grouping_for_mode_type[#Headers],0),0)</f>
        <v>1</v>
      </c>
      <c r="I473" s="89">
        <f>VLOOKUP(D473,Average_Distance_by_kilometres_grouping_for_trip_purpose[#All],MATCH(A473,Average_Distance_by_kilometres_grouping_for_trip_purpose[#Headers],0),0)</f>
        <v>1</v>
      </c>
      <c r="J473" s="89">
        <f t="shared" si="37"/>
        <v>1</v>
      </c>
      <c r="K473" s="89">
        <f t="shared" si="38"/>
        <v>2.0300446609825416E-2</v>
      </c>
      <c r="L473" s="89">
        <v>1</v>
      </c>
      <c r="M473" s="13">
        <f t="shared" si="39"/>
        <v>185813.21373802461</v>
      </c>
      <c r="N473" s="11">
        <f t="shared" si="35"/>
        <v>3.5894238533041593E-6</v>
      </c>
    </row>
    <row r="474" spans="1:14" x14ac:dyDescent="0.25">
      <c r="A474" s="79" t="s">
        <v>32</v>
      </c>
      <c r="B474" s="89" t="s">
        <v>7</v>
      </c>
      <c r="C474" s="89" t="s">
        <v>56</v>
      </c>
      <c r="D474" s="13" t="s">
        <v>181</v>
      </c>
      <c r="E474" s="35">
        <f>VLOOKUP(B474, Passenger_Kilometre_by_mode_type[#All],MATCH(A474, Passenger_Kilometre_by_mode_type[#Headers],0),0)</f>
        <v>122861193.40584016</v>
      </c>
      <c r="F474" s="89">
        <f>VLOOKUP(C474, Reason_for_walking_cycling_journeys_by_percentage[#All],MATCH(A474, Reason_for_walking_cycling_journeys_by_percentage[#Headers],0),0)/100</f>
        <v>7.4500000000000011E-2</v>
      </c>
      <c r="G474" s="13">
        <f t="shared" si="36"/>
        <v>9153158.9087350927</v>
      </c>
      <c r="H474" s="89">
        <f>VLOOKUP(D474,Average_Distance_by_kilometre_grouping_for_mode_type[#All],MATCH(A474,Average_Distance_by_kilometre_grouping_for_mode_type[#Headers],0),0)</f>
        <v>3</v>
      </c>
      <c r="I474" s="89">
        <f>VLOOKUP(D474,Average_Distance_by_kilometres_grouping_for_trip_purpose[#All],MATCH(A474,Average_Distance_by_kilometres_grouping_for_trip_purpose[#Headers],0),0)</f>
        <v>3</v>
      </c>
      <c r="J474" s="89">
        <f t="shared" si="37"/>
        <v>3</v>
      </c>
      <c r="K474" s="89">
        <f t="shared" si="38"/>
        <v>6.0901339829476243E-2</v>
      </c>
      <c r="L474" s="89">
        <v>1</v>
      </c>
      <c r="M474" s="13">
        <f t="shared" si="39"/>
        <v>557439.64121407387</v>
      </c>
      <c r="N474" s="11">
        <f t="shared" si="35"/>
        <v>1.0768271559912479E-5</v>
      </c>
    </row>
    <row r="475" spans="1:14" x14ac:dyDescent="0.25">
      <c r="A475" s="79" t="s">
        <v>32</v>
      </c>
      <c r="B475" s="89" t="s">
        <v>7</v>
      </c>
      <c r="C475" s="89" t="s">
        <v>56</v>
      </c>
      <c r="D475" s="13" t="s">
        <v>180</v>
      </c>
      <c r="E475" s="35">
        <f>VLOOKUP(B475, Passenger_Kilometre_by_mode_type[#All],MATCH(A475, Passenger_Kilometre_by_mode_type[#Headers],0),0)</f>
        <v>122861193.40584016</v>
      </c>
      <c r="F475" s="89">
        <f>VLOOKUP(C475, Reason_for_walking_cycling_journeys_by_percentage[#All],MATCH(A475, Reason_for_walking_cycling_journeys_by_percentage[#Headers],0),0)/100</f>
        <v>7.4500000000000011E-2</v>
      </c>
      <c r="G475" s="13">
        <f t="shared" si="36"/>
        <v>9153158.9087350927</v>
      </c>
      <c r="H475" s="89">
        <f>VLOOKUP(D475,Average_Distance_by_kilometre_grouping_for_mode_type[#All],MATCH(A475,Average_Distance_by_kilometre_grouping_for_mode_type[#Headers],0),0)</f>
        <v>5</v>
      </c>
      <c r="I475" s="89">
        <f>VLOOKUP(D475,Average_Distance_by_kilometres_grouping_for_trip_purpose[#All],MATCH(A475,Average_Distance_by_kilometres_grouping_for_trip_purpose[#Headers],0),0)</f>
        <v>5</v>
      </c>
      <c r="J475" s="89">
        <f t="shared" si="37"/>
        <v>5</v>
      </c>
      <c r="K475" s="89">
        <f t="shared" si="38"/>
        <v>0.10150223304912707</v>
      </c>
      <c r="L475" s="89">
        <v>1</v>
      </c>
      <c r="M475" s="13">
        <f t="shared" si="39"/>
        <v>929066.06869012304</v>
      </c>
      <c r="N475" s="11">
        <f t="shared" si="35"/>
        <v>1.7947119266520796E-5</v>
      </c>
    </row>
    <row r="476" spans="1:14" x14ac:dyDescent="0.25">
      <c r="A476" s="79" t="s">
        <v>32</v>
      </c>
      <c r="B476" s="89" t="s">
        <v>7</v>
      </c>
      <c r="C476" s="89" t="s">
        <v>56</v>
      </c>
      <c r="D476" s="13" t="s">
        <v>182</v>
      </c>
      <c r="E476" s="35">
        <f>VLOOKUP(B476, Passenger_Kilometre_by_mode_type[#All],MATCH(A476, Passenger_Kilometre_by_mode_type[#Headers],0),0)</f>
        <v>122861193.40584016</v>
      </c>
      <c r="F476" s="89">
        <f>VLOOKUP(C476, Reason_for_walking_cycling_journeys_by_percentage[#All],MATCH(A476, Reason_for_walking_cycling_journeys_by_percentage[#Headers],0),0)/100</f>
        <v>7.4500000000000011E-2</v>
      </c>
      <c r="G476" s="13">
        <f t="shared" si="36"/>
        <v>9153158.9087350927</v>
      </c>
      <c r="H476" s="89">
        <f>VLOOKUP(D476,Average_Distance_by_kilometre_grouping_for_mode_type[#All],MATCH(A476,Average_Distance_by_kilometre_grouping_for_mode_type[#Headers],0),0)</f>
        <v>7</v>
      </c>
      <c r="I476" s="89">
        <f>VLOOKUP(D476,Average_Distance_by_kilometres_grouping_for_trip_purpose[#All],MATCH(A476,Average_Distance_by_kilometres_grouping_for_trip_purpose[#Headers],0),0)</f>
        <v>7</v>
      </c>
      <c r="J476" s="89">
        <f t="shared" si="37"/>
        <v>7</v>
      </c>
      <c r="K476" s="89">
        <f t="shared" si="38"/>
        <v>0.14210312626877789</v>
      </c>
      <c r="L476" s="89">
        <v>1</v>
      </c>
      <c r="M476" s="13">
        <f t="shared" si="39"/>
        <v>1300692.496166172</v>
      </c>
      <c r="N476" s="11">
        <f t="shared" si="35"/>
        <v>2.5125966973129109E-5</v>
      </c>
    </row>
    <row r="477" spans="1:14" x14ac:dyDescent="0.25">
      <c r="A477" s="79" t="s">
        <v>32</v>
      </c>
      <c r="B477" s="89" t="s">
        <v>7</v>
      </c>
      <c r="C477" s="89" t="s">
        <v>56</v>
      </c>
      <c r="D477" s="13" t="s">
        <v>1</v>
      </c>
      <c r="E477" s="35">
        <f>VLOOKUP(B477, Passenger_Kilometre_by_mode_type[#All],MATCH(A477, Passenger_Kilometre_by_mode_type[#Headers],0),0)</f>
        <v>122861193.40584016</v>
      </c>
      <c r="F477" s="89">
        <f>VLOOKUP(C477, Reason_for_walking_cycling_journeys_by_percentage[#All],MATCH(A477, Reason_for_walking_cycling_journeys_by_percentage[#Headers],0),0)/100</f>
        <v>7.4500000000000011E-2</v>
      </c>
      <c r="G477" s="13">
        <f t="shared" si="36"/>
        <v>9153158.9087350927</v>
      </c>
      <c r="H477" s="89">
        <f>VLOOKUP(D477,Average_Distance_by_kilometre_grouping_for_mode_type[#All],MATCH(A477,Average_Distance_by_kilometre_grouping_for_mode_type[#Headers],0),0)</f>
        <v>31.75</v>
      </c>
      <c r="I477" s="89">
        <f>VLOOKUP(D477,Average_Distance_by_kilometres_grouping_for_trip_purpose[#All],MATCH(A477,Average_Distance_by_kilometres_grouping_for_trip_purpose[#Headers],0),0)</f>
        <v>34.770000000000003</v>
      </c>
      <c r="J477" s="89">
        <f t="shared" si="37"/>
        <v>33.260000000000005</v>
      </c>
      <c r="K477" s="89">
        <f t="shared" si="38"/>
        <v>0.67519285424279341</v>
      </c>
      <c r="L477" s="89">
        <v>1</v>
      </c>
      <c r="M477" s="13">
        <f t="shared" si="39"/>
        <v>6180147.4889266994</v>
      </c>
      <c r="N477" s="11">
        <f t="shared" si="35"/>
        <v>1.1938423736089635E-4</v>
      </c>
    </row>
    <row r="478" spans="1:14" x14ac:dyDescent="0.25">
      <c r="A478" s="79" t="s">
        <v>32</v>
      </c>
      <c r="B478" s="89" t="s">
        <v>7</v>
      </c>
      <c r="C478" s="89" t="s">
        <v>57</v>
      </c>
      <c r="D478" s="13" t="s">
        <v>12</v>
      </c>
      <c r="E478" s="35">
        <f>VLOOKUP(B478, Passenger_Kilometre_by_mode_type[#All],MATCH(A478, Passenger_Kilometre_by_mode_type[#Headers],0),0)</f>
        <v>122861193.40584016</v>
      </c>
      <c r="F478" s="89">
        <f>VLOOKUP(C478, Reason_for_walking_cycling_journeys_by_percentage[#All],MATCH(A478, Reason_for_walking_cycling_journeys_by_percentage[#Headers],0),0)/100</f>
        <v>0.19524999999999998</v>
      </c>
      <c r="G478" s="13">
        <f t="shared" si="36"/>
        <v>23988648.012490287</v>
      </c>
      <c r="H478" s="89">
        <f>VLOOKUP(D478,Average_Distance_by_kilometre_grouping_for_mode_type[#All],MATCH(A478,Average_Distance_by_kilometre_grouping_for_mode_type[#Headers],0),0)</f>
        <v>1</v>
      </c>
      <c r="I478" s="89">
        <f>VLOOKUP(D478,Average_Distance_by_kilometres_grouping_for_trip_purpose[#All],MATCH(A478,Average_Distance_by_kilometres_grouping_for_trip_purpose[#Headers],0),0)</f>
        <v>1</v>
      </c>
      <c r="J478" s="89">
        <f t="shared" si="37"/>
        <v>1</v>
      </c>
      <c r="K478" s="89">
        <f t="shared" si="38"/>
        <v>2.0300446609825416E-2</v>
      </c>
      <c r="L478" s="89">
        <v>1</v>
      </c>
      <c r="M478" s="13">
        <f t="shared" si="39"/>
        <v>486980.26821945363</v>
      </c>
      <c r="N478" s="11">
        <f t="shared" si="35"/>
        <v>9.4071813068139191E-6</v>
      </c>
    </row>
    <row r="479" spans="1:14" x14ac:dyDescent="0.25">
      <c r="A479" s="79" t="s">
        <v>32</v>
      </c>
      <c r="B479" s="89" t="s">
        <v>7</v>
      </c>
      <c r="C479" s="89" t="s">
        <v>57</v>
      </c>
      <c r="D479" s="13" t="s">
        <v>181</v>
      </c>
      <c r="E479" s="35">
        <f>VLOOKUP(B479, Passenger_Kilometre_by_mode_type[#All],MATCH(A479, Passenger_Kilometre_by_mode_type[#Headers],0),0)</f>
        <v>122861193.40584016</v>
      </c>
      <c r="F479" s="89">
        <f>VLOOKUP(C479, Reason_for_walking_cycling_journeys_by_percentage[#All],MATCH(A479, Reason_for_walking_cycling_journeys_by_percentage[#Headers],0),0)/100</f>
        <v>0.19524999999999998</v>
      </c>
      <c r="G479" s="13">
        <f t="shared" si="36"/>
        <v>23988648.012490287</v>
      </c>
      <c r="H479" s="89">
        <f>VLOOKUP(D479,Average_Distance_by_kilometre_grouping_for_mode_type[#All],MATCH(A479,Average_Distance_by_kilometre_grouping_for_mode_type[#Headers],0),0)</f>
        <v>3</v>
      </c>
      <c r="I479" s="89">
        <f>VLOOKUP(D479,Average_Distance_by_kilometres_grouping_for_trip_purpose[#All],MATCH(A479,Average_Distance_by_kilometres_grouping_for_trip_purpose[#Headers],0),0)</f>
        <v>3</v>
      </c>
      <c r="J479" s="89">
        <f t="shared" si="37"/>
        <v>3</v>
      </c>
      <c r="K479" s="89">
        <f t="shared" si="38"/>
        <v>6.0901339829476243E-2</v>
      </c>
      <c r="L479" s="89">
        <v>1</v>
      </c>
      <c r="M479" s="13">
        <f t="shared" si="39"/>
        <v>1460940.8046583608</v>
      </c>
      <c r="N479" s="11">
        <f t="shared" si="35"/>
        <v>2.8221543920441754E-5</v>
      </c>
    </row>
    <row r="480" spans="1:14" x14ac:dyDescent="0.25">
      <c r="A480" s="79" t="s">
        <v>32</v>
      </c>
      <c r="B480" s="89" t="s">
        <v>7</v>
      </c>
      <c r="C480" s="89" t="s">
        <v>57</v>
      </c>
      <c r="D480" s="13" t="s">
        <v>180</v>
      </c>
      <c r="E480" s="35">
        <f>VLOOKUP(B480, Passenger_Kilometre_by_mode_type[#All],MATCH(A480, Passenger_Kilometre_by_mode_type[#Headers],0),0)</f>
        <v>122861193.40584016</v>
      </c>
      <c r="F480" s="89">
        <f>VLOOKUP(C480, Reason_for_walking_cycling_journeys_by_percentage[#All],MATCH(A480, Reason_for_walking_cycling_journeys_by_percentage[#Headers],0),0)/100</f>
        <v>0.19524999999999998</v>
      </c>
      <c r="G480" s="13">
        <f t="shared" si="36"/>
        <v>23988648.012490287</v>
      </c>
      <c r="H480" s="89">
        <f>VLOOKUP(D480,Average_Distance_by_kilometre_grouping_for_mode_type[#All],MATCH(A480,Average_Distance_by_kilometre_grouping_for_mode_type[#Headers],0),0)</f>
        <v>5</v>
      </c>
      <c r="I480" s="89">
        <f>VLOOKUP(D480,Average_Distance_by_kilometres_grouping_for_trip_purpose[#All],MATCH(A480,Average_Distance_by_kilometres_grouping_for_trip_purpose[#Headers],0),0)</f>
        <v>5</v>
      </c>
      <c r="J480" s="89">
        <f t="shared" si="37"/>
        <v>5</v>
      </c>
      <c r="K480" s="89">
        <f t="shared" si="38"/>
        <v>0.10150223304912707</v>
      </c>
      <c r="L480" s="89">
        <v>1</v>
      </c>
      <c r="M480" s="13">
        <f t="shared" si="39"/>
        <v>2434901.3410972683</v>
      </c>
      <c r="N480" s="11">
        <f t="shared" si="35"/>
        <v>4.7035906534069592E-5</v>
      </c>
    </row>
    <row r="481" spans="1:14" x14ac:dyDescent="0.25">
      <c r="A481" s="79" t="s">
        <v>32</v>
      </c>
      <c r="B481" s="89" t="s">
        <v>7</v>
      </c>
      <c r="C481" s="89" t="s">
        <v>57</v>
      </c>
      <c r="D481" s="13" t="s">
        <v>182</v>
      </c>
      <c r="E481" s="35">
        <f>VLOOKUP(B481, Passenger_Kilometre_by_mode_type[#All],MATCH(A481, Passenger_Kilometre_by_mode_type[#Headers],0),0)</f>
        <v>122861193.40584016</v>
      </c>
      <c r="F481" s="89">
        <f>VLOOKUP(C481, Reason_for_walking_cycling_journeys_by_percentage[#All],MATCH(A481, Reason_for_walking_cycling_journeys_by_percentage[#Headers],0),0)/100</f>
        <v>0.19524999999999998</v>
      </c>
      <c r="G481" s="13">
        <f t="shared" si="36"/>
        <v>23988648.012490287</v>
      </c>
      <c r="H481" s="89">
        <f>VLOOKUP(D481,Average_Distance_by_kilometre_grouping_for_mode_type[#All],MATCH(A481,Average_Distance_by_kilometre_grouping_for_mode_type[#Headers],0),0)</f>
        <v>7</v>
      </c>
      <c r="I481" s="89">
        <f>VLOOKUP(D481,Average_Distance_by_kilometres_grouping_for_trip_purpose[#All],MATCH(A481,Average_Distance_by_kilometres_grouping_for_trip_purpose[#Headers],0),0)</f>
        <v>7</v>
      </c>
      <c r="J481" s="89">
        <f t="shared" si="37"/>
        <v>7</v>
      </c>
      <c r="K481" s="89">
        <f t="shared" si="38"/>
        <v>0.14210312626877789</v>
      </c>
      <c r="L481" s="89">
        <v>1</v>
      </c>
      <c r="M481" s="13">
        <f t="shared" si="39"/>
        <v>3408861.8775361748</v>
      </c>
      <c r="N481" s="11">
        <f t="shared" si="35"/>
        <v>6.5850269147697417E-5</v>
      </c>
    </row>
    <row r="482" spans="1:14" x14ac:dyDescent="0.25">
      <c r="A482" s="79" t="s">
        <v>32</v>
      </c>
      <c r="B482" s="89" t="s">
        <v>7</v>
      </c>
      <c r="C482" s="89" t="s">
        <v>57</v>
      </c>
      <c r="D482" s="13" t="s">
        <v>1</v>
      </c>
      <c r="E482" s="35">
        <f>VLOOKUP(B482, Passenger_Kilometre_by_mode_type[#All],MATCH(A482, Passenger_Kilometre_by_mode_type[#Headers],0),0)</f>
        <v>122861193.40584016</v>
      </c>
      <c r="F482" s="89">
        <f>VLOOKUP(C482, Reason_for_walking_cycling_journeys_by_percentage[#All],MATCH(A482, Reason_for_walking_cycling_journeys_by_percentage[#Headers],0),0)/100</f>
        <v>0.19524999999999998</v>
      </c>
      <c r="G482" s="13">
        <f t="shared" si="36"/>
        <v>23988648.012490287</v>
      </c>
      <c r="H482" s="89">
        <f>VLOOKUP(D482,Average_Distance_by_kilometre_grouping_for_mode_type[#All],MATCH(A482,Average_Distance_by_kilometre_grouping_for_mode_type[#Headers],0),0)</f>
        <v>31.75</v>
      </c>
      <c r="I482" s="89">
        <f>VLOOKUP(D482,Average_Distance_by_kilometres_grouping_for_trip_purpose[#All],MATCH(A482,Average_Distance_by_kilometres_grouping_for_trip_purpose[#Headers],0),0)</f>
        <v>34.770000000000003</v>
      </c>
      <c r="J482" s="89">
        <f t="shared" si="37"/>
        <v>33.260000000000005</v>
      </c>
      <c r="K482" s="89">
        <f t="shared" si="38"/>
        <v>0.67519285424279341</v>
      </c>
      <c r="L482" s="89">
        <v>1</v>
      </c>
      <c r="M482" s="13">
        <f t="shared" si="39"/>
        <v>16196963.720979031</v>
      </c>
      <c r="N482" s="11">
        <f t="shared" si="35"/>
        <v>3.12882850264631E-4</v>
      </c>
    </row>
    <row r="483" spans="1:14" x14ac:dyDescent="0.25">
      <c r="A483" s="79" t="s">
        <v>32</v>
      </c>
      <c r="B483" s="89" t="s">
        <v>7</v>
      </c>
      <c r="C483" s="89" t="s">
        <v>93</v>
      </c>
      <c r="D483" s="13" t="s">
        <v>12</v>
      </c>
      <c r="E483" s="35">
        <f>VLOOKUP(B483, Passenger_Kilometre_by_mode_type[#All],MATCH(A483, Passenger_Kilometre_by_mode_type[#Headers],0),0)</f>
        <v>122861193.40584016</v>
      </c>
      <c r="F483" s="89">
        <f>VLOOKUP(C483, Reason_for_walking_cycling_journeys_by_percentage[#All],MATCH(A483, Reason_for_walking_cycling_journeys_by_percentage[#Headers],0),0)/100</f>
        <v>4.4499999999999991E-2</v>
      </c>
      <c r="G483" s="13">
        <f t="shared" si="36"/>
        <v>5467323.1065598857</v>
      </c>
      <c r="H483" s="89">
        <f>VLOOKUP(D483,Average_Distance_by_kilometre_grouping_for_mode_type[#All],MATCH(A483,Average_Distance_by_kilometre_grouping_for_mode_type[#Headers],0),0)</f>
        <v>1</v>
      </c>
      <c r="I483" s="89">
        <f>VLOOKUP(D483,Average_Distance_by_kilometres_grouping_for_trip_purpose[#All],MATCH(A483,Average_Distance_by_kilometres_grouping_for_trip_purpose[#Headers],0),0)</f>
        <v>1</v>
      </c>
      <c r="J483" s="89">
        <f t="shared" si="37"/>
        <v>1</v>
      </c>
      <c r="K483" s="89">
        <f t="shared" si="38"/>
        <v>2.0300446609825416E-2</v>
      </c>
      <c r="L483" s="89">
        <v>1</v>
      </c>
      <c r="M483" s="13">
        <f t="shared" si="39"/>
        <v>110989.10082338379</v>
      </c>
      <c r="N483" s="11">
        <f t="shared" si="35"/>
        <v>2.1440182747924168E-6</v>
      </c>
    </row>
    <row r="484" spans="1:14" x14ac:dyDescent="0.25">
      <c r="A484" s="79" t="s">
        <v>32</v>
      </c>
      <c r="B484" s="89" t="s">
        <v>7</v>
      </c>
      <c r="C484" s="89" t="s">
        <v>93</v>
      </c>
      <c r="D484" s="13" t="s">
        <v>181</v>
      </c>
      <c r="E484" s="35">
        <f>VLOOKUP(B484, Passenger_Kilometre_by_mode_type[#All],MATCH(A484, Passenger_Kilometre_by_mode_type[#Headers],0),0)</f>
        <v>122861193.40584016</v>
      </c>
      <c r="F484" s="89">
        <f>VLOOKUP(C484, Reason_for_walking_cycling_journeys_by_percentage[#All],MATCH(A484, Reason_for_walking_cycling_journeys_by_percentage[#Headers],0),0)/100</f>
        <v>4.4499999999999991E-2</v>
      </c>
      <c r="G484" s="13">
        <f t="shared" si="36"/>
        <v>5467323.1065598857</v>
      </c>
      <c r="H484" s="89">
        <f>VLOOKUP(D484,Average_Distance_by_kilometre_grouping_for_mode_type[#All],MATCH(A484,Average_Distance_by_kilometre_grouping_for_mode_type[#Headers],0),0)</f>
        <v>3</v>
      </c>
      <c r="I484" s="89">
        <f>VLOOKUP(D484,Average_Distance_by_kilometres_grouping_for_trip_purpose[#All],MATCH(A484,Average_Distance_by_kilometres_grouping_for_trip_purpose[#Headers],0),0)</f>
        <v>3</v>
      </c>
      <c r="J484" s="89">
        <f t="shared" si="37"/>
        <v>3</v>
      </c>
      <c r="K484" s="89">
        <f t="shared" si="38"/>
        <v>6.0901339829476243E-2</v>
      </c>
      <c r="L484" s="89">
        <v>1</v>
      </c>
      <c r="M484" s="13">
        <f t="shared" si="39"/>
        <v>332967.30247015134</v>
      </c>
      <c r="N484" s="11">
        <f t="shared" si="35"/>
        <v>6.4320548243772492E-6</v>
      </c>
    </row>
    <row r="485" spans="1:14" x14ac:dyDescent="0.25">
      <c r="A485" s="79" t="s">
        <v>32</v>
      </c>
      <c r="B485" s="89" t="s">
        <v>7</v>
      </c>
      <c r="C485" s="89" t="s">
        <v>93</v>
      </c>
      <c r="D485" s="13" t="s">
        <v>180</v>
      </c>
      <c r="E485" s="35">
        <f>VLOOKUP(B485, Passenger_Kilometre_by_mode_type[#All],MATCH(A485, Passenger_Kilometre_by_mode_type[#Headers],0),0)</f>
        <v>122861193.40584016</v>
      </c>
      <c r="F485" s="89">
        <f>VLOOKUP(C485, Reason_for_walking_cycling_journeys_by_percentage[#All],MATCH(A485, Reason_for_walking_cycling_journeys_by_percentage[#Headers],0),0)/100</f>
        <v>4.4499999999999991E-2</v>
      </c>
      <c r="G485" s="13">
        <f t="shared" si="36"/>
        <v>5467323.1065598857</v>
      </c>
      <c r="H485" s="89">
        <f>VLOOKUP(D485,Average_Distance_by_kilometre_grouping_for_mode_type[#All],MATCH(A485,Average_Distance_by_kilometre_grouping_for_mode_type[#Headers],0),0)</f>
        <v>5</v>
      </c>
      <c r="I485" s="89">
        <f>VLOOKUP(D485,Average_Distance_by_kilometres_grouping_for_trip_purpose[#All],MATCH(A485,Average_Distance_by_kilometres_grouping_for_trip_purpose[#Headers],0),0)</f>
        <v>5</v>
      </c>
      <c r="J485" s="89">
        <f t="shared" si="37"/>
        <v>5</v>
      </c>
      <c r="K485" s="89">
        <f t="shared" si="38"/>
        <v>0.10150223304912707</v>
      </c>
      <c r="L485" s="89">
        <v>1</v>
      </c>
      <c r="M485" s="13">
        <f t="shared" si="39"/>
        <v>554945.50411691889</v>
      </c>
      <c r="N485" s="11">
        <f t="shared" si="35"/>
        <v>1.0720091373962081E-5</v>
      </c>
    </row>
    <row r="486" spans="1:14" x14ac:dyDescent="0.25">
      <c r="A486" s="79" t="s">
        <v>32</v>
      </c>
      <c r="B486" s="89" t="s">
        <v>7</v>
      </c>
      <c r="C486" s="89" t="s">
        <v>93</v>
      </c>
      <c r="D486" s="13" t="s">
        <v>182</v>
      </c>
      <c r="E486" s="35">
        <f>VLOOKUP(B486, Passenger_Kilometre_by_mode_type[#All],MATCH(A486, Passenger_Kilometre_by_mode_type[#Headers],0),0)</f>
        <v>122861193.40584016</v>
      </c>
      <c r="F486" s="89">
        <f>VLOOKUP(C486, Reason_for_walking_cycling_journeys_by_percentage[#All],MATCH(A486, Reason_for_walking_cycling_journeys_by_percentage[#Headers],0),0)/100</f>
        <v>4.4499999999999991E-2</v>
      </c>
      <c r="G486" s="13">
        <f t="shared" si="36"/>
        <v>5467323.1065598857</v>
      </c>
      <c r="H486" s="89">
        <f>VLOOKUP(D486,Average_Distance_by_kilometre_grouping_for_mode_type[#All],MATCH(A486,Average_Distance_by_kilometre_grouping_for_mode_type[#Headers],0),0)</f>
        <v>7</v>
      </c>
      <c r="I486" s="89">
        <f>VLOOKUP(D486,Average_Distance_by_kilometres_grouping_for_trip_purpose[#All],MATCH(A486,Average_Distance_by_kilometres_grouping_for_trip_purpose[#Headers],0),0)</f>
        <v>7</v>
      </c>
      <c r="J486" s="89">
        <f t="shared" si="37"/>
        <v>7</v>
      </c>
      <c r="K486" s="89">
        <f t="shared" si="38"/>
        <v>0.14210312626877789</v>
      </c>
      <c r="L486" s="89">
        <v>1</v>
      </c>
      <c r="M486" s="13">
        <f t="shared" si="39"/>
        <v>776923.70576368645</v>
      </c>
      <c r="N486" s="11">
        <f t="shared" si="35"/>
        <v>1.5008127923546914E-5</v>
      </c>
    </row>
    <row r="487" spans="1:14" x14ac:dyDescent="0.25">
      <c r="A487" s="79" t="s">
        <v>32</v>
      </c>
      <c r="B487" s="89" t="s">
        <v>7</v>
      </c>
      <c r="C487" s="89" t="s">
        <v>93</v>
      </c>
      <c r="D487" s="13" t="s">
        <v>1</v>
      </c>
      <c r="E487" s="35">
        <f>VLOOKUP(B487, Passenger_Kilometre_by_mode_type[#All],MATCH(A487, Passenger_Kilometre_by_mode_type[#Headers],0),0)</f>
        <v>122861193.40584016</v>
      </c>
      <c r="F487" s="89">
        <f>VLOOKUP(C487, Reason_for_walking_cycling_journeys_by_percentage[#All],MATCH(A487, Reason_for_walking_cycling_journeys_by_percentage[#Headers],0),0)/100</f>
        <v>4.4499999999999991E-2</v>
      </c>
      <c r="G487" s="13">
        <f t="shared" si="36"/>
        <v>5467323.1065598857</v>
      </c>
      <c r="H487" s="89">
        <f>VLOOKUP(D487,Average_Distance_by_kilometre_grouping_for_mode_type[#All],MATCH(A487,Average_Distance_by_kilometre_grouping_for_mode_type[#Headers],0),0)</f>
        <v>31.75</v>
      </c>
      <c r="I487" s="89">
        <f>VLOOKUP(D487,Average_Distance_by_kilometres_grouping_for_trip_purpose[#All],MATCH(A487,Average_Distance_by_kilometres_grouping_for_trip_purpose[#Headers],0),0)</f>
        <v>34.770000000000003</v>
      </c>
      <c r="J487" s="89">
        <f t="shared" si="37"/>
        <v>33.260000000000005</v>
      </c>
      <c r="K487" s="89">
        <f t="shared" si="38"/>
        <v>0.67519285424279341</v>
      </c>
      <c r="L487" s="89">
        <v>1</v>
      </c>
      <c r="M487" s="13">
        <f t="shared" si="39"/>
        <v>3691497.4933857452</v>
      </c>
      <c r="N487" s="11">
        <f t="shared" si="35"/>
        <v>7.1310047819595783E-5</v>
      </c>
    </row>
    <row r="488" spans="1:14" x14ac:dyDescent="0.25">
      <c r="A488" s="79" t="s">
        <v>32</v>
      </c>
      <c r="B488" s="89" t="s">
        <v>7</v>
      </c>
      <c r="C488" s="89" t="s">
        <v>243</v>
      </c>
      <c r="D488" s="13" t="s">
        <v>12</v>
      </c>
      <c r="E488" s="35">
        <f>VLOOKUP(B488, Passenger_Kilometre_by_mode_type[#All],MATCH(A488, Passenger_Kilometre_by_mode_type[#Headers],0),0)</f>
        <v>122861193.40584016</v>
      </c>
      <c r="F488" s="89">
        <f>VLOOKUP(C488, Reason_for_walking_cycling_journeys_by_percentage[#All],MATCH(A488, Reason_for_walking_cycling_journeys_by_percentage[#Headers],0),0)/100</f>
        <v>8.5500000000000007E-2</v>
      </c>
      <c r="G488" s="13">
        <f t="shared" si="36"/>
        <v>10504632.036199335</v>
      </c>
      <c r="H488" s="89">
        <f>VLOOKUP(D488,Average_Distance_by_kilometre_grouping_for_mode_type[#All],MATCH(A488,Average_Distance_by_kilometre_grouping_for_mode_type[#Headers],0),0)</f>
        <v>1</v>
      </c>
      <c r="I488" s="89">
        <f>VLOOKUP(D488,Average_Distance_by_kilometres_grouping_for_trip_purpose[#All],MATCH(A488,Average_Distance_by_kilometres_grouping_for_trip_purpose[#Headers],0),0)</f>
        <v>1</v>
      </c>
      <c r="J488" s="89">
        <f t="shared" si="37"/>
        <v>1</v>
      </c>
      <c r="K488" s="89">
        <f t="shared" si="38"/>
        <v>2.0300446609825416E-2</v>
      </c>
      <c r="L488" s="89">
        <v>1</v>
      </c>
      <c r="M488" s="13">
        <f t="shared" si="39"/>
        <v>213248.72180672624</v>
      </c>
      <c r="N488" s="11">
        <f t="shared" si="35"/>
        <v>4.1194058987584654E-6</v>
      </c>
    </row>
    <row r="489" spans="1:14" x14ac:dyDescent="0.25">
      <c r="A489" s="79" t="s">
        <v>32</v>
      </c>
      <c r="B489" s="89" t="s">
        <v>7</v>
      </c>
      <c r="C489" s="89" t="s">
        <v>243</v>
      </c>
      <c r="D489" s="13" t="s">
        <v>181</v>
      </c>
      <c r="E489" s="35">
        <f>VLOOKUP(B489, Passenger_Kilometre_by_mode_type[#All],MATCH(A489, Passenger_Kilometre_by_mode_type[#Headers],0),0)</f>
        <v>122861193.40584016</v>
      </c>
      <c r="F489" s="89">
        <f>VLOOKUP(C489, Reason_for_walking_cycling_journeys_by_percentage[#All],MATCH(A489, Reason_for_walking_cycling_journeys_by_percentage[#Headers],0),0)/100</f>
        <v>8.5500000000000007E-2</v>
      </c>
      <c r="G489" s="13">
        <f t="shared" si="36"/>
        <v>10504632.036199335</v>
      </c>
      <c r="H489" s="89">
        <f>VLOOKUP(D489,Average_Distance_by_kilometre_grouping_for_mode_type[#All],MATCH(A489,Average_Distance_by_kilometre_grouping_for_mode_type[#Headers],0),0)</f>
        <v>3</v>
      </c>
      <c r="I489" s="89">
        <f>VLOOKUP(D489,Average_Distance_by_kilometres_grouping_for_trip_purpose[#All],MATCH(A489,Average_Distance_by_kilometres_grouping_for_trip_purpose[#Headers],0),0)</f>
        <v>3</v>
      </c>
      <c r="J489" s="89">
        <f t="shared" si="37"/>
        <v>3</v>
      </c>
      <c r="K489" s="89">
        <f t="shared" si="38"/>
        <v>6.0901339829476243E-2</v>
      </c>
      <c r="L489" s="89">
        <v>1</v>
      </c>
      <c r="M489" s="13">
        <f t="shared" si="39"/>
        <v>639746.16542017867</v>
      </c>
      <c r="N489" s="11">
        <f t="shared" si="35"/>
        <v>1.2358217696275394E-5</v>
      </c>
    </row>
    <row r="490" spans="1:14" x14ac:dyDescent="0.25">
      <c r="A490" s="79" t="s">
        <v>32</v>
      </c>
      <c r="B490" s="89" t="s">
        <v>7</v>
      </c>
      <c r="C490" s="89" t="s">
        <v>243</v>
      </c>
      <c r="D490" s="13" t="s">
        <v>180</v>
      </c>
      <c r="E490" s="35">
        <f>VLOOKUP(B490, Passenger_Kilometre_by_mode_type[#All],MATCH(A490, Passenger_Kilometre_by_mode_type[#Headers],0),0)</f>
        <v>122861193.40584016</v>
      </c>
      <c r="F490" s="89">
        <f>VLOOKUP(C490, Reason_for_walking_cycling_journeys_by_percentage[#All],MATCH(A490, Reason_for_walking_cycling_journeys_by_percentage[#Headers],0),0)/100</f>
        <v>8.5500000000000007E-2</v>
      </c>
      <c r="G490" s="13">
        <f t="shared" si="36"/>
        <v>10504632.036199335</v>
      </c>
      <c r="H490" s="89">
        <f>VLOOKUP(D490,Average_Distance_by_kilometre_grouping_for_mode_type[#All],MATCH(A490,Average_Distance_by_kilometre_grouping_for_mode_type[#Headers],0),0)</f>
        <v>5</v>
      </c>
      <c r="I490" s="89">
        <f>VLOOKUP(D490,Average_Distance_by_kilometres_grouping_for_trip_purpose[#All],MATCH(A490,Average_Distance_by_kilometres_grouping_for_trip_purpose[#Headers],0),0)</f>
        <v>5</v>
      </c>
      <c r="J490" s="89">
        <f t="shared" si="37"/>
        <v>5</v>
      </c>
      <c r="K490" s="89">
        <f t="shared" si="38"/>
        <v>0.10150223304912707</v>
      </c>
      <c r="L490" s="89">
        <v>1</v>
      </c>
      <c r="M490" s="13">
        <f t="shared" si="39"/>
        <v>1066243.6090336312</v>
      </c>
      <c r="N490" s="11">
        <f t="shared" si="35"/>
        <v>2.0597029493792323E-5</v>
      </c>
    </row>
    <row r="491" spans="1:14" x14ac:dyDescent="0.25">
      <c r="A491" s="79" t="s">
        <v>32</v>
      </c>
      <c r="B491" s="89" t="s">
        <v>7</v>
      </c>
      <c r="C491" s="89" t="s">
        <v>243</v>
      </c>
      <c r="D491" s="13" t="s">
        <v>182</v>
      </c>
      <c r="E491" s="35">
        <f>VLOOKUP(B491, Passenger_Kilometre_by_mode_type[#All],MATCH(A491, Passenger_Kilometre_by_mode_type[#Headers],0),0)</f>
        <v>122861193.40584016</v>
      </c>
      <c r="F491" s="89">
        <f>VLOOKUP(C491, Reason_for_walking_cycling_journeys_by_percentage[#All],MATCH(A491, Reason_for_walking_cycling_journeys_by_percentage[#Headers],0),0)/100</f>
        <v>8.5500000000000007E-2</v>
      </c>
      <c r="G491" s="13">
        <f t="shared" si="36"/>
        <v>10504632.036199335</v>
      </c>
      <c r="H491" s="89">
        <f>VLOOKUP(D491,Average_Distance_by_kilometre_grouping_for_mode_type[#All],MATCH(A491,Average_Distance_by_kilometre_grouping_for_mode_type[#Headers],0),0)</f>
        <v>7</v>
      </c>
      <c r="I491" s="89">
        <f>VLOOKUP(D491,Average_Distance_by_kilometres_grouping_for_trip_purpose[#All],MATCH(A491,Average_Distance_by_kilometres_grouping_for_trip_purpose[#Headers],0),0)</f>
        <v>7</v>
      </c>
      <c r="J491" s="89">
        <f t="shared" si="37"/>
        <v>7</v>
      </c>
      <c r="K491" s="89">
        <f t="shared" si="38"/>
        <v>0.14210312626877789</v>
      </c>
      <c r="L491" s="89">
        <v>1</v>
      </c>
      <c r="M491" s="13">
        <f t="shared" si="39"/>
        <v>1492741.0526470835</v>
      </c>
      <c r="N491" s="11">
        <f t="shared" si="35"/>
        <v>2.8835841291309252E-5</v>
      </c>
    </row>
    <row r="492" spans="1:14" x14ac:dyDescent="0.25">
      <c r="A492" s="79" t="s">
        <v>32</v>
      </c>
      <c r="B492" s="89" t="s">
        <v>7</v>
      </c>
      <c r="C492" s="89" t="s">
        <v>243</v>
      </c>
      <c r="D492" s="13" t="s">
        <v>1</v>
      </c>
      <c r="E492" s="35">
        <f>VLOOKUP(B492, Passenger_Kilometre_by_mode_type[#All],MATCH(A492, Passenger_Kilometre_by_mode_type[#Headers],0),0)</f>
        <v>122861193.40584016</v>
      </c>
      <c r="F492" s="89">
        <f>VLOOKUP(C492, Reason_for_walking_cycling_journeys_by_percentage[#All],MATCH(A492, Reason_for_walking_cycling_journeys_by_percentage[#Headers],0),0)/100</f>
        <v>8.5500000000000007E-2</v>
      </c>
      <c r="G492" s="13">
        <f t="shared" si="36"/>
        <v>10504632.036199335</v>
      </c>
      <c r="H492" s="89">
        <f>VLOOKUP(D492,Average_Distance_by_kilometre_grouping_for_mode_type[#All],MATCH(A492,Average_Distance_by_kilometre_grouping_for_mode_type[#Headers],0),0)</f>
        <v>31.75</v>
      </c>
      <c r="I492" s="89">
        <f>VLOOKUP(D492,Average_Distance_by_kilometres_grouping_for_trip_purpose[#All],MATCH(A492,Average_Distance_by_kilometres_grouping_for_trip_purpose[#Headers],0),0)</f>
        <v>34.770000000000003</v>
      </c>
      <c r="J492" s="89">
        <f t="shared" si="37"/>
        <v>33.260000000000005</v>
      </c>
      <c r="K492" s="89">
        <f t="shared" si="38"/>
        <v>0.67519285424279341</v>
      </c>
      <c r="L492" s="89">
        <v>1</v>
      </c>
      <c r="M492" s="13">
        <f t="shared" si="39"/>
        <v>7092652.487291716</v>
      </c>
      <c r="N492" s="11">
        <f t="shared" ref="N492:N555" si="40">M492/SUM($M$363:$M$722)</f>
        <v>1.3701144019270657E-4</v>
      </c>
    </row>
    <row r="493" spans="1:14" x14ac:dyDescent="0.25">
      <c r="A493" s="79" t="s">
        <v>32</v>
      </c>
      <c r="B493" s="89" t="s">
        <v>7</v>
      </c>
      <c r="C493" s="89" t="s">
        <v>50</v>
      </c>
      <c r="D493" s="13" t="s">
        <v>12</v>
      </c>
      <c r="E493" s="35">
        <f>VLOOKUP(B493, Passenger_Kilometre_by_mode_type[#All],MATCH(A493, Passenger_Kilometre_by_mode_type[#Headers],0),0)</f>
        <v>122861193.40584016</v>
      </c>
      <c r="F493" s="89">
        <f>VLOOKUP(C493, Reason_for_walking_cycling_journeys_by_percentage[#All],MATCH(A493, Reason_for_walking_cycling_journeys_by_percentage[#Headers],0),0)/100</f>
        <v>6.4000000000000001E-2</v>
      </c>
      <c r="G493" s="13">
        <f t="shared" si="36"/>
        <v>7863116.3779737707</v>
      </c>
      <c r="H493" s="89">
        <f>VLOOKUP(D493,Average_Distance_by_kilometre_grouping_for_mode_type[#All],MATCH(A493,Average_Distance_by_kilometre_grouping_for_mode_type[#Headers],0),0)</f>
        <v>1</v>
      </c>
      <c r="I493" s="89">
        <f>VLOOKUP(D493,Average_Distance_by_kilometres_grouping_for_trip_purpose[#All],MATCH(A493,Average_Distance_by_kilometres_grouping_for_trip_purpose[#Headers],0),0)</f>
        <v>1</v>
      </c>
      <c r="J493" s="89">
        <f t="shared" si="37"/>
        <v>1</v>
      </c>
      <c r="K493" s="89">
        <f t="shared" si="38"/>
        <v>2.0300446609825416E-2</v>
      </c>
      <c r="L493" s="89">
        <v>1</v>
      </c>
      <c r="M493" s="13">
        <f t="shared" si="39"/>
        <v>159624.77421790033</v>
      </c>
      <c r="N493" s="11">
        <f t="shared" si="40"/>
        <v>3.0835319008250494E-6</v>
      </c>
    </row>
    <row r="494" spans="1:14" x14ac:dyDescent="0.25">
      <c r="A494" s="79" t="s">
        <v>32</v>
      </c>
      <c r="B494" s="89" t="s">
        <v>7</v>
      </c>
      <c r="C494" s="89" t="s">
        <v>50</v>
      </c>
      <c r="D494" s="13" t="s">
        <v>181</v>
      </c>
      <c r="E494" s="35">
        <f>VLOOKUP(B494, Passenger_Kilometre_by_mode_type[#All],MATCH(A494, Passenger_Kilometre_by_mode_type[#Headers],0),0)</f>
        <v>122861193.40584016</v>
      </c>
      <c r="F494" s="89">
        <f>VLOOKUP(C494, Reason_for_walking_cycling_journeys_by_percentage[#All],MATCH(A494, Reason_for_walking_cycling_journeys_by_percentage[#Headers],0),0)/100</f>
        <v>6.4000000000000001E-2</v>
      </c>
      <c r="G494" s="13">
        <f t="shared" si="36"/>
        <v>7863116.3779737707</v>
      </c>
      <c r="H494" s="89">
        <f>VLOOKUP(D494,Average_Distance_by_kilometre_grouping_for_mode_type[#All],MATCH(A494,Average_Distance_by_kilometre_grouping_for_mode_type[#Headers],0),0)</f>
        <v>3</v>
      </c>
      <c r="I494" s="89">
        <f>VLOOKUP(D494,Average_Distance_by_kilometres_grouping_for_trip_purpose[#All],MATCH(A494,Average_Distance_by_kilometres_grouping_for_trip_purpose[#Headers],0),0)</f>
        <v>3</v>
      </c>
      <c r="J494" s="89">
        <f t="shared" si="37"/>
        <v>3</v>
      </c>
      <c r="K494" s="89">
        <f t="shared" si="38"/>
        <v>6.0901339829476243E-2</v>
      </c>
      <c r="L494" s="89">
        <v>1</v>
      </c>
      <c r="M494" s="13">
        <f t="shared" si="39"/>
        <v>478874.32265370101</v>
      </c>
      <c r="N494" s="11">
        <f t="shared" si="40"/>
        <v>9.2505957024751489E-6</v>
      </c>
    </row>
    <row r="495" spans="1:14" x14ac:dyDescent="0.25">
      <c r="A495" s="79" t="s">
        <v>32</v>
      </c>
      <c r="B495" s="89" t="s">
        <v>7</v>
      </c>
      <c r="C495" s="89" t="s">
        <v>50</v>
      </c>
      <c r="D495" s="13" t="s">
        <v>180</v>
      </c>
      <c r="E495" s="35">
        <f>VLOOKUP(B495, Passenger_Kilometre_by_mode_type[#All],MATCH(A495, Passenger_Kilometre_by_mode_type[#Headers],0),0)</f>
        <v>122861193.40584016</v>
      </c>
      <c r="F495" s="89">
        <f>VLOOKUP(C495, Reason_for_walking_cycling_journeys_by_percentage[#All],MATCH(A495, Reason_for_walking_cycling_journeys_by_percentage[#Headers],0),0)/100</f>
        <v>6.4000000000000001E-2</v>
      </c>
      <c r="G495" s="13">
        <f t="shared" si="36"/>
        <v>7863116.3779737707</v>
      </c>
      <c r="H495" s="89">
        <f>VLOOKUP(D495,Average_Distance_by_kilometre_grouping_for_mode_type[#All],MATCH(A495,Average_Distance_by_kilometre_grouping_for_mode_type[#Headers],0),0)</f>
        <v>5</v>
      </c>
      <c r="I495" s="89">
        <f>VLOOKUP(D495,Average_Distance_by_kilometres_grouping_for_trip_purpose[#All],MATCH(A495,Average_Distance_by_kilometres_grouping_for_trip_purpose[#Headers],0),0)</f>
        <v>5</v>
      </c>
      <c r="J495" s="89">
        <f t="shared" si="37"/>
        <v>5</v>
      </c>
      <c r="K495" s="89">
        <f t="shared" si="38"/>
        <v>0.10150223304912707</v>
      </c>
      <c r="L495" s="89">
        <v>1</v>
      </c>
      <c r="M495" s="13">
        <f t="shared" si="39"/>
        <v>798123.87108950166</v>
      </c>
      <c r="N495" s="11">
        <f t="shared" si="40"/>
        <v>1.5417659504125246E-5</v>
      </c>
    </row>
    <row r="496" spans="1:14" x14ac:dyDescent="0.25">
      <c r="A496" s="79" t="s">
        <v>32</v>
      </c>
      <c r="B496" s="89" t="s">
        <v>7</v>
      </c>
      <c r="C496" s="89" t="s">
        <v>50</v>
      </c>
      <c r="D496" s="13" t="s">
        <v>182</v>
      </c>
      <c r="E496" s="35">
        <f>VLOOKUP(B496, Passenger_Kilometre_by_mode_type[#All],MATCH(A496, Passenger_Kilometre_by_mode_type[#Headers],0),0)</f>
        <v>122861193.40584016</v>
      </c>
      <c r="F496" s="89">
        <f>VLOOKUP(C496, Reason_for_walking_cycling_journeys_by_percentage[#All],MATCH(A496, Reason_for_walking_cycling_journeys_by_percentage[#Headers],0),0)/100</f>
        <v>6.4000000000000001E-2</v>
      </c>
      <c r="G496" s="13">
        <f t="shared" si="36"/>
        <v>7863116.3779737707</v>
      </c>
      <c r="H496" s="89">
        <f>VLOOKUP(D496,Average_Distance_by_kilometre_grouping_for_mode_type[#All],MATCH(A496,Average_Distance_by_kilometre_grouping_for_mode_type[#Headers],0),0)</f>
        <v>7</v>
      </c>
      <c r="I496" s="89">
        <f>VLOOKUP(D496,Average_Distance_by_kilometres_grouping_for_trip_purpose[#All],MATCH(A496,Average_Distance_by_kilometres_grouping_for_trip_purpose[#Headers],0),0)</f>
        <v>7</v>
      </c>
      <c r="J496" s="89">
        <f t="shared" si="37"/>
        <v>7</v>
      </c>
      <c r="K496" s="89">
        <f t="shared" si="38"/>
        <v>0.14210312626877789</v>
      </c>
      <c r="L496" s="89">
        <v>1</v>
      </c>
      <c r="M496" s="13">
        <f t="shared" si="39"/>
        <v>1117373.4195253022</v>
      </c>
      <c r="N496" s="11">
        <f t="shared" si="40"/>
        <v>2.1584723305775346E-5</v>
      </c>
    </row>
    <row r="497" spans="1:14" x14ac:dyDescent="0.25">
      <c r="A497" s="79" t="s">
        <v>32</v>
      </c>
      <c r="B497" s="89" t="s">
        <v>7</v>
      </c>
      <c r="C497" s="89" t="s">
        <v>50</v>
      </c>
      <c r="D497" s="13" t="s">
        <v>1</v>
      </c>
      <c r="E497" s="35">
        <f>VLOOKUP(B497, Passenger_Kilometre_by_mode_type[#All],MATCH(A497, Passenger_Kilometre_by_mode_type[#Headers],0),0)</f>
        <v>122861193.40584016</v>
      </c>
      <c r="F497" s="89">
        <f>VLOOKUP(C497, Reason_for_walking_cycling_journeys_by_percentage[#All],MATCH(A497, Reason_for_walking_cycling_journeys_by_percentage[#Headers],0),0)/100</f>
        <v>6.4000000000000001E-2</v>
      </c>
      <c r="G497" s="13">
        <f t="shared" si="36"/>
        <v>7863116.3779737707</v>
      </c>
      <c r="H497" s="89">
        <f>VLOOKUP(D497,Average_Distance_by_kilometre_grouping_for_mode_type[#All],MATCH(A497,Average_Distance_by_kilometre_grouping_for_mode_type[#Headers],0),0)</f>
        <v>31.75</v>
      </c>
      <c r="I497" s="89">
        <f>VLOOKUP(D497,Average_Distance_by_kilometres_grouping_for_trip_purpose[#All],MATCH(A497,Average_Distance_by_kilometres_grouping_for_trip_purpose[#Headers],0),0)</f>
        <v>34.770000000000003</v>
      </c>
      <c r="J497" s="89">
        <f t="shared" si="37"/>
        <v>33.260000000000005</v>
      </c>
      <c r="K497" s="89">
        <f t="shared" si="38"/>
        <v>0.67519285424279341</v>
      </c>
      <c r="L497" s="89">
        <v>1</v>
      </c>
      <c r="M497" s="13">
        <f t="shared" si="39"/>
        <v>5309119.990487366</v>
      </c>
      <c r="N497" s="11">
        <f t="shared" si="40"/>
        <v>1.0255827102144116E-4</v>
      </c>
    </row>
    <row r="498" spans="1:14" x14ac:dyDescent="0.25">
      <c r="A498" s="79" t="s">
        <v>32</v>
      </c>
      <c r="B498" s="89" t="s">
        <v>8</v>
      </c>
      <c r="C498" s="89" t="s">
        <v>42</v>
      </c>
      <c r="D498" s="13" t="s">
        <v>12</v>
      </c>
      <c r="E498" s="35">
        <f>VLOOKUP(B498, Passenger_Kilometre_by_mode_type[#All],MATCH(A498, Passenger_Kilometre_by_mode_type[#Headers],0),0)</f>
        <v>2137899500.4216602</v>
      </c>
      <c r="F498" s="89">
        <f>VLOOKUP(C498, Reason_for_public_transport_journeys_by_percentage[#All],MATCH(A498, Reason_for_public_transport_journeys_by_percentage[#Headers],0),0)/100</f>
        <v>0.28824999999999995</v>
      </c>
      <c r="G498" s="13">
        <f t="shared" si="36"/>
        <v>616249530.99654341</v>
      </c>
      <c r="H498" s="89">
        <f>VLOOKUP(D498,Average_Distance_by_kilometre_grouping_for_mode_type[#All],MATCH(A498,Average_Distance_by_kilometre_grouping_for_mode_type[#Headers],0),0)</f>
        <v>1</v>
      </c>
      <c r="I498" s="89">
        <f>VLOOKUP(D498,Average_Distance_by_kilometres_grouping_for_trip_purpose[#All],MATCH(A498,Average_Distance_by_kilometres_grouping_for_trip_purpose[#Headers],0),0)</f>
        <v>1</v>
      </c>
      <c r="J498" s="89">
        <f t="shared" si="37"/>
        <v>1</v>
      </c>
      <c r="K498" s="89">
        <f t="shared" si="38"/>
        <v>2.0300446609825416E-2</v>
      </c>
      <c r="L498" s="89">
        <v>1</v>
      </c>
      <c r="M498" s="13">
        <f t="shared" si="39"/>
        <v>12510140.702325283</v>
      </c>
      <c r="N498" s="11">
        <f t="shared" si="40"/>
        <v>2.4166310103450125E-4</v>
      </c>
    </row>
    <row r="499" spans="1:14" x14ac:dyDescent="0.25">
      <c r="A499" s="79" t="s">
        <v>32</v>
      </c>
      <c r="B499" s="89" t="s">
        <v>8</v>
      </c>
      <c r="C499" s="89" t="s">
        <v>42</v>
      </c>
      <c r="D499" s="13" t="s">
        <v>181</v>
      </c>
      <c r="E499" s="35">
        <f>VLOOKUP(B499, Passenger_Kilometre_by_mode_type[#All],MATCH(A499, Passenger_Kilometre_by_mode_type[#Headers],0),0)</f>
        <v>2137899500.4216602</v>
      </c>
      <c r="F499" s="89">
        <f>VLOOKUP(C499, Reason_for_public_transport_journeys_by_percentage[#All],MATCH(A499, Reason_for_public_transport_journeys_by_percentage[#Headers],0),0)/100</f>
        <v>0.28824999999999995</v>
      </c>
      <c r="G499" s="13">
        <f t="shared" si="36"/>
        <v>616249530.99654341</v>
      </c>
      <c r="H499" s="89">
        <f>VLOOKUP(D499,Average_Distance_by_kilometre_grouping_for_mode_type[#All],MATCH(A499,Average_Distance_by_kilometre_grouping_for_mode_type[#Headers],0),0)</f>
        <v>3</v>
      </c>
      <c r="I499" s="89">
        <f>VLOOKUP(D499,Average_Distance_by_kilometres_grouping_for_trip_purpose[#All],MATCH(A499,Average_Distance_by_kilometres_grouping_for_trip_purpose[#Headers],0),0)</f>
        <v>3</v>
      </c>
      <c r="J499" s="89">
        <f t="shared" si="37"/>
        <v>3</v>
      </c>
      <c r="K499" s="89">
        <f t="shared" si="38"/>
        <v>6.0901339829476243E-2</v>
      </c>
      <c r="L499" s="89">
        <v>1</v>
      </c>
      <c r="M499" s="13">
        <f t="shared" si="39"/>
        <v>37530422.106975846</v>
      </c>
      <c r="N499" s="11">
        <f t="shared" si="40"/>
        <v>7.2498930310350377E-4</v>
      </c>
    </row>
    <row r="500" spans="1:14" x14ac:dyDescent="0.25">
      <c r="A500" s="79" t="s">
        <v>32</v>
      </c>
      <c r="B500" s="89" t="s">
        <v>8</v>
      </c>
      <c r="C500" s="89" t="s">
        <v>42</v>
      </c>
      <c r="D500" s="13" t="s">
        <v>180</v>
      </c>
      <c r="E500" s="35">
        <f>VLOOKUP(B500, Passenger_Kilometre_by_mode_type[#All],MATCH(A500, Passenger_Kilometre_by_mode_type[#Headers],0),0)</f>
        <v>2137899500.4216602</v>
      </c>
      <c r="F500" s="89">
        <f>VLOOKUP(C500, Reason_for_public_transport_journeys_by_percentage[#All],MATCH(A500, Reason_for_public_transport_journeys_by_percentage[#Headers],0),0)/100</f>
        <v>0.28824999999999995</v>
      </c>
      <c r="G500" s="13">
        <f t="shared" si="36"/>
        <v>616249530.99654341</v>
      </c>
      <c r="H500" s="89">
        <f>VLOOKUP(D500,Average_Distance_by_kilometre_grouping_for_mode_type[#All],MATCH(A500,Average_Distance_by_kilometre_grouping_for_mode_type[#Headers],0),0)</f>
        <v>5</v>
      </c>
      <c r="I500" s="89">
        <f>VLOOKUP(D500,Average_Distance_by_kilometres_grouping_for_trip_purpose[#All],MATCH(A500,Average_Distance_by_kilometres_grouping_for_trip_purpose[#Headers],0),0)</f>
        <v>5</v>
      </c>
      <c r="J500" s="89">
        <f t="shared" si="37"/>
        <v>5</v>
      </c>
      <c r="K500" s="89">
        <f t="shared" si="38"/>
        <v>0.10150223304912707</v>
      </c>
      <c r="L500" s="89">
        <v>1</v>
      </c>
      <c r="M500" s="13">
        <f t="shared" si="39"/>
        <v>62550703.511626408</v>
      </c>
      <c r="N500" s="11">
        <f t="shared" si="40"/>
        <v>1.2083155051725062E-3</v>
      </c>
    </row>
    <row r="501" spans="1:14" x14ac:dyDescent="0.25">
      <c r="A501" s="79" t="s">
        <v>32</v>
      </c>
      <c r="B501" s="89" t="s">
        <v>8</v>
      </c>
      <c r="C501" s="89" t="s">
        <v>42</v>
      </c>
      <c r="D501" s="13" t="s">
        <v>182</v>
      </c>
      <c r="E501" s="35">
        <f>VLOOKUP(B501, Passenger_Kilometre_by_mode_type[#All],MATCH(A501, Passenger_Kilometre_by_mode_type[#Headers],0),0)</f>
        <v>2137899500.4216602</v>
      </c>
      <c r="F501" s="89">
        <f>VLOOKUP(C501, Reason_for_public_transport_journeys_by_percentage[#All],MATCH(A501, Reason_for_public_transport_journeys_by_percentage[#Headers],0),0)/100</f>
        <v>0.28824999999999995</v>
      </c>
      <c r="G501" s="13">
        <f t="shared" si="36"/>
        <v>616249530.99654341</v>
      </c>
      <c r="H501" s="89">
        <f>VLOOKUP(D501,Average_Distance_by_kilometre_grouping_for_mode_type[#All],MATCH(A501,Average_Distance_by_kilometre_grouping_for_mode_type[#Headers],0),0)</f>
        <v>7</v>
      </c>
      <c r="I501" s="89">
        <f>VLOOKUP(D501,Average_Distance_by_kilometres_grouping_for_trip_purpose[#All],MATCH(A501,Average_Distance_by_kilometres_grouping_for_trip_purpose[#Headers],0),0)</f>
        <v>7</v>
      </c>
      <c r="J501" s="89">
        <f t="shared" si="37"/>
        <v>7</v>
      </c>
      <c r="K501" s="89">
        <f t="shared" si="38"/>
        <v>0.14210312626877789</v>
      </c>
      <c r="L501" s="89">
        <v>1</v>
      </c>
      <c r="M501" s="13">
        <f t="shared" si="39"/>
        <v>87570984.916276962</v>
      </c>
      <c r="N501" s="11">
        <f t="shared" si="40"/>
        <v>1.6916417072415084E-3</v>
      </c>
    </row>
    <row r="502" spans="1:14" x14ac:dyDescent="0.25">
      <c r="A502" s="79" t="s">
        <v>32</v>
      </c>
      <c r="B502" s="89" t="s">
        <v>8</v>
      </c>
      <c r="C502" s="89" t="s">
        <v>42</v>
      </c>
      <c r="D502" s="13" t="s">
        <v>1</v>
      </c>
      <c r="E502" s="35">
        <f>VLOOKUP(B502, Passenger_Kilometre_by_mode_type[#All],MATCH(A502, Passenger_Kilometre_by_mode_type[#Headers],0),0)</f>
        <v>2137899500.4216602</v>
      </c>
      <c r="F502" s="89">
        <f>VLOOKUP(C502, Reason_for_public_transport_journeys_by_percentage[#All],MATCH(A502, Reason_for_public_transport_journeys_by_percentage[#Headers],0),0)/100</f>
        <v>0.28824999999999995</v>
      </c>
      <c r="G502" s="13">
        <f t="shared" si="36"/>
        <v>616249530.99654341</v>
      </c>
      <c r="H502" s="89">
        <f>VLOOKUP(D502,Average_Distance_by_kilometre_grouping_for_mode_type[#All],MATCH(A502,Average_Distance_by_kilometre_grouping_for_mode_type[#Headers],0),0)</f>
        <v>31.75</v>
      </c>
      <c r="I502" s="89">
        <f>VLOOKUP(D502,Average_Distance_by_kilometres_grouping_for_trip_purpose[#All],MATCH(A502,Average_Distance_by_kilometres_grouping_for_trip_purpose[#Headers],0),0)</f>
        <v>34.770000000000003</v>
      </c>
      <c r="J502" s="89">
        <f t="shared" si="37"/>
        <v>33.260000000000005</v>
      </c>
      <c r="K502" s="89">
        <f t="shared" si="38"/>
        <v>0.67519285424279341</v>
      </c>
      <c r="L502" s="89">
        <v>1</v>
      </c>
      <c r="M502" s="13">
        <f t="shared" si="39"/>
        <v>416087279.75933892</v>
      </c>
      <c r="N502" s="11">
        <f t="shared" si="40"/>
        <v>8.0377147404075127E-3</v>
      </c>
    </row>
    <row r="503" spans="1:14" x14ac:dyDescent="0.25">
      <c r="A503" s="79" t="s">
        <v>32</v>
      </c>
      <c r="B503" s="89" t="s">
        <v>8</v>
      </c>
      <c r="C503" s="89" t="s">
        <v>43</v>
      </c>
      <c r="D503" s="13" t="s">
        <v>12</v>
      </c>
      <c r="E503" s="35">
        <f>VLOOKUP(B503, Passenger_Kilometre_by_mode_type[#All],MATCH(A503, Passenger_Kilometre_by_mode_type[#Headers],0),0)</f>
        <v>2137899500.4216602</v>
      </c>
      <c r="F503" s="89">
        <f>VLOOKUP(C503, Reason_for_public_transport_journeys_by_percentage[#All],MATCH(A503, Reason_for_public_transport_journeys_by_percentage[#Headers],0),0)/100</f>
        <v>0.12437499999999999</v>
      </c>
      <c r="G503" s="13">
        <f t="shared" si="36"/>
        <v>265901250.36494395</v>
      </c>
      <c r="H503" s="89">
        <f>VLOOKUP(D503,Average_Distance_by_kilometre_grouping_for_mode_type[#All],MATCH(A503,Average_Distance_by_kilometre_grouping_for_mode_type[#Headers],0),0)</f>
        <v>1</v>
      </c>
      <c r="I503" s="89">
        <f>VLOOKUP(D503,Average_Distance_by_kilometres_grouping_for_trip_purpose[#All],MATCH(A503,Average_Distance_by_kilometres_grouping_for_trip_purpose[#Headers],0),0)</f>
        <v>1</v>
      </c>
      <c r="J503" s="89">
        <f t="shared" si="37"/>
        <v>1</v>
      </c>
      <c r="K503" s="89">
        <f t="shared" si="38"/>
        <v>2.0300446609825416E-2</v>
      </c>
      <c r="L503" s="89">
        <v>1</v>
      </c>
      <c r="M503" s="13">
        <f t="shared" si="39"/>
        <v>5397914.1365193659</v>
      </c>
      <c r="N503" s="11">
        <f t="shared" si="40"/>
        <v>1.042735409927705E-4</v>
      </c>
    </row>
    <row r="504" spans="1:14" x14ac:dyDescent="0.25">
      <c r="A504" s="79" t="s">
        <v>32</v>
      </c>
      <c r="B504" s="89" t="s">
        <v>8</v>
      </c>
      <c r="C504" s="89" t="s">
        <v>43</v>
      </c>
      <c r="D504" s="13" t="s">
        <v>181</v>
      </c>
      <c r="E504" s="35">
        <f>VLOOKUP(B504, Passenger_Kilometre_by_mode_type[#All],MATCH(A504, Passenger_Kilometre_by_mode_type[#Headers],0),0)</f>
        <v>2137899500.4216602</v>
      </c>
      <c r="F504" s="89">
        <f>VLOOKUP(C504, Reason_for_public_transport_journeys_by_percentage[#All],MATCH(A504, Reason_for_public_transport_journeys_by_percentage[#Headers],0),0)/100</f>
        <v>0.12437499999999999</v>
      </c>
      <c r="G504" s="13">
        <f t="shared" si="36"/>
        <v>265901250.36494395</v>
      </c>
      <c r="H504" s="89">
        <f>VLOOKUP(D504,Average_Distance_by_kilometre_grouping_for_mode_type[#All],MATCH(A504,Average_Distance_by_kilometre_grouping_for_mode_type[#Headers],0),0)</f>
        <v>3</v>
      </c>
      <c r="I504" s="89">
        <f>VLOOKUP(D504,Average_Distance_by_kilometres_grouping_for_trip_purpose[#All],MATCH(A504,Average_Distance_by_kilometres_grouping_for_trip_purpose[#Headers],0),0)</f>
        <v>3</v>
      </c>
      <c r="J504" s="89">
        <f t="shared" si="37"/>
        <v>3</v>
      </c>
      <c r="K504" s="89">
        <f t="shared" si="38"/>
        <v>6.0901339829476243E-2</v>
      </c>
      <c r="L504" s="89">
        <v>1</v>
      </c>
      <c r="M504" s="13">
        <f t="shared" si="39"/>
        <v>16193742.409558095</v>
      </c>
      <c r="N504" s="11">
        <f t="shared" si="40"/>
        <v>3.1282062297831146E-4</v>
      </c>
    </row>
    <row r="505" spans="1:14" x14ac:dyDescent="0.25">
      <c r="A505" s="79" t="s">
        <v>32</v>
      </c>
      <c r="B505" s="89" t="s">
        <v>8</v>
      </c>
      <c r="C505" s="89" t="s">
        <v>43</v>
      </c>
      <c r="D505" s="13" t="s">
        <v>180</v>
      </c>
      <c r="E505" s="35">
        <f>VLOOKUP(B505, Passenger_Kilometre_by_mode_type[#All],MATCH(A505, Passenger_Kilometre_by_mode_type[#Headers],0),0)</f>
        <v>2137899500.4216602</v>
      </c>
      <c r="F505" s="89">
        <f>VLOOKUP(C505, Reason_for_public_transport_journeys_by_percentage[#All],MATCH(A505, Reason_for_public_transport_journeys_by_percentage[#Headers],0),0)/100</f>
        <v>0.12437499999999999</v>
      </c>
      <c r="G505" s="13">
        <f t="shared" si="36"/>
        <v>265901250.36494395</v>
      </c>
      <c r="H505" s="89">
        <f>VLOOKUP(D505,Average_Distance_by_kilometre_grouping_for_mode_type[#All],MATCH(A505,Average_Distance_by_kilometre_grouping_for_mode_type[#Headers],0),0)</f>
        <v>5</v>
      </c>
      <c r="I505" s="89">
        <f>VLOOKUP(D505,Average_Distance_by_kilometres_grouping_for_trip_purpose[#All],MATCH(A505,Average_Distance_by_kilometres_grouping_for_trip_purpose[#Headers],0),0)</f>
        <v>5</v>
      </c>
      <c r="J505" s="89">
        <f t="shared" si="37"/>
        <v>5</v>
      </c>
      <c r="K505" s="89">
        <f t="shared" si="38"/>
        <v>0.10150223304912707</v>
      </c>
      <c r="L505" s="89">
        <v>1</v>
      </c>
      <c r="M505" s="13">
        <f t="shared" si="39"/>
        <v>26989570.682596825</v>
      </c>
      <c r="N505" s="11">
        <f t="shared" si="40"/>
        <v>5.2136770496385239E-4</v>
      </c>
    </row>
    <row r="506" spans="1:14" x14ac:dyDescent="0.25">
      <c r="A506" s="79" t="s">
        <v>32</v>
      </c>
      <c r="B506" s="89" t="s">
        <v>8</v>
      </c>
      <c r="C506" s="89" t="s">
        <v>43</v>
      </c>
      <c r="D506" s="13" t="s">
        <v>182</v>
      </c>
      <c r="E506" s="35">
        <f>VLOOKUP(B506, Passenger_Kilometre_by_mode_type[#All],MATCH(A506, Passenger_Kilometre_by_mode_type[#Headers],0),0)</f>
        <v>2137899500.4216602</v>
      </c>
      <c r="F506" s="89">
        <f>VLOOKUP(C506, Reason_for_public_transport_journeys_by_percentage[#All],MATCH(A506, Reason_for_public_transport_journeys_by_percentage[#Headers],0),0)/100</f>
        <v>0.12437499999999999</v>
      </c>
      <c r="G506" s="13">
        <f t="shared" si="36"/>
        <v>265901250.36494395</v>
      </c>
      <c r="H506" s="89">
        <f>VLOOKUP(D506,Average_Distance_by_kilometre_grouping_for_mode_type[#All],MATCH(A506,Average_Distance_by_kilometre_grouping_for_mode_type[#Headers],0),0)</f>
        <v>7</v>
      </c>
      <c r="I506" s="89">
        <f>VLOOKUP(D506,Average_Distance_by_kilometres_grouping_for_trip_purpose[#All],MATCH(A506,Average_Distance_by_kilometres_grouping_for_trip_purpose[#Headers],0),0)</f>
        <v>7</v>
      </c>
      <c r="J506" s="89">
        <f t="shared" si="37"/>
        <v>7</v>
      </c>
      <c r="K506" s="89">
        <f t="shared" si="38"/>
        <v>0.14210312626877789</v>
      </c>
      <c r="L506" s="89">
        <v>1</v>
      </c>
      <c r="M506" s="13">
        <f t="shared" si="39"/>
        <v>37785398.955635555</v>
      </c>
      <c r="N506" s="11">
        <f t="shared" si="40"/>
        <v>7.2991478694939336E-4</v>
      </c>
    </row>
    <row r="507" spans="1:14" x14ac:dyDescent="0.25">
      <c r="A507" s="79" t="s">
        <v>32</v>
      </c>
      <c r="B507" s="89" t="s">
        <v>8</v>
      </c>
      <c r="C507" s="89" t="s">
        <v>43</v>
      </c>
      <c r="D507" s="13" t="s">
        <v>1</v>
      </c>
      <c r="E507" s="35">
        <f>VLOOKUP(B507, Passenger_Kilometre_by_mode_type[#All],MATCH(A507, Passenger_Kilometre_by_mode_type[#Headers],0),0)</f>
        <v>2137899500.4216602</v>
      </c>
      <c r="F507" s="89">
        <f>VLOOKUP(C507, Reason_for_public_transport_journeys_by_percentage[#All],MATCH(A507, Reason_for_public_transport_journeys_by_percentage[#Headers],0),0)/100</f>
        <v>0.12437499999999999</v>
      </c>
      <c r="G507" s="13">
        <f t="shared" si="36"/>
        <v>265901250.36494395</v>
      </c>
      <c r="H507" s="89">
        <f>VLOOKUP(D507,Average_Distance_by_kilometre_grouping_for_mode_type[#All],MATCH(A507,Average_Distance_by_kilometre_grouping_for_mode_type[#Headers],0),0)</f>
        <v>31.75</v>
      </c>
      <c r="I507" s="89">
        <f>VLOOKUP(D507,Average_Distance_by_kilometres_grouping_for_trip_purpose[#All],MATCH(A507,Average_Distance_by_kilometres_grouping_for_trip_purpose[#Headers],0),0)</f>
        <v>34.770000000000003</v>
      </c>
      <c r="J507" s="89">
        <f t="shared" si="37"/>
        <v>33.260000000000005</v>
      </c>
      <c r="K507" s="89">
        <f t="shared" si="38"/>
        <v>0.67519285424279341</v>
      </c>
      <c r="L507" s="89">
        <v>1</v>
      </c>
      <c r="M507" s="13">
        <f t="shared" si="39"/>
        <v>179534624.18063411</v>
      </c>
      <c r="N507" s="11">
        <f t="shared" si="40"/>
        <v>3.4681379734195468E-3</v>
      </c>
    </row>
    <row r="508" spans="1:14" x14ac:dyDescent="0.25">
      <c r="A508" s="79" t="s">
        <v>32</v>
      </c>
      <c r="B508" s="89" t="s">
        <v>8</v>
      </c>
      <c r="C508" s="89" t="s">
        <v>44</v>
      </c>
      <c r="D508" s="13" t="s">
        <v>12</v>
      </c>
      <c r="E508" s="35">
        <f>VLOOKUP(B508, Passenger_Kilometre_by_mode_type[#All],MATCH(A508, Passenger_Kilometre_by_mode_type[#Headers],0),0)</f>
        <v>2137899500.4216602</v>
      </c>
      <c r="F508" s="89">
        <f>VLOOKUP(C508, Reason_for_public_transport_journeys_by_percentage[#All],MATCH(A508, Reason_for_public_transport_journeys_by_percentage[#Headers],0),0)/100</f>
        <v>0.18625</v>
      </c>
      <c r="G508" s="13">
        <f t="shared" si="36"/>
        <v>398183781.95353419</v>
      </c>
      <c r="H508" s="89">
        <f>VLOOKUP(D508,Average_Distance_by_kilometre_grouping_for_mode_type[#All],MATCH(A508,Average_Distance_by_kilometre_grouping_for_mode_type[#Headers],0),0)</f>
        <v>1</v>
      </c>
      <c r="I508" s="89">
        <f>VLOOKUP(D508,Average_Distance_by_kilometres_grouping_for_trip_purpose[#All],MATCH(A508,Average_Distance_by_kilometres_grouping_for_trip_purpose[#Headers],0),0)</f>
        <v>1</v>
      </c>
      <c r="J508" s="89">
        <f t="shared" si="37"/>
        <v>1</v>
      </c>
      <c r="K508" s="89">
        <f t="shared" si="38"/>
        <v>2.0300446609825416E-2</v>
      </c>
      <c r="L508" s="89">
        <v>1</v>
      </c>
      <c r="M508" s="13">
        <f t="shared" si="39"/>
        <v>8083308.6064460855</v>
      </c>
      <c r="N508" s="11">
        <f t="shared" si="40"/>
        <v>1.5614831766756589E-4</v>
      </c>
    </row>
    <row r="509" spans="1:14" x14ac:dyDescent="0.25">
      <c r="A509" s="79" t="s">
        <v>32</v>
      </c>
      <c r="B509" s="89" t="s">
        <v>8</v>
      </c>
      <c r="C509" s="89" t="s">
        <v>44</v>
      </c>
      <c r="D509" s="13" t="s">
        <v>181</v>
      </c>
      <c r="E509" s="35">
        <f>VLOOKUP(B509, Passenger_Kilometre_by_mode_type[#All],MATCH(A509, Passenger_Kilometre_by_mode_type[#Headers],0),0)</f>
        <v>2137899500.4216602</v>
      </c>
      <c r="F509" s="89">
        <f>VLOOKUP(C509, Reason_for_public_transport_journeys_by_percentage[#All],MATCH(A509, Reason_for_public_transport_journeys_by_percentage[#Headers],0),0)/100</f>
        <v>0.18625</v>
      </c>
      <c r="G509" s="13">
        <f t="shared" si="36"/>
        <v>398183781.95353419</v>
      </c>
      <c r="H509" s="89">
        <f>VLOOKUP(D509,Average_Distance_by_kilometre_grouping_for_mode_type[#All],MATCH(A509,Average_Distance_by_kilometre_grouping_for_mode_type[#Headers],0),0)</f>
        <v>3</v>
      </c>
      <c r="I509" s="89">
        <f>VLOOKUP(D509,Average_Distance_by_kilometres_grouping_for_trip_purpose[#All],MATCH(A509,Average_Distance_by_kilometres_grouping_for_trip_purpose[#Headers],0),0)</f>
        <v>3</v>
      </c>
      <c r="J509" s="89">
        <f t="shared" si="37"/>
        <v>3</v>
      </c>
      <c r="K509" s="89">
        <f t="shared" si="38"/>
        <v>6.0901339829476243E-2</v>
      </c>
      <c r="L509" s="89">
        <v>1</v>
      </c>
      <c r="M509" s="13">
        <f t="shared" si="39"/>
        <v>24249925.819338255</v>
      </c>
      <c r="N509" s="11">
        <f t="shared" si="40"/>
        <v>4.6844495300269758E-4</v>
      </c>
    </row>
    <row r="510" spans="1:14" x14ac:dyDescent="0.25">
      <c r="A510" s="79" t="s">
        <v>32</v>
      </c>
      <c r="B510" s="89" t="s">
        <v>8</v>
      </c>
      <c r="C510" s="89" t="s">
        <v>44</v>
      </c>
      <c r="D510" s="13" t="s">
        <v>180</v>
      </c>
      <c r="E510" s="35">
        <f>VLOOKUP(B510, Passenger_Kilometre_by_mode_type[#All],MATCH(A510, Passenger_Kilometre_by_mode_type[#Headers],0),0)</f>
        <v>2137899500.4216602</v>
      </c>
      <c r="F510" s="89">
        <f>VLOOKUP(C510, Reason_for_public_transport_journeys_by_percentage[#All],MATCH(A510, Reason_for_public_transport_journeys_by_percentage[#Headers],0),0)/100</f>
        <v>0.18625</v>
      </c>
      <c r="G510" s="13">
        <f t="shared" si="36"/>
        <v>398183781.95353419</v>
      </c>
      <c r="H510" s="89">
        <f>VLOOKUP(D510,Average_Distance_by_kilometre_grouping_for_mode_type[#All],MATCH(A510,Average_Distance_by_kilometre_grouping_for_mode_type[#Headers],0),0)</f>
        <v>5</v>
      </c>
      <c r="I510" s="89">
        <f>VLOOKUP(D510,Average_Distance_by_kilometres_grouping_for_trip_purpose[#All],MATCH(A510,Average_Distance_by_kilometres_grouping_for_trip_purpose[#Headers],0),0)</f>
        <v>5</v>
      </c>
      <c r="J510" s="89">
        <f t="shared" si="37"/>
        <v>5</v>
      </c>
      <c r="K510" s="89">
        <f t="shared" si="38"/>
        <v>0.10150223304912707</v>
      </c>
      <c r="L510" s="89">
        <v>1</v>
      </c>
      <c r="M510" s="13">
        <f t="shared" si="39"/>
        <v>40416543.032230429</v>
      </c>
      <c r="N510" s="11">
        <f t="shared" si="40"/>
        <v>7.8074158833782946E-4</v>
      </c>
    </row>
    <row r="511" spans="1:14" x14ac:dyDescent="0.25">
      <c r="A511" s="79" t="s">
        <v>32</v>
      </c>
      <c r="B511" s="89" t="s">
        <v>8</v>
      </c>
      <c r="C511" s="89" t="s">
        <v>44</v>
      </c>
      <c r="D511" s="13" t="s">
        <v>182</v>
      </c>
      <c r="E511" s="35">
        <f>VLOOKUP(B511, Passenger_Kilometre_by_mode_type[#All],MATCH(A511, Passenger_Kilometre_by_mode_type[#Headers],0),0)</f>
        <v>2137899500.4216602</v>
      </c>
      <c r="F511" s="89">
        <f>VLOOKUP(C511, Reason_for_public_transport_journeys_by_percentage[#All],MATCH(A511, Reason_for_public_transport_journeys_by_percentage[#Headers],0),0)/100</f>
        <v>0.18625</v>
      </c>
      <c r="G511" s="13">
        <f t="shared" si="36"/>
        <v>398183781.95353419</v>
      </c>
      <c r="H511" s="89">
        <f>VLOOKUP(D511,Average_Distance_by_kilometre_grouping_for_mode_type[#All],MATCH(A511,Average_Distance_by_kilometre_grouping_for_mode_type[#Headers],0),0)</f>
        <v>7</v>
      </c>
      <c r="I511" s="89">
        <f>VLOOKUP(D511,Average_Distance_by_kilometres_grouping_for_trip_purpose[#All],MATCH(A511,Average_Distance_by_kilometres_grouping_for_trip_purpose[#Headers],0),0)</f>
        <v>7</v>
      </c>
      <c r="J511" s="89">
        <f t="shared" si="37"/>
        <v>7</v>
      </c>
      <c r="K511" s="89">
        <f t="shared" si="38"/>
        <v>0.14210312626877789</v>
      </c>
      <c r="L511" s="89">
        <v>1</v>
      </c>
      <c r="M511" s="13">
        <f t="shared" si="39"/>
        <v>56583160.245122589</v>
      </c>
      <c r="N511" s="11">
        <f t="shared" si="40"/>
        <v>1.093038223672961E-3</v>
      </c>
    </row>
    <row r="512" spans="1:14" x14ac:dyDescent="0.25">
      <c r="A512" s="79" t="s">
        <v>32</v>
      </c>
      <c r="B512" s="89" t="s">
        <v>8</v>
      </c>
      <c r="C512" s="89" t="s">
        <v>44</v>
      </c>
      <c r="D512" s="13" t="s">
        <v>1</v>
      </c>
      <c r="E512" s="35">
        <f>VLOOKUP(B512, Passenger_Kilometre_by_mode_type[#All],MATCH(A512, Passenger_Kilometre_by_mode_type[#Headers],0),0)</f>
        <v>2137899500.4216602</v>
      </c>
      <c r="F512" s="89">
        <f>VLOOKUP(C512, Reason_for_public_transport_journeys_by_percentage[#All],MATCH(A512, Reason_for_public_transport_journeys_by_percentage[#Headers],0),0)/100</f>
        <v>0.18625</v>
      </c>
      <c r="G512" s="13">
        <f t="shared" si="36"/>
        <v>398183781.95353419</v>
      </c>
      <c r="H512" s="89">
        <f>VLOOKUP(D512,Average_Distance_by_kilometre_grouping_for_mode_type[#All],MATCH(A512,Average_Distance_by_kilometre_grouping_for_mode_type[#Headers],0),0)</f>
        <v>31.75</v>
      </c>
      <c r="I512" s="89">
        <f>VLOOKUP(D512,Average_Distance_by_kilometres_grouping_for_trip_purpose[#All],MATCH(A512,Average_Distance_by_kilometres_grouping_for_trip_purpose[#Headers],0),0)</f>
        <v>34.770000000000003</v>
      </c>
      <c r="J512" s="89">
        <f t="shared" si="37"/>
        <v>33.260000000000005</v>
      </c>
      <c r="K512" s="89">
        <f t="shared" si="38"/>
        <v>0.67519285424279341</v>
      </c>
      <c r="L512" s="89">
        <v>1</v>
      </c>
      <c r="M512" s="13">
        <f t="shared" si="39"/>
        <v>268850844.25039685</v>
      </c>
      <c r="N512" s="11">
        <f t="shared" si="40"/>
        <v>5.1934930456232417E-3</v>
      </c>
    </row>
    <row r="513" spans="1:14" x14ac:dyDescent="0.25">
      <c r="A513" s="79" t="s">
        <v>32</v>
      </c>
      <c r="B513" s="89" t="s">
        <v>8</v>
      </c>
      <c r="C513" s="89" t="s">
        <v>45</v>
      </c>
      <c r="D513" s="13" t="s">
        <v>12</v>
      </c>
      <c r="E513" s="35">
        <f>VLOOKUP(B513, Passenger_Kilometre_by_mode_type[#All],MATCH(A513, Passenger_Kilometre_by_mode_type[#Headers],0),0)</f>
        <v>2137899500.4216602</v>
      </c>
      <c r="F513" s="89">
        <f>VLOOKUP(C513, Reason_for_public_transport_journeys_by_percentage[#All],MATCH(A513, Reason_for_public_transport_journeys_by_percentage[#Headers],0),0)/100</f>
        <v>1.7000000000000001E-2</v>
      </c>
      <c r="G513" s="13">
        <f t="shared" si="36"/>
        <v>36344291.507168226</v>
      </c>
      <c r="H513" s="89">
        <f>VLOOKUP(D513,Average_Distance_by_kilometre_grouping_for_mode_type[#All],MATCH(A513,Average_Distance_by_kilometre_grouping_for_mode_type[#Headers],0),0)</f>
        <v>1</v>
      </c>
      <c r="I513" s="89">
        <f>VLOOKUP(D513,Average_Distance_by_kilometres_grouping_for_trip_purpose[#All],MATCH(A513,Average_Distance_by_kilometres_grouping_for_trip_purpose[#Headers],0),0)</f>
        <v>1</v>
      </c>
      <c r="J513" s="89">
        <f t="shared" si="37"/>
        <v>1</v>
      </c>
      <c r="K513" s="89">
        <f t="shared" si="38"/>
        <v>2.0300446609825416E-2</v>
      </c>
      <c r="L513" s="89">
        <v>1</v>
      </c>
      <c r="M513" s="13">
        <f t="shared" si="39"/>
        <v>737805.34931319987</v>
      </c>
      <c r="N513" s="11">
        <f t="shared" si="40"/>
        <v>1.4252463894489237E-5</v>
      </c>
    </row>
    <row r="514" spans="1:14" x14ac:dyDescent="0.25">
      <c r="A514" s="79" t="s">
        <v>32</v>
      </c>
      <c r="B514" s="89" t="s">
        <v>8</v>
      </c>
      <c r="C514" s="89" t="s">
        <v>45</v>
      </c>
      <c r="D514" s="13" t="s">
        <v>181</v>
      </c>
      <c r="E514" s="35">
        <f>VLOOKUP(B514, Passenger_Kilometre_by_mode_type[#All],MATCH(A514, Passenger_Kilometre_by_mode_type[#Headers],0),0)</f>
        <v>2137899500.4216602</v>
      </c>
      <c r="F514" s="89">
        <f>VLOOKUP(C514, Reason_for_public_transport_journeys_by_percentage[#All],MATCH(A514, Reason_for_public_transport_journeys_by_percentage[#Headers],0),0)/100</f>
        <v>1.7000000000000001E-2</v>
      </c>
      <c r="G514" s="13">
        <f t="shared" si="36"/>
        <v>36344291.507168226</v>
      </c>
      <c r="H514" s="89">
        <f>VLOOKUP(D514,Average_Distance_by_kilometre_grouping_for_mode_type[#All],MATCH(A514,Average_Distance_by_kilometre_grouping_for_mode_type[#Headers],0),0)</f>
        <v>3</v>
      </c>
      <c r="I514" s="89">
        <f>VLOOKUP(D514,Average_Distance_by_kilometres_grouping_for_trip_purpose[#All],MATCH(A514,Average_Distance_by_kilometres_grouping_for_trip_purpose[#Headers],0),0)</f>
        <v>3</v>
      </c>
      <c r="J514" s="89">
        <f t="shared" si="37"/>
        <v>3</v>
      </c>
      <c r="K514" s="89">
        <f t="shared" si="38"/>
        <v>6.0901339829476243E-2</v>
      </c>
      <c r="L514" s="89">
        <v>1</v>
      </c>
      <c r="M514" s="13">
        <f t="shared" si="39"/>
        <v>2213416.0479395995</v>
      </c>
      <c r="N514" s="11">
        <f t="shared" si="40"/>
        <v>4.2757391683467707E-5</v>
      </c>
    </row>
    <row r="515" spans="1:14" x14ac:dyDescent="0.25">
      <c r="A515" s="79" t="s">
        <v>32</v>
      </c>
      <c r="B515" s="89" t="s">
        <v>8</v>
      </c>
      <c r="C515" s="89" t="s">
        <v>45</v>
      </c>
      <c r="D515" s="13" t="s">
        <v>180</v>
      </c>
      <c r="E515" s="35">
        <f>VLOOKUP(B515, Passenger_Kilometre_by_mode_type[#All],MATCH(A515, Passenger_Kilometre_by_mode_type[#Headers],0),0)</f>
        <v>2137899500.4216602</v>
      </c>
      <c r="F515" s="89">
        <f>VLOOKUP(C515, Reason_for_public_transport_journeys_by_percentage[#All],MATCH(A515, Reason_for_public_transport_journeys_by_percentage[#Headers],0),0)/100</f>
        <v>1.7000000000000001E-2</v>
      </c>
      <c r="G515" s="13">
        <f t="shared" si="36"/>
        <v>36344291.507168226</v>
      </c>
      <c r="H515" s="89">
        <f>VLOOKUP(D515,Average_Distance_by_kilometre_grouping_for_mode_type[#All],MATCH(A515,Average_Distance_by_kilometre_grouping_for_mode_type[#Headers],0),0)</f>
        <v>5</v>
      </c>
      <c r="I515" s="89">
        <f>VLOOKUP(D515,Average_Distance_by_kilometres_grouping_for_trip_purpose[#All],MATCH(A515,Average_Distance_by_kilometres_grouping_for_trip_purpose[#Headers],0),0)</f>
        <v>5</v>
      </c>
      <c r="J515" s="89">
        <f t="shared" si="37"/>
        <v>5</v>
      </c>
      <c r="K515" s="89">
        <f t="shared" si="38"/>
        <v>0.10150223304912707</v>
      </c>
      <c r="L515" s="89">
        <v>1</v>
      </c>
      <c r="M515" s="13">
        <f t="shared" si="39"/>
        <v>3689026.746565999</v>
      </c>
      <c r="N515" s="11">
        <f t="shared" si="40"/>
        <v>7.1262319472446174E-5</v>
      </c>
    </row>
    <row r="516" spans="1:14" x14ac:dyDescent="0.25">
      <c r="A516" s="79" t="s">
        <v>32</v>
      </c>
      <c r="B516" s="89" t="s">
        <v>8</v>
      </c>
      <c r="C516" s="89" t="s">
        <v>45</v>
      </c>
      <c r="D516" s="13" t="s">
        <v>182</v>
      </c>
      <c r="E516" s="35">
        <f>VLOOKUP(B516, Passenger_Kilometre_by_mode_type[#All],MATCH(A516, Passenger_Kilometre_by_mode_type[#Headers],0),0)</f>
        <v>2137899500.4216602</v>
      </c>
      <c r="F516" s="89">
        <f>VLOOKUP(C516, Reason_for_public_transport_journeys_by_percentage[#All],MATCH(A516, Reason_for_public_transport_journeys_by_percentage[#Headers],0),0)/100</f>
        <v>1.7000000000000001E-2</v>
      </c>
      <c r="G516" s="13">
        <f t="shared" ref="G516:G579" si="41">E516*F516</f>
        <v>36344291.507168226</v>
      </c>
      <c r="H516" s="89">
        <f>VLOOKUP(D516,Average_Distance_by_kilometre_grouping_for_mode_type[#All],MATCH(A516,Average_Distance_by_kilometre_grouping_for_mode_type[#Headers],0),0)</f>
        <v>7</v>
      </c>
      <c r="I516" s="89">
        <f>VLOOKUP(D516,Average_Distance_by_kilometres_grouping_for_trip_purpose[#All],MATCH(A516,Average_Distance_by_kilometres_grouping_for_trip_purpose[#Headers],0),0)</f>
        <v>7</v>
      </c>
      <c r="J516" s="89">
        <f t="shared" ref="J516:J579" si="42">AVERAGE(H516:I516)</f>
        <v>7</v>
      </c>
      <c r="K516" s="89">
        <f t="shared" ref="K516:K579" si="43">J516/SUM(J516:J520)</f>
        <v>0.14210312626877789</v>
      </c>
      <c r="L516" s="89">
        <v>1</v>
      </c>
      <c r="M516" s="13">
        <f t="shared" ref="M516:M579" si="44">G516*K516*L516</f>
        <v>5164637.4451923985</v>
      </c>
      <c r="N516" s="11">
        <f t="shared" si="40"/>
        <v>9.9767247261424642E-5</v>
      </c>
    </row>
    <row r="517" spans="1:14" x14ac:dyDescent="0.25">
      <c r="A517" s="79" t="s">
        <v>32</v>
      </c>
      <c r="B517" s="89" t="s">
        <v>8</v>
      </c>
      <c r="C517" s="89" t="s">
        <v>45</v>
      </c>
      <c r="D517" s="13" t="s">
        <v>1</v>
      </c>
      <c r="E517" s="35">
        <f>VLOOKUP(B517, Passenger_Kilometre_by_mode_type[#All],MATCH(A517, Passenger_Kilometre_by_mode_type[#Headers],0),0)</f>
        <v>2137899500.4216602</v>
      </c>
      <c r="F517" s="89">
        <f>VLOOKUP(C517, Reason_for_public_transport_journeys_by_percentage[#All],MATCH(A517, Reason_for_public_transport_journeys_by_percentage[#Headers],0),0)/100</f>
        <v>1.7000000000000001E-2</v>
      </c>
      <c r="G517" s="13">
        <f t="shared" si="41"/>
        <v>36344291.507168226</v>
      </c>
      <c r="H517" s="89">
        <f>VLOOKUP(D517,Average_Distance_by_kilometre_grouping_for_mode_type[#All],MATCH(A517,Average_Distance_by_kilometre_grouping_for_mode_type[#Headers],0),0)</f>
        <v>31.75</v>
      </c>
      <c r="I517" s="89">
        <f>VLOOKUP(D517,Average_Distance_by_kilometres_grouping_for_trip_purpose[#All],MATCH(A517,Average_Distance_by_kilometres_grouping_for_trip_purpose[#Headers],0),0)</f>
        <v>34.770000000000003</v>
      </c>
      <c r="J517" s="89">
        <f t="shared" si="42"/>
        <v>33.260000000000005</v>
      </c>
      <c r="K517" s="89">
        <f t="shared" si="43"/>
        <v>0.67519285424279341</v>
      </c>
      <c r="L517" s="89">
        <v>1</v>
      </c>
      <c r="M517" s="13">
        <f t="shared" si="44"/>
        <v>24539405.91815703</v>
      </c>
      <c r="N517" s="11">
        <f t="shared" si="40"/>
        <v>4.7403694913071207E-4</v>
      </c>
    </row>
    <row r="518" spans="1:14" x14ac:dyDescent="0.25">
      <c r="A518" s="79" t="s">
        <v>32</v>
      </c>
      <c r="B518" s="89" t="s">
        <v>8</v>
      </c>
      <c r="C518" s="89" t="s">
        <v>56</v>
      </c>
      <c r="D518" s="13" t="s">
        <v>12</v>
      </c>
      <c r="E518" s="35">
        <f>VLOOKUP(B518, Passenger_Kilometre_by_mode_type[#All],MATCH(A518, Passenger_Kilometre_by_mode_type[#Headers],0),0)</f>
        <v>2137899500.4216602</v>
      </c>
      <c r="F518" s="89">
        <f>VLOOKUP(C518, Reason_for_public_transport_journeys_by_percentage[#All],MATCH(A518, Reason_for_public_transport_journeys_by_percentage[#Headers],0),0)/100</f>
        <v>0.10375000000000002</v>
      </c>
      <c r="G518" s="13">
        <f t="shared" si="41"/>
        <v>221807073.16874731</v>
      </c>
      <c r="H518" s="89">
        <f>VLOOKUP(D518,Average_Distance_by_kilometre_grouping_for_mode_type[#All],MATCH(A518,Average_Distance_by_kilometre_grouping_for_mode_type[#Headers],0),0)</f>
        <v>1</v>
      </c>
      <c r="I518" s="89">
        <f>VLOOKUP(D518,Average_Distance_by_kilometres_grouping_for_trip_purpose[#All],MATCH(A518,Average_Distance_by_kilometres_grouping_for_trip_purpose[#Headers],0),0)</f>
        <v>1</v>
      </c>
      <c r="J518" s="89">
        <f t="shared" si="42"/>
        <v>1</v>
      </c>
      <c r="K518" s="89">
        <f t="shared" si="43"/>
        <v>2.0300446609825416E-2</v>
      </c>
      <c r="L518" s="89">
        <v>1</v>
      </c>
      <c r="M518" s="13">
        <f t="shared" si="44"/>
        <v>4502782.6465437943</v>
      </c>
      <c r="N518" s="11">
        <f t="shared" si="40"/>
        <v>8.6981948767838747E-5</v>
      </c>
    </row>
    <row r="519" spans="1:14" x14ac:dyDescent="0.25">
      <c r="A519" s="79" t="s">
        <v>32</v>
      </c>
      <c r="B519" s="89" t="s">
        <v>8</v>
      </c>
      <c r="C519" s="89" t="s">
        <v>56</v>
      </c>
      <c r="D519" s="13" t="s">
        <v>181</v>
      </c>
      <c r="E519" s="35">
        <f>VLOOKUP(B519, Passenger_Kilometre_by_mode_type[#All],MATCH(A519, Passenger_Kilometre_by_mode_type[#Headers],0),0)</f>
        <v>2137899500.4216602</v>
      </c>
      <c r="F519" s="89">
        <f>VLOOKUP(C519, Reason_for_public_transport_journeys_by_percentage[#All],MATCH(A519, Reason_for_public_transport_journeys_by_percentage[#Headers],0),0)/100</f>
        <v>0.10375000000000002</v>
      </c>
      <c r="G519" s="13">
        <f t="shared" si="41"/>
        <v>221807073.16874731</v>
      </c>
      <c r="H519" s="89">
        <f>VLOOKUP(D519,Average_Distance_by_kilometre_grouping_for_mode_type[#All],MATCH(A519,Average_Distance_by_kilometre_grouping_for_mode_type[#Headers],0),0)</f>
        <v>3</v>
      </c>
      <c r="I519" s="89">
        <f>VLOOKUP(D519,Average_Distance_by_kilometres_grouping_for_trip_purpose[#All],MATCH(A519,Average_Distance_by_kilometres_grouping_for_trip_purpose[#Headers],0),0)</f>
        <v>3</v>
      </c>
      <c r="J519" s="89">
        <f t="shared" si="42"/>
        <v>3</v>
      </c>
      <c r="K519" s="89">
        <f t="shared" si="43"/>
        <v>6.0901339829476243E-2</v>
      </c>
      <c r="L519" s="89">
        <v>1</v>
      </c>
      <c r="M519" s="13">
        <f t="shared" si="44"/>
        <v>13508347.939631382</v>
      </c>
      <c r="N519" s="11">
        <f t="shared" si="40"/>
        <v>2.609458463035162E-4</v>
      </c>
    </row>
    <row r="520" spans="1:14" x14ac:dyDescent="0.25">
      <c r="A520" s="79" t="s">
        <v>32</v>
      </c>
      <c r="B520" s="89" t="s">
        <v>8</v>
      </c>
      <c r="C520" s="89" t="s">
        <v>56</v>
      </c>
      <c r="D520" s="13" t="s">
        <v>180</v>
      </c>
      <c r="E520" s="35">
        <f>VLOOKUP(B520, Passenger_Kilometre_by_mode_type[#All],MATCH(A520, Passenger_Kilometre_by_mode_type[#Headers],0),0)</f>
        <v>2137899500.4216602</v>
      </c>
      <c r="F520" s="89">
        <f>VLOOKUP(C520, Reason_for_public_transport_journeys_by_percentage[#All],MATCH(A520, Reason_for_public_transport_journeys_by_percentage[#Headers],0),0)/100</f>
        <v>0.10375000000000002</v>
      </c>
      <c r="G520" s="13">
        <f t="shared" si="41"/>
        <v>221807073.16874731</v>
      </c>
      <c r="H520" s="89">
        <f>VLOOKUP(D520,Average_Distance_by_kilometre_grouping_for_mode_type[#All],MATCH(A520,Average_Distance_by_kilometre_grouping_for_mode_type[#Headers],0),0)</f>
        <v>5</v>
      </c>
      <c r="I520" s="89">
        <f>VLOOKUP(D520,Average_Distance_by_kilometres_grouping_for_trip_purpose[#All],MATCH(A520,Average_Distance_by_kilometres_grouping_for_trip_purpose[#Headers],0),0)</f>
        <v>5</v>
      </c>
      <c r="J520" s="89">
        <f t="shared" si="42"/>
        <v>5</v>
      </c>
      <c r="K520" s="89">
        <f t="shared" si="43"/>
        <v>0.10150223304912707</v>
      </c>
      <c r="L520" s="89">
        <v>1</v>
      </c>
      <c r="M520" s="13">
        <f t="shared" si="44"/>
        <v>22513913.232718971</v>
      </c>
      <c r="N520" s="11">
        <f t="shared" si="40"/>
        <v>4.3490974383919367E-4</v>
      </c>
    </row>
    <row r="521" spans="1:14" x14ac:dyDescent="0.25">
      <c r="A521" s="79" t="s">
        <v>32</v>
      </c>
      <c r="B521" s="89" t="s">
        <v>8</v>
      </c>
      <c r="C521" s="89" t="s">
        <v>56</v>
      </c>
      <c r="D521" s="13" t="s">
        <v>182</v>
      </c>
      <c r="E521" s="35">
        <f>VLOOKUP(B521, Passenger_Kilometre_by_mode_type[#All],MATCH(A521, Passenger_Kilometre_by_mode_type[#Headers],0),0)</f>
        <v>2137899500.4216602</v>
      </c>
      <c r="F521" s="89">
        <f>VLOOKUP(C521, Reason_for_public_transport_journeys_by_percentage[#All],MATCH(A521, Reason_for_public_transport_journeys_by_percentage[#Headers],0),0)/100</f>
        <v>0.10375000000000002</v>
      </c>
      <c r="G521" s="13">
        <f t="shared" si="41"/>
        <v>221807073.16874731</v>
      </c>
      <c r="H521" s="89">
        <f>VLOOKUP(D521,Average_Distance_by_kilometre_grouping_for_mode_type[#All],MATCH(A521,Average_Distance_by_kilometre_grouping_for_mode_type[#Headers],0),0)</f>
        <v>7</v>
      </c>
      <c r="I521" s="89">
        <f>VLOOKUP(D521,Average_Distance_by_kilometres_grouping_for_trip_purpose[#All],MATCH(A521,Average_Distance_by_kilometres_grouping_for_trip_purpose[#Headers],0),0)</f>
        <v>7</v>
      </c>
      <c r="J521" s="89">
        <f t="shared" si="42"/>
        <v>7</v>
      </c>
      <c r="K521" s="89">
        <f t="shared" si="43"/>
        <v>0.14210312626877789</v>
      </c>
      <c r="L521" s="89">
        <v>1</v>
      </c>
      <c r="M521" s="13">
        <f t="shared" si="44"/>
        <v>31519478.525806554</v>
      </c>
      <c r="N521" s="11">
        <f t="shared" si="40"/>
        <v>6.0887364137487108E-4</v>
      </c>
    </row>
    <row r="522" spans="1:14" x14ac:dyDescent="0.25">
      <c r="A522" s="79" t="s">
        <v>32</v>
      </c>
      <c r="B522" s="89" t="s">
        <v>8</v>
      </c>
      <c r="C522" s="89" t="s">
        <v>56</v>
      </c>
      <c r="D522" s="13" t="s">
        <v>1</v>
      </c>
      <c r="E522" s="35">
        <f>VLOOKUP(B522, Passenger_Kilometre_by_mode_type[#All],MATCH(A522, Passenger_Kilometre_by_mode_type[#Headers],0),0)</f>
        <v>2137899500.4216602</v>
      </c>
      <c r="F522" s="89">
        <f>VLOOKUP(C522, Reason_for_public_transport_journeys_by_percentage[#All],MATCH(A522, Reason_for_public_transport_journeys_by_percentage[#Headers],0),0)/100</f>
        <v>0.10375000000000002</v>
      </c>
      <c r="G522" s="13">
        <f t="shared" si="41"/>
        <v>221807073.16874731</v>
      </c>
      <c r="H522" s="89">
        <f>VLOOKUP(D522,Average_Distance_by_kilometre_grouping_for_mode_type[#All],MATCH(A522,Average_Distance_by_kilometre_grouping_for_mode_type[#Headers],0),0)</f>
        <v>31.75</v>
      </c>
      <c r="I522" s="89">
        <f>VLOOKUP(D522,Average_Distance_by_kilometres_grouping_for_trip_purpose[#All],MATCH(A522,Average_Distance_by_kilometres_grouping_for_trip_purpose[#Headers],0),0)</f>
        <v>34.770000000000003</v>
      </c>
      <c r="J522" s="89">
        <f t="shared" si="42"/>
        <v>33.260000000000005</v>
      </c>
      <c r="K522" s="89">
        <f t="shared" si="43"/>
        <v>0.67519285424279341</v>
      </c>
      <c r="L522" s="89">
        <v>1</v>
      </c>
      <c r="M522" s="13">
        <f t="shared" si="44"/>
        <v>149762550.82404661</v>
      </c>
      <c r="N522" s="11">
        <f t="shared" si="40"/>
        <v>2.8930196160183168E-3</v>
      </c>
    </row>
    <row r="523" spans="1:14" x14ac:dyDescent="0.25">
      <c r="A523" s="79" t="s">
        <v>32</v>
      </c>
      <c r="B523" s="89" t="s">
        <v>8</v>
      </c>
      <c r="C523" s="89" t="s">
        <v>57</v>
      </c>
      <c r="D523" s="13" t="s">
        <v>12</v>
      </c>
      <c r="E523" s="35">
        <f>VLOOKUP(B523, Passenger_Kilometre_by_mode_type[#All],MATCH(A523, Passenger_Kilometre_by_mode_type[#Headers],0),0)</f>
        <v>2137899500.4216602</v>
      </c>
      <c r="F523" s="89">
        <f>VLOOKUP(C523, Reason_for_public_transport_journeys_by_percentage[#All],MATCH(A523, Reason_for_public_transport_journeys_by_percentage[#Headers],0),0)/100</f>
        <v>7.0250000000000007E-2</v>
      </c>
      <c r="G523" s="13">
        <f t="shared" si="41"/>
        <v>150187439.90462163</v>
      </c>
      <c r="H523" s="89">
        <f>VLOOKUP(D523,Average_Distance_by_kilometre_grouping_for_mode_type[#All],MATCH(A523,Average_Distance_by_kilometre_grouping_for_mode_type[#Headers],0),0)</f>
        <v>1</v>
      </c>
      <c r="I523" s="89">
        <f>VLOOKUP(D523,Average_Distance_by_kilometres_grouping_for_trip_purpose[#All],MATCH(A523,Average_Distance_by_kilometres_grouping_for_trip_purpose[#Headers],0),0)</f>
        <v>1</v>
      </c>
      <c r="J523" s="89">
        <f t="shared" si="42"/>
        <v>1</v>
      </c>
      <c r="K523" s="89">
        <f t="shared" si="43"/>
        <v>2.0300446609825416E-2</v>
      </c>
      <c r="L523" s="89">
        <v>1</v>
      </c>
      <c r="M523" s="13">
        <f t="shared" si="44"/>
        <v>3048872.1052501346</v>
      </c>
      <c r="N523" s="11">
        <f t="shared" si="40"/>
        <v>5.8896211093404048E-5</v>
      </c>
    </row>
    <row r="524" spans="1:14" x14ac:dyDescent="0.25">
      <c r="A524" s="79" t="s">
        <v>32</v>
      </c>
      <c r="B524" s="89" t="s">
        <v>8</v>
      </c>
      <c r="C524" s="89" t="s">
        <v>57</v>
      </c>
      <c r="D524" s="13" t="s">
        <v>181</v>
      </c>
      <c r="E524" s="35">
        <f>VLOOKUP(B524, Passenger_Kilometre_by_mode_type[#All],MATCH(A524, Passenger_Kilometre_by_mode_type[#Headers],0),0)</f>
        <v>2137899500.4216602</v>
      </c>
      <c r="F524" s="89">
        <f>VLOOKUP(C524, Reason_for_public_transport_journeys_by_percentage[#All],MATCH(A524, Reason_for_public_transport_journeys_by_percentage[#Headers],0),0)/100</f>
        <v>7.0250000000000007E-2</v>
      </c>
      <c r="G524" s="13">
        <f t="shared" si="41"/>
        <v>150187439.90462163</v>
      </c>
      <c r="H524" s="89">
        <f>VLOOKUP(D524,Average_Distance_by_kilometre_grouping_for_mode_type[#All],MATCH(A524,Average_Distance_by_kilometre_grouping_for_mode_type[#Headers],0),0)</f>
        <v>3</v>
      </c>
      <c r="I524" s="89">
        <f>VLOOKUP(D524,Average_Distance_by_kilometres_grouping_for_trip_purpose[#All],MATCH(A524,Average_Distance_by_kilometres_grouping_for_trip_purpose[#Headers],0),0)</f>
        <v>3</v>
      </c>
      <c r="J524" s="89">
        <f t="shared" si="42"/>
        <v>3</v>
      </c>
      <c r="K524" s="89">
        <f t="shared" si="43"/>
        <v>6.0901339829476243E-2</v>
      </c>
      <c r="L524" s="89">
        <v>1</v>
      </c>
      <c r="M524" s="13">
        <f t="shared" si="44"/>
        <v>9146616.3157504033</v>
      </c>
      <c r="N524" s="11">
        <f t="shared" si="40"/>
        <v>1.7668863328021214E-4</v>
      </c>
    </row>
    <row r="525" spans="1:14" x14ac:dyDescent="0.25">
      <c r="A525" s="79" t="s">
        <v>32</v>
      </c>
      <c r="B525" s="89" t="s">
        <v>8</v>
      </c>
      <c r="C525" s="89" t="s">
        <v>57</v>
      </c>
      <c r="D525" s="13" t="s">
        <v>180</v>
      </c>
      <c r="E525" s="35">
        <f>VLOOKUP(B525, Passenger_Kilometre_by_mode_type[#All],MATCH(A525, Passenger_Kilometre_by_mode_type[#Headers],0),0)</f>
        <v>2137899500.4216602</v>
      </c>
      <c r="F525" s="89">
        <f>VLOOKUP(C525, Reason_for_public_transport_journeys_by_percentage[#All],MATCH(A525, Reason_for_public_transport_journeys_by_percentage[#Headers],0),0)/100</f>
        <v>7.0250000000000007E-2</v>
      </c>
      <c r="G525" s="13">
        <f t="shared" si="41"/>
        <v>150187439.90462163</v>
      </c>
      <c r="H525" s="89">
        <f>VLOOKUP(D525,Average_Distance_by_kilometre_grouping_for_mode_type[#All],MATCH(A525,Average_Distance_by_kilometre_grouping_for_mode_type[#Headers],0),0)</f>
        <v>5</v>
      </c>
      <c r="I525" s="89">
        <f>VLOOKUP(D525,Average_Distance_by_kilometres_grouping_for_trip_purpose[#All],MATCH(A525,Average_Distance_by_kilometres_grouping_for_trip_purpose[#Headers],0),0)</f>
        <v>5</v>
      </c>
      <c r="J525" s="89">
        <f t="shared" si="42"/>
        <v>5</v>
      </c>
      <c r="K525" s="89">
        <f t="shared" si="43"/>
        <v>0.10150223304912707</v>
      </c>
      <c r="L525" s="89">
        <v>1</v>
      </c>
      <c r="M525" s="13">
        <f t="shared" si="44"/>
        <v>15244360.526250672</v>
      </c>
      <c r="N525" s="11">
        <f t="shared" si="40"/>
        <v>2.9448105546702022E-4</v>
      </c>
    </row>
    <row r="526" spans="1:14" x14ac:dyDescent="0.25">
      <c r="A526" s="79" t="s">
        <v>32</v>
      </c>
      <c r="B526" s="89" t="s">
        <v>8</v>
      </c>
      <c r="C526" s="89" t="s">
        <v>57</v>
      </c>
      <c r="D526" s="13" t="s">
        <v>182</v>
      </c>
      <c r="E526" s="35">
        <f>VLOOKUP(B526, Passenger_Kilometre_by_mode_type[#All],MATCH(A526, Passenger_Kilometre_by_mode_type[#Headers],0),0)</f>
        <v>2137899500.4216602</v>
      </c>
      <c r="F526" s="89">
        <f>VLOOKUP(C526, Reason_for_public_transport_journeys_by_percentage[#All],MATCH(A526, Reason_for_public_transport_journeys_by_percentage[#Headers],0),0)/100</f>
        <v>7.0250000000000007E-2</v>
      </c>
      <c r="G526" s="13">
        <f t="shared" si="41"/>
        <v>150187439.90462163</v>
      </c>
      <c r="H526" s="89">
        <f>VLOOKUP(D526,Average_Distance_by_kilometre_grouping_for_mode_type[#All],MATCH(A526,Average_Distance_by_kilometre_grouping_for_mode_type[#Headers],0),0)</f>
        <v>7</v>
      </c>
      <c r="I526" s="89">
        <f>VLOOKUP(D526,Average_Distance_by_kilometres_grouping_for_trip_purpose[#All],MATCH(A526,Average_Distance_by_kilometres_grouping_for_trip_purpose[#Headers],0),0)</f>
        <v>7</v>
      </c>
      <c r="J526" s="89">
        <f t="shared" si="42"/>
        <v>7</v>
      </c>
      <c r="K526" s="89">
        <f t="shared" si="43"/>
        <v>0.14210312626877789</v>
      </c>
      <c r="L526" s="89">
        <v>1</v>
      </c>
      <c r="M526" s="13">
        <f t="shared" si="44"/>
        <v>21342104.736750938</v>
      </c>
      <c r="N526" s="11">
        <f t="shared" si="40"/>
        <v>4.1227347765382828E-4</v>
      </c>
    </row>
    <row r="527" spans="1:14" x14ac:dyDescent="0.25">
      <c r="A527" s="79" t="s">
        <v>32</v>
      </c>
      <c r="B527" s="89" t="s">
        <v>8</v>
      </c>
      <c r="C527" s="89" t="s">
        <v>57</v>
      </c>
      <c r="D527" s="13" t="s">
        <v>1</v>
      </c>
      <c r="E527" s="35">
        <f>VLOOKUP(B527, Passenger_Kilometre_by_mode_type[#All],MATCH(A527, Passenger_Kilometre_by_mode_type[#Headers],0),0)</f>
        <v>2137899500.4216602</v>
      </c>
      <c r="F527" s="89">
        <f>VLOOKUP(C527, Reason_for_public_transport_journeys_by_percentage[#All],MATCH(A527, Reason_for_public_transport_journeys_by_percentage[#Headers],0),0)/100</f>
        <v>7.0250000000000007E-2</v>
      </c>
      <c r="G527" s="13">
        <f t="shared" si="41"/>
        <v>150187439.90462163</v>
      </c>
      <c r="H527" s="89">
        <f>VLOOKUP(D527,Average_Distance_by_kilometre_grouping_for_mode_type[#All],MATCH(A527,Average_Distance_by_kilometre_grouping_for_mode_type[#Headers],0),0)</f>
        <v>31.75</v>
      </c>
      <c r="I527" s="89">
        <f>VLOOKUP(D527,Average_Distance_by_kilometres_grouping_for_trip_purpose[#All],MATCH(A527,Average_Distance_by_kilometres_grouping_for_trip_purpose[#Headers],0),0)</f>
        <v>34.770000000000003</v>
      </c>
      <c r="J527" s="89">
        <f t="shared" si="42"/>
        <v>33.260000000000005</v>
      </c>
      <c r="K527" s="89">
        <f t="shared" si="43"/>
        <v>0.67519285424279341</v>
      </c>
      <c r="L527" s="89">
        <v>1</v>
      </c>
      <c r="M527" s="13">
        <f t="shared" si="44"/>
        <v>101405486.22061948</v>
      </c>
      <c r="N527" s="11">
        <f t="shared" si="40"/>
        <v>1.958887980966619E-3</v>
      </c>
    </row>
    <row r="528" spans="1:14" x14ac:dyDescent="0.25">
      <c r="A528" s="79" t="s">
        <v>32</v>
      </c>
      <c r="B528" s="89" t="s">
        <v>8</v>
      </c>
      <c r="C528" s="89" t="s">
        <v>93</v>
      </c>
      <c r="D528" s="13" t="s">
        <v>12</v>
      </c>
      <c r="E528" s="35">
        <f>VLOOKUP(B528, Passenger_Kilometre_by_mode_type[#All],MATCH(A528, Passenger_Kilometre_by_mode_type[#Headers],0),0)</f>
        <v>2137899500.4216602</v>
      </c>
      <c r="F528" s="89">
        <f>VLOOKUP(C528, Reason_for_public_transport_journeys_by_percentage[#All],MATCH(A528, Reason_for_public_transport_journeys_by_percentage[#Headers],0),0)/100</f>
        <v>9.6374999999999988E-2</v>
      </c>
      <c r="G528" s="13">
        <f t="shared" si="41"/>
        <v>206040064.35313746</v>
      </c>
      <c r="H528" s="89">
        <f>VLOOKUP(D528,Average_Distance_by_kilometre_grouping_for_mode_type[#All],MATCH(A528,Average_Distance_by_kilometre_grouping_for_mode_type[#Headers],0),0)</f>
        <v>1</v>
      </c>
      <c r="I528" s="89">
        <f>VLOOKUP(D528,Average_Distance_by_kilometres_grouping_for_trip_purpose[#All],MATCH(A528,Average_Distance_by_kilometres_grouping_for_trip_purpose[#Headers],0),0)</f>
        <v>1</v>
      </c>
      <c r="J528" s="89">
        <f t="shared" si="42"/>
        <v>1</v>
      </c>
      <c r="K528" s="89">
        <f t="shared" si="43"/>
        <v>2.0300446609825416E-2</v>
      </c>
      <c r="L528" s="89">
        <v>1</v>
      </c>
      <c r="M528" s="13">
        <f t="shared" si="44"/>
        <v>4182705.3258858598</v>
      </c>
      <c r="N528" s="11">
        <f t="shared" si="40"/>
        <v>8.079889457831764E-5</v>
      </c>
    </row>
    <row r="529" spans="1:14" x14ac:dyDescent="0.25">
      <c r="A529" s="79" t="s">
        <v>32</v>
      </c>
      <c r="B529" s="89" t="s">
        <v>8</v>
      </c>
      <c r="C529" s="89" t="s">
        <v>93</v>
      </c>
      <c r="D529" s="13" t="s">
        <v>181</v>
      </c>
      <c r="E529" s="35">
        <f>VLOOKUP(B529, Passenger_Kilometre_by_mode_type[#All],MATCH(A529, Passenger_Kilometre_by_mode_type[#Headers],0),0)</f>
        <v>2137899500.4216602</v>
      </c>
      <c r="F529" s="89">
        <f>VLOOKUP(C529, Reason_for_public_transport_journeys_by_percentage[#All],MATCH(A529, Reason_for_public_transport_journeys_by_percentage[#Headers],0),0)/100</f>
        <v>9.6374999999999988E-2</v>
      </c>
      <c r="G529" s="13">
        <f t="shared" si="41"/>
        <v>206040064.35313746</v>
      </c>
      <c r="H529" s="89">
        <f>VLOOKUP(D529,Average_Distance_by_kilometre_grouping_for_mode_type[#All],MATCH(A529,Average_Distance_by_kilometre_grouping_for_mode_type[#Headers],0),0)</f>
        <v>3</v>
      </c>
      <c r="I529" s="89">
        <f>VLOOKUP(D529,Average_Distance_by_kilometres_grouping_for_trip_purpose[#All],MATCH(A529,Average_Distance_by_kilometres_grouping_for_trip_purpose[#Headers],0),0)</f>
        <v>3</v>
      </c>
      <c r="J529" s="89">
        <f t="shared" si="42"/>
        <v>3</v>
      </c>
      <c r="K529" s="89">
        <f t="shared" si="43"/>
        <v>6.0901339829476243E-2</v>
      </c>
      <c r="L529" s="89">
        <v>1</v>
      </c>
      <c r="M529" s="13">
        <f t="shared" si="44"/>
        <v>12548115.977657579</v>
      </c>
      <c r="N529" s="11">
        <f t="shared" si="40"/>
        <v>2.4239668373495288E-4</v>
      </c>
    </row>
    <row r="530" spans="1:14" x14ac:dyDescent="0.25">
      <c r="A530" s="79" t="s">
        <v>32</v>
      </c>
      <c r="B530" s="89" t="s">
        <v>8</v>
      </c>
      <c r="C530" s="89" t="s">
        <v>93</v>
      </c>
      <c r="D530" s="13" t="s">
        <v>180</v>
      </c>
      <c r="E530" s="35">
        <f>VLOOKUP(B530, Passenger_Kilometre_by_mode_type[#All],MATCH(A530, Passenger_Kilometre_by_mode_type[#Headers],0),0)</f>
        <v>2137899500.4216602</v>
      </c>
      <c r="F530" s="89">
        <f>VLOOKUP(C530, Reason_for_public_transport_journeys_by_percentage[#All],MATCH(A530, Reason_for_public_transport_journeys_by_percentage[#Headers],0),0)/100</f>
        <v>9.6374999999999988E-2</v>
      </c>
      <c r="G530" s="13">
        <f t="shared" si="41"/>
        <v>206040064.35313746</v>
      </c>
      <c r="H530" s="89">
        <f>VLOOKUP(D530,Average_Distance_by_kilometre_grouping_for_mode_type[#All],MATCH(A530,Average_Distance_by_kilometre_grouping_for_mode_type[#Headers],0),0)</f>
        <v>5</v>
      </c>
      <c r="I530" s="89">
        <f>VLOOKUP(D530,Average_Distance_by_kilometres_grouping_for_trip_purpose[#All],MATCH(A530,Average_Distance_by_kilometres_grouping_for_trip_purpose[#Headers],0),0)</f>
        <v>5</v>
      </c>
      <c r="J530" s="89">
        <f t="shared" si="42"/>
        <v>5</v>
      </c>
      <c r="K530" s="89">
        <f t="shared" si="43"/>
        <v>0.10150223304912707</v>
      </c>
      <c r="L530" s="89">
        <v>1</v>
      </c>
      <c r="M530" s="13">
        <f t="shared" si="44"/>
        <v>20913526.629429299</v>
      </c>
      <c r="N530" s="11">
        <f t="shared" si="40"/>
        <v>4.0399447289158816E-4</v>
      </c>
    </row>
    <row r="531" spans="1:14" x14ac:dyDescent="0.25">
      <c r="A531" s="79" t="s">
        <v>32</v>
      </c>
      <c r="B531" s="89" t="s">
        <v>8</v>
      </c>
      <c r="C531" s="89" t="s">
        <v>93</v>
      </c>
      <c r="D531" s="13" t="s">
        <v>182</v>
      </c>
      <c r="E531" s="35">
        <f>VLOOKUP(B531, Passenger_Kilometre_by_mode_type[#All],MATCH(A531, Passenger_Kilometre_by_mode_type[#Headers],0),0)</f>
        <v>2137899500.4216602</v>
      </c>
      <c r="F531" s="89">
        <f>VLOOKUP(C531, Reason_for_public_transport_journeys_by_percentage[#All],MATCH(A531, Reason_for_public_transport_journeys_by_percentage[#Headers],0),0)/100</f>
        <v>9.6374999999999988E-2</v>
      </c>
      <c r="G531" s="13">
        <f t="shared" si="41"/>
        <v>206040064.35313746</v>
      </c>
      <c r="H531" s="89">
        <f>VLOOKUP(D531,Average_Distance_by_kilometre_grouping_for_mode_type[#All],MATCH(A531,Average_Distance_by_kilometre_grouping_for_mode_type[#Headers],0),0)</f>
        <v>7</v>
      </c>
      <c r="I531" s="89">
        <f>VLOOKUP(D531,Average_Distance_by_kilometres_grouping_for_trip_purpose[#All],MATCH(A531,Average_Distance_by_kilometres_grouping_for_trip_purpose[#Headers],0),0)</f>
        <v>7</v>
      </c>
      <c r="J531" s="89">
        <f t="shared" si="42"/>
        <v>7</v>
      </c>
      <c r="K531" s="89">
        <f t="shared" si="43"/>
        <v>0.14210312626877789</v>
      </c>
      <c r="L531" s="89">
        <v>1</v>
      </c>
      <c r="M531" s="13">
        <f t="shared" si="44"/>
        <v>29278937.281201012</v>
      </c>
      <c r="N531" s="11">
        <f t="shared" si="40"/>
        <v>5.6559226204822336E-4</v>
      </c>
    </row>
    <row r="532" spans="1:14" x14ac:dyDescent="0.25">
      <c r="A532" s="79" t="s">
        <v>32</v>
      </c>
      <c r="B532" s="89" t="s">
        <v>8</v>
      </c>
      <c r="C532" s="89" t="s">
        <v>93</v>
      </c>
      <c r="D532" s="13" t="s">
        <v>1</v>
      </c>
      <c r="E532" s="35">
        <f>VLOOKUP(B532, Passenger_Kilometre_by_mode_type[#All],MATCH(A532, Passenger_Kilometre_by_mode_type[#Headers],0),0)</f>
        <v>2137899500.4216602</v>
      </c>
      <c r="F532" s="89">
        <f>VLOOKUP(C532, Reason_for_public_transport_journeys_by_percentage[#All],MATCH(A532, Reason_for_public_transport_journeys_by_percentage[#Headers],0),0)/100</f>
        <v>9.6374999999999988E-2</v>
      </c>
      <c r="G532" s="13">
        <f t="shared" si="41"/>
        <v>206040064.35313746</v>
      </c>
      <c r="H532" s="89">
        <f>VLOOKUP(D532,Average_Distance_by_kilometre_grouping_for_mode_type[#All],MATCH(A532,Average_Distance_by_kilometre_grouping_for_mode_type[#Headers],0),0)</f>
        <v>31.75</v>
      </c>
      <c r="I532" s="89">
        <f>VLOOKUP(D532,Average_Distance_by_kilometres_grouping_for_trip_purpose[#All],MATCH(A532,Average_Distance_by_kilometres_grouping_for_trip_purpose[#Headers],0),0)</f>
        <v>34.770000000000003</v>
      </c>
      <c r="J532" s="89">
        <f t="shared" si="42"/>
        <v>33.260000000000005</v>
      </c>
      <c r="K532" s="89">
        <f t="shared" si="43"/>
        <v>0.67519285424279341</v>
      </c>
      <c r="L532" s="89">
        <v>1</v>
      </c>
      <c r="M532" s="13">
        <f t="shared" si="44"/>
        <v>139116779.13896373</v>
      </c>
      <c r="N532" s="11">
        <f t="shared" si="40"/>
        <v>2.6873712336748451E-3</v>
      </c>
    </row>
    <row r="533" spans="1:14" x14ac:dyDescent="0.25">
      <c r="A533" s="79" t="s">
        <v>32</v>
      </c>
      <c r="B533" s="89" t="s">
        <v>8</v>
      </c>
      <c r="C533" s="89" t="s">
        <v>243</v>
      </c>
      <c r="D533" s="13" t="s">
        <v>12</v>
      </c>
      <c r="E533" s="35">
        <f>VLOOKUP(B533, Passenger_Kilometre_by_mode_type[#All],MATCH(A533, Passenger_Kilometre_by_mode_type[#Headers],0),0)</f>
        <v>2137899500.4216602</v>
      </c>
      <c r="F533" s="89">
        <f>VLOOKUP(C533, Reason_for_public_transport_journeys_by_percentage[#All],MATCH(A533, Reason_for_public_transport_journeys_by_percentage[#Headers],0),0)/100</f>
        <v>2.2499999999999999E-2</v>
      </c>
      <c r="G533" s="13">
        <f t="shared" si="41"/>
        <v>48102738.759487353</v>
      </c>
      <c r="H533" s="89">
        <f>VLOOKUP(D533,Average_Distance_by_kilometre_grouping_for_mode_type[#All],MATCH(A533,Average_Distance_by_kilometre_grouping_for_mode_type[#Headers],0),0)</f>
        <v>1</v>
      </c>
      <c r="I533" s="89">
        <f>VLOOKUP(D533,Average_Distance_by_kilometres_grouping_for_trip_purpose[#All],MATCH(A533,Average_Distance_by_kilometres_grouping_for_trip_purpose[#Headers],0),0)</f>
        <v>1</v>
      </c>
      <c r="J533" s="89">
        <f t="shared" si="42"/>
        <v>1</v>
      </c>
      <c r="K533" s="89">
        <f t="shared" si="43"/>
        <v>2.0300446609825416E-2</v>
      </c>
      <c r="L533" s="89">
        <v>1</v>
      </c>
      <c r="M533" s="13">
        <f t="shared" si="44"/>
        <v>976507.07997335261</v>
      </c>
      <c r="N533" s="11">
        <f t="shared" si="40"/>
        <v>1.8863555154471044E-5</v>
      </c>
    </row>
    <row r="534" spans="1:14" x14ac:dyDescent="0.25">
      <c r="A534" s="79" t="s">
        <v>32</v>
      </c>
      <c r="B534" s="89" t="s">
        <v>8</v>
      </c>
      <c r="C534" s="89" t="s">
        <v>243</v>
      </c>
      <c r="D534" s="13" t="s">
        <v>181</v>
      </c>
      <c r="E534" s="35">
        <f>VLOOKUP(B534, Passenger_Kilometre_by_mode_type[#All],MATCH(A534, Passenger_Kilometre_by_mode_type[#Headers],0),0)</f>
        <v>2137899500.4216602</v>
      </c>
      <c r="F534" s="89">
        <f>VLOOKUP(C534, Reason_for_public_transport_journeys_by_percentage[#All],MATCH(A534, Reason_for_public_transport_journeys_by_percentage[#Headers],0),0)/100</f>
        <v>2.2499999999999999E-2</v>
      </c>
      <c r="G534" s="13">
        <f t="shared" si="41"/>
        <v>48102738.759487353</v>
      </c>
      <c r="H534" s="89">
        <f>VLOOKUP(D534,Average_Distance_by_kilometre_grouping_for_mode_type[#All],MATCH(A534,Average_Distance_by_kilometre_grouping_for_mode_type[#Headers],0),0)</f>
        <v>3</v>
      </c>
      <c r="I534" s="89">
        <f>VLOOKUP(D534,Average_Distance_by_kilometres_grouping_for_trip_purpose[#All],MATCH(A534,Average_Distance_by_kilometres_grouping_for_trip_purpose[#Headers],0),0)</f>
        <v>3</v>
      </c>
      <c r="J534" s="89">
        <f t="shared" si="42"/>
        <v>3</v>
      </c>
      <c r="K534" s="89">
        <f t="shared" si="43"/>
        <v>6.0901339829476243E-2</v>
      </c>
      <c r="L534" s="89">
        <v>1</v>
      </c>
      <c r="M534" s="13">
        <f t="shared" si="44"/>
        <v>2929521.2399200578</v>
      </c>
      <c r="N534" s="11">
        <f t="shared" si="40"/>
        <v>5.6590665463413139E-5</v>
      </c>
    </row>
    <row r="535" spans="1:14" x14ac:dyDescent="0.25">
      <c r="A535" s="79" t="s">
        <v>32</v>
      </c>
      <c r="B535" s="89" t="s">
        <v>8</v>
      </c>
      <c r="C535" s="89" t="s">
        <v>243</v>
      </c>
      <c r="D535" s="13" t="s">
        <v>180</v>
      </c>
      <c r="E535" s="35">
        <f>VLOOKUP(B535, Passenger_Kilometre_by_mode_type[#All],MATCH(A535, Passenger_Kilometre_by_mode_type[#Headers],0),0)</f>
        <v>2137899500.4216602</v>
      </c>
      <c r="F535" s="89">
        <f>VLOOKUP(C535, Reason_for_public_transport_journeys_by_percentage[#All],MATCH(A535, Reason_for_public_transport_journeys_by_percentage[#Headers],0),0)/100</f>
        <v>2.2499999999999999E-2</v>
      </c>
      <c r="G535" s="13">
        <f t="shared" si="41"/>
        <v>48102738.759487353</v>
      </c>
      <c r="H535" s="89">
        <f>VLOOKUP(D535,Average_Distance_by_kilometre_grouping_for_mode_type[#All],MATCH(A535,Average_Distance_by_kilometre_grouping_for_mode_type[#Headers],0),0)</f>
        <v>5</v>
      </c>
      <c r="I535" s="89">
        <f>VLOOKUP(D535,Average_Distance_by_kilometres_grouping_for_trip_purpose[#All],MATCH(A535,Average_Distance_by_kilometres_grouping_for_trip_purpose[#Headers],0),0)</f>
        <v>5</v>
      </c>
      <c r="J535" s="89">
        <f t="shared" si="42"/>
        <v>5</v>
      </c>
      <c r="K535" s="89">
        <f t="shared" si="43"/>
        <v>0.10150223304912707</v>
      </c>
      <c r="L535" s="89">
        <v>1</v>
      </c>
      <c r="M535" s="13">
        <f t="shared" si="44"/>
        <v>4882535.3998667635</v>
      </c>
      <c r="N535" s="11">
        <f t="shared" si="40"/>
        <v>9.4317775772355235E-5</v>
      </c>
    </row>
    <row r="536" spans="1:14" x14ac:dyDescent="0.25">
      <c r="A536" s="79" t="s">
        <v>32</v>
      </c>
      <c r="B536" s="89" t="s">
        <v>8</v>
      </c>
      <c r="C536" s="89" t="s">
        <v>243</v>
      </c>
      <c r="D536" s="13" t="s">
        <v>182</v>
      </c>
      <c r="E536" s="35">
        <f>VLOOKUP(B536, Passenger_Kilometre_by_mode_type[#All],MATCH(A536, Passenger_Kilometre_by_mode_type[#Headers],0),0)</f>
        <v>2137899500.4216602</v>
      </c>
      <c r="F536" s="89">
        <f>VLOOKUP(C536, Reason_for_public_transport_journeys_by_percentage[#All],MATCH(A536, Reason_for_public_transport_journeys_by_percentage[#Headers],0),0)/100</f>
        <v>2.2499999999999999E-2</v>
      </c>
      <c r="G536" s="13">
        <f t="shared" si="41"/>
        <v>48102738.759487353</v>
      </c>
      <c r="H536" s="89">
        <f>VLOOKUP(D536,Average_Distance_by_kilometre_grouping_for_mode_type[#All],MATCH(A536,Average_Distance_by_kilometre_grouping_for_mode_type[#Headers],0),0)</f>
        <v>7</v>
      </c>
      <c r="I536" s="89">
        <f>VLOOKUP(D536,Average_Distance_by_kilometres_grouping_for_trip_purpose[#All],MATCH(A536,Average_Distance_by_kilometres_grouping_for_trip_purpose[#Headers],0),0)</f>
        <v>7</v>
      </c>
      <c r="J536" s="89">
        <f t="shared" si="42"/>
        <v>7</v>
      </c>
      <c r="K536" s="89">
        <f t="shared" si="43"/>
        <v>0.14210312626877789</v>
      </c>
      <c r="L536" s="89">
        <v>1</v>
      </c>
      <c r="M536" s="13">
        <f t="shared" si="44"/>
        <v>6835549.5598134678</v>
      </c>
      <c r="N536" s="11">
        <f t="shared" si="40"/>
        <v>1.3204488608129731E-4</v>
      </c>
    </row>
    <row r="537" spans="1:14" x14ac:dyDescent="0.25">
      <c r="A537" s="79" t="s">
        <v>32</v>
      </c>
      <c r="B537" s="89" t="s">
        <v>8</v>
      </c>
      <c r="C537" s="89" t="s">
        <v>243</v>
      </c>
      <c r="D537" s="13" t="s">
        <v>1</v>
      </c>
      <c r="E537" s="35">
        <f>VLOOKUP(B537, Passenger_Kilometre_by_mode_type[#All],MATCH(A537, Passenger_Kilometre_by_mode_type[#Headers],0),0)</f>
        <v>2137899500.4216602</v>
      </c>
      <c r="F537" s="89">
        <f>VLOOKUP(C537, Reason_for_public_transport_journeys_by_percentage[#All],MATCH(A537, Reason_for_public_transport_journeys_by_percentage[#Headers],0),0)/100</f>
        <v>2.2499999999999999E-2</v>
      </c>
      <c r="G537" s="13">
        <f t="shared" si="41"/>
        <v>48102738.759487353</v>
      </c>
      <c r="H537" s="89">
        <f>VLOOKUP(D537,Average_Distance_by_kilometre_grouping_for_mode_type[#All],MATCH(A537,Average_Distance_by_kilometre_grouping_for_mode_type[#Headers],0),0)</f>
        <v>31.75</v>
      </c>
      <c r="I537" s="89">
        <f>VLOOKUP(D537,Average_Distance_by_kilometres_grouping_for_trip_purpose[#All],MATCH(A537,Average_Distance_by_kilometres_grouping_for_trip_purpose[#Headers],0),0)</f>
        <v>34.770000000000003</v>
      </c>
      <c r="J537" s="89">
        <f t="shared" si="42"/>
        <v>33.260000000000005</v>
      </c>
      <c r="K537" s="89">
        <f t="shared" si="43"/>
        <v>0.67519285424279341</v>
      </c>
      <c r="L537" s="89">
        <v>1</v>
      </c>
      <c r="M537" s="13">
        <f t="shared" si="44"/>
        <v>32478625.479913712</v>
      </c>
      <c r="N537" s="11">
        <f t="shared" si="40"/>
        <v>6.2740184443770702E-4</v>
      </c>
    </row>
    <row r="538" spans="1:14" x14ac:dyDescent="0.25">
      <c r="A538" s="79" t="s">
        <v>32</v>
      </c>
      <c r="B538" s="89" t="s">
        <v>8</v>
      </c>
      <c r="C538" s="89" t="s">
        <v>50</v>
      </c>
      <c r="D538" s="13" t="s">
        <v>12</v>
      </c>
      <c r="E538" s="35">
        <f>VLOOKUP(B538, Passenger_Kilometre_by_mode_type[#All],MATCH(A538, Passenger_Kilometre_by_mode_type[#Headers],0),0)</f>
        <v>2137899500.4216602</v>
      </c>
      <c r="F538" s="89">
        <f>VLOOKUP(C538, Reason_for_public_transport_journeys_by_percentage[#All],MATCH(A538, Reason_for_public_transport_journeys_by_percentage[#Headers],0),0)/100</f>
        <v>9.1250000000000012E-2</v>
      </c>
      <c r="G538" s="13">
        <f t="shared" si="41"/>
        <v>195083329.41347653</v>
      </c>
      <c r="H538" s="89">
        <f>VLOOKUP(D538,Average_Distance_by_kilometre_grouping_for_mode_type[#All],MATCH(A538,Average_Distance_by_kilometre_grouping_for_mode_type[#Headers],0),0)</f>
        <v>1</v>
      </c>
      <c r="I538" s="89">
        <f>VLOOKUP(D538,Average_Distance_by_kilometres_grouping_for_trip_purpose[#All],MATCH(A538,Average_Distance_by_kilometres_grouping_for_trip_purpose[#Headers],0),0)</f>
        <v>1</v>
      </c>
      <c r="J538" s="89">
        <f t="shared" si="42"/>
        <v>1</v>
      </c>
      <c r="K538" s="89">
        <f t="shared" si="43"/>
        <v>2.0300446609825416E-2</v>
      </c>
      <c r="L538" s="89">
        <v>1</v>
      </c>
      <c r="M538" s="13">
        <f t="shared" si="44"/>
        <v>3960278.7132252646</v>
      </c>
      <c r="N538" s="11">
        <f t="shared" si="40"/>
        <v>7.6502195904243708E-5</v>
      </c>
    </row>
    <row r="539" spans="1:14" x14ac:dyDescent="0.25">
      <c r="A539" s="79" t="s">
        <v>32</v>
      </c>
      <c r="B539" s="89" t="s">
        <v>8</v>
      </c>
      <c r="C539" s="89" t="s">
        <v>50</v>
      </c>
      <c r="D539" s="13" t="s">
        <v>181</v>
      </c>
      <c r="E539" s="35">
        <f>VLOOKUP(B539, Passenger_Kilometre_by_mode_type[#All],MATCH(A539, Passenger_Kilometre_by_mode_type[#Headers],0),0)</f>
        <v>2137899500.4216602</v>
      </c>
      <c r="F539" s="89">
        <f>VLOOKUP(C539, Reason_for_public_transport_journeys_by_percentage[#All],MATCH(A539, Reason_for_public_transport_journeys_by_percentage[#Headers],0),0)/100</f>
        <v>9.1250000000000012E-2</v>
      </c>
      <c r="G539" s="13">
        <f t="shared" si="41"/>
        <v>195083329.41347653</v>
      </c>
      <c r="H539" s="89">
        <f>VLOOKUP(D539,Average_Distance_by_kilometre_grouping_for_mode_type[#All],MATCH(A539,Average_Distance_by_kilometre_grouping_for_mode_type[#Headers],0),0)</f>
        <v>3</v>
      </c>
      <c r="I539" s="89">
        <f>VLOOKUP(D539,Average_Distance_by_kilometres_grouping_for_trip_purpose[#All],MATCH(A539,Average_Distance_by_kilometres_grouping_for_trip_purpose[#Headers],0),0)</f>
        <v>3</v>
      </c>
      <c r="J539" s="89">
        <f t="shared" si="42"/>
        <v>3</v>
      </c>
      <c r="K539" s="89">
        <f t="shared" si="43"/>
        <v>6.0901339829476243E-2</v>
      </c>
      <c r="L539" s="89">
        <v>1</v>
      </c>
      <c r="M539" s="13">
        <f t="shared" si="44"/>
        <v>11880836.139675792</v>
      </c>
      <c r="N539" s="11">
        <f t="shared" si="40"/>
        <v>2.2950658771273108E-4</v>
      </c>
    </row>
    <row r="540" spans="1:14" x14ac:dyDescent="0.25">
      <c r="A540" s="79" t="s">
        <v>32</v>
      </c>
      <c r="B540" s="89" t="s">
        <v>8</v>
      </c>
      <c r="C540" s="89" t="s">
        <v>50</v>
      </c>
      <c r="D540" s="13" t="s">
        <v>180</v>
      </c>
      <c r="E540" s="35">
        <f>VLOOKUP(B540, Passenger_Kilometre_by_mode_type[#All],MATCH(A540, Passenger_Kilometre_by_mode_type[#Headers],0),0)</f>
        <v>2137899500.4216602</v>
      </c>
      <c r="F540" s="89">
        <f>VLOOKUP(C540, Reason_for_public_transport_journeys_by_percentage[#All],MATCH(A540, Reason_for_public_transport_journeys_by_percentage[#Headers],0),0)/100</f>
        <v>9.1250000000000012E-2</v>
      </c>
      <c r="G540" s="13">
        <f t="shared" si="41"/>
        <v>195083329.41347653</v>
      </c>
      <c r="H540" s="89">
        <f>VLOOKUP(D540,Average_Distance_by_kilometre_grouping_for_mode_type[#All],MATCH(A540,Average_Distance_by_kilometre_grouping_for_mode_type[#Headers],0),0)</f>
        <v>5</v>
      </c>
      <c r="I540" s="89">
        <f>VLOOKUP(D540,Average_Distance_by_kilometres_grouping_for_trip_purpose[#All],MATCH(A540,Average_Distance_by_kilometres_grouping_for_trip_purpose[#Headers],0),0)</f>
        <v>5</v>
      </c>
      <c r="J540" s="89">
        <f t="shared" si="42"/>
        <v>5</v>
      </c>
      <c r="K540" s="89">
        <f t="shared" si="43"/>
        <v>0.10150223304912707</v>
      </c>
      <c r="L540" s="89">
        <v>1</v>
      </c>
      <c r="M540" s="13">
        <f t="shared" si="44"/>
        <v>19801393.566126321</v>
      </c>
      <c r="N540" s="11">
        <f t="shared" si="40"/>
        <v>3.825109795212185E-4</v>
      </c>
    </row>
    <row r="541" spans="1:14" x14ac:dyDescent="0.25">
      <c r="A541" s="79" t="s">
        <v>32</v>
      </c>
      <c r="B541" s="89" t="s">
        <v>8</v>
      </c>
      <c r="C541" s="89" t="s">
        <v>50</v>
      </c>
      <c r="D541" s="13" t="s">
        <v>182</v>
      </c>
      <c r="E541" s="35">
        <f>VLOOKUP(B541, Passenger_Kilometre_by_mode_type[#All],MATCH(A541, Passenger_Kilometre_by_mode_type[#Headers],0),0)</f>
        <v>2137899500.4216602</v>
      </c>
      <c r="F541" s="89">
        <f>VLOOKUP(C541, Reason_for_public_transport_journeys_by_percentage[#All],MATCH(A541, Reason_for_public_transport_journeys_by_percentage[#Headers],0),0)/100</f>
        <v>9.1250000000000012E-2</v>
      </c>
      <c r="G541" s="13">
        <f t="shared" si="41"/>
        <v>195083329.41347653</v>
      </c>
      <c r="H541" s="89">
        <f>VLOOKUP(D541,Average_Distance_by_kilometre_grouping_for_mode_type[#All],MATCH(A541,Average_Distance_by_kilometre_grouping_for_mode_type[#Headers],0),0)</f>
        <v>7</v>
      </c>
      <c r="I541" s="89">
        <f>VLOOKUP(D541,Average_Distance_by_kilometres_grouping_for_trip_purpose[#All],MATCH(A541,Average_Distance_by_kilometres_grouping_for_trip_purpose[#Headers],0),0)</f>
        <v>7</v>
      </c>
      <c r="J541" s="89">
        <f t="shared" si="42"/>
        <v>7</v>
      </c>
      <c r="K541" s="89">
        <f t="shared" si="43"/>
        <v>0.14210312626877789</v>
      </c>
      <c r="L541" s="89">
        <v>1</v>
      </c>
      <c r="M541" s="13">
        <f t="shared" si="44"/>
        <v>27721950.992576845</v>
      </c>
      <c r="N541" s="11">
        <f t="shared" si="40"/>
        <v>5.3551537132970578E-4</v>
      </c>
    </row>
    <row r="542" spans="1:14" x14ac:dyDescent="0.25">
      <c r="A542" s="79" t="s">
        <v>32</v>
      </c>
      <c r="B542" s="89" t="s">
        <v>8</v>
      </c>
      <c r="C542" s="89" t="s">
        <v>50</v>
      </c>
      <c r="D542" s="13" t="s">
        <v>1</v>
      </c>
      <c r="E542" s="35">
        <f>VLOOKUP(B542, Passenger_Kilometre_by_mode_type[#All],MATCH(A542, Passenger_Kilometre_by_mode_type[#Headers],0),0)</f>
        <v>2137899500.4216602</v>
      </c>
      <c r="F542" s="89">
        <f>VLOOKUP(C542, Reason_for_public_transport_journeys_by_percentage[#All],MATCH(A542, Reason_for_public_transport_journeys_by_percentage[#Headers],0),0)/100</f>
        <v>9.1250000000000012E-2</v>
      </c>
      <c r="G542" s="13">
        <f t="shared" si="41"/>
        <v>195083329.41347653</v>
      </c>
      <c r="H542" s="89">
        <f>VLOOKUP(D542,Average_Distance_by_kilometre_grouping_for_mode_type[#All],MATCH(A542,Average_Distance_by_kilometre_grouping_for_mode_type[#Headers],0),0)</f>
        <v>31.75</v>
      </c>
      <c r="I542" s="89">
        <f>VLOOKUP(D542,Average_Distance_by_kilometres_grouping_for_trip_purpose[#All],MATCH(A542,Average_Distance_by_kilometres_grouping_for_trip_purpose[#Headers],0),0)</f>
        <v>34.770000000000003</v>
      </c>
      <c r="J542" s="89">
        <f t="shared" si="42"/>
        <v>33.260000000000005</v>
      </c>
      <c r="K542" s="89">
        <f t="shared" si="43"/>
        <v>0.67519285424279341</v>
      </c>
      <c r="L542" s="89">
        <v>1</v>
      </c>
      <c r="M542" s="13">
        <f t="shared" si="44"/>
        <v>131718870.0018723</v>
      </c>
      <c r="N542" s="11">
        <f t="shared" si="40"/>
        <v>2.5444630357751457E-3</v>
      </c>
    </row>
    <row r="543" spans="1:14" x14ac:dyDescent="0.25">
      <c r="A543" s="79" t="s">
        <v>32</v>
      </c>
      <c r="B543" s="89" t="s">
        <v>9</v>
      </c>
      <c r="C543" s="89" t="s">
        <v>42</v>
      </c>
      <c r="D543" s="13" t="s">
        <v>12</v>
      </c>
      <c r="E543" s="35">
        <f>VLOOKUP(B543, Passenger_Kilometre_by_mode_type[#All],MATCH(A543, Passenger_Kilometre_by_mode_type[#Headers],0),0)</f>
        <v>168685623.35438263</v>
      </c>
      <c r="F543" s="89">
        <f>VLOOKUP(C543, Reason_for_walking_cycling_journeys_by_percentage[#All],MATCH(A543, Reason_for_walking_cycling_journeys_by_percentage[#Headers],0),0)/100</f>
        <v>0.17649999999999999</v>
      </c>
      <c r="G543" s="13">
        <f t="shared" si="41"/>
        <v>29773012.522048533</v>
      </c>
      <c r="H543" s="89">
        <f>VLOOKUP(D543,Average_Distance_by_kilometre_grouping_for_mode_type[#All],MATCH(A543,Average_Distance_by_kilometre_grouping_for_mode_type[#Headers],0),0)</f>
        <v>1</v>
      </c>
      <c r="I543" s="89">
        <f>VLOOKUP(D543,Average_Distance_by_kilometres_grouping_for_trip_purpose[#All],MATCH(A543,Average_Distance_by_kilometres_grouping_for_trip_purpose[#Headers],0),0)</f>
        <v>1</v>
      </c>
      <c r="J543" s="89">
        <f t="shared" si="42"/>
        <v>1</v>
      </c>
      <c r="K543" s="89">
        <f t="shared" si="43"/>
        <v>2.0300446609825416E-2</v>
      </c>
      <c r="L543" s="89">
        <v>1</v>
      </c>
      <c r="M543" s="13">
        <f t="shared" si="44"/>
        <v>604405.45111750974</v>
      </c>
      <c r="N543" s="11">
        <f t="shared" si="40"/>
        <v>1.1675527803781228E-5</v>
      </c>
    </row>
    <row r="544" spans="1:14" x14ac:dyDescent="0.25">
      <c r="A544" s="79" t="s">
        <v>32</v>
      </c>
      <c r="B544" s="89" t="s">
        <v>9</v>
      </c>
      <c r="C544" s="89" t="s">
        <v>42</v>
      </c>
      <c r="D544" s="13" t="s">
        <v>181</v>
      </c>
      <c r="E544" s="35">
        <f>VLOOKUP(B544, Passenger_Kilometre_by_mode_type[#All],MATCH(A544, Passenger_Kilometre_by_mode_type[#Headers],0),0)</f>
        <v>168685623.35438263</v>
      </c>
      <c r="F544" s="89">
        <f>VLOOKUP(C544, Reason_for_walking_cycling_journeys_by_percentage[#All],MATCH(A544, Reason_for_walking_cycling_journeys_by_percentage[#Headers],0),0)/100</f>
        <v>0.17649999999999999</v>
      </c>
      <c r="G544" s="13">
        <f t="shared" si="41"/>
        <v>29773012.522048533</v>
      </c>
      <c r="H544" s="89">
        <f>VLOOKUP(D544,Average_Distance_by_kilometre_grouping_for_mode_type[#All],MATCH(A544,Average_Distance_by_kilometre_grouping_for_mode_type[#Headers],0),0)</f>
        <v>3</v>
      </c>
      <c r="I544" s="89">
        <f>VLOOKUP(D544,Average_Distance_by_kilometres_grouping_for_trip_purpose[#All],MATCH(A544,Average_Distance_by_kilometres_grouping_for_trip_purpose[#Headers],0),0)</f>
        <v>3</v>
      </c>
      <c r="J544" s="89">
        <f t="shared" si="42"/>
        <v>3</v>
      </c>
      <c r="K544" s="89">
        <f t="shared" si="43"/>
        <v>6.0901339829476243E-2</v>
      </c>
      <c r="L544" s="89">
        <v>1</v>
      </c>
      <c r="M544" s="13">
        <f t="shared" si="44"/>
        <v>1813216.3533525292</v>
      </c>
      <c r="N544" s="11">
        <f t="shared" si="40"/>
        <v>3.502658341134369E-5</v>
      </c>
    </row>
    <row r="545" spans="1:14" x14ac:dyDescent="0.25">
      <c r="A545" s="79" t="s">
        <v>32</v>
      </c>
      <c r="B545" s="89" t="s">
        <v>9</v>
      </c>
      <c r="C545" s="89" t="s">
        <v>42</v>
      </c>
      <c r="D545" s="13" t="s">
        <v>180</v>
      </c>
      <c r="E545" s="35">
        <f>VLOOKUP(B545, Passenger_Kilometre_by_mode_type[#All],MATCH(A545, Passenger_Kilometre_by_mode_type[#Headers],0),0)</f>
        <v>168685623.35438263</v>
      </c>
      <c r="F545" s="89">
        <f>VLOOKUP(C545, Reason_for_walking_cycling_journeys_by_percentage[#All],MATCH(A545, Reason_for_walking_cycling_journeys_by_percentage[#Headers],0),0)/100</f>
        <v>0.17649999999999999</v>
      </c>
      <c r="G545" s="13">
        <f t="shared" si="41"/>
        <v>29773012.522048533</v>
      </c>
      <c r="H545" s="89">
        <f>VLOOKUP(D545,Average_Distance_by_kilometre_grouping_for_mode_type[#All],MATCH(A545,Average_Distance_by_kilometre_grouping_for_mode_type[#Headers],0),0)</f>
        <v>5</v>
      </c>
      <c r="I545" s="89">
        <f>VLOOKUP(D545,Average_Distance_by_kilometres_grouping_for_trip_purpose[#All],MATCH(A545,Average_Distance_by_kilometres_grouping_for_trip_purpose[#Headers],0),0)</f>
        <v>5</v>
      </c>
      <c r="J545" s="89">
        <f t="shared" si="42"/>
        <v>5</v>
      </c>
      <c r="K545" s="89">
        <f t="shared" si="43"/>
        <v>0.10150223304912707</v>
      </c>
      <c r="L545" s="89">
        <v>1</v>
      </c>
      <c r="M545" s="13">
        <f t="shared" si="44"/>
        <v>3022027.2555875489</v>
      </c>
      <c r="N545" s="11">
        <f t="shared" si="40"/>
        <v>5.837763901890615E-5</v>
      </c>
    </row>
    <row r="546" spans="1:14" x14ac:dyDescent="0.25">
      <c r="A546" s="79" t="s">
        <v>32</v>
      </c>
      <c r="B546" s="89" t="s">
        <v>9</v>
      </c>
      <c r="C546" s="89" t="s">
        <v>42</v>
      </c>
      <c r="D546" s="13" t="s">
        <v>182</v>
      </c>
      <c r="E546" s="35">
        <f>VLOOKUP(B546, Passenger_Kilometre_by_mode_type[#All],MATCH(A546, Passenger_Kilometre_by_mode_type[#Headers],0),0)</f>
        <v>168685623.35438263</v>
      </c>
      <c r="F546" s="89">
        <f>VLOOKUP(C546, Reason_for_walking_cycling_journeys_by_percentage[#All],MATCH(A546, Reason_for_walking_cycling_journeys_by_percentage[#Headers],0),0)/100</f>
        <v>0.17649999999999999</v>
      </c>
      <c r="G546" s="13">
        <f t="shared" si="41"/>
        <v>29773012.522048533</v>
      </c>
      <c r="H546" s="89">
        <f>VLOOKUP(D546,Average_Distance_by_kilometre_grouping_for_mode_type[#All],MATCH(A546,Average_Distance_by_kilometre_grouping_for_mode_type[#Headers],0),0)</f>
        <v>7</v>
      </c>
      <c r="I546" s="89">
        <f>VLOOKUP(D546,Average_Distance_by_kilometres_grouping_for_trip_purpose[#All],MATCH(A546,Average_Distance_by_kilometres_grouping_for_trip_purpose[#Headers],0),0)</f>
        <v>7</v>
      </c>
      <c r="J546" s="89">
        <f t="shared" si="42"/>
        <v>7</v>
      </c>
      <c r="K546" s="89">
        <f t="shared" si="43"/>
        <v>0.14210312626877789</v>
      </c>
      <c r="L546" s="89">
        <v>1</v>
      </c>
      <c r="M546" s="13">
        <f t="shared" si="44"/>
        <v>4230838.157822568</v>
      </c>
      <c r="N546" s="11">
        <f t="shared" si="40"/>
        <v>8.1728694626468596E-5</v>
      </c>
    </row>
    <row r="547" spans="1:14" x14ac:dyDescent="0.25">
      <c r="A547" s="79" t="s">
        <v>32</v>
      </c>
      <c r="B547" s="89" t="s">
        <v>9</v>
      </c>
      <c r="C547" s="89" t="s">
        <v>42</v>
      </c>
      <c r="D547" s="13" t="s">
        <v>1</v>
      </c>
      <c r="E547" s="35">
        <f>VLOOKUP(B547, Passenger_Kilometre_by_mode_type[#All],MATCH(A547, Passenger_Kilometre_by_mode_type[#Headers],0),0)</f>
        <v>168685623.35438263</v>
      </c>
      <c r="F547" s="89">
        <f>VLOOKUP(C547, Reason_for_walking_cycling_journeys_by_percentage[#All],MATCH(A547, Reason_for_walking_cycling_journeys_by_percentage[#Headers],0),0)/100</f>
        <v>0.17649999999999999</v>
      </c>
      <c r="G547" s="13">
        <f t="shared" si="41"/>
        <v>29773012.522048533</v>
      </c>
      <c r="H547" s="89">
        <f>VLOOKUP(D547,Average_Distance_by_kilometre_grouping_for_mode_type[#All],MATCH(A547,Average_Distance_by_kilometre_grouping_for_mode_type[#Headers],0),0)</f>
        <v>31.75</v>
      </c>
      <c r="I547" s="89">
        <f>VLOOKUP(D547,Average_Distance_by_kilometres_grouping_for_trip_purpose[#All],MATCH(A547,Average_Distance_by_kilometres_grouping_for_trip_purpose[#Headers],0),0)</f>
        <v>34.770000000000003</v>
      </c>
      <c r="J547" s="89">
        <f t="shared" si="42"/>
        <v>33.260000000000005</v>
      </c>
      <c r="K547" s="89">
        <f t="shared" si="43"/>
        <v>0.67519285424279341</v>
      </c>
      <c r="L547" s="89">
        <v>1</v>
      </c>
      <c r="M547" s="13">
        <f t="shared" si="44"/>
        <v>20102525.304168377</v>
      </c>
      <c r="N547" s="11">
        <f t="shared" si="40"/>
        <v>3.8832805475376371E-4</v>
      </c>
    </row>
    <row r="548" spans="1:14" x14ac:dyDescent="0.25">
      <c r="A548" s="79" t="s">
        <v>32</v>
      </c>
      <c r="B548" s="89" t="s">
        <v>9</v>
      </c>
      <c r="C548" s="89" t="s">
        <v>43</v>
      </c>
      <c r="D548" s="13" t="s">
        <v>12</v>
      </c>
      <c r="E548" s="35">
        <f>VLOOKUP(B548, Passenger_Kilometre_by_mode_type[#All],MATCH(A548, Passenger_Kilometre_by_mode_type[#Headers],0),0)</f>
        <v>168685623.35438263</v>
      </c>
      <c r="F548" s="89">
        <f>VLOOKUP(C548, Reason_for_walking_cycling_journeys_by_percentage[#All],MATCH(A548, Reason_for_walking_cycling_journeys_by_percentage[#Headers],0),0)/100</f>
        <v>8.5249999999999992E-2</v>
      </c>
      <c r="G548" s="13">
        <f t="shared" si="41"/>
        <v>14380449.390961118</v>
      </c>
      <c r="H548" s="89">
        <f>VLOOKUP(D548,Average_Distance_by_kilometre_grouping_for_mode_type[#All],MATCH(A548,Average_Distance_by_kilometre_grouping_for_mode_type[#Headers],0),0)</f>
        <v>1</v>
      </c>
      <c r="I548" s="89">
        <f>VLOOKUP(D548,Average_Distance_by_kilometres_grouping_for_trip_purpose[#All],MATCH(A548,Average_Distance_by_kilometres_grouping_for_trip_purpose[#Headers],0),0)</f>
        <v>1</v>
      </c>
      <c r="J548" s="89">
        <f t="shared" si="42"/>
        <v>1</v>
      </c>
      <c r="K548" s="89">
        <f t="shared" si="43"/>
        <v>2.0300446609825416E-2</v>
      </c>
      <c r="L548" s="89">
        <v>1</v>
      </c>
      <c r="M548" s="13">
        <f t="shared" si="44"/>
        <v>291929.54508650256</v>
      </c>
      <c r="N548" s="11">
        <f t="shared" si="40"/>
        <v>5.6393130043759188E-6</v>
      </c>
    </row>
    <row r="549" spans="1:14" x14ac:dyDescent="0.25">
      <c r="A549" s="79" t="s">
        <v>32</v>
      </c>
      <c r="B549" s="89" t="s">
        <v>9</v>
      </c>
      <c r="C549" s="89" t="s">
        <v>43</v>
      </c>
      <c r="D549" s="13" t="s">
        <v>181</v>
      </c>
      <c r="E549" s="35">
        <f>VLOOKUP(B549, Passenger_Kilometre_by_mode_type[#All],MATCH(A549, Passenger_Kilometre_by_mode_type[#Headers],0),0)</f>
        <v>168685623.35438263</v>
      </c>
      <c r="F549" s="89">
        <f>VLOOKUP(C549, Reason_for_walking_cycling_journeys_by_percentage[#All],MATCH(A549, Reason_for_walking_cycling_journeys_by_percentage[#Headers],0),0)/100</f>
        <v>8.5249999999999992E-2</v>
      </c>
      <c r="G549" s="13">
        <f t="shared" si="41"/>
        <v>14380449.390961118</v>
      </c>
      <c r="H549" s="89">
        <f>VLOOKUP(D549,Average_Distance_by_kilometre_grouping_for_mode_type[#All],MATCH(A549,Average_Distance_by_kilometre_grouping_for_mode_type[#Headers],0),0)</f>
        <v>3</v>
      </c>
      <c r="I549" s="89">
        <f>VLOOKUP(D549,Average_Distance_by_kilometres_grouping_for_trip_purpose[#All],MATCH(A549,Average_Distance_by_kilometres_grouping_for_trip_purpose[#Headers],0),0)</f>
        <v>3</v>
      </c>
      <c r="J549" s="89">
        <f t="shared" si="42"/>
        <v>3</v>
      </c>
      <c r="K549" s="89">
        <f t="shared" si="43"/>
        <v>6.0901339829476243E-2</v>
      </c>
      <c r="L549" s="89">
        <v>1</v>
      </c>
      <c r="M549" s="13">
        <f t="shared" si="44"/>
        <v>875788.63525950769</v>
      </c>
      <c r="N549" s="11">
        <f t="shared" si="40"/>
        <v>1.6917939013127757E-5</v>
      </c>
    </row>
    <row r="550" spans="1:14" x14ac:dyDescent="0.25">
      <c r="A550" s="79" t="s">
        <v>32</v>
      </c>
      <c r="B550" s="89" t="s">
        <v>9</v>
      </c>
      <c r="C550" s="89" t="s">
        <v>43</v>
      </c>
      <c r="D550" s="13" t="s">
        <v>180</v>
      </c>
      <c r="E550" s="35">
        <f>VLOOKUP(B550, Passenger_Kilometre_by_mode_type[#All],MATCH(A550, Passenger_Kilometre_by_mode_type[#Headers],0),0)</f>
        <v>168685623.35438263</v>
      </c>
      <c r="F550" s="89">
        <f>VLOOKUP(C550, Reason_for_walking_cycling_journeys_by_percentage[#All],MATCH(A550, Reason_for_walking_cycling_journeys_by_percentage[#Headers],0),0)/100</f>
        <v>8.5249999999999992E-2</v>
      </c>
      <c r="G550" s="13">
        <f t="shared" si="41"/>
        <v>14380449.390961118</v>
      </c>
      <c r="H550" s="89">
        <f>VLOOKUP(D550,Average_Distance_by_kilometre_grouping_for_mode_type[#All],MATCH(A550,Average_Distance_by_kilometre_grouping_for_mode_type[#Headers],0),0)</f>
        <v>5</v>
      </c>
      <c r="I550" s="89">
        <f>VLOOKUP(D550,Average_Distance_by_kilometres_grouping_for_trip_purpose[#All],MATCH(A550,Average_Distance_by_kilometres_grouping_for_trip_purpose[#Headers],0),0)</f>
        <v>5</v>
      </c>
      <c r="J550" s="89">
        <f t="shared" si="42"/>
        <v>5</v>
      </c>
      <c r="K550" s="89">
        <f t="shared" si="43"/>
        <v>0.10150223304912707</v>
      </c>
      <c r="L550" s="89">
        <v>1</v>
      </c>
      <c r="M550" s="13">
        <f t="shared" si="44"/>
        <v>1459647.7254325128</v>
      </c>
      <c r="N550" s="11">
        <f t="shared" si="40"/>
        <v>2.8196565021879594E-5</v>
      </c>
    </row>
    <row r="551" spans="1:14" x14ac:dyDescent="0.25">
      <c r="A551" s="79" t="s">
        <v>32</v>
      </c>
      <c r="B551" s="89" t="s">
        <v>9</v>
      </c>
      <c r="C551" s="89" t="s">
        <v>43</v>
      </c>
      <c r="D551" s="13" t="s">
        <v>182</v>
      </c>
      <c r="E551" s="35">
        <f>VLOOKUP(B551, Passenger_Kilometre_by_mode_type[#All],MATCH(A551, Passenger_Kilometre_by_mode_type[#Headers],0),0)</f>
        <v>168685623.35438263</v>
      </c>
      <c r="F551" s="89">
        <f>VLOOKUP(C551, Reason_for_walking_cycling_journeys_by_percentage[#All],MATCH(A551, Reason_for_walking_cycling_journeys_by_percentage[#Headers],0),0)/100</f>
        <v>8.5249999999999992E-2</v>
      </c>
      <c r="G551" s="13">
        <f t="shared" si="41"/>
        <v>14380449.390961118</v>
      </c>
      <c r="H551" s="89">
        <f>VLOOKUP(D551,Average_Distance_by_kilometre_grouping_for_mode_type[#All],MATCH(A551,Average_Distance_by_kilometre_grouping_for_mode_type[#Headers],0),0)</f>
        <v>7</v>
      </c>
      <c r="I551" s="89">
        <f>VLOOKUP(D551,Average_Distance_by_kilometres_grouping_for_trip_purpose[#All],MATCH(A551,Average_Distance_by_kilometres_grouping_for_trip_purpose[#Headers],0),0)</f>
        <v>7</v>
      </c>
      <c r="J551" s="89">
        <f t="shared" si="42"/>
        <v>7</v>
      </c>
      <c r="K551" s="89">
        <f t="shared" si="43"/>
        <v>0.14210312626877789</v>
      </c>
      <c r="L551" s="89">
        <v>1</v>
      </c>
      <c r="M551" s="13">
        <f t="shared" si="44"/>
        <v>2043506.8156055177</v>
      </c>
      <c r="N551" s="11">
        <f t="shared" si="40"/>
        <v>3.9475191030631428E-5</v>
      </c>
    </row>
    <row r="552" spans="1:14" x14ac:dyDescent="0.25">
      <c r="A552" s="79" t="s">
        <v>32</v>
      </c>
      <c r="B552" s="89" t="s">
        <v>9</v>
      </c>
      <c r="C552" s="89" t="s">
        <v>43</v>
      </c>
      <c r="D552" s="13" t="s">
        <v>1</v>
      </c>
      <c r="E552" s="35">
        <f>VLOOKUP(B552, Passenger_Kilometre_by_mode_type[#All],MATCH(A552, Passenger_Kilometre_by_mode_type[#Headers],0),0)</f>
        <v>168685623.35438263</v>
      </c>
      <c r="F552" s="89">
        <f>VLOOKUP(C552, Reason_for_walking_cycling_journeys_by_percentage[#All],MATCH(A552, Reason_for_walking_cycling_journeys_by_percentage[#Headers],0),0)/100</f>
        <v>8.5249999999999992E-2</v>
      </c>
      <c r="G552" s="13">
        <f t="shared" si="41"/>
        <v>14380449.390961118</v>
      </c>
      <c r="H552" s="89">
        <f>VLOOKUP(D552,Average_Distance_by_kilometre_grouping_for_mode_type[#All],MATCH(A552,Average_Distance_by_kilometre_grouping_for_mode_type[#Headers],0),0)</f>
        <v>31.75</v>
      </c>
      <c r="I552" s="89">
        <f>VLOOKUP(D552,Average_Distance_by_kilometres_grouping_for_trip_purpose[#All],MATCH(A552,Average_Distance_by_kilometres_grouping_for_trip_purpose[#Headers],0),0)</f>
        <v>34.770000000000003</v>
      </c>
      <c r="J552" s="89">
        <f t="shared" si="42"/>
        <v>33.260000000000005</v>
      </c>
      <c r="K552" s="89">
        <f t="shared" si="43"/>
        <v>0.67519285424279341</v>
      </c>
      <c r="L552" s="89">
        <v>1</v>
      </c>
      <c r="M552" s="13">
        <f t="shared" si="44"/>
        <v>9709576.669577077</v>
      </c>
      <c r="N552" s="11">
        <f t="shared" si="40"/>
        <v>1.8756355052554309E-4</v>
      </c>
    </row>
    <row r="553" spans="1:14" x14ac:dyDescent="0.25">
      <c r="A553" s="79" t="s">
        <v>32</v>
      </c>
      <c r="B553" s="89" t="s">
        <v>9</v>
      </c>
      <c r="C553" s="89" t="s">
        <v>44</v>
      </c>
      <c r="D553" s="13" t="s">
        <v>12</v>
      </c>
      <c r="E553" s="35">
        <f>VLOOKUP(B553, Passenger_Kilometre_by_mode_type[#All],MATCH(A553, Passenger_Kilometre_by_mode_type[#Headers],0),0)</f>
        <v>168685623.35438263</v>
      </c>
      <c r="F553" s="89">
        <f>VLOOKUP(C553, Reason_for_walking_cycling_journeys_by_percentage[#All],MATCH(A553, Reason_for_walking_cycling_journeys_by_percentage[#Headers],0),0)/100</f>
        <v>0.23774999999999999</v>
      </c>
      <c r="G553" s="13">
        <f t="shared" si="41"/>
        <v>40105006.952504471</v>
      </c>
      <c r="H553" s="89">
        <f>VLOOKUP(D553,Average_Distance_by_kilometre_grouping_for_mode_type[#All],MATCH(A553,Average_Distance_by_kilometre_grouping_for_mode_type[#Headers],0),0)</f>
        <v>1</v>
      </c>
      <c r="I553" s="89">
        <f>VLOOKUP(D553,Average_Distance_by_kilometres_grouping_for_trip_purpose[#All],MATCH(A553,Average_Distance_by_kilometres_grouping_for_trip_purpose[#Headers],0),0)</f>
        <v>1</v>
      </c>
      <c r="J553" s="89">
        <f t="shared" si="42"/>
        <v>1</v>
      </c>
      <c r="K553" s="89">
        <f t="shared" si="43"/>
        <v>2.0300446609825416E-2</v>
      </c>
      <c r="L553" s="89">
        <v>1</v>
      </c>
      <c r="M553" s="13">
        <f t="shared" si="44"/>
        <v>814149.55242599407</v>
      </c>
      <c r="N553" s="11">
        <f t="shared" si="40"/>
        <v>1.572723362803959E-5</v>
      </c>
    </row>
    <row r="554" spans="1:14" x14ac:dyDescent="0.25">
      <c r="A554" s="79" t="s">
        <v>32</v>
      </c>
      <c r="B554" s="89" t="s">
        <v>9</v>
      </c>
      <c r="C554" s="89" t="s">
        <v>44</v>
      </c>
      <c r="D554" s="13" t="s">
        <v>181</v>
      </c>
      <c r="E554" s="35">
        <f>VLOOKUP(B554, Passenger_Kilometre_by_mode_type[#All],MATCH(A554, Passenger_Kilometre_by_mode_type[#Headers],0),0)</f>
        <v>168685623.35438263</v>
      </c>
      <c r="F554" s="89">
        <f>VLOOKUP(C554, Reason_for_walking_cycling_journeys_by_percentage[#All],MATCH(A554, Reason_for_walking_cycling_journeys_by_percentage[#Headers],0),0)/100</f>
        <v>0.23774999999999999</v>
      </c>
      <c r="G554" s="13">
        <f t="shared" si="41"/>
        <v>40105006.952504471</v>
      </c>
      <c r="H554" s="89">
        <f>VLOOKUP(D554,Average_Distance_by_kilometre_grouping_for_mode_type[#All],MATCH(A554,Average_Distance_by_kilometre_grouping_for_mode_type[#Headers],0),0)</f>
        <v>3</v>
      </c>
      <c r="I554" s="89">
        <f>VLOOKUP(D554,Average_Distance_by_kilometres_grouping_for_trip_purpose[#All],MATCH(A554,Average_Distance_by_kilometres_grouping_for_trip_purpose[#Headers],0),0)</f>
        <v>3</v>
      </c>
      <c r="J554" s="89">
        <f t="shared" si="42"/>
        <v>3</v>
      </c>
      <c r="K554" s="89">
        <f t="shared" si="43"/>
        <v>6.0901339829476243E-2</v>
      </c>
      <c r="L554" s="89">
        <v>1</v>
      </c>
      <c r="M554" s="13">
        <f t="shared" si="44"/>
        <v>2442448.6572779822</v>
      </c>
      <c r="N554" s="11">
        <f t="shared" si="40"/>
        <v>4.7181700884118763E-5</v>
      </c>
    </row>
    <row r="555" spans="1:14" x14ac:dyDescent="0.25">
      <c r="A555" s="79" t="s">
        <v>32</v>
      </c>
      <c r="B555" s="89" t="s">
        <v>9</v>
      </c>
      <c r="C555" s="89" t="s">
        <v>44</v>
      </c>
      <c r="D555" s="13" t="s">
        <v>180</v>
      </c>
      <c r="E555" s="35">
        <f>VLOOKUP(B555, Passenger_Kilometre_by_mode_type[#All],MATCH(A555, Passenger_Kilometre_by_mode_type[#Headers],0),0)</f>
        <v>168685623.35438263</v>
      </c>
      <c r="F555" s="89">
        <f>VLOOKUP(C555, Reason_for_walking_cycling_journeys_by_percentage[#All],MATCH(A555, Reason_for_walking_cycling_journeys_by_percentage[#Headers],0),0)/100</f>
        <v>0.23774999999999999</v>
      </c>
      <c r="G555" s="13">
        <f t="shared" si="41"/>
        <v>40105006.952504471</v>
      </c>
      <c r="H555" s="89">
        <f>VLOOKUP(D555,Average_Distance_by_kilometre_grouping_for_mode_type[#All],MATCH(A555,Average_Distance_by_kilometre_grouping_for_mode_type[#Headers],0),0)</f>
        <v>5</v>
      </c>
      <c r="I555" s="89">
        <f>VLOOKUP(D555,Average_Distance_by_kilometres_grouping_for_trip_purpose[#All],MATCH(A555,Average_Distance_by_kilometres_grouping_for_trip_purpose[#Headers],0),0)</f>
        <v>5</v>
      </c>
      <c r="J555" s="89">
        <f t="shared" si="42"/>
        <v>5</v>
      </c>
      <c r="K555" s="89">
        <f t="shared" si="43"/>
        <v>0.10150223304912707</v>
      </c>
      <c r="L555" s="89">
        <v>1</v>
      </c>
      <c r="M555" s="13">
        <f t="shared" si="44"/>
        <v>4070747.7621299704</v>
      </c>
      <c r="N555" s="11">
        <f t="shared" si="40"/>
        <v>7.8636168140197943E-5</v>
      </c>
    </row>
    <row r="556" spans="1:14" x14ac:dyDescent="0.25">
      <c r="A556" s="79" t="s">
        <v>32</v>
      </c>
      <c r="B556" s="89" t="s">
        <v>9</v>
      </c>
      <c r="C556" s="89" t="s">
        <v>44</v>
      </c>
      <c r="D556" s="13" t="s">
        <v>182</v>
      </c>
      <c r="E556" s="35">
        <f>VLOOKUP(B556, Passenger_Kilometre_by_mode_type[#All],MATCH(A556, Passenger_Kilometre_by_mode_type[#Headers],0),0)</f>
        <v>168685623.35438263</v>
      </c>
      <c r="F556" s="89">
        <f>VLOOKUP(C556, Reason_for_walking_cycling_journeys_by_percentage[#All],MATCH(A556, Reason_for_walking_cycling_journeys_by_percentage[#Headers],0),0)/100</f>
        <v>0.23774999999999999</v>
      </c>
      <c r="G556" s="13">
        <f t="shared" si="41"/>
        <v>40105006.952504471</v>
      </c>
      <c r="H556" s="89">
        <f>VLOOKUP(D556,Average_Distance_by_kilometre_grouping_for_mode_type[#All],MATCH(A556,Average_Distance_by_kilometre_grouping_for_mode_type[#Headers],0),0)</f>
        <v>7</v>
      </c>
      <c r="I556" s="89">
        <f>VLOOKUP(D556,Average_Distance_by_kilometres_grouping_for_trip_purpose[#All],MATCH(A556,Average_Distance_by_kilometres_grouping_for_trip_purpose[#Headers],0),0)</f>
        <v>7</v>
      </c>
      <c r="J556" s="89">
        <f t="shared" si="42"/>
        <v>7</v>
      </c>
      <c r="K556" s="89">
        <f t="shared" si="43"/>
        <v>0.14210312626877789</v>
      </c>
      <c r="L556" s="89">
        <v>1</v>
      </c>
      <c r="M556" s="13">
        <f t="shared" si="44"/>
        <v>5699046.866981958</v>
      </c>
      <c r="N556" s="11">
        <f t="shared" ref="N556:N619" si="45">M556/SUM($M$363:$M$722)</f>
        <v>1.1009063539627711E-4</v>
      </c>
    </row>
    <row r="557" spans="1:14" x14ac:dyDescent="0.25">
      <c r="A557" s="79" t="s">
        <v>32</v>
      </c>
      <c r="B557" s="89" t="s">
        <v>9</v>
      </c>
      <c r="C557" s="89" t="s">
        <v>44</v>
      </c>
      <c r="D557" s="13" t="s">
        <v>1</v>
      </c>
      <c r="E557" s="35">
        <f>VLOOKUP(B557, Passenger_Kilometre_by_mode_type[#All],MATCH(A557, Passenger_Kilometre_by_mode_type[#Headers],0),0)</f>
        <v>168685623.35438263</v>
      </c>
      <c r="F557" s="89">
        <f>VLOOKUP(C557, Reason_for_walking_cycling_journeys_by_percentage[#All],MATCH(A557, Reason_for_walking_cycling_journeys_by_percentage[#Headers],0),0)/100</f>
        <v>0.23774999999999999</v>
      </c>
      <c r="G557" s="13">
        <f t="shared" si="41"/>
        <v>40105006.952504471</v>
      </c>
      <c r="H557" s="89">
        <f>VLOOKUP(D557,Average_Distance_by_kilometre_grouping_for_mode_type[#All],MATCH(A557,Average_Distance_by_kilometre_grouping_for_mode_type[#Headers],0),0)</f>
        <v>31.75</v>
      </c>
      <c r="I557" s="89">
        <f>VLOOKUP(D557,Average_Distance_by_kilometres_grouping_for_trip_purpose[#All],MATCH(A557,Average_Distance_by_kilometres_grouping_for_trip_purpose[#Headers],0),0)</f>
        <v>34.770000000000003</v>
      </c>
      <c r="J557" s="89">
        <f t="shared" si="42"/>
        <v>33.260000000000005</v>
      </c>
      <c r="K557" s="89">
        <f t="shared" si="43"/>
        <v>0.67519285424279341</v>
      </c>
      <c r="L557" s="89">
        <v>1</v>
      </c>
      <c r="M557" s="13">
        <f t="shared" si="44"/>
        <v>27078614.113688566</v>
      </c>
      <c r="N557" s="11">
        <f t="shared" si="45"/>
        <v>5.2308779046859682E-4</v>
      </c>
    </row>
    <row r="558" spans="1:14" x14ac:dyDescent="0.25">
      <c r="A558" s="79" t="s">
        <v>32</v>
      </c>
      <c r="B558" s="89" t="s">
        <v>9</v>
      </c>
      <c r="C558" s="89" t="s">
        <v>45</v>
      </c>
      <c r="D558" s="13" t="s">
        <v>12</v>
      </c>
      <c r="E558" s="35">
        <f>VLOOKUP(B558, Passenger_Kilometre_by_mode_type[#All],MATCH(A558, Passenger_Kilometre_by_mode_type[#Headers],0),0)</f>
        <v>168685623.35438263</v>
      </c>
      <c r="F558" s="89">
        <f>VLOOKUP(C558, Reason_for_walking_cycling_journeys_by_percentage[#All],MATCH(A558, Reason_for_walking_cycling_journeys_by_percentage[#Headers],0),0)/100</f>
        <v>3.6750000000000005E-2</v>
      </c>
      <c r="G558" s="13">
        <f t="shared" si="41"/>
        <v>6199196.6582735628</v>
      </c>
      <c r="H558" s="89">
        <f>VLOOKUP(D558,Average_Distance_by_kilometre_grouping_for_mode_type[#All],MATCH(A558,Average_Distance_by_kilometre_grouping_for_mode_type[#Headers],0),0)</f>
        <v>1</v>
      </c>
      <c r="I558" s="89">
        <f>VLOOKUP(D558,Average_Distance_by_kilometres_grouping_for_trip_purpose[#All],MATCH(A558,Average_Distance_by_kilometres_grouping_for_trip_purpose[#Headers],0),0)</f>
        <v>1</v>
      </c>
      <c r="J558" s="89">
        <f t="shared" si="42"/>
        <v>1</v>
      </c>
      <c r="K558" s="89">
        <f t="shared" si="43"/>
        <v>2.0300446609825416E-2</v>
      </c>
      <c r="L558" s="89">
        <v>1</v>
      </c>
      <c r="M558" s="13">
        <f t="shared" si="44"/>
        <v>125846.46078509059</v>
      </c>
      <c r="N558" s="11">
        <f t="shared" si="45"/>
        <v>2.4310234945550158E-6</v>
      </c>
    </row>
    <row r="559" spans="1:14" x14ac:dyDescent="0.25">
      <c r="A559" s="79" t="s">
        <v>32</v>
      </c>
      <c r="B559" s="89" t="s">
        <v>9</v>
      </c>
      <c r="C559" s="89" t="s">
        <v>45</v>
      </c>
      <c r="D559" s="13" t="s">
        <v>181</v>
      </c>
      <c r="E559" s="35">
        <f>VLOOKUP(B559, Passenger_Kilometre_by_mode_type[#All],MATCH(A559, Passenger_Kilometre_by_mode_type[#Headers],0),0)</f>
        <v>168685623.35438263</v>
      </c>
      <c r="F559" s="89">
        <f>VLOOKUP(C559, Reason_for_walking_cycling_journeys_by_percentage[#All],MATCH(A559, Reason_for_walking_cycling_journeys_by_percentage[#Headers],0),0)/100</f>
        <v>3.6750000000000005E-2</v>
      </c>
      <c r="G559" s="13">
        <f t="shared" si="41"/>
        <v>6199196.6582735628</v>
      </c>
      <c r="H559" s="89">
        <f>VLOOKUP(D559,Average_Distance_by_kilometre_grouping_for_mode_type[#All],MATCH(A559,Average_Distance_by_kilometre_grouping_for_mode_type[#Headers],0),0)</f>
        <v>3</v>
      </c>
      <c r="I559" s="89">
        <f>VLOOKUP(D559,Average_Distance_by_kilometres_grouping_for_trip_purpose[#All],MATCH(A559,Average_Distance_by_kilometres_grouping_for_trip_purpose[#Headers],0),0)</f>
        <v>3</v>
      </c>
      <c r="J559" s="89">
        <f t="shared" si="42"/>
        <v>3</v>
      </c>
      <c r="K559" s="89">
        <f t="shared" si="43"/>
        <v>6.0901339829476243E-2</v>
      </c>
      <c r="L559" s="89">
        <v>1</v>
      </c>
      <c r="M559" s="13">
        <f t="shared" si="44"/>
        <v>377539.38235527178</v>
      </c>
      <c r="N559" s="11">
        <f t="shared" si="45"/>
        <v>7.2930704836650474E-6</v>
      </c>
    </row>
    <row r="560" spans="1:14" x14ac:dyDescent="0.25">
      <c r="A560" s="79" t="s">
        <v>32</v>
      </c>
      <c r="B560" s="89" t="s">
        <v>9</v>
      </c>
      <c r="C560" s="89" t="s">
        <v>45</v>
      </c>
      <c r="D560" s="13" t="s">
        <v>180</v>
      </c>
      <c r="E560" s="35">
        <f>VLOOKUP(B560, Passenger_Kilometre_by_mode_type[#All],MATCH(A560, Passenger_Kilometre_by_mode_type[#Headers],0),0)</f>
        <v>168685623.35438263</v>
      </c>
      <c r="F560" s="89">
        <f>VLOOKUP(C560, Reason_for_walking_cycling_journeys_by_percentage[#All],MATCH(A560, Reason_for_walking_cycling_journeys_by_percentage[#Headers],0),0)/100</f>
        <v>3.6750000000000005E-2</v>
      </c>
      <c r="G560" s="13">
        <f t="shared" si="41"/>
        <v>6199196.6582735628</v>
      </c>
      <c r="H560" s="89">
        <f>VLOOKUP(D560,Average_Distance_by_kilometre_grouping_for_mode_type[#All],MATCH(A560,Average_Distance_by_kilometre_grouping_for_mode_type[#Headers],0),0)</f>
        <v>5</v>
      </c>
      <c r="I560" s="89">
        <f>VLOOKUP(D560,Average_Distance_by_kilometres_grouping_for_trip_purpose[#All],MATCH(A560,Average_Distance_by_kilometres_grouping_for_trip_purpose[#Headers],0),0)</f>
        <v>5</v>
      </c>
      <c r="J560" s="89">
        <f t="shared" si="42"/>
        <v>5</v>
      </c>
      <c r="K560" s="89">
        <f t="shared" si="43"/>
        <v>0.10150223304912707</v>
      </c>
      <c r="L560" s="89">
        <v>1</v>
      </c>
      <c r="M560" s="13">
        <f t="shared" si="44"/>
        <v>629232.30392545299</v>
      </c>
      <c r="N560" s="11">
        <f t="shared" si="45"/>
        <v>1.215511747277508E-5</v>
      </c>
    </row>
    <row r="561" spans="1:14" x14ac:dyDescent="0.25">
      <c r="A561" s="79" t="s">
        <v>32</v>
      </c>
      <c r="B561" s="89" t="s">
        <v>9</v>
      </c>
      <c r="C561" s="89" t="s">
        <v>45</v>
      </c>
      <c r="D561" s="13" t="s">
        <v>182</v>
      </c>
      <c r="E561" s="35">
        <f>VLOOKUP(B561, Passenger_Kilometre_by_mode_type[#All],MATCH(A561, Passenger_Kilometre_by_mode_type[#Headers],0),0)</f>
        <v>168685623.35438263</v>
      </c>
      <c r="F561" s="89">
        <f>VLOOKUP(C561, Reason_for_walking_cycling_journeys_by_percentage[#All],MATCH(A561, Reason_for_walking_cycling_journeys_by_percentage[#Headers],0),0)/100</f>
        <v>3.6750000000000005E-2</v>
      </c>
      <c r="G561" s="13">
        <f t="shared" si="41"/>
        <v>6199196.6582735628</v>
      </c>
      <c r="H561" s="89">
        <f>VLOOKUP(D561,Average_Distance_by_kilometre_grouping_for_mode_type[#All],MATCH(A561,Average_Distance_by_kilometre_grouping_for_mode_type[#Headers],0),0)</f>
        <v>7</v>
      </c>
      <c r="I561" s="89">
        <f>VLOOKUP(D561,Average_Distance_by_kilometres_grouping_for_trip_purpose[#All],MATCH(A561,Average_Distance_by_kilometres_grouping_for_trip_purpose[#Headers],0),0)</f>
        <v>7</v>
      </c>
      <c r="J561" s="89">
        <f t="shared" si="42"/>
        <v>7</v>
      </c>
      <c r="K561" s="89">
        <f t="shared" si="43"/>
        <v>0.14210312626877789</v>
      </c>
      <c r="L561" s="89">
        <v>1</v>
      </c>
      <c r="M561" s="13">
        <f t="shared" si="44"/>
        <v>880925.22549563402</v>
      </c>
      <c r="N561" s="11">
        <f t="shared" si="45"/>
        <v>1.701716446188511E-5</v>
      </c>
    </row>
    <row r="562" spans="1:14" x14ac:dyDescent="0.25">
      <c r="A562" s="79" t="s">
        <v>32</v>
      </c>
      <c r="B562" s="89" t="s">
        <v>9</v>
      </c>
      <c r="C562" s="89" t="s">
        <v>45</v>
      </c>
      <c r="D562" s="13" t="s">
        <v>1</v>
      </c>
      <c r="E562" s="35">
        <f>VLOOKUP(B562, Passenger_Kilometre_by_mode_type[#All],MATCH(A562, Passenger_Kilometre_by_mode_type[#Headers],0),0)</f>
        <v>168685623.35438263</v>
      </c>
      <c r="F562" s="89">
        <f>VLOOKUP(C562, Reason_for_walking_cycling_journeys_by_percentage[#All],MATCH(A562, Reason_for_walking_cycling_journeys_by_percentage[#Headers],0),0)/100</f>
        <v>3.6750000000000005E-2</v>
      </c>
      <c r="G562" s="13">
        <f t="shared" si="41"/>
        <v>6199196.6582735628</v>
      </c>
      <c r="H562" s="89">
        <f>VLOOKUP(D562,Average_Distance_by_kilometre_grouping_for_mode_type[#All],MATCH(A562,Average_Distance_by_kilometre_grouping_for_mode_type[#Headers],0),0)</f>
        <v>31.75</v>
      </c>
      <c r="I562" s="89">
        <f>VLOOKUP(D562,Average_Distance_by_kilometres_grouping_for_trip_purpose[#All],MATCH(A562,Average_Distance_by_kilometres_grouping_for_trip_purpose[#Headers],0),0)</f>
        <v>34.770000000000003</v>
      </c>
      <c r="J562" s="89">
        <f t="shared" si="42"/>
        <v>33.260000000000005</v>
      </c>
      <c r="K562" s="89">
        <f t="shared" si="43"/>
        <v>0.67519285424279341</v>
      </c>
      <c r="L562" s="89">
        <v>1</v>
      </c>
      <c r="M562" s="13">
        <f t="shared" si="44"/>
        <v>4185653.2857121136</v>
      </c>
      <c r="N562" s="11">
        <f t="shared" si="45"/>
        <v>8.0855841428899834E-5</v>
      </c>
    </row>
    <row r="563" spans="1:14" x14ac:dyDescent="0.25">
      <c r="A563" s="79" t="s">
        <v>32</v>
      </c>
      <c r="B563" s="89" t="s">
        <v>9</v>
      </c>
      <c r="C563" s="89" t="s">
        <v>56</v>
      </c>
      <c r="D563" s="13" t="s">
        <v>12</v>
      </c>
      <c r="E563" s="35">
        <f>VLOOKUP(B563, Passenger_Kilometre_by_mode_type[#All],MATCH(A563, Passenger_Kilometre_by_mode_type[#Headers],0),0)</f>
        <v>168685623.35438263</v>
      </c>
      <c r="F563" s="89">
        <f>VLOOKUP(C563, Reason_for_walking_cycling_journeys_by_percentage[#All],MATCH(A563, Reason_for_walking_cycling_journeys_by_percentage[#Headers],0),0)/100</f>
        <v>7.4500000000000011E-2</v>
      </c>
      <c r="G563" s="13">
        <f t="shared" si="41"/>
        <v>12567078.939901508</v>
      </c>
      <c r="H563" s="89">
        <f>VLOOKUP(D563,Average_Distance_by_kilometre_grouping_for_mode_type[#All],MATCH(A563,Average_Distance_by_kilometre_grouping_for_mode_type[#Headers],0),0)</f>
        <v>1</v>
      </c>
      <c r="I563" s="89">
        <f>VLOOKUP(D563,Average_Distance_by_kilometres_grouping_for_trip_purpose[#All],MATCH(A563,Average_Distance_by_kilometres_grouping_for_trip_purpose[#Headers],0),0)</f>
        <v>1</v>
      </c>
      <c r="J563" s="89">
        <f t="shared" si="42"/>
        <v>1</v>
      </c>
      <c r="K563" s="89">
        <f t="shared" si="43"/>
        <v>2.0300446609825416E-2</v>
      </c>
      <c r="L563" s="89">
        <v>1</v>
      </c>
      <c r="M563" s="13">
        <f t="shared" si="44"/>
        <v>255117.31506093196</v>
      </c>
      <c r="N563" s="11">
        <f t="shared" si="45"/>
        <v>4.928197288281597E-6</v>
      </c>
    </row>
    <row r="564" spans="1:14" x14ac:dyDescent="0.25">
      <c r="A564" s="79" t="s">
        <v>32</v>
      </c>
      <c r="B564" s="89" t="s">
        <v>9</v>
      </c>
      <c r="C564" s="89" t="s">
        <v>56</v>
      </c>
      <c r="D564" s="13" t="s">
        <v>181</v>
      </c>
      <c r="E564" s="35">
        <f>VLOOKUP(B564, Passenger_Kilometre_by_mode_type[#All],MATCH(A564, Passenger_Kilometre_by_mode_type[#Headers],0),0)</f>
        <v>168685623.35438263</v>
      </c>
      <c r="F564" s="89">
        <f>VLOOKUP(C564, Reason_for_walking_cycling_journeys_by_percentage[#All],MATCH(A564, Reason_for_walking_cycling_journeys_by_percentage[#Headers],0),0)/100</f>
        <v>7.4500000000000011E-2</v>
      </c>
      <c r="G564" s="13">
        <f t="shared" si="41"/>
        <v>12567078.939901508</v>
      </c>
      <c r="H564" s="89">
        <f>VLOOKUP(D564,Average_Distance_by_kilometre_grouping_for_mode_type[#All],MATCH(A564,Average_Distance_by_kilometre_grouping_for_mode_type[#Headers],0),0)</f>
        <v>3</v>
      </c>
      <c r="I564" s="89">
        <f>VLOOKUP(D564,Average_Distance_by_kilometres_grouping_for_trip_purpose[#All],MATCH(A564,Average_Distance_by_kilometres_grouping_for_trip_purpose[#Headers],0),0)</f>
        <v>3</v>
      </c>
      <c r="J564" s="89">
        <f t="shared" si="42"/>
        <v>3</v>
      </c>
      <c r="K564" s="89">
        <f t="shared" si="43"/>
        <v>6.0901339829476243E-2</v>
      </c>
      <c r="L564" s="89">
        <v>1</v>
      </c>
      <c r="M564" s="13">
        <f t="shared" si="44"/>
        <v>765351.94518279587</v>
      </c>
      <c r="N564" s="11">
        <f t="shared" si="45"/>
        <v>1.4784591864844791E-5</v>
      </c>
    </row>
    <row r="565" spans="1:14" x14ac:dyDescent="0.25">
      <c r="A565" s="79" t="s">
        <v>32</v>
      </c>
      <c r="B565" s="89" t="s">
        <v>9</v>
      </c>
      <c r="C565" s="89" t="s">
        <v>56</v>
      </c>
      <c r="D565" s="13" t="s">
        <v>180</v>
      </c>
      <c r="E565" s="35">
        <f>VLOOKUP(B565, Passenger_Kilometre_by_mode_type[#All],MATCH(A565, Passenger_Kilometre_by_mode_type[#Headers],0),0)</f>
        <v>168685623.35438263</v>
      </c>
      <c r="F565" s="89">
        <f>VLOOKUP(C565, Reason_for_walking_cycling_journeys_by_percentage[#All],MATCH(A565, Reason_for_walking_cycling_journeys_by_percentage[#Headers],0),0)/100</f>
        <v>7.4500000000000011E-2</v>
      </c>
      <c r="G565" s="13">
        <f t="shared" si="41"/>
        <v>12567078.939901508</v>
      </c>
      <c r="H565" s="89">
        <f>VLOOKUP(D565,Average_Distance_by_kilometre_grouping_for_mode_type[#All],MATCH(A565,Average_Distance_by_kilometre_grouping_for_mode_type[#Headers],0),0)</f>
        <v>5</v>
      </c>
      <c r="I565" s="89">
        <f>VLOOKUP(D565,Average_Distance_by_kilometres_grouping_for_trip_purpose[#All],MATCH(A565,Average_Distance_by_kilometres_grouping_for_trip_purpose[#Headers],0),0)</f>
        <v>5</v>
      </c>
      <c r="J565" s="89">
        <f t="shared" si="42"/>
        <v>5</v>
      </c>
      <c r="K565" s="89">
        <f t="shared" si="43"/>
        <v>0.10150223304912707</v>
      </c>
      <c r="L565" s="89">
        <v>1</v>
      </c>
      <c r="M565" s="13">
        <f t="shared" si="44"/>
        <v>1275586.5753046598</v>
      </c>
      <c r="N565" s="11">
        <f t="shared" si="45"/>
        <v>2.4640986441407983E-5</v>
      </c>
    </row>
    <row r="566" spans="1:14" x14ac:dyDescent="0.25">
      <c r="A566" s="79" t="s">
        <v>32</v>
      </c>
      <c r="B566" s="89" t="s">
        <v>9</v>
      </c>
      <c r="C566" s="89" t="s">
        <v>56</v>
      </c>
      <c r="D566" s="13" t="s">
        <v>182</v>
      </c>
      <c r="E566" s="35">
        <f>VLOOKUP(B566, Passenger_Kilometre_by_mode_type[#All],MATCH(A566, Passenger_Kilometre_by_mode_type[#Headers],0),0)</f>
        <v>168685623.35438263</v>
      </c>
      <c r="F566" s="89">
        <f>VLOOKUP(C566, Reason_for_walking_cycling_journeys_by_percentage[#All],MATCH(A566, Reason_for_walking_cycling_journeys_by_percentage[#Headers],0),0)/100</f>
        <v>7.4500000000000011E-2</v>
      </c>
      <c r="G566" s="13">
        <f t="shared" si="41"/>
        <v>12567078.939901508</v>
      </c>
      <c r="H566" s="89">
        <f>VLOOKUP(D566,Average_Distance_by_kilometre_grouping_for_mode_type[#All],MATCH(A566,Average_Distance_by_kilometre_grouping_for_mode_type[#Headers],0),0)</f>
        <v>7</v>
      </c>
      <c r="I566" s="89">
        <f>VLOOKUP(D566,Average_Distance_by_kilometres_grouping_for_trip_purpose[#All],MATCH(A566,Average_Distance_by_kilometres_grouping_for_trip_purpose[#Headers],0),0)</f>
        <v>7</v>
      </c>
      <c r="J566" s="89">
        <f t="shared" si="42"/>
        <v>7</v>
      </c>
      <c r="K566" s="89">
        <f t="shared" si="43"/>
        <v>0.14210312626877789</v>
      </c>
      <c r="L566" s="89">
        <v>1</v>
      </c>
      <c r="M566" s="13">
        <f t="shared" si="44"/>
        <v>1785821.2054265235</v>
      </c>
      <c r="N566" s="11">
        <f t="shared" si="45"/>
        <v>3.4497381017971174E-5</v>
      </c>
    </row>
    <row r="567" spans="1:14" x14ac:dyDescent="0.25">
      <c r="A567" s="79" t="s">
        <v>32</v>
      </c>
      <c r="B567" s="89" t="s">
        <v>9</v>
      </c>
      <c r="C567" s="89" t="s">
        <v>56</v>
      </c>
      <c r="D567" s="13" t="s">
        <v>1</v>
      </c>
      <c r="E567" s="35">
        <f>VLOOKUP(B567, Passenger_Kilometre_by_mode_type[#All],MATCH(A567, Passenger_Kilometre_by_mode_type[#Headers],0),0)</f>
        <v>168685623.35438263</v>
      </c>
      <c r="F567" s="89">
        <f>VLOOKUP(C567, Reason_for_walking_cycling_journeys_by_percentage[#All],MATCH(A567, Reason_for_walking_cycling_journeys_by_percentage[#Headers],0),0)/100</f>
        <v>7.4500000000000011E-2</v>
      </c>
      <c r="G567" s="13">
        <f t="shared" si="41"/>
        <v>12567078.939901508</v>
      </c>
      <c r="H567" s="89">
        <f>VLOOKUP(D567,Average_Distance_by_kilometre_grouping_for_mode_type[#All],MATCH(A567,Average_Distance_by_kilometre_grouping_for_mode_type[#Headers],0),0)</f>
        <v>31.75</v>
      </c>
      <c r="I567" s="89">
        <f>VLOOKUP(D567,Average_Distance_by_kilometres_grouping_for_trip_purpose[#All],MATCH(A567,Average_Distance_by_kilometres_grouping_for_trip_purpose[#Headers],0),0)</f>
        <v>34.770000000000003</v>
      </c>
      <c r="J567" s="89">
        <f t="shared" si="42"/>
        <v>33.260000000000005</v>
      </c>
      <c r="K567" s="89">
        <f t="shared" si="43"/>
        <v>0.67519285424279341</v>
      </c>
      <c r="L567" s="89">
        <v>1</v>
      </c>
      <c r="M567" s="13">
        <f t="shared" si="44"/>
        <v>8485201.8989265971</v>
      </c>
      <c r="N567" s="11">
        <f t="shared" si="45"/>
        <v>1.6391184180824592E-4</v>
      </c>
    </row>
    <row r="568" spans="1:14" x14ac:dyDescent="0.25">
      <c r="A568" s="79" t="s">
        <v>32</v>
      </c>
      <c r="B568" s="89" t="s">
        <v>9</v>
      </c>
      <c r="C568" s="89" t="s">
        <v>57</v>
      </c>
      <c r="D568" s="13" t="s">
        <v>12</v>
      </c>
      <c r="E568" s="35">
        <f>VLOOKUP(B568, Passenger_Kilometre_by_mode_type[#All],MATCH(A568, Passenger_Kilometre_by_mode_type[#Headers],0),0)</f>
        <v>168685623.35438263</v>
      </c>
      <c r="F568" s="89">
        <f>VLOOKUP(C568, Reason_for_walking_cycling_journeys_by_percentage[#All],MATCH(A568, Reason_for_walking_cycling_journeys_by_percentage[#Headers],0),0)/100</f>
        <v>0.19524999999999998</v>
      </c>
      <c r="G568" s="13">
        <f t="shared" si="41"/>
        <v>32935867.959943205</v>
      </c>
      <c r="H568" s="89">
        <f>VLOOKUP(D568,Average_Distance_by_kilometre_grouping_for_mode_type[#All],MATCH(A568,Average_Distance_by_kilometre_grouping_for_mode_type[#Headers],0),0)</f>
        <v>1</v>
      </c>
      <c r="I568" s="89">
        <f>VLOOKUP(D568,Average_Distance_by_kilometres_grouping_for_trip_purpose[#All],MATCH(A568,Average_Distance_by_kilometres_grouping_for_trip_purpose[#Headers],0),0)</f>
        <v>1</v>
      </c>
      <c r="J568" s="89">
        <f t="shared" si="42"/>
        <v>1</v>
      </c>
      <c r="K568" s="89">
        <f t="shared" si="43"/>
        <v>2.0300446609825416E-2</v>
      </c>
      <c r="L568" s="89">
        <v>1</v>
      </c>
      <c r="M568" s="13">
        <f t="shared" si="44"/>
        <v>668612.82906908658</v>
      </c>
      <c r="N568" s="11">
        <f t="shared" si="45"/>
        <v>1.2915845913248073E-5</v>
      </c>
    </row>
    <row r="569" spans="1:14" x14ac:dyDescent="0.25">
      <c r="A569" s="79" t="s">
        <v>32</v>
      </c>
      <c r="B569" s="89" t="s">
        <v>9</v>
      </c>
      <c r="C569" s="89" t="s">
        <v>57</v>
      </c>
      <c r="D569" s="13" t="s">
        <v>181</v>
      </c>
      <c r="E569" s="35">
        <f>VLOOKUP(B569, Passenger_Kilometre_by_mode_type[#All],MATCH(A569, Passenger_Kilometre_by_mode_type[#Headers],0),0)</f>
        <v>168685623.35438263</v>
      </c>
      <c r="F569" s="89">
        <f>VLOOKUP(C569, Reason_for_walking_cycling_journeys_by_percentage[#All],MATCH(A569, Reason_for_walking_cycling_journeys_by_percentage[#Headers],0),0)/100</f>
        <v>0.19524999999999998</v>
      </c>
      <c r="G569" s="13">
        <f t="shared" si="41"/>
        <v>32935867.959943205</v>
      </c>
      <c r="H569" s="89">
        <f>VLOOKUP(D569,Average_Distance_by_kilometre_grouping_for_mode_type[#All],MATCH(A569,Average_Distance_by_kilometre_grouping_for_mode_type[#Headers],0),0)</f>
        <v>3</v>
      </c>
      <c r="I569" s="89">
        <f>VLOOKUP(D569,Average_Distance_by_kilometres_grouping_for_trip_purpose[#All],MATCH(A569,Average_Distance_by_kilometres_grouping_for_trip_purpose[#Headers],0),0)</f>
        <v>3</v>
      </c>
      <c r="J569" s="89">
        <f t="shared" si="42"/>
        <v>3</v>
      </c>
      <c r="K569" s="89">
        <f t="shared" si="43"/>
        <v>6.0901339829476243E-2</v>
      </c>
      <c r="L569" s="89">
        <v>1</v>
      </c>
      <c r="M569" s="13">
        <f t="shared" si="44"/>
        <v>2005838.4872072595</v>
      </c>
      <c r="N569" s="11">
        <f t="shared" si="45"/>
        <v>3.8747537739744219E-5</v>
      </c>
    </row>
    <row r="570" spans="1:14" x14ac:dyDescent="0.25">
      <c r="A570" s="79" t="s">
        <v>32</v>
      </c>
      <c r="B570" s="89" t="s">
        <v>9</v>
      </c>
      <c r="C570" s="89" t="s">
        <v>57</v>
      </c>
      <c r="D570" s="13" t="s">
        <v>180</v>
      </c>
      <c r="E570" s="35">
        <f>VLOOKUP(B570, Passenger_Kilometre_by_mode_type[#All],MATCH(A570, Passenger_Kilometre_by_mode_type[#Headers],0),0)</f>
        <v>168685623.35438263</v>
      </c>
      <c r="F570" s="89">
        <f>VLOOKUP(C570, Reason_for_walking_cycling_journeys_by_percentage[#All],MATCH(A570, Reason_for_walking_cycling_journeys_by_percentage[#Headers],0),0)/100</f>
        <v>0.19524999999999998</v>
      </c>
      <c r="G570" s="13">
        <f t="shared" si="41"/>
        <v>32935867.959943205</v>
      </c>
      <c r="H570" s="89">
        <f>VLOOKUP(D570,Average_Distance_by_kilometre_grouping_for_mode_type[#All],MATCH(A570,Average_Distance_by_kilometre_grouping_for_mode_type[#Headers],0),0)</f>
        <v>5</v>
      </c>
      <c r="I570" s="89">
        <f>VLOOKUP(D570,Average_Distance_by_kilometres_grouping_for_trip_purpose[#All],MATCH(A570,Average_Distance_by_kilometres_grouping_for_trip_purpose[#Headers],0),0)</f>
        <v>5</v>
      </c>
      <c r="J570" s="89">
        <f t="shared" si="42"/>
        <v>5</v>
      </c>
      <c r="K570" s="89">
        <f t="shared" si="43"/>
        <v>0.10150223304912707</v>
      </c>
      <c r="L570" s="89">
        <v>1</v>
      </c>
      <c r="M570" s="13">
        <f t="shared" si="44"/>
        <v>3343064.1453454327</v>
      </c>
      <c r="N570" s="11">
        <f t="shared" si="45"/>
        <v>6.4579229566240359E-5</v>
      </c>
    </row>
    <row r="571" spans="1:14" x14ac:dyDescent="0.25">
      <c r="A571" s="79" t="s">
        <v>32</v>
      </c>
      <c r="B571" s="89" t="s">
        <v>9</v>
      </c>
      <c r="C571" s="89" t="s">
        <v>57</v>
      </c>
      <c r="D571" s="13" t="s">
        <v>182</v>
      </c>
      <c r="E571" s="35">
        <f>VLOOKUP(B571, Passenger_Kilometre_by_mode_type[#All],MATCH(A571, Passenger_Kilometre_by_mode_type[#Headers],0),0)</f>
        <v>168685623.35438263</v>
      </c>
      <c r="F571" s="89">
        <f>VLOOKUP(C571, Reason_for_walking_cycling_journeys_by_percentage[#All],MATCH(A571, Reason_for_walking_cycling_journeys_by_percentage[#Headers],0),0)/100</f>
        <v>0.19524999999999998</v>
      </c>
      <c r="G571" s="13">
        <f t="shared" si="41"/>
        <v>32935867.959943205</v>
      </c>
      <c r="H571" s="89">
        <f>VLOOKUP(D571,Average_Distance_by_kilometre_grouping_for_mode_type[#All],MATCH(A571,Average_Distance_by_kilometre_grouping_for_mode_type[#Headers],0),0)</f>
        <v>7</v>
      </c>
      <c r="I571" s="89">
        <f>VLOOKUP(D571,Average_Distance_by_kilometres_grouping_for_trip_purpose[#All],MATCH(A571,Average_Distance_by_kilometres_grouping_for_trip_purpose[#Headers],0),0)</f>
        <v>7</v>
      </c>
      <c r="J571" s="89">
        <f t="shared" si="42"/>
        <v>7</v>
      </c>
      <c r="K571" s="89">
        <f t="shared" si="43"/>
        <v>0.14210312626877789</v>
      </c>
      <c r="L571" s="89">
        <v>1</v>
      </c>
      <c r="M571" s="13">
        <f t="shared" si="44"/>
        <v>4680289.8034836054</v>
      </c>
      <c r="N571" s="11">
        <f t="shared" si="45"/>
        <v>9.0410921392736505E-5</v>
      </c>
    </row>
    <row r="572" spans="1:14" x14ac:dyDescent="0.25">
      <c r="A572" s="79" t="s">
        <v>32</v>
      </c>
      <c r="B572" s="89" t="s">
        <v>9</v>
      </c>
      <c r="C572" s="89" t="s">
        <v>57</v>
      </c>
      <c r="D572" s="13" t="s">
        <v>1</v>
      </c>
      <c r="E572" s="35">
        <f>VLOOKUP(B572, Passenger_Kilometre_by_mode_type[#All],MATCH(A572, Passenger_Kilometre_by_mode_type[#Headers],0),0)</f>
        <v>168685623.35438263</v>
      </c>
      <c r="F572" s="89">
        <f>VLOOKUP(C572, Reason_for_walking_cycling_journeys_by_percentage[#All],MATCH(A572, Reason_for_walking_cycling_journeys_by_percentage[#Headers],0),0)/100</f>
        <v>0.19524999999999998</v>
      </c>
      <c r="G572" s="13">
        <f t="shared" si="41"/>
        <v>32935867.959943205</v>
      </c>
      <c r="H572" s="89">
        <f>VLOOKUP(D572,Average_Distance_by_kilometre_grouping_for_mode_type[#All],MATCH(A572,Average_Distance_by_kilometre_grouping_for_mode_type[#Headers],0),0)</f>
        <v>31.75</v>
      </c>
      <c r="I572" s="89">
        <f>VLOOKUP(D572,Average_Distance_by_kilometres_grouping_for_trip_purpose[#All],MATCH(A572,Average_Distance_by_kilometres_grouping_for_trip_purpose[#Headers],0),0)</f>
        <v>34.770000000000003</v>
      </c>
      <c r="J572" s="89">
        <f t="shared" si="42"/>
        <v>33.260000000000005</v>
      </c>
      <c r="K572" s="89">
        <f t="shared" si="43"/>
        <v>0.67519285424279341</v>
      </c>
      <c r="L572" s="89">
        <v>1</v>
      </c>
      <c r="M572" s="13">
        <f t="shared" si="44"/>
        <v>22238062.694837824</v>
      </c>
      <c r="N572" s="11">
        <f t="shared" si="45"/>
        <v>4.2958103507463103E-4</v>
      </c>
    </row>
    <row r="573" spans="1:14" x14ac:dyDescent="0.25">
      <c r="A573" s="79" t="s">
        <v>32</v>
      </c>
      <c r="B573" s="89" t="s">
        <v>9</v>
      </c>
      <c r="C573" s="89" t="s">
        <v>93</v>
      </c>
      <c r="D573" s="13" t="s">
        <v>12</v>
      </c>
      <c r="E573" s="35">
        <f>VLOOKUP(B573, Passenger_Kilometre_by_mode_type[#All],MATCH(A573, Passenger_Kilometre_by_mode_type[#Headers],0),0)</f>
        <v>168685623.35438263</v>
      </c>
      <c r="F573" s="89">
        <f>VLOOKUP(C573, Reason_for_walking_cycling_journeys_by_percentage[#All],MATCH(A573, Reason_for_walking_cycling_journeys_by_percentage[#Headers],0),0)/100</f>
        <v>4.4499999999999991E-2</v>
      </c>
      <c r="G573" s="13">
        <f t="shared" si="41"/>
        <v>7506510.2392700259</v>
      </c>
      <c r="H573" s="89">
        <f>VLOOKUP(D573,Average_Distance_by_kilometre_grouping_for_mode_type[#All],MATCH(A573,Average_Distance_by_kilometre_grouping_for_mode_type[#Headers],0),0)</f>
        <v>1</v>
      </c>
      <c r="I573" s="89">
        <f>VLOOKUP(D573,Average_Distance_by_kilometres_grouping_for_trip_purpose[#All],MATCH(A573,Average_Distance_by_kilometres_grouping_for_trip_purpose[#Headers],0),0)</f>
        <v>1</v>
      </c>
      <c r="J573" s="89">
        <f t="shared" si="42"/>
        <v>1</v>
      </c>
      <c r="K573" s="89">
        <f t="shared" si="43"/>
        <v>2.0300446609825416E-2</v>
      </c>
      <c r="L573" s="89">
        <v>1</v>
      </c>
      <c r="M573" s="13">
        <f t="shared" si="44"/>
        <v>152385.51033840896</v>
      </c>
      <c r="N573" s="11">
        <f t="shared" si="45"/>
        <v>2.9436883131346437E-6</v>
      </c>
    </row>
    <row r="574" spans="1:14" x14ac:dyDescent="0.25">
      <c r="A574" s="79" t="s">
        <v>32</v>
      </c>
      <c r="B574" s="89" t="s">
        <v>9</v>
      </c>
      <c r="C574" s="89" t="s">
        <v>93</v>
      </c>
      <c r="D574" s="13" t="s">
        <v>181</v>
      </c>
      <c r="E574" s="35">
        <f>VLOOKUP(B574, Passenger_Kilometre_by_mode_type[#All],MATCH(A574, Passenger_Kilometre_by_mode_type[#Headers],0),0)</f>
        <v>168685623.35438263</v>
      </c>
      <c r="F574" s="89">
        <f>VLOOKUP(C574, Reason_for_walking_cycling_journeys_by_percentage[#All],MATCH(A574, Reason_for_walking_cycling_journeys_by_percentage[#Headers],0),0)/100</f>
        <v>4.4499999999999991E-2</v>
      </c>
      <c r="G574" s="13">
        <f t="shared" si="41"/>
        <v>7506510.2392700259</v>
      </c>
      <c r="H574" s="89">
        <f>VLOOKUP(D574,Average_Distance_by_kilometre_grouping_for_mode_type[#All],MATCH(A574,Average_Distance_by_kilometre_grouping_for_mode_type[#Headers],0),0)</f>
        <v>3</v>
      </c>
      <c r="I574" s="89">
        <f>VLOOKUP(D574,Average_Distance_by_kilometres_grouping_for_trip_purpose[#All],MATCH(A574,Average_Distance_by_kilometres_grouping_for_trip_purpose[#Headers],0),0)</f>
        <v>3</v>
      </c>
      <c r="J574" s="89">
        <f t="shared" si="42"/>
        <v>3</v>
      </c>
      <c r="K574" s="89">
        <f t="shared" si="43"/>
        <v>6.0901339829476243E-2</v>
      </c>
      <c r="L574" s="89">
        <v>1</v>
      </c>
      <c r="M574" s="13">
        <f t="shared" si="44"/>
        <v>457156.53101522685</v>
      </c>
      <c r="N574" s="11">
        <f t="shared" si="45"/>
        <v>8.8310649394039305E-6</v>
      </c>
    </row>
    <row r="575" spans="1:14" x14ac:dyDescent="0.25">
      <c r="A575" s="79" t="s">
        <v>32</v>
      </c>
      <c r="B575" s="89" t="s">
        <v>9</v>
      </c>
      <c r="C575" s="89" t="s">
        <v>93</v>
      </c>
      <c r="D575" s="13" t="s">
        <v>180</v>
      </c>
      <c r="E575" s="35">
        <f>VLOOKUP(B575, Passenger_Kilometre_by_mode_type[#All],MATCH(A575, Passenger_Kilometre_by_mode_type[#Headers],0),0)</f>
        <v>168685623.35438263</v>
      </c>
      <c r="F575" s="89">
        <f>VLOOKUP(C575, Reason_for_walking_cycling_journeys_by_percentage[#All],MATCH(A575, Reason_for_walking_cycling_journeys_by_percentage[#Headers],0),0)/100</f>
        <v>4.4499999999999991E-2</v>
      </c>
      <c r="G575" s="13">
        <f t="shared" si="41"/>
        <v>7506510.2392700259</v>
      </c>
      <c r="H575" s="89">
        <f>VLOOKUP(D575,Average_Distance_by_kilometre_grouping_for_mode_type[#All],MATCH(A575,Average_Distance_by_kilometre_grouping_for_mode_type[#Headers],0),0)</f>
        <v>5</v>
      </c>
      <c r="I575" s="89">
        <f>VLOOKUP(D575,Average_Distance_by_kilometres_grouping_for_trip_purpose[#All],MATCH(A575,Average_Distance_by_kilometres_grouping_for_trip_purpose[#Headers],0),0)</f>
        <v>5</v>
      </c>
      <c r="J575" s="89">
        <f t="shared" si="42"/>
        <v>5</v>
      </c>
      <c r="K575" s="89">
        <f t="shared" si="43"/>
        <v>0.10150223304912707</v>
      </c>
      <c r="L575" s="89">
        <v>1</v>
      </c>
      <c r="M575" s="13">
        <f t="shared" si="44"/>
        <v>761927.55169204483</v>
      </c>
      <c r="N575" s="11">
        <f t="shared" si="45"/>
        <v>1.471844156567322E-5</v>
      </c>
    </row>
    <row r="576" spans="1:14" x14ac:dyDescent="0.25">
      <c r="A576" s="79" t="s">
        <v>32</v>
      </c>
      <c r="B576" s="89" t="s">
        <v>9</v>
      </c>
      <c r="C576" s="89" t="s">
        <v>93</v>
      </c>
      <c r="D576" s="13" t="s">
        <v>182</v>
      </c>
      <c r="E576" s="35">
        <f>VLOOKUP(B576, Passenger_Kilometre_by_mode_type[#All],MATCH(A576, Passenger_Kilometre_by_mode_type[#Headers],0),0)</f>
        <v>168685623.35438263</v>
      </c>
      <c r="F576" s="89">
        <f>VLOOKUP(C576, Reason_for_walking_cycling_journeys_by_percentage[#All],MATCH(A576, Reason_for_walking_cycling_journeys_by_percentage[#Headers],0),0)/100</f>
        <v>4.4499999999999991E-2</v>
      </c>
      <c r="G576" s="13">
        <f t="shared" si="41"/>
        <v>7506510.2392700259</v>
      </c>
      <c r="H576" s="89">
        <f>VLOOKUP(D576,Average_Distance_by_kilometre_grouping_for_mode_type[#All],MATCH(A576,Average_Distance_by_kilometre_grouping_for_mode_type[#Headers],0),0)</f>
        <v>7</v>
      </c>
      <c r="I576" s="89">
        <f>VLOOKUP(D576,Average_Distance_by_kilometres_grouping_for_trip_purpose[#All],MATCH(A576,Average_Distance_by_kilometres_grouping_for_trip_purpose[#Headers],0),0)</f>
        <v>7</v>
      </c>
      <c r="J576" s="89">
        <f t="shared" si="42"/>
        <v>7</v>
      </c>
      <c r="K576" s="89">
        <f t="shared" si="43"/>
        <v>0.14210312626877789</v>
      </c>
      <c r="L576" s="89">
        <v>1</v>
      </c>
      <c r="M576" s="13">
        <f t="shared" si="44"/>
        <v>1066698.5723688626</v>
      </c>
      <c r="N576" s="11">
        <f t="shared" si="45"/>
        <v>2.0605818191942505E-5</v>
      </c>
    </row>
    <row r="577" spans="1:14" x14ac:dyDescent="0.25">
      <c r="A577" s="79" t="s">
        <v>32</v>
      </c>
      <c r="B577" s="89" t="s">
        <v>9</v>
      </c>
      <c r="C577" s="89" t="s">
        <v>93</v>
      </c>
      <c r="D577" s="13" t="s">
        <v>1</v>
      </c>
      <c r="E577" s="35">
        <f>VLOOKUP(B577, Passenger_Kilometre_by_mode_type[#All],MATCH(A577, Passenger_Kilometre_by_mode_type[#Headers],0),0)</f>
        <v>168685623.35438263</v>
      </c>
      <c r="F577" s="89">
        <f>VLOOKUP(C577, Reason_for_walking_cycling_journeys_by_percentage[#All],MATCH(A577, Reason_for_walking_cycling_journeys_by_percentage[#Headers],0),0)/100</f>
        <v>4.4499999999999991E-2</v>
      </c>
      <c r="G577" s="13">
        <f t="shared" si="41"/>
        <v>7506510.2392700259</v>
      </c>
      <c r="H577" s="89">
        <f>VLOOKUP(D577,Average_Distance_by_kilometre_grouping_for_mode_type[#All],MATCH(A577,Average_Distance_by_kilometre_grouping_for_mode_type[#Headers],0),0)</f>
        <v>31.75</v>
      </c>
      <c r="I577" s="89">
        <f>VLOOKUP(D577,Average_Distance_by_kilometres_grouping_for_trip_purpose[#All],MATCH(A577,Average_Distance_by_kilometres_grouping_for_trip_purpose[#Headers],0),0)</f>
        <v>34.770000000000003</v>
      </c>
      <c r="J577" s="89">
        <f t="shared" si="42"/>
        <v>33.260000000000005</v>
      </c>
      <c r="K577" s="89">
        <f t="shared" si="43"/>
        <v>0.67519285424279341</v>
      </c>
      <c r="L577" s="89">
        <v>1</v>
      </c>
      <c r="M577" s="13">
        <f t="shared" si="44"/>
        <v>5068342.073855483</v>
      </c>
      <c r="N577" s="11">
        <f t="shared" si="45"/>
        <v>9.790707329485827E-5</v>
      </c>
    </row>
    <row r="578" spans="1:14" x14ac:dyDescent="0.25">
      <c r="A578" s="79" t="s">
        <v>32</v>
      </c>
      <c r="B578" s="89" t="s">
        <v>9</v>
      </c>
      <c r="C578" s="89" t="s">
        <v>243</v>
      </c>
      <c r="D578" s="13" t="s">
        <v>12</v>
      </c>
      <c r="E578" s="35">
        <f>VLOOKUP(B578, Passenger_Kilometre_by_mode_type[#All],MATCH(A578, Passenger_Kilometre_by_mode_type[#Headers],0),0)</f>
        <v>168685623.35438263</v>
      </c>
      <c r="F578" s="89">
        <f>VLOOKUP(C578, Reason_for_walking_cycling_journeys_by_percentage[#All],MATCH(A578, Reason_for_walking_cycling_journeys_by_percentage[#Headers],0),0)/100</f>
        <v>8.5500000000000007E-2</v>
      </c>
      <c r="G578" s="13">
        <f t="shared" si="41"/>
        <v>14422620.796799716</v>
      </c>
      <c r="H578" s="89">
        <f>VLOOKUP(D578,Average_Distance_by_kilometre_grouping_for_mode_type[#All],MATCH(A578,Average_Distance_by_kilometre_grouping_for_mode_type[#Headers],0),0)</f>
        <v>1</v>
      </c>
      <c r="I578" s="89">
        <f>VLOOKUP(D578,Average_Distance_by_kilometres_grouping_for_trip_purpose[#All],MATCH(A578,Average_Distance_by_kilometres_grouping_for_trip_purpose[#Headers],0),0)</f>
        <v>1</v>
      </c>
      <c r="J578" s="89">
        <f t="shared" si="42"/>
        <v>1</v>
      </c>
      <c r="K578" s="89">
        <f t="shared" si="43"/>
        <v>2.0300446609825416E-2</v>
      </c>
      <c r="L578" s="89">
        <v>1</v>
      </c>
      <c r="M578" s="13">
        <f t="shared" si="44"/>
        <v>292785.64345919032</v>
      </c>
      <c r="N578" s="11">
        <f t="shared" si="45"/>
        <v>5.6558505791688119E-6</v>
      </c>
    </row>
    <row r="579" spans="1:14" x14ac:dyDescent="0.25">
      <c r="A579" s="79" t="s">
        <v>32</v>
      </c>
      <c r="B579" s="89" t="s">
        <v>9</v>
      </c>
      <c r="C579" s="89" t="s">
        <v>243</v>
      </c>
      <c r="D579" s="13" t="s">
        <v>181</v>
      </c>
      <c r="E579" s="35">
        <f>VLOOKUP(B579, Passenger_Kilometre_by_mode_type[#All],MATCH(A579, Passenger_Kilometre_by_mode_type[#Headers],0),0)</f>
        <v>168685623.35438263</v>
      </c>
      <c r="F579" s="89">
        <f>VLOOKUP(C579, Reason_for_walking_cycling_journeys_by_percentage[#All],MATCH(A579, Reason_for_walking_cycling_journeys_by_percentage[#Headers],0),0)/100</f>
        <v>8.5500000000000007E-2</v>
      </c>
      <c r="G579" s="13">
        <f t="shared" si="41"/>
        <v>14422620.796799716</v>
      </c>
      <c r="H579" s="89">
        <f>VLOOKUP(D579,Average_Distance_by_kilometre_grouping_for_mode_type[#All],MATCH(A579,Average_Distance_by_kilometre_grouping_for_mode_type[#Headers],0),0)</f>
        <v>3</v>
      </c>
      <c r="I579" s="89">
        <f>VLOOKUP(D579,Average_Distance_by_kilometres_grouping_for_trip_purpose[#All],MATCH(A579,Average_Distance_by_kilometres_grouping_for_trip_purpose[#Headers],0),0)</f>
        <v>3</v>
      </c>
      <c r="J579" s="89">
        <f t="shared" si="42"/>
        <v>3</v>
      </c>
      <c r="K579" s="89">
        <f t="shared" si="43"/>
        <v>6.0901339829476243E-2</v>
      </c>
      <c r="L579" s="89">
        <v>1</v>
      </c>
      <c r="M579" s="13">
        <f t="shared" si="44"/>
        <v>878356.93037757091</v>
      </c>
      <c r="N579" s="11">
        <f t="shared" si="45"/>
        <v>1.6967551737506433E-5</v>
      </c>
    </row>
    <row r="580" spans="1:14" x14ac:dyDescent="0.25">
      <c r="A580" s="79" t="s">
        <v>32</v>
      </c>
      <c r="B580" s="89" t="s">
        <v>9</v>
      </c>
      <c r="C580" s="89" t="s">
        <v>243</v>
      </c>
      <c r="D580" s="13" t="s">
        <v>180</v>
      </c>
      <c r="E580" s="35">
        <f>VLOOKUP(B580, Passenger_Kilometre_by_mode_type[#All],MATCH(A580, Passenger_Kilometre_by_mode_type[#Headers],0),0)</f>
        <v>168685623.35438263</v>
      </c>
      <c r="F580" s="89">
        <f>VLOOKUP(C580, Reason_for_walking_cycling_journeys_by_percentage[#All],MATCH(A580, Reason_for_walking_cycling_journeys_by_percentage[#Headers],0),0)/100</f>
        <v>8.5500000000000007E-2</v>
      </c>
      <c r="G580" s="13">
        <f t="shared" ref="G580:G643" si="46">E580*F580</f>
        <v>14422620.796799716</v>
      </c>
      <c r="H580" s="89">
        <f>VLOOKUP(D580,Average_Distance_by_kilometre_grouping_for_mode_type[#All],MATCH(A580,Average_Distance_by_kilometre_grouping_for_mode_type[#Headers],0),0)</f>
        <v>5</v>
      </c>
      <c r="I580" s="89">
        <f>VLOOKUP(D580,Average_Distance_by_kilometres_grouping_for_trip_purpose[#All],MATCH(A580,Average_Distance_by_kilometres_grouping_for_trip_purpose[#Headers],0),0)</f>
        <v>5</v>
      </c>
      <c r="J580" s="89">
        <f t="shared" ref="J580:J643" si="47">AVERAGE(H580:I580)</f>
        <v>5</v>
      </c>
      <c r="K580" s="89">
        <f t="shared" ref="K580:K643" si="48">J580/SUM(J580:J584)</f>
        <v>0.10150223304912707</v>
      </c>
      <c r="L580" s="89">
        <v>1</v>
      </c>
      <c r="M580" s="13">
        <f t="shared" ref="M580:M643" si="49">G580*K580*L580</f>
        <v>1463928.2172959514</v>
      </c>
      <c r="N580" s="11">
        <f t="shared" si="45"/>
        <v>2.8279252895844055E-5</v>
      </c>
    </row>
    <row r="581" spans="1:14" x14ac:dyDescent="0.25">
      <c r="A581" s="79" t="s">
        <v>32</v>
      </c>
      <c r="B581" s="89" t="s">
        <v>9</v>
      </c>
      <c r="C581" s="89" t="s">
        <v>243</v>
      </c>
      <c r="D581" s="13" t="s">
        <v>182</v>
      </c>
      <c r="E581" s="35">
        <f>VLOOKUP(B581, Passenger_Kilometre_by_mode_type[#All],MATCH(A581, Passenger_Kilometre_by_mode_type[#Headers],0),0)</f>
        <v>168685623.35438263</v>
      </c>
      <c r="F581" s="89">
        <f>VLOOKUP(C581, Reason_for_walking_cycling_journeys_by_percentage[#All],MATCH(A581, Reason_for_walking_cycling_journeys_by_percentage[#Headers],0),0)/100</f>
        <v>8.5500000000000007E-2</v>
      </c>
      <c r="G581" s="13">
        <f t="shared" si="46"/>
        <v>14422620.796799716</v>
      </c>
      <c r="H581" s="89">
        <f>VLOOKUP(D581,Average_Distance_by_kilometre_grouping_for_mode_type[#All],MATCH(A581,Average_Distance_by_kilometre_grouping_for_mode_type[#Headers],0),0)</f>
        <v>7</v>
      </c>
      <c r="I581" s="89">
        <f>VLOOKUP(D581,Average_Distance_by_kilometres_grouping_for_trip_purpose[#All],MATCH(A581,Average_Distance_by_kilometres_grouping_for_trip_purpose[#Headers],0),0)</f>
        <v>7</v>
      </c>
      <c r="J581" s="89">
        <f t="shared" si="47"/>
        <v>7</v>
      </c>
      <c r="K581" s="89">
        <f t="shared" si="48"/>
        <v>0.14210312626877789</v>
      </c>
      <c r="L581" s="89">
        <v>1</v>
      </c>
      <c r="M581" s="13">
        <f t="shared" si="49"/>
        <v>2049499.504214332</v>
      </c>
      <c r="N581" s="11">
        <f t="shared" si="45"/>
        <v>3.9590954054181677E-5</v>
      </c>
    </row>
    <row r="582" spans="1:14" x14ac:dyDescent="0.25">
      <c r="A582" s="79" t="s">
        <v>32</v>
      </c>
      <c r="B582" s="89" t="s">
        <v>9</v>
      </c>
      <c r="C582" s="89" t="s">
        <v>243</v>
      </c>
      <c r="D582" s="13" t="s">
        <v>1</v>
      </c>
      <c r="E582" s="35">
        <f>VLOOKUP(B582, Passenger_Kilometre_by_mode_type[#All],MATCH(A582, Passenger_Kilometre_by_mode_type[#Headers],0),0)</f>
        <v>168685623.35438263</v>
      </c>
      <c r="F582" s="89">
        <f>VLOOKUP(C582, Reason_for_walking_cycling_journeys_by_percentage[#All],MATCH(A582, Reason_for_walking_cycling_journeys_by_percentage[#Headers],0),0)/100</f>
        <v>8.5500000000000007E-2</v>
      </c>
      <c r="G582" s="13">
        <f t="shared" si="46"/>
        <v>14422620.796799716</v>
      </c>
      <c r="H582" s="89">
        <f>VLOOKUP(D582,Average_Distance_by_kilometre_grouping_for_mode_type[#All],MATCH(A582,Average_Distance_by_kilometre_grouping_for_mode_type[#Headers],0),0)</f>
        <v>31.75</v>
      </c>
      <c r="I582" s="89">
        <f>VLOOKUP(D582,Average_Distance_by_kilometres_grouping_for_trip_purpose[#All],MATCH(A582,Average_Distance_by_kilometres_grouping_for_trip_purpose[#Headers],0),0)</f>
        <v>34.770000000000003</v>
      </c>
      <c r="J582" s="89">
        <f t="shared" si="47"/>
        <v>33.260000000000005</v>
      </c>
      <c r="K582" s="89">
        <f t="shared" si="48"/>
        <v>0.67519285424279341</v>
      </c>
      <c r="L582" s="89">
        <v>1</v>
      </c>
      <c r="M582" s="13">
        <f t="shared" si="49"/>
        <v>9738050.5014526714</v>
      </c>
      <c r="N582" s="11">
        <f t="shared" si="45"/>
        <v>1.8811359026315469E-4</v>
      </c>
    </row>
    <row r="583" spans="1:14" x14ac:dyDescent="0.25">
      <c r="A583" s="79" t="s">
        <v>32</v>
      </c>
      <c r="B583" s="89" t="s">
        <v>9</v>
      </c>
      <c r="C583" s="89" t="s">
        <v>50</v>
      </c>
      <c r="D583" s="13" t="s">
        <v>12</v>
      </c>
      <c r="E583" s="35">
        <f>VLOOKUP(B583, Passenger_Kilometre_by_mode_type[#All],MATCH(A583, Passenger_Kilometre_by_mode_type[#Headers],0),0)</f>
        <v>168685623.35438263</v>
      </c>
      <c r="F583" s="89">
        <f>VLOOKUP(C583, Reason_for_walking_cycling_journeys_by_percentage[#All],MATCH(A583, Reason_for_walking_cycling_journeys_by_percentage[#Headers],0),0)/100</f>
        <v>6.4000000000000001E-2</v>
      </c>
      <c r="G583" s="13">
        <f t="shared" si="46"/>
        <v>10795879.894680489</v>
      </c>
      <c r="H583" s="89">
        <f>VLOOKUP(D583,Average_Distance_by_kilometre_grouping_for_mode_type[#All],MATCH(A583,Average_Distance_by_kilometre_grouping_for_mode_type[#Headers],0),0)</f>
        <v>1</v>
      </c>
      <c r="I583" s="89">
        <f>VLOOKUP(D583,Average_Distance_by_kilometres_grouping_for_trip_purpose[#All],MATCH(A583,Average_Distance_by_kilometres_grouping_for_trip_purpose[#Headers],0),0)</f>
        <v>1</v>
      </c>
      <c r="J583" s="89">
        <f t="shared" si="47"/>
        <v>1</v>
      </c>
      <c r="K583" s="89">
        <f t="shared" si="48"/>
        <v>2.0300446609825416E-2</v>
      </c>
      <c r="L583" s="89">
        <v>1</v>
      </c>
      <c r="M583" s="13">
        <f t="shared" si="49"/>
        <v>219161.18340804891</v>
      </c>
      <c r="N583" s="11">
        <f t="shared" si="45"/>
        <v>4.233619146980163E-6</v>
      </c>
    </row>
    <row r="584" spans="1:14" x14ac:dyDescent="0.25">
      <c r="A584" s="79" t="s">
        <v>32</v>
      </c>
      <c r="B584" s="89" t="s">
        <v>9</v>
      </c>
      <c r="C584" s="89" t="s">
        <v>50</v>
      </c>
      <c r="D584" s="13" t="s">
        <v>181</v>
      </c>
      <c r="E584" s="35">
        <f>VLOOKUP(B584, Passenger_Kilometre_by_mode_type[#All],MATCH(A584, Passenger_Kilometre_by_mode_type[#Headers],0),0)</f>
        <v>168685623.35438263</v>
      </c>
      <c r="F584" s="89">
        <f>VLOOKUP(C584, Reason_for_walking_cycling_journeys_by_percentage[#All],MATCH(A584, Reason_for_walking_cycling_journeys_by_percentage[#Headers],0),0)/100</f>
        <v>6.4000000000000001E-2</v>
      </c>
      <c r="G584" s="13">
        <f t="shared" si="46"/>
        <v>10795879.894680489</v>
      </c>
      <c r="H584" s="89">
        <f>VLOOKUP(D584,Average_Distance_by_kilometre_grouping_for_mode_type[#All],MATCH(A584,Average_Distance_by_kilometre_grouping_for_mode_type[#Headers],0),0)</f>
        <v>3</v>
      </c>
      <c r="I584" s="89">
        <f>VLOOKUP(D584,Average_Distance_by_kilometres_grouping_for_trip_purpose[#All],MATCH(A584,Average_Distance_by_kilometres_grouping_for_trip_purpose[#Headers],0),0)</f>
        <v>3</v>
      </c>
      <c r="J584" s="89">
        <f t="shared" si="47"/>
        <v>3</v>
      </c>
      <c r="K584" s="89">
        <f t="shared" si="48"/>
        <v>6.0901339829476243E-2</v>
      </c>
      <c r="L584" s="89">
        <v>1</v>
      </c>
      <c r="M584" s="13">
        <f t="shared" si="49"/>
        <v>657483.55022414669</v>
      </c>
      <c r="N584" s="11">
        <f t="shared" si="45"/>
        <v>1.270085744094049E-5</v>
      </c>
    </row>
    <row r="585" spans="1:14" x14ac:dyDescent="0.25">
      <c r="A585" s="79" t="s">
        <v>32</v>
      </c>
      <c r="B585" s="89" t="s">
        <v>9</v>
      </c>
      <c r="C585" s="89" t="s">
        <v>50</v>
      </c>
      <c r="D585" s="13" t="s">
        <v>180</v>
      </c>
      <c r="E585" s="35">
        <f>VLOOKUP(B585, Passenger_Kilometre_by_mode_type[#All],MATCH(A585, Passenger_Kilometre_by_mode_type[#Headers],0),0)</f>
        <v>168685623.35438263</v>
      </c>
      <c r="F585" s="89">
        <f>VLOOKUP(C585, Reason_for_walking_cycling_journeys_by_percentage[#All],MATCH(A585, Reason_for_walking_cycling_journeys_by_percentage[#Headers],0),0)/100</f>
        <v>6.4000000000000001E-2</v>
      </c>
      <c r="G585" s="13">
        <f t="shared" si="46"/>
        <v>10795879.894680489</v>
      </c>
      <c r="H585" s="89">
        <f>VLOOKUP(D585,Average_Distance_by_kilometre_grouping_for_mode_type[#All],MATCH(A585,Average_Distance_by_kilometre_grouping_for_mode_type[#Headers],0),0)</f>
        <v>5</v>
      </c>
      <c r="I585" s="89">
        <f>VLOOKUP(D585,Average_Distance_by_kilometres_grouping_for_trip_purpose[#All],MATCH(A585,Average_Distance_by_kilometres_grouping_for_trip_purpose[#Headers],0),0)</f>
        <v>5</v>
      </c>
      <c r="J585" s="89">
        <f t="shared" si="47"/>
        <v>5</v>
      </c>
      <c r="K585" s="89">
        <f t="shared" si="48"/>
        <v>0.10150223304912707</v>
      </c>
      <c r="L585" s="89">
        <v>1</v>
      </c>
      <c r="M585" s="13">
        <f t="shared" si="49"/>
        <v>1095805.9170402444</v>
      </c>
      <c r="N585" s="11">
        <f t="shared" si="45"/>
        <v>2.1168095734900816E-5</v>
      </c>
    </row>
    <row r="586" spans="1:14" x14ac:dyDescent="0.25">
      <c r="A586" s="79" t="s">
        <v>32</v>
      </c>
      <c r="B586" s="89" t="s">
        <v>9</v>
      </c>
      <c r="C586" s="89" t="s">
        <v>50</v>
      </c>
      <c r="D586" s="13" t="s">
        <v>182</v>
      </c>
      <c r="E586" s="35">
        <f>VLOOKUP(B586, Passenger_Kilometre_by_mode_type[#All],MATCH(A586, Passenger_Kilometre_by_mode_type[#Headers],0),0)</f>
        <v>168685623.35438263</v>
      </c>
      <c r="F586" s="89">
        <f>VLOOKUP(C586, Reason_for_walking_cycling_journeys_by_percentage[#All],MATCH(A586, Reason_for_walking_cycling_journeys_by_percentage[#Headers],0),0)/100</f>
        <v>6.4000000000000001E-2</v>
      </c>
      <c r="G586" s="13">
        <f t="shared" si="46"/>
        <v>10795879.894680489</v>
      </c>
      <c r="H586" s="89">
        <f>VLOOKUP(D586,Average_Distance_by_kilometre_grouping_for_mode_type[#All],MATCH(A586,Average_Distance_by_kilometre_grouping_for_mode_type[#Headers],0),0)</f>
        <v>7</v>
      </c>
      <c r="I586" s="89">
        <f>VLOOKUP(D586,Average_Distance_by_kilometres_grouping_for_trip_purpose[#All],MATCH(A586,Average_Distance_by_kilometres_grouping_for_trip_purpose[#Headers],0),0)</f>
        <v>7</v>
      </c>
      <c r="J586" s="89">
        <f t="shared" si="47"/>
        <v>7</v>
      </c>
      <c r="K586" s="89">
        <f t="shared" si="48"/>
        <v>0.14210312626877789</v>
      </c>
      <c r="L586" s="89">
        <v>1</v>
      </c>
      <c r="M586" s="13">
        <f t="shared" si="49"/>
        <v>1534128.2838563421</v>
      </c>
      <c r="N586" s="11">
        <f t="shared" si="45"/>
        <v>2.9635334028861137E-5</v>
      </c>
    </row>
    <row r="587" spans="1:14" x14ac:dyDescent="0.25">
      <c r="A587" s="79" t="s">
        <v>32</v>
      </c>
      <c r="B587" s="89" t="s">
        <v>9</v>
      </c>
      <c r="C587" s="89" t="s">
        <v>50</v>
      </c>
      <c r="D587" s="13" t="s">
        <v>1</v>
      </c>
      <c r="E587" s="35">
        <f>VLOOKUP(B587, Passenger_Kilometre_by_mode_type[#All],MATCH(A587, Passenger_Kilometre_by_mode_type[#Headers],0),0)</f>
        <v>168685623.35438263</v>
      </c>
      <c r="F587" s="89">
        <f>VLOOKUP(C587, Reason_for_walking_cycling_journeys_by_percentage[#All],MATCH(A587, Reason_for_walking_cycling_journeys_by_percentage[#Headers],0),0)/100</f>
        <v>6.4000000000000001E-2</v>
      </c>
      <c r="G587" s="13">
        <f t="shared" si="46"/>
        <v>10795879.894680489</v>
      </c>
      <c r="H587" s="89">
        <f>VLOOKUP(D587,Average_Distance_by_kilometre_grouping_for_mode_type[#All],MATCH(A587,Average_Distance_by_kilometre_grouping_for_mode_type[#Headers],0),0)</f>
        <v>31.75</v>
      </c>
      <c r="I587" s="89">
        <f>VLOOKUP(D587,Average_Distance_by_kilometres_grouping_for_trip_purpose[#All],MATCH(A587,Average_Distance_by_kilometres_grouping_for_trip_purpose[#Headers],0),0)</f>
        <v>34.770000000000003</v>
      </c>
      <c r="J587" s="89">
        <f t="shared" si="47"/>
        <v>33.260000000000005</v>
      </c>
      <c r="K587" s="89">
        <f t="shared" si="48"/>
        <v>0.67519285424279341</v>
      </c>
      <c r="L587" s="89">
        <v>1</v>
      </c>
      <c r="M587" s="13">
        <f t="shared" si="49"/>
        <v>7289300.9601517068</v>
      </c>
      <c r="N587" s="11">
        <f t="shared" si="45"/>
        <v>1.4081017282856022E-4</v>
      </c>
    </row>
    <row r="588" spans="1:14" x14ac:dyDescent="0.25">
      <c r="A588" s="79" t="s">
        <v>32</v>
      </c>
      <c r="B588" s="89" t="s">
        <v>10</v>
      </c>
      <c r="C588" s="89" t="s">
        <v>42</v>
      </c>
      <c r="D588" s="13" t="s">
        <v>12</v>
      </c>
      <c r="E588" s="35">
        <f>VLOOKUP(B588, Passenger_Kilometre_by_mode_type[#All],MATCH(A588, Passenger_Kilometre_by_mode_type[#Headers],0),0)</f>
        <v>2097797422.3808711</v>
      </c>
      <c r="F588" s="89">
        <f>VLOOKUP(C588, Reason_for_public_transport_journeys_by_percentage[#All],MATCH(A588, Reason_for_public_transport_journeys_by_percentage[#Headers],0),0)/100</f>
        <v>0.28824999999999995</v>
      </c>
      <c r="G588" s="13">
        <f t="shared" si="46"/>
        <v>604690107.00128603</v>
      </c>
      <c r="H588" s="89">
        <f>VLOOKUP(D588,Average_Distance_by_kilometre_grouping_for_mode_type[#All],MATCH(A588,Average_Distance_by_kilometre_grouping_for_mode_type[#Headers],0),0)</f>
        <v>1</v>
      </c>
      <c r="I588" s="89">
        <f>VLOOKUP(D588,Average_Distance_by_kilometres_grouping_for_trip_purpose[#All],MATCH(A588,Average_Distance_by_kilometres_grouping_for_trip_purpose[#Headers],0),0)</f>
        <v>1</v>
      </c>
      <c r="J588" s="89">
        <f t="shared" si="47"/>
        <v>1</v>
      </c>
      <c r="K588" s="89">
        <f t="shared" si="48"/>
        <v>2.0300446609825416E-2</v>
      </c>
      <c r="L588" s="89">
        <v>1</v>
      </c>
      <c r="M588" s="13">
        <f t="shared" si="49"/>
        <v>12275479.232669225</v>
      </c>
      <c r="N588" s="11">
        <f t="shared" si="45"/>
        <v>2.3713005701846905E-4</v>
      </c>
    </row>
    <row r="589" spans="1:14" x14ac:dyDescent="0.25">
      <c r="A589" s="79" t="s">
        <v>32</v>
      </c>
      <c r="B589" s="89" t="s">
        <v>10</v>
      </c>
      <c r="C589" s="89" t="s">
        <v>42</v>
      </c>
      <c r="D589" s="13" t="s">
        <v>181</v>
      </c>
      <c r="E589" s="35">
        <f>VLOOKUP(B589, Passenger_Kilometre_by_mode_type[#All],MATCH(A589, Passenger_Kilometre_by_mode_type[#Headers],0),0)</f>
        <v>2097797422.3808711</v>
      </c>
      <c r="F589" s="89">
        <f>VLOOKUP(C589, Reason_for_public_transport_journeys_by_percentage[#All],MATCH(A589, Reason_for_public_transport_journeys_by_percentage[#Headers],0),0)/100</f>
        <v>0.28824999999999995</v>
      </c>
      <c r="G589" s="13">
        <f t="shared" si="46"/>
        <v>604690107.00128603</v>
      </c>
      <c r="H589" s="89">
        <f>VLOOKUP(D589,Average_Distance_by_kilometre_grouping_for_mode_type[#All],MATCH(A589,Average_Distance_by_kilometre_grouping_for_mode_type[#Headers],0),0)</f>
        <v>3</v>
      </c>
      <c r="I589" s="89">
        <f>VLOOKUP(D589,Average_Distance_by_kilometres_grouping_for_trip_purpose[#All],MATCH(A589,Average_Distance_by_kilometres_grouping_for_trip_purpose[#Headers],0),0)</f>
        <v>3</v>
      </c>
      <c r="J589" s="89">
        <f t="shared" si="47"/>
        <v>3</v>
      </c>
      <c r="K589" s="89">
        <f t="shared" si="48"/>
        <v>6.0901339829476243E-2</v>
      </c>
      <c r="L589" s="89">
        <v>1</v>
      </c>
      <c r="M589" s="13">
        <f t="shared" si="49"/>
        <v>36826437.698007673</v>
      </c>
      <c r="N589" s="11">
        <f t="shared" si="45"/>
        <v>7.1139017105540715E-4</v>
      </c>
    </row>
    <row r="590" spans="1:14" x14ac:dyDescent="0.25">
      <c r="A590" s="79" t="s">
        <v>32</v>
      </c>
      <c r="B590" s="89" t="s">
        <v>10</v>
      </c>
      <c r="C590" s="89" t="s">
        <v>42</v>
      </c>
      <c r="D590" s="13" t="s">
        <v>180</v>
      </c>
      <c r="E590" s="35">
        <f>VLOOKUP(B590, Passenger_Kilometre_by_mode_type[#All],MATCH(A590, Passenger_Kilometre_by_mode_type[#Headers],0),0)</f>
        <v>2097797422.3808711</v>
      </c>
      <c r="F590" s="89">
        <f>VLOOKUP(C590, Reason_for_public_transport_journeys_by_percentage[#All],MATCH(A590, Reason_for_public_transport_journeys_by_percentage[#Headers],0),0)/100</f>
        <v>0.28824999999999995</v>
      </c>
      <c r="G590" s="13">
        <f t="shared" si="46"/>
        <v>604690107.00128603</v>
      </c>
      <c r="H590" s="89">
        <f>VLOOKUP(D590,Average_Distance_by_kilometre_grouping_for_mode_type[#All],MATCH(A590,Average_Distance_by_kilometre_grouping_for_mode_type[#Headers],0),0)</f>
        <v>5</v>
      </c>
      <c r="I590" s="89">
        <f>VLOOKUP(D590,Average_Distance_by_kilometres_grouping_for_trip_purpose[#All],MATCH(A590,Average_Distance_by_kilometres_grouping_for_trip_purpose[#Headers],0),0)</f>
        <v>5</v>
      </c>
      <c r="J590" s="89">
        <f t="shared" si="47"/>
        <v>5</v>
      </c>
      <c r="K590" s="89">
        <f t="shared" si="48"/>
        <v>0.10150223304912707</v>
      </c>
      <c r="L590" s="89">
        <v>1</v>
      </c>
      <c r="M590" s="13">
        <f t="shared" si="49"/>
        <v>61377396.163346119</v>
      </c>
      <c r="N590" s="11">
        <f t="shared" si="45"/>
        <v>1.1856502850923452E-3</v>
      </c>
    </row>
    <row r="591" spans="1:14" x14ac:dyDescent="0.25">
      <c r="A591" s="79" t="s">
        <v>32</v>
      </c>
      <c r="B591" s="89" t="s">
        <v>10</v>
      </c>
      <c r="C591" s="89" t="s">
        <v>42</v>
      </c>
      <c r="D591" s="13" t="s">
        <v>182</v>
      </c>
      <c r="E591" s="35">
        <f>VLOOKUP(B591, Passenger_Kilometre_by_mode_type[#All],MATCH(A591, Passenger_Kilometre_by_mode_type[#Headers],0),0)</f>
        <v>2097797422.3808711</v>
      </c>
      <c r="F591" s="89">
        <f>VLOOKUP(C591, Reason_for_public_transport_journeys_by_percentage[#All],MATCH(A591, Reason_for_public_transport_journeys_by_percentage[#Headers],0),0)/100</f>
        <v>0.28824999999999995</v>
      </c>
      <c r="G591" s="13">
        <f t="shared" si="46"/>
        <v>604690107.00128603</v>
      </c>
      <c r="H591" s="89">
        <f>VLOOKUP(D591,Average_Distance_by_kilometre_grouping_for_mode_type[#All],MATCH(A591,Average_Distance_by_kilometre_grouping_for_mode_type[#Headers],0),0)</f>
        <v>7</v>
      </c>
      <c r="I591" s="89">
        <f>VLOOKUP(D591,Average_Distance_by_kilometres_grouping_for_trip_purpose[#All],MATCH(A591,Average_Distance_by_kilometres_grouping_for_trip_purpose[#Headers],0),0)</f>
        <v>7</v>
      </c>
      <c r="J591" s="89">
        <f t="shared" si="47"/>
        <v>7</v>
      </c>
      <c r="K591" s="89">
        <f t="shared" si="48"/>
        <v>0.14210312626877789</v>
      </c>
      <c r="L591" s="89">
        <v>1</v>
      </c>
      <c r="M591" s="13">
        <f t="shared" si="49"/>
        <v>85928354.628684565</v>
      </c>
      <c r="N591" s="11">
        <f t="shared" si="45"/>
        <v>1.6599103991292833E-3</v>
      </c>
    </row>
    <row r="592" spans="1:14" x14ac:dyDescent="0.25">
      <c r="A592" s="79" t="s">
        <v>32</v>
      </c>
      <c r="B592" s="89" t="s">
        <v>10</v>
      </c>
      <c r="C592" s="89" t="s">
        <v>42</v>
      </c>
      <c r="D592" s="13" t="s">
        <v>1</v>
      </c>
      <c r="E592" s="35">
        <f>VLOOKUP(B592, Passenger_Kilometre_by_mode_type[#All],MATCH(A592, Passenger_Kilometre_by_mode_type[#Headers],0),0)</f>
        <v>2097797422.3808711</v>
      </c>
      <c r="F592" s="89">
        <f>VLOOKUP(C592, Reason_for_public_transport_journeys_by_percentage[#All],MATCH(A592, Reason_for_public_transport_journeys_by_percentage[#Headers],0),0)/100</f>
        <v>0.28824999999999995</v>
      </c>
      <c r="G592" s="13">
        <f t="shared" si="46"/>
        <v>604690107.00128603</v>
      </c>
      <c r="H592" s="89">
        <f>VLOOKUP(D592,Average_Distance_by_kilometre_grouping_for_mode_type[#All],MATCH(A592,Average_Distance_by_kilometre_grouping_for_mode_type[#Headers],0),0)</f>
        <v>31.75</v>
      </c>
      <c r="I592" s="89">
        <f>VLOOKUP(D592,Average_Distance_by_kilometres_grouping_for_trip_purpose[#All],MATCH(A592,Average_Distance_by_kilometres_grouping_for_trip_purpose[#Headers],0),0)</f>
        <v>34.770000000000003</v>
      </c>
      <c r="J592" s="89">
        <f t="shared" si="47"/>
        <v>33.260000000000005</v>
      </c>
      <c r="K592" s="89">
        <f t="shared" si="48"/>
        <v>0.67519285424279341</v>
      </c>
      <c r="L592" s="89">
        <v>1</v>
      </c>
      <c r="M592" s="13">
        <f t="shared" si="49"/>
        <v>408282439.27857846</v>
      </c>
      <c r="N592" s="11">
        <f t="shared" si="45"/>
        <v>7.8869456964342811E-3</v>
      </c>
    </row>
    <row r="593" spans="1:14" x14ac:dyDescent="0.25">
      <c r="A593" s="79" t="s">
        <v>32</v>
      </c>
      <c r="B593" s="89" t="s">
        <v>10</v>
      </c>
      <c r="C593" s="89" t="s">
        <v>43</v>
      </c>
      <c r="D593" s="13" t="s">
        <v>12</v>
      </c>
      <c r="E593" s="35">
        <f>VLOOKUP(B593, Passenger_Kilometre_by_mode_type[#All],MATCH(A593, Passenger_Kilometre_by_mode_type[#Headers],0),0)</f>
        <v>2097797422.3808711</v>
      </c>
      <c r="F593" s="89">
        <f>VLOOKUP(C593, Reason_for_public_transport_journeys_by_percentage[#All],MATCH(A593, Reason_for_public_transport_journeys_by_percentage[#Headers],0),0)/100</f>
        <v>0.12437499999999999</v>
      </c>
      <c r="G593" s="13">
        <f t="shared" si="46"/>
        <v>260913554.4086208</v>
      </c>
      <c r="H593" s="89">
        <f>VLOOKUP(D593,Average_Distance_by_kilometre_grouping_for_mode_type[#All],MATCH(A593,Average_Distance_by_kilometre_grouping_for_mode_type[#Headers],0),0)</f>
        <v>1</v>
      </c>
      <c r="I593" s="89">
        <f>VLOOKUP(D593,Average_Distance_by_kilometres_grouping_for_trip_purpose[#All],MATCH(A593,Average_Distance_by_kilometres_grouping_for_trip_purpose[#Headers],0),0)</f>
        <v>1</v>
      </c>
      <c r="J593" s="89">
        <f t="shared" si="47"/>
        <v>1</v>
      </c>
      <c r="K593" s="89">
        <f t="shared" si="48"/>
        <v>2.0300446609825416E-2</v>
      </c>
      <c r="L593" s="89">
        <v>1</v>
      </c>
      <c r="M593" s="13">
        <f t="shared" si="49"/>
        <v>5296661.6810519854</v>
      </c>
      <c r="N593" s="11">
        <f t="shared" si="45"/>
        <v>1.0231760916451721E-4</v>
      </c>
    </row>
    <row r="594" spans="1:14" x14ac:dyDescent="0.25">
      <c r="A594" s="79" t="s">
        <v>32</v>
      </c>
      <c r="B594" s="89" t="s">
        <v>10</v>
      </c>
      <c r="C594" s="89" t="s">
        <v>43</v>
      </c>
      <c r="D594" s="13" t="s">
        <v>181</v>
      </c>
      <c r="E594" s="35">
        <f>VLOOKUP(B594, Passenger_Kilometre_by_mode_type[#All],MATCH(A594, Passenger_Kilometre_by_mode_type[#Headers],0),0)</f>
        <v>2097797422.3808711</v>
      </c>
      <c r="F594" s="89">
        <f>VLOOKUP(C594, Reason_for_public_transport_journeys_by_percentage[#All],MATCH(A594, Reason_for_public_transport_journeys_by_percentage[#Headers],0),0)/100</f>
        <v>0.12437499999999999</v>
      </c>
      <c r="G594" s="13">
        <f t="shared" si="46"/>
        <v>260913554.4086208</v>
      </c>
      <c r="H594" s="89">
        <f>VLOOKUP(D594,Average_Distance_by_kilometre_grouping_for_mode_type[#All],MATCH(A594,Average_Distance_by_kilometre_grouping_for_mode_type[#Headers],0),0)</f>
        <v>3</v>
      </c>
      <c r="I594" s="89">
        <f>VLOOKUP(D594,Average_Distance_by_kilometres_grouping_for_trip_purpose[#All],MATCH(A594,Average_Distance_by_kilometres_grouping_for_trip_purpose[#Headers],0),0)</f>
        <v>3</v>
      </c>
      <c r="J594" s="89">
        <f t="shared" si="47"/>
        <v>3</v>
      </c>
      <c r="K594" s="89">
        <f t="shared" si="48"/>
        <v>6.0901339829476243E-2</v>
      </c>
      <c r="L594" s="89">
        <v>1</v>
      </c>
      <c r="M594" s="13">
        <f t="shared" si="49"/>
        <v>15889985.043155955</v>
      </c>
      <c r="N594" s="11">
        <f t="shared" si="45"/>
        <v>3.0695282749355164E-4</v>
      </c>
    </row>
    <row r="595" spans="1:14" x14ac:dyDescent="0.25">
      <c r="A595" s="79" t="s">
        <v>32</v>
      </c>
      <c r="B595" s="89" t="s">
        <v>10</v>
      </c>
      <c r="C595" s="89" t="s">
        <v>43</v>
      </c>
      <c r="D595" s="13" t="s">
        <v>180</v>
      </c>
      <c r="E595" s="35">
        <f>VLOOKUP(B595, Passenger_Kilometre_by_mode_type[#All],MATCH(A595, Passenger_Kilometre_by_mode_type[#Headers],0),0)</f>
        <v>2097797422.3808711</v>
      </c>
      <c r="F595" s="89">
        <f>VLOOKUP(C595, Reason_for_public_transport_journeys_by_percentage[#All],MATCH(A595, Reason_for_public_transport_journeys_by_percentage[#Headers],0),0)/100</f>
        <v>0.12437499999999999</v>
      </c>
      <c r="G595" s="13">
        <f t="shared" si="46"/>
        <v>260913554.4086208</v>
      </c>
      <c r="H595" s="89">
        <f>VLOOKUP(D595,Average_Distance_by_kilometre_grouping_for_mode_type[#All],MATCH(A595,Average_Distance_by_kilometre_grouping_for_mode_type[#Headers],0),0)</f>
        <v>5</v>
      </c>
      <c r="I595" s="89">
        <f>VLOOKUP(D595,Average_Distance_by_kilometres_grouping_for_trip_purpose[#All],MATCH(A595,Average_Distance_by_kilometres_grouping_for_trip_purpose[#Headers],0),0)</f>
        <v>5</v>
      </c>
      <c r="J595" s="89">
        <f t="shared" si="47"/>
        <v>5</v>
      </c>
      <c r="K595" s="89">
        <f t="shared" si="48"/>
        <v>0.10150223304912707</v>
      </c>
      <c r="L595" s="89">
        <v>1</v>
      </c>
      <c r="M595" s="13">
        <f t="shared" si="49"/>
        <v>26483308.405259926</v>
      </c>
      <c r="N595" s="11">
        <f t="shared" si="45"/>
        <v>5.1158804582258606E-4</v>
      </c>
    </row>
    <row r="596" spans="1:14" x14ac:dyDescent="0.25">
      <c r="A596" s="79" t="s">
        <v>32</v>
      </c>
      <c r="B596" s="89" t="s">
        <v>10</v>
      </c>
      <c r="C596" s="89" t="s">
        <v>43</v>
      </c>
      <c r="D596" s="13" t="s">
        <v>182</v>
      </c>
      <c r="E596" s="35">
        <f>VLOOKUP(B596, Passenger_Kilometre_by_mode_type[#All],MATCH(A596, Passenger_Kilometre_by_mode_type[#Headers],0),0)</f>
        <v>2097797422.3808711</v>
      </c>
      <c r="F596" s="89">
        <f>VLOOKUP(C596, Reason_for_public_transport_journeys_by_percentage[#All],MATCH(A596, Reason_for_public_transport_journeys_by_percentage[#Headers],0),0)/100</f>
        <v>0.12437499999999999</v>
      </c>
      <c r="G596" s="13">
        <f t="shared" si="46"/>
        <v>260913554.4086208</v>
      </c>
      <c r="H596" s="89">
        <f>VLOOKUP(D596,Average_Distance_by_kilometre_grouping_for_mode_type[#All],MATCH(A596,Average_Distance_by_kilometre_grouping_for_mode_type[#Headers],0),0)</f>
        <v>7</v>
      </c>
      <c r="I596" s="89">
        <f>VLOOKUP(D596,Average_Distance_by_kilometres_grouping_for_trip_purpose[#All],MATCH(A596,Average_Distance_by_kilometres_grouping_for_trip_purpose[#Headers],0),0)</f>
        <v>7</v>
      </c>
      <c r="J596" s="89">
        <f t="shared" si="47"/>
        <v>7</v>
      </c>
      <c r="K596" s="89">
        <f t="shared" si="48"/>
        <v>0.14210312626877789</v>
      </c>
      <c r="L596" s="89">
        <v>1</v>
      </c>
      <c r="M596" s="13">
        <f t="shared" si="49"/>
        <v>37076631.767363891</v>
      </c>
      <c r="N596" s="11">
        <f t="shared" si="45"/>
        <v>7.1622326415162038E-4</v>
      </c>
    </row>
    <row r="597" spans="1:14" x14ac:dyDescent="0.25">
      <c r="A597" s="79" t="s">
        <v>32</v>
      </c>
      <c r="B597" s="89" t="s">
        <v>10</v>
      </c>
      <c r="C597" s="89" t="s">
        <v>43</v>
      </c>
      <c r="D597" s="13" t="s">
        <v>1</v>
      </c>
      <c r="E597" s="35">
        <f>VLOOKUP(B597, Passenger_Kilometre_by_mode_type[#All],MATCH(A597, Passenger_Kilometre_by_mode_type[#Headers],0),0)</f>
        <v>2097797422.3808711</v>
      </c>
      <c r="F597" s="89">
        <f>VLOOKUP(C597, Reason_for_public_transport_journeys_by_percentage[#All],MATCH(A597, Reason_for_public_transport_journeys_by_percentage[#Headers],0),0)/100</f>
        <v>0.12437499999999999</v>
      </c>
      <c r="G597" s="13">
        <f t="shared" si="46"/>
        <v>260913554.4086208</v>
      </c>
      <c r="H597" s="89">
        <f>VLOOKUP(D597,Average_Distance_by_kilometre_grouping_for_mode_type[#All],MATCH(A597,Average_Distance_by_kilometre_grouping_for_mode_type[#Headers],0),0)</f>
        <v>31.75</v>
      </c>
      <c r="I597" s="89">
        <f>VLOOKUP(D597,Average_Distance_by_kilometres_grouping_for_trip_purpose[#All],MATCH(A597,Average_Distance_by_kilometres_grouping_for_trip_purpose[#Headers],0),0)</f>
        <v>34.770000000000003</v>
      </c>
      <c r="J597" s="89">
        <f t="shared" si="47"/>
        <v>33.260000000000005</v>
      </c>
      <c r="K597" s="89">
        <f t="shared" si="48"/>
        <v>0.67519285424279341</v>
      </c>
      <c r="L597" s="89">
        <v>1</v>
      </c>
      <c r="M597" s="13">
        <f t="shared" si="49"/>
        <v>176166967.51178905</v>
      </c>
      <c r="N597" s="11">
        <f t="shared" si="45"/>
        <v>3.403083680811843E-3</v>
      </c>
    </row>
    <row r="598" spans="1:14" x14ac:dyDescent="0.25">
      <c r="A598" s="79" t="s">
        <v>32</v>
      </c>
      <c r="B598" s="89" t="s">
        <v>10</v>
      </c>
      <c r="C598" s="89" t="s">
        <v>44</v>
      </c>
      <c r="D598" s="13" t="s">
        <v>12</v>
      </c>
      <c r="E598" s="35">
        <f>VLOOKUP(B598, Passenger_Kilometre_by_mode_type[#All],MATCH(A598, Passenger_Kilometre_by_mode_type[#Headers],0),0)</f>
        <v>2097797422.3808711</v>
      </c>
      <c r="F598" s="89">
        <f>VLOOKUP(C598, Reason_for_public_transport_journeys_by_percentage[#All],MATCH(A598, Reason_for_public_transport_journeys_by_percentage[#Headers],0),0)/100</f>
        <v>0.18625</v>
      </c>
      <c r="G598" s="13">
        <f t="shared" si="46"/>
        <v>390714769.91843724</v>
      </c>
      <c r="H598" s="89">
        <f>VLOOKUP(D598,Average_Distance_by_kilometre_grouping_for_mode_type[#All],MATCH(A598,Average_Distance_by_kilometre_grouping_for_mode_type[#Headers],0),0)</f>
        <v>1</v>
      </c>
      <c r="I598" s="89">
        <f>VLOOKUP(D598,Average_Distance_by_kilometres_grouping_for_trip_purpose[#All],MATCH(A598,Average_Distance_by_kilometres_grouping_for_trip_purpose[#Headers],0),0)</f>
        <v>1</v>
      </c>
      <c r="J598" s="89">
        <f t="shared" si="47"/>
        <v>1</v>
      </c>
      <c r="K598" s="89">
        <f t="shared" si="48"/>
        <v>2.0300446609825416E-2</v>
      </c>
      <c r="L598" s="89">
        <v>1</v>
      </c>
      <c r="M598" s="13">
        <f t="shared" si="49"/>
        <v>7931684.3263994567</v>
      </c>
      <c r="N598" s="11">
        <f t="shared" si="45"/>
        <v>1.532193343267645E-4</v>
      </c>
    </row>
    <row r="599" spans="1:14" x14ac:dyDescent="0.25">
      <c r="A599" s="79" t="s">
        <v>32</v>
      </c>
      <c r="B599" s="89" t="s">
        <v>10</v>
      </c>
      <c r="C599" s="89" t="s">
        <v>44</v>
      </c>
      <c r="D599" s="13" t="s">
        <v>181</v>
      </c>
      <c r="E599" s="35">
        <f>VLOOKUP(B599, Passenger_Kilometre_by_mode_type[#All],MATCH(A599, Passenger_Kilometre_by_mode_type[#Headers],0),0)</f>
        <v>2097797422.3808711</v>
      </c>
      <c r="F599" s="89">
        <f>VLOOKUP(C599, Reason_for_public_transport_journeys_by_percentage[#All],MATCH(A599, Reason_for_public_transport_journeys_by_percentage[#Headers],0),0)/100</f>
        <v>0.18625</v>
      </c>
      <c r="G599" s="13">
        <f t="shared" si="46"/>
        <v>390714769.91843724</v>
      </c>
      <c r="H599" s="89">
        <f>VLOOKUP(D599,Average_Distance_by_kilometre_grouping_for_mode_type[#All],MATCH(A599,Average_Distance_by_kilometre_grouping_for_mode_type[#Headers],0),0)</f>
        <v>3</v>
      </c>
      <c r="I599" s="89">
        <f>VLOOKUP(D599,Average_Distance_by_kilometres_grouping_for_trip_purpose[#All],MATCH(A599,Average_Distance_by_kilometres_grouping_for_trip_purpose[#Headers],0),0)</f>
        <v>3</v>
      </c>
      <c r="J599" s="89">
        <f t="shared" si="47"/>
        <v>3</v>
      </c>
      <c r="K599" s="89">
        <f t="shared" si="48"/>
        <v>6.0901339829476243E-2</v>
      </c>
      <c r="L599" s="89">
        <v>1</v>
      </c>
      <c r="M599" s="13">
        <f t="shared" si="49"/>
        <v>23795052.97919837</v>
      </c>
      <c r="N599" s="11">
        <f t="shared" si="45"/>
        <v>4.5965800298029353E-4</v>
      </c>
    </row>
    <row r="600" spans="1:14" x14ac:dyDescent="0.25">
      <c r="A600" s="79" t="s">
        <v>32</v>
      </c>
      <c r="B600" s="89" t="s">
        <v>10</v>
      </c>
      <c r="C600" s="89" t="s">
        <v>44</v>
      </c>
      <c r="D600" s="13" t="s">
        <v>180</v>
      </c>
      <c r="E600" s="35">
        <f>VLOOKUP(B600, Passenger_Kilometre_by_mode_type[#All],MATCH(A600, Passenger_Kilometre_by_mode_type[#Headers],0),0)</f>
        <v>2097797422.3808711</v>
      </c>
      <c r="F600" s="89">
        <f>VLOOKUP(C600, Reason_for_public_transport_journeys_by_percentage[#All],MATCH(A600, Reason_for_public_transport_journeys_by_percentage[#Headers],0),0)/100</f>
        <v>0.18625</v>
      </c>
      <c r="G600" s="13">
        <f t="shared" si="46"/>
        <v>390714769.91843724</v>
      </c>
      <c r="H600" s="89">
        <f>VLOOKUP(D600,Average_Distance_by_kilometre_grouping_for_mode_type[#All],MATCH(A600,Average_Distance_by_kilometre_grouping_for_mode_type[#Headers],0),0)</f>
        <v>5</v>
      </c>
      <c r="I600" s="89">
        <f>VLOOKUP(D600,Average_Distance_by_kilometres_grouping_for_trip_purpose[#All],MATCH(A600,Average_Distance_by_kilometres_grouping_for_trip_purpose[#Headers],0),0)</f>
        <v>5</v>
      </c>
      <c r="J600" s="89">
        <f t="shared" si="47"/>
        <v>5</v>
      </c>
      <c r="K600" s="89">
        <f t="shared" si="48"/>
        <v>0.10150223304912707</v>
      </c>
      <c r="L600" s="89">
        <v>1</v>
      </c>
      <c r="M600" s="13">
        <f t="shared" si="49"/>
        <v>39658421.63199728</v>
      </c>
      <c r="N600" s="11">
        <f t="shared" si="45"/>
        <v>7.6609667163382242E-4</v>
      </c>
    </row>
    <row r="601" spans="1:14" x14ac:dyDescent="0.25">
      <c r="A601" s="79" t="s">
        <v>32</v>
      </c>
      <c r="B601" s="89" t="s">
        <v>10</v>
      </c>
      <c r="C601" s="89" t="s">
        <v>44</v>
      </c>
      <c r="D601" s="13" t="s">
        <v>182</v>
      </c>
      <c r="E601" s="35">
        <f>VLOOKUP(B601, Passenger_Kilometre_by_mode_type[#All],MATCH(A601, Passenger_Kilometre_by_mode_type[#Headers],0),0)</f>
        <v>2097797422.3808711</v>
      </c>
      <c r="F601" s="89">
        <f>VLOOKUP(C601, Reason_for_public_transport_journeys_by_percentage[#All],MATCH(A601, Reason_for_public_transport_journeys_by_percentage[#Headers],0),0)/100</f>
        <v>0.18625</v>
      </c>
      <c r="G601" s="13">
        <f t="shared" si="46"/>
        <v>390714769.91843724</v>
      </c>
      <c r="H601" s="89">
        <f>VLOOKUP(D601,Average_Distance_by_kilometre_grouping_for_mode_type[#All],MATCH(A601,Average_Distance_by_kilometre_grouping_for_mode_type[#Headers],0),0)</f>
        <v>7</v>
      </c>
      <c r="I601" s="89">
        <f>VLOOKUP(D601,Average_Distance_by_kilometres_grouping_for_trip_purpose[#All],MATCH(A601,Average_Distance_by_kilometres_grouping_for_trip_purpose[#Headers],0),0)</f>
        <v>7</v>
      </c>
      <c r="J601" s="89">
        <f t="shared" si="47"/>
        <v>7</v>
      </c>
      <c r="K601" s="89">
        <f t="shared" si="48"/>
        <v>0.14210312626877789</v>
      </c>
      <c r="L601" s="89">
        <v>1</v>
      </c>
      <c r="M601" s="13">
        <f t="shared" si="49"/>
        <v>55521790.284796186</v>
      </c>
      <c r="N601" s="11">
        <f t="shared" si="45"/>
        <v>1.0725353402873514E-3</v>
      </c>
    </row>
    <row r="602" spans="1:14" x14ac:dyDescent="0.25">
      <c r="A602" s="79" t="s">
        <v>32</v>
      </c>
      <c r="B602" s="89" t="s">
        <v>10</v>
      </c>
      <c r="C602" s="89" t="s">
        <v>44</v>
      </c>
      <c r="D602" s="13" t="s">
        <v>1</v>
      </c>
      <c r="E602" s="35">
        <f>VLOOKUP(B602, Passenger_Kilometre_by_mode_type[#All],MATCH(A602, Passenger_Kilometre_by_mode_type[#Headers],0),0)</f>
        <v>2097797422.3808711</v>
      </c>
      <c r="F602" s="89">
        <f>VLOOKUP(C602, Reason_for_public_transport_journeys_by_percentage[#All],MATCH(A602, Reason_for_public_transport_journeys_by_percentage[#Headers],0),0)/100</f>
        <v>0.18625</v>
      </c>
      <c r="G602" s="13">
        <f t="shared" si="46"/>
        <v>390714769.91843724</v>
      </c>
      <c r="H602" s="89">
        <f>VLOOKUP(D602,Average_Distance_by_kilometre_grouping_for_mode_type[#All],MATCH(A602,Average_Distance_by_kilometre_grouping_for_mode_type[#Headers],0),0)</f>
        <v>31.75</v>
      </c>
      <c r="I602" s="89">
        <f>VLOOKUP(D602,Average_Distance_by_kilometres_grouping_for_trip_purpose[#All],MATCH(A602,Average_Distance_by_kilometres_grouping_for_trip_purpose[#Headers],0),0)</f>
        <v>34.770000000000003</v>
      </c>
      <c r="J602" s="89">
        <f t="shared" si="47"/>
        <v>33.260000000000005</v>
      </c>
      <c r="K602" s="89">
        <f t="shared" si="48"/>
        <v>0.67519285424279341</v>
      </c>
      <c r="L602" s="89">
        <v>1</v>
      </c>
      <c r="M602" s="13">
        <f t="shared" si="49"/>
        <v>263807820.69604596</v>
      </c>
      <c r="N602" s="11">
        <f t="shared" si="45"/>
        <v>5.0960750597081883E-3</v>
      </c>
    </row>
    <row r="603" spans="1:14" x14ac:dyDescent="0.25">
      <c r="A603" s="79" t="s">
        <v>32</v>
      </c>
      <c r="B603" s="89" t="s">
        <v>10</v>
      </c>
      <c r="C603" s="89" t="s">
        <v>45</v>
      </c>
      <c r="D603" s="13" t="s">
        <v>12</v>
      </c>
      <c r="E603" s="35">
        <f>VLOOKUP(B603, Passenger_Kilometre_by_mode_type[#All],MATCH(A603, Passenger_Kilometre_by_mode_type[#Headers],0),0)</f>
        <v>2097797422.3808711</v>
      </c>
      <c r="F603" s="89">
        <f>VLOOKUP(C603, Reason_for_public_transport_journeys_by_percentage[#All],MATCH(A603, Reason_for_public_transport_journeys_by_percentage[#Headers],0),0)/100</f>
        <v>1.7000000000000001E-2</v>
      </c>
      <c r="G603" s="13">
        <f t="shared" si="46"/>
        <v>35662556.18047481</v>
      </c>
      <c r="H603" s="89">
        <f>VLOOKUP(D603,Average_Distance_by_kilometre_grouping_for_mode_type[#All],MATCH(A603,Average_Distance_by_kilometre_grouping_for_mode_type[#Headers],0),0)</f>
        <v>1</v>
      </c>
      <c r="I603" s="89">
        <f>VLOOKUP(D603,Average_Distance_by_kilometres_grouping_for_trip_purpose[#All],MATCH(A603,Average_Distance_by_kilometres_grouping_for_trip_purpose[#Headers],0),0)</f>
        <v>1</v>
      </c>
      <c r="J603" s="89">
        <f t="shared" si="47"/>
        <v>1</v>
      </c>
      <c r="K603" s="89">
        <f t="shared" si="48"/>
        <v>2.0300446609825416E-2</v>
      </c>
      <c r="L603" s="89">
        <v>1</v>
      </c>
      <c r="M603" s="13">
        <f t="shared" si="49"/>
        <v>723965.81771162827</v>
      </c>
      <c r="N603" s="11">
        <f t="shared" si="45"/>
        <v>1.3985120448617432E-5</v>
      </c>
    </row>
    <row r="604" spans="1:14" x14ac:dyDescent="0.25">
      <c r="A604" s="79" t="s">
        <v>32</v>
      </c>
      <c r="B604" s="89" t="s">
        <v>10</v>
      </c>
      <c r="C604" s="89" t="s">
        <v>45</v>
      </c>
      <c r="D604" s="13" t="s">
        <v>181</v>
      </c>
      <c r="E604" s="35">
        <f>VLOOKUP(B604, Passenger_Kilometre_by_mode_type[#All],MATCH(A604, Passenger_Kilometre_by_mode_type[#Headers],0),0)</f>
        <v>2097797422.3808711</v>
      </c>
      <c r="F604" s="89">
        <f>VLOOKUP(C604, Reason_for_public_transport_journeys_by_percentage[#All],MATCH(A604, Reason_for_public_transport_journeys_by_percentage[#Headers],0),0)/100</f>
        <v>1.7000000000000001E-2</v>
      </c>
      <c r="G604" s="13">
        <f t="shared" si="46"/>
        <v>35662556.18047481</v>
      </c>
      <c r="H604" s="89">
        <f>VLOOKUP(D604,Average_Distance_by_kilometre_grouping_for_mode_type[#All],MATCH(A604,Average_Distance_by_kilometre_grouping_for_mode_type[#Headers],0),0)</f>
        <v>3</v>
      </c>
      <c r="I604" s="89">
        <f>VLOOKUP(D604,Average_Distance_by_kilometres_grouping_for_trip_purpose[#All],MATCH(A604,Average_Distance_by_kilometres_grouping_for_trip_purpose[#Headers],0),0)</f>
        <v>3</v>
      </c>
      <c r="J604" s="89">
        <f t="shared" si="47"/>
        <v>3</v>
      </c>
      <c r="K604" s="89">
        <f t="shared" si="48"/>
        <v>6.0901339829476243E-2</v>
      </c>
      <c r="L604" s="89">
        <v>1</v>
      </c>
      <c r="M604" s="13">
        <f t="shared" si="49"/>
        <v>2171897.4531348846</v>
      </c>
      <c r="N604" s="11">
        <f t="shared" si="45"/>
        <v>4.1955361345852288E-5</v>
      </c>
    </row>
    <row r="605" spans="1:14" x14ac:dyDescent="0.25">
      <c r="A605" s="79" t="s">
        <v>32</v>
      </c>
      <c r="B605" s="89" t="s">
        <v>10</v>
      </c>
      <c r="C605" s="89" t="s">
        <v>45</v>
      </c>
      <c r="D605" s="13" t="s">
        <v>180</v>
      </c>
      <c r="E605" s="35">
        <f>VLOOKUP(B605, Passenger_Kilometre_by_mode_type[#All],MATCH(A605, Passenger_Kilometre_by_mode_type[#Headers],0),0)</f>
        <v>2097797422.3808711</v>
      </c>
      <c r="F605" s="89">
        <f>VLOOKUP(C605, Reason_for_public_transport_journeys_by_percentage[#All],MATCH(A605, Reason_for_public_transport_journeys_by_percentage[#Headers],0),0)/100</f>
        <v>1.7000000000000001E-2</v>
      </c>
      <c r="G605" s="13">
        <f t="shared" si="46"/>
        <v>35662556.18047481</v>
      </c>
      <c r="H605" s="89">
        <f>VLOOKUP(D605,Average_Distance_by_kilometre_grouping_for_mode_type[#All],MATCH(A605,Average_Distance_by_kilometre_grouping_for_mode_type[#Headers],0),0)</f>
        <v>5</v>
      </c>
      <c r="I605" s="89">
        <f>VLOOKUP(D605,Average_Distance_by_kilometres_grouping_for_trip_purpose[#All],MATCH(A605,Average_Distance_by_kilometres_grouping_for_trip_purpose[#Headers],0),0)</f>
        <v>5</v>
      </c>
      <c r="J605" s="89">
        <f t="shared" si="47"/>
        <v>5</v>
      </c>
      <c r="K605" s="89">
        <f t="shared" si="48"/>
        <v>0.10150223304912707</v>
      </c>
      <c r="L605" s="89">
        <v>1</v>
      </c>
      <c r="M605" s="13">
        <f t="shared" si="49"/>
        <v>3619829.0885581411</v>
      </c>
      <c r="N605" s="11">
        <f t="shared" si="45"/>
        <v>6.9925602243087152E-5</v>
      </c>
    </row>
    <row r="606" spans="1:14" x14ac:dyDescent="0.25">
      <c r="A606" s="79" t="s">
        <v>32</v>
      </c>
      <c r="B606" s="89" t="s">
        <v>10</v>
      </c>
      <c r="C606" s="89" t="s">
        <v>45</v>
      </c>
      <c r="D606" s="13" t="s">
        <v>182</v>
      </c>
      <c r="E606" s="35">
        <f>VLOOKUP(B606, Passenger_Kilometre_by_mode_type[#All],MATCH(A606, Passenger_Kilometre_by_mode_type[#Headers],0),0)</f>
        <v>2097797422.3808711</v>
      </c>
      <c r="F606" s="89">
        <f>VLOOKUP(C606, Reason_for_public_transport_journeys_by_percentage[#All],MATCH(A606, Reason_for_public_transport_journeys_by_percentage[#Headers],0),0)/100</f>
        <v>1.7000000000000001E-2</v>
      </c>
      <c r="G606" s="13">
        <f t="shared" si="46"/>
        <v>35662556.18047481</v>
      </c>
      <c r="H606" s="89">
        <f>VLOOKUP(D606,Average_Distance_by_kilometre_grouping_for_mode_type[#All],MATCH(A606,Average_Distance_by_kilometre_grouping_for_mode_type[#Headers],0),0)</f>
        <v>7</v>
      </c>
      <c r="I606" s="89">
        <f>VLOOKUP(D606,Average_Distance_by_kilometres_grouping_for_trip_purpose[#All],MATCH(A606,Average_Distance_by_kilometres_grouping_for_trip_purpose[#Headers],0),0)</f>
        <v>7</v>
      </c>
      <c r="J606" s="89">
        <f t="shared" si="47"/>
        <v>7</v>
      </c>
      <c r="K606" s="89">
        <f t="shared" si="48"/>
        <v>0.14210312626877789</v>
      </c>
      <c r="L606" s="89">
        <v>1</v>
      </c>
      <c r="M606" s="13">
        <f t="shared" si="49"/>
        <v>5067760.7239813972</v>
      </c>
      <c r="N606" s="11">
        <f t="shared" si="45"/>
        <v>9.7895843140322002E-5</v>
      </c>
    </row>
    <row r="607" spans="1:14" x14ac:dyDescent="0.25">
      <c r="A607" s="79" t="s">
        <v>32</v>
      </c>
      <c r="B607" s="89" t="s">
        <v>10</v>
      </c>
      <c r="C607" s="89" t="s">
        <v>45</v>
      </c>
      <c r="D607" s="13" t="s">
        <v>1</v>
      </c>
      <c r="E607" s="35">
        <f>VLOOKUP(B607, Passenger_Kilometre_by_mode_type[#All],MATCH(A607, Passenger_Kilometre_by_mode_type[#Headers],0),0)</f>
        <v>2097797422.3808711</v>
      </c>
      <c r="F607" s="89">
        <f>VLOOKUP(C607, Reason_for_public_transport_journeys_by_percentage[#All],MATCH(A607, Reason_for_public_transport_journeys_by_percentage[#Headers],0),0)/100</f>
        <v>1.7000000000000001E-2</v>
      </c>
      <c r="G607" s="13">
        <f t="shared" si="46"/>
        <v>35662556.18047481</v>
      </c>
      <c r="H607" s="89">
        <f>VLOOKUP(D607,Average_Distance_by_kilometre_grouping_for_mode_type[#All],MATCH(A607,Average_Distance_by_kilometre_grouping_for_mode_type[#Headers],0),0)</f>
        <v>31.75</v>
      </c>
      <c r="I607" s="89">
        <f>VLOOKUP(D607,Average_Distance_by_kilometres_grouping_for_trip_purpose[#All],MATCH(A607,Average_Distance_by_kilometres_grouping_for_trip_purpose[#Headers],0),0)</f>
        <v>34.770000000000003</v>
      </c>
      <c r="J607" s="89">
        <f t="shared" si="47"/>
        <v>33.260000000000005</v>
      </c>
      <c r="K607" s="89">
        <f t="shared" si="48"/>
        <v>0.67519285424279341</v>
      </c>
      <c r="L607" s="89">
        <v>1</v>
      </c>
      <c r="M607" s="13">
        <f t="shared" si="49"/>
        <v>24079103.097088758</v>
      </c>
      <c r="N607" s="11">
        <f t="shared" si="45"/>
        <v>4.6514510612101582E-4</v>
      </c>
    </row>
    <row r="608" spans="1:14" x14ac:dyDescent="0.25">
      <c r="A608" s="79" t="s">
        <v>32</v>
      </c>
      <c r="B608" s="89" t="s">
        <v>10</v>
      </c>
      <c r="C608" s="89" t="s">
        <v>56</v>
      </c>
      <c r="D608" s="13" t="s">
        <v>12</v>
      </c>
      <c r="E608" s="35">
        <f>VLOOKUP(B608, Passenger_Kilometre_by_mode_type[#All],MATCH(A608, Passenger_Kilometre_by_mode_type[#Headers],0),0)</f>
        <v>2097797422.3808711</v>
      </c>
      <c r="F608" s="89">
        <f>VLOOKUP(C608, Reason_for_public_transport_journeys_by_percentage[#All],MATCH(A608, Reason_for_public_transport_journeys_by_percentage[#Headers],0),0)/100</f>
        <v>0.10375000000000002</v>
      </c>
      <c r="G608" s="13">
        <f t="shared" si="46"/>
        <v>217646482.57201543</v>
      </c>
      <c r="H608" s="89">
        <f>VLOOKUP(D608,Average_Distance_by_kilometre_grouping_for_mode_type[#All],MATCH(A608,Average_Distance_by_kilometre_grouping_for_mode_type[#Headers],0),0)</f>
        <v>1</v>
      </c>
      <c r="I608" s="89">
        <f>VLOOKUP(D608,Average_Distance_by_kilometres_grouping_for_trip_purpose[#All],MATCH(A608,Average_Distance_by_kilometres_grouping_for_trip_purpose[#Headers],0),0)</f>
        <v>1</v>
      </c>
      <c r="J608" s="89">
        <f t="shared" si="47"/>
        <v>1</v>
      </c>
      <c r="K608" s="89">
        <f t="shared" si="48"/>
        <v>2.0300446609825416E-2</v>
      </c>
      <c r="L608" s="89">
        <v>1</v>
      </c>
      <c r="M608" s="13">
        <f t="shared" si="49"/>
        <v>4418320.7992694974</v>
      </c>
      <c r="N608" s="11">
        <f t="shared" si="45"/>
        <v>8.5350367443768176E-5</v>
      </c>
    </row>
    <row r="609" spans="1:14" x14ac:dyDescent="0.25">
      <c r="A609" s="79" t="s">
        <v>32</v>
      </c>
      <c r="B609" s="89" t="s">
        <v>10</v>
      </c>
      <c r="C609" s="89" t="s">
        <v>56</v>
      </c>
      <c r="D609" s="13" t="s">
        <v>181</v>
      </c>
      <c r="E609" s="35">
        <f>VLOOKUP(B609, Passenger_Kilometre_by_mode_type[#All],MATCH(A609, Passenger_Kilometre_by_mode_type[#Headers],0),0)</f>
        <v>2097797422.3808711</v>
      </c>
      <c r="F609" s="89">
        <f>VLOOKUP(C609, Reason_for_public_transport_journeys_by_percentage[#All],MATCH(A609, Reason_for_public_transport_journeys_by_percentage[#Headers],0),0)/100</f>
        <v>0.10375000000000002</v>
      </c>
      <c r="G609" s="13">
        <f t="shared" si="46"/>
        <v>217646482.57201543</v>
      </c>
      <c r="H609" s="89">
        <f>VLOOKUP(D609,Average_Distance_by_kilometre_grouping_for_mode_type[#All],MATCH(A609,Average_Distance_by_kilometre_grouping_for_mode_type[#Headers],0),0)</f>
        <v>3</v>
      </c>
      <c r="I609" s="89">
        <f>VLOOKUP(D609,Average_Distance_by_kilometres_grouping_for_trip_purpose[#All],MATCH(A609,Average_Distance_by_kilometres_grouping_for_trip_purpose[#Headers],0),0)</f>
        <v>3</v>
      </c>
      <c r="J609" s="89">
        <f t="shared" si="47"/>
        <v>3</v>
      </c>
      <c r="K609" s="89">
        <f t="shared" si="48"/>
        <v>6.0901339829476243E-2</v>
      </c>
      <c r="L609" s="89">
        <v>1</v>
      </c>
      <c r="M609" s="13">
        <f t="shared" si="49"/>
        <v>13254962.39780849</v>
      </c>
      <c r="N609" s="11">
        <f t="shared" si="45"/>
        <v>2.5605110233130449E-4</v>
      </c>
    </row>
    <row r="610" spans="1:14" x14ac:dyDescent="0.25">
      <c r="A610" s="79" t="s">
        <v>32</v>
      </c>
      <c r="B610" s="89" t="s">
        <v>10</v>
      </c>
      <c r="C610" s="89" t="s">
        <v>56</v>
      </c>
      <c r="D610" s="13" t="s">
        <v>180</v>
      </c>
      <c r="E610" s="35">
        <f>VLOOKUP(B610, Passenger_Kilometre_by_mode_type[#All],MATCH(A610, Passenger_Kilometre_by_mode_type[#Headers],0),0)</f>
        <v>2097797422.3808711</v>
      </c>
      <c r="F610" s="89">
        <f>VLOOKUP(C610, Reason_for_public_transport_journeys_by_percentage[#All],MATCH(A610, Reason_for_public_transport_journeys_by_percentage[#Headers],0),0)/100</f>
        <v>0.10375000000000002</v>
      </c>
      <c r="G610" s="13">
        <f t="shared" si="46"/>
        <v>217646482.57201543</v>
      </c>
      <c r="H610" s="89">
        <f>VLOOKUP(D610,Average_Distance_by_kilometre_grouping_for_mode_type[#All],MATCH(A610,Average_Distance_by_kilometre_grouping_for_mode_type[#Headers],0),0)</f>
        <v>5</v>
      </c>
      <c r="I610" s="89">
        <f>VLOOKUP(D610,Average_Distance_by_kilometres_grouping_for_trip_purpose[#All],MATCH(A610,Average_Distance_by_kilometres_grouping_for_trip_purpose[#Headers],0),0)</f>
        <v>5</v>
      </c>
      <c r="J610" s="89">
        <f t="shared" si="47"/>
        <v>5</v>
      </c>
      <c r="K610" s="89">
        <f t="shared" si="48"/>
        <v>0.10150223304912707</v>
      </c>
      <c r="L610" s="89">
        <v>1</v>
      </c>
      <c r="M610" s="13">
        <f t="shared" si="49"/>
        <v>22091603.996347483</v>
      </c>
      <c r="N610" s="11">
        <f t="shared" si="45"/>
        <v>4.2675183721884081E-4</v>
      </c>
    </row>
    <row r="611" spans="1:14" x14ac:dyDescent="0.25">
      <c r="A611" s="79" t="s">
        <v>32</v>
      </c>
      <c r="B611" s="89" t="s">
        <v>10</v>
      </c>
      <c r="C611" s="89" t="s">
        <v>56</v>
      </c>
      <c r="D611" s="13" t="s">
        <v>182</v>
      </c>
      <c r="E611" s="35">
        <f>VLOOKUP(B611, Passenger_Kilometre_by_mode_type[#All],MATCH(A611, Passenger_Kilometre_by_mode_type[#Headers],0),0)</f>
        <v>2097797422.3808711</v>
      </c>
      <c r="F611" s="89">
        <f>VLOOKUP(C611, Reason_for_public_transport_journeys_by_percentage[#All],MATCH(A611, Reason_for_public_transport_journeys_by_percentage[#Headers],0),0)/100</f>
        <v>0.10375000000000002</v>
      </c>
      <c r="G611" s="13">
        <f t="shared" si="46"/>
        <v>217646482.57201543</v>
      </c>
      <c r="H611" s="89">
        <f>VLOOKUP(D611,Average_Distance_by_kilometre_grouping_for_mode_type[#All],MATCH(A611,Average_Distance_by_kilometre_grouping_for_mode_type[#Headers],0),0)</f>
        <v>7</v>
      </c>
      <c r="I611" s="89">
        <f>VLOOKUP(D611,Average_Distance_by_kilometres_grouping_for_trip_purpose[#All],MATCH(A611,Average_Distance_by_kilometres_grouping_for_trip_purpose[#Headers],0),0)</f>
        <v>7</v>
      </c>
      <c r="J611" s="89">
        <f t="shared" si="47"/>
        <v>7</v>
      </c>
      <c r="K611" s="89">
        <f t="shared" si="48"/>
        <v>0.14210312626877789</v>
      </c>
      <c r="L611" s="89">
        <v>1</v>
      </c>
      <c r="M611" s="13">
        <f t="shared" si="49"/>
        <v>30928245.594886474</v>
      </c>
      <c r="N611" s="11">
        <f t="shared" si="45"/>
        <v>5.9745257210637708E-4</v>
      </c>
    </row>
    <row r="612" spans="1:14" x14ac:dyDescent="0.25">
      <c r="A612" s="79" t="s">
        <v>32</v>
      </c>
      <c r="B612" s="89" t="s">
        <v>10</v>
      </c>
      <c r="C612" s="89" t="s">
        <v>56</v>
      </c>
      <c r="D612" s="13" t="s">
        <v>1</v>
      </c>
      <c r="E612" s="35">
        <f>VLOOKUP(B612, Passenger_Kilometre_by_mode_type[#All],MATCH(A612, Passenger_Kilometre_by_mode_type[#Headers],0),0)</f>
        <v>2097797422.3808711</v>
      </c>
      <c r="F612" s="89">
        <f>VLOOKUP(C612, Reason_for_public_transport_journeys_by_percentage[#All],MATCH(A612, Reason_for_public_transport_journeys_by_percentage[#Headers],0),0)/100</f>
        <v>0.10375000000000002</v>
      </c>
      <c r="G612" s="13">
        <f t="shared" si="46"/>
        <v>217646482.57201543</v>
      </c>
      <c r="H612" s="89">
        <f>VLOOKUP(D612,Average_Distance_by_kilometre_grouping_for_mode_type[#All],MATCH(A612,Average_Distance_by_kilometre_grouping_for_mode_type[#Headers],0),0)</f>
        <v>31.75</v>
      </c>
      <c r="I612" s="89">
        <f>VLOOKUP(D612,Average_Distance_by_kilometres_grouping_for_trip_purpose[#All],MATCH(A612,Average_Distance_by_kilometres_grouping_for_trip_purpose[#Headers],0),0)</f>
        <v>34.770000000000003</v>
      </c>
      <c r="J612" s="89">
        <f t="shared" si="47"/>
        <v>33.260000000000005</v>
      </c>
      <c r="K612" s="89">
        <f t="shared" si="48"/>
        <v>0.67519285424279341</v>
      </c>
      <c r="L612" s="89">
        <v>1</v>
      </c>
      <c r="M612" s="13">
        <f t="shared" si="49"/>
        <v>146953349.78370351</v>
      </c>
      <c r="N612" s="11">
        <f t="shared" si="45"/>
        <v>2.8387532211797298E-3</v>
      </c>
    </row>
    <row r="613" spans="1:14" x14ac:dyDescent="0.25">
      <c r="A613" s="79" t="s">
        <v>32</v>
      </c>
      <c r="B613" s="89" t="s">
        <v>10</v>
      </c>
      <c r="C613" s="89" t="s">
        <v>57</v>
      </c>
      <c r="D613" s="13" t="s">
        <v>12</v>
      </c>
      <c r="E613" s="35">
        <f>VLOOKUP(B613, Passenger_Kilometre_by_mode_type[#All],MATCH(A613, Passenger_Kilometre_by_mode_type[#Headers],0),0)</f>
        <v>2097797422.3808711</v>
      </c>
      <c r="F613" s="89">
        <f>VLOOKUP(C613, Reason_for_public_transport_journeys_by_percentage[#All],MATCH(A613, Reason_for_public_transport_journeys_by_percentage[#Headers],0),0)/100</f>
        <v>7.0250000000000007E-2</v>
      </c>
      <c r="G613" s="13">
        <f t="shared" si="46"/>
        <v>147370268.9222562</v>
      </c>
      <c r="H613" s="89">
        <f>VLOOKUP(D613,Average_Distance_by_kilometre_grouping_for_mode_type[#All],MATCH(A613,Average_Distance_by_kilometre_grouping_for_mode_type[#Headers],0),0)</f>
        <v>1</v>
      </c>
      <c r="I613" s="89">
        <f>VLOOKUP(D613,Average_Distance_by_kilometres_grouping_for_trip_purpose[#All],MATCH(A613,Average_Distance_by_kilometres_grouping_for_trip_purpose[#Headers],0),0)</f>
        <v>1</v>
      </c>
      <c r="J613" s="89">
        <f t="shared" si="47"/>
        <v>1</v>
      </c>
      <c r="K613" s="89">
        <f t="shared" si="48"/>
        <v>2.0300446609825416E-2</v>
      </c>
      <c r="L613" s="89">
        <v>1</v>
      </c>
      <c r="M613" s="13">
        <f t="shared" si="49"/>
        <v>2991682.2761318758</v>
      </c>
      <c r="N613" s="11">
        <f t="shared" si="45"/>
        <v>5.779145361855145E-5</v>
      </c>
    </row>
    <row r="614" spans="1:14" x14ac:dyDescent="0.25">
      <c r="A614" s="79" t="s">
        <v>32</v>
      </c>
      <c r="B614" s="89" t="s">
        <v>10</v>
      </c>
      <c r="C614" s="89" t="s">
        <v>57</v>
      </c>
      <c r="D614" s="13" t="s">
        <v>181</v>
      </c>
      <c r="E614" s="35">
        <f>VLOOKUP(B614, Passenger_Kilometre_by_mode_type[#All],MATCH(A614, Passenger_Kilometre_by_mode_type[#Headers],0),0)</f>
        <v>2097797422.3808711</v>
      </c>
      <c r="F614" s="89">
        <f>VLOOKUP(C614, Reason_for_public_transport_journeys_by_percentage[#All],MATCH(A614, Reason_for_public_transport_journeys_by_percentage[#Headers],0),0)/100</f>
        <v>7.0250000000000007E-2</v>
      </c>
      <c r="G614" s="13">
        <f t="shared" si="46"/>
        <v>147370268.9222562</v>
      </c>
      <c r="H614" s="89">
        <f>VLOOKUP(D614,Average_Distance_by_kilometre_grouping_for_mode_type[#All],MATCH(A614,Average_Distance_by_kilometre_grouping_for_mode_type[#Headers],0),0)</f>
        <v>3</v>
      </c>
      <c r="I614" s="89">
        <f>VLOOKUP(D614,Average_Distance_by_kilometres_grouping_for_trip_purpose[#All],MATCH(A614,Average_Distance_by_kilometres_grouping_for_trip_purpose[#Headers],0),0)</f>
        <v>3</v>
      </c>
      <c r="J614" s="89">
        <f t="shared" si="47"/>
        <v>3</v>
      </c>
      <c r="K614" s="89">
        <f t="shared" si="48"/>
        <v>6.0901339829476243E-2</v>
      </c>
      <c r="L614" s="89">
        <v>1</v>
      </c>
      <c r="M614" s="13">
        <f t="shared" si="49"/>
        <v>8975046.8283956274</v>
      </c>
      <c r="N614" s="11">
        <f t="shared" si="45"/>
        <v>1.7337436085565434E-4</v>
      </c>
    </row>
    <row r="615" spans="1:14" x14ac:dyDescent="0.25">
      <c r="A615" s="79" t="s">
        <v>32</v>
      </c>
      <c r="B615" s="89" t="s">
        <v>10</v>
      </c>
      <c r="C615" s="89" t="s">
        <v>57</v>
      </c>
      <c r="D615" s="13" t="s">
        <v>180</v>
      </c>
      <c r="E615" s="35">
        <f>VLOOKUP(B615, Passenger_Kilometre_by_mode_type[#All],MATCH(A615, Passenger_Kilometre_by_mode_type[#Headers],0),0)</f>
        <v>2097797422.3808711</v>
      </c>
      <c r="F615" s="89">
        <f>VLOOKUP(C615, Reason_for_public_transport_journeys_by_percentage[#All],MATCH(A615, Reason_for_public_transport_journeys_by_percentage[#Headers],0),0)/100</f>
        <v>7.0250000000000007E-2</v>
      </c>
      <c r="G615" s="13">
        <f t="shared" si="46"/>
        <v>147370268.9222562</v>
      </c>
      <c r="H615" s="89">
        <f>VLOOKUP(D615,Average_Distance_by_kilometre_grouping_for_mode_type[#All],MATCH(A615,Average_Distance_by_kilometre_grouping_for_mode_type[#Headers],0),0)</f>
        <v>5</v>
      </c>
      <c r="I615" s="89">
        <f>VLOOKUP(D615,Average_Distance_by_kilometres_grouping_for_trip_purpose[#All],MATCH(A615,Average_Distance_by_kilometres_grouping_for_trip_purpose[#Headers],0),0)</f>
        <v>5</v>
      </c>
      <c r="J615" s="89">
        <f t="shared" si="47"/>
        <v>5</v>
      </c>
      <c r="K615" s="89">
        <f t="shared" si="48"/>
        <v>0.10150223304912707</v>
      </c>
      <c r="L615" s="89">
        <v>1</v>
      </c>
      <c r="M615" s="13">
        <f t="shared" si="49"/>
        <v>14958411.380659377</v>
      </c>
      <c r="N615" s="11">
        <f t="shared" si="45"/>
        <v>2.889572680927572E-4</v>
      </c>
    </row>
    <row r="616" spans="1:14" x14ac:dyDescent="0.25">
      <c r="A616" s="79" t="s">
        <v>32</v>
      </c>
      <c r="B616" s="89" t="s">
        <v>10</v>
      </c>
      <c r="C616" s="89" t="s">
        <v>57</v>
      </c>
      <c r="D616" s="13" t="s">
        <v>182</v>
      </c>
      <c r="E616" s="35">
        <f>VLOOKUP(B616, Passenger_Kilometre_by_mode_type[#All],MATCH(A616, Passenger_Kilometre_by_mode_type[#Headers],0),0)</f>
        <v>2097797422.3808711</v>
      </c>
      <c r="F616" s="89">
        <f>VLOOKUP(C616, Reason_for_public_transport_journeys_by_percentage[#All],MATCH(A616, Reason_for_public_transport_journeys_by_percentage[#Headers],0),0)/100</f>
        <v>7.0250000000000007E-2</v>
      </c>
      <c r="G616" s="13">
        <f t="shared" si="46"/>
        <v>147370268.9222562</v>
      </c>
      <c r="H616" s="89">
        <f>VLOOKUP(D616,Average_Distance_by_kilometre_grouping_for_mode_type[#All],MATCH(A616,Average_Distance_by_kilometre_grouping_for_mode_type[#Headers],0),0)</f>
        <v>7</v>
      </c>
      <c r="I616" s="89">
        <f>VLOOKUP(D616,Average_Distance_by_kilometres_grouping_for_trip_purpose[#All],MATCH(A616,Average_Distance_by_kilometres_grouping_for_trip_purpose[#Headers],0),0)</f>
        <v>7</v>
      </c>
      <c r="J616" s="89">
        <f t="shared" si="47"/>
        <v>7</v>
      </c>
      <c r="K616" s="89">
        <f t="shared" si="48"/>
        <v>0.14210312626877789</v>
      </c>
      <c r="L616" s="89">
        <v>1</v>
      </c>
      <c r="M616" s="13">
        <f t="shared" si="49"/>
        <v>20941775.932923127</v>
      </c>
      <c r="N616" s="11">
        <f t="shared" si="45"/>
        <v>4.0454017532986006E-4</v>
      </c>
    </row>
    <row r="617" spans="1:14" x14ac:dyDescent="0.25">
      <c r="A617" s="79" t="s">
        <v>32</v>
      </c>
      <c r="B617" s="89" t="s">
        <v>10</v>
      </c>
      <c r="C617" s="89" t="s">
        <v>57</v>
      </c>
      <c r="D617" s="13" t="s">
        <v>1</v>
      </c>
      <c r="E617" s="35">
        <f>VLOOKUP(B617, Passenger_Kilometre_by_mode_type[#All],MATCH(A617, Passenger_Kilometre_by_mode_type[#Headers],0),0)</f>
        <v>2097797422.3808711</v>
      </c>
      <c r="F617" s="89">
        <f>VLOOKUP(C617, Reason_for_public_transport_journeys_by_percentage[#All],MATCH(A617, Reason_for_public_transport_journeys_by_percentage[#Headers],0),0)/100</f>
        <v>7.0250000000000007E-2</v>
      </c>
      <c r="G617" s="13">
        <f t="shared" si="46"/>
        <v>147370268.9222562</v>
      </c>
      <c r="H617" s="89">
        <f>VLOOKUP(D617,Average_Distance_by_kilometre_grouping_for_mode_type[#All],MATCH(A617,Average_Distance_by_kilometre_grouping_for_mode_type[#Headers],0),0)</f>
        <v>31.75</v>
      </c>
      <c r="I617" s="89">
        <f>VLOOKUP(D617,Average_Distance_by_kilometres_grouping_for_trip_purpose[#All],MATCH(A617,Average_Distance_by_kilometres_grouping_for_trip_purpose[#Headers],0),0)</f>
        <v>34.770000000000003</v>
      </c>
      <c r="J617" s="89">
        <f t="shared" si="47"/>
        <v>33.260000000000005</v>
      </c>
      <c r="K617" s="89">
        <f t="shared" si="48"/>
        <v>0.67519285424279341</v>
      </c>
      <c r="L617" s="89">
        <v>1</v>
      </c>
      <c r="M617" s="13">
        <f t="shared" si="49"/>
        <v>99503352.504146203</v>
      </c>
      <c r="N617" s="11">
        <f t="shared" si="45"/>
        <v>1.9221437473530213E-3</v>
      </c>
    </row>
    <row r="618" spans="1:14" x14ac:dyDescent="0.25">
      <c r="A618" s="79" t="s">
        <v>32</v>
      </c>
      <c r="B618" s="89" t="s">
        <v>10</v>
      </c>
      <c r="C618" s="89" t="s">
        <v>93</v>
      </c>
      <c r="D618" s="13" t="s">
        <v>12</v>
      </c>
      <c r="E618" s="35">
        <f>VLOOKUP(B618, Passenger_Kilometre_by_mode_type[#All],MATCH(A618, Passenger_Kilometre_by_mode_type[#Headers],0),0)</f>
        <v>2097797422.3808711</v>
      </c>
      <c r="F618" s="89">
        <f>VLOOKUP(C618, Reason_for_public_transport_journeys_by_percentage[#All],MATCH(A618, Reason_for_public_transport_journeys_by_percentage[#Headers],0),0)/100</f>
        <v>9.6374999999999988E-2</v>
      </c>
      <c r="G618" s="13">
        <f t="shared" si="46"/>
        <v>202175226.58195642</v>
      </c>
      <c r="H618" s="89">
        <f>VLOOKUP(D618,Average_Distance_by_kilometre_grouping_for_mode_type[#All],MATCH(A618,Average_Distance_by_kilometre_grouping_for_mode_type[#Headers],0),0)</f>
        <v>1</v>
      </c>
      <c r="I618" s="89">
        <f>VLOOKUP(D618,Average_Distance_by_kilometres_grouping_for_trip_purpose[#All],MATCH(A618,Average_Distance_by_kilometres_grouping_for_trip_purpose[#Headers],0),0)</f>
        <v>1</v>
      </c>
      <c r="J618" s="89">
        <f t="shared" si="47"/>
        <v>1</v>
      </c>
      <c r="K618" s="89">
        <f t="shared" si="48"/>
        <v>2.0300446609825416E-2</v>
      </c>
      <c r="L618" s="89">
        <v>1</v>
      </c>
      <c r="M618" s="13">
        <f t="shared" si="49"/>
        <v>4104247.3930563624</v>
      </c>
      <c r="N618" s="11">
        <f t="shared" si="45"/>
        <v>7.9283293131500281E-5</v>
      </c>
    </row>
    <row r="619" spans="1:14" x14ac:dyDescent="0.25">
      <c r="A619" s="79" t="s">
        <v>32</v>
      </c>
      <c r="B619" s="89" t="s">
        <v>10</v>
      </c>
      <c r="C619" s="89" t="s">
        <v>93</v>
      </c>
      <c r="D619" s="13" t="s">
        <v>181</v>
      </c>
      <c r="E619" s="35">
        <f>VLOOKUP(B619, Passenger_Kilometre_by_mode_type[#All],MATCH(A619, Passenger_Kilometre_by_mode_type[#Headers],0),0)</f>
        <v>2097797422.3808711</v>
      </c>
      <c r="F619" s="89">
        <f>VLOOKUP(C619, Reason_for_public_transport_journeys_by_percentage[#All],MATCH(A619, Reason_for_public_transport_journeys_by_percentage[#Headers],0),0)/100</f>
        <v>9.6374999999999988E-2</v>
      </c>
      <c r="G619" s="13">
        <f t="shared" si="46"/>
        <v>202175226.58195642</v>
      </c>
      <c r="H619" s="89">
        <f>VLOOKUP(D619,Average_Distance_by_kilometre_grouping_for_mode_type[#All],MATCH(A619,Average_Distance_by_kilometre_grouping_for_mode_type[#Headers],0),0)</f>
        <v>3</v>
      </c>
      <c r="I619" s="89">
        <f>VLOOKUP(D619,Average_Distance_by_kilometres_grouping_for_trip_purpose[#All],MATCH(A619,Average_Distance_by_kilometres_grouping_for_trip_purpose[#Headers],0),0)</f>
        <v>3</v>
      </c>
      <c r="J619" s="89">
        <f t="shared" si="47"/>
        <v>3</v>
      </c>
      <c r="K619" s="89">
        <f t="shared" si="48"/>
        <v>6.0901339829476243E-2</v>
      </c>
      <c r="L619" s="89">
        <v>1</v>
      </c>
      <c r="M619" s="13">
        <f t="shared" si="49"/>
        <v>12312742.179169087</v>
      </c>
      <c r="N619" s="11">
        <f t="shared" si="45"/>
        <v>2.3784987939450081E-4</v>
      </c>
    </row>
    <row r="620" spans="1:14" x14ac:dyDescent="0.25">
      <c r="A620" s="79" t="s">
        <v>32</v>
      </c>
      <c r="B620" s="89" t="s">
        <v>10</v>
      </c>
      <c r="C620" s="89" t="s">
        <v>93</v>
      </c>
      <c r="D620" s="13" t="s">
        <v>180</v>
      </c>
      <c r="E620" s="35">
        <f>VLOOKUP(B620, Passenger_Kilometre_by_mode_type[#All],MATCH(A620, Passenger_Kilometre_by_mode_type[#Headers],0),0)</f>
        <v>2097797422.3808711</v>
      </c>
      <c r="F620" s="89">
        <f>VLOOKUP(C620, Reason_for_public_transport_journeys_by_percentage[#All],MATCH(A620, Reason_for_public_transport_journeys_by_percentage[#Headers],0),0)/100</f>
        <v>9.6374999999999988E-2</v>
      </c>
      <c r="G620" s="13">
        <f t="shared" si="46"/>
        <v>202175226.58195642</v>
      </c>
      <c r="H620" s="89">
        <f>VLOOKUP(D620,Average_Distance_by_kilometre_grouping_for_mode_type[#All],MATCH(A620,Average_Distance_by_kilometre_grouping_for_mode_type[#Headers],0),0)</f>
        <v>5</v>
      </c>
      <c r="I620" s="89">
        <f>VLOOKUP(D620,Average_Distance_by_kilometres_grouping_for_trip_purpose[#All],MATCH(A620,Average_Distance_by_kilometres_grouping_for_trip_purpose[#Headers],0),0)</f>
        <v>5</v>
      </c>
      <c r="J620" s="89">
        <f t="shared" si="47"/>
        <v>5</v>
      </c>
      <c r="K620" s="89">
        <f t="shared" si="48"/>
        <v>0.10150223304912707</v>
      </c>
      <c r="L620" s="89">
        <v>1</v>
      </c>
      <c r="M620" s="13">
        <f t="shared" si="49"/>
        <v>20521236.965281811</v>
      </c>
      <c r="N620" s="11">
        <f t="shared" ref="N620:N683" si="50">M620/SUM($M$363:$M$722)</f>
        <v>3.9641646565750135E-4</v>
      </c>
    </row>
    <row r="621" spans="1:14" x14ac:dyDescent="0.25">
      <c r="A621" s="79" t="s">
        <v>32</v>
      </c>
      <c r="B621" s="89" t="s">
        <v>10</v>
      </c>
      <c r="C621" s="89" t="s">
        <v>93</v>
      </c>
      <c r="D621" s="13" t="s">
        <v>182</v>
      </c>
      <c r="E621" s="35">
        <f>VLOOKUP(B621, Passenger_Kilometre_by_mode_type[#All],MATCH(A621, Passenger_Kilometre_by_mode_type[#Headers],0),0)</f>
        <v>2097797422.3808711</v>
      </c>
      <c r="F621" s="89">
        <f>VLOOKUP(C621, Reason_for_public_transport_journeys_by_percentage[#All],MATCH(A621, Reason_for_public_transport_journeys_by_percentage[#Headers],0),0)/100</f>
        <v>9.6374999999999988E-2</v>
      </c>
      <c r="G621" s="13">
        <f t="shared" si="46"/>
        <v>202175226.58195642</v>
      </c>
      <c r="H621" s="89">
        <f>VLOOKUP(D621,Average_Distance_by_kilometre_grouping_for_mode_type[#All],MATCH(A621,Average_Distance_by_kilometre_grouping_for_mode_type[#Headers],0),0)</f>
        <v>7</v>
      </c>
      <c r="I621" s="89">
        <f>VLOOKUP(D621,Average_Distance_by_kilometres_grouping_for_trip_purpose[#All],MATCH(A621,Average_Distance_by_kilometres_grouping_for_trip_purpose[#Headers],0),0)</f>
        <v>7</v>
      </c>
      <c r="J621" s="89">
        <f t="shared" si="47"/>
        <v>7</v>
      </c>
      <c r="K621" s="89">
        <f t="shared" si="48"/>
        <v>0.14210312626877789</v>
      </c>
      <c r="L621" s="89">
        <v>1</v>
      </c>
      <c r="M621" s="13">
        <f t="shared" si="49"/>
        <v>28729731.751394533</v>
      </c>
      <c r="N621" s="11">
        <f t="shared" si="50"/>
        <v>5.5498305192050186E-4</v>
      </c>
    </row>
    <row r="622" spans="1:14" x14ac:dyDescent="0.25">
      <c r="A622" s="79" t="s">
        <v>32</v>
      </c>
      <c r="B622" s="89" t="s">
        <v>10</v>
      </c>
      <c r="C622" s="89" t="s">
        <v>93</v>
      </c>
      <c r="D622" s="13" t="s">
        <v>1</v>
      </c>
      <c r="E622" s="35">
        <f>VLOOKUP(B622, Passenger_Kilometre_by_mode_type[#All],MATCH(A622, Passenger_Kilometre_by_mode_type[#Headers],0),0)</f>
        <v>2097797422.3808711</v>
      </c>
      <c r="F622" s="89">
        <f>VLOOKUP(C622, Reason_for_public_transport_journeys_by_percentage[#All],MATCH(A622, Reason_for_public_transport_journeys_by_percentage[#Headers],0),0)/100</f>
        <v>9.6374999999999988E-2</v>
      </c>
      <c r="G622" s="13">
        <f t="shared" si="46"/>
        <v>202175226.58195642</v>
      </c>
      <c r="H622" s="89">
        <f>VLOOKUP(D622,Average_Distance_by_kilometre_grouping_for_mode_type[#All],MATCH(A622,Average_Distance_by_kilometre_grouping_for_mode_type[#Headers],0),0)</f>
        <v>31.75</v>
      </c>
      <c r="I622" s="89">
        <f>VLOOKUP(D622,Average_Distance_by_kilometres_grouping_for_trip_purpose[#All],MATCH(A622,Average_Distance_by_kilometres_grouping_for_trip_purpose[#Headers],0),0)</f>
        <v>34.770000000000003</v>
      </c>
      <c r="J622" s="89">
        <f t="shared" si="47"/>
        <v>33.260000000000005</v>
      </c>
      <c r="K622" s="89">
        <f t="shared" si="48"/>
        <v>0.67519285424279341</v>
      </c>
      <c r="L622" s="89">
        <v>1</v>
      </c>
      <c r="M622" s="13">
        <f t="shared" si="49"/>
        <v>136507268.29305464</v>
      </c>
      <c r="N622" s="11">
        <f t="shared" si="50"/>
        <v>2.6369623295536995E-3</v>
      </c>
    </row>
    <row r="623" spans="1:14" x14ac:dyDescent="0.25">
      <c r="A623" s="79" t="s">
        <v>32</v>
      </c>
      <c r="B623" s="89" t="s">
        <v>10</v>
      </c>
      <c r="C623" s="89" t="s">
        <v>243</v>
      </c>
      <c r="D623" s="13" t="s">
        <v>12</v>
      </c>
      <c r="E623" s="35">
        <f>VLOOKUP(B623, Passenger_Kilometre_by_mode_type[#All],MATCH(A623, Passenger_Kilometre_by_mode_type[#Headers],0),0)</f>
        <v>2097797422.3808711</v>
      </c>
      <c r="F623" s="89">
        <f>VLOOKUP(C623, Reason_for_public_transport_journeys_by_percentage[#All],MATCH(A623, Reason_for_public_transport_journeys_by_percentage[#Headers],0),0)/100</f>
        <v>2.2499999999999999E-2</v>
      </c>
      <c r="G623" s="13">
        <f t="shared" si="46"/>
        <v>47200442.003569596</v>
      </c>
      <c r="H623" s="89">
        <f>VLOOKUP(D623,Average_Distance_by_kilometre_grouping_for_mode_type[#All],MATCH(A623,Average_Distance_by_kilometre_grouping_for_mode_type[#Headers],0),0)</f>
        <v>1</v>
      </c>
      <c r="I623" s="89">
        <f>VLOOKUP(D623,Average_Distance_by_kilometres_grouping_for_trip_purpose[#All],MATCH(A623,Average_Distance_by_kilometres_grouping_for_trip_purpose[#Headers],0),0)</f>
        <v>1</v>
      </c>
      <c r="J623" s="89">
        <f t="shared" si="47"/>
        <v>1</v>
      </c>
      <c r="K623" s="89">
        <f t="shared" si="48"/>
        <v>2.0300446609825416E-2</v>
      </c>
      <c r="L623" s="89">
        <v>1</v>
      </c>
      <c r="M623" s="13">
        <f t="shared" si="49"/>
        <v>958190.0528536255</v>
      </c>
      <c r="N623" s="11">
        <f t="shared" si="50"/>
        <v>1.8509718240817185E-5</v>
      </c>
    </row>
    <row r="624" spans="1:14" x14ac:dyDescent="0.25">
      <c r="A624" s="79" t="s">
        <v>32</v>
      </c>
      <c r="B624" s="89" t="s">
        <v>10</v>
      </c>
      <c r="C624" s="89" t="s">
        <v>243</v>
      </c>
      <c r="D624" s="13" t="s">
        <v>181</v>
      </c>
      <c r="E624" s="35">
        <f>VLOOKUP(B624, Passenger_Kilometre_by_mode_type[#All],MATCH(A624, Passenger_Kilometre_by_mode_type[#Headers],0),0)</f>
        <v>2097797422.3808711</v>
      </c>
      <c r="F624" s="89">
        <f>VLOOKUP(C624, Reason_for_public_transport_journeys_by_percentage[#All],MATCH(A624, Reason_for_public_transport_journeys_by_percentage[#Headers],0),0)/100</f>
        <v>2.2499999999999999E-2</v>
      </c>
      <c r="G624" s="13">
        <f t="shared" si="46"/>
        <v>47200442.003569596</v>
      </c>
      <c r="H624" s="89">
        <f>VLOOKUP(D624,Average_Distance_by_kilometre_grouping_for_mode_type[#All],MATCH(A624,Average_Distance_by_kilometre_grouping_for_mode_type[#Headers],0),0)</f>
        <v>3</v>
      </c>
      <c r="I624" s="89">
        <f>VLOOKUP(D624,Average_Distance_by_kilometres_grouping_for_trip_purpose[#All],MATCH(A624,Average_Distance_by_kilometres_grouping_for_trip_purpose[#Headers],0),0)</f>
        <v>3</v>
      </c>
      <c r="J624" s="89">
        <f t="shared" si="47"/>
        <v>3</v>
      </c>
      <c r="K624" s="89">
        <f t="shared" si="48"/>
        <v>6.0901339829476243E-2</v>
      </c>
      <c r="L624" s="89">
        <v>1</v>
      </c>
      <c r="M624" s="13">
        <f t="shared" si="49"/>
        <v>2874570.1585608763</v>
      </c>
      <c r="N624" s="11">
        <f t="shared" si="50"/>
        <v>5.5529154722451549E-5</v>
      </c>
    </row>
    <row r="625" spans="1:14" x14ac:dyDescent="0.25">
      <c r="A625" s="79" t="s">
        <v>32</v>
      </c>
      <c r="B625" s="89" t="s">
        <v>10</v>
      </c>
      <c r="C625" s="89" t="s">
        <v>243</v>
      </c>
      <c r="D625" s="13" t="s">
        <v>180</v>
      </c>
      <c r="E625" s="35">
        <f>VLOOKUP(B625, Passenger_Kilometre_by_mode_type[#All],MATCH(A625, Passenger_Kilometre_by_mode_type[#Headers],0),0)</f>
        <v>2097797422.3808711</v>
      </c>
      <c r="F625" s="89">
        <f>VLOOKUP(C625, Reason_for_public_transport_journeys_by_percentage[#All],MATCH(A625, Reason_for_public_transport_journeys_by_percentage[#Headers],0),0)/100</f>
        <v>2.2499999999999999E-2</v>
      </c>
      <c r="G625" s="13">
        <f t="shared" si="46"/>
        <v>47200442.003569596</v>
      </c>
      <c r="H625" s="89">
        <f>VLOOKUP(D625,Average_Distance_by_kilometre_grouping_for_mode_type[#All],MATCH(A625,Average_Distance_by_kilometre_grouping_for_mode_type[#Headers],0),0)</f>
        <v>5</v>
      </c>
      <c r="I625" s="89">
        <f>VLOOKUP(D625,Average_Distance_by_kilometres_grouping_for_trip_purpose[#All],MATCH(A625,Average_Distance_by_kilometres_grouping_for_trip_purpose[#Headers],0),0)</f>
        <v>5</v>
      </c>
      <c r="J625" s="89">
        <f t="shared" si="47"/>
        <v>5</v>
      </c>
      <c r="K625" s="89">
        <f t="shared" si="48"/>
        <v>0.10150223304912707</v>
      </c>
      <c r="L625" s="89">
        <v>1</v>
      </c>
      <c r="M625" s="13">
        <f t="shared" si="49"/>
        <v>4790950.2642681273</v>
      </c>
      <c r="N625" s="11">
        <f t="shared" si="50"/>
        <v>9.2548591204085926E-5</v>
      </c>
    </row>
    <row r="626" spans="1:14" x14ac:dyDescent="0.25">
      <c r="A626" s="79" t="s">
        <v>32</v>
      </c>
      <c r="B626" s="89" t="s">
        <v>10</v>
      </c>
      <c r="C626" s="89" t="s">
        <v>243</v>
      </c>
      <c r="D626" s="13" t="s">
        <v>182</v>
      </c>
      <c r="E626" s="35">
        <f>VLOOKUP(B626, Passenger_Kilometre_by_mode_type[#All],MATCH(A626, Passenger_Kilometre_by_mode_type[#Headers],0),0)</f>
        <v>2097797422.3808711</v>
      </c>
      <c r="F626" s="89">
        <f>VLOOKUP(C626, Reason_for_public_transport_journeys_by_percentage[#All],MATCH(A626, Reason_for_public_transport_journeys_by_percentage[#Headers],0),0)/100</f>
        <v>2.2499999999999999E-2</v>
      </c>
      <c r="G626" s="13">
        <f t="shared" si="46"/>
        <v>47200442.003569596</v>
      </c>
      <c r="H626" s="89">
        <f>VLOOKUP(D626,Average_Distance_by_kilometre_grouping_for_mode_type[#All],MATCH(A626,Average_Distance_by_kilometre_grouping_for_mode_type[#Headers],0),0)</f>
        <v>7</v>
      </c>
      <c r="I626" s="89">
        <f>VLOOKUP(D626,Average_Distance_by_kilometres_grouping_for_trip_purpose[#All],MATCH(A626,Average_Distance_by_kilometres_grouping_for_trip_purpose[#Headers],0),0)</f>
        <v>7</v>
      </c>
      <c r="J626" s="89">
        <f t="shared" si="47"/>
        <v>7</v>
      </c>
      <c r="K626" s="89">
        <f t="shared" si="48"/>
        <v>0.14210312626877789</v>
      </c>
      <c r="L626" s="89">
        <v>1</v>
      </c>
      <c r="M626" s="13">
        <f t="shared" si="49"/>
        <v>6707330.3699753778</v>
      </c>
      <c r="N626" s="11">
        <f t="shared" si="50"/>
        <v>1.295680276857203E-4</v>
      </c>
    </row>
    <row r="627" spans="1:14" x14ac:dyDescent="0.25">
      <c r="A627" s="79" t="s">
        <v>32</v>
      </c>
      <c r="B627" s="89" t="s">
        <v>10</v>
      </c>
      <c r="C627" s="89" t="s">
        <v>243</v>
      </c>
      <c r="D627" s="13" t="s">
        <v>1</v>
      </c>
      <c r="E627" s="35">
        <f>VLOOKUP(B627, Passenger_Kilometre_by_mode_type[#All],MATCH(A627, Passenger_Kilometre_by_mode_type[#Headers],0),0)</f>
        <v>2097797422.3808711</v>
      </c>
      <c r="F627" s="89">
        <f>VLOOKUP(C627, Reason_for_public_transport_journeys_by_percentage[#All],MATCH(A627, Reason_for_public_transport_journeys_by_percentage[#Headers],0),0)/100</f>
        <v>2.2499999999999999E-2</v>
      </c>
      <c r="G627" s="13">
        <f t="shared" si="46"/>
        <v>47200442.003569596</v>
      </c>
      <c r="H627" s="89">
        <f>VLOOKUP(D627,Average_Distance_by_kilometre_grouping_for_mode_type[#All],MATCH(A627,Average_Distance_by_kilometre_grouping_for_mode_type[#Headers],0),0)</f>
        <v>31.75</v>
      </c>
      <c r="I627" s="89">
        <f>VLOOKUP(D627,Average_Distance_by_kilometres_grouping_for_trip_purpose[#All],MATCH(A627,Average_Distance_by_kilometres_grouping_for_trip_purpose[#Headers],0),0)</f>
        <v>34.770000000000003</v>
      </c>
      <c r="J627" s="89">
        <f t="shared" si="47"/>
        <v>33.260000000000005</v>
      </c>
      <c r="K627" s="89">
        <f t="shared" si="48"/>
        <v>0.67519285424279341</v>
      </c>
      <c r="L627" s="89">
        <v>1</v>
      </c>
      <c r="M627" s="13">
        <f t="shared" si="49"/>
        <v>31869401.157911591</v>
      </c>
      <c r="N627" s="11">
        <f t="shared" si="50"/>
        <v>6.1563322868957973E-4</v>
      </c>
    </row>
    <row r="628" spans="1:14" x14ac:dyDescent="0.25">
      <c r="A628" s="79" t="s">
        <v>32</v>
      </c>
      <c r="B628" s="89" t="s">
        <v>10</v>
      </c>
      <c r="C628" s="89" t="s">
        <v>50</v>
      </c>
      <c r="D628" s="13" t="s">
        <v>12</v>
      </c>
      <c r="E628" s="35">
        <f>VLOOKUP(B628, Passenger_Kilometre_by_mode_type[#All],MATCH(A628, Passenger_Kilometre_by_mode_type[#Headers],0),0)</f>
        <v>2097797422.3808711</v>
      </c>
      <c r="F628" s="89">
        <f>VLOOKUP(C628, Reason_for_public_transport_journeys_by_percentage[#All],MATCH(A628, Reason_for_public_transport_journeys_by_percentage[#Headers],0),0)/100</f>
        <v>9.1250000000000012E-2</v>
      </c>
      <c r="G628" s="13">
        <f t="shared" si="46"/>
        <v>191424014.79225451</v>
      </c>
      <c r="H628" s="89">
        <f>VLOOKUP(D628,Average_Distance_by_kilometre_grouping_for_mode_type[#All],MATCH(A628,Average_Distance_by_kilometre_grouping_for_mode_type[#Headers],0),0)</f>
        <v>1</v>
      </c>
      <c r="I628" s="89">
        <f>VLOOKUP(D628,Average_Distance_by_kilometres_grouping_for_trip_purpose[#All],MATCH(A628,Average_Distance_by_kilometres_grouping_for_trip_purpose[#Headers],0),0)</f>
        <v>1</v>
      </c>
      <c r="J628" s="89">
        <f t="shared" si="47"/>
        <v>1</v>
      </c>
      <c r="K628" s="89">
        <f t="shared" si="48"/>
        <v>2.0300446609825416E-2</v>
      </c>
      <c r="L628" s="89">
        <v>1</v>
      </c>
      <c r="M628" s="13">
        <f t="shared" si="49"/>
        <v>3885992.9921285934</v>
      </c>
      <c r="N628" s="11">
        <f t="shared" si="50"/>
        <v>7.5067190643314155E-5</v>
      </c>
    </row>
    <row r="629" spans="1:14" x14ac:dyDescent="0.25">
      <c r="A629" s="79" t="s">
        <v>32</v>
      </c>
      <c r="B629" s="89" t="s">
        <v>10</v>
      </c>
      <c r="C629" s="89" t="s">
        <v>50</v>
      </c>
      <c r="D629" s="13" t="s">
        <v>181</v>
      </c>
      <c r="E629" s="35">
        <f>VLOOKUP(B629, Passenger_Kilometre_by_mode_type[#All],MATCH(A629, Passenger_Kilometre_by_mode_type[#Headers],0),0)</f>
        <v>2097797422.3808711</v>
      </c>
      <c r="F629" s="89">
        <f>VLOOKUP(C629, Reason_for_public_transport_journeys_by_percentage[#All],MATCH(A629, Reason_for_public_transport_journeys_by_percentage[#Headers],0),0)/100</f>
        <v>9.1250000000000012E-2</v>
      </c>
      <c r="G629" s="13">
        <f t="shared" si="46"/>
        <v>191424014.79225451</v>
      </c>
      <c r="H629" s="89">
        <f>VLOOKUP(D629,Average_Distance_by_kilometre_grouping_for_mode_type[#All],MATCH(A629,Average_Distance_by_kilometre_grouping_for_mode_type[#Headers],0),0)</f>
        <v>3</v>
      </c>
      <c r="I629" s="89">
        <f>VLOOKUP(D629,Average_Distance_by_kilometres_grouping_for_trip_purpose[#All],MATCH(A629,Average_Distance_by_kilometres_grouping_for_trip_purpose[#Headers],0),0)</f>
        <v>3</v>
      </c>
      <c r="J629" s="89">
        <f t="shared" si="47"/>
        <v>3</v>
      </c>
      <c r="K629" s="89">
        <f t="shared" si="48"/>
        <v>6.0901339829476243E-2</v>
      </c>
      <c r="L629" s="89">
        <v>1</v>
      </c>
      <c r="M629" s="13">
        <f t="shared" si="49"/>
        <v>11657978.97638578</v>
      </c>
      <c r="N629" s="11">
        <f t="shared" si="50"/>
        <v>2.2520157192994247E-4</v>
      </c>
    </row>
    <row r="630" spans="1:14" x14ac:dyDescent="0.25">
      <c r="A630" s="79" t="s">
        <v>32</v>
      </c>
      <c r="B630" s="89" t="s">
        <v>10</v>
      </c>
      <c r="C630" s="89" t="s">
        <v>50</v>
      </c>
      <c r="D630" s="13" t="s">
        <v>180</v>
      </c>
      <c r="E630" s="35">
        <f>VLOOKUP(B630, Passenger_Kilometre_by_mode_type[#All],MATCH(A630, Passenger_Kilometre_by_mode_type[#Headers],0),0)</f>
        <v>2097797422.3808711</v>
      </c>
      <c r="F630" s="89">
        <f>VLOOKUP(C630, Reason_for_public_transport_journeys_by_percentage[#All],MATCH(A630, Reason_for_public_transport_journeys_by_percentage[#Headers],0),0)/100</f>
        <v>9.1250000000000012E-2</v>
      </c>
      <c r="G630" s="13">
        <f t="shared" si="46"/>
        <v>191424014.79225451</v>
      </c>
      <c r="H630" s="89">
        <f>VLOOKUP(D630,Average_Distance_by_kilometre_grouping_for_mode_type[#All],MATCH(A630,Average_Distance_by_kilometre_grouping_for_mode_type[#Headers],0),0)</f>
        <v>5</v>
      </c>
      <c r="I630" s="89">
        <f>VLOOKUP(D630,Average_Distance_by_kilometres_grouping_for_trip_purpose[#All],MATCH(A630,Average_Distance_by_kilometres_grouping_for_trip_purpose[#Headers],0),0)</f>
        <v>5</v>
      </c>
      <c r="J630" s="89">
        <f t="shared" si="47"/>
        <v>5</v>
      </c>
      <c r="K630" s="89">
        <f t="shared" si="48"/>
        <v>0.10150223304912707</v>
      </c>
      <c r="L630" s="89">
        <v>1</v>
      </c>
      <c r="M630" s="13">
        <f t="shared" si="49"/>
        <v>19429964.960642964</v>
      </c>
      <c r="N630" s="11">
        <f t="shared" si="50"/>
        <v>3.7533595321657075E-4</v>
      </c>
    </row>
    <row r="631" spans="1:14" x14ac:dyDescent="0.25">
      <c r="A631" s="79" t="s">
        <v>32</v>
      </c>
      <c r="B631" s="89" t="s">
        <v>10</v>
      </c>
      <c r="C631" s="89" t="s">
        <v>50</v>
      </c>
      <c r="D631" s="13" t="s">
        <v>182</v>
      </c>
      <c r="E631" s="35">
        <f>VLOOKUP(B631, Passenger_Kilometre_by_mode_type[#All],MATCH(A631, Passenger_Kilometre_by_mode_type[#Headers],0),0)</f>
        <v>2097797422.3808711</v>
      </c>
      <c r="F631" s="89">
        <f>VLOOKUP(C631, Reason_for_public_transport_journeys_by_percentage[#All],MATCH(A631, Reason_for_public_transport_journeys_by_percentage[#Headers],0),0)/100</f>
        <v>9.1250000000000012E-2</v>
      </c>
      <c r="G631" s="13">
        <f t="shared" si="46"/>
        <v>191424014.79225451</v>
      </c>
      <c r="H631" s="89">
        <f>VLOOKUP(D631,Average_Distance_by_kilometre_grouping_for_mode_type[#All],MATCH(A631,Average_Distance_by_kilometre_grouping_for_mode_type[#Headers],0),0)</f>
        <v>7</v>
      </c>
      <c r="I631" s="89">
        <f>VLOOKUP(D631,Average_Distance_by_kilometres_grouping_for_trip_purpose[#All],MATCH(A631,Average_Distance_by_kilometres_grouping_for_trip_purpose[#Headers],0),0)</f>
        <v>7</v>
      </c>
      <c r="J631" s="89">
        <f t="shared" si="47"/>
        <v>7</v>
      </c>
      <c r="K631" s="89">
        <f t="shared" si="48"/>
        <v>0.14210312626877789</v>
      </c>
      <c r="L631" s="89">
        <v>1</v>
      </c>
      <c r="M631" s="13">
        <f t="shared" si="49"/>
        <v>27201950.944900148</v>
      </c>
      <c r="N631" s="11">
        <f t="shared" si="50"/>
        <v>5.2547033450319901E-4</v>
      </c>
    </row>
    <row r="632" spans="1:14" x14ac:dyDescent="0.25">
      <c r="A632" s="79" t="s">
        <v>32</v>
      </c>
      <c r="B632" s="89" t="s">
        <v>10</v>
      </c>
      <c r="C632" s="89" t="s">
        <v>50</v>
      </c>
      <c r="D632" s="13" t="s">
        <v>1</v>
      </c>
      <c r="E632" s="35">
        <f>VLOOKUP(B632, Passenger_Kilometre_by_mode_type[#All],MATCH(A632, Passenger_Kilometre_by_mode_type[#Headers],0),0)</f>
        <v>2097797422.3808711</v>
      </c>
      <c r="F632" s="89">
        <f>VLOOKUP(C632, Reason_for_public_transport_journeys_by_percentage[#All],MATCH(A632, Reason_for_public_transport_journeys_by_percentage[#Headers],0),0)/100</f>
        <v>9.1250000000000012E-2</v>
      </c>
      <c r="G632" s="13">
        <f t="shared" si="46"/>
        <v>191424014.79225451</v>
      </c>
      <c r="H632" s="89">
        <f>VLOOKUP(D632,Average_Distance_by_kilometre_grouping_for_mode_type[#All],MATCH(A632,Average_Distance_by_kilometre_grouping_for_mode_type[#Headers],0),0)</f>
        <v>31.75</v>
      </c>
      <c r="I632" s="89">
        <f>VLOOKUP(D632,Average_Distance_by_kilometres_grouping_for_trip_purpose[#All],MATCH(A632,Average_Distance_by_kilometres_grouping_for_trip_purpose[#Headers],0),0)</f>
        <v>34.770000000000003</v>
      </c>
      <c r="J632" s="89">
        <f t="shared" si="47"/>
        <v>33.260000000000005</v>
      </c>
      <c r="K632" s="89">
        <f t="shared" si="48"/>
        <v>0.67519285424279341</v>
      </c>
      <c r="L632" s="89">
        <v>1</v>
      </c>
      <c r="M632" s="13">
        <f t="shared" si="49"/>
        <v>129248126.91819702</v>
      </c>
      <c r="N632" s="11">
        <f t="shared" si="50"/>
        <v>2.4967347607966293E-3</v>
      </c>
    </row>
    <row r="633" spans="1:14" x14ac:dyDescent="0.25">
      <c r="A633" s="79" t="s">
        <v>32</v>
      </c>
      <c r="B633" s="89" t="s">
        <v>11</v>
      </c>
      <c r="C633" s="89" t="s">
        <v>42</v>
      </c>
      <c r="D633" s="13" t="s">
        <v>12</v>
      </c>
      <c r="E633" s="35">
        <f>VLOOKUP(B633, Passenger_Kilometre_by_mode_type[#All],MATCH(A633, Passenger_Kilometre_by_mode_type[#Headers],0),0)</f>
        <v>200431253.53778797</v>
      </c>
      <c r="F633" s="89">
        <f>VLOOKUP(C633, Reason_for_public_transport_journeys_by_percentage[#All],MATCH(A633, Reason_for_public_transport_journeys_by_percentage[#Headers],0),0)/100</f>
        <v>0.28824999999999995</v>
      </c>
      <c r="G633" s="13">
        <f t="shared" si="46"/>
        <v>57774308.832267374</v>
      </c>
      <c r="H633" s="89">
        <f>VLOOKUP(D633,Average_Distance_by_kilometre_grouping_for_mode_type[#All],MATCH(A633,Average_Distance_by_kilometre_grouping_for_mode_type[#Headers],0),0)</f>
        <v>1</v>
      </c>
      <c r="I633" s="89">
        <f>VLOOKUP(D633,Average_Distance_by_kilometres_grouping_for_trip_purpose[#All],MATCH(A633,Average_Distance_by_kilometres_grouping_for_trip_purpose[#Headers],0),0)</f>
        <v>1</v>
      </c>
      <c r="J633" s="89">
        <f t="shared" si="47"/>
        <v>1</v>
      </c>
      <c r="K633" s="89">
        <f t="shared" si="48"/>
        <v>2.0300446609825416E-2</v>
      </c>
      <c r="L633" s="89">
        <v>1</v>
      </c>
      <c r="M633" s="13">
        <f t="shared" si="49"/>
        <v>1172844.2718690087</v>
      </c>
      <c r="N633" s="11">
        <f t="shared" si="50"/>
        <v>2.2656274658664235E-5</v>
      </c>
    </row>
    <row r="634" spans="1:14" x14ac:dyDescent="0.25">
      <c r="A634" s="79" t="s">
        <v>32</v>
      </c>
      <c r="B634" s="89" t="s">
        <v>11</v>
      </c>
      <c r="C634" s="89" t="s">
        <v>42</v>
      </c>
      <c r="D634" s="13" t="s">
        <v>181</v>
      </c>
      <c r="E634" s="35">
        <f>VLOOKUP(B634, Passenger_Kilometre_by_mode_type[#All],MATCH(A634, Passenger_Kilometre_by_mode_type[#Headers],0),0)</f>
        <v>200431253.53778797</v>
      </c>
      <c r="F634" s="89">
        <f>VLOOKUP(C634, Reason_for_public_transport_journeys_by_percentage[#All],MATCH(A634, Reason_for_public_transport_journeys_by_percentage[#Headers],0),0)/100</f>
        <v>0.28824999999999995</v>
      </c>
      <c r="G634" s="13">
        <f t="shared" si="46"/>
        <v>57774308.832267374</v>
      </c>
      <c r="H634" s="89">
        <f>VLOOKUP(D634,Average_Distance_by_kilometre_grouping_for_mode_type[#All],MATCH(A634,Average_Distance_by_kilometre_grouping_for_mode_type[#Headers],0),0)</f>
        <v>3</v>
      </c>
      <c r="I634" s="89">
        <f>VLOOKUP(D634,Average_Distance_by_kilometres_grouping_for_trip_purpose[#All],MATCH(A634,Average_Distance_by_kilometres_grouping_for_trip_purpose[#Headers],0),0)</f>
        <v>3</v>
      </c>
      <c r="J634" s="89">
        <f t="shared" si="47"/>
        <v>3</v>
      </c>
      <c r="K634" s="89">
        <f t="shared" si="48"/>
        <v>6.0901339829476243E-2</v>
      </c>
      <c r="L634" s="89">
        <v>1</v>
      </c>
      <c r="M634" s="13">
        <f t="shared" si="49"/>
        <v>3518532.8156070262</v>
      </c>
      <c r="N634" s="11">
        <f t="shared" si="50"/>
        <v>6.7968823975992712E-5</v>
      </c>
    </row>
    <row r="635" spans="1:14" x14ac:dyDescent="0.25">
      <c r="A635" s="79" t="s">
        <v>32</v>
      </c>
      <c r="B635" s="89" t="s">
        <v>11</v>
      </c>
      <c r="C635" s="89" t="s">
        <v>42</v>
      </c>
      <c r="D635" s="13" t="s">
        <v>180</v>
      </c>
      <c r="E635" s="35">
        <f>VLOOKUP(B635, Passenger_Kilometre_by_mode_type[#All],MATCH(A635, Passenger_Kilometre_by_mode_type[#Headers],0),0)</f>
        <v>200431253.53778797</v>
      </c>
      <c r="F635" s="89">
        <f>VLOOKUP(C635, Reason_for_public_transport_journeys_by_percentage[#All],MATCH(A635, Reason_for_public_transport_journeys_by_percentage[#Headers],0),0)/100</f>
        <v>0.28824999999999995</v>
      </c>
      <c r="G635" s="13">
        <f t="shared" si="46"/>
        <v>57774308.832267374</v>
      </c>
      <c r="H635" s="89">
        <f>VLOOKUP(D635,Average_Distance_by_kilometre_grouping_for_mode_type[#All],MATCH(A635,Average_Distance_by_kilometre_grouping_for_mode_type[#Headers],0),0)</f>
        <v>5</v>
      </c>
      <c r="I635" s="89">
        <f>VLOOKUP(D635,Average_Distance_by_kilometres_grouping_for_trip_purpose[#All],MATCH(A635,Average_Distance_by_kilometres_grouping_for_trip_purpose[#Headers],0),0)</f>
        <v>5</v>
      </c>
      <c r="J635" s="89">
        <f t="shared" si="47"/>
        <v>5</v>
      </c>
      <c r="K635" s="89">
        <f t="shared" si="48"/>
        <v>0.10150223304912707</v>
      </c>
      <c r="L635" s="89">
        <v>1</v>
      </c>
      <c r="M635" s="13">
        <f t="shared" si="49"/>
        <v>5864221.359345044</v>
      </c>
      <c r="N635" s="11">
        <f t="shared" si="50"/>
        <v>1.132813732933212E-4</v>
      </c>
    </row>
    <row r="636" spans="1:14" x14ac:dyDescent="0.25">
      <c r="A636" s="79" t="s">
        <v>32</v>
      </c>
      <c r="B636" s="89" t="s">
        <v>11</v>
      </c>
      <c r="C636" s="89" t="s">
        <v>42</v>
      </c>
      <c r="D636" s="13" t="s">
        <v>182</v>
      </c>
      <c r="E636" s="35">
        <f>VLOOKUP(B636, Passenger_Kilometre_by_mode_type[#All],MATCH(A636, Passenger_Kilometre_by_mode_type[#Headers],0),0)</f>
        <v>200431253.53778797</v>
      </c>
      <c r="F636" s="89">
        <f>VLOOKUP(C636, Reason_for_public_transport_journeys_by_percentage[#All],MATCH(A636, Reason_for_public_transport_journeys_by_percentage[#Headers],0),0)/100</f>
        <v>0.28824999999999995</v>
      </c>
      <c r="G636" s="13">
        <f t="shared" si="46"/>
        <v>57774308.832267374</v>
      </c>
      <c r="H636" s="89">
        <f>VLOOKUP(D636,Average_Distance_by_kilometre_grouping_for_mode_type[#All],MATCH(A636,Average_Distance_by_kilometre_grouping_for_mode_type[#Headers],0),0)</f>
        <v>7</v>
      </c>
      <c r="I636" s="89">
        <f>VLOOKUP(D636,Average_Distance_by_kilometres_grouping_for_trip_purpose[#All],MATCH(A636,Average_Distance_by_kilometres_grouping_for_trip_purpose[#Headers],0),0)</f>
        <v>7</v>
      </c>
      <c r="J636" s="89">
        <f t="shared" si="47"/>
        <v>7</v>
      </c>
      <c r="K636" s="89">
        <f t="shared" si="48"/>
        <v>0.14210312626877789</v>
      </c>
      <c r="L636" s="89">
        <v>1</v>
      </c>
      <c r="M636" s="13">
        <f t="shared" si="49"/>
        <v>8209909.9030830599</v>
      </c>
      <c r="N636" s="11">
        <f t="shared" si="50"/>
        <v>1.5859392261064964E-4</v>
      </c>
    </row>
    <row r="637" spans="1:14" x14ac:dyDescent="0.25">
      <c r="A637" s="79" t="s">
        <v>32</v>
      </c>
      <c r="B637" s="89" t="s">
        <v>11</v>
      </c>
      <c r="C637" s="89" t="s">
        <v>42</v>
      </c>
      <c r="D637" s="13" t="s">
        <v>1</v>
      </c>
      <c r="E637" s="35">
        <f>VLOOKUP(B637, Passenger_Kilometre_by_mode_type[#All],MATCH(A637, Passenger_Kilometre_by_mode_type[#Headers],0),0)</f>
        <v>200431253.53778797</v>
      </c>
      <c r="F637" s="89">
        <f>VLOOKUP(C637, Reason_for_public_transport_journeys_by_percentage[#All],MATCH(A637, Reason_for_public_transport_journeys_by_percentage[#Headers],0),0)/100</f>
        <v>0.28824999999999995</v>
      </c>
      <c r="G637" s="13">
        <f t="shared" si="46"/>
        <v>57774308.832267374</v>
      </c>
      <c r="H637" s="89">
        <f>VLOOKUP(D637,Average_Distance_by_kilometre_grouping_for_mode_type[#All],MATCH(A637,Average_Distance_by_kilometre_grouping_for_mode_type[#Headers],0),0)</f>
        <v>31.75</v>
      </c>
      <c r="I637" s="89">
        <f>VLOOKUP(D637,Average_Distance_by_kilometres_grouping_for_trip_purpose[#All],MATCH(A637,Average_Distance_by_kilometres_grouping_for_trip_purpose[#Headers],0),0)</f>
        <v>34.770000000000003</v>
      </c>
      <c r="J637" s="89">
        <f t="shared" si="47"/>
        <v>33.260000000000005</v>
      </c>
      <c r="K637" s="89">
        <f t="shared" si="48"/>
        <v>0.67519285424279341</v>
      </c>
      <c r="L637" s="89">
        <v>1</v>
      </c>
      <c r="M637" s="13">
        <f t="shared" si="49"/>
        <v>39008800.482363239</v>
      </c>
      <c r="N637" s="11">
        <f t="shared" si="50"/>
        <v>7.5354769514717271E-4</v>
      </c>
    </row>
    <row r="638" spans="1:14" x14ac:dyDescent="0.25">
      <c r="A638" s="79" t="s">
        <v>32</v>
      </c>
      <c r="B638" s="89" t="s">
        <v>11</v>
      </c>
      <c r="C638" s="89" t="s">
        <v>43</v>
      </c>
      <c r="D638" s="13" t="s">
        <v>12</v>
      </c>
      <c r="E638" s="35">
        <f>VLOOKUP(B638, Passenger_Kilometre_by_mode_type[#All],MATCH(A638, Passenger_Kilometre_by_mode_type[#Headers],0),0)</f>
        <v>200431253.53778797</v>
      </c>
      <c r="F638" s="89">
        <f>VLOOKUP(C638, Reason_for_public_transport_journeys_by_percentage[#All],MATCH(A638, Reason_for_public_transport_journeys_by_percentage[#Headers],0),0)/100</f>
        <v>0.12437499999999999</v>
      </c>
      <c r="G638" s="13">
        <f t="shared" si="46"/>
        <v>24928637.158762377</v>
      </c>
      <c r="H638" s="89">
        <f>VLOOKUP(D638,Average_Distance_by_kilometre_grouping_for_mode_type[#All],MATCH(A638,Average_Distance_by_kilometre_grouping_for_mode_type[#Headers],0),0)</f>
        <v>1</v>
      </c>
      <c r="I638" s="89">
        <f>VLOOKUP(D638,Average_Distance_by_kilometres_grouping_for_trip_purpose[#All],MATCH(A638,Average_Distance_by_kilometres_grouping_for_trip_purpose[#Headers],0),0)</f>
        <v>1</v>
      </c>
      <c r="J638" s="89">
        <f t="shared" si="47"/>
        <v>1</v>
      </c>
      <c r="K638" s="89">
        <f t="shared" si="48"/>
        <v>2.0300446609825416E-2</v>
      </c>
      <c r="L638" s="89">
        <v>1</v>
      </c>
      <c r="M638" s="13">
        <f t="shared" si="49"/>
        <v>506062.46769716556</v>
      </c>
      <c r="N638" s="11">
        <f t="shared" si="50"/>
        <v>9.7757993431790622E-6</v>
      </c>
    </row>
    <row r="639" spans="1:14" x14ac:dyDescent="0.25">
      <c r="A639" s="79" t="s">
        <v>32</v>
      </c>
      <c r="B639" s="89" t="s">
        <v>11</v>
      </c>
      <c r="C639" s="89" t="s">
        <v>43</v>
      </c>
      <c r="D639" s="13" t="s">
        <v>181</v>
      </c>
      <c r="E639" s="35">
        <f>VLOOKUP(B639, Passenger_Kilometre_by_mode_type[#All],MATCH(A639, Passenger_Kilometre_by_mode_type[#Headers],0),0)</f>
        <v>200431253.53778797</v>
      </c>
      <c r="F639" s="89">
        <f>VLOOKUP(C639, Reason_for_public_transport_journeys_by_percentage[#All],MATCH(A639, Reason_for_public_transport_journeys_by_percentage[#Headers],0),0)/100</f>
        <v>0.12437499999999999</v>
      </c>
      <c r="G639" s="13">
        <f t="shared" si="46"/>
        <v>24928637.158762377</v>
      </c>
      <c r="H639" s="89">
        <f>VLOOKUP(D639,Average_Distance_by_kilometre_grouping_for_mode_type[#All],MATCH(A639,Average_Distance_by_kilometre_grouping_for_mode_type[#Headers],0),0)</f>
        <v>3</v>
      </c>
      <c r="I639" s="89">
        <f>VLOOKUP(D639,Average_Distance_by_kilometres_grouping_for_trip_purpose[#All],MATCH(A639,Average_Distance_by_kilometres_grouping_for_trip_purpose[#Headers],0),0)</f>
        <v>3</v>
      </c>
      <c r="J639" s="89">
        <f t="shared" si="47"/>
        <v>3</v>
      </c>
      <c r="K639" s="89">
        <f t="shared" si="48"/>
        <v>6.0901339829476243E-2</v>
      </c>
      <c r="L639" s="89">
        <v>1</v>
      </c>
      <c r="M639" s="13">
        <f t="shared" si="49"/>
        <v>1518187.4030914966</v>
      </c>
      <c r="N639" s="11">
        <f t="shared" si="50"/>
        <v>2.9327398029537185E-5</v>
      </c>
    </row>
    <row r="640" spans="1:14" x14ac:dyDescent="0.25">
      <c r="A640" s="79" t="s">
        <v>32</v>
      </c>
      <c r="B640" s="89" t="s">
        <v>11</v>
      </c>
      <c r="C640" s="89" t="s">
        <v>43</v>
      </c>
      <c r="D640" s="13" t="s">
        <v>180</v>
      </c>
      <c r="E640" s="35">
        <f>VLOOKUP(B640, Passenger_Kilometre_by_mode_type[#All],MATCH(A640, Passenger_Kilometre_by_mode_type[#Headers],0),0)</f>
        <v>200431253.53778797</v>
      </c>
      <c r="F640" s="89">
        <f>VLOOKUP(C640, Reason_for_public_transport_journeys_by_percentage[#All],MATCH(A640, Reason_for_public_transport_journeys_by_percentage[#Headers],0),0)/100</f>
        <v>0.12437499999999999</v>
      </c>
      <c r="G640" s="13">
        <f t="shared" si="46"/>
        <v>24928637.158762377</v>
      </c>
      <c r="H640" s="89">
        <f>VLOOKUP(D640,Average_Distance_by_kilometre_grouping_for_mode_type[#All],MATCH(A640,Average_Distance_by_kilometre_grouping_for_mode_type[#Headers],0),0)</f>
        <v>5</v>
      </c>
      <c r="I640" s="89">
        <f>VLOOKUP(D640,Average_Distance_by_kilometres_grouping_for_trip_purpose[#All],MATCH(A640,Average_Distance_by_kilometres_grouping_for_trip_purpose[#Headers],0),0)</f>
        <v>5</v>
      </c>
      <c r="J640" s="89">
        <f t="shared" si="47"/>
        <v>5</v>
      </c>
      <c r="K640" s="89">
        <f t="shared" si="48"/>
        <v>0.10150223304912707</v>
      </c>
      <c r="L640" s="89">
        <v>1</v>
      </c>
      <c r="M640" s="13">
        <f t="shared" si="49"/>
        <v>2530312.3384858277</v>
      </c>
      <c r="N640" s="11">
        <f t="shared" si="50"/>
        <v>4.8878996715895306E-5</v>
      </c>
    </row>
    <row r="641" spans="1:14" x14ac:dyDescent="0.25">
      <c r="A641" s="79" t="s">
        <v>32</v>
      </c>
      <c r="B641" s="89" t="s">
        <v>11</v>
      </c>
      <c r="C641" s="89" t="s">
        <v>43</v>
      </c>
      <c r="D641" s="13" t="s">
        <v>182</v>
      </c>
      <c r="E641" s="35">
        <f>VLOOKUP(B641, Passenger_Kilometre_by_mode_type[#All],MATCH(A641, Passenger_Kilometre_by_mode_type[#Headers],0),0)</f>
        <v>200431253.53778797</v>
      </c>
      <c r="F641" s="89">
        <f>VLOOKUP(C641, Reason_for_public_transport_journeys_by_percentage[#All],MATCH(A641, Reason_for_public_transport_journeys_by_percentage[#Headers],0),0)/100</f>
        <v>0.12437499999999999</v>
      </c>
      <c r="G641" s="13">
        <f t="shared" si="46"/>
        <v>24928637.158762377</v>
      </c>
      <c r="H641" s="89">
        <f>VLOOKUP(D641,Average_Distance_by_kilometre_grouping_for_mode_type[#All],MATCH(A641,Average_Distance_by_kilometre_grouping_for_mode_type[#Headers],0),0)</f>
        <v>7</v>
      </c>
      <c r="I641" s="89">
        <f>VLOOKUP(D641,Average_Distance_by_kilometres_grouping_for_trip_purpose[#All],MATCH(A641,Average_Distance_by_kilometres_grouping_for_trip_purpose[#Headers],0),0)</f>
        <v>7</v>
      </c>
      <c r="J641" s="89">
        <f t="shared" si="47"/>
        <v>7</v>
      </c>
      <c r="K641" s="89">
        <f t="shared" si="48"/>
        <v>0.14210312626877789</v>
      </c>
      <c r="L641" s="89">
        <v>1</v>
      </c>
      <c r="M641" s="13">
        <f t="shared" si="49"/>
        <v>3542437.2738801586</v>
      </c>
      <c r="N641" s="11">
        <f t="shared" si="50"/>
        <v>6.8430595402253427E-5</v>
      </c>
    </row>
    <row r="642" spans="1:14" x14ac:dyDescent="0.25">
      <c r="A642" s="79" t="s">
        <v>32</v>
      </c>
      <c r="B642" s="89" t="s">
        <v>11</v>
      </c>
      <c r="C642" s="89" t="s">
        <v>43</v>
      </c>
      <c r="D642" s="13" t="s">
        <v>1</v>
      </c>
      <c r="E642" s="35">
        <f>VLOOKUP(B642, Passenger_Kilometre_by_mode_type[#All],MATCH(A642, Passenger_Kilometre_by_mode_type[#Headers],0),0)</f>
        <v>200431253.53778797</v>
      </c>
      <c r="F642" s="89">
        <f>VLOOKUP(C642, Reason_for_public_transport_journeys_by_percentage[#All],MATCH(A642, Reason_for_public_transport_journeys_by_percentage[#Headers],0),0)/100</f>
        <v>0.12437499999999999</v>
      </c>
      <c r="G642" s="13">
        <f t="shared" si="46"/>
        <v>24928637.158762377</v>
      </c>
      <c r="H642" s="89">
        <f>VLOOKUP(D642,Average_Distance_by_kilometre_grouping_for_mode_type[#All],MATCH(A642,Average_Distance_by_kilometre_grouping_for_mode_type[#Headers],0),0)</f>
        <v>31.75</v>
      </c>
      <c r="I642" s="89">
        <f>VLOOKUP(D642,Average_Distance_by_kilometres_grouping_for_trip_purpose[#All],MATCH(A642,Average_Distance_by_kilometres_grouping_for_trip_purpose[#Headers],0),0)</f>
        <v>34.770000000000003</v>
      </c>
      <c r="J642" s="89">
        <f t="shared" si="47"/>
        <v>33.260000000000005</v>
      </c>
      <c r="K642" s="89">
        <f t="shared" si="48"/>
        <v>0.67519285424279341</v>
      </c>
      <c r="L642" s="89">
        <v>1</v>
      </c>
      <c r="M642" s="13">
        <f t="shared" si="49"/>
        <v>16831637.67560773</v>
      </c>
      <c r="N642" s="11">
        <f t="shared" si="50"/>
        <v>3.2514308615413565E-4</v>
      </c>
    </row>
    <row r="643" spans="1:14" x14ac:dyDescent="0.25">
      <c r="A643" s="79" t="s">
        <v>32</v>
      </c>
      <c r="B643" s="89" t="s">
        <v>11</v>
      </c>
      <c r="C643" s="89" t="s">
        <v>44</v>
      </c>
      <c r="D643" s="13" t="s">
        <v>12</v>
      </c>
      <c r="E643" s="35">
        <f>VLOOKUP(B643, Passenger_Kilometre_by_mode_type[#All],MATCH(A643, Passenger_Kilometre_by_mode_type[#Headers],0),0)</f>
        <v>200431253.53778797</v>
      </c>
      <c r="F643" s="89">
        <f>VLOOKUP(C643, Reason_for_public_transport_journeys_by_percentage[#All],MATCH(A643, Reason_for_public_transport_journeys_by_percentage[#Headers],0),0)/100</f>
        <v>0.18625</v>
      </c>
      <c r="G643" s="13">
        <f t="shared" si="46"/>
        <v>37330320.971413009</v>
      </c>
      <c r="H643" s="89">
        <f>VLOOKUP(D643,Average_Distance_by_kilometre_grouping_for_mode_type[#All],MATCH(A643,Average_Distance_by_kilometre_grouping_for_mode_type[#Headers],0),0)</f>
        <v>1</v>
      </c>
      <c r="I643" s="89">
        <f>VLOOKUP(D643,Average_Distance_by_kilometres_grouping_for_trip_purpose[#All],MATCH(A643,Average_Distance_by_kilometres_grouping_for_trip_purpose[#Headers],0),0)</f>
        <v>1</v>
      </c>
      <c r="J643" s="89">
        <f t="shared" si="47"/>
        <v>1</v>
      </c>
      <c r="K643" s="89">
        <f t="shared" si="48"/>
        <v>2.0300446609825416E-2</v>
      </c>
      <c r="L643" s="89">
        <v>1</v>
      </c>
      <c r="M643" s="13">
        <f t="shared" si="49"/>
        <v>757822.18780781585</v>
      </c>
      <c r="N643" s="11">
        <f t="shared" si="50"/>
        <v>1.463913670486111E-5</v>
      </c>
    </row>
    <row r="644" spans="1:14" x14ac:dyDescent="0.25">
      <c r="A644" s="79" t="s">
        <v>32</v>
      </c>
      <c r="B644" s="89" t="s">
        <v>11</v>
      </c>
      <c r="C644" s="89" t="s">
        <v>44</v>
      </c>
      <c r="D644" s="13" t="s">
        <v>181</v>
      </c>
      <c r="E644" s="35">
        <f>VLOOKUP(B644, Passenger_Kilometre_by_mode_type[#All],MATCH(A644, Passenger_Kilometre_by_mode_type[#Headers],0),0)</f>
        <v>200431253.53778797</v>
      </c>
      <c r="F644" s="89">
        <f>VLOOKUP(C644, Reason_for_public_transport_journeys_by_percentage[#All],MATCH(A644, Reason_for_public_transport_journeys_by_percentage[#Headers],0),0)/100</f>
        <v>0.18625</v>
      </c>
      <c r="G644" s="13">
        <f t="shared" ref="G644:G707" si="51">E644*F644</f>
        <v>37330320.971413009</v>
      </c>
      <c r="H644" s="89">
        <f>VLOOKUP(D644,Average_Distance_by_kilometre_grouping_for_mode_type[#All],MATCH(A644,Average_Distance_by_kilometre_grouping_for_mode_type[#Headers],0),0)</f>
        <v>3</v>
      </c>
      <c r="I644" s="89">
        <f>VLOOKUP(D644,Average_Distance_by_kilometres_grouping_for_trip_purpose[#All],MATCH(A644,Average_Distance_by_kilometres_grouping_for_trip_purpose[#Headers],0),0)</f>
        <v>3</v>
      </c>
      <c r="J644" s="89">
        <f t="shared" ref="J644:J707" si="52">AVERAGE(H644:I644)</f>
        <v>3</v>
      </c>
      <c r="K644" s="89">
        <f t="shared" ref="K644:K707" si="53">J644/SUM(J644:J648)</f>
        <v>6.0901339829476243E-2</v>
      </c>
      <c r="L644" s="89">
        <v>1</v>
      </c>
      <c r="M644" s="13">
        <f t="shared" ref="M644:M707" si="54">G644*K644*L644</f>
        <v>2273466.5634234473</v>
      </c>
      <c r="N644" s="11">
        <f t="shared" si="50"/>
        <v>4.3917410114583325E-5</v>
      </c>
    </row>
    <row r="645" spans="1:14" x14ac:dyDescent="0.25">
      <c r="A645" s="79" t="s">
        <v>32</v>
      </c>
      <c r="B645" s="89" t="s">
        <v>11</v>
      </c>
      <c r="C645" s="89" t="s">
        <v>44</v>
      </c>
      <c r="D645" s="13" t="s">
        <v>180</v>
      </c>
      <c r="E645" s="35">
        <f>VLOOKUP(B645, Passenger_Kilometre_by_mode_type[#All],MATCH(A645, Passenger_Kilometre_by_mode_type[#Headers],0),0)</f>
        <v>200431253.53778797</v>
      </c>
      <c r="F645" s="89">
        <f>VLOOKUP(C645, Reason_for_public_transport_journeys_by_percentage[#All],MATCH(A645, Reason_for_public_transport_journeys_by_percentage[#Headers],0),0)/100</f>
        <v>0.18625</v>
      </c>
      <c r="G645" s="13">
        <f t="shared" si="51"/>
        <v>37330320.971413009</v>
      </c>
      <c r="H645" s="89">
        <f>VLOOKUP(D645,Average_Distance_by_kilometre_grouping_for_mode_type[#All],MATCH(A645,Average_Distance_by_kilometre_grouping_for_mode_type[#Headers],0),0)</f>
        <v>5</v>
      </c>
      <c r="I645" s="89">
        <f>VLOOKUP(D645,Average_Distance_by_kilometres_grouping_for_trip_purpose[#All],MATCH(A645,Average_Distance_by_kilometres_grouping_for_trip_purpose[#Headers],0),0)</f>
        <v>5</v>
      </c>
      <c r="J645" s="89">
        <f t="shared" si="52"/>
        <v>5</v>
      </c>
      <c r="K645" s="89">
        <f t="shared" si="53"/>
        <v>0.10150223304912707</v>
      </c>
      <c r="L645" s="89">
        <v>1</v>
      </c>
      <c r="M645" s="13">
        <f t="shared" si="54"/>
        <v>3789110.939039079</v>
      </c>
      <c r="N645" s="11">
        <f t="shared" si="50"/>
        <v>7.3195683524305549E-5</v>
      </c>
    </row>
    <row r="646" spans="1:14" x14ac:dyDescent="0.25">
      <c r="A646" s="79" t="s">
        <v>32</v>
      </c>
      <c r="B646" s="89" t="s">
        <v>11</v>
      </c>
      <c r="C646" s="89" t="s">
        <v>44</v>
      </c>
      <c r="D646" s="13" t="s">
        <v>182</v>
      </c>
      <c r="E646" s="35">
        <f>VLOOKUP(B646, Passenger_Kilometre_by_mode_type[#All],MATCH(A646, Passenger_Kilometre_by_mode_type[#Headers],0),0)</f>
        <v>200431253.53778797</v>
      </c>
      <c r="F646" s="89">
        <f>VLOOKUP(C646, Reason_for_public_transport_journeys_by_percentage[#All],MATCH(A646, Reason_for_public_transport_journeys_by_percentage[#Headers],0),0)/100</f>
        <v>0.18625</v>
      </c>
      <c r="G646" s="13">
        <f t="shared" si="51"/>
        <v>37330320.971413009</v>
      </c>
      <c r="H646" s="89">
        <f>VLOOKUP(D646,Average_Distance_by_kilometre_grouping_for_mode_type[#All],MATCH(A646,Average_Distance_by_kilometre_grouping_for_mode_type[#Headers],0),0)</f>
        <v>7</v>
      </c>
      <c r="I646" s="89">
        <f>VLOOKUP(D646,Average_Distance_by_kilometres_grouping_for_trip_purpose[#All],MATCH(A646,Average_Distance_by_kilometres_grouping_for_trip_purpose[#Headers],0),0)</f>
        <v>7</v>
      </c>
      <c r="J646" s="89">
        <f t="shared" si="52"/>
        <v>7</v>
      </c>
      <c r="K646" s="89">
        <f t="shared" si="53"/>
        <v>0.14210312626877789</v>
      </c>
      <c r="L646" s="89">
        <v>1</v>
      </c>
      <c r="M646" s="13">
        <f t="shared" si="54"/>
        <v>5304755.3146547098</v>
      </c>
      <c r="N646" s="11">
        <f t="shared" si="50"/>
        <v>1.0247395693402775E-4</v>
      </c>
    </row>
    <row r="647" spans="1:14" x14ac:dyDescent="0.25">
      <c r="A647" s="79" t="s">
        <v>32</v>
      </c>
      <c r="B647" s="89" t="s">
        <v>11</v>
      </c>
      <c r="C647" s="89" t="s">
        <v>44</v>
      </c>
      <c r="D647" s="13" t="s">
        <v>1</v>
      </c>
      <c r="E647" s="35">
        <f>VLOOKUP(B647, Passenger_Kilometre_by_mode_type[#All],MATCH(A647, Passenger_Kilometre_by_mode_type[#Headers],0),0)</f>
        <v>200431253.53778797</v>
      </c>
      <c r="F647" s="89">
        <f>VLOOKUP(C647, Reason_for_public_transport_journeys_by_percentage[#All],MATCH(A647, Reason_for_public_transport_journeys_by_percentage[#Headers],0),0)/100</f>
        <v>0.18625</v>
      </c>
      <c r="G647" s="13">
        <f t="shared" si="51"/>
        <v>37330320.971413009</v>
      </c>
      <c r="H647" s="89">
        <f>VLOOKUP(D647,Average_Distance_by_kilometre_grouping_for_mode_type[#All],MATCH(A647,Average_Distance_by_kilometre_grouping_for_mode_type[#Headers],0),0)</f>
        <v>31.75</v>
      </c>
      <c r="I647" s="89">
        <f>VLOOKUP(D647,Average_Distance_by_kilometres_grouping_for_trip_purpose[#All],MATCH(A647,Average_Distance_by_kilometres_grouping_for_trip_purpose[#Headers],0),0)</f>
        <v>34.770000000000003</v>
      </c>
      <c r="J647" s="89">
        <f t="shared" si="52"/>
        <v>33.260000000000005</v>
      </c>
      <c r="K647" s="89">
        <f t="shared" si="53"/>
        <v>0.67519285424279341</v>
      </c>
      <c r="L647" s="89">
        <v>1</v>
      </c>
      <c r="M647" s="13">
        <f t="shared" si="54"/>
        <v>25205165.966487959</v>
      </c>
      <c r="N647" s="11">
        <f t="shared" si="50"/>
        <v>4.8689768680368057E-4</v>
      </c>
    </row>
    <row r="648" spans="1:14" x14ac:dyDescent="0.25">
      <c r="A648" s="79" t="s">
        <v>32</v>
      </c>
      <c r="B648" s="89" t="s">
        <v>11</v>
      </c>
      <c r="C648" s="89" t="s">
        <v>45</v>
      </c>
      <c r="D648" s="13" t="s">
        <v>12</v>
      </c>
      <c r="E648" s="35">
        <f>VLOOKUP(B648, Passenger_Kilometre_by_mode_type[#All],MATCH(A648, Passenger_Kilometre_by_mode_type[#Headers],0),0)</f>
        <v>200431253.53778797</v>
      </c>
      <c r="F648" s="89">
        <f>VLOOKUP(C648, Reason_for_public_transport_journeys_by_percentage[#All],MATCH(A648, Reason_for_public_transport_journeys_by_percentage[#Headers],0),0)/100</f>
        <v>1.7000000000000001E-2</v>
      </c>
      <c r="G648" s="13">
        <f t="shared" si="51"/>
        <v>3407331.310142396</v>
      </c>
      <c r="H648" s="89">
        <f>VLOOKUP(D648,Average_Distance_by_kilometre_grouping_for_mode_type[#All],MATCH(A648,Average_Distance_by_kilometre_grouping_for_mode_type[#Headers],0),0)</f>
        <v>1</v>
      </c>
      <c r="I648" s="89">
        <f>VLOOKUP(D648,Average_Distance_by_kilometres_grouping_for_trip_purpose[#All],MATCH(A648,Average_Distance_by_kilometres_grouping_for_trip_purpose[#Headers],0),0)</f>
        <v>1</v>
      </c>
      <c r="J648" s="89">
        <f t="shared" si="52"/>
        <v>1</v>
      </c>
      <c r="K648" s="89">
        <f t="shared" si="53"/>
        <v>2.0300446609825416E-2</v>
      </c>
      <c r="L648" s="89">
        <v>1</v>
      </c>
      <c r="M648" s="13">
        <f t="shared" si="54"/>
        <v>69170.347343532194</v>
      </c>
      <c r="N648" s="11">
        <f t="shared" si="50"/>
        <v>1.3361896589671888E-6</v>
      </c>
    </row>
    <row r="649" spans="1:14" x14ac:dyDescent="0.25">
      <c r="A649" s="79" t="s">
        <v>32</v>
      </c>
      <c r="B649" s="89" t="s">
        <v>11</v>
      </c>
      <c r="C649" s="89" t="s">
        <v>45</v>
      </c>
      <c r="D649" s="13" t="s">
        <v>181</v>
      </c>
      <c r="E649" s="35">
        <f>VLOOKUP(B649, Passenger_Kilometre_by_mode_type[#All],MATCH(A649, Passenger_Kilometre_by_mode_type[#Headers],0),0)</f>
        <v>200431253.53778797</v>
      </c>
      <c r="F649" s="89">
        <f>VLOOKUP(C649, Reason_for_public_transport_journeys_by_percentage[#All],MATCH(A649, Reason_for_public_transport_journeys_by_percentage[#Headers],0),0)/100</f>
        <v>1.7000000000000001E-2</v>
      </c>
      <c r="G649" s="13">
        <f t="shared" si="51"/>
        <v>3407331.310142396</v>
      </c>
      <c r="H649" s="89">
        <f>VLOOKUP(D649,Average_Distance_by_kilometre_grouping_for_mode_type[#All],MATCH(A649,Average_Distance_by_kilometre_grouping_for_mode_type[#Headers],0),0)</f>
        <v>3</v>
      </c>
      <c r="I649" s="89">
        <f>VLOOKUP(D649,Average_Distance_by_kilometres_grouping_for_trip_purpose[#All],MATCH(A649,Average_Distance_by_kilometres_grouping_for_trip_purpose[#Headers],0),0)</f>
        <v>3</v>
      </c>
      <c r="J649" s="89">
        <f t="shared" si="52"/>
        <v>3</v>
      </c>
      <c r="K649" s="89">
        <f t="shared" si="53"/>
        <v>6.0901339829476243E-2</v>
      </c>
      <c r="L649" s="89">
        <v>1</v>
      </c>
      <c r="M649" s="13">
        <f t="shared" si="54"/>
        <v>207511.04203059658</v>
      </c>
      <c r="N649" s="11">
        <f t="shared" si="50"/>
        <v>4.0085689769015659E-6</v>
      </c>
    </row>
    <row r="650" spans="1:14" x14ac:dyDescent="0.25">
      <c r="A650" s="79" t="s">
        <v>32</v>
      </c>
      <c r="B650" s="89" t="s">
        <v>11</v>
      </c>
      <c r="C650" s="89" t="s">
        <v>45</v>
      </c>
      <c r="D650" s="13" t="s">
        <v>180</v>
      </c>
      <c r="E650" s="35">
        <f>VLOOKUP(B650, Passenger_Kilometre_by_mode_type[#All],MATCH(A650, Passenger_Kilometre_by_mode_type[#Headers],0),0)</f>
        <v>200431253.53778797</v>
      </c>
      <c r="F650" s="89">
        <f>VLOOKUP(C650, Reason_for_public_transport_journeys_by_percentage[#All],MATCH(A650, Reason_for_public_transport_journeys_by_percentage[#Headers],0),0)/100</f>
        <v>1.7000000000000001E-2</v>
      </c>
      <c r="G650" s="13">
        <f t="shared" si="51"/>
        <v>3407331.310142396</v>
      </c>
      <c r="H650" s="89">
        <f>VLOOKUP(D650,Average_Distance_by_kilometre_grouping_for_mode_type[#All],MATCH(A650,Average_Distance_by_kilometre_grouping_for_mode_type[#Headers],0),0)</f>
        <v>5</v>
      </c>
      <c r="I650" s="89">
        <f>VLOOKUP(D650,Average_Distance_by_kilometres_grouping_for_trip_purpose[#All],MATCH(A650,Average_Distance_by_kilometres_grouping_for_trip_purpose[#Headers],0),0)</f>
        <v>5</v>
      </c>
      <c r="J650" s="89">
        <f t="shared" si="52"/>
        <v>5</v>
      </c>
      <c r="K650" s="89">
        <f t="shared" si="53"/>
        <v>0.10150223304912707</v>
      </c>
      <c r="L650" s="89">
        <v>1</v>
      </c>
      <c r="M650" s="13">
        <f t="shared" si="54"/>
        <v>345851.73671766097</v>
      </c>
      <c r="N650" s="11">
        <f t="shared" si="50"/>
        <v>6.6809482948359435E-6</v>
      </c>
    </row>
    <row r="651" spans="1:14" x14ac:dyDescent="0.25">
      <c r="A651" s="79" t="s">
        <v>32</v>
      </c>
      <c r="B651" s="89" t="s">
        <v>11</v>
      </c>
      <c r="C651" s="89" t="s">
        <v>45</v>
      </c>
      <c r="D651" s="13" t="s">
        <v>182</v>
      </c>
      <c r="E651" s="35">
        <f>VLOOKUP(B651, Passenger_Kilometre_by_mode_type[#All],MATCH(A651, Passenger_Kilometre_by_mode_type[#Headers],0),0)</f>
        <v>200431253.53778797</v>
      </c>
      <c r="F651" s="89">
        <f>VLOOKUP(C651, Reason_for_public_transport_journeys_by_percentage[#All],MATCH(A651, Reason_for_public_transport_journeys_by_percentage[#Headers],0),0)/100</f>
        <v>1.7000000000000001E-2</v>
      </c>
      <c r="G651" s="13">
        <f t="shared" si="51"/>
        <v>3407331.310142396</v>
      </c>
      <c r="H651" s="89">
        <f>VLOOKUP(D651,Average_Distance_by_kilometre_grouping_for_mode_type[#All],MATCH(A651,Average_Distance_by_kilometre_grouping_for_mode_type[#Headers],0),0)</f>
        <v>7</v>
      </c>
      <c r="I651" s="89">
        <f>VLOOKUP(D651,Average_Distance_by_kilometres_grouping_for_trip_purpose[#All],MATCH(A651,Average_Distance_by_kilometres_grouping_for_trip_purpose[#Headers],0),0)</f>
        <v>7</v>
      </c>
      <c r="J651" s="89">
        <f t="shared" si="52"/>
        <v>7</v>
      </c>
      <c r="K651" s="89">
        <f t="shared" si="53"/>
        <v>0.14210312626877789</v>
      </c>
      <c r="L651" s="89">
        <v>1</v>
      </c>
      <c r="M651" s="13">
        <f t="shared" si="54"/>
        <v>484192.4314047253</v>
      </c>
      <c r="N651" s="11">
        <f t="shared" si="50"/>
        <v>9.3533276127703202E-6</v>
      </c>
    </row>
    <row r="652" spans="1:14" x14ac:dyDescent="0.25">
      <c r="A652" s="79" t="s">
        <v>32</v>
      </c>
      <c r="B652" s="89" t="s">
        <v>11</v>
      </c>
      <c r="C652" s="89" t="s">
        <v>45</v>
      </c>
      <c r="D652" s="13" t="s">
        <v>1</v>
      </c>
      <c r="E652" s="35">
        <f>VLOOKUP(B652, Passenger_Kilometre_by_mode_type[#All],MATCH(A652, Passenger_Kilometre_by_mode_type[#Headers],0),0)</f>
        <v>200431253.53778797</v>
      </c>
      <c r="F652" s="89">
        <f>VLOOKUP(C652, Reason_for_public_transport_journeys_by_percentage[#All],MATCH(A652, Reason_for_public_transport_journeys_by_percentage[#Headers],0),0)/100</f>
        <v>1.7000000000000001E-2</v>
      </c>
      <c r="G652" s="13">
        <f t="shared" si="51"/>
        <v>3407331.310142396</v>
      </c>
      <c r="H652" s="89">
        <f>VLOOKUP(D652,Average_Distance_by_kilometre_grouping_for_mode_type[#All],MATCH(A652,Average_Distance_by_kilometre_grouping_for_mode_type[#Headers],0),0)</f>
        <v>31.75</v>
      </c>
      <c r="I652" s="89">
        <f>VLOOKUP(D652,Average_Distance_by_kilometres_grouping_for_trip_purpose[#All],MATCH(A652,Average_Distance_by_kilometres_grouping_for_trip_purpose[#Headers],0),0)</f>
        <v>34.770000000000003</v>
      </c>
      <c r="J652" s="89">
        <f t="shared" si="52"/>
        <v>33.260000000000005</v>
      </c>
      <c r="K652" s="89">
        <f t="shared" si="53"/>
        <v>0.67519285424279341</v>
      </c>
      <c r="L652" s="89">
        <v>1</v>
      </c>
      <c r="M652" s="13">
        <f t="shared" si="54"/>
        <v>2300605.7526458809</v>
      </c>
      <c r="N652" s="11">
        <f t="shared" si="50"/>
        <v>4.4441668057248698E-5</v>
      </c>
    </row>
    <row r="653" spans="1:14" x14ac:dyDescent="0.25">
      <c r="A653" s="79" t="s">
        <v>32</v>
      </c>
      <c r="B653" s="89" t="s">
        <v>11</v>
      </c>
      <c r="C653" s="89" t="s">
        <v>56</v>
      </c>
      <c r="D653" s="13" t="s">
        <v>12</v>
      </c>
      <c r="E653" s="35">
        <f>VLOOKUP(B653, Passenger_Kilometre_by_mode_type[#All],MATCH(A653, Passenger_Kilometre_by_mode_type[#Headers],0),0)</f>
        <v>200431253.53778797</v>
      </c>
      <c r="F653" s="89">
        <f>VLOOKUP(C653, Reason_for_public_transport_journeys_by_percentage[#All],MATCH(A653, Reason_for_public_transport_journeys_by_percentage[#Headers],0),0)/100</f>
        <v>0.10375000000000002</v>
      </c>
      <c r="G653" s="13">
        <f t="shared" si="51"/>
        <v>20794742.554545507</v>
      </c>
      <c r="H653" s="89">
        <f>VLOOKUP(D653,Average_Distance_by_kilometre_grouping_for_mode_type[#All],MATCH(A653,Average_Distance_by_kilometre_grouping_for_mode_type[#Headers],0),0)</f>
        <v>1</v>
      </c>
      <c r="I653" s="89">
        <f>VLOOKUP(D653,Average_Distance_by_kilometres_grouping_for_trip_purpose[#All],MATCH(A653,Average_Distance_by_kilometres_grouping_for_trip_purpose[#Headers],0),0)</f>
        <v>1</v>
      </c>
      <c r="J653" s="89">
        <f t="shared" si="52"/>
        <v>1</v>
      </c>
      <c r="K653" s="89">
        <f t="shared" si="53"/>
        <v>2.0300446609825416E-2</v>
      </c>
      <c r="L653" s="89">
        <v>1</v>
      </c>
      <c r="M653" s="13">
        <f t="shared" si="54"/>
        <v>422142.56099361565</v>
      </c>
      <c r="N653" s="11">
        <f t="shared" si="50"/>
        <v>8.1546868892850497E-6</v>
      </c>
    </row>
    <row r="654" spans="1:14" x14ac:dyDescent="0.25">
      <c r="A654" s="79" t="s">
        <v>32</v>
      </c>
      <c r="B654" s="89" t="s">
        <v>11</v>
      </c>
      <c r="C654" s="89" t="s">
        <v>56</v>
      </c>
      <c r="D654" s="13" t="s">
        <v>181</v>
      </c>
      <c r="E654" s="35">
        <f>VLOOKUP(B654, Passenger_Kilometre_by_mode_type[#All],MATCH(A654, Passenger_Kilometre_by_mode_type[#Headers],0),0)</f>
        <v>200431253.53778797</v>
      </c>
      <c r="F654" s="89">
        <f>VLOOKUP(C654, Reason_for_public_transport_journeys_by_percentage[#All],MATCH(A654, Reason_for_public_transport_journeys_by_percentage[#Headers],0),0)/100</f>
        <v>0.10375000000000002</v>
      </c>
      <c r="G654" s="13">
        <f t="shared" si="51"/>
        <v>20794742.554545507</v>
      </c>
      <c r="H654" s="89">
        <f>VLOOKUP(D654,Average_Distance_by_kilometre_grouping_for_mode_type[#All],MATCH(A654,Average_Distance_by_kilometre_grouping_for_mode_type[#Headers],0),0)</f>
        <v>3</v>
      </c>
      <c r="I654" s="89">
        <f>VLOOKUP(D654,Average_Distance_by_kilometres_grouping_for_trip_purpose[#All],MATCH(A654,Average_Distance_by_kilometres_grouping_for_trip_purpose[#Headers],0),0)</f>
        <v>3</v>
      </c>
      <c r="J654" s="89">
        <f t="shared" si="52"/>
        <v>3</v>
      </c>
      <c r="K654" s="89">
        <f t="shared" si="53"/>
        <v>6.0901339829476243E-2</v>
      </c>
      <c r="L654" s="89">
        <v>1</v>
      </c>
      <c r="M654" s="13">
        <f t="shared" si="54"/>
        <v>1266427.6829808468</v>
      </c>
      <c r="N654" s="11">
        <f t="shared" si="50"/>
        <v>2.4464060667855147E-5</v>
      </c>
    </row>
    <row r="655" spans="1:14" x14ac:dyDescent="0.25">
      <c r="A655" s="79" t="s">
        <v>32</v>
      </c>
      <c r="B655" s="89" t="s">
        <v>11</v>
      </c>
      <c r="C655" s="89" t="s">
        <v>56</v>
      </c>
      <c r="D655" s="13" t="s">
        <v>180</v>
      </c>
      <c r="E655" s="35">
        <f>VLOOKUP(B655, Passenger_Kilometre_by_mode_type[#All],MATCH(A655, Passenger_Kilometre_by_mode_type[#Headers],0),0)</f>
        <v>200431253.53778797</v>
      </c>
      <c r="F655" s="89">
        <f>VLOOKUP(C655, Reason_for_public_transport_journeys_by_percentage[#All],MATCH(A655, Reason_for_public_transport_journeys_by_percentage[#Headers],0),0)/100</f>
        <v>0.10375000000000002</v>
      </c>
      <c r="G655" s="13">
        <f t="shared" si="51"/>
        <v>20794742.554545507</v>
      </c>
      <c r="H655" s="89">
        <f>VLOOKUP(D655,Average_Distance_by_kilometre_grouping_for_mode_type[#All],MATCH(A655,Average_Distance_by_kilometre_grouping_for_mode_type[#Headers],0),0)</f>
        <v>5</v>
      </c>
      <c r="I655" s="89">
        <f>VLOOKUP(D655,Average_Distance_by_kilometres_grouping_for_trip_purpose[#All],MATCH(A655,Average_Distance_by_kilometres_grouping_for_trip_purpose[#Headers],0),0)</f>
        <v>5</v>
      </c>
      <c r="J655" s="89">
        <f t="shared" si="52"/>
        <v>5</v>
      </c>
      <c r="K655" s="89">
        <f t="shared" si="53"/>
        <v>0.10150223304912707</v>
      </c>
      <c r="L655" s="89">
        <v>1</v>
      </c>
      <c r="M655" s="13">
        <f t="shared" si="54"/>
        <v>2110712.8049680782</v>
      </c>
      <c r="N655" s="11">
        <f t="shared" si="50"/>
        <v>4.077343444642525E-5</v>
      </c>
    </row>
    <row r="656" spans="1:14" x14ac:dyDescent="0.25">
      <c r="A656" s="79" t="s">
        <v>32</v>
      </c>
      <c r="B656" s="89" t="s">
        <v>11</v>
      </c>
      <c r="C656" s="89" t="s">
        <v>56</v>
      </c>
      <c r="D656" s="13" t="s">
        <v>182</v>
      </c>
      <c r="E656" s="35">
        <f>VLOOKUP(B656, Passenger_Kilometre_by_mode_type[#All],MATCH(A656, Passenger_Kilometre_by_mode_type[#Headers],0),0)</f>
        <v>200431253.53778797</v>
      </c>
      <c r="F656" s="89">
        <f>VLOOKUP(C656, Reason_for_public_transport_journeys_by_percentage[#All],MATCH(A656, Reason_for_public_transport_journeys_by_percentage[#Headers],0),0)/100</f>
        <v>0.10375000000000002</v>
      </c>
      <c r="G656" s="13">
        <f t="shared" si="51"/>
        <v>20794742.554545507</v>
      </c>
      <c r="H656" s="89">
        <f>VLOOKUP(D656,Average_Distance_by_kilometre_grouping_for_mode_type[#All],MATCH(A656,Average_Distance_by_kilometre_grouping_for_mode_type[#Headers],0),0)</f>
        <v>7</v>
      </c>
      <c r="I656" s="89">
        <f>VLOOKUP(D656,Average_Distance_by_kilometres_grouping_for_trip_purpose[#All],MATCH(A656,Average_Distance_by_kilometres_grouping_for_trip_purpose[#Headers],0),0)</f>
        <v>7</v>
      </c>
      <c r="J656" s="89">
        <f t="shared" si="52"/>
        <v>7</v>
      </c>
      <c r="K656" s="89">
        <f t="shared" si="53"/>
        <v>0.14210312626877789</v>
      </c>
      <c r="L656" s="89">
        <v>1</v>
      </c>
      <c r="M656" s="13">
        <f t="shared" si="54"/>
        <v>2954997.9269553088</v>
      </c>
      <c r="N656" s="11">
        <f t="shared" si="50"/>
        <v>5.7082808224995333E-5</v>
      </c>
    </row>
    <row r="657" spans="1:14" x14ac:dyDescent="0.25">
      <c r="A657" s="79" t="s">
        <v>32</v>
      </c>
      <c r="B657" s="89" t="s">
        <v>11</v>
      </c>
      <c r="C657" s="89" t="s">
        <v>56</v>
      </c>
      <c r="D657" s="13" t="s">
        <v>1</v>
      </c>
      <c r="E657" s="35">
        <f>VLOOKUP(B657, Passenger_Kilometre_by_mode_type[#All],MATCH(A657, Passenger_Kilometre_by_mode_type[#Headers],0),0)</f>
        <v>200431253.53778797</v>
      </c>
      <c r="F657" s="89">
        <f>VLOOKUP(C657, Reason_for_public_transport_journeys_by_percentage[#All],MATCH(A657, Reason_for_public_transport_journeys_by_percentage[#Headers],0),0)/100</f>
        <v>0.10375000000000002</v>
      </c>
      <c r="G657" s="13">
        <f t="shared" si="51"/>
        <v>20794742.554545507</v>
      </c>
      <c r="H657" s="89">
        <f>VLOOKUP(D657,Average_Distance_by_kilometre_grouping_for_mode_type[#All],MATCH(A657,Average_Distance_by_kilometre_grouping_for_mode_type[#Headers],0),0)</f>
        <v>31.75</v>
      </c>
      <c r="I657" s="89">
        <f>VLOOKUP(D657,Average_Distance_by_kilometres_grouping_for_trip_purpose[#All],MATCH(A657,Average_Distance_by_kilometres_grouping_for_trip_purpose[#Headers],0),0)</f>
        <v>34.770000000000003</v>
      </c>
      <c r="J657" s="89">
        <f t="shared" si="52"/>
        <v>33.260000000000005</v>
      </c>
      <c r="K657" s="89">
        <f t="shared" si="53"/>
        <v>0.67519285424279341</v>
      </c>
      <c r="L657" s="89">
        <v>1</v>
      </c>
      <c r="M657" s="13">
        <f t="shared" si="54"/>
        <v>14040461.578647658</v>
      </c>
      <c r="N657" s="11">
        <f t="shared" si="50"/>
        <v>2.7122488593762077E-4</v>
      </c>
    </row>
    <row r="658" spans="1:14" x14ac:dyDescent="0.25">
      <c r="A658" s="79" t="s">
        <v>32</v>
      </c>
      <c r="B658" s="89" t="s">
        <v>11</v>
      </c>
      <c r="C658" s="89" t="s">
        <v>57</v>
      </c>
      <c r="D658" s="13" t="s">
        <v>12</v>
      </c>
      <c r="E658" s="35">
        <f>VLOOKUP(B658, Passenger_Kilometre_by_mode_type[#All],MATCH(A658, Passenger_Kilometre_by_mode_type[#Headers],0),0)</f>
        <v>200431253.53778797</v>
      </c>
      <c r="F658" s="89">
        <f>VLOOKUP(C658, Reason_for_public_transport_journeys_by_percentage[#All],MATCH(A658, Reason_for_public_transport_journeys_by_percentage[#Headers],0),0)/100</f>
        <v>7.0250000000000007E-2</v>
      </c>
      <c r="G658" s="13">
        <f t="shared" si="51"/>
        <v>14080295.561029607</v>
      </c>
      <c r="H658" s="89">
        <f>VLOOKUP(D658,Average_Distance_by_kilometre_grouping_for_mode_type[#All],MATCH(A658,Average_Distance_by_kilometre_grouping_for_mode_type[#Headers],0),0)</f>
        <v>1</v>
      </c>
      <c r="I658" s="89">
        <f>VLOOKUP(D658,Average_Distance_by_kilometres_grouping_for_trip_purpose[#All],MATCH(A658,Average_Distance_by_kilometres_grouping_for_trip_purpose[#Headers],0),0)</f>
        <v>1</v>
      </c>
      <c r="J658" s="89">
        <f t="shared" si="52"/>
        <v>1</v>
      </c>
      <c r="K658" s="89">
        <f t="shared" si="53"/>
        <v>2.0300446609825416E-2</v>
      </c>
      <c r="L658" s="89">
        <v>1</v>
      </c>
      <c r="M658" s="13">
        <f t="shared" si="54"/>
        <v>285836.28828724334</v>
      </c>
      <c r="N658" s="11">
        <f t="shared" si="50"/>
        <v>5.5216072672026475E-6</v>
      </c>
    </row>
    <row r="659" spans="1:14" x14ac:dyDescent="0.25">
      <c r="A659" s="79" t="s">
        <v>32</v>
      </c>
      <c r="B659" s="89" t="s">
        <v>11</v>
      </c>
      <c r="C659" s="89" t="s">
        <v>57</v>
      </c>
      <c r="D659" s="13" t="s">
        <v>181</v>
      </c>
      <c r="E659" s="35">
        <f>VLOOKUP(B659, Passenger_Kilometre_by_mode_type[#All],MATCH(A659, Passenger_Kilometre_by_mode_type[#Headers],0),0)</f>
        <v>200431253.53778797</v>
      </c>
      <c r="F659" s="89">
        <f>VLOOKUP(C659, Reason_for_public_transport_journeys_by_percentage[#All],MATCH(A659, Reason_for_public_transport_journeys_by_percentage[#Headers],0),0)/100</f>
        <v>7.0250000000000007E-2</v>
      </c>
      <c r="G659" s="13">
        <f t="shared" si="51"/>
        <v>14080295.561029607</v>
      </c>
      <c r="H659" s="89">
        <f>VLOOKUP(D659,Average_Distance_by_kilometre_grouping_for_mode_type[#All],MATCH(A659,Average_Distance_by_kilometre_grouping_for_mode_type[#Headers],0),0)</f>
        <v>3</v>
      </c>
      <c r="I659" s="89">
        <f>VLOOKUP(D659,Average_Distance_by_kilometres_grouping_for_trip_purpose[#All],MATCH(A659,Average_Distance_by_kilometres_grouping_for_trip_purpose[#Headers],0),0)</f>
        <v>3</v>
      </c>
      <c r="J659" s="89">
        <f t="shared" si="52"/>
        <v>3</v>
      </c>
      <c r="K659" s="89">
        <f t="shared" si="53"/>
        <v>6.0901339829476243E-2</v>
      </c>
      <c r="L659" s="89">
        <v>1</v>
      </c>
      <c r="M659" s="13">
        <f t="shared" si="54"/>
        <v>857508.86486173002</v>
      </c>
      <c r="N659" s="11">
        <f t="shared" si="50"/>
        <v>1.6564821801607944E-5</v>
      </c>
    </row>
    <row r="660" spans="1:14" x14ac:dyDescent="0.25">
      <c r="A660" s="79" t="s">
        <v>32</v>
      </c>
      <c r="B660" s="89" t="s">
        <v>11</v>
      </c>
      <c r="C660" s="89" t="s">
        <v>57</v>
      </c>
      <c r="D660" s="13" t="s">
        <v>180</v>
      </c>
      <c r="E660" s="35">
        <f>VLOOKUP(B660, Passenger_Kilometre_by_mode_type[#All],MATCH(A660, Passenger_Kilometre_by_mode_type[#Headers],0),0)</f>
        <v>200431253.53778797</v>
      </c>
      <c r="F660" s="89">
        <f>VLOOKUP(C660, Reason_for_public_transport_journeys_by_percentage[#All],MATCH(A660, Reason_for_public_transport_journeys_by_percentage[#Headers],0),0)/100</f>
        <v>7.0250000000000007E-2</v>
      </c>
      <c r="G660" s="13">
        <f t="shared" si="51"/>
        <v>14080295.561029607</v>
      </c>
      <c r="H660" s="89">
        <f>VLOOKUP(D660,Average_Distance_by_kilometre_grouping_for_mode_type[#All],MATCH(A660,Average_Distance_by_kilometre_grouping_for_mode_type[#Headers],0),0)</f>
        <v>5</v>
      </c>
      <c r="I660" s="89">
        <f>VLOOKUP(D660,Average_Distance_by_kilometres_grouping_for_trip_purpose[#All],MATCH(A660,Average_Distance_by_kilometres_grouping_for_trip_purpose[#Headers],0),0)</f>
        <v>5</v>
      </c>
      <c r="J660" s="89">
        <f t="shared" si="52"/>
        <v>5</v>
      </c>
      <c r="K660" s="89">
        <f t="shared" si="53"/>
        <v>0.10150223304912707</v>
      </c>
      <c r="L660" s="89">
        <v>1</v>
      </c>
      <c r="M660" s="13">
        <f t="shared" si="54"/>
        <v>1429181.4414362167</v>
      </c>
      <c r="N660" s="11">
        <f t="shared" si="50"/>
        <v>2.7608036336013239E-5</v>
      </c>
    </row>
    <row r="661" spans="1:14" x14ac:dyDescent="0.25">
      <c r="A661" s="79" t="s">
        <v>32</v>
      </c>
      <c r="B661" s="89" t="s">
        <v>11</v>
      </c>
      <c r="C661" s="89" t="s">
        <v>57</v>
      </c>
      <c r="D661" s="13" t="s">
        <v>182</v>
      </c>
      <c r="E661" s="35">
        <f>VLOOKUP(B661, Passenger_Kilometre_by_mode_type[#All],MATCH(A661, Passenger_Kilometre_by_mode_type[#Headers],0),0)</f>
        <v>200431253.53778797</v>
      </c>
      <c r="F661" s="89">
        <f>VLOOKUP(C661, Reason_for_public_transport_journeys_by_percentage[#All],MATCH(A661, Reason_for_public_transport_journeys_by_percentage[#Headers],0),0)/100</f>
        <v>7.0250000000000007E-2</v>
      </c>
      <c r="G661" s="13">
        <f t="shared" si="51"/>
        <v>14080295.561029607</v>
      </c>
      <c r="H661" s="89">
        <f>VLOOKUP(D661,Average_Distance_by_kilometre_grouping_for_mode_type[#All],MATCH(A661,Average_Distance_by_kilometre_grouping_for_mode_type[#Headers],0),0)</f>
        <v>7</v>
      </c>
      <c r="I661" s="89">
        <f>VLOOKUP(D661,Average_Distance_by_kilometres_grouping_for_trip_purpose[#All],MATCH(A661,Average_Distance_by_kilometres_grouping_for_trip_purpose[#Headers],0),0)</f>
        <v>7</v>
      </c>
      <c r="J661" s="89">
        <f t="shared" si="52"/>
        <v>7</v>
      </c>
      <c r="K661" s="89">
        <f t="shared" si="53"/>
        <v>0.14210312626877789</v>
      </c>
      <c r="L661" s="89">
        <v>1</v>
      </c>
      <c r="M661" s="13">
        <f t="shared" si="54"/>
        <v>2000854.0180107031</v>
      </c>
      <c r="N661" s="11">
        <f t="shared" si="50"/>
        <v>3.8651250870418528E-5</v>
      </c>
    </row>
    <row r="662" spans="1:14" x14ac:dyDescent="0.25">
      <c r="A662" s="79" t="s">
        <v>32</v>
      </c>
      <c r="B662" s="89" t="s">
        <v>11</v>
      </c>
      <c r="C662" s="89" t="s">
        <v>57</v>
      </c>
      <c r="D662" s="13" t="s">
        <v>1</v>
      </c>
      <c r="E662" s="35">
        <f>VLOOKUP(B662, Passenger_Kilometre_by_mode_type[#All],MATCH(A662, Passenger_Kilometre_by_mode_type[#Headers],0),0)</f>
        <v>200431253.53778797</v>
      </c>
      <c r="F662" s="89">
        <f>VLOOKUP(C662, Reason_for_public_transport_journeys_by_percentage[#All],MATCH(A662, Reason_for_public_transport_journeys_by_percentage[#Headers],0),0)/100</f>
        <v>7.0250000000000007E-2</v>
      </c>
      <c r="G662" s="13">
        <f t="shared" si="51"/>
        <v>14080295.561029607</v>
      </c>
      <c r="H662" s="89">
        <f>VLOOKUP(D662,Average_Distance_by_kilometre_grouping_for_mode_type[#All],MATCH(A662,Average_Distance_by_kilometre_grouping_for_mode_type[#Headers],0),0)</f>
        <v>31.75</v>
      </c>
      <c r="I662" s="89">
        <f>VLOOKUP(D662,Average_Distance_by_kilometres_grouping_for_trip_purpose[#All],MATCH(A662,Average_Distance_by_kilometres_grouping_for_trip_purpose[#Headers],0),0)</f>
        <v>34.770000000000003</v>
      </c>
      <c r="J662" s="89">
        <f t="shared" si="52"/>
        <v>33.260000000000005</v>
      </c>
      <c r="K662" s="89">
        <f t="shared" si="53"/>
        <v>0.67519285424279341</v>
      </c>
      <c r="L662" s="89">
        <v>1</v>
      </c>
      <c r="M662" s="13">
        <f t="shared" si="54"/>
        <v>9506914.948433714</v>
      </c>
      <c r="N662" s="11">
        <f t="shared" si="50"/>
        <v>1.8364865770716007E-4</v>
      </c>
    </row>
    <row r="663" spans="1:14" x14ac:dyDescent="0.25">
      <c r="A663" s="79" t="s">
        <v>32</v>
      </c>
      <c r="B663" s="89" t="s">
        <v>11</v>
      </c>
      <c r="C663" s="89" t="s">
        <v>93</v>
      </c>
      <c r="D663" s="13" t="s">
        <v>12</v>
      </c>
      <c r="E663" s="35">
        <f>VLOOKUP(B663, Passenger_Kilometre_by_mode_type[#All],MATCH(A663, Passenger_Kilometre_by_mode_type[#Headers],0),0)</f>
        <v>200431253.53778797</v>
      </c>
      <c r="F663" s="89">
        <f>VLOOKUP(C663, Reason_for_public_transport_journeys_by_percentage[#All],MATCH(A663, Reason_for_public_transport_journeys_by_percentage[#Headers],0),0)/100</f>
        <v>9.6374999999999988E-2</v>
      </c>
      <c r="G663" s="13">
        <f t="shared" si="51"/>
        <v>19316562.059704315</v>
      </c>
      <c r="H663" s="89">
        <f>VLOOKUP(D663,Average_Distance_by_kilometre_grouping_for_mode_type[#All],MATCH(A663,Average_Distance_by_kilometre_grouping_for_mode_type[#Headers],0),0)</f>
        <v>1</v>
      </c>
      <c r="I663" s="89">
        <f>VLOOKUP(D663,Average_Distance_by_kilometres_grouping_for_trip_purpose[#All],MATCH(A663,Average_Distance_by_kilometres_grouping_for_trip_purpose[#Headers],0),0)</f>
        <v>1</v>
      </c>
      <c r="J663" s="89">
        <f t="shared" si="52"/>
        <v>1</v>
      </c>
      <c r="K663" s="89">
        <f t="shared" si="53"/>
        <v>2.0300446609825416E-2</v>
      </c>
      <c r="L663" s="89">
        <v>1</v>
      </c>
      <c r="M663" s="13">
        <f t="shared" si="54"/>
        <v>392134.83677840669</v>
      </c>
      <c r="N663" s="11">
        <f t="shared" si="50"/>
        <v>7.5750163754683992E-6</v>
      </c>
    </row>
    <row r="664" spans="1:14" x14ac:dyDescent="0.25">
      <c r="A664" s="79" t="s">
        <v>32</v>
      </c>
      <c r="B664" s="89" t="s">
        <v>11</v>
      </c>
      <c r="C664" s="89" t="s">
        <v>93</v>
      </c>
      <c r="D664" s="13" t="s">
        <v>181</v>
      </c>
      <c r="E664" s="35">
        <f>VLOOKUP(B664, Passenger_Kilometre_by_mode_type[#All],MATCH(A664, Passenger_Kilometre_by_mode_type[#Headers],0),0)</f>
        <v>200431253.53778797</v>
      </c>
      <c r="F664" s="89">
        <f>VLOOKUP(C664, Reason_for_public_transport_journeys_by_percentage[#All],MATCH(A664, Reason_for_public_transport_journeys_by_percentage[#Headers],0),0)/100</f>
        <v>9.6374999999999988E-2</v>
      </c>
      <c r="G664" s="13">
        <f t="shared" si="51"/>
        <v>19316562.059704315</v>
      </c>
      <c r="H664" s="89">
        <f>VLOOKUP(D664,Average_Distance_by_kilometre_grouping_for_mode_type[#All],MATCH(A664,Average_Distance_by_kilometre_grouping_for_mode_type[#Headers],0),0)</f>
        <v>3</v>
      </c>
      <c r="I664" s="89">
        <f>VLOOKUP(D664,Average_Distance_by_kilometres_grouping_for_trip_purpose[#All],MATCH(A664,Average_Distance_by_kilometres_grouping_for_trip_purpose[#Headers],0),0)</f>
        <v>3</v>
      </c>
      <c r="J664" s="89">
        <f t="shared" si="52"/>
        <v>3</v>
      </c>
      <c r="K664" s="89">
        <f t="shared" si="53"/>
        <v>6.0901339829476243E-2</v>
      </c>
      <c r="L664" s="89">
        <v>1</v>
      </c>
      <c r="M664" s="13">
        <f t="shared" si="54"/>
        <v>1176404.51033522</v>
      </c>
      <c r="N664" s="11">
        <f t="shared" si="50"/>
        <v>2.2725049126405197E-5</v>
      </c>
    </row>
    <row r="665" spans="1:14" x14ac:dyDescent="0.25">
      <c r="A665" s="79" t="s">
        <v>32</v>
      </c>
      <c r="B665" s="89" t="s">
        <v>11</v>
      </c>
      <c r="C665" s="89" t="s">
        <v>93</v>
      </c>
      <c r="D665" s="13" t="s">
        <v>180</v>
      </c>
      <c r="E665" s="35">
        <f>VLOOKUP(B665, Passenger_Kilometre_by_mode_type[#All],MATCH(A665, Passenger_Kilometre_by_mode_type[#Headers],0),0)</f>
        <v>200431253.53778797</v>
      </c>
      <c r="F665" s="89">
        <f>VLOOKUP(C665, Reason_for_public_transport_journeys_by_percentage[#All],MATCH(A665, Reason_for_public_transport_journeys_by_percentage[#Headers],0),0)/100</f>
        <v>9.6374999999999988E-2</v>
      </c>
      <c r="G665" s="13">
        <f t="shared" si="51"/>
        <v>19316562.059704315</v>
      </c>
      <c r="H665" s="89">
        <f>VLOOKUP(D665,Average_Distance_by_kilometre_grouping_for_mode_type[#All],MATCH(A665,Average_Distance_by_kilometre_grouping_for_mode_type[#Headers],0),0)</f>
        <v>5</v>
      </c>
      <c r="I665" s="89">
        <f>VLOOKUP(D665,Average_Distance_by_kilometres_grouping_for_trip_purpose[#All],MATCH(A665,Average_Distance_by_kilometres_grouping_for_trip_purpose[#Headers],0),0)</f>
        <v>5</v>
      </c>
      <c r="J665" s="89">
        <f t="shared" si="52"/>
        <v>5</v>
      </c>
      <c r="K665" s="89">
        <f t="shared" si="53"/>
        <v>0.10150223304912707</v>
      </c>
      <c r="L665" s="89">
        <v>1</v>
      </c>
      <c r="M665" s="13">
        <f t="shared" si="54"/>
        <v>1960674.1838920335</v>
      </c>
      <c r="N665" s="11">
        <f t="shared" si="50"/>
        <v>3.7875081877341996E-5</v>
      </c>
    </row>
    <row r="666" spans="1:14" x14ac:dyDescent="0.25">
      <c r="A666" s="79" t="s">
        <v>32</v>
      </c>
      <c r="B666" s="89" t="s">
        <v>11</v>
      </c>
      <c r="C666" s="89" t="s">
        <v>93</v>
      </c>
      <c r="D666" s="13" t="s">
        <v>182</v>
      </c>
      <c r="E666" s="35">
        <f>VLOOKUP(B666, Passenger_Kilometre_by_mode_type[#All],MATCH(A666, Passenger_Kilometre_by_mode_type[#Headers],0),0)</f>
        <v>200431253.53778797</v>
      </c>
      <c r="F666" s="89">
        <f>VLOOKUP(C666, Reason_for_public_transport_journeys_by_percentage[#All],MATCH(A666, Reason_for_public_transport_journeys_by_percentage[#Headers],0),0)/100</f>
        <v>9.6374999999999988E-2</v>
      </c>
      <c r="G666" s="13">
        <f t="shared" si="51"/>
        <v>19316562.059704315</v>
      </c>
      <c r="H666" s="89">
        <f>VLOOKUP(D666,Average_Distance_by_kilometre_grouping_for_mode_type[#All],MATCH(A666,Average_Distance_by_kilometre_grouping_for_mode_type[#Headers],0),0)</f>
        <v>7</v>
      </c>
      <c r="I666" s="89">
        <f>VLOOKUP(D666,Average_Distance_by_kilometres_grouping_for_trip_purpose[#All],MATCH(A666,Average_Distance_by_kilometres_grouping_for_trip_purpose[#Headers],0),0)</f>
        <v>7</v>
      </c>
      <c r="J666" s="89">
        <f t="shared" si="52"/>
        <v>7</v>
      </c>
      <c r="K666" s="89">
        <f t="shared" si="53"/>
        <v>0.14210312626877789</v>
      </c>
      <c r="L666" s="89">
        <v>1</v>
      </c>
      <c r="M666" s="13">
        <f t="shared" si="54"/>
        <v>2744943.8574488466</v>
      </c>
      <c r="N666" s="11">
        <f t="shared" si="50"/>
        <v>5.3025114628278787E-5</v>
      </c>
    </row>
    <row r="667" spans="1:14" x14ac:dyDescent="0.25">
      <c r="A667" s="79" t="s">
        <v>32</v>
      </c>
      <c r="B667" s="89" t="s">
        <v>11</v>
      </c>
      <c r="C667" s="89" t="s">
        <v>93</v>
      </c>
      <c r="D667" s="13" t="s">
        <v>1</v>
      </c>
      <c r="E667" s="35">
        <f>VLOOKUP(B667, Passenger_Kilometre_by_mode_type[#All],MATCH(A667, Passenger_Kilometre_by_mode_type[#Headers],0),0)</f>
        <v>200431253.53778797</v>
      </c>
      <c r="F667" s="89">
        <f>VLOOKUP(C667, Reason_for_public_transport_journeys_by_percentage[#All],MATCH(A667, Reason_for_public_transport_journeys_by_percentage[#Headers],0),0)/100</f>
        <v>9.6374999999999988E-2</v>
      </c>
      <c r="G667" s="13">
        <f t="shared" si="51"/>
        <v>19316562.059704315</v>
      </c>
      <c r="H667" s="89">
        <f>VLOOKUP(D667,Average_Distance_by_kilometre_grouping_for_mode_type[#All],MATCH(A667,Average_Distance_by_kilometre_grouping_for_mode_type[#Headers],0),0)</f>
        <v>31.75</v>
      </c>
      <c r="I667" s="89">
        <f>VLOOKUP(D667,Average_Distance_by_kilometres_grouping_for_trip_purpose[#All],MATCH(A667,Average_Distance_by_kilometres_grouping_for_trip_purpose[#Headers],0),0)</f>
        <v>34.770000000000003</v>
      </c>
      <c r="J667" s="89">
        <f t="shared" si="52"/>
        <v>33.260000000000005</v>
      </c>
      <c r="K667" s="89">
        <f t="shared" si="53"/>
        <v>0.67519285424279341</v>
      </c>
      <c r="L667" s="89">
        <v>1</v>
      </c>
      <c r="M667" s="13">
        <f t="shared" si="54"/>
        <v>13042404.671249809</v>
      </c>
      <c r="N667" s="11">
        <f t="shared" si="50"/>
        <v>2.5194504464807902E-4</v>
      </c>
    </row>
    <row r="668" spans="1:14" x14ac:dyDescent="0.25">
      <c r="A668" s="79" t="s">
        <v>32</v>
      </c>
      <c r="B668" s="89" t="s">
        <v>11</v>
      </c>
      <c r="C668" s="89" t="s">
        <v>243</v>
      </c>
      <c r="D668" s="13" t="s">
        <v>12</v>
      </c>
      <c r="E668" s="35">
        <f>VLOOKUP(B668, Passenger_Kilometre_by_mode_type[#All],MATCH(A668, Passenger_Kilometre_by_mode_type[#Headers],0),0)</f>
        <v>200431253.53778797</v>
      </c>
      <c r="F668" s="89">
        <f>VLOOKUP(C668, Reason_for_public_transport_journeys_by_percentage[#All],MATCH(A668, Reason_for_public_transport_journeys_by_percentage[#Headers],0),0)/100</f>
        <v>2.2499999999999999E-2</v>
      </c>
      <c r="G668" s="13">
        <f t="shared" si="51"/>
        <v>4509703.2046002289</v>
      </c>
      <c r="H668" s="89">
        <f>VLOOKUP(D668,Average_Distance_by_kilometre_grouping_for_mode_type[#All],MATCH(A668,Average_Distance_by_kilometre_grouping_for_mode_type[#Headers],0),0)</f>
        <v>1</v>
      </c>
      <c r="I668" s="89">
        <f>VLOOKUP(D668,Average_Distance_by_kilometres_grouping_for_trip_purpose[#All],MATCH(A668,Average_Distance_by_kilometres_grouping_for_trip_purpose[#Headers],0),0)</f>
        <v>1</v>
      </c>
      <c r="J668" s="89">
        <f t="shared" si="52"/>
        <v>1</v>
      </c>
      <c r="K668" s="89">
        <f t="shared" si="53"/>
        <v>2.0300446609825416E-2</v>
      </c>
      <c r="L668" s="89">
        <v>1</v>
      </c>
      <c r="M668" s="13">
        <f t="shared" si="54"/>
        <v>91548.989131145529</v>
      </c>
      <c r="N668" s="11">
        <f t="shared" si="50"/>
        <v>1.7684863133389257E-6</v>
      </c>
    </row>
    <row r="669" spans="1:14" x14ac:dyDescent="0.25">
      <c r="A669" s="79" t="s">
        <v>32</v>
      </c>
      <c r="B669" s="89" t="s">
        <v>11</v>
      </c>
      <c r="C669" s="89" t="s">
        <v>243</v>
      </c>
      <c r="D669" s="13" t="s">
        <v>181</v>
      </c>
      <c r="E669" s="35">
        <f>VLOOKUP(B669, Passenger_Kilometre_by_mode_type[#All],MATCH(A669, Passenger_Kilometre_by_mode_type[#Headers],0),0)</f>
        <v>200431253.53778797</v>
      </c>
      <c r="F669" s="89">
        <f>VLOOKUP(C669, Reason_for_public_transport_journeys_by_percentage[#All],MATCH(A669, Reason_for_public_transport_journeys_by_percentage[#Headers],0),0)/100</f>
        <v>2.2499999999999999E-2</v>
      </c>
      <c r="G669" s="13">
        <f t="shared" si="51"/>
        <v>4509703.2046002289</v>
      </c>
      <c r="H669" s="89">
        <f>VLOOKUP(D669,Average_Distance_by_kilometre_grouping_for_mode_type[#All],MATCH(A669,Average_Distance_by_kilometre_grouping_for_mode_type[#Headers],0),0)</f>
        <v>3</v>
      </c>
      <c r="I669" s="89">
        <f>VLOOKUP(D669,Average_Distance_by_kilometres_grouping_for_trip_purpose[#All],MATCH(A669,Average_Distance_by_kilometres_grouping_for_trip_purpose[#Headers],0),0)</f>
        <v>3</v>
      </c>
      <c r="J669" s="89">
        <f t="shared" si="52"/>
        <v>3</v>
      </c>
      <c r="K669" s="89">
        <f t="shared" si="53"/>
        <v>6.0901339829476243E-2</v>
      </c>
      <c r="L669" s="89">
        <v>1</v>
      </c>
      <c r="M669" s="13">
        <f t="shared" si="54"/>
        <v>274646.96739343659</v>
      </c>
      <c r="N669" s="11">
        <f t="shared" si="50"/>
        <v>5.3054589400167772E-6</v>
      </c>
    </row>
    <row r="670" spans="1:14" x14ac:dyDescent="0.25">
      <c r="A670" s="79" t="s">
        <v>32</v>
      </c>
      <c r="B670" s="89" t="s">
        <v>11</v>
      </c>
      <c r="C670" s="89" t="s">
        <v>243</v>
      </c>
      <c r="D670" s="13" t="s">
        <v>180</v>
      </c>
      <c r="E670" s="35">
        <f>VLOOKUP(B670, Passenger_Kilometre_by_mode_type[#All],MATCH(A670, Passenger_Kilometre_by_mode_type[#Headers],0),0)</f>
        <v>200431253.53778797</v>
      </c>
      <c r="F670" s="89">
        <f>VLOOKUP(C670, Reason_for_public_transport_journeys_by_percentage[#All],MATCH(A670, Reason_for_public_transport_journeys_by_percentage[#Headers],0),0)/100</f>
        <v>2.2499999999999999E-2</v>
      </c>
      <c r="G670" s="13">
        <f t="shared" si="51"/>
        <v>4509703.2046002289</v>
      </c>
      <c r="H670" s="89">
        <f>VLOOKUP(D670,Average_Distance_by_kilometre_grouping_for_mode_type[#All],MATCH(A670,Average_Distance_by_kilometre_grouping_for_mode_type[#Headers],0),0)</f>
        <v>5</v>
      </c>
      <c r="I670" s="89">
        <f>VLOOKUP(D670,Average_Distance_by_kilometres_grouping_for_trip_purpose[#All],MATCH(A670,Average_Distance_by_kilometres_grouping_for_trip_purpose[#Headers],0),0)</f>
        <v>5</v>
      </c>
      <c r="J670" s="89">
        <f t="shared" si="52"/>
        <v>5</v>
      </c>
      <c r="K670" s="89">
        <f t="shared" si="53"/>
        <v>0.10150223304912707</v>
      </c>
      <c r="L670" s="89">
        <v>1</v>
      </c>
      <c r="M670" s="13">
        <f t="shared" si="54"/>
        <v>457744.94565572764</v>
      </c>
      <c r="N670" s="11">
        <f t="shared" si="50"/>
        <v>8.8424315666946286E-6</v>
      </c>
    </row>
    <row r="671" spans="1:14" x14ac:dyDescent="0.25">
      <c r="A671" s="79" t="s">
        <v>32</v>
      </c>
      <c r="B671" s="89" t="s">
        <v>11</v>
      </c>
      <c r="C671" s="89" t="s">
        <v>243</v>
      </c>
      <c r="D671" s="13" t="s">
        <v>182</v>
      </c>
      <c r="E671" s="35">
        <f>VLOOKUP(B671, Passenger_Kilometre_by_mode_type[#All],MATCH(A671, Passenger_Kilometre_by_mode_type[#Headers],0),0)</f>
        <v>200431253.53778797</v>
      </c>
      <c r="F671" s="89">
        <f>VLOOKUP(C671, Reason_for_public_transport_journeys_by_percentage[#All],MATCH(A671, Reason_for_public_transport_journeys_by_percentage[#Headers],0),0)/100</f>
        <v>2.2499999999999999E-2</v>
      </c>
      <c r="G671" s="13">
        <f t="shared" si="51"/>
        <v>4509703.2046002289</v>
      </c>
      <c r="H671" s="89">
        <f>VLOOKUP(D671,Average_Distance_by_kilometre_grouping_for_mode_type[#All],MATCH(A671,Average_Distance_by_kilometre_grouping_for_mode_type[#Headers],0),0)</f>
        <v>7</v>
      </c>
      <c r="I671" s="89">
        <f>VLOOKUP(D671,Average_Distance_by_kilometres_grouping_for_trip_purpose[#All],MATCH(A671,Average_Distance_by_kilometres_grouping_for_trip_purpose[#Headers],0),0)</f>
        <v>7</v>
      </c>
      <c r="J671" s="89">
        <f t="shared" si="52"/>
        <v>7</v>
      </c>
      <c r="K671" s="89">
        <f t="shared" si="53"/>
        <v>0.14210312626877789</v>
      </c>
      <c r="L671" s="89">
        <v>1</v>
      </c>
      <c r="M671" s="13">
        <f t="shared" si="54"/>
        <v>640842.92391801858</v>
      </c>
      <c r="N671" s="11">
        <f t="shared" si="50"/>
        <v>1.2379404193372478E-5</v>
      </c>
    </row>
    <row r="672" spans="1:14" x14ac:dyDescent="0.25">
      <c r="A672" s="79" t="s">
        <v>32</v>
      </c>
      <c r="B672" s="89" t="s">
        <v>11</v>
      </c>
      <c r="C672" s="89" t="s">
        <v>243</v>
      </c>
      <c r="D672" s="13" t="s">
        <v>1</v>
      </c>
      <c r="E672" s="35">
        <f>VLOOKUP(B672, Passenger_Kilometre_by_mode_type[#All],MATCH(A672, Passenger_Kilometre_by_mode_type[#Headers],0),0)</f>
        <v>200431253.53778797</v>
      </c>
      <c r="F672" s="89">
        <f>VLOOKUP(C672, Reason_for_public_transport_journeys_by_percentage[#All],MATCH(A672, Reason_for_public_transport_journeys_by_percentage[#Headers],0),0)/100</f>
        <v>2.2499999999999999E-2</v>
      </c>
      <c r="G672" s="13">
        <f t="shared" si="51"/>
        <v>4509703.2046002289</v>
      </c>
      <c r="H672" s="89">
        <f>VLOOKUP(D672,Average_Distance_by_kilometre_grouping_for_mode_type[#All],MATCH(A672,Average_Distance_by_kilometre_grouping_for_mode_type[#Headers],0),0)</f>
        <v>31.75</v>
      </c>
      <c r="I672" s="89">
        <f>VLOOKUP(D672,Average_Distance_by_kilometres_grouping_for_trip_purpose[#All],MATCH(A672,Average_Distance_by_kilometres_grouping_for_trip_purpose[#Headers],0),0)</f>
        <v>34.770000000000003</v>
      </c>
      <c r="J672" s="89">
        <f t="shared" si="52"/>
        <v>33.260000000000005</v>
      </c>
      <c r="K672" s="89">
        <f t="shared" si="53"/>
        <v>0.67519285424279341</v>
      </c>
      <c r="L672" s="89">
        <v>1</v>
      </c>
      <c r="M672" s="13">
        <f t="shared" si="54"/>
        <v>3044919.3785019005</v>
      </c>
      <c r="N672" s="11">
        <f t="shared" si="50"/>
        <v>5.8819854781652673E-5</v>
      </c>
    </row>
    <row r="673" spans="1:14" x14ac:dyDescent="0.25">
      <c r="A673" s="79" t="s">
        <v>32</v>
      </c>
      <c r="B673" s="89" t="s">
        <v>11</v>
      </c>
      <c r="C673" s="89" t="s">
        <v>50</v>
      </c>
      <c r="D673" s="13" t="s">
        <v>12</v>
      </c>
      <c r="E673" s="35">
        <f>VLOOKUP(B673, Passenger_Kilometre_by_mode_type[#All],MATCH(A673, Passenger_Kilometre_by_mode_type[#Headers],0),0)</f>
        <v>200431253.53778797</v>
      </c>
      <c r="F673" s="89">
        <f>VLOOKUP(C673, Reason_for_public_transport_journeys_by_percentage[#All],MATCH(A673, Reason_for_public_transport_journeys_by_percentage[#Headers],0),0)/100</f>
        <v>9.1250000000000012E-2</v>
      </c>
      <c r="G673" s="13">
        <f t="shared" si="51"/>
        <v>18289351.885323156</v>
      </c>
      <c r="H673" s="89">
        <f>VLOOKUP(D673,Average_Distance_by_kilometre_grouping_for_mode_type[#All],MATCH(A673,Average_Distance_by_kilometre_grouping_for_mode_type[#Headers],0),0)</f>
        <v>1</v>
      </c>
      <c r="I673" s="89">
        <f>VLOOKUP(D673,Average_Distance_by_kilometres_grouping_for_trip_purpose[#All],MATCH(A673,Average_Distance_by_kilometres_grouping_for_trip_purpose[#Headers],0),0)</f>
        <v>1</v>
      </c>
      <c r="J673" s="89">
        <f t="shared" si="52"/>
        <v>1</v>
      </c>
      <c r="K673" s="89">
        <f t="shared" si="53"/>
        <v>2.0300446609825416E-2</v>
      </c>
      <c r="L673" s="89">
        <v>1</v>
      </c>
      <c r="M673" s="13">
        <f t="shared" si="54"/>
        <v>371282.01147631253</v>
      </c>
      <c r="N673" s="11">
        <f t="shared" si="50"/>
        <v>7.1721944929856453E-6</v>
      </c>
    </row>
    <row r="674" spans="1:14" x14ac:dyDescent="0.25">
      <c r="A674" s="79" t="s">
        <v>32</v>
      </c>
      <c r="B674" s="89" t="s">
        <v>11</v>
      </c>
      <c r="C674" s="89" t="s">
        <v>50</v>
      </c>
      <c r="D674" s="13" t="s">
        <v>181</v>
      </c>
      <c r="E674" s="35">
        <f>VLOOKUP(B674, Passenger_Kilometre_by_mode_type[#All],MATCH(A674, Passenger_Kilometre_by_mode_type[#Headers],0),0)</f>
        <v>200431253.53778797</v>
      </c>
      <c r="F674" s="89">
        <f>VLOOKUP(C674, Reason_for_public_transport_journeys_by_percentage[#All],MATCH(A674, Reason_for_public_transport_journeys_by_percentage[#Headers],0),0)/100</f>
        <v>9.1250000000000012E-2</v>
      </c>
      <c r="G674" s="13">
        <f t="shared" si="51"/>
        <v>18289351.885323156</v>
      </c>
      <c r="H674" s="89">
        <f>VLOOKUP(D674,Average_Distance_by_kilometre_grouping_for_mode_type[#All],MATCH(A674,Average_Distance_by_kilometre_grouping_for_mode_type[#Headers],0),0)</f>
        <v>3</v>
      </c>
      <c r="I674" s="89">
        <f>VLOOKUP(D674,Average_Distance_by_kilometres_grouping_for_trip_purpose[#All],MATCH(A674,Average_Distance_by_kilometres_grouping_for_trip_purpose[#Headers],0),0)</f>
        <v>3</v>
      </c>
      <c r="J674" s="89">
        <f t="shared" si="52"/>
        <v>3</v>
      </c>
      <c r="K674" s="89">
        <f t="shared" si="53"/>
        <v>6.0901339829476243E-2</v>
      </c>
      <c r="L674" s="89">
        <v>1</v>
      </c>
      <c r="M674" s="13">
        <f t="shared" si="54"/>
        <v>1113846.0344289376</v>
      </c>
      <c r="N674" s="11">
        <f t="shared" si="50"/>
        <v>2.1516583478956938E-5</v>
      </c>
    </row>
    <row r="675" spans="1:14" x14ac:dyDescent="0.25">
      <c r="A675" s="79" t="s">
        <v>32</v>
      </c>
      <c r="B675" s="89" t="s">
        <v>11</v>
      </c>
      <c r="C675" s="89" t="s">
        <v>50</v>
      </c>
      <c r="D675" s="13" t="s">
        <v>180</v>
      </c>
      <c r="E675" s="35">
        <f>VLOOKUP(B675, Passenger_Kilometre_by_mode_type[#All],MATCH(A675, Passenger_Kilometre_by_mode_type[#Headers],0),0)</f>
        <v>200431253.53778797</v>
      </c>
      <c r="F675" s="89">
        <f>VLOOKUP(C675, Reason_for_public_transport_journeys_by_percentage[#All],MATCH(A675, Reason_for_public_transport_journeys_by_percentage[#Headers],0),0)/100</f>
        <v>9.1250000000000012E-2</v>
      </c>
      <c r="G675" s="13">
        <f t="shared" si="51"/>
        <v>18289351.885323156</v>
      </c>
      <c r="H675" s="89">
        <f>VLOOKUP(D675,Average_Distance_by_kilometre_grouping_for_mode_type[#All],MATCH(A675,Average_Distance_by_kilometre_grouping_for_mode_type[#Headers],0),0)</f>
        <v>5</v>
      </c>
      <c r="I675" s="89">
        <f>VLOOKUP(D675,Average_Distance_by_kilometres_grouping_for_trip_purpose[#All],MATCH(A675,Average_Distance_by_kilometres_grouping_for_trip_purpose[#Headers],0),0)</f>
        <v>5</v>
      </c>
      <c r="J675" s="89">
        <f t="shared" si="52"/>
        <v>5</v>
      </c>
      <c r="K675" s="89">
        <f t="shared" si="53"/>
        <v>0.10150223304912707</v>
      </c>
      <c r="L675" s="89">
        <v>1</v>
      </c>
      <c r="M675" s="13">
        <f t="shared" si="54"/>
        <v>1856410.0573815627</v>
      </c>
      <c r="N675" s="11">
        <f t="shared" si="50"/>
        <v>3.5860972464928231E-5</v>
      </c>
    </row>
    <row r="676" spans="1:14" x14ac:dyDescent="0.25">
      <c r="A676" s="79" t="s">
        <v>32</v>
      </c>
      <c r="B676" s="89" t="s">
        <v>11</v>
      </c>
      <c r="C676" s="89" t="s">
        <v>50</v>
      </c>
      <c r="D676" s="13" t="s">
        <v>182</v>
      </c>
      <c r="E676" s="35">
        <f>VLOOKUP(B676, Passenger_Kilometre_by_mode_type[#All],MATCH(A676, Passenger_Kilometre_by_mode_type[#Headers],0),0)</f>
        <v>200431253.53778797</v>
      </c>
      <c r="F676" s="89">
        <f>VLOOKUP(C676, Reason_for_public_transport_journeys_by_percentage[#All],MATCH(A676, Reason_for_public_transport_journeys_by_percentage[#Headers],0),0)/100</f>
        <v>9.1250000000000012E-2</v>
      </c>
      <c r="G676" s="13">
        <f t="shared" si="51"/>
        <v>18289351.885323156</v>
      </c>
      <c r="H676" s="89">
        <f>VLOOKUP(D676,Average_Distance_by_kilometre_grouping_for_mode_type[#All],MATCH(A676,Average_Distance_by_kilometre_grouping_for_mode_type[#Headers],0),0)</f>
        <v>7</v>
      </c>
      <c r="I676" s="89">
        <f>VLOOKUP(D676,Average_Distance_by_kilometres_grouping_for_trip_purpose[#All],MATCH(A676,Average_Distance_by_kilometres_grouping_for_trip_purpose[#Headers],0),0)</f>
        <v>7</v>
      </c>
      <c r="J676" s="89">
        <f t="shared" si="52"/>
        <v>7</v>
      </c>
      <c r="K676" s="89">
        <f t="shared" si="53"/>
        <v>0.14210312626877789</v>
      </c>
      <c r="L676" s="89">
        <v>1</v>
      </c>
      <c r="M676" s="13">
        <f t="shared" si="54"/>
        <v>2598974.0803341875</v>
      </c>
      <c r="N676" s="11">
        <f t="shared" si="50"/>
        <v>5.0205361450899516E-5</v>
      </c>
    </row>
    <row r="677" spans="1:14" x14ac:dyDescent="0.25">
      <c r="A677" s="79" t="s">
        <v>32</v>
      </c>
      <c r="B677" s="89" t="s">
        <v>11</v>
      </c>
      <c r="C677" s="89" t="s">
        <v>50</v>
      </c>
      <c r="D677" s="13" t="s">
        <v>1</v>
      </c>
      <c r="E677" s="35">
        <f>VLOOKUP(B677, Passenger_Kilometre_by_mode_type[#All],MATCH(A677, Passenger_Kilometre_by_mode_type[#Headers],0),0)</f>
        <v>200431253.53778797</v>
      </c>
      <c r="F677" s="89">
        <f>VLOOKUP(C677, Reason_for_public_transport_journeys_by_percentage[#All],MATCH(A677, Reason_for_public_transport_journeys_by_percentage[#Headers],0),0)/100</f>
        <v>9.1250000000000012E-2</v>
      </c>
      <c r="G677" s="13">
        <f t="shared" si="51"/>
        <v>18289351.885323156</v>
      </c>
      <c r="H677" s="89">
        <f>VLOOKUP(D677,Average_Distance_by_kilometre_grouping_for_mode_type[#All],MATCH(A677,Average_Distance_by_kilometre_grouping_for_mode_type[#Headers],0),0)</f>
        <v>31.75</v>
      </c>
      <c r="I677" s="89">
        <f>VLOOKUP(D677,Average_Distance_by_kilometres_grouping_for_trip_purpose[#All],MATCH(A677,Average_Distance_by_kilometres_grouping_for_trip_purpose[#Headers],0),0)</f>
        <v>34.770000000000003</v>
      </c>
      <c r="J677" s="89">
        <f t="shared" si="52"/>
        <v>33.260000000000005</v>
      </c>
      <c r="K677" s="89">
        <f t="shared" si="53"/>
        <v>0.67519285424279341</v>
      </c>
      <c r="L677" s="89">
        <v>1</v>
      </c>
      <c r="M677" s="13">
        <f t="shared" si="54"/>
        <v>12348839.701702157</v>
      </c>
      <c r="N677" s="11">
        <f t="shared" si="50"/>
        <v>2.3854718883670263E-4</v>
      </c>
    </row>
    <row r="678" spans="1:14" x14ac:dyDescent="0.25">
      <c r="A678" s="79" t="s">
        <v>32</v>
      </c>
      <c r="B678" s="89" t="s">
        <v>90</v>
      </c>
      <c r="C678" s="89" t="s">
        <v>42</v>
      </c>
      <c r="D678" s="13" t="s">
        <v>12</v>
      </c>
      <c r="E678" s="35">
        <f>VLOOKUP(B678, Passenger_Kilometre_by_mode_type[#All],MATCH(A678, Passenger_Kilometre_by_mode_type[#Headers],0),0)</f>
        <v>3044464508.67207</v>
      </c>
      <c r="F678" s="89">
        <f>VLOOKUP(C678, Reason_for_lorry_motorcycle_other_journeys_by_percentage[#All],MATCH(A678, Reason_for_lorry_motorcycle_other_journeys_by_percentage[#Headers],0),0)/100</f>
        <v>0.52124999999999999</v>
      </c>
      <c r="G678" s="13">
        <f t="shared" si="51"/>
        <v>1586927125.1453164</v>
      </c>
      <c r="H678" s="89">
        <f>VLOOKUP(D678,Average_Distance_by_kilometre_grouping_for_mode_type[#All],MATCH(A678,Average_Distance_by_kilometre_grouping_for_mode_type[#Headers],0),0)</f>
        <v>1</v>
      </c>
      <c r="I678" s="89">
        <f>VLOOKUP(D678,Average_Distance_by_kilometres_grouping_for_trip_purpose[#All],MATCH(A678,Average_Distance_by_kilometres_grouping_for_trip_purpose[#Headers],0),0)</f>
        <v>1</v>
      </c>
      <c r="J678" s="89">
        <f t="shared" si="52"/>
        <v>1</v>
      </c>
      <c r="K678" s="89">
        <f t="shared" si="53"/>
        <v>2.0300446609825416E-2</v>
      </c>
      <c r="L678" s="89">
        <v>1</v>
      </c>
      <c r="M678" s="13">
        <f t="shared" si="54"/>
        <v>32215329.377696231</v>
      </c>
      <c r="N678" s="11">
        <f t="shared" si="50"/>
        <v>6.2231565443663479E-4</v>
      </c>
    </row>
    <row r="679" spans="1:14" x14ac:dyDescent="0.25">
      <c r="A679" s="79" t="s">
        <v>32</v>
      </c>
      <c r="B679" s="89" t="s">
        <v>90</v>
      </c>
      <c r="C679" s="89" t="s">
        <v>42</v>
      </c>
      <c r="D679" s="13" t="s">
        <v>181</v>
      </c>
      <c r="E679" s="35">
        <f>VLOOKUP(B679, Passenger_Kilometre_by_mode_type[#All],MATCH(A679, Passenger_Kilometre_by_mode_type[#Headers],0),0)</f>
        <v>3044464508.67207</v>
      </c>
      <c r="F679" s="89">
        <f>VLOOKUP(C679, Reason_for_lorry_motorcycle_other_journeys_by_percentage[#All],MATCH(A679, Reason_for_lorry_motorcycle_other_journeys_by_percentage[#Headers],0),0)/100</f>
        <v>0.52124999999999999</v>
      </c>
      <c r="G679" s="13">
        <f t="shared" si="51"/>
        <v>1586927125.1453164</v>
      </c>
      <c r="H679" s="89">
        <f>VLOOKUP(D679,Average_Distance_by_kilometre_grouping_for_mode_type[#All],MATCH(A679,Average_Distance_by_kilometre_grouping_for_mode_type[#Headers],0),0)</f>
        <v>3</v>
      </c>
      <c r="I679" s="89">
        <f>VLOOKUP(D679,Average_Distance_by_kilometres_grouping_for_trip_purpose[#All],MATCH(A679,Average_Distance_by_kilometres_grouping_for_trip_purpose[#Headers],0),0)</f>
        <v>3</v>
      </c>
      <c r="J679" s="89">
        <f t="shared" si="52"/>
        <v>3</v>
      </c>
      <c r="K679" s="89">
        <f t="shared" si="53"/>
        <v>6.0901339829476243E-2</v>
      </c>
      <c r="L679" s="89">
        <v>1</v>
      </c>
      <c r="M679" s="13">
        <f t="shared" si="54"/>
        <v>96645988.133088693</v>
      </c>
      <c r="N679" s="11">
        <f t="shared" si="50"/>
        <v>1.8669469633099045E-3</v>
      </c>
    </row>
    <row r="680" spans="1:14" x14ac:dyDescent="0.25">
      <c r="A680" s="79" t="s">
        <v>32</v>
      </c>
      <c r="B680" s="89" t="s">
        <v>90</v>
      </c>
      <c r="C680" s="89" t="s">
        <v>42</v>
      </c>
      <c r="D680" s="13" t="s">
        <v>180</v>
      </c>
      <c r="E680" s="35">
        <f>VLOOKUP(B680, Passenger_Kilometre_by_mode_type[#All],MATCH(A680, Passenger_Kilometre_by_mode_type[#Headers],0),0)</f>
        <v>3044464508.67207</v>
      </c>
      <c r="F680" s="89">
        <f>VLOOKUP(C680, Reason_for_lorry_motorcycle_other_journeys_by_percentage[#All],MATCH(A680, Reason_for_lorry_motorcycle_other_journeys_by_percentage[#Headers],0),0)/100</f>
        <v>0.52124999999999999</v>
      </c>
      <c r="G680" s="13">
        <f t="shared" si="51"/>
        <v>1586927125.1453164</v>
      </c>
      <c r="H680" s="89">
        <f>VLOOKUP(D680,Average_Distance_by_kilometre_grouping_for_mode_type[#All],MATCH(A680,Average_Distance_by_kilometre_grouping_for_mode_type[#Headers],0),0)</f>
        <v>5</v>
      </c>
      <c r="I680" s="89">
        <f>VLOOKUP(D680,Average_Distance_by_kilometres_grouping_for_trip_purpose[#All],MATCH(A680,Average_Distance_by_kilometres_grouping_for_trip_purpose[#Headers],0),0)</f>
        <v>5</v>
      </c>
      <c r="J680" s="89">
        <f t="shared" si="52"/>
        <v>5</v>
      </c>
      <c r="K680" s="89">
        <f t="shared" si="53"/>
        <v>0.10150223304912707</v>
      </c>
      <c r="L680" s="89">
        <v>1</v>
      </c>
      <c r="M680" s="13">
        <f t="shared" si="54"/>
        <v>161076646.88848114</v>
      </c>
      <c r="N680" s="11">
        <f t="shared" si="50"/>
        <v>3.1115782721831738E-3</v>
      </c>
    </row>
    <row r="681" spans="1:14" x14ac:dyDescent="0.25">
      <c r="A681" s="79" t="s">
        <v>32</v>
      </c>
      <c r="B681" s="89" t="s">
        <v>90</v>
      </c>
      <c r="C681" s="89" t="s">
        <v>42</v>
      </c>
      <c r="D681" s="13" t="s">
        <v>182</v>
      </c>
      <c r="E681" s="35">
        <f>VLOOKUP(B681, Passenger_Kilometre_by_mode_type[#All],MATCH(A681, Passenger_Kilometre_by_mode_type[#Headers],0),0)</f>
        <v>3044464508.67207</v>
      </c>
      <c r="F681" s="89">
        <f>VLOOKUP(C681, Reason_for_lorry_motorcycle_other_journeys_by_percentage[#All],MATCH(A681, Reason_for_lorry_motorcycle_other_journeys_by_percentage[#Headers],0),0)/100</f>
        <v>0.52124999999999999</v>
      </c>
      <c r="G681" s="13">
        <f t="shared" si="51"/>
        <v>1586927125.1453164</v>
      </c>
      <c r="H681" s="89">
        <f>VLOOKUP(D681,Average_Distance_by_kilometre_grouping_for_mode_type[#All],MATCH(A681,Average_Distance_by_kilometre_grouping_for_mode_type[#Headers],0),0)</f>
        <v>7</v>
      </c>
      <c r="I681" s="89">
        <f>VLOOKUP(D681,Average_Distance_by_kilometres_grouping_for_trip_purpose[#All],MATCH(A681,Average_Distance_by_kilometres_grouping_for_trip_purpose[#Headers],0),0)</f>
        <v>7</v>
      </c>
      <c r="J681" s="89">
        <f t="shared" si="52"/>
        <v>7</v>
      </c>
      <c r="K681" s="89">
        <f t="shared" si="53"/>
        <v>0.14210312626877789</v>
      </c>
      <c r="L681" s="89">
        <v>1</v>
      </c>
      <c r="M681" s="13">
        <f t="shared" si="54"/>
        <v>225507305.64387357</v>
      </c>
      <c r="N681" s="11">
        <f t="shared" si="50"/>
        <v>4.3562095810564432E-3</v>
      </c>
    </row>
    <row r="682" spans="1:14" x14ac:dyDescent="0.25">
      <c r="A682" s="79" t="s">
        <v>32</v>
      </c>
      <c r="B682" s="89" t="s">
        <v>90</v>
      </c>
      <c r="C682" s="89" t="s">
        <v>42</v>
      </c>
      <c r="D682" s="13" t="s">
        <v>1</v>
      </c>
      <c r="E682" s="35">
        <f>VLOOKUP(B682, Passenger_Kilometre_by_mode_type[#All],MATCH(A682, Passenger_Kilometre_by_mode_type[#Headers],0),0)</f>
        <v>3044464508.67207</v>
      </c>
      <c r="F682" s="89">
        <f>VLOOKUP(C682, Reason_for_lorry_motorcycle_other_journeys_by_percentage[#All],MATCH(A682, Reason_for_lorry_motorcycle_other_journeys_by_percentage[#Headers],0),0)/100</f>
        <v>0.52124999999999999</v>
      </c>
      <c r="G682" s="13">
        <f t="shared" si="51"/>
        <v>1586927125.1453164</v>
      </c>
      <c r="H682" s="89">
        <f>VLOOKUP(D682,Average_Distance_by_kilometre_grouping_for_mode_type[#All],MATCH(A682,Average_Distance_by_kilometre_grouping_for_mode_type[#Headers],0),0)</f>
        <v>31.75</v>
      </c>
      <c r="I682" s="89">
        <f>VLOOKUP(D682,Average_Distance_by_kilometres_grouping_for_trip_purpose[#All],MATCH(A682,Average_Distance_by_kilometres_grouping_for_trip_purpose[#Headers],0),0)</f>
        <v>34.770000000000003</v>
      </c>
      <c r="J682" s="89">
        <f t="shared" si="52"/>
        <v>33.260000000000005</v>
      </c>
      <c r="K682" s="89">
        <f t="shared" si="53"/>
        <v>0.67519285424279341</v>
      </c>
      <c r="L682" s="89">
        <v>1</v>
      </c>
      <c r="M682" s="13">
        <f t="shared" si="54"/>
        <v>1071481855.1021768</v>
      </c>
      <c r="N682" s="11">
        <f t="shared" si="50"/>
        <v>2.0698218666562476E-2</v>
      </c>
    </row>
    <row r="683" spans="1:14" x14ac:dyDescent="0.25">
      <c r="A683" s="79" t="s">
        <v>32</v>
      </c>
      <c r="B683" s="89" t="s">
        <v>90</v>
      </c>
      <c r="C683" s="89" t="s">
        <v>43</v>
      </c>
      <c r="D683" s="13" t="s">
        <v>12</v>
      </c>
      <c r="E683" s="35">
        <f>VLOOKUP(B683, Passenger_Kilometre_by_mode_type[#All],MATCH(A683, Passenger_Kilometre_by_mode_type[#Headers],0),0)</f>
        <v>3044464508.67207</v>
      </c>
      <c r="F683" s="89">
        <f>VLOOKUP(C683, Reason_for_lorry_motorcycle_other_journeys_by_percentage[#All],MATCH(A683, Reason_for_lorry_motorcycle_other_journeys_by_percentage[#Headers],0),0)/100</f>
        <v>1.7250000000000001E-2</v>
      </c>
      <c r="G683" s="13">
        <f t="shared" si="51"/>
        <v>52517012.774593212</v>
      </c>
      <c r="H683" s="89">
        <f>VLOOKUP(D683,Average_Distance_by_kilometre_grouping_for_mode_type[#All],MATCH(A683,Average_Distance_by_kilometre_grouping_for_mode_type[#Headers],0),0)</f>
        <v>1</v>
      </c>
      <c r="I683" s="89">
        <f>VLOOKUP(D683,Average_Distance_by_kilometres_grouping_for_trip_purpose[#All],MATCH(A683,Average_Distance_by_kilometres_grouping_for_trip_purpose[#Headers],0),0)</f>
        <v>1</v>
      </c>
      <c r="J683" s="89">
        <f t="shared" si="52"/>
        <v>1</v>
      </c>
      <c r="K683" s="89">
        <f t="shared" si="53"/>
        <v>2.0300446609825416E-2</v>
      </c>
      <c r="L683" s="89">
        <v>1</v>
      </c>
      <c r="M683" s="13">
        <f t="shared" si="54"/>
        <v>1066118.8139381488</v>
      </c>
      <c r="N683" s="11">
        <f t="shared" si="50"/>
        <v>2.0594618779917414E-5</v>
      </c>
    </row>
    <row r="684" spans="1:14" x14ac:dyDescent="0.25">
      <c r="A684" s="79" t="s">
        <v>32</v>
      </c>
      <c r="B684" s="89" t="s">
        <v>90</v>
      </c>
      <c r="C684" s="89" t="s">
        <v>43</v>
      </c>
      <c r="D684" s="13" t="s">
        <v>181</v>
      </c>
      <c r="E684" s="35">
        <f>VLOOKUP(B684, Passenger_Kilometre_by_mode_type[#All],MATCH(A684, Passenger_Kilometre_by_mode_type[#Headers],0),0)</f>
        <v>3044464508.67207</v>
      </c>
      <c r="F684" s="89">
        <f>VLOOKUP(C684, Reason_for_lorry_motorcycle_other_journeys_by_percentage[#All],MATCH(A684, Reason_for_lorry_motorcycle_other_journeys_by_percentage[#Headers],0),0)/100</f>
        <v>1.7250000000000001E-2</v>
      </c>
      <c r="G684" s="13">
        <f t="shared" si="51"/>
        <v>52517012.774593212</v>
      </c>
      <c r="H684" s="89">
        <f>VLOOKUP(D684,Average_Distance_by_kilometre_grouping_for_mode_type[#All],MATCH(A684,Average_Distance_by_kilometre_grouping_for_mode_type[#Headers],0),0)</f>
        <v>3</v>
      </c>
      <c r="I684" s="89">
        <f>VLOOKUP(D684,Average_Distance_by_kilometres_grouping_for_trip_purpose[#All],MATCH(A684,Average_Distance_by_kilometres_grouping_for_trip_purpose[#Headers],0),0)</f>
        <v>3</v>
      </c>
      <c r="J684" s="89">
        <f t="shared" si="52"/>
        <v>3</v>
      </c>
      <c r="K684" s="89">
        <f t="shared" si="53"/>
        <v>6.0901339829476243E-2</v>
      </c>
      <c r="L684" s="89">
        <v>1</v>
      </c>
      <c r="M684" s="13">
        <f t="shared" si="54"/>
        <v>3198356.4418144464</v>
      </c>
      <c r="N684" s="11">
        <f t="shared" ref="N684:N722" si="55">M684/SUM($M$363:$M$722)</f>
        <v>6.1783856339752243E-5</v>
      </c>
    </row>
    <row r="685" spans="1:14" x14ac:dyDescent="0.25">
      <c r="A685" s="79" t="s">
        <v>32</v>
      </c>
      <c r="B685" s="89" t="s">
        <v>90</v>
      </c>
      <c r="C685" s="89" t="s">
        <v>43</v>
      </c>
      <c r="D685" s="13" t="s">
        <v>180</v>
      </c>
      <c r="E685" s="35">
        <f>VLOOKUP(B685, Passenger_Kilometre_by_mode_type[#All],MATCH(A685, Passenger_Kilometre_by_mode_type[#Headers],0),0)</f>
        <v>3044464508.67207</v>
      </c>
      <c r="F685" s="89">
        <f>VLOOKUP(C685, Reason_for_lorry_motorcycle_other_journeys_by_percentage[#All],MATCH(A685, Reason_for_lorry_motorcycle_other_journeys_by_percentage[#Headers],0),0)/100</f>
        <v>1.7250000000000001E-2</v>
      </c>
      <c r="G685" s="13">
        <f t="shared" si="51"/>
        <v>52517012.774593212</v>
      </c>
      <c r="H685" s="89">
        <f>VLOOKUP(D685,Average_Distance_by_kilometre_grouping_for_mode_type[#All],MATCH(A685,Average_Distance_by_kilometre_grouping_for_mode_type[#Headers],0),0)</f>
        <v>5</v>
      </c>
      <c r="I685" s="89">
        <f>VLOOKUP(D685,Average_Distance_by_kilometres_grouping_for_trip_purpose[#All],MATCH(A685,Average_Distance_by_kilometres_grouping_for_trip_purpose[#Headers],0),0)</f>
        <v>5</v>
      </c>
      <c r="J685" s="89">
        <f t="shared" si="52"/>
        <v>5</v>
      </c>
      <c r="K685" s="89">
        <f t="shared" si="53"/>
        <v>0.10150223304912707</v>
      </c>
      <c r="L685" s="89">
        <v>1</v>
      </c>
      <c r="M685" s="13">
        <f t="shared" si="54"/>
        <v>5330594.0696907435</v>
      </c>
      <c r="N685" s="11">
        <f t="shared" si="55"/>
        <v>1.0297309389958706E-4</v>
      </c>
    </row>
    <row r="686" spans="1:14" x14ac:dyDescent="0.25">
      <c r="A686" s="79" t="s">
        <v>32</v>
      </c>
      <c r="B686" s="89" t="s">
        <v>90</v>
      </c>
      <c r="C686" s="89" t="s">
        <v>43</v>
      </c>
      <c r="D686" s="13" t="s">
        <v>182</v>
      </c>
      <c r="E686" s="35">
        <f>VLOOKUP(B686, Passenger_Kilometre_by_mode_type[#All],MATCH(A686, Passenger_Kilometre_by_mode_type[#Headers],0),0)</f>
        <v>3044464508.67207</v>
      </c>
      <c r="F686" s="89">
        <f>VLOOKUP(C686, Reason_for_lorry_motorcycle_other_journeys_by_percentage[#All],MATCH(A686, Reason_for_lorry_motorcycle_other_journeys_by_percentage[#Headers],0),0)/100</f>
        <v>1.7250000000000001E-2</v>
      </c>
      <c r="G686" s="13">
        <f t="shared" si="51"/>
        <v>52517012.774593212</v>
      </c>
      <c r="H686" s="89">
        <f>VLOOKUP(D686,Average_Distance_by_kilometre_grouping_for_mode_type[#All],MATCH(A686,Average_Distance_by_kilometre_grouping_for_mode_type[#Headers],0),0)</f>
        <v>7</v>
      </c>
      <c r="I686" s="89">
        <f>VLOOKUP(D686,Average_Distance_by_kilometres_grouping_for_trip_purpose[#All],MATCH(A686,Average_Distance_by_kilometres_grouping_for_trip_purpose[#Headers],0),0)</f>
        <v>7</v>
      </c>
      <c r="J686" s="89">
        <f t="shared" si="52"/>
        <v>7</v>
      </c>
      <c r="K686" s="89">
        <f t="shared" si="53"/>
        <v>0.14210312626877789</v>
      </c>
      <c r="L686" s="89">
        <v>1</v>
      </c>
      <c r="M686" s="13">
        <f t="shared" si="54"/>
        <v>7462831.6975670401</v>
      </c>
      <c r="N686" s="11">
        <f t="shared" si="55"/>
        <v>1.4416233145942187E-4</v>
      </c>
    </row>
    <row r="687" spans="1:14" x14ac:dyDescent="0.25">
      <c r="A687" s="79" t="s">
        <v>32</v>
      </c>
      <c r="B687" s="89" t="s">
        <v>90</v>
      </c>
      <c r="C687" s="89" t="s">
        <v>43</v>
      </c>
      <c r="D687" s="13" t="s">
        <v>1</v>
      </c>
      <c r="E687" s="35">
        <f>VLOOKUP(B687, Passenger_Kilometre_by_mode_type[#All],MATCH(A687, Passenger_Kilometre_by_mode_type[#Headers],0),0)</f>
        <v>3044464508.67207</v>
      </c>
      <c r="F687" s="89">
        <f>VLOOKUP(C687, Reason_for_lorry_motorcycle_other_journeys_by_percentage[#All],MATCH(A687, Reason_for_lorry_motorcycle_other_journeys_by_percentage[#Headers],0),0)/100</f>
        <v>1.7250000000000001E-2</v>
      </c>
      <c r="G687" s="13">
        <f t="shared" si="51"/>
        <v>52517012.774593212</v>
      </c>
      <c r="H687" s="89">
        <f>VLOOKUP(D687,Average_Distance_by_kilometre_grouping_for_mode_type[#All],MATCH(A687,Average_Distance_by_kilometre_grouping_for_mode_type[#Headers],0),0)</f>
        <v>31.75</v>
      </c>
      <c r="I687" s="89">
        <f>VLOOKUP(D687,Average_Distance_by_kilometres_grouping_for_trip_purpose[#All],MATCH(A687,Average_Distance_by_kilometres_grouping_for_trip_purpose[#Headers],0),0)</f>
        <v>34.770000000000003</v>
      </c>
      <c r="J687" s="89">
        <f t="shared" si="52"/>
        <v>33.260000000000005</v>
      </c>
      <c r="K687" s="89">
        <f t="shared" si="53"/>
        <v>0.67519285424279341</v>
      </c>
      <c r="L687" s="89">
        <v>1</v>
      </c>
      <c r="M687" s="13">
        <f t="shared" si="54"/>
        <v>35459111.751582831</v>
      </c>
      <c r="N687" s="11">
        <f t="shared" si="55"/>
        <v>6.8497702062005322E-4</v>
      </c>
    </row>
    <row r="688" spans="1:14" x14ac:dyDescent="0.25">
      <c r="A688" s="79" t="s">
        <v>32</v>
      </c>
      <c r="B688" s="89" t="s">
        <v>90</v>
      </c>
      <c r="C688" s="89" t="s">
        <v>44</v>
      </c>
      <c r="D688" s="13" t="s">
        <v>12</v>
      </c>
      <c r="E688" s="35">
        <f>VLOOKUP(B688, Passenger_Kilometre_by_mode_type[#All],MATCH(A688, Passenger_Kilometre_by_mode_type[#Headers],0),0)</f>
        <v>3044464508.67207</v>
      </c>
      <c r="F688" s="89">
        <f>VLOOKUP(C688, Reason_for_lorry_motorcycle_other_journeys_by_percentage[#All],MATCH(A688, Reason_for_lorry_motorcycle_other_journeys_by_percentage[#Headers],0),0)/100</f>
        <v>9.5499999999999988E-2</v>
      </c>
      <c r="G688" s="13">
        <f t="shared" si="51"/>
        <v>290746360.57818264</v>
      </c>
      <c r="H688" s="89">
        <f>VLOOKUP(D688,Average_Distance_by_kilometre_grouping_for_mode_type[#All],MATCH(A688,Average_Distance_by_kilometre_grouping_for_mode_type[#Headers],0),0)</f>
        <v>1</v>
      </c>
      <c r="I688" s="89">
        <f>VLOOKUP(D688,Average_Distance_by_kilometres_grouping_for_trip_purpose[#All],MATCH(A688,Average_Distance_by_kilometres_grouping_for_trip_purpose[#Headers],0),0)</f>
        <v>1</v>
      </c>
      <c r="J688" s="89">
        <f t="shared" si="52"/>
        <v>1</v>
      </c>
      <c r="K688" s="89">
        <f t="shared" si="53"/>
        <v>2.0300446609825416E-2</v>
      </c>
      <c r="L688" s="89">
        <v>1</v>
      </c>
      <c r="M688" s="13">
        <f t="shared" si="54"/>
        <v>5902280.9699184457</v>
      </c>
      <c r="N688" s="11">
        <f t="shared" si="55"/>
        <v>1.1401658512939783E-4</v>
      </c>
    </row>
    <row r="689" spans="1:14" x14ac:dyDescent="0.25">
      <c r="A689" s="79" t="s">
        <v>32</v>
      </c>
      <c r="B689" s="89" t="s">
        <v>90</v>
      </c>
      <c r="C689" s="89" t="s">
        <v>44</v>
      </c>
      <c r="D689" s="13" t="s">
        <v>181</v>
      </c>
      <c r="E689" s="35">
        <f>VLOOKUP(B689, Passenger_Kilometre_by_mode_type[#All],MATCH(A689, Passenger_Kilometre_by_mode_type[#Headers],0),0)</f>
        <v>3044464508.67207</v>
      </c>
      <c r="F689" s="89">
        <f>VLOOKUP(C689, Reason_for_lorry_motorcycle_other_journeys_by_percentage[#All],MATCH(A689, Reason_for_lorry_motorcycle_other_journeys_by_percentage[#Headers],0),0)/100</f>
        <v>9.5499999999999988E-2</v>
      </c>
      <c r="G689" s="13">
        <f t="shared" si="51"/>
        <v>290746360.57818264</v>
      </c>
      <c r="H689" s="89">
        <f>VLOOKUP(D689,Average_Distance_by_kilometre_grouping_for_mode_type[#All],MATCH(A689,Average_Distance_by_kilometre_grouping_for_mode_type[#Headers],0),0)</f>
        <v>3</v>
      </c>
      <c r="I689" s="89">
        <f>VLOOKUP(D689,Average_Distance_by_kilometres_grouping_for_trip_purpose[#All],MATCH(A689,Average_Distance_by_kilometres_grouping_for_trip_purpose[#Headers],0),0)</f>
        <v>3</v>
      </c>
      <c r="J689" s="89">
        <f t="shared" si="52"/>
        <v>3</v>
      </c>
      <c r="K689" s="89">
        <f t="shared" si="53"/>
        <v>6.0901339829476243E-2</v>
      </c>
      <c r="L689" s="89">
        <v>1</v>
      </c>
      <c r="M689" s="13">
        <f t="shared" si="54"/>
        <v>17706842.909755334</v>
      </c>
      <c r="N689" s="11">
        <f t="shared" si="55"/>
        <v>3.4204975538819343E-4</v>
      </c>
    </row>
    <row r="690" spans="1:14" x14ac:dyDescent="0.25">
      <c r="A690" s="79" t="s">
        <v>32</v>
      </c>
      <c r="B690" s="89" t="s">
        <v>90</v>
      </c>
      <c r="C690" s="89" t="s">
        <v>44</v>
      </c>
      <c r="D690" s="13" t="s">
        <v>180</v>
      </c>
      <c r="E690" s="35">
        <f>VLOOKUP(B690, Passenger_Kilometre_by_mode_type[#All],MATCH(A690, Passenger_Kilometre_by_mode_type[#Headers],0),0)</f>
        <v>3044464508.67207</v>
      </c>
      <c r="F690" s="89">
        <f>VLOOKUP(C690, Reason_for_lorry_motorcycle_other_journeys_by_percentage[#All],MATCH(A690, Reason_for_lorry_motorcycle_other_journeys_by_percentage[#Headers],0),0)/100</f>
        <v>9.5499999999999988E-2</v>
      </c>
      <c r="G690" s="13">
        <f t="shared" si="51"/>
        <v>290746360.57818264</v>
      </c>
      <c r="H690" s="89">
        <f>VLOOKUP(D690,Average_Distance_by_kilometre_grouping_for_mode_type[#All],MATCH(A690,Average_Distance_by_kilometre_grouping_for_mode_type[#Headers],0),0)</f>
        <v>5</v>
      </c>
      <c r="I690" s="89">
        <f>VLOOKUP(D690,Average_Distance_by_kilometres_grouping_for_trip_purpose[#All],MATCH(A690,Average_Distance_by_kilometres_grouping_for_trip_purpose[#Headers],0),0)</f>
        <v>5</v>
      </c>
      <c r="J690" s="89">
        <f t="shared" si="52"/>
        <v>5</v>
      </c>
      <c r="K690" s="89">
        <f t="shared" si="53"/>
        <v>0.10150223304912707</v>
      </c>
      <c r="L690" s="89">
        <v>1</v>
      </c>
      <c r="M690" s="13">
        <f t="shared" si="54"/>
        <v>29511404.849592227</v>
      </c>
      <c r="N690" s="11">
        <f t="shared" si="55"/>
        <v>5.7008292564698915E-4</v>
      </c>
    </row>
    <row r="691" spans="1:14" x14ac:dyDescent="0.25">
      <c r="A691" s="79" t="s">
        <v>32</v>
      </c>
      <c r="B691" s="89" t="s">
        <v>90</v>
      </c>
      <c r="C691" s="89" t="s">
        <v>44</v>
      </c>
      <c r="D691" s="13" t="s">
        <v>182</v>
      </c>
      <c r="E691" s="35">
        <f>VLOOKUP(B691, Passenger_Kilometre_by_mode_type[#All],MATCH(A691, Passenger_Kilometre_by_mode_type[#Headers],0),0)</f>
        <v>3044464508.67207</v>
      </c>
      <c r="F691" s="89">
        <f>VLOOKUP(C691, Reason_for_lorry_motorcycle_other_journeys_by_percentage[#All],MATCH(A691, Reason_for_lorry_motorcycle_other_journeys_by_percentage[#Headers],0),0)/100</f>
        <v>9.5499999999999988E-2</v>
      </c>
      <c r="G691" s="13">
        <f t="shared" si="51"/>
        <v>290746360.57818264</v>
      </c>
      <c r="H691" s="89">
        <f>VLOOKUP(D691,Average_Distance_by_kilometre_grouping_for_mode_type[#All],MATCH(A691,Average_Distance_by_kilometre_grouping_for_mode_type[#Headers],0),0)</f>
        <v>7</v>
      </c>
      <c r="I691" s="89">
        <f>VLOOKUP(D691,Average_Distance_by_kilometres_grouping_for_trip_purpose[#All],MATCH(A691,Average_Distance_by_kilometres_grouping_for_trip_purpose[#Headers],0),0)</f>
        <v>7</v>
      </c>
      <c r="J691" s="89">
        <f t="shared" si="52"/>
        <v>7</v>
      </c>
      <c r="K691" s="89">
        <f t="shared" si="53"/>
        <v>0.14210312626877789</v>
      </c>
      <c r="L691" s="89">
        <v>1</v>
      </c>
      <c r="M691" s="13">
        <f t="shared" si="54"/>
        <v>41315966.789429113</v>
      </c>
      <c r="N691" s="11">
        <f t="shared" si="55"/>
        <v>7.981160959057847E-4</v>
      </c>
    </row>
    <row r="692" spans="1:14" x14ac:dyDescent="0.25">
      <c r="A692" s="79" t="s">
        <v>32</v>
      </c>
      <c r="B692" s="89" t="s">
        <v>90</v>
      </c>
      <c r="C692" s="89" t="s">
        <v>44</v>
      </c>
      <c r="D692" s="13" t="s">
        <v>1</v>
      </c>
      <c r="E692" s="35">
        <f>VLOOKUP(B692, Passenger_Kilometre_by_mode_type[#All],MATCH(A692, Passenger_Kilometre_by_mode_type[#Headers],0),0)</f>
        <v>3044464508.67207</v>
      </c>
      <c r="F692" s="89">
        <f>VLOOKUP(C692, Reason_for_lorry_motorcycle_other_journeys_by_percentage[#All],MATCH(A692, Reason_for_lorry_motorcycle_other_journeys_by_percentage[#Headers],0),0)/100</f>
        <v>9.5499999999999988E-2</v>
      </c>
      <c r="G692" s="13">
        <f t="shared" si="51"/>
        <v>290746360.57818264</v>
      </c>
      <c r="H692" s="89">
        <f>VLOOKUP(D692,Average_Distance_by_kilometre_grouping_for_mode_type[#All],MATCH(A692,Average_Distance_by_kilometre_grouping_for_mode_type[#Headers],0),0)</f>
        <v>31.75</v>
      </c>
      <c r="I692" s="89">
        <f>VLOOKUP(D692,Average_Distance_by_kilometres_grouping_for_trip_purpose[#All],MATCH(A692,Average_Distance_by_kilometres_grouping_for_trip_purpose[#Headers],0),0)</f>
        <v>34.770000000000003</v>
      </c>
      <c r="J692" s="89">
        <f t="shared" si="52"/>
        <v>33.260000000000005</v>
      </c>
      <c r="K692" s="89">
        <f t="shared" si="53"/>
        <v>0.67519285424279341</v>
      </c>
      <c r="L692" s="89">
        <v>1</v>
      </c>
      <c r="M692" s="13">
        <f t="shared" si="54"/>
        <v>196309865.05948752</v>
      </c>
      <c r="N692" s="11">
        <f t="shared" si="55"/>
        <v>3.7921916214037725E-3</v>
      </c>
    </row>
    <row r="693" spans="1:14" x14ac:dyDescent="0.25">
      <c r="A693" s="79" t="s">
        <v>32</v>
      </c>
      <c r="B693" s="89" t="s">
        <v>90</v>
      </c>
      <c r="C693" s="89" t="s">
        <v>45</v>
      </c>
      <c r="D693" s="13" t="s">
        <v>12</v>
      </c>
      <c r="E693" s="35">
        <f>VLOOKUP(B693, Passenger_Kilometre_by_mode_type[#All],MATCH(A693, Passenger_Kilometre_by_mode_type[#Headers],0),0)</f>
        <v>3044464508.67207</v>
      </c>
      <c r="F693" s="89">
        <f>VLOOKUP(C693, Reason_for_lorry_motorcycle_other_journeys_by_percentage[#All],MATCH(A693, Reason_for_lorry_motorcycle_other_journeys_by_percentage[#Headers],0),0)/100</f>
        <v>3.3750000000000002E-2</v>
      </c>
      <c r="G693" s="13">
        <f t="shared" si="51"/>
        <v>102750677.16768236</v>
      </c>
      <c r="H693" s="89">
        <f>VLOOKUP(D693,Average_Distance_by_kilometre_grouping_for_mode_type[#All],MATCH(A693,Average_Distance_by_kilometre_grouping_for_mode_type[#Headers],0),0)</f>
        <v>1</v>
      </c>
      <c r="I693" s="89">
        <f>VLOOKUP(D693,Average_Distance_by_kilometres_grouping_for_trip_purpose[#All],MATCH(A693,Average_Distance_by_kilometres_grouping_for_trip_purpose[#Headers],0),0)</f>
        <v>1</v>
      </c>
      <c r="J693" s="89">
        <f t="shared" si="52"/>
        <v>1</v>
      </c>
      <c r="K693" s="89">
        <f t="shared" si="53"/>
        <v>2.0300446609825416E-2</v>
      </c>
      <c r="L693" s="89">
        <v>1</v>
      </c>
      <c r="M693" s="13">
        <f t="shared" si="54"/>
        <v>2085884.6359659431</v>
      </c>
      <c r="N693" s="11">
        <f t="shared" si="55"/>
        <v>4.0293819352012326E-5</v>
      </c>
    </row>
    <row r="694" spans="1:14" x14ac:dyDescent="0.25">
      <c r="A694" s="79" t="s">
        <v>32</v>
      </c>
      <c r="B694" s="89" t="s">
        <v>90</v>
      </c>
      <c r="C694" s="89" t="s">
        <v>45</v>
      </c>
      <c r="D694" s="13" t="s">
        <v>181</v>
      </c>
      <c r="E694" s="35">
        <f>VLOOKUP(B694, Passenger_Kilometre_by_mode_type[#All],MATCH(A694, Passenger_Kilometre_by_mode_type[#Headers],0),0)</f>
        <v>3044464508.67207</v>
      </c>
      <c r="F694" s="89">
        <f>VLOOKUP(C694, Reason_for_lorry_motorcycle_other_journeys_by_percentage[#All],MATCH(A694, Reason_for_lorry_motorcycle_other_journeys_by_percentage[#Headers],0),0)/100</f>
        <v>3.3750000000000002E-2</v>
      </c>
      <c r="G694" s="13">
        <f t="shared" si="51"/>
        <v>102750677.16768236</v>
      </c>
      <c r="H694" s="89">
        <f>VLOOKUP(D694,Average_Distance_by_kilometre_grouping_for_mode_type[#All],MATCH(A694,Average_Distance_by_kilometre_grouping_for_mode_type[#Headers],0),0)</f>
        <v>3</v>
      </c>
      <c r="I694" s="89">
        <f>VLOOKUP(D694,Average_Distance_by_kilometres_grouping_for_trip_purpose[#All],MATCH(A694,Average_Distance_by_kilometres_grouping_for_trip_purpose[#Headers],0),0)</f>
        <v>3</v>
      </c>
      <c r="J694" s="89">
        <f t="shared" si="52"/>
        <v>3</v>
      </c>
      <c r="K694" s="89">
        <f t="shared" si="53"/>
        <v>6.0901339829476243E-2</v>
      </c>
      <c r="L694" s="89">
        <v>1</v>
      </c>
      <c r="M694" s="13">
        <f t="shared" si="54"/>
        <v>6257653.9078978291</v>
      </c>
      <c r="N694" s="11">
        <f t="shared" si="55"/>
        <v>1.2088145805603699E-4</v>
      </c>
    </row>
    <row r="695" spans="1:14" x14ac:dyDescent="0.25">
      <c r="A695" s="79" t="s">
        <v>32</v>
      </c>
      <c r="B695" s="89" t="s">
        <v>90</v>
      </c>
      <c r="C695" s="89" t="s">
        <v>45</v>
      </c>
      <c r="D695" s="13" t="s">
        <v>180</v>
      </c>
      <c r="E695" s="35">
        <f>VLOOKUP(B695, Passenger_Kilometre_by_mode_type[#All],MATCH(A695, Passenger_Kilometre_by_mode_type[#Headers],0),0)</f>
        <v>3044464508.67207</v>
      </c>
      <c r="F695" s="89">
        <f>VLOOKUP(C695, Reason_for_lorry_motorcycle_other_journeys_by_percentage[#All],MATCH(A695, Reason_for_lorry_motorcycle_other_journeys_by_percentage[#Headers],0),0)/100</f>
        <v>3.3750000000000002E-2</v>
      </c>
      <c r="G695" s="13">
        <f t="shared" si="51"/>
        <v>102750677.16768236</v>
      </c>
      <c r="H695" s="89">
        <f>VLOOKUP(D695,Average_Distance_by_kilometre_grouping_for_mode_type[#All],MATCH(A695,Average_Distance_by_kilometre_grouping_for_mode_type[#Headers],0),0)</f>
        <v>5</v>
      </c>
      <c r="I695" s="89">
        <f>VLOOKUP(D695,Average_Distance_by_kilometres_grouping_for_trip_purpose[#All],MATCH(A695,Average_Distance_by_kilometres_grouping_for_trip_purpose[#Headers],0),0)</f>
        <v>5</v>
      </c>
      <c r="J695" s="89">
        <f t="shared" si="52"/>
        <v>5</v>
      </c>
      <c r="K695" s="89">
        <f t="shared" si="53"/>
        <v>0.10150223304912707</v>
      </c>
      <c r="L695" s="89">
        <v>1</v>
      </c>
      <c r="M695" s="13">
        <f t="shared" si="54"/>
        <v>10429423.179829715</v>
      </c>
      <c r="N695" s="11">
        <f t="shared" si="55"/>
        <v>2.0146909676006162E-4</v>
      </c>
    </row>
    <row r="696" spans="1:14" x14ac:dyDescent="0.25">
      <c r="A696" s="79" t="s">
        <v>32</v>
      </c>
      <c r="B696" s="89" t="s">
        <v>90</v>
      </c>
      <c r="C696" s="89" t="s">
        <v>45</v>
      </c>
      <c r="D696" s="13" t="s">
        <v>182</v>
      </c>
      <c r="E696" s="35">
        <f>VLOOKUP(B696, Passenger_Kilometre_by_mode_type[#All],MATCH(A696, Passenger_Kilometre_by_mode_type[#Headers],0),0)</f>
        <v>3044464508.67207</v>
      </c>
      <c r="F696" s="89">
        <f>VLOOKUP(C696, Reason_for_lorry_motorcycle_other_journeys_by_percentage[#All],MATCH(A696, Reason_for_lorry_motorcycle_other_journeys_by_percentage[#Headers],0),0)/100</f>
        <v>3.3750000000000002E-2</v>
      </c>
      <c r="G696" s="13">
        <f t="shared" si="51"/>
        <v>102750677.16768236</v>
      </c>
      <c r="H696" s="89">
        <f>VLOOKUP(D696,Average_Distance_by_kilometre_grouping_for_mode_type[#All],MATCH(A696,Average_Distance_by_kilometre_grouping_for_mode_type[#Headers],0),0)</f>
        <v>7</v>
      </c>
      <c r="I696" s="89">
        <f>VLOOKUP(D696,Average_Distance_by_kilometres_grouping_for_trip_purpose[#All],MATCH(A696,Average_Distance_by_kilometres_grouping_for_trip_purpose[#Headers],0),0)</f>
        <v>7</v>
      </c>
      <c r="J696" s="89">
        <f t="shared" si="52"/>
        <v>7</v>
      </c>
      <c r="K696" s="89">
        <f t="shared" si="53"/>
        <v>0.14210312626877789</v>
      </c>
      <c r="L696" s="89">
        <v>1</v>
      </c>
      <c r="M696" s="13">
        <f t="shared" si="54"/>
        <v>14601192.4517616</v>
      </c>
      <c r="N696" s="11">
        <f t="shared" si="55"/>
        <v>2.8205673546408626E-4</v>
      </c>
    </row>
    <row r="697" spans="1:14" x14ac:dyDescent="0.25">
      <c r="A697" s="79" t="s">
        <v>32</v>
      </c>
      <c r="B697" s="89" t="s">
        <v>90</v>
      </c>
      <c r="C697" s="89" t="s">
        <v>45</v>
      </c>
      <c r="D697" s="13" t="s">
        <v>1</v>
      </c>
      <c r="E697" s="35">
        <f>VLOOKUP(B697, Passenger_Kilometre_by_mode_type[#All],MATCH(A697, Passenger_Kilometre_by_mode_type[#Headers],0),0)</f>
        <v>3044464508.67207</v>
      </c>
      <c r="F697" s="89">
        <f>VLOOKUP(C697, Reason_for_lorry_motorcycle_other_journeys_by_percentage[#All],MATCH(A697, Reason_for_lorry_motorcycle_other_journeys_by_percentage[#Headers],0),0)/100</f>
        <v>3.3750000000000002E-2</v>
      </c>
      <c r="G697" s="13">
        <f t="shared" si="51"/>
        <v>102750677.16768236</v>
      </c>
      <c r="H697" s="89">
        <f>VLOOKUP(D697,Average_Distance_by_kilometre_grouping_for_mode_type[#All],MATCH(A697,Average_Distance_by_kilometre_grouping_for_mode_type[#Headers],0),0)</f>
        <v>31.75</v>
      </c>
      <c r="I697" s="89">
        <f>VLOOKUP(D697,Average_Distance_by_kilometres_grouping_for_trip_purpose[#All],MATCH(A697,Average_Distance_by_kilometres_grouping_for_trip_purpose[#Headers],0),0)</f>
        <v>34.770000000000003</v>
      </c>
      <c r="J697" s="89">
        <f t="shared" si="52"/>
        <v>33.260000000000005</v>
      </c>
      <c r="K697" s="89">
        <f t="shared" si="53"/>
        <v>0.67519285424279341</v>
      </c>
      <c r="L697" s="89">
        <v>1</v>
      </c>
      <c r="M697" s="13">
        <f t="shared" si="54"/>
        <v>69376522.992227286</v>
      </c>
      <c r="N697" s="11">
        <f t="shared" si="55"/>
        <v>1.3401724316479304E-3</v>
      </c>
    </row>
    <row r="698" spans="1:14" x14ac:dyDescent="0.25">
      <c r="A698" s="79" t="s">
        <v>32</v>
      </c>
      <c r="B698" s="89" t="s">
        <v>90</v>
      </c>
      <c r="C698" s="89" t="s">
        <v>56</v>
      </c>
      <c r="D698" s="13" t="s">
        <v>12</v>
      </c>
      <c r="E698" s="35">
        <f>VLOOKUP(B698, Passenger_Kilometre_by_mode_type[#All],MATCH(A698, Passenger_Kilometre_by_mode_type[#Headers],0),0)</f>
        <v>3044464508.67207</v>
      </c>
      <c r="F698" s="89">
        <f>VLOOKUP(C698, Reason_for_lorry_motorcycle_other_journeys_by_percentage[#All],MATCH(A698, Reason_for_lorry_motorcycle_other_journeys_by_percentage[#Headers],0),0)/100</f>
        <v>6.6500000000000004E-2</v>
      </c>
      <c r="G698" s="13">
        <f t="shared" si="51"/>
        <v>202456889.82669267</v>
      </c>
      <c r="H698" s="89">
        <f>VLOOKUP(D698,Average_Distance_by_kilometre_grouping_for_mode_type[#All],MATCH(A698,Average_Distance_by_kilometre_grouping_for_mode_type[#Headers],0),0)</f>
        <v>1</v>
      </c>
      <c r="I698" s="89">
        <f>VLOOKUP(D698,Average_Distance_by_kilometres_grouping_for_trip_purpose[#All],MATCH(A698,Average_Distance_by_kilometres_grouping_for_trip_purpose[#Headers],0),0)</f>
        <v>1</v>
      </c>
      <c r="J698" s="89">
        <f t="shared" si="52"/>
        <v>1</v>
      </c>
      <c r="K698" s="89">
        <f t="shared" si="53"/>
        <v>2.0300446609825416E-2</v>
      </c>
      <c r="L698" s="89">
        <v>1</v>
      </c>
      <c r="M698" s="13">
        <f t="shared" si="54"/>
        <v>4109965.282718081</v>
      </c>
      <c r="N698" s="11">
        <f t="shared" si="55"/>
        <v>7.9393747760261334E-5</v>
      </c>
    </row>
    <row r="699" spans="1:14" x14ac:dyDescent="0.25">
      <c r="A699" s="79" t="s">
        <v>32</v>
      </c>
      <c r="B699" s="89" t="s">
        <v>90</v>
      </c>
      <c r="C699" s="89" t="s">
        <v>56</v>
      </c>
      <c r="D699" s="13" t="s">
        <v>181</v>
      </c>
      <c r="E699" s="35">
        <f>VLOOKUP(B699, Passenger_Kilometre_by_mode_type[#All],MATCH(A699, Passenger_Kilometre_by_mode_type[#Headers],0),0)</f>
        <v>3044464508.67207</v>
      </c>
      <c r="F699" s="89">
        <f>VLOOKUP(C699, Reason_for_lorry_motorcycle_other_journeys_by_percentage[#All],MATCH(A699, Reason_for_lorry_motorcycle_other_journeys_by_percentage[#Headers],0),0)/100</f>
        <v>6.6500000000000004E-2</v>
      </c>
      <c r="G699" s="13">
        <f t="shared" si="51"/>
        <v>202456889.82669267</v>
      </c>
      <c r="H699" s="89">
        <f>VLOOKUP(D699,Average_Distance_by_kilometre_grouping_for_mode_type[#All],MATCH(A699,Average_Distance_by_kilometre_grouping_for_mode_type[#Headers],0),0)</f>
        <v>3</v>
      </c>
      <c r="I699" s="89">
        <f>VLOOKUP(D699,Average_Distance_by_kilometres_grouping_for_trip_purpose[#All],MATCH(A699,Average_Distance_by_kilometres_grouping_for_trip_purpose[#Headers],0),0)</f>
        <v>3</v>
      </c>
      <c r="J699" s="89">
        <f t="shared" si="52"/>
        <v>3</v>
      </c>
      <c r="K699" s="89">
        <f t="shared" si="53"/>
        <v>6.0901339829476243E-2</v>
      </c>
      <c r="L699" s="89">
        <v>1</v>
      </c>
      <c r="M699" s="13">
        <f t="shared" si="54"/>
        <v>12329895.848154241</v>
      </c>
      <c r="N699" s="11">
        <f t="shared" si="55"/>
        <v>2.3818124328078399E-4</v>
      </c>
    </row>
    <row r="700" spans="1:14" x14ac:dyDescent="0.25">
      <c r="A700" s="79" t="s">
        <v>32</v>
      </c>
      <c r="B700" s="89" t="s">
        <v>90</v>
      </c>
      <c r="C700" s="89" t="s">
        <v>56</v>
      </c>
      <c r="D700" s="13" t="s">
        <v>180</v>
      </c>
      <c r="E700" s="35">
        <f>VLOOKUP(B700, Passenger_Kilometre_by_mode_type[#All],MATCH(A700, Passenger_Kilometre_by_mode_type[#Headers],0),0)</f>
        <v>3044464508.67207</v>
      </c>
      <c r="F700" s="89">
        <f>VLOOKUP(C700, Reason_for_lorry_motorcycle_other_journeys_by_percentage[#All],MATCH(A700, Reason_for_lorry_motorcycle_other_journeys_by_percentage[#Headers],0),0)/100</f>
        <v>6.6500000000000004E-2</v>
      </c>
      <c r="G700" s="13">
        <f t="shared" si="51"/>
        <v>202456889.82669267</v>
      </c>
      <c r="H700" s="89">
        <f>VLOOKUP(D700,Average_Distance_by_kilometre_grouping_for_mode_type[#All],MATCH(A700,Average_Distance_by_kilometre_grouping_for_mode_type[#Headers],0),0)</f>
        <v>5</v>
      </c>
      <c r="I700" s="89">
        <f>VLOOKUP(D700,Average_Distance_by_kilometres_grouping_for_trip_purpose[#All],MATCH(A700,Average_Distance_by_kilometres_grouping_for_trip_purpose[#Headers],0),0)</f>
        <v>5</v>
      </c>
      <c r="J700" s="89">
        <f t="shared" si="52"/>
        <v>5</v>
      </c>
      <c r="K700" s="89">
        <f t="shared" si="53"/>
        <v>0.10150223304912707</v>
      </c>
      <c r="L700" s="89">
        <v>1</v>
      </c>
      <c r="M700" s="13">
        <f t="shared" si="54"/>
        <v>20549826.413590405</v>
      </c>
      <c r="N700" s="11">
        <f t="shared" si="55"/>
        <v>3.9696873880130668E-4</v>
      </c>
    </row>
    <row r="701" spans="1:14" x14ac:dyDescent="0.25">
      <c r="A701" s="79" t="s">
        <v>32</v>
      </c>
      <c r="B701" s="89" t="s">
        <v>90</v>
      </c>
      <c r="C701" s="89" t="s">
        <v>56</v>
      </c>
      <c r="D701" s="13" t="s">
        <v>182</v>
      </c>
      <c r="E701" s="35">
        <f>VLOOKUP(B701, Passenger_Kilometre_by_mode_type[#All],MATCH(A701, Passenger_Kilometre_by_mode_type[#Headers],0),0)</f>
        <v>3044464508.67207</v>
      </c>
      <c r="F701" s="89">
        <f>VLOOKUP(C701, Reason_for_lorry_motorcycle_other_journeys_by_percentage[#All],MATCH(A701, Reason_for_lorry_motorcycle_other_journeys_by_percentage[#Headers],0),0)/100</f>
        <v>6.6500000000000004E-2</v>
      </c>
      <c r="G701" s="13">
        <f t="shared" si="51"/>
        <v>202456889.82669267</v>
      </c>
      <c r="H701" s="89">
        <f>VLOOKUP(D701,Average_Distance_by_kilometre_grouping_for_mode_type[#All],MATCH(A701,Average_Distance_by_kilometre_grouping_for_mode_type[#Headers],0),0)</f>
        <v>7</v>
      </c>
      <c r="I701" s="89">
        <f>VLOOKUP(D701,Average_Distance_by_kilometres_grouping_for_trip_purpose[#All],MATCH(A701,Average_Distance_by_kilometres_grouping_for_trip_purpose[#Headers],0),0)</f>
        <v>7</v>
      </c>
      <c r="J701" s="89">
        <f t="shared" si="52"/>
        <v>7</v>
      </c>
      <c r="K701" s="89">
        <f t="shared" si="53"/>
        <v>0.14210312626877789</v>
      </c>
      <c r="L701" s="89">
        <v>1</v>
      </c>
      <c r="M701" s="13">
        <f t="shared" si="54"/>
        <v>28769756.97902656</v>
      </c>
      <c r="N701" s="11">
        <f t="shared" si="55"/>
        <v>5.5575623432182922E-4</v>
      </c>
    </row>
    <row r="702" spans="1:14" x14ac:dyDescent="0.25">
      <c r="A702" s="79" t="s">
        <v>32</v>
      </c>
      <c r="B702" s="89" t="s">
        <v>90</v>
      </c>
      <c r="C702" s="89" t="s">
        <v>56</v>
      </c>
      <c r="D702" s="13" t="s">
        <v>1</v>
      </c>
      <c r="E702" s="35">
        <f>VLOOKUP(B702, Passenger_Kilometre_by_mode_type[#All],MATCH(A702, Passenger_Kilometre_by_mode_type[#Headers],0),0)</f>
        <v>3044464508.67207</v>
      </c>
      <c r="F702" s="89">
        <f>VLOOKUP(C702, Reason_for_lorry_motorcycle_other_journeys_by_percentage[#All],MATCH(A702, Reason_for_lorry_motorcycle_other_journeys_by_percentage[#Headers],0),0)/100</f>
        <v>6.6500000000000004E-2</v>
      </c>
      <c r="G702" s="13">
        <f t="shared" si="51"/>
        <v>202456889.82669267</v>
      </c>
      <c r="H702" s="89">
        <f>VLOOKUP(D702,Average_Distance_by_kilometre_grouping_for_mode_type[#All],MATCH(A702,Average_Distance_by_kilometre_grouping_for_mode_type[#Headers],0),0)</f>
        <v>31.75</v>
      </c>
      <c r="I702" s="89">
        <f>VLOOKUP(D702,Average_Distance_by_kilometres_grouping_for_trip_purpose[#All],MATCH(A702,Average_Distance_by_kilometres_grouping_for_trip_purpose[#Headers],0),0)</f>
        <v>34.770000000000003</v>
      </c>
      <c r="J702" s="89">
        <f t="shared" si="52"/>
        <v>33.260000000000005</v>
      </c>
      <c r="K702" s="89">
        <f t="shared" si="53"/>
        <v>0.67519285424279341</v>
      </c>
      <c r="L702" s="89">
        <v>1</v>
      </c>
      <c r="M702" s="13">
        <f t="shared" si="54"/>
        <v>136697445.30320337</v>
      </c>
      <c r="N702" s="11">
        <f t="shared" si="55"/>
        <v>2.6406360505062923E-3</v>
      </c>
    </row>
    <row r="703" spans="1:14" x14ac:dyDescent="0.25">
      <c r="A703" s="79" t="s">
        <v>32</v>
      </c>
      <c r="B703" s="89" t="s">
        <v>90</v>
      </c>
      <c r="C703" s="89" t="s">
        <v>57</v>
      </c>
      <c r="D703" s="13" t="s">
        <v>12</v>
      </c>
      <c r="E703" s="35">
        <f>VLOOKUP(B703, Passenger_Kilometre_by_mode_type[#All],MATCH(A703, Passenger_Kilometre_by_mode_type[#Headers],0),0)</f>
        <v>3044464508.67207</v>
      </c>
      <c r="F703" s="89">
        <f>VLOOKUP(C703, Reason_for_lorry_motorcycle_other_journeys_by_percentage[#All],MATCH(A703, Reason_for_lorry_motorcycle_other_journeys_by_percentage[#Headers],0),0)/100</f>
        <v>6.8500000000000005E-2</v>
      </c>
      <c r="G703" s="13">
        <f t="shared" si="51"/>
        <v>208545818.84403682</v>
      </c>
      <c r="H703" s="89">
        <f>VLOOKUP(D703,Average_Distance_by_kilometre_grouping_for_mode_type[#All],MATCH(A703,Average_Distance_by_kilometre_grouping_for_mode_type[#Headers],0),0)</f>
        <v>1</v>
      </c>
      <c r="I703" s="89">
        <f>VLOOKUP(D703,Average_Distance_by_kilometres_grouping_for_trip_purpose[#All],MATCH(A703,Average_Distance_by_kilometres_grouping_for_trip_purpose[#Headers],0),0)</f>
        <v>1</v>
      </c>
      <c r="J703" s="89">
        <f t="shared" si="52"/>
        <v>1</v>
      </c>
      <c r="K703" s="89">
        <f t="shared" si="53"/>
        <v>2.0300446609825416E-2</v>
      </c>
      <c r="L703" s="89">
        <v>1</v>
      </c>
      <c r="M703" s="13">
        <f t="shared" si="54"/>
        <v>4233573.2611456923</v>
      </c>
      <c r="N703" s="11">
        <f t="shared" si="55"/>
        <v>8.1781529647787998E-5</v>
      </c>
    </row>
    <row r="704" spans="1:14" x14ac:dyDescent="0.25">
      <c r="A704" s="79" t="s">
        <v>32</v>
      </c>
      <c r="B704" s="89" t="s">
        <v>90</v>
      </c>
      <c r="C704" s="89" t="s">
        <v>57</v>
      </c>
      <c r="D704" s="13" t="s">
        <v>181</v>
      </c>
      <c r="E704" s="35">
        <f>VLOOKUP(B704, Passenger_Kilometre_by_mode_type[#All],MATCH(A704, Passenger_Kilometre_by_mode_type[#Headers],0),0)</f>
        <v>3044464508.67207</v>
      </c>
      <c r="F704" s="89">
        <f>VLOOKUP(C704, Reason_for_lorry_motorcycle_other_journeys_by_percentage[#All],MATCH(A704, Reason_for_lorry_motorcycle_other_journeys_by_percentage[#Headers],0),0)/100</f>
        <v>6.8500000000000005E-2</v>
      </c>
      <c r="G704" s="13">
        <f t="shared" si="51"/>
        <v>208545818.84403682</v>
      </c>
      <c r="H704" s="89">
        <f>VLOOKUP(D704,Average_Distance_by_kilometre_grouping_for_mode_type[#All],MATCH(A704,Average_Distance_by_kilometre_grouping_for_mode_type[#Headers],0),0)</f>
        <v>3</v>
      </c>
      <c r="I704" s="89">
        <f>VLOOKUP(D704,Average_Distance_by_kilometres_grouping_for_trip_purpose[#All],MATCH(A704,Average_Distance_by_kilometres_grouping_for_trip_purpose[#Headers],0),0)</f>
        <v>3</v>
      </c>
      <c r="J704" s="89">
        <f t="shared" si="52"/>
        <v>3</v>
      </c>
      <c r="K704" s="89">
        <f t="shared" si="53"/>
        <v>6.0901339829476243E-2</v>
      </c>
      <c r="L704" s="89">
        <v>1</v>
      </c>
      <c r="M704" s="13">
        <f t="shared" si="54"/>
        <v>12700719.783437077</v>
      </c>
      <c r="N704" s="11">
        <f t="shared" si="55"/>
        <v>2.4534458894336395E-4</v>
      </c>
    </row>
    <row r="705" spans="1:14" x14ac:dyDescent="0.25">
      <c r="A705" s="79" t="s">
        <v>32</v>
      </c>
      <c r="B705" s="89" t="s">
        <v>90</v>
      </c>
      <c r="C705" s="89" t="s">
        <v>57</v>
      </c>
      <c r="D705" s="13" t="s">
        <v>180</v>
      </c>
      <c r="E705" s="35">
        <f>VLOOKUP(B705, Passenger_Kilometre_by_mode_type[#All],MATCH(A705, Passenger_Kilometre_by_mode_type[#Headers],0),0)</f>
        <v>3044464508.67207</v>
      </c>
      <c r="F705" s="89">
        <f>VLOOKUP(C705, Reason_for_lorry_motorcycle_other_journeys_by_percentage[#All],MATCH(A705, Reason_for_lorry_motorcycle_other_journeys_by_percentage[#Headers],0),0)/100</f>
        <v>6.8500000000000005E-2</v>
      </c>
      <c r="G705" s="13">
        <f t="shared" si="51"/>
        <v>208545818.84403682</v>
      </c>
      <c r="H705" s="89">
        <f>VLOOKUP(D705,Average_Distance_by_kilometre_grouping_for_mode_type[#All],MATCH(A705,Average_Distance_by_kilometre_grouping_for_mode_type[#Headers],0),0)</f>
        <v>5</v>
      </c>
      <c r="I705" s="89">
        <f>VLOOKUP(D705,Average_Distance_by_kilometres_grouping_for_trip_purpose[#All],MATCH(A705,Average_Distance_by_kilometres_grouping_for_trip_purpose[#Headers],0),0)</f>
        <v>5</v>
      </c>
      <c r="J705" s="89">
        <f t="shared" si="52"/>
        <v>5</v>
      </c>
      <c r="K705" s="89">
        <f t="shared" si="53"/>
        <v>0.10150223304912707</v>
      </c>
      <c r="L705" s="89">
        <v>1</v>
      </c>
      <c r="M705" s="13">
        <f t="shared" si="54"/>
        <v>21167866.305728462</v>
      </c>
      <c r="N705" s="11">
        <f t="shared" si="55"/>
        <v>4.0890764823893998E-4</v>
      </c>
    </row>
    <row r="706" spans="1:14" x14ac:dyDescent="0.25">
      <c r="A706" s="79" t="s">
        <v>32</v>
      </c>
      <c r="B706" s="89" t="s">
        <v>90</v>
      </c>
      <c r="C706" s="89" t="s">
        <v>57</v>
      </c>
      <c r="D706" s="13" t="s">
        <v>182</v>
      </c>
      <c r="E706" s="35">
        <f>VLOOKUP(B706, Passenger_Kilometre_by_mode_type[#All],MATCH(A706, Passenger_Kilometre_by_mode_type[#Headers],0),0)</f>
        <v>3044464508.67207</v>
      </c>
      <c r="F706" s="89">
        <f>VLOOKUP(C706, Reason_for_lorry_motorcycle_other_journeys_by_percentage[#All],MATCH(A706, Reason_for_lorry_motorcycle_other_journeys_by_percentage[#Headers],0),0)/100</f>
        <v>6.8500000000000005E-2</v>
      </c>
      <c r="G706" s="13">
        <f t="shared" si="51"/>
        <v>208545818.84403682</v>
      </c>
      <c r="H706" s="89">
        <f>VLOOKUP(D706,Average_Distance_by_kilometre_grouping_for_mode_type[#All],MATCH(A706,Average_Distance_by_kilometre_grouping_for_mode_type[#Headers],0),0)</f>
        <v>7</v>
      </c>
      <c r="I706" s="89">
        <f>VLOOKUP(D706,Average_Distance_by_kilometres_grouping_for_trip_purpose[#All],MATCH(A706,Average_Distance_by_kilometres_grouping_for_trip_purpose[#Headers],0),0)</f>
        <v>7</v>
      </c>
      <c r="J706" s="89">
        <f t="shared" si="52"/>
        <v>7</v>
      </c>
      <c r="K706" s="89">
        <f t="shared" si="53"/>
        <v>0.14210312626877789</v>
      </c>
      <c r="L706" s="89">
        <v>1</v>
      </c>
      <c r="M706" s="13">
        <f t="shared" si="54"/>
        <v>29635012.828019843</v>
      </c>
      <c r="N706" s="11">
        <f t="shared" si="55"/>
        <v>5.7247070753451584E-4</v>
      </c>
    </row>
    <row r="707" spans="1:14" x14ac:dyDescent="0.25">
      <c r="A707" s="79" t="s">
        <v>32</v>
      </c>
      <c r="B707" s="89" t="s">
        <v>90</v>
      </c>
      <c r="C707" s="89" t="s">
        <v>57</v>
      </c>
      <c r="D707" s="13" t="s">
        <v>1</v>
      </c>
      <c r="E707" s="35">
        <f>VLOOKUP(B707, Passenger_Kilometre_by_mode_type[#All],MATCH(A707, Passenger_Kilometre_by_mode_type[#Headers],0),0)</f>
        <v>3044464508.67207</v>
      </c>
      <c r="F707" s="89">
        <f>VLOOKUP(C707, Reason_for_lorry_motorcycle_other_journeys_by_percentage[#All],MATCH(A707, Reason_for_lorry_motorcycle_other_journeys_by_percentage[#Headers],0),0)/100</f>
        <v>6.8500000000000005E-2</v>
      </c>
      <c r="G707" s="13">
        <f t="shared" si="51"/>
        <v>208545818.84403682</v>
      </c>
      <c r="H707" s="89">
        <f>VLOOKUP(D707,Average_Distance_by_kilometre_grouping_for_mode_type[#All],MATCH(A707,Average_Distance_by_kilometre_grouping_for_mode_type[#Headers],0),0)</f>
        <v>31.75</v>
      </c>
      <c r="I707" s="89">
        <f>VLOOKUP(D707,Average_Distance_by_kilometres_grouping_for_trip_purpose[#All],MATCH(A707,Average_Distance_by_kilometres_grouping_for_trip_purpose[#Headers],0),0)</f>
        <v>34.770000000000003</v>
      </c>
      <c r="J707" s="89">
        <f t="shared" si="52"/>
        <v>33.260000000000005</v>
      </c>
      <c r="K707" s="89">
        <f t="shared" si="53"/>
        <v>0.67519285424279341</v>
      </c>
      <c r="L707" s="89">
        <v>1</v>
      </c>
      <c r="M707" s="13">
        <f t="shared" si="54"/>
        <v>140808646.66570574</v>
      </c>
      <c r="N707" s="11">
        <f t="shared" si="55"/>
        <v>2.720053676085429E-3</v>
      </c>
    </row>
    <row r="708" spans="1:14" x14ac:dyDescent="0.25">
      <c r="A708" s="79" t="s">
        <v>32</v>
      </c>
      <c r="B708" s="89" t="s">
        <v>90</v>
      </c>
      <c r="C708" s="89" t="s">
        <v>93</v>
      </c>
      <c r="D708" s="13" t="s">
        <v>12</v>
      </c>
      <c r="E708" s="35">
        <f>VLOOKUP(B708, Passenger_Kilometre_by_mode_type[#All],MATCH(A708, Passenger_Kilometre_by_mode_type[#Headers],0),0)</f>
        <v>3044464508.67207</v>
      </c>
      <c r="F708" s="89">
        <f>VLOOKUP(C708, Reason_for_lorry_motorcycle_other_journeys_by_percentage[#All],MATCH(A708, Reason_for_lorry_motorcycle_other_journeys_by_percentage[#Headers],0),0)/100</f>
        <v>8.8250000000000009E-2</v>
      </c>
      <c r="G708" s="13">
        <f t="shared" ref="G708:G771" si="56">E708*F708</f>
        <v>268673992.89031023</v>
      </c>
      <c r="H708" s="89">
        <f>VLOOKUP(D708,Average_Distance_by_kilometre_grouping_for_mode_type[#All],MATCH(A708,Average_Distance_by_kilometre_grouping_for_mode_type[#Headers],0),0)</f>
        <v>1</v>
      </c>
      <c r="I708" s="89">
        <f>VLOOKUP(D708,Average_Distance_by_kilometres_grouping_for_trip_purpose[#All],MATCH(A708,Average_Distance_by_kilometres_grouping_for_trip_purpose[#Headers],0),0)</f>
        <v>1</v>
      </c>
      <c r="J708" s="89">
        <f t="shared" ref="J708:J771" si="57">AVERAGE(H708:I708)</f>
        <v>1</v>
      </c>
      <c r="K708" s="89">
        <f t="shared" ref="K708:K771" si="58">J708/SUM(J708:J712)</f>
        <v>2.0300446609825416E-2</v>
      </c>
      <c r="L708" s="89">
        <v>1</v>
      </c>
      <c r="M708" s="13">
        <f t="shared" ref="M708:M771" si="59">G708*K708*L708</f>
        <v>5454202.0481183557</v>
      </c>
      <c r="N708" s="11">
        <f t="shared" si="55"/>
        <v>1.0536087578711374E-4</v>
      </c>
    </row>
    <row r="709" spans="1:14" x14ac:dyDescent="0.25">
      <c r="A709" s="79" t="s">
        <v>32</v>
      </c>
      <c r="B709" s="89" t="s">
        <v>90</v>
      </c>
      <c r="C709" s="89" t="s">
        <v>93</v>
      </c>
      <c r="D709" s="13" t="s">
        <v>181</v>
      </c>
      <c r="E709" s="35">
        <f>VLOOKUP(B709, Passenger_Kilometre_by_mode_type[#All],MATCH(A709, Passenger_Kilometre_by_mode_type[#Headers],0),0)</f>
        <v>3044464508.67207</v>
      </c>
      <c r="F709" s="89">
        <f>VLOOKUP(C709, Reason_for_lorry_motorcycle_other_journeys_by_percentage[#All],MATCH(A709, Reason_for_lorry_motorcycle_other_journeys_by_percentage[#Headers],0),0)/100</f>
        <v>8.8250000000000009E-2</v>
      </c>
      <c r="G709" s="13">
        <f t="shared" si="56"/>
        <v>268673992.89031023</v>
      </c>
      <c r="H709" s="89">
        <f>VLOOKUP(D709,Average_Distance_by_kilometre_grouping_for_mode_type[#All],MATCH(A709,Average_Distance_by_kilometre_grouping_for_mode_type[#Headers],0),0)</f>
        <v>3</v>
      </c>
      <c r="I709" s="89">
        <f>VLOOKUP(D709,Average_Distance_by_kilometres_grouping_for_trip_purpose[#All],MATCH(A709,Average_Distance_by_kilometres_grouping_for_trip_purpose[#Headers],0),0)</f>
        <v>3</v>
      </c>
      <c r="J709" s="89">
        <f t="shared" si="57"/>
        <v>3</v>
      </c>
      <c r="K709" s="89">
        <f t="shared" si="58"/>
        <v>6.0901339829476243E-2</v>
      </c>
      <c r="L709" s="89">
        <v>1</v>
      </c>
      <c r="M709" s="13">
        <f t="shared" si="59"/>
        <v>16362606.144355068</v>
      </c>
      <c r="N709" s="11">
        <f t="shared" si="55"/>
        <v>3.1608262736134124E-4</v>
      </c>
    </row>
    <row r="710" spans="1:14" x14ac:dyDescent="0.25">
      <c r="A710" s="79" t="s">
        <v>32</v>
      </c>
      <c r="B710" s="89" t="s">
        <v>90</v>
      </c>
      <c r="C710" s="89" t="s">
        <v>93</v>
      </c>
      <c r="D710" s="13" t="s">
        <v>180</v>
      </c>
      <c r="E710" s="35">
        <f>VLOOKUP(B710, Passenger_Kilometre_by_mode_type[#All],MATCH(A710, Passenger_Kilometre_by_mode_type[#Headers],0),0)</f>
        <v>3044464508.67207</v>
      </c>
      <c r="F710" s="89">
        <f>VLOOKUP(C710, Reason_for_lorry_motorcycle_other_journeys_by_percentage[#All],MATCH(A710, Reason_for_lorry_motorcycle_other_journeys_by_percentage[#Headers],0),0)/100</f>
        <v>8.8250000000000009E-2</v>
      </c>
      <c r="G710" s="13">
        <f t="shared" si="56"/>
        <v>268673992.89031023</v>
      </c>
      <c r="H710" s="89">
        <f>VLOOKUP(D710,Average_Distance_by_kilometre_grouping_for_mode_type[#All],MATCH(A710,Average_Distance_by_kilometre_grouping_for_mode_type[#Headers],0),0)</f>
        <v>5</v>
      </c>
      <c r="I710" s="89">
        <f>VLOOKUP(D710,Average_Distance_by_kilometres_grouping_for_trip_purpose[#All],MATCH(A710,Average_Distance_by_kilometres_grouping_for_trip_purpose[#Headers],0),0)</f>
        <v>5</v>
      </c>
      <c r="J710" s="89">
        <f t="shared" si="57"/>
        <v>5</v>
      </c>
      <c r="K710" s="89">
        <f t="shared" si="58"/>
        <v>0.10150223304912707</v>
      </c>
      <c r="L710" s="89">
        <v>1</v>
      </c>
      <c r="M710" s="13">
        <f t="shared" si="59"/>
        <v>27271010.240591779</v>
      </c>
      <c r="N710" s="11">
        <f t="shared" si="55"/>
        <v>5.2680437893556865E-4</v>
      </c>
    </row>
    <row r="711" spans="1:14" x14ac:dyDescent="0.25">
      <c r="A711" s="79" t="s">
        <v>32</v>
      </c>
      <c r="B711" s="89" t="s">
        <v>90</v>
      </c>
      <c r="C711" s="89" t="s">
        <v>93</v>
      </c>
      <c r="D711" s="13" t="s">
        <v>182</v>
      </c>
      <c r="E711" s="35">
        <f>VLOOKUP(B711, Passenger_Kilometre_by_mode_type[#All],MATCH(A711, Passenger_Kilometre_by_mode_type[#Headers],0),0)</f>
        <v>3044464508.67207</v>
      </c>
      <c r="F711" s="89">
        <f>VLOOKUP(C711, Reason_for_lorry_motorcycle_other_journeys_by_percentage[#All],MATCH(A711, Reason_for_lorry_motorcycle_other_journeys_by_percentage[#Headers],0),0)/100</f>
        <v>8.8250000000000009E-2</v>
      </c>
      <c r="G711" s="13">
        <f t="shared" si="56"/>
        <v>268673992.89031023</v>
      </c>
      <c r="H711" s="89">
        <f>VLOOKUP(D711,Average_Distance_by_kilometre_grouping_for_mode_type[#All],MATCH(A711,Average_Distance_by_kilometre_grouping_for_mode_type[#Headers],0),0)</f>
        <v>7</v>
      </c>
      <c r="I711" s="89">
        <f>VLOOKUP(D711,Average_Distance_by_kilometres_grouping_for_trip_purpose[#All],MATCH(A711,Average_Distance_by_kilometres_grouping_for_trip_purpose[#Headers],0),0)</f>
        <v>7</v>
      </c>
      <c r="J711" s="89">
        <f t="shared" si="57"/>
        <v>7</v>
      </c>
      <c r="K711" s="89">
        <f t="shared" si="58"/>
        <v>0.14210312626877789</v>
      </c>
      <c r="L711" s="89">
        <v>1</v>
      </c>
      <c r="M711" s="13">
        <f t="shared" si="59"/>
        <v>38179414.336828485</v>
      </c>
      <c r="N711" s="11">
        <f t="shared" si="55"/>
        <v>7.3752613050979607E-4</v>
      </c>
    </row>
    <row r="712" spans="1:14" x14ac:dyDescent="0.25">
      <c r="A712" s="79" t="s">
        <v>32</v>
      </c>
      <c r="B712" s="89" t="s">
        <v>90</v>
      </c>
      <c r="C712" s="89" t="s">
        <v>93</v>
      </c>
      <c r="D712" s="13" t="s">
        <v>1</v>
      </c>
      <c r="E712" s="35">
        <f>VLOOKUP(B712, Passenger_Kilometre_by_mode_type[#All],MATCH(A712, Passenger_Kilometre_by_mode_type[#Headers],0),0)</f>
        <v>3044464508.67207</v>
      </c>
      <c r="F712" s="89">
        <f>VLOOKUP(C712, Reason_for_lorry_motorcycle_other_journeys_by_percentage[#All],MATCH(A712, Reason_for_lorry_motorcycle_other_journeys_by_percentage[#Headers],0),0)/100</f>
        <v>8.8250000000000009E-2</v>
      </c>
      <c r="G712" s="13">
        <f t="shared" si="56"/>
        <v>268673992.89031023</v>
      </c>
      <c r="H712" s="89">
        <f>VLOOKUP(D712,Average_Distance_by_kilometre_grouping_for_mode_type[#All],MATCH(A712,Average_Distance_by_kilometre_grouping_for_mode_type[#Headers],0),0)</f>
        <v>31.75</v>
      </c>
      <c r="I712" s="89">
        <f>VLOOKUP(D712,Average_Distance_by_kilometres_grouping_for_trip_purpose[#All],MATCH(A712,Average_Distance_by_kilometres_grouping_for_trip_purpose[#Headers],0),0)</f>
        <v>34.770000000000003</v>
      </c>
      <c r="J712" s="89">
        <f t="shared" si="57"/>
        <v>33.260000000000005</v>
      </c>
      <c r="K712" s="89">
        <f t="shared" si="58"/>
        <v>0.67519285424279341</v>
      </c>
      <c r="L712" s="89">
        <v>1</v>
      </c>
      <c r="M712" s="13">
        <f t="shared" si="59"/>
        <v>181406760.12041655</v>
      </c>
      <c r="N712" s="11">
        <f t="shared" si="55"/>
        <v>3.5043027286794036E-3</v>
      </c>
    </row>
    <row r="713" spans="1:14" x14ac:dyDescent="0.25">
      <c r="A713" s="79" t="s">
        <v>32</v>
      </c>
      <c r="B713" s="89" t="s">
        <v>90</v>
      </c>
      <c r="C713" s="89" t="s">
        <v>243</v>
      </c>
      <c r="D713" s="13" t="s">
        <v>12</v>
      </c>
      <c r="E713" s="35">
        <f>VLOOKUP(B713, Passenger_Kilometre_by_mode_type[#All],MATCH(A713, Passenger_Kilometre_by_mode_type[#Headers],0),0)</f>
        <v>3044464508.67207</v>
      </c>
      <c r="F713" s="89">
        <f>VLOOKUP(C713, Reason_for_lorry_motorcycle_other_journeys_by_percentage[#All],MATCH(A713, Reason_for_lorry_motorcycle_other_journeys_by_percentage[#Headers],0),0)/100</f>
        <v>4.8249999999999994E-2</v>
      </c>
      <c r="G713" s="13">
        <f t="shared" si="56"/>
        <v>146895412.54342735</v>
      </c>
      <c r="H713" s="89">
        <f>VLOOKUP(D713,Average_Distance_by_kilometre_grouping_for_mode_type[#All],MATCH(A713,Average_Distance_by_kilometre_grouping_for_mode_type[#Headers],0),0)</f>
        <v>1</v>
      </c>
      <c r="I713" s="89">
        <f>VLOOKUP(D713,Average_Distance_by_kilometres_grouping_for_trip_purpose[#All],MATCH(A713,Average_Distance_by_kilometres_grouping_for_trip_purpose[#Headers],0),0)</f>
        <v>1</v>
      </c>
      <c r="J713" s="89">
        <f t="shared" si="57"/>
        <v>1</v>
      </c>
      <c r="K713" s="89">
        <f t="shared" si="58"/>
        <v>2.0300446609825416E-2</v>
      </c>
      <c r="L713" s="89">
        <v>1</v>
      </c>
      <c r="M713" s="13">
        <f t="shared" si="59"/>
        <v>2982042.4795661257</v>
      </c>
      <c r="N713" s="11">
        <f t="shared" si="55"/>
        <v>5.7605238036580581E-5</v>
      </c>
    </row>
    <row r="714" spans="1:14" x14ac:dyDescent="0.25">
      <c r="A714" s="79" t="s">
        <v>32</v>
      </c>
      <c r="B714" s="89" t="s">
        <v>90</v>
      </c>
      <c r="C714" s="89" t="s">
        <v>243</v>
      </c>
      <c r="D714" s="13" t="s">
        <v>181</v>
      </c>
      <c r="E714" s="35">
        <f>VLOOKUP(B714, Passenger_Kilometre_by_mode_type[#All],MATCH(A714, Passenger_Kilometre_by_mode_type[#Headers],0),0)</f>
        <v>3044464508.67207</v>
      </c>
      <c r="F714" s="89">
        <f>VLOOKUP(C714, Reason_for_lorry_motorcycle_other_journeys_by_percentage[#All],MATCH(A714, Reason_for_lorry_motorcycle_other_journeys_by_percentage[#Headers],0),0)/100</f>
        <v>4.8249999999999994E-2</v>
      </c>
      <c r="G714" s="13">
        <f t="shared" si="56"/>
        <v>146895412.54342735</v>
      </c>
      <c r="H714" s="89">
        <f>VLOOKUP(D714,Average_Distance_by_kilometre_grouping_for_mode_type[#All],MATCH(A714,Average_Distance_by_kilometre_grouping_for_mode_type[#Headers],0),0)</f>
        <v>3</v>
      </c>
      <c r="I714" s="89">
        <f>VLOOKUP(D714,Average_Distance_by_kilometres_grouping_for_trip_purpose[#All],MATCH(A714,Average_Distance_by_kilometres_grouping_for_trip_purpose[#Headers],0),0)</f>
        <v>3</v>
      </c>
      <c r="J714" s="89">
        <f t="shared" si="57"/>
        <v>3</v>
      </c>
      <c r="K714" s="89">
        <f t="shared" si="58"/>
        <v>6.0901339829476243E-2</v>
      </c>
      <c r="L714" s="89">
        <v>1</v>
      </c>
      <c r="M714" s="13">
        <f t="shared" si="59"/>
        <v>8946127.4386983756</v>
      </c>
      <c r="N714" s="11">
        <f t="shared" si="55"/>
        <v>1.7281571410974171E-4</v>
      </c>
    </row>
    <row r="715" spans="1:14" x14ac:dyDescent="0.25">
      <c r="A715" s="79" t="s">
        <v>32</v>
      </c>
      <c r="B715" s="89" t="s">
        <v>90</v>
      </c>
      <c r="C715" s="89" t="s">
        <v>243</v>
      </c>
      <c r="D715" s="13" t="s">
        <v>180</v>
      </c>
      <c r="E715" s="35">
        <f>VLOOKUP(B715, Passenger_Kilometre_by_mode_type[#All],MATCH(A715, Passenger_Kilometre_by_mode_type[#Headers],0),0)</f>
        <v>3044464508.67207</v>
      </c>
      <c r="F715" s="89">
        <f>VLOOKUP(C715, Reason_for_lorry_motorcycle_other_journeys_by_percentage[#All],MATCH(A715, Reason_for_lorry_motorcycle_other_journeys_by_percentage[#Headers],0),0)/100</f>
        <v>4.8249999999999994E-2</v>
      </c>
      <c r="G715" s="13">
        <f t="shared" si="56"/>
        <v>146895412.54342735</v>
      </c>
      <c r="H715" s="89">
        <f>VLOOKUP(D715,Average_Distance_by_kilometre_grouping_for_mode_type[#All],MATCH(A715,Average_Distance_by_kilometre_grouping_for_mode_type[#Headers],0),0)</f>
        <v>5</v>
      </c>
      <c r="I715" s="89">
        <f>VLOOKUP(D715,Average_Distance_by_kilometres_grouping_for_trip_purpose[#All],MATCH(A715,Average_Distance_by_kilometres_grouping_for_trip_purpose[#Headers],0),0)</f>
        <v>5</v>
      </c>
      <c r="J715" s="89">
        <f t="shared" si="57"/>
        <v>5</v>
      </c>
      <c r="K715" s="89">
        <f t="shared" si="58"/>
        <v>0.10150223304912707</v>
      </c>
      <c r="L715" s="89">
        <v>1</v>
      </c>
      <c r="M715" s="13">
        <f t="shared" si="59"/>
        <v>14910212.397830628</v>
      </c>
      <c r="N715" s="11">
        <f t="shared" si="55"/>
        <v>2.8802619018290288E-4</v>
      </c>
    </row>
    <row r="716" spans="1:14" x14ac:dyDescent="0.25">
      <c r="A716" s="79" t="s">
        <v>32</v>
      </c>
      <c r="B716" s="89" t="s">
        <v>90</v>
      </c>
      <c r="C716" s="89" t="s">
        <v>243</v>
      </c>
      <c r="D716" s="13" t="s">
        <v>182</v>
      </c>
      <c r="E716" s="35">
        <f>VLOOKUP(B716, Passenger_Kilometre_by_mode_type[#All],MATCH(A716, Passenger_Kilometre_by_mode_type[#Headers],0),0)</f>
        <v>3044464508.67207</v>
      </c>
      <c r="F716" s="89">
        <f>VLOOKUP(C716, Reason_for_lorry_motorcycle_other_journeys_by_percentage[#All],MATCH(A716, Reason_for_lorry_motorcycle_other_journeys_by_percentage[#Headers],0),0)/100</f>
        <v>4.8249999999999994E-2</v>
      </c>
      <c r="G716" s="13">
        <f t="shared" si="56"/>
        <v>146895412.54342735</v>
      </c>
      <c r="H716" s="89">
        <f>VLOOKUP(D716,Average_Distance_by_kilometre_grouping_for_mode_type[#All],MATCH(A716,Average_Distance_by_kilometre_grouping_for_mode_type[#Headers],0),0)</f>
        <v>7</v>
      </c>
      <c r="I716" s="89">
        <f>VLOOKUP(D716,Average_Distance_by_kilometres_grouping_for_trip_purpose[#All],MATCH(A716,Average_Distance_by_kilometres_grouping_for_trip_purpose[#Headers],0),0)</f>
        <v>7</v>
      </c>
      <c r="J716" s="89">
        <f t="shared" si="57"/>
        <v>7</v>
      </c>
      <c r="K716" s="89">
        <f t="shared" si="58"/>
        <v>0.14210312626877789</v>
      </c>
      <c r="L716" s="89">
        <v>1</v>
      </c>
      <c r="M716" s="13">
        <f t="shared" si="59"/>
        <v>20874297.356962875</v>
      </c>
      <c r="N716" s="11">
        <f t="shared" si="55"/>
        <v>4.0323666625606395E-4</v>
      </c>
    </row>
    <row r="717" spans="1:14" x14ac:dyDescent="0.25">
      <c r="A717" s="79" t="s">
        <v>32</v>
      </c>
      <c r="B717" s="89" t="s">
        <v>90</v>
      </c>
      <c r="C717" s="89" t="s">
        <v>243</v>
      </c>
      <c r="D717" s="13" t="s">
        <v>1</v>
      </c>
      <c r="E717" s="35">
        <f>VLOOKUP(B717, Passenger_Kilometre_by_mode_type[#All],MATCH(A717, Passenger_Kilometre_by_mode_type[#Headers],0),0)</f>
        <v>3044464508.67207</v>
      </c>
      <c r="F717" s="89">
        <f>VLOOKUP(C717, Reason_for_lorry_motorcycle_other_journeys_by_percentage[#All],MATCH(A717, Reason_for_lorry_motorcycle_other_journeys_by_percentage[#Headers],0),0)/100</f>
        <v>4.8249999999999994E-2</v>
      </c>
      <c r="G717" s="13">
        <f t="shared" si="56"/>
        <v>146895412.54342735</v>
      </c>
      <c r="H717" s="89">
        <f>VLOOKUP(D717,Average_Distance_by_kilometre_grouping_for_mode_type[#All],MATCH(A717,Average_Distance_by_kilometre_grouping_for_mode_type[#Headers],0),0)</f>
        <v>31.75</v>
      </c>
      <c r="I717" s="89">
        <f>VLOOKUP(D717,Average_Distance_by_kilometres_grouping_for_trip_purpose[#All],MATCH(A717,Average_Distance_by_kilometres_grouping_for_trip_purpose[#Headers],0),0)</f>
        <v>34.770000000000003</v>
      </c>
      <c r="J717" s="89">
        <f t="shared" si="57"/>
        <v>33.260000000000005</v>
      </c>
      <c r="K717" s="89">
        <f t="shared" si="58"/>
        <v>0.67519285424279341</v>
      </c>
      <c r="L717" s="89">
        <v>1</v>
      </c>
      <c r="M717" s="13">
        <f t="shared" si="59"/>
        <v>99182732.870369345</v>
      </c>
      <c r="N717" s="11">
        <f t="shared" si="55"/>
        <v>1.9159502170966703E-3</v>
      </c>
    </row>
    <row r="718" spans="1:14" x14ac:dyDescent="0.25">
      <c r="A718" s="79" t="s">
        <v>32</v>
      </c>
      <c r="B718" s="89" t="s">
        <v>90</v>
      </c>
      <c r="C718" s="89" t="s">
        <v>50</v>
      </c>
      <c r="D718" s="13" t="s">
        <v>12</v>
      </c>
      <c r="E718" s="35">
        <f>VLOOKUP(B718, Passenger_Kilometre_by_mode_type[#All],MATCH(A718, Passenger_Kilometre_by_mode_type[#Headers],0),0)</f>
        <v>3044464508.67207</v>
      </c>
      <c r="F718" s="89">
        <f>VLOOKUP(C718, Reason_for_lorry_motorcycle_other_journeys_by_percentage[#All],MATCH(A718, Reason_for_lorry_motorcycle_other_journeys_by_percentage[#Headers],0),0)/100</f>
        <v>6.0749999999999998E-2</v>
      </c>
      <c r="G718" s="13">
        <f t="shared" si="56"/>
        <v>184951218.90182826</v>
      </c>
      <c r="H718" s="89">
        <f>VLOOKUP(D718,Average_Distance_by_kilometre_grouping_for_mode_type[#All],MATCH(A718,Average_Distance_by_kilometre_grouping_for_mode_type[#Headers],0),0)</f>
        <v>1</v>
      </c>
      <c r="I718" s="89">
        <f>VLOOKUP(D718,Average_Distance_by_kilometres_grouping_for_trip_purpose[#All],MATCH(A718,Average_Distance_by_kilometres_grouping_for_trip_purpose[#Headers],0),0)</f>
        <v>1</v>
      </c>
      <c r="J718" s="89">
        <f t="shared" si="57"/>
        <v>1</v>
      </c>
      <c r="K718" s="89">
        <f t="shared" si="58"/>
        <v>2.0300446609825416E-2</v>
      </c>
      <c r="L718" s="89">
        <v>1</v>
      </c>
      <c r="M718" s="13">
        <f t="shared" si="59"/>
        <v>3754592.3447386976</v>
      </c>
      <c r="N718" s="11">
        <f t="shared" si="55"/>
        <v>7.2528874833622191E-5</v>
      </c>
    </row>
    <row r="719" spans="1:14" x14ac:dyDescent="0.25">
      <c r="A719" s="79" t="s">
        <v>32</v>
      </c>
      <c r="B719" s="89" t="s">
        <v>90</v>
      </c>
      <c r="C719" s="89" t="s">
        <v>50</v>
      </c>
      <c r="D719" s="13" t="s">
        <v>181</v>
      </c>
      <c r="E719" s="35">
        <f>VLOOKUP(B719, Passenger_Kilometre_by_mode_type[#All],MATCH(A719, Passenger_Kilometre_by_mode_type[#Headers],0),0)</f>
        <v>3044464508.67207</v>
      </c>
      <c r="F719" s="89">
        <f>VLOOKUP(C719, Reason_for_lorry_motorcycle_other_journeys_by_percentage[#All],MATCH(A719, Reason_for_lorry_motorcycle_other_journeys_by_percentage[#Headers],0),0)/100</f>
        <v>6.0749999999999998E-2</v>
      </c>
      <c r="G719" s="13">
        <f t="shared" si="56"/>
        <v>184951218.90182826</v>
      </c>
      <c r="H719" s="89">
        <f>VLOOKUP(D719,Average_Distance_by_kilometre_grouping_for_mode_type[#All],MATCH(A719,Average_Distance_by_kilometre_grouping_for_mode_type[#Headers],0),0)</f>
        <v>3</v>
      </c>
      <c r="I719" s="89">
        <f>VLOOKUP(D719,Average_Distance_by_kilometres_grouping_for_trip_purpose[#All],MATCH(A719,Average_Distance_by_kilometres_grouping_for_trip_purpose[#Headers],0),0)</f>
        <v>3</v>
      </c>
      <c r="J719" s="89">
        <f t="shared" si="57"/>
        <v>3</v>
      </c>
      <c r="K719" s="89">
        <f t="shared" si="58"/>
        <v>6.0901339829476243E-2</v>
      </c>
      <c r="L719" s="89">
        <v>1</v>
      </c>
      <c r="M719" s="13">
        <f t="shared" si="59"/>
        <v>11263777.034216093</v>
      </c>
      <c r="N719" s="11">
        <f t="shared" si="55"/>
        <v>2.1758662450086657E-4</v>
      </c>
    </row>
    <row r="720" spans="1:14" x14ac:dyDescent="0.25">
      <c r="A720" s="79" t="s">
        <v>32</v>
      </c>
      <c r="B720" s="89" t="s">
        <v>90</v>
      </c>
      <c r="C720" s="89" t="s">
        <v>50</v>
      </c>
      <c r="D720" s="13" t="s">
        <v>180</v>
      </c>
      <c r="E720" s="35">
        <f>VLOOKUP(B720, Passenger_Kilometre_by_mode_type[#All],MATCH(A720, Passenger_Kilometre_by_mode_type[#Headers],0),0)</f>
        <v>3044464508.67207</v>
      </c>
      <c r="F720" s="89">
        <f>VLOOKUP(C720, Reason_for_lorry_motorcycle_other_journeys_by_percentage[#All],MATCH(A720, Reason_for_lorry_motorcycle_other_journeys_by_percentage[#Headers],0),0)/100</f>
        <v>6.0749999999999998E-2</v>
      </c>
      <c r="G720" s="13">
        <f t="shared" si="56"/>
        <v>184951218.90182826</v>
      </c>
      <c r="H720" s="89">
        <f>VLOOKUP(D720,Average_Distance_by_kilometre_grouping_for_mode_type[#All],MATCH(A720,Average_Distance_by_kilometre_grouping_for_mode_type[#Headers],0),0)</f>
        <v>5</v>
      </c>
      <c r="I720" s="89">
        <f>VLOOKUP(D720,Average_Distance_by_kilometres_grouping_for_trip_purpose[#All],MATCH(A720,Average_Distance_by_kilometres_grouping_for_trip_purpose[#Headers],0),0)</f>
        <v>5</v>
      </c>
      <c r="J720" s="89">
        <f t="shared" si="57"/>
        <v>5</v>
      </c>
      <c r="K720" s="89">
        <f t="shared" si="58"/>
        <v>0.10150223304912707</v>
      </c>
      <c r="L720" s="89">
        <v>1</v>
      </c>
      <c r="M720" s="13">
        <f t="shared" si="59"/>
        <v>18772961.72369349</v>
      </c>
      <c r="N720" s="11">
        <f t="shared" si="55"/>
        <v>3.6264437416811101E-4</v>
      </c>
    </row>
    <row r="721" spans="1:14" x14ac:dyDescent="0.25">
      <c r="A721" s="79" t="s">
        <v>32</v>
      </c>
      <c r="B721" s="89" t="s">
        <v>90</v>
      </c>
      <c r="C721" s="89" t="s">
        <v>50</v>
      </c>
      <c r="D721" s="13" t="s">
        <v>182</v>
      </c>
      <c r="E721" s="35">
        <f>VLOOKUP(B721, Passenger_Kilometre_by_mode_type[#All],MATCH(A721, Passenger_Kilometre_by_mode_type[#Headers],0),0)</f>
        <v>3044464508.67207</v>
      </c>
      <c r="F721" s="89">
        <f>VLOOKUP(C721, Reason_for_lorry_motorcycle_other_journeys_by_percentage[#All],MATCH(A721, Reason_for_lorry_motorcycle_other_journeys_by_percentage[#Headers],0),0)/100</f>
        <v>6.0749999999999998E-2</v>
      </c>
      <c r="G721" s="13">
        <f t="shared" si="56"/>
        <v>184951218.90182826</v>
      </c>
      <c r="H721" s="89">
        <f>VLOOKUP(D721,Average_Distance_by_kilometre_grouping_for_mode_type[#All],MATCH(A721,Average_Distance_by_kilometre_grouping_for_mode_type[#Headers],0),0)</f>
        <v>7</v>
      </c>
      <c r="I721" s="89">
        <f>VLOOKUP(D721,Average_Distance_by_kilometres_grouping_for_trip_purpose[#All],MATCH(A721,Average_Distance_by_kilometres_grouping_for_trip_purpose[#Headers],0),0)</f>
        <v>7</v>
      </c>
      <c r="J721" s="89">
        <f t="shared" si="57"/>
        <v>7</v>
      </c>
      <c r="K721" s="89">
        <f t="shared" si="58"/>
        <v>0.14210312626877789</v>
      </c>
      <c r="L721" s="89">
        <v>1</v>
      </c>
      <c r="M721" s="13">
        <f t="shared" si="59"/>
        <v>26282146.413170882</v>
      </c>
      <c r="N721" s="11">
        <f t="shared" si="55"/>
        <v>5.0770212383535534E-4</v>
      </c>
    </row>
    <row r="722" spans="1:14" x14ac:dyDescent="0.25">
      <c r="A722" s="79" t="s">
        <v>32</v>
      </c>
      <c r="B722" s="89" t="s">
        <v>90</v>
      </c>
      <c r="C722" s="89" t="s">
        <v>50</v>
      </c>
      <c r="D722" s="13" t="s">
        <v>1</v>
      </c>
      <c r="E722" s="35">
        <f>VLOOKUP(B722, Passenger_Kilometre_by_mode_type[#All],MATCH(A722, Passenger_Kilometre_by_mode_type[#Headers],0),0)</f>
        <v>3044464508.67207</v>
      </c>
      <c r="F722" s="89">
        <f>VLOOKUP(C722, Reason_for_lorry_motorcycle_other_journeys_by_percentage[#All],MATCH(A722, Reason_for_lorry_motorcycle_other_journeys_by_percentage[#Headers],0),0)/100</f>
        <v>6.0749999999999998E-2</v>
      </c>
      <c r="G722" s="13">
        <f t="shared" si="56"/>
        <v>184951218.90182826</v>
      </c>
      <c r="H722" s="89">
        <f>VLOOKUP(D722,Average_Distance_by_kilometre_grouping_for_mode_type[#All],MATCH(A722,Average_Distance_by_kilometre_grouping_for_mode_type[#Headers],0),0)</f>
        <v>31.75</v>
      </c>
      <c r="I722" s="89">
        <f>VLOOKUP(D722,Average_Distance_by_kilometres_grouping_for_trip_purpose[#All],MATCH(A722,Average_Distance_by_kilometres_grouping_for_trip_purpose[#Headers],0),0)</f>
        <v>34.770000000000003</v>
      </c>
      <c r="J722" s="89">
        <f t="shared" si="57"/>
        <v>33.260000000000005</v>
      </c>
      <c r="K722" s="89">
        <f t="shared" si="58"/>
        <v>0.67519285424279341</v>
      </c>
      <c r="L722" s="89">
        <v>1</v>
      </c>
      <c r="M722" s="13">
        <f t="shared" si="59"/>
        <v>124877741.3860091</v>
      </c>
      <c r="N722" s="11">
        <f t="shared" si="55"/>
        <v>2.4123103769662746E-3</v>
      </c>
    </row>
    <row r="723" spans="1:14" s="169" customFormat="1" x14ac:dyDescent="0.25">
      <c r="A723" s="168" t="s">
        <v>33</v>
      </c>
      <c r="B723" s="169" t="s">
        <v>5</v>
      </c>
      <c r="C723" s="169" t="s">
        <v>42</v>
      </c>
      <c r="D723" s="170" t="s">
        <v>12</v>
      </c>
      <c r="E723" s="171">
        <f>VLOOKUP(B723, Passenger_Kilometre_by_mode_type[#All],MATCH(A723, Passenger_Kilometre_by_mode_type[#Headers],0),0)</f>
        <v>40897858608.807022</v>
      </c>
      <c r="F723" s="169">
        <f>VLOOKUP(C723, Reason_for_car_journeys_by_percentage[#All],MATCH(A723, Reason_for_car_journeys_by_percentage[#Headers],0),0)/100</f>
        <v>0.24349999999999997</v>
      </c>
      <c r="G723" s="170">
        <f t="shared" si="56"/>
        <v>9958628571.2445087</v>
      </c>
      <c r="H723" s="169">
        <f>VLOOKUP(D723,Average_Distance_by_kilometre_grouping_for_mode_type[#All],MATCH(A723,Average_Distance_by_kilometre_grouping_for_mode_type[#Headers],0),0)</f>
        <v>1</v>
      </c>
      <c r="I723" s="169">
        <f>VLOOKUP(D723,Average_Distance_by_kilometres_grouping_for_trip_purpose[#All],MATCH(A723,Average_Distance_by_kilometres_grouping_for_trip_purpose[#Headers],0),0)</f>
        <v>1</v>
      </c>
      <c r="J723" s="169">
        <f t="shared" si="57"/>
        <v>1</v>
      </c>
      <c r="K723" s="169">
        <f t="shared" si="58"/>
        <v>1.8980734554427257E-2</v>
      </c>
      <c r="L723" s="169">
        <v>1</v>
      </c>
      <c r="M723" s="170">
        <f t="shared" si="59"/>
        <v>189022085.4369272</v>
      </c>
      <c r="N723" s="169">
        <f>M723/SUM($M$723:$M$1082)</f>
        <v>3.3625345676967194E-3</v>
      </c>
    </row>
    <row r="724" spans="1:14" x14ac:dyDescent="0.25">
      <c r="A724" s="79" t="s">
        <v>33</v>
      </c>
      <c r="B724" s="89" t="s">
        <v>5</v>
      </c>
      <c r="C724" s="89" t="s">
        <v>42</v>
      </c>
      <c r="D724" s="13" t="s">
        <v>181</v>
      </c>
      <c r="E724" s="35">
        <f>VLOOKUP(B724, Passenger_Kilometre_by_mode_type[#All],MATCH(A724, Passenger_Kilometre_by_mode_type[#Headers],0),0)</f>
        <v>40897858608.807022</v>
      </c>
      <c r="F724" s="89">
        <f>VLOOKUP(C724, Reason_for_car_journeys_by_percentage[#All],MATCH(A724, Reason_for_car_journeys_by_percentage[#Headers],0),0)/100</f>
        <v>0.24349999999999997</v>
      </c>
      <c r="G724" s="13">
        <f t="shared" si="56"/>
        <v>9958628571.2445087</v>
      </c>
      <c r="H724" s="89">
        <f>VLOOKUP(D724,Average_Distance_by_kilometre_grouping_for_mode_type[#All],MATCH(A724,Average_Distance_by_kilometre_grouping_for_mode_type[#Headers],0),0)</f>
        <v>3</v>
      </c>
      <c r="I724" s="89">
        <f>VLOOKUP(D724,Average_Distance_by_kilometres_grouping_for_trip_purpose[#All],MATCH(A724,Average_Distance_by_kilometres_grouping_for_trip_purpose[#Headers],0),0)</f>
        <v>3</v>
      </c>
      <c r="J724" s="89">
        <f t="shared" si="57"/>
        <v>3</v>
      </c>
      <c r="K724" s="89">
        <f t="shared" si="58"/>
        <v>5.6942203663281767E-2</v>
      </c>
      <c r="L724" s="89">
        <v>1</v>
      </c>
      <c r="M724" s="13">
        <f t="shared" si="59"/>
        <v>567066256.31078148</v>
      </c>
      <c r="N724" s="11">
        <f t="shared" ref="N724:N787" si="60">M724/SUM($M$723:$M$1082)</f>
        <v>1.0087603703090156E-2</v>
      </c>
    </row>
    <row r="725" spans="1:14" x14ac:dyDescent="0.25">
      <c r="A725" s="79" t="s">
        <v>33</v>
      </c>
      <c r="B725" s="89" t="s">
        <v>5</v>
      </c>
      <c r="C725" s="89" t="s">
        <v>42</v>
      </c>
      <c r="D725" s="13" t="s">
        <v>180</v>
      </c>
      <c r="E725" s="35">
        <f>VLOOKUP(B725, Passenger_Kilometre_by_mode_type[#All],MATCH(A725, Passenger_Kilometre_by_mode_type[#Headers],0),0)</f>
        <v>40897858608.807022</v>
      </c>
      <c r="F725" s="89">
        <f>VLOOKUP(C725, Reason_for_car_journeys_by_percentage[#All],MATCH(A725, Reason_for_car_journeys_by_percentage[#Headers],0),0)/100</f>
        <v>0.24349999999999997</v>
      </c>
      <c r="G725" s="13">
        <f t="shared" si="56"/>
        <v>9958628571.2445087</v>
      </c>
      <c r="H725" s="89">
        <f>VLOOKUP(D725,Average_Distance_by_kilometre_grouping_for_mode_type[#All],MATCH(A725,Average_Distance_by_kilometre_grouping_for_mode_type[#Headers],0),0)</f>
        <v>5</v>
      </c>
      <c r="I725" s="89">
        <f>VLOOKUP(D725,Average_Distance_by_kilometres_grouping_for_trip_purpose[#All],MATCH(A725,Average_Distance_by_kilometres_grouping_for_trip_purpose[#Headers],0),0)</f>
        <v>5</v>
      </c>
      <c r="J725" s="89">
        <f t="shared" si="57"/>
        <v>5</v>
      </c>
      <c r="K725" s="89">
        <f t="shared" si="58"/>
        <v>9.490367277213628E-2</v>
      </c>
      <c r="L725" s="89">
        <v>1</v>
      </c>
      <c r="M725" s="13">
        <f t="shared" si="59"/>
        <v>945110427.18463588</v>
      </c>
      <c r="N725" s="11">
        <f t="shared" si="60"/>
        <v>1.6812672838483596E-2</v>
      </c>
    </row>
    <row r="726" spans="1:14" x14ac:dyDescent="0.25">
      <c r="A726" s="79" t="s">
        <v>33</v>
      </c>
      <c r="B726" s="89" t="s">
        <v>5</v>
      </c>
      <c r="C726" s="89" t="s">
        <v>42</v>
      </c>
      <c r="D726" s="13" t="s">
        <v>182</v>
      </c>
      <c r="E726" s="35">
        <f>VLOOKUP(B726, Passenger_Kilometre_by_mode_type[#All],MATCH(A726, Passenger_Kilometre_by_mode_type[#Headers],0),0)</f>
        <v>40897858608.807022</v>
      </c>
      <c r="F726" s="89">
        <f>VLOOKUP(C726, Reason_for_car_journeys_by_percentage[#All],MATCH(A726, Reason_for_car_journeys_by_percentage[#Headers],0),0)/100</f>
        <v>0.24349999999999997</v>
      </c>
      <c r="G726" s="13">
        <f t="shared" si="56"/>
        <v>9958628571.2445087</v>
      </c>
      <c r="H726" s="89">
        <f>VLOOKUP(D726,Average_Distance_by_kilometre_grouping_for_mode_type[#All],MATCH(A726,Average_Distance_by_kilometre_grouping_for_mode_type[#Headers],0),0)</f>
        <v>7</v>
      </c>
      <c r="I726" s="89">
        <f>VLOOKUP(D726,Average_Distance_by_kilometres_grouping_for_trip_purpose[#All],MATCH(A726,Average_Distance_by_kilometres_grouping_for_trip_purpose[#Headers],0),0)</f>
        <v>7</v>
      </c>
      <c r="J726" s="89">
        <f t="shared" si="57"/>
        <v>7</v>
      </c>
      <c r="K726" s="89">
        <f t="shared" si="58"/>
        <v>0.1328651418809908</v>
      </c>
      <c r="L726" s="89">
        <v>1</v>
      </c>
      <c r="M726" s="13">
        <f t="shared" si="59"/>
        <v>1323154598.0584903</v>
      </c>
      <c r="N726" s="11">
        <f t="shared" si="60"/>
        <v>2.3537741973877035E-2</v>
      </c>
    </row>
    <row r="727" spans="1:14" x14ac:dyDescent="0.25">
      <c r="A727" s="79" t="s">
        <v>33</v>
      </c>
      <c r="B727" s="89" t="s">
        <v>5</v>
      </c>
      <c r="C727" s="89" t="s">
        <v>42</v>
      </c>
      <c r="D727" s="13" t="s">
        <v>1</v>
      </c>
      <c r="E727" s="35">
        <f>VLOOKUP(B727, Passenger_Kilometre_by_mode_type[#All],MATCH(A727, Passenger_Kilometre_by_mode_type[#Headers],0),0)</f>
        <v>40897858608.807022</v>
      </c>
      <c r="F727" s="89">
        <f>VLOOKUP(C727, Reason_for_car_journeys_by_percentage[#All],MATCH(A727, Reason_for_car_journeys_by_percentage[#Headers],0),0)/100</f>
        <v>0.24349999999999997</v>
      </c>
      <c r="G727" s="13">
        <f t="shared" si="56"/>
        <v>9958628571.2445087</v>
      </c>
      <c r="H727" s="89">
        <f>VLOOKUP(D727,Average_Distance_by_kilometre_grouping_for_mode_type[#All],MATCH(A727,Average_Distance_by_kilometre_grouping_for_mode_type[#Headers],0),0)</f>
        <v>35.22</v>
      </c>
      <c r="I727" s="89">
        <f>VLOOKUP(D727,Average_Distance_by_kilometres_grouping_for_trip_purpose[#All],MATCH(A727,Average_Distance_by_kilometres_grouping_for_trip_purpose[#Headers],0),0)</f>
        <v>38.15</v>
      </c>
      <c r="J727" s="89">
        <f t="shared" si="57"/>
        <v>36.685000000000002</v>
      </c>
      <c r="K727" s="89">
        <f t="shared" si="58"/>
        <v>0.69630824712916395</v>
      </c>
      <c r="L727" s="89">
        <v>1</v>
      </c>
      <c r="M727" s="13">
        <f t="shared" si="59"/>
        <v>6934275204.2536745</v>
      </c>
      <c r="N727" s="11">
        <f t="shared" si="60"/>
        <v>0.12335458061595415</v>
      </c>
    </row>
    <row r="728" spans="1:14" x14ac:dyDescent="0.25">
      <c r="A728" s="79" t="s">
        <v>33</v>
      </c>
      <c r="B728" s="89" t="s">
        <v>5</v>
      </c>
      <c r="C728" s="89" t="s">
        <v>43</v>
      </c>
      <c r="D728" s="13" t="s">
        <v>12</v>
      </c>
      <c r="E728" s="35">
        <f>VLOOKUP(B728, Passenger_Kilometre_by_mode_type[#All],MATCH(A728, Passenger_Kilometre_by_mode_type[#Headers],0),0)</f>
        <v>40897858608.807022</v>
      </c>
      <c r="F728" s="89">
        <f>VLOOKUP(C728, Reason_for_car_journeys_by_percentage[#All],MATCH(A728, Reason_for_car_journeys_by_percentage[#Headers],0),0)/100</f>
        <v>3.5499999999999997E-2</v>
      </c>
      <c r="G728" s="13">
        <f t="shared" si="56"/>
        <v>1451873980.6126492</v>
      </c>
      <c r="H728" s="89">
        <f>VLOOKUP(D728,Average_Distance_by_kilometre_grouping_for_mode_type[#All],MATCH(A728,Average_Distance_by_kilometre_grouping_for_mode_type[#Headers],0),0)</f>
        <v>1</v>
      </c>
      <c r="I728" s="89">
        <f>VLOOKUP(D728,Average_Distance_by_kilometres_grouping_for_trip_purpose[#All],MATCH(A728,Average_Distance_by_kilometres_grouping_for_trip_purpose[#Headers],0),0)</f>
        <v>1</v>
      </c>
      <c r="J728" s="89">
        <f t="shared" si="57"/>
        <v>1</v>
      </c>
      <c r="K728" s="89">
        <f t="shared" si="58"/>
        <v>1.8980734554427257E-2</v>
      </c>
      <c r="L728" s="89">
        <v>1</v>
      </c>
      <c r="M728" s="13">
        <f t="shared" si="59"/>
        <v>27557634.632488359</v>
      </c>
      <c r="N728" s="11">
        <f t="shared" si="60"/>
        <v>4.9022577886338205E-4</v>
      </c>
    </row>
    <row r="729" spans="1:14" x14ac:dyDescent="0.25">
      <c r="A729" s="79" t="s">
        <v>33</v>
      </c>
      <c r="B729" s="89" t="s">
        <v>5</v>
      </c>
      <c r="C729" s="89" t="s">
        <v>43</v>
      </c>
      <c r="D729" s="13" t="s">
        <v>181</v>
      </c>
      <c r="E729" s="35">
        <f>VLOOKUP(B729, Passenger_Kilometre_by_mode_type[#All],MATCH(A729, Passenger_Kilometre_by_mode_type[#Headers],0),0)</f>
        <v>40897858608.807022</v>
      </c>
      <c r="F729" s="89">
        <f>VLOOKUP(C729, Reason_for_car_journeys_by_percentage[#All],MATCH(A729, Reason_for_car_journeys_by_percentage[#Headers],0),0)/100</f>
        <v>3.5499999999999997E-2</v>
      </c>
      <c r="G729" s="13">
        <f t="shared" si="56"/>
        <v>1451873980.6126492</v>
      </c>
      <c r="H729" s="89">
        <f>VLOOKUP(D729,Average_Distance_by_kilometre_grouping_for_mode_type[#All],MATCH(A729,Average_Distance_by_kilometre_grouping_for_mode_type[#Headers],0),0)</f>
        <v>3</v>
      </c>
      <c r="I729" s="89">
        <f>VLOOKUP(D729,Average_Distance_by_kilometres_grouping_for_trip_purpose[#All],MATCH(A729,Average_Distance_by_kilometres_grouping_for_trip_purpose[#Headers],0),0)</f>
        <v>3</v>
      </c>
      <c r="J729" s="89">
        <f t="shared" si="57"/>
        <v>3</v>
      </c>
      <c r="K729" s="89">
        <f t="shared" si="58"/>
        <v>5.6942203663281767E-2</v>
      </c>
      <c r="L729" s="89">
        <v>1</v>
      </c>
      <c r="M729" s="13">
        <f t="shared" si="59"/>
        <v>82672903.89746508</v>
      </c>
      <c r="N729" s="11">
        <f t="shared" si="60"/>
        <v>1.4706773365901463E-3</v>
      </c>
    </row>
    <row r="730" spans="1:14" x14ac:dyDescent="0.25">
      <c r="A730" s="79" t="s">
        <v>33</v>
      </c>
      <c r="B730" s="89" t="s">
        <v>5</v>
      </c>
      <c r="C730" s="89" t="s">
        <v>43</v>
      </c>
      <c r="D730" s="13" t="s">
        <v>180</v>
      </c>
      <c r="E730" s="35">
        <f>VLOOKUP(B730, Passenger_Kilometre_by_mode_type[#All],MATCH(A730, Passenger_Kilometre_by_mode_type[#Headers],0),0)</f>
        <v>40897858608.807022</v>
      </c>
      <c r="F730" s="89">
        <f>VLOOKUP(C730, Reason_for_car_journeys_by_percentage[#All],MATCH(A730, Reason_for_car_journeys_by_percentage[#Headers],0),0)/100</f>
        <v>3.5499999999999997E-2</v>
      </c>
      <c r="G730" s="13">
        <f t="shared" si="56"/>
        <v>1451873980.6126492</v>
      </c>
      <c r="H730" s="89">
        <f>VLOOKUP(D730,Average_Distance_by_kilometre_grouping_for_mode_type[#All],MATCH(A730,Average_Distance_by_kilometre_grouping_for_mode_type[#Headers],0),0)</f>
        <v>5</v>
      </c>
      <c r="I730" s="89">
        <f>VLOOKUP(D730,Average_Distance_by_kilometres_grouping_for_trip_purpose[#All],MATCH(A730,Average_Distance_by_kilometres_grouping_for_trip_purpose[#Headers],0),0)</f>
        <v>5</v>
      </c>
      <c r="J730" s="89">
        <f t="shared" si="57"/>
        <v>5</v>
      </c>
      <c r="K730" s="89">
        <f t="shared" si="58"/>
        <v>9.490367277213628E-2</v>
      </c>
      <c r="L730" s="89">
        <v>1</v>
      </c>
      <c r="M730" s="13">
        <f t="shared" si="59"/>
        <v>137788173.16244179</v>
      </c>
      <c r="N730" s="11">
        <f t="shared" si="60"/>
        <v>2.4511288943169104E-3</v>
      </c>
    </row>
    <row r="731" spans="1:14" x14ac:dyDescent="0.25">
      <c r="A731" s="79" t="s">
        <v>33</v>
      </c>
      <c r="B731" s="89" t="s">
        <v>5</v>
      </c>
      <c r="C731" s="89" t="s">
        <v>43</v>
      </c>
      <c r="D731" s="13" t="s">
        <v>182</v>
      </c>
      <c r="E731" s="35">
        <f>VLOOKUP(B731, Passenger_Kilometre_by_mode_type[#All],MATCH(A731, Passenger_Kilometre_by_mode_type[#Headers],0),0)</f>
        <v>40897858608.807022</v>
      </c>
      <c r="F731" s="89">
        <f>VLOOKUP(C731, Reason_for_car_journeys_by_percentage[#All],MATCH(A731, Reason_for_car_journeys_by_percentage[#Headers],0),0)/100</f>
        <v>3.5499999999999997E-2</v>
      </c>
      <c r="G731" s="13">
        <f t="shared" si="56"/>
        <v>1451873980.6126492</v>
      </c>
      <c r="H731" s="89">
        <f>VLOOKUP(D731,Average_Distance_by_kilometre_grouping_for_mode_type[#All],MATCH(A731,Average_Distance_by_kilometre_grouping_for_mode_type[#Headers],0),0)</f>
        <v>7</v>
      </c>
      <c r="I731" s="89">
        <f>VLOOKUP(D731,Average_Distance_by_kilometres_grouping_for_trip_purpose[#All],MATCH(A731,Average_Distance_by_kilometres_grouping_for_trip_purpose[#Headers],0),0)</f>
        <v>7</v>
      </c>
      <c r="J731" s="89">
        <f t="shared" si="57"/>
        <v>7</v>
      </c>
      <c r="K731" s="89">
        <f t="shared" si="58"/>
        <v>0.1328651418809908</v>
      </c>
      <c r="L731" s="89">
        <v>1</v>
      </c>
      <c r="M731" s="13">
        <f t="shared" si="59"/>
        <v>192903442.42741853</v>
      </c>
      <c r="N731" s="11">
        <f t="shared" si="60"/>
        <v>3.4315804520436751E-3</v>
      </c>
    </row>
    <row r="732" spans="1:14" x14ac:dyDescent="0.25">
      <c r="A732" s="79" t="s">
        <v>33</v>
      </c>
      <c r="B732" s="89" t="s">
        <v>5</v>
      </c>
      <c r="C732" s="89" t="s">
        <v>43</v>
      </c>
      <c r="D732" s="13" t="s">
        <v>1</v>
      </c>
      <c r="E732" s="35">
        <f>VLOOKUP(B732, Passenger_Kilometre_by_mode_type[#All],MATCH(A732, Passenger_Kilometre_by_mode_type[#Headers],0),0)</f>
        <v>40897858608.807022</v>
      </c>
      <c r="F732" s="89">
        <f>VLOOKUP(C732, Reason_for_car_journeys_by_percentage[#All],MATCH(A732, Reason_for_car_journeys_by_percentage[#Headers],0),0)/100</f>
        <v>3.5499999999999997E-2</v>
      </c>
      <c r="G732" s="13">
        <f t="shared" si="56"/>
        <v>1451873980.6126492</v>
      </c>
      <c r="H732" s="89">
        <f>VLOOKUP(D732,Average_Distance_by_kilometre_grouping_for_mode_type[#All],MATCH(A732,Average_Distance_by_kilometre_grouping_for_mode_type[#Headers],0),0)</f>
        <v>35.22</v>
      </c>
      <c r="I732" s="89">
        <f>VLOOKUP(D732,Average_Distance_by_kilometres_grouping_for_trip_purpose[#All],MATCH(A732,Average_Distance_by_kilometres_grouping_for_trip_purpose[#Headers],0),0)</f>
        <v>38.15</v>
      </c>
      <c r="J732" s="89">
        <f t="shared" si="57"/>
        <v>36.685000000000002</v>
      </c>
      <c r="K732" s="89">
        <f t="shared" si="58"/>
        <v>0.69630824712916395</v>
      </c>
      <c r="L732" s="89">
        <v>1</v>
      </c>
      <c r="M732" s="13">
        <f t="shared" si="59"/>
        <v>1010951826.4928355</v>
      </c>
      <c r="N732" s="11">
        <f t="shared" si="60"/>
        <v>1.7983932697603174E-2</v>
      </c>
    </row>
    <row r="733" spans="1:14" x14ac:dyDescent="0.25">
      <c r="A733" s="79" t="s">
        <v>33</v>
      </c>
      <c r="B733" s="89" t="s">
        <v>5</v>
      </c>
      <c r="C733" s="89" t="s">
        <v>44</v>
      </c>
      <c r="D733" s="13" t="s">
        <v>12</v>
      </c>
      <c r="E733" s="35">
        <f>VLOOKUP(B733, Passenger_Kilometre_by_mode_type[#All],MATCH(A733, Passenger_Kilometre_by_mode_type[#Headers],0),0)</f>
        <v>40897858608.807022</v>
      </c>
      <c r="F733" s="89">
        <f>VLOOKUP(C733, Reason_for_car_journeys_by_percentage[#All],MATCH(A733, Reason_for_car_journeys_by_percentage[#Headers],0),0)/100</f>
        <v>0.23275000000000001</v>
      </c>
      <c r="G733" s="13">
        <f t="shared" si="56"/>
        <v>9518976591.1998348</v>
      </c>
      <c r="H733" s="89">
        <f>VLOOKUP(D733,Average_Distance_by_kilometre_grouping_for_mode_type[#All],MATCH(A733,Average_Distance_by_kilometre_grouping_for_mode_type[#Headers],0),0)</f>
        <v>1</v>
      </c>
      <c r="I733" s="89">
        <f>VLOOKUP(D733,Average_Distance_by_kilometres_grouping_for_trip_purpose[#All],MATCH(A733,Average_Distance_by_kilometres_grouping_for_trip_purpose[#Headers],0),0)</f>
        <v>1</v>
      </c>
      <c r="J733" s="89">
        <f t="shared" si="57"/>
        <v>1</v>
      </c>
      <c r="K733" s="89">
        <f t="shared" si="58"/>
        <v>1.8980734554427257E-2</v>
      </c>
      <c r="L733" s="89">
        <v>1</v>
      </c>
      <c r="M733" s="13">
        <f t="shared" si="59"/>
        <v>180677167.9073709</v>
      </c>
      <c r="N733" s="11">
        <f t="shared" si="60"/>
        <v>3.2140859163507663E-3</v>
      </c>
    </row>
    <row r="734" spans="1:14" x14ac:dyDescent="0.25">
      <c r="A734" s="79" t="s">
        <v>33</v>
      </c>
      <c r="B734" s="89" t="s">
        <v>5</v>
      </c>
      <c r="C734" s="89" t="s">
        <v>44</v>
      </c>
      <c r="D734" s="13" t="s">
        <v>181</v>
      </c>
      <c r="E734" s="35">
        <f>VLOOKUP(B734, Passenger_Kilometre_by_mode_type[#All],MATCH(A734, Passenger_Kilometre_by_mode_type[#Headers],0),0)</f>
        <v>40897858608.807022</v>
      </c>
      <c r="F734" s="89">
        <f>VLOOKUP(C734, Reason_for_car_journeys_by_percentage[#All],MATCH(A734, Reason_for_car_journeys_by_percentage[#Headers],0),0)/100</f>
        <v>0.23275000000000001</v>
      </c>
      <c r="G734" s="13">
        <f t="shared" si="56"/>
        <v>9518976591.1998348</v>
      </c>
      <c r="H734" s="89">
        <f>VLOOKUP(D734,Average_Distance_by_kilometre_grouping_for_mode_type[#All],MATCH(A734,Average_Distance_by_kilometre_grouping_for_mode_type[#Headers],0),0)</f>
        <v>3</v>
      </c>
      <c r="I734" s="89">
        <f>VLOOKUP(D734,Average_Distance_by_kilometres_grouping_for_trip_purpose[#All],MATCH(A734,Average_Distance_by_kilometres_grouping_for_trip_purpose[#Headers],0),0)</f>
        <v>3</v>
      </c>
      <c r="J734" s="89">
        <f t="shared" si="57"/>
        <v>3</v>
      </c>
      <c r="K734" s="89">
        <f t="shared" si="58"/>
        <v>5.6942203663281767E-2</v>
      </c>
      <c r="L734" s="89">
        <v>1</v>
      </c>
      <c r="M734" s="13">
        <f t="shared" si="59"/>
        <v>542031503.72211266</v>
      </c>
      <c r="N734" s="11">
        <f t="shared" si="60"/>
        <v>9.6422577490522989E-3</v>
      </c>
    </row>
    <row r="735" spans="1:14" x14ac:dyDescent="0.25">
      <c r="A735" s="79" t="s">
        <v>33</v>
      </c>
      <c r="B735" s="89" t="s">
        <v>5</v>
      </c>
      <c r="C735" s="89" t="s">
        <v>44</v>
      </c>
      <c r="D735" s="13" t="s">
        <v>180</v>
      </c>
      <c r="E735" s="35">
        <f>VLOOKUP(B735, Passenger_Kilometre_by_mode_type[#All],MATCH(A735, Passenger_Kilometre_by_mode_type[#Headers],0),0)</f>
        <v>40897858608.807022</v>
      </c>
      <c r="F735" s="89">
        <f>VLOOKUP(C735, Reason_for_car_journeys_by_percentage[#All],MATCH(A735, Reason_for_car_journeys_by_percentage[#Headers],0),0)/100</f>
        <v>0.23275000000000001</v>
      </c>
      <c r="G735" s="13">
        <f t="shared" si="56"/>
        <v>9518976591.1998348</v>
      </c>
      <c r="H735" s="89">
        <f>VLOOKUP(D735,Average_Distance_by_kilometre_grouping_for_mode_type[#All],MATCH(A735,Average_Distance_by_kilometre_grouping_for_mode_type[#Headers],0),0)</f>
        <v>5</v>
      </c>
      <c r="I735" s="89">
        <f>VLOOKUP(D735,Average_Distance_by_kilometres_grouping_for_trip_purpose[#All],MATCH(A735,Average_Distance_by_kilometres_grouping_for_trip_purpose[#Headers],0),0)</f>
        <v>5</v>
      </c>
      <c r="J735" s="89">
        <f t="shared" si="57"/>
        <v>5</v>
      </c>
      <c r="K735" s="89">
        <f t="shared" si="58"/>
        <v>9.490367277213628E-2</v>
      </c>
      <c r="L735" s="89">
        <v>1</v>
      </c>
      <c r="M735" s="13">
        <f t="shared" si="59"/>
        <v>903385839.53685439</v>
      </c>
      <c r="N735" s="11">
        <f t="shared" si="60"/>
        <v>1.607042958175383E-2</v>
      </c>
    </row>
    <row r="736" spans="1:14" x14ac:dyDescent="0.25">
      <c r="A736" s="79" t="s">
        <v>33</v>
      </c>
      <c r="B736" s="89" t="s">
        <v>5</v>
      </c>
      <c r="C736" s="89" t="s">
        <v>44</v>
      </c>
      <c r="D736" s="13" t="s">
        <v>182</v>
      </c>
      <c r="E736" s="35">
        <f>VLOOKUP(B736, Passenger_Kilometre_by_mode_type[#All],MATCH(A736, Passenger_Kilometre_by_mode_type[#Headers],0),0)</f>
        <v>40897858608.807022</v>
      </c>
      <c r="F736" s="89">
        <f>VLOOKUP(C736, Reason_for_car_journeys_by_percentage[#All],MATCH(A736, Reason_for_car_journeys_by_percentage[#Headers],0),0)/100</f>
        <v>0.23275000000000001</v>
      </c>
      <c r="G736" s="13">
        <f t="shared" si="56"/>
        <v>9518976591.1998348</v>
      </c>
      <c r="H736" s="89">
        <f>VLOOKUP(D736,Average_Distance_by_kilometre_grouping_for_mode_type[#All],MATCH(A736,Average_Distance_by_kilometre_grouping_for_mode_type[#Headers],0),0)</f>
        <v>7</v>
      </c>
      <c r="I736" s="89">
        <f>VLOOKUP(D736,Average_Distance_by_kilometres_grouping_for_trip_purpose[#All],MATCH(A736,Average_Distance_by_kilometres_grouping_for_trip_purpose[#Headers],0),0)</f>
        <v>7</v>
      </c>
      <c r="J736" s="89">
        <f t="shared" si="57"/>
        <v>7</v>
      </c>
      <c r="K736" s="89">
        <f t="shared" si="58"/>
        <v>0.1328651418809908</v>
      </c>
      <c r="L736" s="89">
        <v>1</v>
      </c>
      <c r="M736" s="13">
        <f t="shared" si="59"/>
        <v>1264740175.3515961</v>
      </c>
      <c r="N736" s="11">
        <f t="shared" si="60"/>
        <v>2.2498601414455362E-2</v>
      </c>
    </row>
    <row r="737" spans="1:14" x14ac:dyDescent="0.25">
      <c r="A737" s="79" t="s">
        <v>33</v>
      </c>
      <c r="B737" s="89" t="s">
        <v>5</v>
      </c>
      <c r="C737" s="89" t="s">
        <v>44</v>
      </c>
      <c r="D737" s="13" t="s">
        <v>1</v>
      </c>
      <c r="E737" s="35">
        <f>VLOOKUP(B737, Passenger_Kilometre_by_mode_type[#All],MATCH(A737, Passenger_Kilometre_by_mode_type[#Headers],0),0)</f>
        <v>40897858608.807022</v>
      </c>
      <c r="F737" s="89">
        <f>VLOOKUP(C737, Reason_for_car_journeys_by_percentage[#All],MATCH(A737, Reason_for_car_journeys_by_percentage[#Headers],0),0)/100</f>
        <v>0.23275000000000001</v>
      </c>
      <c r="G737" s="13">
        <f t="shared" si="56"/>
        <v>9518976591.1998348</v>
      </c>
      <c r="H737" s="89">
        <f>VLOOKUP(D737,Average_Distance_by_kilometre_grouping_for_mode_type[#All],MATCH(A737,Average_Distance_by_kilometre_grouping_for_mode_type[#Headers],0),0)</f>
        <v>35.22</v>
      </c>
      <c r="I737" s="89">
        <f>VLOOKUP(D737,Average_Distance_by_kilometres_grouping_for_trip_purpose[#All],MATCH(A737,Average_Distance_by_kilometres_grouping_for_trip_purpose[#Headers],0),0)</f>
        <v>38.15</v>
      </c>
      <c r="J737" s="89">
        <f t="shared" si="57"/>
        <v>36.685000000000002</v>
      </c>
      <c r="K737" s="89">
        <f t="shared" si="58"/>
        <v>0.69630824712916395</v>
      </c>
      <c r="L737" s="89">
        <v>1</v>
      </c>
      <c r="M737" s="13">
        <f t="shared" si="59"/>
        <v>6628141904.681901</v>
      </c>
      <c r="N737" s="11">
        <f t="shared" si="60"/>
        <v>0.11790874184132785</v>
      </c>
    </row>
    <row r="738" spans="1:14" x14ac:dyDescent="0.25">
      <c r="A738" s="79" t="s">
        <v>33</v>
      </c>
      <c r="B738" s="89" t="s">
        <v>5</v>
      </c>
      <c r="C738" s="89" t="s">
        <v>45</v>
      </c>
      <c r="D738" s="13" t="s">
        <v>12</v>
      </c>
      <c r="E738" s="35">
        <f>VLOOKUP(B738, Passenger_Kilometre_by_mode_type[#All],MATCH(A738, Passenger_Kilometre_by_mode_type[#Headers],0),0)</f>
        <v>40897858608.807022</v>
      </c>
      <c r="F738" s="89">
        <f>VLOOKUP(C738, Reason_for_car_journeys_by_percentage[#All],MATCH(A738, Reason_for_car_journeys_by_percentage[#Headers],0),0)/100</f>
        <v>1.3500000000000002E-2</v>
      </c>
      <c r="G738" s="13">
        <f t="shared" si="56"/>
        <v>552121091.21889484</v>
      </c>
      <c r="H738" s="89">
        <f>VLOOKUP(D738,Average_Distance_by_kilometre_grouping_for_mode_type[#All],MATCH(A738,Average_Distance_by_kilometre_grouping_for_mode_type[#Headers],0),0)</f>
        <v>1</v>
      </c>
      <c r="I738" s="89">
        <f>VLOOKUP(D738,Average_Distance_by_kilometres_grouping_for_trip_purpose[#All],MATCH(A738,Average_Distance_by_kilometres_grouping_for_trip_purpose[#Headers],0),0)</f>
        <v>1</v>
      </c>
      <c r="J738" s="89">
        <f t="shared" si="57"/>
        <v>1</v>
      </c>
      <c r="K738" s="89">
        <f t="shared" si="58"/>
        <v>1.8980734554427257E-2</v>
      </c>
      <c r="L738" s="89">
        <v>1</v>
      </c>
      <c r="M738" s="13">
        <f t="shared" si="59"/>
        <v>10479663.874326561</v>
      </c>
      <c r="N738" s="11">
        <f t="shared" si="60"/>
        <v>1.8642388773677915E-4</v>
      </c>
    </row>
    <row r="739" spans="1:14" x14ac:dyDescent="0.25">
      <c r="A739" s="79" t="s">
        <v>33</v>
      </c>
      <c r="B739" s="89" t="s">
        <v>5</v>
      </c>
      <c r="C739" s="89" t="s">
        <v>45</v>
      </c>
      <c r="D739" s="13" t="s">
        <v>181</v>
      </c>
      <c r="E739" s="35">
        <f>VLOOKUP(B739, Passenger_Kilometre_by_mode_type[#All],MATCH(A739, Passenger_Kilometre_by_mode_type[#Headers],0),0)</f>
        <v>40897858608.807022</v>
      </c>
      <c r="F739" s="89">
        <f>VLOOKUP(C739, Reason_for_car_journeys_by_percentage[#All],MATCH(A739, Reason_for_car_journeys_by_percentage[#Headers],0),0)/100</f>
        <v>1.3500000000000002E-2</v>
      </c>
      <c r="G739" s="13">
        <f t="shared" si="56"/>
        <v>552121091.21889484</v>
      </c>
      <c r="H739" s="89">
        <f>VLOOKUP(D739,Average_Distance_by_kilometre_grouping_for_mode_type[#All],MATCH(A739,Average_Distance_by_kilometre_grouping_for_mode_type[#Headers],0),0)</f>
        <v>3</v>
      </c>
      <c r="I739" s="89">
        <f>VLOOKUP(D739,Average_Distance_by_kilometres_grouping_for_trip_purpose[#All],MATCH(A739,Average_Distance_by_kilometres_grouping_for_trip_purpose[#Headers],0),0)</f>
        <v>3</v>
      </c>
      <c r="J739" s="89">
        <f t="shared" si="57"/>
        <v>3</v>
      </c>
      <c r="K739" s="89">
        <f t="shared" si="58"/>
        <v>5.6942203663281767E-2</v>
      </c>
      <c r="L739" s="89">
        <v>1</v>
      </c>
      <c r="M739" s="13">
        <f t="shared" si="59"/>
        <v>31438991.622979682</v>
      </c>
      <c r="N739" s="11">
        <f t="shared" si="60"/>
        <v>5.5927166321033742E-4</v>
      </c>
    </row>
    <row r="740" spans="1:14" x14ac:dyDescent="0.25">
      <c r="A740" s="79" t="s">
        <v>33</v>
      </c>
      <c r="B740" s="89" t="s">
        <v>5</v>
      </c>
      <c r="C740" s="89" t="s">
        <v>45</v>
      </c>
      <c r="D740" s="13" t="s">
        <v>180</v>
      </c>
      <c r="E740" s="35">
        <f>VLOOKUP(B740, Passenger_Kilometre_by_mode_type[#All],MATCH(A740, Passenger_Kilometre_by_mode_type[#Headers],0),0)</f>
        <v>40897858608.807022</v>
      </c>
      <c r="F740" s="89">
        <f>VLOOKUP(C740, Reason_for_car_journeys_by_percentage[#All],MATCH(A740, Reason_for_car_journeys_by_percentage[#Headers],0),0)/100</f>
        <v>1.3500000000000002E-2</v>
      </c>
      <c r="G740" s="13">
        <f t="shared" si="56"/>
        <v>552121091.21889484</v>
      </c>
      <c r="H740" s="89">
        <f>VLOOKUP(D740,Average_Distance_by_kilometre_grouping_for_mode_type[#All],MATCH(A740,Average_Distance_by_kilometre_grouping_for_mode_type[#Headers],0),0)</f>
        <v>5</v>
      </c>
      <c r="I740" s="89">
        <f>VLOOKUP(D740,Average_Distance_by_kilometres_grouping_for_trip_purpose[#All],MATCH(A740,Average_Distance_by_kilometres_grouping_for_trip_purpose[#Headers],0),0)</f>
        <v>5</v>
      </c>
      <c r="J740" s="89">
        <f t="shared" si="57"/>
        <v>5</v>
      </c>
      <c r="K740" s="89">
        <f t="shared" si="58"/>
        <v>9.490367277213628E-2</v>
      </c>
      <c r="L740" s="89">
        <v>1</v>
      </c>
      <c r="M740" s="13">
        <f t="shared" si="59"/>
        <v>52398319.3716328</v>
      </c>
      <c r="N740" s="11">
        <f t="shared" si="60"/>
        <v>9.3211943868389566E-4</v>
      </c>
    </row>
    <row r="741" spans="1:14" x14ac:dyDescent="0.25">
      <c r="A741" s="79" t="s">
        <v>33</v>
      </c>
      <c r="B741" s="89" t="s">
        <v>5</v>
      </c>
      <c r="C741" s="89" t="s">
        <v>45</v>
      </c>
      <c r="D741" s="13" t="s">
        <v>182</v>
      </c>
      <c r="E741" s="35">
        <f>VLOOKUP(B741, Passenger_Kilometre_by_mode_type[#All],MATCH(A741, Passenger_Kilometre_by_mode_type[#Headers],0),0)</f>
        <v>40897858608.807022</v>
      </c>
      <c r="F741" s="89">
        <f>VLOOKUP(C741, Reason_for_car_journeys_by_percentage[#All],MATCH(A741, Reason_for_car_journeys_by_percentage[#Headers],0),0)/100</f>
        <v>1.3500000000000002E-2</v>
      </c>
      <c r="G741" s="13">
        <f t="shared" si="56"/>
        <v>552121091.21889484</v>
      </c>
      <c r="H741" s="89">
        <f>VLOOKUP(D741,Average_Distance_by_kilometre_grouping_for_mode_type[#All],MATCH(A741,Average_Distance_by_kilometre_grouping_for_mode_type[#Headers],0),0)</f>
        <v>7</v>
      </c>
      <c r="I741" s="89">
        <f>VLOOKUP(D741,Average_Distance_by_kilometres_grouping_for_trip_purpose[#All],MATCH(A741,Average_Distance_by_kilometres_grouping_for_trip_purpose[#Headers],0),0)</f>
        <v>7</v>
      </c>
      <c r="J741" s="89">
        <f t="shared" si="57"/>
        <v>7</v>
      </c>
      <c r="K741" s="89">
        <f t="shared" si="58"/>
        <v>0.1328651418809908</v>
      </c>
      <c r="L741" s="89">
        <v>1</v>
      </c>
      <c r="M741" s="13">
        <f t="shared" si="59"/>
        <v>73357647.120285928</v>
      </c>
      <c r="N741" s="11">
        <f t="shared" si="60"/>
        <v>1.3049672141574541E-3</v>
      </c>
    </row>
    <row r="742" spans="1:14" x14ac:dyDescent="0.25">
      <c r="A742" s="79" t="s">
        <v>33</v>
      </c>
      <c r="B742" s="89" t="s">
        <v>5</v>
      </c>
      <c r="C742" s="89" t="s">
        <v>45</v>
      </c>
      <c r="D742" s="13" t="s">
        <v>1</v>
      </c>
      <c r="E742" s="35">
        <f>VLOOKUP(B742, Passenger_Kilometre_by_mode_type[#All],MATCH(A742, Passenger_Kilometre_by_mode_type[#Headers],0),0)</f>
        <v>40897858608.807022</v>
      </c>
      <c r="F742" s="89">
        <f>VLOOKUP(C742, Reason_for_car_journeys_by_percentage[#All],MATCH(A742, Reason_for_car_journeys_by_percentage[#Headers],0),0)/100</f>
        <v>1.3500000000000002E-2</v>
      </c>
      <c r="G742" s="13">
        <f t="shared" si="56"/>
        <v>552121091.21889484</v>
      </c>
      <c r="H742" s="89">
        <f>VLOOKUP(D742,Average_Distance_by_kilometre_grouping_for_mode_type[#All],MATCH(A742,Average_Distance_by_kilometre_grouping_for_mode_type[#Headers],0),0)</f>
        <v>35.22</v>
      </c>
      <c r="I742" s="89">
        <f>VLOOKUP(D742,Average_Distance_by_kilometres_grouping_for_trip_purpose[#All],MATCH(A742,Average_Distance_by_kilometres_grouping_for_trip_purpose[#Headers],0),0)</f>
        <v>38.15</v>
      </c>
      <c r="J742" s="89">
        <f t="shared" si="57"/>
        <v>36.685000000000002</v>
      </c>
      <c r="K742" s="89">
        <f t="shared" si="58"/>
        <v>0.69630824712916395</v>
      </c>
      <c r="L742" s="89">
        <v>1</v>
      </c>
      <c r="M742" s="13">
        <f t="shared" si="59"/>
        <v>384446469.22966993</v>
      </c>
      <c r="N742" s="11">
        <f t="shared" si="60"/>
        <v>6.838960321623744E-3</v>
      </c>
    </row>
    <row r="743" spans="1:14" x14ac:dyDescent="0.25">
      <c r="A743" s="79" t="s">
        <v>33</v>
      </c>
      <c r="B743" s="89" t="s">
        <v>5</v>
      </c>
      <c r="C743" s="89" t="s">
        <v>56</v>
      </c>
      <c r="D743" s="13" t="s">
        <v>12</v>
      </c>
      <c r="E743" s="35">
        <f>VLOOKUP(B743, Passenger_Kilometre_by_mode_type[#All],MATCH(A743, Passenger_Kilometre_by_mode_type[#Headers],0),0)</f>
        <v>40897858608.807022</v>
      </c>
      <c r="F743" s="89">
        <f>VLOOKUP(C743, Reason_for_car_journeys_by_percentage[#All],MATCH(A743, Reason_for_car_journeys_by_percentage[#Headers],0),0)/100</f>
        <v>0.1125</v>
      </c>
      <c r="G743" s="13">
        <f t="shared" si="56"/>
        <v>4601009093.4907904</v>
      </c>
      <c r="H743" s="89">
        <f>VLOOKUP(D743,Average_Distance_by_kilometre_grouping_for_mode_type[#All],MATCH(A743,Average_Distance_by_kilometre_grouping_for_mode_type[#Headers],0),0)</f>
        <v>1</v>
      </c>
      <c r="I743" s="89">
        <f>VLOOKUP(D743,Average_Distance_by_kilometres_grouping_for_trip_purpose[#All],MATCH(A743,Average_Distance_by_kilometres_grouping_for_trip_purpose[#Headers],0),0)</f>
        <v>1</v>
      </c>
      <c r="J743" s="89">
        <f t="shared" si="57"/>
        <v>1</v>
      </c>
      <c r="K743" s="89">
        <f t="shared" si="58"/>
        <v>1.8980734554427257E-2</v>
      </c>
      <c r="L743" s="89">
        <v>1</v>
      </c>
      <c r="M743" s="13">
        <f t="shared" si="59"/>
        <v>87330532.286054671</v>
      </c>
      <c r="N743" s="11">
        <f t="shared" si="60"/>
        <v>1.5535323978064929E-3</v>
      </c>
    </row>
    <row r="744" spans="1:14" x14ac:dyDescent="0.25">
      <c r="A744" s="79" t="s">
        <v>33</v>
      </c>
      <c r="B744" s="89" t="s">
        <v>5</v>
      </c>
      <c r="C744" s="89" t="s">
        <v>56</v>
      </c>
      <c r="D744" s="13" t="s">
        <v>181</v>
      </c>
      <c r="E744" s="35">
        <f>VLOOKUP(B744, Passenger_Kilometre_by_mode_type[#All],MATCH(A744, Passenger_Kilometre_by_mode_type[#Headers],0),0)</f>
        <v>40897858608.807022</v>
      </c>
      <c r="F744" s="89">
        <f>VLOOKUP(C744, Reason_for_car_journeys_by_percentage[#All],MATCH(A744, Reason_for_car_journeys_by_percentage[#Headers],0),0)/100</f>
        <v>0.1125</v>
      </c>
      <c r="G744" s="13">
        <f t="shared" si="56"/>
        <v>4601009093.4907904</v>
      </c>
      <c r="H744" s="89">
        <f>VLOOKUP(D744,Average_Distance_by_kilometre_grouping_for_mode_type[#All],MATCH(A744,Average_Distance_by_kilometre_grouping_for_mode_type[#Headers],0),0)</f>
        <v>3</v>
      </c>
      <c r="I744" s="89">
        <f>VLOOKUP(D744,Average_Distance_by_kilometres_grouping_for_trip_purpose[#All],MATCH(A744,Average_Distance_by_kilometres_grouping_for_trip_purpose[#Headers],0),0)</f>
        <v>3</v>
      </c>
      <c r="J744" s="89">
        <f t="shared" si="57"/>
        <v>3</v>
      </c>
      <c r="K744" s="89">
        <f t="shared" si="58"/>
        <v>5.6942203663281767E-2</v>
      </c>
      <c r="L744" s="89">
        <v>1</v>
      </c>
      <c r="M744" s="13">
        <f t="shared" si="59"/>
        <v>261991596.85816401</v>
      </c>
      <c r="N744" s="11">
        <f t="shared" si="60"/>
        <v>4.6605971934194782E-3</v>
      </c>
    </row>
    <row r="745" spans="1:14" x14ac:dyDescent="0.25">
      <c r="A745" s="79" t="s">
        <v>33</v>
      </c>
      <c r="B745" s="89" t="s">
        <v>5</v>
      </c>
      <c r="C745" s="89" t="s">
        <v>56</v>
      </c>
      <c r="D745" s="13" t="s">
        <v>180</v>
      </c>
      <c r="E745" s="35">
        <f>VLOOKUP(B745, Passenger_Kilometre_by_mode_type[#All],MATCH(A745, Passenger_Kilometre_by_mode_type[#Headers],0),0)</f>
        <v>40897858608.807022</v>
      </c>
      <c r="F745" s="89">
        <f>VLOOKUP(C745, Reason_for_car_journeys_by_percentage[#All],MATCH(A745, Reason_for_car_journeys_by_percentage[#Headers],0),0)/100</f>
        <v>0.1125</v>
      </c>
      <c r="G745" s="13">
        <f t="shared" si="56"/>
        <v>4601009093.4907904</v>
      </c>
      <c r="H745" s="89">
        <f>VLOOKUP(D745,Average_Distance_by_kilometre_grouping_for_mode_type[#All],MATCH(A745,Average_Distance_by_kilometre_grouping_for_mode_type[#Headers],0),0)</f>
        <v>5</v>
      </c>
      <c r="I745" s="89">
        <f>VLOOKUP(D745,Average_Distance_by_kilometres_grouping_for_trip_purpose[#All],MATCH(A745,Average_Distance_by_kilometres_grouping_for_trip_purpose[#Headers],0),0)</f>
        <v>5</v>
      </c>
      <c r="J745" s="89">
        <f t="shared" si="57"/>
        <v>5</v>
      </c>
      <c r="K745" s="89">
        <f t="shared" si="58"/>
        <v>9.490367277213628E-2</v>
      </c>
      <c r="L745" s="89">
        <v>1</v>
      </c>
      <c r="M745" s="13">
        <f t="shared" si="59"/>
        <v>436652661.43027335</v>
      </c>
      <c r="N745" s="11">
        <f t="shared" si="60"/>
        <v>7.7676619890324639E-3</v>
      </c>
    </row>
    <row r="746" spans="1:14" x14ac:dyDescent="0.25">
      <c r="A746" s="79" t="s">
        <v>33</v>
      </c>
      <c r="B746" s="89" t="s">
        <v>5</v>
      </c>
      <c r="C746" s="89" t="s">
        <v>56</v>
      </c>
      <c r="D746" s="13" t="s">
        <v>182</v>
      </c>
      <c r="E746" s="35">
        <f>VLOOKUP(B746, Passenger_Kilometre_by_mode_type[#All],MATCH(A746, Passenger_Kilometre_by_mode_type[#Headers],0),0)</f>
        <v>40897858608.807022</v>
      </c>
      <c r="F746" s="89">
        <f>VLOOKUP(C746, Reason_for_car_journeys_by_percentage[#All],MATCH(A746, Reason_for_car_journeys_by_percentage[#Headers],0),0)/100</f>
        <v>0.1125</v>
      </c>
      <c r="G746" s="13">
        <f t="shared" si="56"/>
        <v>4601009093.4907904</v>
      </c>
      <c r="H746" s="89">
        <f>VLOOKUP(D746,Average_Distance_by_kilometre_grouping_for_mode_type[#All],MATCH(A746,Average_Distance_by_kilometre_grouping_for_mode_type[#Headers],0),0)</f>
        <v>7</v>
      </c>
      <c r="I746" s="89">
        <f>VLOOKUP(D746,Average_Distance_by_kilometres_grouping_for_trip_purpose[#All],MATCH(A746,Average_Distance_by_kilometres_grouping_for_trip_purpose[#Headers],0),0)</f>
        <v>7</v>
      </c>
      <c r="J746" s="89">
        <f t="shared" si="57"/>
        <v>7</v>
      </c>
      <c r="K746" s="89">
        <f t="shared" si="58"/>
        <v>0.1328651418809908</v>
      </c>
      <c r="L746" s="89">
        <v>1</v>
      </c>
      <c r="M746" s="13">
        <f t="shared" si="59"/>
        <v>611313726.00238276</v>
      </c>
      <c r="N746" s="11">
        <f t="shared" si="60"/>
        <v>1.0874726784645451E-2</v>
      </c>
    </row>
    <row r="747" spans="1:14" x14ac:dyDescent="0.25">
      <c r="A747" s="79" t="s">
        <v>33</v>
      </c>
      <c r="B747" s="89" t="s">
        <v>5</v>
      </c>
      <c r="C747" s="89" t="s">
        <v>56</v>
      </c>
      <c r="D747" s="13" t="s">
        <v>1</v>
      </c>
      <c r="E747" s="35">
        <f>VLOOKUP(B747, Passenger_Kilometre_by_mode_type[#All],MATCH(A747, Passenger_Kilometre_by_mode_type[#Headers],0),0)</f>
        <v>40897858608.807022</v>
      </c>
      <c r="F747" s="89">
        <f>VLOOKUP(C747, Reason_for_car_journeys_by_percentage[#All],MATCH(A747, Reason_for_car_journeys_by_percentage[#Headers],0),0)/100</f>
        <v>0.1125</v>
      </c>
      <c r="G747" s="13">
        <f t="shared" si="56"/>
        <v>4601009093.4907904</v>
      </c>
      <c r="H747" s="89">
        <f>VLOOKUP(D747,Average_Distance_by_kilometre_grouping_for_mode_type[#All],MATCH(A747,Average_Distance_by_kilometre_grouping_for_mode_type[#Headers],0),0)</f>
        <v>35.22</v>
      </c>
      <c r="I747" s="89">
        <f>VLOOKUP(D747,Average_Distance_by_kilometres_grouping_for_trip_purpose[#All],MATCH(A747,Average_Distance_by_kilometres_grouping_for_trip_purpose[#Headers],0),0)</f>
        <v>38.15</v>
      </c>
      <c r="J747" s="89">
        <f t="shared" si="57"/>
        <v>36.685000000000002</v>
      </c>
      <c r="K747" s="89">
        <f t="shared" si="58"/>
        <v>0.69630824712916395</v>
      </c>
      <c r="L747" s="89">
        <v>1</v>
      </c>
      <c r="M747" s="13">
        <f t="shared" si="59"/>
        <v>3203720576.9139156</v>
      </c>
      <c r="N747" s="11">
        <f t="shared" si="60"/>
        <v>5.6991336013531187E-2</v>
      </c>
    </row>
    <row r="748" spans="1:14" x14ac:dyDescent="0.25">
      <c r="A748" s="79" t="s">
        <v>33</v>
      </c>
      <c r="B748" s="89" t="s">
        <v>5</v>
      </c>
      <c r="C748" s="89" t="s">
        <v>57</v>
      </c>
      <c r="D748" s="13" t="s">
        <v>12</v>
      </c>
      <c r="E748" s="35">
        <f>VLOOKUP(B748, Passenger_Kilometre_by_mode_type[#All],MATCH(A748, Passenger_Kilometre_by_mode_type[#Headers],0),0)</f>
        <v>40897858608.807022</v>
      </c>
      <c r="F748" s="89">
        <f>VLOOKUP(C748, Reason_for_car_journeys_by_percentage[#All],MATCH(A748, Reason_for_car_journeys_by_percentage[#Headers],0),0)/100</f>
        <v>7.8750000000000001E-2</v>
      </c>
      <c r="G748" s="13">
        <f t="shared" si="56"/>
        <v>3220706365.443553</v>
      </c>
      <c r="H748" s="89">
        <f>VLOOKUP(D748,Average_Distance_by_kilometre_grouping_for_mode_type[#All],MATCH(A748,Average_Distance_by_kilometre_grouping_for_mode_type[#Headers],0),0)</f>
        <v>1</v>
      </c>
      <c r="I748" s="89">
        <f>VLOOKUP(D748,Average_Distance_by_kilometres_grouping_for_trip_purpose[#All],MATCH(A748,Average_Distance_by_kilometres_grouping_for_trip_purpose[#Headers],0),0)</f>
        <v>1</v>
      </c>
      <c r="J748" s="89">
        <f t="shared" si="57"/>
        <v>1</v>
      </c>
      <c r="K748" s="89">
        <f t="shared" si="58"/>
        <v>1.8980734554427257E-2</v>
      </c>
      <c r="L748" s="89">
        <v>1</v>
      </c>
      <c r="M748" s="13">
        <f t="shared" si="59"/>
        <v>61131372.600238264</v>
      </c>
      <c r="N748" s="11">
        <f t="shared" si="60"/>
        <v>1.0874726784645449E-3</v>
      </c>
    </row>
    <row r="749" spans="1:14" x14ac:dyDescent="0.25">
      <c r="A749" s="79" t="s">
        <v>33</v>
      </c>
      <c r="B749" s="89" t="s">
        <v>5</v>
      </c>
      <c r="C749" s="89" t="s">
        <v>57</v>
      </c>
      <c r="D749" s="13" t="s">
        <v>181</v>
      </c>
      <c r="E749" s="35">
        <f>VLOOKUP(B749, Passenger_Kilometre_by_mode_type[#All],MATCH(A749, Passenger_Kilometre_by_mode_type[#Headers],0),0)</f>
        <v>40897858608.807022</v>
      </c>
      <c r="F749" s="89">
        <f>VLOOKUP(C749, Reason_for_car_journeys_by_percentage[#All],MATCH(A749, Reason_for_car_journeys_by_percentage[#Headers],0),0)/100</f>
        <v>7.8750000000000001E-2</v>
      </c>
      <c r="G749" s="13">
        <f t="shared" si="56"/>
        <v>3220706365.443553</v>
      </c>
      <c r="H749" s="89">
        <f>VLOOKUP(D749,Average_Distance_by_kilometre_grouping_for_mode_type[#All],MATCH(A749,Average_Distance_by_kilometre_grouping_for_mode_type[#Headers],0),0)</f>
        <v>3</v>
      </c>
      <c r="I749" s="89">
        <f>VLOOKUP(D749,Average_Distance_by_kilometres_grouping_for_trip_purpose[#All],MATCH(A749,Average_Distance_by_kilometres_grouping_for_trip_purpose[#Headers],0),0)</f>
        <v>3</v>
      </c>
      <c r="J749" s="89">
        <f t="shared" si="57"/>
        <v>3</v>
      </c>
      <c r="K749" s="89">
        <f t="shared" si="58"/>
        <v>5.6942203663281767E-2</v>
      </c>
      <c r="L749" s="89">
        <v>1</v>
      </c>
      <c r="M749" s="13">
        <f t="shared" si="59"/>
        <v>183394117.80071479</v>
      </c>
      <c r="N749" s="11">
        <f t="shared" si="60"/>
        <v>3.2624180353936346E-3</v>
      </c>
    </row>
    <row r="750" spans="1:14" x14ac:dyDescent="0.25">
      <c r="A750" s="79" t="s">
        <v>33</v>
      </c>
      <c r="B750" s="89" t="s">
        <v>5</v>
      </c>
      <c r="C750" s="89" t="s">
        <v>57</v>
      </c>
      <c r="D750" s="13" t="s">
        <v>180</v>
      </c>
      <c r="E750" s="35">
        <f>VLOOKUP(B750, Passenger_Kilometre_by_mode_type[#All],MATCH(A750, Passenger_Kilometre_by_mode_type[#Headers],0),0)</f>
        <v>40897858608.807022</v>
      </c>
      <c r="F750" s="89">
        <f>VLOOKUP(C750, Reason_for_car_journeys_by_percentage[#All],MATCH(A750, Reason_for_car_journeys_by_percentage[#Headers],0),0)/100</f>
        <v>7.8750000000000001E-2</v>
      </c>
      <c r="G750" s="13">
        <f t="shared" si="56"/>
        <v>3220706365.443553</v>
      </c>
      <c r="H750" s="89">
        <f>VLOOKUP(D750,Average_Distance_by_kilometre_grouping_for_mode_type[#All],MATCH(A750,Average_Distance_by_kilometre_grouping_for_mode_type[#Headers],0),0)</f>
        <v>5</v>
      </c>
      <c r="I750" s="89">
        <f>VLOOKUP(D750,Average_Distance_by_kilometres_grouping_for_trip_purpose[#All],MATCH(A750,Average_Distance_by_kilometres_grouping_for_trip_purpose[#Headers],0),0)</f>
        <v>5</v>
      </c>
      <c r="J750" s="89">
        <f t="shared" si="57"/>
        <v>5</v>
      </c>
      <c r="K750" s="89">
        <f t="shared" si="58"/>
        <v>9.490367277213628E-2</v>
      </c>
      <c r="L750" s="89">
        <v>1</v>
      </c>
      <c r="M750" s="13">
        <f t="shared" si="59"/>
        <v>305656863.00119132</v>
      </c>
      <c r="N750" s="11">
        <f t="shared" si="60"/>
        <v>5.4373633923227244E-3</v>
      </c>
    </row>
    <row r="751" spans="1:14" x14ac:dyDescent="0.25">
      <c r="A751" s="79" t="s">
        <v>33</v>
      </c>
      <c r="B751" s="89" t="s">
        <v>5</v>
      </c>
      <c r="C751" s="89" t="s">
        <v>57</v>
      </c>
      <c r="D751" s="13" t="s">
        <v>182</v>
      </c>
      <c r="E751" s="35">
        <f>VLOOKUP(B751, Passenger_Kilometre_by_mode_type[#All],MATCH(A751, Passenger_Kilometre_by_mode_type[#Headers],0),0)</f>
        <v>40897858608.807022</v>
      </c>
      <c r="F751" s="89">
        <f>VLOOKUP(C751, Reason_for_car_journeys_by_percentage[#All],MATCH(A751, Reason_for_car_journeys_by_percentage[#Headers],0),0)/100</f>
        <v>7.8750000000000001E-2</v>
      </c>
      <c r="G751" s="13">
        <f t="shared" si="56"/>
        <v>3220706365.443553</v>
      </c>
      <c r="H751" s="89">
        <f>VLOOKUP(D751,Average_Distance_by_kilometre_grouping_for_mode_type[#All],MATCH(A751,Average_Distance_by_kilometre_grouping_for_mode_type[#Headers],0),0)</f>
        <v>7</v>
      </c>
      <c r="I751" s="89">
        <f>VLOOKUP(D751,Average_Distance_by_kilometres_grouping_for_trip_purpose[#All],MATCH(A751,Average_Distance_by_kilometres_grouping_for_trip_purpose[#Headers],0),0)</f>
        <v>7</v>
      </c>
      <c r="J751" s="89">
        <f t="shared" si="57"/>
        <v>7</v>
      </c>
      <c r="K751" s="89">
        <f t="shared" si="58"/>
        <v>0.1328651418809908</v>
      </c>
      <c r="L751" s="89">
        <v>1</v>
      </c>
      <c r="M751" s="13">
        <f t="shared" si="59"/>
        <v>427919608.20166785</v>
      </c>
      <c r="N751" s="11">
        <f t="shared" si="60"/>
        <v>7.6123087492518142E-3</v>
      </c>
    </row>
    <row r="752" spans="1:14" x14ac:dyDescent="0.25">
      <c r="A752" s="79" t="s">
        <v>33</v>
      </c>
      <c r="B752" s="89" t="s">
        <v>5</v>
      </c>
      <c r="C752" s="89" t="s">
        <v>57</v>
      </c>
      <c r="D752" s="13" t="s">
        <v>1</v>
      </c>
      <c r="E752" s="35">
        <f>VLOOKUP(B752, Passenger_Kilometre_by_mode_type[#All],MATCH(A752, Passenger_Kilometre_by_mode_type[#Headers],0),0)</f>
        <v>40897858608.807022</v>
      </c>
      <c r="F752" s="89">
        <f>VLOOKUP(C752, Reason_for_car_journeys_by_percentage[#All],MATCH(A752, Reason_for_car_journeys_by_percentage[#Headers],0),0)/100</f>
        <v>7.8750000000000001E-2</v>
      </c>
      <c r="G752" s="13">
        <f t="shared" si="56"/>
        <v>3220706365.443553</v>
      </c>
      <c r="H752" s="89">
        <f>VLOOKUP(D752,Average_Distance_by_kilometre_grouping_for_mode_type[#All],MATCH(A752,Average_Distance_by_kilometre_grouping_for_mode_type[#Headers],0),0)</f>
        <v>35.22</v>
      </c>
      <c r="I752" s="89">
        <f>VLOOKUP(D752,Average_Distance_by_kilometres_grouping_for_trip_purpose[#All],MATCH(A752,Average_Distance_by_kilometres_grouping_for_trip_purpose[#Headers],0),0)</f>
        <v>38.15</v>
      </c>
      <c r="J752" s="89">
        <f t="shared" si="57"/>
        <v>36.685000000000002</v>
      </c>
      <c r="K752" s="89">
        <f t="shared" si="58"/>
        <v>0.69630824712916395</v>
      </c>
      <c r="L752" s="89">
        <v>1</v>
      </c>
      <c r="M752" s="13">
        <f t="shared" si="59"/>
        <v>2242604403.8397408</v>
      </c>
      <c r="N752" s="11">
        <f t="shared" si="60"/>
        <v>3.9893935209471827E-2</v>
      </c>
    </row>
    <row r="753" spans="1:14" x14ac:dyDescent="0.25">
      <c r="A753" s="79" t="s">
        <v>33</v>
      </c>
      <c r="B753" s="89" t="s">
        <v>5</v>
      </c>
      <c r="C753" s="89" t="s">
        <v>93</v>
      </c>
      <c r="D753" s="13" t="s">
        <v>12</v>
      </c>
      <c r="E753" s="35">
        <f>VLOOKUP(B753, Passenger_Kilometre_by_mode_type[#All],MATCH(A753, Passenger_Kilometre_by_mode_type[#Headers],0),0)</f>
        <v>40897858608.807022</v>
      </c>
      <c r="F753" s="89">
        <f>VLOOKUP(C753, Reason_for_car_journeys_by_percentage[#All],MATCH(A753, Reason_for_car_journeys_by_percentage[#Headers],0),0)/100</f>
        <v>6.7250000000000004E-2</v>
      </c>
      <c r="G753" s="13">
        <f t="shared" si="56"/>
        <v>2750380991.4422722</v>
      </c>
      <c r="H753" s="89">
        <f>VLOOKUP(D753,Average_Distance_by_kilometre_grouping_for_mode_type[#All],MATCH(A753,Average_Distance_by_kilometre_grouping_for_mode_type[#Headers],0),0)</f>
        <v>1</v>
      </c>
      <c r="I753" s="89">
        <f>VLOOKUP(D753,Average_Distance_by_kilometres_grouping_for_trip_purpose[#All],MATCH(A753,Average_Distance_by_kilometres_grouping_for_trip_purpose[#Headers],0),0)</f>
        <v>1</v>
      </c>
      <c r="J753" s="89">
        <f t="shared" si="57"/>
        <v>1</v>
      </c>
      <c r="K753" s="89">
        <f t="shared" si="58"/>
        <v>1.8980734554427257E-2</v>
      </c>
      <c r="L753" s="89">
        <v>1</v>
      </c>
      <c r="M753" s="13">
        <f t="shared" si="59"/>
        <v>52204251.522108234</v>
      </c>
      <c r="N753" s="11">
        <f t="shared" si="60"/>
        <v>9.2866714446654787E-4</v>
      </c>
    </row>
    <row r="754" spans="1:14" x14ac:dyDescent="0.25">
      <c r="A754" s="79" t="s">
        <v>33</v>
      </c>
      <c r="B754" s="89" t="s">
        <v>5</v>
      </c>
      <c r="C754" s="89" t="s">
        <v>93</v>
      </c>
      <c r="D754" s="13" t="s">
        <v>181</v>
      </c>
      <c r="E754" s="35">
        <f>VLOOKUP(B754, Passenger_Kilometre_by_mode_type[#All],MATCH(A754, Passenger_Kilometre_by_mode_type[#Headers],0),0)</f>
        <v>40897858608.807022</v>
      </c>
      <c r="F754" s="89">
        <f>VLOOKUP(C754, Reason_for_car_journeys_by_percentage[#All],MATCH(A754, Reason_for_car_journeys_by_percentage[#Headers],0),0)/100</f>
        <v>6.7250000000000004E-2</v>
      </c>
      <c r="G754" s="13">
        <f t="shared" si="56"/>
        <v>2750380991.4422722</v>
      </c>
      <c r="H754" s="89">
        <f>VLOOKUP(D754,Average_Distance_by_kilometre_grouping_for_mode_type[#All],MATCH(A754,Average_Distance_by_kilometre_grouping_for_mode_type[#Headers],0),0)</f>
        <v>3</v>
      </c>
      <c r="I754" s="89">
        <f>VLOOKUP(D754,Average_Distance_by_kilometres_grouping_for_trip_purpose[#All],MATCH(A754,Average_Distance_by_kilometres_grouping_for_trip_purpose[#Headers],0),0)</f>
        <v>3</v>
      </c>
      <c r="J754" s="89">
        <f t="shared" si="57"/>
        <v>3</v>
      </c>
      <c r="K754" s="89">
        <f t="shared" si="58"/>
        <v>5.6942203663281767E-2</v>
      </c>
      <c r="L754" s="89">
        <v>1</v>
      </c>
      <c r="M754" s="13">
        <f t="shared" si="59"/>
        <v>156612754.56632468</v>
      </c>
      <c r="N754" s="11">
        <f t="shared" si="60"/>
        <v>2.7860014333996432E-3</v>
      </c>
    </row>
    <row r="755" spans="1:14" x14ac:dyDescent="0.25">
      <c r="A755" s="79" t="s">
        <v>33</v>
      </c>
      <c r="B755" s="89" t="s">
        <v>5</v>
      </c>
      <c r="C755" s="89" t="s">
        <v>93</v>
      </c>
      <c r="D755" s="13" t="s">
        <v>180</v>
      </c>
      <c r="E755" s="35">
        <f>VLOOKUP(B755, Passenger_Kilometre_by_mode_type[#All],MATCH(A755, Passenger_Kilometre_by_mode_type[#Headers],0),0)</f>
        <v>40897858608.807022</v>
      </c>
      <c r="F755" s="89">
        <f>VLOOKUP(C755, Reason_for_car_journeys_by_percentage[#All],MATCH(A755, Reason_for_car_journeys_by_percentage[#Headers],0),0)/100</f>
        <v>6.7250000000000004E-2</v>
      </c>
      <c r="G755" s="13">
        <f t="shared" si="56"/>
        <v>2750380991.4422722</v>
      </c>
      <c r="H755" s="89">
        <f>VLOOKUP(D755,Average_Distance_by_kilometre_grouping_for_mode_type[#All],MATCH(A755,Average_Distance_by_kilometre_grouping_for_mode_type[#Headers],0),0)</f>
        <v>5</v>
      </c>
      <c r="I755" s="89">
        <f>VLOOKUP(D755,Average_Distance_by_kilometres_grouping_for_trip_purpose[#All],MATCH(A755,Average_Distance_by_kilometres_grouping_for_trip_purpose[#Headers],0),0)</f>
        <v>5</v>
      </c>
      <c r="J755" s="89">
        <f t="shared" si="57"/>
        <v>5</v>
      </c>
      <c r="K755" s="89">
        <f t="shared" si="58"/>
        <v>9.490367277213628E-2</v>
      </c>
      <c r="L755" s="89">
        <v>1</v>
      </c>
      <c r="M755" s="13">
        <f t="shared" si="59"/>
        <v>261021257.61054116</v>
      </c>
      <c r="N755" s="11">
        <f t="shared" si="60"/>
        <v>4.6433357223327389E-3</v>
      </c>
    </row>
    <row r="756" spans="1:14" x14ac:dyDescent="0.25">
      <c r="A756" s="79" t="s">
        <v>33</v>
      </c>
      <c r="B756" s="89" t="s">
        <v>5</v>
      </c>
      <c r="C756" s="89" t="s">
        <v>93</v>
      </c>
      <c r="D756" s="13" t="s">
        <v>182</v>
      </c>
      <c r="E756" s="35">
        <f>VLOOKUP(B756, Passenger_Kilometre_by_mode_type[#All],MATCH(A756, Passenger_Kilometre_by_mode_type[#Headers],0),0)</f>
        <v>40897858608.807022</v>
      </c>
      <c r="F756" s="89">
        <f>VLOOKUP(C756, Reason_for_car_journeys_by_percentage[#All],MATCH(A756, Reason_for_car_journeys_by_percentage[#Headers],0),0)/100</f>
        <v>6.7250000000000004E-2</v>
      </c>
      <c r="G756" s="13">
        <f t="shared" si="56"/>
        <v>2750380991.4422722</v>
      </c>
      <c r="H756" s="89">
        <f>VLOOKUP(D756,Average_Distance_by_kilometre_grouping_for_mode_type[#All],MATCH(A756,Average_Distance_by_kilometre_grouping_for_mode_type[#Headers],0),0)</f>
        <v>7</v>
      </c>
      <c r="I756" s="89">
        <f>VLOOKUP(D756,Average_Distance_by_kilometres_grouping_for_trip_purpose[#All],MATCH(A756,Average_Distance_by_kilometres_grouping_for_trip_purpose[#Headers],0),0)</f>
        <v>7</v>
      </c>
      <c r="J756" s="89">
        <f t="shared" si="57"/>
        <v>7</v>
      </c>
      <c r="K756" s="89">
        <f t="shared" si="58"/>
        <v>0.1328651418809908</v>
      </c>
      <c r="L756" s="89">
        <v>1</v>
      </c>
      <c r="M756" s="13">
        <f t="shared" si="59"/>
        <v>365429760.65475762</v>
      </c>
      <c r="N756" s="11">
        <f t="shared" si="60"/>
        <v>6.5006700112658347E-3</v>
      </c>
    </row>
    <row r="757" spans="1:14" x14ac:dyDescent="0.25">
      <c r="A757" s="79" t="s">
        <v>33</v>
      </c>
      <c r="B757" s="89" t="s">
        <v>5</v>
      </c>
      <c r="C757" s="89" t="s">
        <v>93</v>
      </c>
      <c r="D757" s="13" t="s">
        <v>1</v>
      </c>
      <c r="E757" s="35">
        <f>VLOOKUP(B757, Passenger_Kilometre_by_mode_type[#All],MATCH(A757, Passenger_Kilometre_by_mode_type[#Headers],0),0)</f>
        <v>40897858608.807022</v>
      </c>
      <c r="F757" s="89">
        <f>VLOOKUP(C757, Reason_for_car_journeys_by_percentage[#All],MATCH(A757, Reason_for_car_journeys_by_percentage[#Headers],0),0)/100</f>
        <v>6.7250000000000004E-2</v>
      </c>
      <c r="G757" s="13">
        <f t="shared" si="56"/>
        <v>2750380991.4422722</v>
      </c>
      <c r="H757" s="89">
        <f>VLOOKUP(D757,Average_Distance_by_kilometre_grouping_for_mode_type[#All],MATCH(A757,Average_Distance_by_kilometre_grouping_for_mode_type[#Headers],0),0)</f>
        <v>35.22</v>
      </c>
      <c r="I757" s="89">
        <f>VLOOKUP(D757,Average_Distance_by_kilometres_grouping_for_trip_purpose[#All],MATCH(A757,Average_Distance_by_kilometres_grouping_for_trip_purpose[#Headers],0),0)</f>
        <v>38.15</v>
      </c>
      <c r="J757" s="89">
        <f t="shared" si="57"/>
        <v>36.685000000000002</v>
      </c>
      <c r="K757" s="89">
        <f t="shared" si="58"/>
        <v>0.69630824712916395</v>
      </c>
      <c r="L757" s="89">
        <v>1</v>
      </c>
      <c r="M757" s="13">
        <f t="shared" si="59"/>
        <v>1915112967.0885406</v>
      </c>
      <c r="N757" s="11">
        <f t="shared" si="60"/>
        <v>3.4068154194755305E-2</v>
      </c>
    </row>
    <row r="758" spans="1:14" x14ac:dyDescent="0.25">
      <c r="A758" s="79" t="s">
        <v>33</v>
      </c>
      <c r="B758" s="89" t="s">
        <v>5</v>
      </c>
      <c r="C758" s="89" t="s">
        <v>243</v>
      </c>
      <c r="D758" s="13" t="s">
        <v>12</v>
      </c>
      <c r="E758" s="35">
        <f>VLOOKUP(B758, Passenger_Kilometre_by_mode_type[#All],MATCH(A758, Passenger_Kilometre_by_mode_type[#Headers],0),0)</f>
        <v>40897858608.807022</v>
      </c>
      <c r="F758" s="89">
        <f>VLOOKUP(C758, Reason_for_car_journeys_by_percentage[#All],MATCH(A758, Reason_for_car_journeys_by_percentage[#Headers],0),0)/100</f>
        <v>0.18149999999999999</v>
      </c>
      <c r="G758" s="13">
        <f t="shared" si="56"/>
        <v>7422961337.4984741</v>
      </c>
      <c r="H758" s="89">
        <f>VLOOKUP(D758,Average_Distance_by_kilometre_grouping_for_mode_type[#All],MATCH(A758,Average_Distance_by_kilometre_grouping_for_mode_type[#Headers],0),0)</f>
        <v>1</v>
      </c>
      <c r="I758" s="89">
        <f>VLOOKUP(D758,Average_Distance_by_kilometres_grouping_for_trip_purpose[#All],MATCH(A758,Average_Distance_by_kilometres_grouping_for_trip_purpose[#Headers],0),0)</f>
        <v>1</v>
      </c>
      <c r="J758" s="89">
        <f t="shared" si="57"/>
        <v>1</v>
      </c>
      <c r="K758" s="89">
        <f t="shared" si="58"/>
        <v>1.8980734554427257E-2</v>
      </c>
      <c r="L758" s="89">
        <v>1</v>
      </c>
      <c r="M758" s="13">
        <f t="shared" si="59"/>
        <v>140893258.75483486</v>
      </c>
      <c r="N758" s="11">
        <f t="shared" si="60"/>
        <v>2.5063656017944749E-3</v>
      </c>
    </row>
    <row r="759" spans="1:14" x14ac:dyDescent="0.25">
      <c r="A759" s="79" t="s">
        <v>33</v>
      </c>
      <c r="B759" s="89" t="s">
        <v>5</v>
      </c>
      <c r="C759" s="89" t="s">
        <v>243</v>
      </c>
      <c r="D759" s="13" t="s">
        <v>181</v>
      </c>
      <c r="E759" s="35">
        <f>VLOOKUP(B759, Passenger_Kilometre_by_mode_type[#All],MATCH(A759, Passenger_Kilometre_by_mode_type[#Headers],0),0)</f>
        <v>40897858608.807022</v>
      </c>
      <c r="F759" s="89">
        <f>VLOOKUP(C759, Reason_for_car_journeys_by_percentage[#All],MATCH(A759, Reason_for_car_journeys_by_percentage[#Headers],0),0)/100</f>
        <v>0.18149999999999999</v>
      </c>
      <c r="G759" s="13">
        <f t="shared" si="56"/>
        <v>7422961337.4984741</v>
      </c>
      <c r="H759" s="89">
        <f>VLOOKUP(D759,Average_Distance_by_kilometre_grouping_for_mode_type[#All],MATCH(A759,Average_Distance_by_kilometre_grouping_for_mode_type[#Headers],0),0)</f>
        <v>3</v>
      </c>
      <c r="I759" s="89">
        <f>VLOOKUP(D759,Average_Distance_by_kilometres_grouping_for_trip_purpose[#All],MATCH(A759,Average_Distance_by_kilometres_grouping_for_trip_purpose[#Headers],0),0)</f>
        <v>3</v>
      </c>
      <c r="J759" s="89">
        <f t="shared" si="57"/>
        <v>3</v>
      </c>
      <c r="K759" s="89">
        <f t="shared" si="58"/>
        <v>5.6942203663281767E-2</v>
      </c>
      <c r="L759" s="89">
        <v>1</v>
      </c>
      <c r="M759" s="13">
        <f t="shared" si="59"/>
        <v>422679776.26450455</v>
      </c>
      <c r="N759" s="11">
        <f t="shared" si="60"/>
        <v>7.5190968053834243E-3</v>
      </c>
    </row>
    <row r="760" spans="1:14" x14ac:dyDescent="0.25">
      <c r="A760" s="79" t="s">
        <v>33</v>
      </c>
      <c r="B760" s="89" t="s">
        <v>5</v>
      </c>
      <c r="C760" s="89" t="s">
        <v>243</v>
      </c>
      <c r="D760" s="13" t="s">
        <v>180</v>
      </c>
      <c r="E760" s="35">
        <f>VLOOKUP(B760, Passenger_Kilometre_by_mode_type[#All],MATCH(A760, Passenger_Kilometre_by_mode_type[#Headers],0),0)</f>
        <v>40897858608.807022</v>
      </c>
      <c r="F760" s="89">
        <f>VLOOKUP(C760, Reason_for_car_journeys_by_percentage[#All],MATCH(A760, Reason_for_car_journeys_by_percentage[#Headers],0),0)/100</f>
        <v>0.18149999999999999</v>
      </c>
      <c r="G760" s="13">
        <f t="shared" si="56"/>
        <v>7422961337.4984741</v>
      </c>
      <c r="H760" s="89">
        <f>VLOOKUP(D760,Average_Distance_by_kilometre_grouping_for_mode_type[#All],MATCH(A760,Average_Distance_by_kilometre_grouping_for_mode_type[#Headers],0),0)</f>
        <v>5</v>
      </c>
      <c r="I760" s="89">
        <f>VLOOKUP(D760,Average_Distance_by_kilometres_grouping_for_trip_purpose[#All],MATCH(A760,Average_Distance_by_kilometres_grouping_for_trip_purpose[#Headers],0),0)</f>
        <v>5</v>
      </c>
      <c r="J760" s="89">
        <f t="shared" si="57"/>
        <v>5</v>
      </c>
      <c r="K760" s="89">
        <f t="shared" si="58"/>
        <v>9.490367277213628E-2</v>
      </c>
      <c r="L760" s="89">
        <v>1</v>
      </c>
      <c r="M760" s="13">
        <f t="shared" si="59"/>
        <v>704466293.77417421</v>
      </c>
      <c r="N760" s="11">
        <f t="shared" si="60"/>
        <v>1.2531828008972373E-2</v>
      </c>
    </row>
    <row r="761" spans="1:14" x14ac:dyDescent="0.25">
      <c r="A761" s="79" t="s">
        <v>33</v>
      </c>
      <c r="B761" s="89" t="s">
        <v>5</v>
      </c>
      <c r="C761" s="89" t="s">
        <v>243</v>
      </c>
      <c r="D761" s="13" t="s">
        <v>182</v>
      </c>
      <c r="E761" s="35">
        <f>VLOOKUP(B761, Passenger_Kilometre_by_mode_type[#All],MATCH(A761, Passenger_Kilometre_by_mode_type[#Headers],0),0)</f>
        <v>40897858608.807022</v>
      </c>
      <c r="F761" s="89">
        <f>VLOOKUP(C761, Reason_for_car_journeys_by_percentage[#All],MATCH(A761, Reason_for_car_journeys_by_percentage[#Headers],0),0)/100</f>
        <v>0.18149999999999999</v>
      </c>
      <c r="G761" s="13">
        <f t="shared" si="56"/>
        <v>7422961337.4984741</v>
      </c>
      <c r="H761" s="89">
        <f>VLOOKUP(D761,Average_Distance_by_kilometre_grouping_for_mode_type[#All],MATCH(A761,Average_Distance_by_kilometre_grouping_for_mode_type[#Headers],0),0)</f>
        <v>7</v>
      </c>
      <c r="I761" s="89">
        <f>VLOOKUP(D761,Average_Distance_by_kilometres_grouping_for_trip_purpose[#All],MATCH(A761,Average_Distance_by_kilometres_grouping_for_trip_purpose[#Headers],0),0)</f>
        <v>7</v>
      </c>
      <c r="J761" s="89">
        <f t="shared" si="57"/>
        <v>7</v>
      </c>
      <c r="K761" s="89">
        <f t="shared" si="58"/>
        <v>0.1328651418809908</v>
      </c>
      <c r="L761" s="89">
        <v>1</v>
      </c>
      <c r="M761" s="13">
        <f t="shared" si="59"/>
        <v>986252811.28384399</v>
      </c>
      <c r="N761" s="11">
        <f t="shared" si="60"/>
        <v>1.7544559212561324E-2</v>
      </c>
    </row>
    <row r="762" spans="1:14" x14ac:dyDescent="0.25">
      <c r="A762" s="79" t="s">
        <v>33</v>
      </c>
      <c r="B762" s="89" t="s">
        <v>5</v>
      </c>
      <c r="C762" s="89" t="s">
        <v>243</v>
      </c>
      <c r="D762" s="13" t="s">
        <v>1</v>
      </c>
      <c r="E762" s="35">
        <f>VLOOKUP(B762, Passenger_Kilometre_by_mode_type[#All],MATCH(A762, Passenger_Kilometre_by_mode_type[#Headers],0),0)</f>
        <v>40897858608.807022</v>
      </c>
      <c r="F762" s="89">
        <f>VLOOKUP(C762, Reason_for_car_journeys_by_percentage[#All],MATCH(A762, Reason_for_car_journeys_by_percentage[#Headers],0),0)/100</f>
        <v>0.18149999999999999</v>
      </c>
      <c r="G762" s="13">
        <f t="shared" si="56"/>
        <v>7422961337.4984741</v>
      </c>
      <c r="H762" s="89">
        <f>VLOOKUP(D762,Average_Distance_by_kilometre_grouping_for_mode_type[#All],MATCH(A762,Average_Distance_by_kilometre_grouping_for_mode_type[#Headers],0),0)</f>
        <v>35.22</v>
      </c>
      <c r="I762" s="89">
        <f>VLOOKUP(D762,Average_Distance_by_kilometres_grouping_for_trip_purpose[#All],MATCH(A762,Average_Distance_by_kilometres_grouping_for_trip_purpose[#Headers],0),0)</f>
        <v>38.15</v>
      </c>
      <c r="J762" s="89">
        <f t="shared" si="57"/>
        <v>36.685000000000002</v>
      </c>
      <c r="K762" s="89">
        <f t="shared" si="58"/>
        <v>0.69630824712916395</v>
      </c>
      <c r="L762" s="89">
        <v>1</v>
      </c>
      <c r="M762" s="13">
        <f t="shared" si="59"/>
        <v>5168669197.4211168</v>
      </c>
      <c r="N762" s="11">
        <f t="shared" si="60"/>
        <v>9.194602210183031E-2</v>
      </c>
    </row>
    <row r="763" spans="1:14" x14ac:dyDescent="0.25">
      <c r="A763" s="79" t="s">
        <v>33</v>
      </c>
      <c r="B763" s="89" t="s">
        <v>5</v>
      </c>
      <c r="C763" s="89" t="s">
        <v>50</v>
      </c>
      <c r="D763" s="13" t="s">
        <v>12</v>
      </c>
      <c r="E763" s="35">
        <f>VLOOKUP(B763, Passenger_Kilometre_by_mode_type[#All],MATCH(A763, Passenger_Kilometre_by_mode_type[#Headers],0),0)</f>
        <v>40897858608.807022</v>
      </c>
      <c r="F763" s="89">
        <f>VLOOKUP(C763, Reason_for_car_journeys_by_percentage[#All],MATCH(A763, Reason_for_car_journeys_by_percentage[#Headers],0),0)/100</f>
        <v>3.4750000000000003E-2</v>
      </c>
      <c r="G763" s="13">
        <f t="shared" si="56"/>
        <v>1421200586.6560442</v>
      </c>
      <c r="H763" s="89">
        <f>VLOOKUP(D763,Average_Distance_by_kilometre_grouping_for_mode_type[#All],MATCH(A763,Average_Distance_by_kilometre_grouping_for_mode_type[#Headers],0),0)</f>
        <v>1</v>
      </c>
      <c r="I763" s="89">
        <f>VLOOKUP(D763,Average_Distance_by_kilometres_grouping_for_trip_purpose[#All],MATCH(A763,Average_Distance_by_kilometres_grouping_for_trip_purpose[#Headers],0),0)</f>
        <v>1</v>
      </c>
      <c r="J763" s="89">
        <f t="shared" si="57"/>
        <v>1</v>
      </c>
      <c r="K763" s="89">
        <f t="shared" si="58"/>
        <v>1.8980734554427257E-2</v>
      </c>
      <c r="L763" s="89">
        <v>1</v>
      </c>
      <c r="M763" s="13">
        <f t="shared" si="59"/>
        <v>26975431.083914667</v>
      </c>
      <c r="N763" s="11">
        <f t="shared" si="60"/>
        <v>4.7986889621133891E-4</v>
      </c>
    </row>
    <row r="764" spans="1:14" x14ac:dyDescent="0.25">
      <c r="A764" s="79" t="s">
        <v>33</v>
      </c>
      <c r="B764" s="89" t="s">
        <v>5</v>
      </c>
      <c r="C764" s="89" t="s">
        <v>50</v>
      </c>
      <c r="D764" s="13" t="s">
        <v>181</v>
      </c>
      <c r="E764" s="35">
        <f>VLOOKUP(B764, Passenger_Kilometre_by_mode_type[#All],MATCH(A764, Passenger_Kilometre_by_mode_type[#Headers],0),0)</f>
        <v>40897858608.807022</v>
      </c>
      <c r="F764" s="89">
        <f>VLOOKUP(C764, Reason_for_car_journeys_by_percentage[#All],MATCH(A764, Reason_for_car_journeys_by_percentage[#Headers],0),0)/100</f>
        <v>3.4750000000000003E-2</v>
      </c>
      <c r="G764" s="13">
        <f t="shared" si="56"/>
        <v>1421200586.6560442</v>
      </c>
      <c r="H764" s="89">
        <f>VLOOKUP(D764,Average_Distance_by_kilometre_grouping_for_mode_type[#All],MATCH(A764,Average_Distance_by_kilometre_grouping_for_mode_type[#Headers],0),0)</f>
        <v>3</v>
      </c>
      <c r="I764" s="89">
        <f>VLOOKUP(D764,Average_Distance_by_kilometres_grouping_for_trip_purpose[#All],MATCH(A764,Average_Distance_by_kilometres_grouping_for_trip_purpose[#Headers],0),0)</f>
        <v>3</v>
      </c>
      <c r="J764" s="89">
        <f t="shared" si="57"/>
        <v>3</v>
      </c>
      <c r="K764" s="89">
        <f t="shared" si="58"/>
        <v>5.6942203663281767E-2</v>
      </c>
      <c r="L764" s="89">
        <v>1</v>
      </c>
      <c r="M764" s="13">
        <f t="shared" si="59"/>
        <v>80926293.251744002</v>
      </c>
      <c r="N764" s="11">
        <f t="shared" si="60"/>
        <v>1.4396066886340167E-3</v>
      </c>
    </row>
    <row r="765" spans="1:14" x14ac:dyDescent="0.25">
      <c r="A765" s="79" t="s">
        <v>33</v>
      </c>
      <c r="B765" s="89" t="s">
        <v>5</v>
      </c>
      <c r="C765" s="89" t="s">
        <v>50</v>
      </c>
      <c r="D765" s="13" t="s">
        <v>180</v>
      </c>
      <c r="E765" s="35">
        <f>VLOOKUP(B765, Passenger_Kilometre_by_mode_type[#All],MATCH(A765, Passenger_Kilometre_by_mode_type[#Headers],0),0)</f>
        <v>40897858608.807022</v>
      </c>
      <c r="F765" s="89">
        <f>VLOOKUP(C765, Reason_for_car_journeys_by_percentage[#All],MATCH(A765, Reason_for_car_journeys_by_percentage[#Headers],0),0)/100</f>
        <v>3.4750000000000003E-2</v>
      </c>
      <c r="G765" s="13">
        <f t="shared" si="56"/>
        <v>1421200586.6560442</v>
      </c>
      <c r="H765" s="89">
        <f>VLOOKUP(D765,Average_Distance_by_kilometre_grouping_for_mode_type[#All],MATCH(A765,Average_Distance_by_kilometre_grouping_for_mode_type[#Headers],0),0)</f>
        <v>5</v>
      </c>
      <c r="I765" s="89">
        <f>VLOOKUP(D765,Average_Distance_by_kilometres_grouping_for_trip_purpose[#All],MATCH(A765,Average_Distance_by_kilometres_grouping_for_trip_purpose[#Headers],0),0)</f>
        <v>5</v>
      </c>
      <c r="J765" s="89">
        <f t="shared" si="57"/>
        <v>5</v>
      </c>
      <c r="K765" s="89">
        <f t="shared" si="58"/>
        <v>9.490367277213628E-2</v>
      </c>
      <c r="L765" s="89">
        <v>1</v>
      </c>
      <c r="M765" s="13">
        <f t="shared" si="59"/>
        <v>134877155.41957334</v>
      </c>
      <c r="N765" s="11">
        <f t="shared" si="60"/>
        <v>2.3993444810566948E-3</v>
      </c>
    </row>
    <row r="766" spans="1:14" x14ac:dyDescent="0.25">
      <c r="A766" s="79" t="s">
        <v>33</v>
      </c>
      <c r="B766" s="89" t="s">
        <v>5</v>
      </c>
      <c r="C766" s="89" t="s">
        <v>50</v>
      </c>
      <c r="D766" s="13" t="s">
        <v>182</v>
      </c>
      <c r="E766" s="35">
        <f>VLOOKUP(B766, Passenger_Kilometre_by_mode_type[#All],MATCH(A766, Passenger_Kilometre_by_mode_type[#Headers],0),0)</f>
        <v>40897858608.807022</v>
      </c>
      <c r="F766" s="89">
        <f>VLOOKUP(C766, Reason_for_car_journeys_by_percentage[#All],MATCH(A766, Reason_for_car_journeys_by_percentage[#Headers],0),0)/100</f>
        <v>3.4750000000000003E-2</v>
      </c>
      <c r="G766" s="13">
        <f t="shared" si="56"/>
        <v>1421200586.6560442</v>
      </c>
      <c r="H766" s="89">
        <f>VLOOKUP(D766,Average_Distance_by_kilometre_grouping_for_mode_type[#All],MATCH(A766,Average_Distance_by_kilometre_grouping_for_mode_type[#Headers],0),0)</f>
        <v>7</v>
      </c>
      <c r="I766" s="89">
        <f>VLOOKUP(D766,Average_Distance_by_kilometres_grouping_for_trip_purpose[#All],MATCH(A766,Average_Distance_by_kilometres_grouping_for_trip_purpose[#Headers],0),0)</f>
        <v>7</v>
      </c>
      <c r="J766" s="89">
        <f t="shared" si="57"/>
        <v>7</v>
      </c>
      <c r="K766" s="89">
        <f t="shared" si="58"/>
        <v>0.1328651418809908</v>
      </c>
      <c r="L766" s="89">
        <v>1</v>
      </c>
      <c r="M766" s="13">
        <f t="shared" si="59"/>
        <v>188828017.58740267</v>
      </c>
      <c r="N766" s="11">
        <f t="shared" si="60"/>
        <v>3.3590822734793726E-3</v>
      </c>
    </row>
    <row r="767" spans="1:14" x14ac:dyDescent="0.25">
      <c r="A767" s="79" t="s">
        <v>33</v>
      </c>
      <c r="B767" s="89" t="s">
        <v>5</v>
      </c>
      <c r="C767" s="89" t="s">
        <v>50</v>
      </c>
      <c r="D767" s="13" t="s">
        <v>1</v>
      </c>
      <c r="E767" s="35">
        <f>VLOOKUP(B767, Passenger_Kilometre_by_mode_type[#All],MATCH(A767, Passenger_Kilometre_by_mode_type[#Headers],0),0)</f>
        <v>40897858608.807022</v>
      </c>
      <c r="F767" s="89">
        <f>VLOOKUP(C767, Reason_for_car_journeys_by_percentage[#All],MATCH(A767, Reason_for_car_journeys_by_percentage[#Headers],0),0)/100</f>
        <v>3.4750000000000003E-2</v>
      </c>
      <c r="G767" s="13">
        <f t="shared" si="56"/>
        <v>1421200586.6560442</v>
      </c>
      <c r="H767" s="89">
        <f>VLOOKUP(D767,Average_Distance_by_kilometre_grouping_for_mode_type[#All],MATCH(A767,Average_Distance_by_kilometre_grouping_for_mode_type[#Headers],0),0)</f>
        <v>35.22</v>
      </c>
      <c r="I767" s="89">
        <f>VLOOKUP(D767,Average_Distance_by_kilometres_grouping_for_trip_purpose[#All],MATCH(A767,Average_Distance_by_kilometres_grouping_for_trip_purpose[#Headers],0),0)</f>
        <v>38.15</v>
      </c>
      <c r="J767" s="89">
        <f t="shared" si="57"/>
        <v>36.685000000000002</v>
      </c>
      <c r="K767" s="89">
        <f t="shared" si="58"/>
        <v>0.69630824712916395</v>
      </c>
      <c r="L767" s="89">
        <v>1</v>
      </c>
      <c r="M767" s="13">
        <f t="shared" si="59"/>
        <v>989593689.31340969</v>
      </c>
      <c r="N767" s="11">
        <f t="shared" si="60"/>
        <v>1.7603990457512972E-2</v>
      </c>
    </row>
    <row r="768" spans="1:14" x14ac:dyDescent="0.25">
      <c r="A768" s="79" t="s">
        <v>33</v>
      </c>
      <c r="B768" s="89" t="s">
        <v>6</v>
      </c>
      <c r="C768" s="89" t="s">
        <v>42</v>
      </c>
      <c r="D768" s="13" t="s">
        <v>12</v>
      </c>
      <c r="E768" s="35">
        <f>VLOOKUP(B768, Passenger_Kilometre_by_mode_type[#All],MATCH(A768, Passenger_Kilometre_by_mode_type[#Headers],0),0)</f>
        <v>6533218281.3236027</v>
      </c>
      <c r="F768" s="89">
        <f>VLOOKUP(C768, Reason_for_car_journeys_by_percentage[#All],MATCH(A768, Reason_for_car_journeys_by_percentage[#Headers],0),0)/100</f>
        <v>0.24349999999999997</v>
      </c>
      <c r="G768" s="13">
        <f t="shared" si="56"/>
        <v>1590838651.5022969</v>
      </c>
      <c r="H768" s="89">
        <f>VLOOKUP(D768,Average_Distance_by_kilometre_grouping_for_mode_type[#All],MATCH(A768,Average_Distance_by_kilometre_grouping_for_mode_type[#Headers],0),0)</f>
        <v>1</v>
      </c>
      <c r="I768" s="89">
        <f>VLOOKUP(D768,Average_Distance_by_kilometres_grouping_for_trip_purpose[#All],MATCH(A768,Average_Distance_by_kilometres_grouping_for_trip_purpose[#Headers],0),0)</f>
        <v>1</v>
      </c>
      <c r="J768" s="89">
        <f t="shared" si="57"/>
        <v>1</v>
      </c>
      <c r="K768" s="89">
        <f t="shared" si="58"/>
        <v>1.8980734554427257E-2</v>
      </c>
      <c r="L768" s="89">
        <v>1</v>
      </c>
      <c r="M768" s="13">
        <f t="shared" si="59"/>
        <v>30195286.163088109</v>
      </c>
      <c r="N768" s="11">
        <f t="shared" si="60"/>
        <v>5.3714725065160491E-4</v>
      </c>
    </row>
    <row r="769" spans="1:14" x14ac:dyDescent="0.25">
      <c r="A769" s="79" t="s">
        <v>33</v>
      </c>
      <c r="B769" s="89" t="s">
        <v>6</v>
      </c>
      <c r="C769" s="89" t="s">
        <v>42</v>
      </c>
      <c r="D769" s="13" t="s">
        <v>181</v>
      </c>
      <c r="E769" s="35">
        <f>VLOOKUP(B769, Passenger_Kilometre_by_mode_type[#All],MATCH(A769, Passenger_Kilometre_by_mode_type[#Headers],0),0)</f>
        <v>6533218281.3236027</v>
      </c>
      <c r="F769" s="89">
        <f>VLOOKUP(C769, Reason_for_car_journeys_by_percentage[#All],MATCH(A769, Reason_for_car_journeys_by_percentage[#Headers],0),0)/100</f>
        <v>0.24349999999999997</v>
      </c>
      <c r="G769" s="13">
        <f t="shared" si="56"/>
        <v>1590838651.5022969</v>
      </c>
      <c r="H769" s="89">
        <f>VLOOKUP(D769,Average_Distance_by_kilometre_grouping_for_mode_type[#All],MATCH(A769,Average_Distance_by_kilometre_grouping_for_mode_type[#Headers],0),0)</f>
        <v>3</v>
      </c>
      <c r="I769" s="89">
        <f>VLOOKUP(D769,Average_Distance_by_kilometres_grouping_for_trip_purpose[#All],MATCH(A769,Average_Distance_by_kilometres_grouping_for_trip_purpose[#Headers],0),0)</f>
        <v>3</v>
      </c>
      <c r="J769" s="89">
        <f t="shared" si="57"/>
        <v>3</v>
      </c>
      <c r="K769" s="89">
        <f t="shared" si="58"/>
        <v>5.6942203663281767E-2</v>
      </c>
      <c r="L769" s="89">
        <v>1</v>
      </c>
      <c r="M769" s="13">
        <f t="shared" si="59"/>
        <v>90585858.489264324</v>
      </c>
      <c r="N769" s="11">
        <f t="shared" si="60"/>
        <v>1.6114417519548147E-3</v>
      </c>
    </row>
    <row r="770" spans="1:14" x14ac:dyDescent="0.25">
      <c r="A770" s="79" t="s">
        <v>33</v>
      </c>
      <c r="B770" s="89" t="s">
        <v>6</v>
      </c>
      <c r="C770" s="89" t="s">
        <v>42</v>
      </c>
      <c r="D770" s="13" t="s">
        <v>180</v>
      </c>
      <c r="E770" s="35">
        <f>VLOOKUP(B770, Passenger_Kilometre_by_mode_type[#All],MATCH(A770, Passenger_Kilometre_by_mode_type[#Headers],0),0)</f>
        <v>6533218281.3236027</v>
      </c>
      <c r="F770" s="89">
        <f>VLOOKUP(C770, Reason_for_car_journeys_by_percentage[#All],MATCH(A770, Reason_for_car_journeys_by_percentage[#Headers],0),0)/100</f>
        <v>0.24349999999999997</v>
      </c>
      <c r="G770" s="13">
        <f t="shared" si="56"/>
        <v>1590838651.5022969</v>
      </c>
      <c r="H770" s="89">
        <f>VLOOKUP(D770,Average_Distance_by_kilometre_grouping_for_mode_type[#All],MATCH(A770,Average_Distance_by_kilometre_grouping_for_mode_type[#Headers],0),0)</f>
        <v>5</v>
      </c>
      <c r="I770" s="89">
        <f>VLOOKUP(D770,Average_Distance_by_kilometres_grouping_for_trip_purpose[#All],MATCH(A770,Average_Distance_by_kilometres_grouping_for_trip_purpose[#Headers],0),0)</f>
        <v>5</v>
      </c>
      <c r="J770" s="89">
        <f t="shared" si="57"/>
        <v>5</v>
      </c>
      <c r="K770" s="89">
        <f t="shared" si="58"/>
        <v>9.490367277213628E-2</v>
      </c>
      <c r="L770" s="89">
        <v>1</v>
      </c>
      <c r="M770" s="13">
        <f t="shared" si="59"/>
        <v>150976430.81544054</v>
      </c>
      <c r="N770" s="11">
        <f t="shared" si="60"/>
        <v>2.6857362532580246E-3</v>
      </c>
    </row>
    <row r="771" spans="1:14" x14ac:dyDescent="0.25">
      <c r="A771" s="79" t="s">
        <v>33</v>
      </c>
      <c r="B771" s="89" t="s">
        <v>6</v>
      </c>
      <c r="C771" s="89" t="s">
        <v>42</v>
      </c>
      <c r="D771" s="13" t="s">
        <v>182</v>
      </c>
      <c r="E771" s="35">
        <f>VLOOKUP(B771, Passenger_Kilometre_by_mode_type[#All],MATCH(A771, Passenger_Kilometre_by_mode_type[#Headers],0),0)</f>
        <v>6533218281.3236027</v>
      </c>
      <c r="F771" s="89">
        <f>VLOOKUP(C771, Reason_for_car_journeys_by_percentage[#All],MATCH(A771, Reason_for_car_journeys_by_percentage[#Headers],0),0)/100</f>
        <v>0.24349999999999997</v>
      </c>
      <c r="G771" s="13">
        <f t="shared" si="56"/>
        <v>1590838651.5022969</v>
      </c>
      <c r="H771" s="89">
        <f>VLOOKUP(D771,Average_Distance_by_kilometre_grouping_for_mode_type[#All],MATCH(A771,Average_Distance_by_kilometre_grouping_for_mode_type[#Headers],0),0)</f>
        <v>7</v>
      </c>
      <c r="I771" s="89">
        <f>VLOOKUP(D771,Average_Distance_by_kilometres_grouping_for_trip_purpose[#All],MATCH(A771,Average_Distance_by_kilometres_grouping_for_trip_purpose[#Headers],0),0)</f>
        <v>7</v>
      </c>
      <c r="J771" s="89">
        <f t="shared" si="57"/>
        <v>7</v>
      </c>
      <c r="K771" s="89">
        <f t="shared" si="58"/>
        <v>0.1328651418809908</v>
      </c>
      <c r="L771" s="89">
        <v>1</v>
      </c>
      <c r="M771" s="13">
        <f t="shared" si="59"/>
        <v>211367003.14161676</v>
      </c>
      <c r="N771" s="11">
        <f t="shared" si="60"/>
        <v>3.7600307545612344E-3</v>
      </c>
    </row>
    <row r="772" spans="1:14" x14ac:dyDescent="0.25">
      <c r="A772" s="79" t="s">
        <v>33</v>
      </c>
      <c r="B772" s="89" t="s">
        <v>6</v>
      </c>
      <c r="C772" s="89" t="s">
        <v>42</v>
      </c>
      <c r="D772" s="13" t="s">
        <v>1</v>
      </c>
      <c r="E772" s="35">
        <f>VLOOKUP(B772, Passenger_Kilometre_by_mode_type[#All],MATCH(A772, Passenger_Kilometre_by_mode_type[#Headers],0),0)</f>
        <v>6533218281.3236027</v>
      </c>
      <c r="F772" s="89">
        <f>VLOOKUP(C772, Reason_for_car_journeys_by_percentage[#All],MATCH(A772, Reason_for_car_journeys_by_percentage[#Headers],0),0)/100</f>
        <v>0.24349999999999997</v>
      </c>
      <c r="G772" s="13">
        <f t="shared" ref="G772:G835" si="61">E772*F772</f>
        <v>1590838651.5022969</v>
      </c>
      <c r="H772" s="89">
        <f>VLOOKUP(D772,Average_Distance_by_kilometre_grouping_for_mode_type[#All],MATCH(A772,Average_Distance_by_kilometre_grouping_for_mode_type[#Headers],0),0)</f>
        <v>35.22</v>
      </c>
      <c r="I772" s="89">
        <f>VLOOKUP(D772,Average_Distance_by_kilometres_grouping_for_trip_purpose[#All],MATCH(A772,Average_Distance_by_kilometres_grouping_for_trip_purpose[#Headers],0),0)</f>
        <v>38.15</v>
      </c>
      <c r="J772" s="89">
        <f t="shared" ref="J772:J835" si="62">AVERAGE(H772:I772)</f>
        <v>36.685000000000002</v>
      </c>
      <c r="K772" s="89">
        <f t="shared" ref="K772:K835" si="63">J772/SUM(J772:J776)</f>
        <v>0.69630824712916395</v>
      </c>
      <c r="L772" s="89">
        <v>1</v>
      </c>
      <c r="M772" s="13">
        <f t="shared" ref="M772:M835" si="64">G772*K772*L772</f>
        <v>1107714072.8928874</v>
      </c>
      <c r="N772" s="11">
        <f t="shared" si="60"/>
        <v>1.9705246890154127E-2</v>
      </c>
    </row>
    <row r="773" spans="1:14" x14ac:dyDescent="0.25">
      <c r="A773" s="79" t="s">
        <v>33</v>
      </c>
      <c r="B773" s="89" t="s">
        <v>6</v>
      </c>
      <c r="C773" s="89" t="s">
        <v>43</v>
      </c>
      <c r="D773" s="13" t="s">
        <v>12</v>
      </c>
      <c r="E773" s="35">
        <f>VLOOKUP(B773, Passenger_Kilometre_by_mode_type[#All],MATCH(A773, Passenger_Kilometre_by_mode_type[#Headers],0),0)</f>
        <v>6533218281.3236027</v>
      </c>
      <c r="F773" s="89">
        <f>VLOOKUP(C773, Reason_for_car_journeys_by_percentage[#All],MATCH(A773, Reason_for_car_journeys_by_percentage[#Headers],0),0)/100</f>
        <v>3.5499999999999997E-2</v>
      </c>
      <c r="G773" s="13">
        <f t="shared" si="61"/>
        <v>231929248.98698789</v>
      </c>
      <c r="H773" s="89">
        <f>VLOOKUP(D773,Average_Distance_by_kilometre_grouping_for_mode_type[#All],MATCH(A773,Average_Distance_by_kilometre_grouping_for_mode_type[#Headers],0),0)</f>
        <v>1</v>
      </c>
      <c r="I773" s="89">
        <f>VLOOKUP(D773,Average_Distance_by_kilometres_grouping_for_trip_purpose[#All],MATCH(A773,Average_Distance_by_kilometres_grouping_for_trip_purpose[#Headers],0),0)</f>
        <v>1</v>
      </c>
      <c r="J773" s="89">
        <f t="shared" si="62"/>
        <v>1</v>
      </c>
      <c r="K773" s="89">
        <f t="shared" si="63"/>
        <v>1.8980734554427257E-2</v>
      </c>
      <c r="L773" s="89">
        <v>1</v>
      </c>
      <c r="M773" s="13">
        <f t="shared" si="64"/>
        <v>4402187.5104296841</v>
      </c>
      <c r="N773" s="11">
        <f t="shared" si="60"/>
        <v>7.8310995474874652E-5</v>
      </c>
    </row>
    <row r="774" spans="1:14" x14ac:dyDescent="0.25">
      <c r="A774" s="79" t="s">
        <v>33</v>
      </c>
      <c r="B774" s="89" t="s">
        <v>6</v>
      </c>
      <c r="C774" s="89" t="s">
        <v>43</v>
      </c>
      <c r="D774" s="13" t="s">
        <v>181</v>
      </c>
      <c r="E774" s="35">
        <f>VLOOKUP(B774, Passenger_Kilometre_by_mode_type[#All],MATCH(A774, Passenger_Kilometre_by_mode_type[#Headers],0),0)</f>
        <v>6533218281.3236027</v>
      </c>
      <c r="F774" s="89">
        <f>VLOOKUP(C774, Reason_for_car_journeys_by_percentage[#All],MATCH(A774, Reason_for_car_journeys_by_percentage[#Headers],0),0)/100</f>
        <v>3.5499999999999997E-2</v>
      </c>
      <c r="G774" s="13">
        <f t="shared" si="61"/>
        <v>231929248.98698789</v>
      </c>
      <c r="H774" s="89">
        <f>VLOOKUP(D774,Average_Distance_by_kilometre_grouping_for_mode_type[#All],MATCH(A774,Average_Distance_by_kilometre_grouping_for_mode_type[#Headers],0),0)</f>
        <v>3</v>
      </c>
      <c r="I774" s="89">
        <f>VLOOKUP(D774,Average_Distance_by_kilometres_grouping_for_trip_purpose[#All],MATCH(A774,Average_Distance_by_kilometres_grouping_for_trip_purpose[#Headers],0),0)</f>
        <v>3</v>
      </c>
      <c r="J774" s="89">
        <f t="shared" si="62"/>
        <v>3</v>
      </c>
      <c r="K774" s="89">
        <f t="shared" si="63"/>
        <v>5.6942203663281767E-2</v>
      </c>
      <c r="L774" s="89">
        <v>1</v>
      </c>
      <c r="M774" s="13">
        <f t="shared" si="64"/>
        <v>13206562.53128905</v>
      </c>
      <c r="N774" s="11">
        <f t="shared" si="60"/>
        <v>2.3493298642462393E-4</v>
      </c>
    </row>
    <row r="775" spans="1:14" x14ac:dyDescent="0.25">
      <c r="A775" s="79" t="s">
        <v>33</v>
      </c>
      <c r="B775" s="89" t="s">
        <v>6</v>
      </c>
      <c r="C775" s="89" t="s">
        <v>43</v>
      </c>
      <c r="D775" s="13" t="s">
        <v>180</v>
      </c>
      <c r="E775" s="35">
        <f>VLOOKUP(B775, Passenger_Kilometre_by_mode_type[#All],MATCH(A775, Passenger_Kilometre_by_mode_type[#Headers],0),0)</f>
        <v>6533218281.3236027</v>
      </c>
      <c r="F775" s="89">
        <f>VLOOKUP(C775, Reason_for_car_journeys_by_percentage[#All],MATCH(A775, Reason_for_car_journeys_by_percentage[#Headers],0),0)/100</f>
        <v>3.5499999999999997E-2</v>
      </c>
      <c r="G775" s="13">
        <f t="shared" si="61"/>
        <v>231929248.98698789</v>
      </c>
      <c r="H775" s="89">
        <f>VLOOKUP(D775,Average_Distance_by_kilometre_grouping_for_mode_type[#All],MATCH(A775,Average_Distance_by_kilometre_grouping_for_mode_type[#Headers],0),0)</f>
        <v>5</v>
      </c>
      <c r="I775" s="89">
        <f>VLOOKUP(D775,Average_Distance_by_kilometres_grouping_for_trip_purpose[#All],MATCH(A775,Average_Distance_by_kilometres_grouping_for_trip_purpose[#Headers],0),0)</f>
        <v>5</v>
      </c>
      <c r="J775" s="89">
        <f t="shared" si="62"/>
        <v>5</v>
      </c>
      <c r="K775" s="89">
        <f t="shared" si="63"/>
        <v>9.490367277213628E-2</v>
      </c>
      <c r="L775" s="89">
        <v>1</v>
      </c>
      <c r="M775" s="13">
        <f t="shared" si="64"/>
        <v>22010937.552148417</v>
      </c>
      <c r="N775" s="11">
        <f t="shared" si="60"/>
        <v>3.9155497737437318E-4</v>
      </c>
    </row>
    <row r="776" spans="1:14" x14ac:dyDescent="0.25">
      <c r="A776" s="79" t="s">
        <v>33</v>
      </c>
      <c r="B776" s="89" t="s">
        <v>6</v>
      </c>
      <c r="C776" s="89" t="s">
        <v>43</v>
      </c>
      <c r="D776" s="13" t="s">
        <v>182</v>
      </c>
      <c r="E776" s="35">
        <f>VLOOKUP(B776, Passenger_Kilometre_by_mode_type[#All],MATCH(A776, Passenger_Kilometre_by_mode_type[#Headers],0),0)</f>
        <v>6533218281.3236027</v>
      </c>
      <c r="F776" s="89">
        <f>VLOOKUP(C776, Reason_for_car_journeys_by_percentage[#All],MATCH(A776, Reason_for_car_journeys_by_percentage[#Headers],0),0)/100</f>
        <v>3.5499999999999997E-2</v>
      </c>
      <c r="G776" s="13">
        <f t="shared" si="61"/>
        <v>231929248.98698789</v>
      </c>
      <c r="H776" s="89">
        <f>VLOOKUP(D776,Average_Distance_by_kilometre_grouping_for_mode_type[#All],MATCH(A776,Average_Distance_by_kilometre_grouping_for_mode_type[#Headers],0),0)</f>
        <v>7</v>
      </c>
      <c r="I776" s="89">
        <f>VLOOKUP(D776,Average_Distance_by_kilometres_grouping_for_trip_purpose[#All],MATCH(A776,Average_Distance_by_kilometres_grouping_for_trip_purpose[#Headers],0),0)</f>
        <v>7</v>
      </c>
      <c r="J776" s="89">
        <f t="shared" si="62"/>
        <v>7</v>
      </c>
      <c r="K776" s="89">
        <f t="shared" si="63"/>
        <v>0.1328651418809908</v>
      </c>
      <c r="L776" s="89">
        <v>1</v>
      </c>
      <c r="M776" s="13">
        <f t="shared" si="64"/>
        <v>30815312.573007789</v>
      </c>
      <c r="N776" s="11">
        <f t="shared" si="60"/>
        <v>5.4817696832412254E-4</v>
      </c>
    </row>
    <row r="777" spans="1:14" x14ac:dyDescent="0.25">
      <c r="A777" s="79" t="s">
        <v>33</v>
      </c>
      <c r="B777" s="89" t="s">
        <v>6</v>
      </c>
      <c r="C777" s="89" t="s">
        <v>43</v>
      </c>
      <c r="D777" s="13" t="s">
        <v>1</v>
      </c>
      <c r="E777" s="35">
        <f>VLOOKUP(B777, Passenger_Kilometre_by_mode_type[#All],MATCH(A777, Passenger_Kilometre_by_mode_type[#Headers],0),0)</f>
        <v>6533218281.3236027</v>
      </c>
      <c r="F777" s="89">
        <f>VLOOKUP(C777, Reason_for_car_journeys_by_percentage[#All],MATCH(A777, Reason_for_car_journeys_by_percentage[#Headers],0),0)/100</f>
        <v>3.5499999999999997E-2</v>
      </c>
      <c r="G777" s="13">
        <f t="shared" si="61"/>
        <v>231929248.98698789</v>
      </c>
      <c r="H777" s="89">
        <f>VLOOKUP(D777,Average_Distance_by_kilometre_grouping_for_mode_type[#All],MATCH(A777,Average_Distance_by_kilometre_grouping_for_mode_type[#Headers],0),0)</f>
        <v>35.22</v>
      </c>
      <c r="I777" s="89">
        <f>VLOOKUP(D777,Average_Distance_by_kilometres_grouping_for_trip_purpose[#All],MATCH(A777,Average_Distance_by_kilometres_grouping_for_trip_purpose[#Headers],0),0)</f>
        <v>38.15</v>
      </c>
      <c r="J777" s="89">
        <f t="shared" si="62"/>
        <v>36.685000000000002</v>
      </c>
      <c r="K777" s="89">
        <f t="shared" si="63"/>
        <v>0.69630824712916395</v>
      </c>
      <c r="L777" s="89">
        <v>1</v>
      </c>
      <c r="M777" s="13">
        <f t="shared" si="64"/>
        <v>161494248.82011297</v>
      </c>
      <c r="N777" s="11">
        <f t="shared" si="60"/>
        <v>2.8728388689957768E-3</v>
      </c>
    </row>
    <row r="778" spans="1:14" x14ac:dyDescent="0.25">
      <c r="A778" s="79" t="s">
        <v>33</v>
      </c>
      <c r="B778" s="89" t="s">
        <v>6</v>
      </c>
      <c r="C778" s="89" t="s">
        <v>44</v>
      </c>
      <c r="D778" s="13" t="s">
        <v>12</v>
      </c>
      <c r="E778" s="35">
        <f>VLOOKUP(B778, Passenger_Kilometre_by_mode_type[#All],MATCH(A778, Passenger_Kilometre_by_mode_type[#Headers],0),0)</f>
        <v>6533218281.3236027</v>
      </c>
      <c r="F778" s="89">
        <f>VLOOKUP(C778, Reason_for_car_journeys_by_percentage[#All],MATCH(A778, Reason_for_car_journeys_by_percentage[#Headers],0),0)/100</f>
        <v>0.23275000000000001</v>
      </c>
      <c r="G778" s="13">
        <f t="shared" si="61"/>
        <v>1520606554.9780686</v>
      </c>
      <c r="H778" s="89">
        <f>VLOOKUP(D778,Average_Distance_by_kilometre_grouping_for_mode_type[#All],MATCH(A778,Average_Distance_by_kilometre_grouping_for_mode_type[#Headers],0),0)</f>
        <v>1</v>
      </c>
      <c r="I778" s="89">
        <f>VLOOKUP(D778,Average_Distance_by_kilometres_grouping_for_trip_purpose[#All],MATCH(A778,Average_Distance_by_kilometres_grouping_for_trip_purpose[#Headers],0),0)</f>
        <v>1</v>
      </c>
      <c r="J778" s="89">
        <f t="shared" si="62"/>
        <v>1</v>
      </c>
      <c r="K778" s="89">
        <f t="shared" si="63"/>
        <v>1.8980734554427257E-2</v>
      </c>
      <c r="L778" s="89">
        <v>1</v>
      </c>
      <c r="M778" s="13">
        <f t="shared" si="64"/>
        <v>28862229.381760817</v>
      </c>
      <c r="N778" s="11">
        <f t="shared" si="60"/>
        <v>5.1343335765569227E-4</v>
      </c>
    </row>
    <row r="779" spans="1:14" x14ac:dyDescent="0.25">
      <c r="A779" s="79" t="s">
        <v>33</v>
      </c>
      <c r="B779" s="89" t="s">
        <v>6</v>
      </c>
      <c r="C779" s="89" t="s">
        <v>44</v>
      </c>
      <c r="D779" s="13" t="s">
        <v>181</v>
      </c>
      <c r="E779" s="35">
        <f>VLOOKUP(B779, Passenger_Kilometre_by_mode_type[#All],MATCH(A779, Passenger_Kilometre_by_mode_type[#Headers],0),0)</f>
        <v>6533218281.3236027</v>
      </c>
      <c r="F779" s="89">
        <f>VLOOKUP(C779, Reason_for_car_journeys_by_percentage[#All],MATCH(A779, Reason_for_car_journeys_by_percentage[#Headers],0),0)/100</f>
        <v>0.23275000000000001</v>
      </c>
      <c r="G779" s="13">
        <f t="shared" si="61"/>
        <v>1520606554.9780686</v>
      </c>
      <c r="H779" s="89">
        <f>VLOOKUP(D779,Average_Distance_by_kilometre_grouping_for_mode_type[#All],MATCH(A779,Average_Distance_by_kilometre_grouping_for_mode_type[#Headers],0),0)</f>
        <v>3</v>
      </c>
      <c r="I779" s="89">
        <f>VLOOKUP(D779,Average_Distance_by_kilometres_grouping_for_trip_purpose[#All],MATCH(A779,Average_Distance_by_kilometres_grouping_for_trip_purpose[#Headers],0),0)</f>
        <v>3</v>
      </c>
      <c r="J779" s="89">
        <f t="shared" si="62"/>
        <v>3</v>
      </c>
      <c r="K779" s="89">
        <f t="shared" si="63"/>
        <v>5.6942203663281767E-2</v>
      </c>
      <c r="L779" s="89">
        <v>1</v>
      </c>
      <c r="M779" s="13">
        <f t="shared" si="64"/>
        <v>86586688.145282447</v>
      </c>
      <c r="N779" s="11">
        <f t="shared" si="60"/>
        <v>1.5403000729670767E-3</v>
      </c>
    </row>
    <row r="780" spans="1:14" x14ac:dyDescent="0.25">
      <c r="A780" s="79" t="s">
        <v>33</v>
      </c>
      <c r="B780" s="89" t="s">
        <v>6</v>
      </c>
      <c r="C780" s="89" t="s">
        <v>44</v>
      </c>
      <c r="D780" s="13" t="s">
        <v>180</v>
      </c>
      <c r="E780" s="35">
        <f>VLOOKUP(B780, Passenger_Kilometre_by_mode_type[#All],MATCH(A780, Passenger_Kilometre_by_mode_type[#Headers],0),0)</f>
        <v>6533218281.3236027</v>
      </c>
      <c r="F780" s="89">
        <f>VLOOKUP(C780, Reason_for_car_journeys_by_percentage[#All],MATCH(A780, Reason_for_car_journeys_by_percentage[#Headers],0),0)/100</f>
        <v>0.23275000000000001</v>
      </c>
      <c r="G780" s="13">
        <f t="shared" si="61"/>
        <v>1520606554.9780686</v>
      </c>
      <c r="H780" s="89">
        <f>VLOOKUP(D780,Average_Distance_by_kilometre_grouping_for_mode_type[#All],MATCH(A780,Average_Distance_by_kilometre_grouping_for_mode_type[#Headers],0),0)</f>
        <v>5</v>
      </c>
      <c r="I780" s="89">
        <f>VLOOKUP(D780,Average_Distance_by_kilometres_grouping_for_trip_purpose[#All],MATCH(A780,Average_Distance_by_kilometres_grouping_for_trip_purpose[#Headers],0),0)</f>
        <v>5</v>
      </c>
      <c r="J780" s="89">
        <f t="shared" si="62"/>
        <v>5</v>
      </c>
      <c r="K780" s="89">
        <f t="shared" si="63"/>
        <v>9.490367277213628E-2</v>
      </c>
      <c r="L780" s="89">
        <v>1</v>
      </c>
      <c r="M780" s="13">
        <f t="shared" si="64"/>
        <v>144311146.90880409</v>
      </c>
      <c r="N780" s="11">
        <f t="shared" si="60"/>
        <v>2.5671667882784617E-3</v>
      </c>
    </row>
    <row r="781" spans="1:14" x14ac:dyDescent="0.25">
      <c r="A781" s="79" t="s">
        <v>33</v>
      </c>
      <c r="B781" s="89" t="s">
        <v>6</v>
      </c>
      <c r="C781" s="89" t="s">
        <v>44</v>
      </c>
      <c r="D781" s="13" t="s">
        <v>182</v>
      </c>
      <c r="E781" s="35">
        <f>VLOOKUP(B781, Passenger_Kilometre_by_mode_type[#All],MATCH(A781, Passenger_Kilometre_by_mode_type[#Headers],0),0)</f>
        <v>6533218281.3236027</v>
      </c>
      <c r="F781" s="89">
        <f>VLOOKUP(C781, Reason_for_car_journeys_by_percentage[#All],MATCH(A781, Reason_for_car_journeys_by_percentage[#Headers],0),0)/100</f>
        <v>0.23275000000000001</v>
      </c>
      <c r="G781" s="13">
        <f t="shared" si="61"/>
        <v>1520606554.9780686</v>
      </c>
      <c r="H781" s="89">
        <f>VLOOKUP(D781,Average_Distance_by_kilometre_grouping_for_mode_type[#All],MATCH(A781,Average_Distance_by_kilometre_grouping_for_mode_type[#Headers],0),0)</f>
        <v>7</v>
      </c>
      <c r="I781" s="89">
        <f>VLOOKUP(D781,Average_Distance_by_kilometres_grouping_for_trip_purpose[#All],MATCH(A781,Average_Distance_by_kilometres_grouping_for_trip_purpose[#Headers],0),0)</f>
        <v>7</v>
      </c>
      <c r="J781" s="89">
        <f t="shared" si="62"/>
        <v>7</v>
      </c>
      <c r="K781" s="89">
        <f t="shared" si="63"/>
        <v>0.1328651418809908</v>
      </c>
      <c r="L781" s="89">
        <v>1</v>
      </c>
      <c r="M781" s="13">
        <f t="shared" si="64"/>
        <v>202035605.67232573</v>
      </c>
      <c r="N781" s="11">
        <f t="shared" si="60"/>
        <v>3.594033503589846E-3</v>
      </c>
    </row>
    <row r="782" spans="1:14" x14ac:dyDescent="0.25">
      <c r="A782" s="79" t="s">
        <v>33</v>
      </c>
      <c r="B782" s="89" t="s">
        <v>6</v>
      </c>
      <c r="C782" s="89" t="s">
        <v>44</v>
      </c>
      <c r="D782" s="13" t="s">
        <v>1</v>
      </c>
      <c r="E782" s="35">
        <f>VLOOKUP(B782, Passenger_Kilometre_by_mode_type[#All],MATCH(A782, Passenger_Kilometre_by_mode_type[#Headers],0),0)</f>
        <v>6533218281.3236027</v>
      </c>
      <c r="F782" s="89">
        <f>VLOOKUP(C782, Reason_for_car_journeys_by_percentage[#All],MATCH(A782, Reason_for_car_journeys_by_percentage[#Headers],0),0)/100</f>
        <v>0.23275000000000001</v>
      </c>
      <c r="G782" s="13">
        <f t="shared" si="61"/>
        <v>1520606554.9780686</v>
      </c>
      <c r="H782" s="89">
        <f>VLOOKUP(D782,Average_Distance_by_kilometre_grouping_for_mode_type[#All],MATCH(A782,Average_Distance_by_kilometre_grouping_for_mode_type[#Headers],0),0)</f>
        <v>35.22</v>
      </c>
      <c r="I782" s="89">
        <f>VLOOKUP(D782,Average_Distance_by_kilometres_grouping_for_trip_purpose[#All],MATCH(A782,Average_Distance_by_kilometres_grouping_for_trip_purpose[#Headers],0),0)</f>
        <v>38.15</v>
      </c>
      <c r="J782" s="89">
        <f t="shared" si="62"/>
        <v>36.685000000000002</v>
      </c>
      <c r="K782" s="89">
        <f t="shared" si="63"/>
        <v>0.69630824712916395</v>
      </c>
      <c r="L782" s="89">
        <v>1</v>
      </c>
      <c r="M782" s="13">
        <f t="shared" si="64"/>
        <v>1058810884.8698956</v>
      </c>
      <c r="N782" s="11">
        <f t="shared" si="60"/>
        <v>1.8835302725599072E-2</v>
      </c>
    </row>
    <row r="783" spans="1:14" x14ac:dyDescent="0.25">
      <c r="A783" s="79" t="s">
        <v>33</v>
      </c>
      <c r="B783" s="89" t="s">
        <v>6</v>
      </c>
      <c r="C783" s="89" t="s">
        <v>45</v>
      </c>
      <c r="D783" s="13" t="s">
        <v>12</v>
      </c>
      <c r="E783" s="35">
        <f>VLOOKUP(B783, Passenger_Kilometre_by_mode_type[#All],MATCH(A783, Passenger_Kilometre_by_mode_type[#Headers],0),0)</f>
        <v>6533218281.3236027</v>
      </c>
      <c r="F783" s="89">
        <f>VLOOKUP(C783, Reason_for_car_journeys_by_percentage[#All],MATCH(A783, Reason_for_car_journeys_by_percentage[#Headers],0),0)/100</f>
        <v>1.3500000000000002E-2</v>
      </c>
      <c r="G783" s="13">
        <f t="shared" si="61"/>
        <v>88198446.797868639</v>
      </c>
      <c r="H783" s="89">
        <f>VLOOKUP(D783,Average_Distance_by_kilometre_grouping_for_mode_type[#All],MATCH(A783,Average_Distance_by_kilometre_grouping_for_mode_type[#Headers],0),0)</f>
        <v>1</v>
      </c>
      <c r="I783" s="89">
        <f>VLOOKUP(D783,Average_Distance_by_kilometres_grouping_for_trip_purpose[#All],MATCH(A783,Average_Distance_by_kilometres_grouping_for_trip_purpose[#Headers],0),0)</f>
        <v>1</v>
      </c>
      <c r="J783" s="89">
        <f t="shared" si="62"/>
        <v>1</v>
      </c>
      <c r="K783" s="89">
        <f t="shared" si="63"/>
        <v>1.8980734554427257E-2</v>
      </c>
      <c r="L783" s="89">
        <v>1</v>
      </c>
      <c r="M783" s="13">
        <f t="shared" si="64"/>
        <v>1674071.3067831192</v>
      </c>
      <c r="N783" s="11">
        <f t="shared" si="60"/>
        <v>2.9780237715797401E-5</v>
      </c>
    </row>
    <row r="784" spans="1:14" x14ac:dyDescent="0.25">
      <c r="A784" s="79" t="s">
        <v>33</v>
      </c>
      <c r="B784" s="89" t="s">
        <v>6</v>
      </c>
      <c r="C784" s="89" t="s">
        <v>45</v>
      </c>
      <c r="D784" s="13" t="s">
        <v>181</v>
      </c>
      <c r="E784" s="35">
        <f>VLOOKUP(B784, Passenger_Kilometre_by_mode_type[#All],MATCH(A784, Passenger_Kilometre_by_mode_type[#Headers],0),0)</f>
        <v>6533218281.3236027</v>
      </c>
      <c r="F784" s="89">
        <f>VLOOKUP(C784, Reason_for_car_journeys_by_percentage[#All],MATCH(A784, Reason_for_car_journeys_by_percentage[#Headers],0),0)/100</f>
        <v>1.3500000000000002E-2</v>
      </c>
      <c r="G784" s="13">
        <f t="shared" si="61"/>
        <v>88198446.797868639</v>
      </c>
      <c r="H784" s="89">
        <f>VLOOKUP(D784,Average_Distance_by_kilometre_grouping_for_mode_type[#All],MATCH(A784,Average_Distance_by_kilometre_grouping_for_mode_type[#Headers],0),0)</f>
        <v>3</v>
      </c>
      <c r="I784" s="89">
        <f>VLOOKUP(D784,Average_Distance_by_kilometres_grouping_for_trip_purpose[#All],MATCH(A784,Average_Distance_by_kilometres_grouping_for_trip_purpose[#Headers],0),0)</f>
        <v>3</v>
      </c>
      <c r="J784" s="89">
        <f t="shared" si="62"/>
        <v>3</v>
      </c>
      <c r="K784" s="89">
        <f t="shared" si="63"/>
        <v>5.6942203663281767E-2</v>
      </c>
      <c r="L784" s="89">
        <v>1</v>
      </c>
      <c r="M784" s="13">
        <f t="shared" si="64"/>
        <v>5022213.9203493576</v>
      </c>
      <c r="N784" s="11">
        <f t="shared" si="60"/>
        <v>8.9340713147392209E-5</v>
      </c>
    </row>
    <row r="785" spans="1:14" x14ac:dyDescent="0.25">
      <c r="A785" s="79" t="s">
        <v>33</v>
      </c>
      <c r="B785" s="89" t="s">
        <v>6</v>
      </c>
      <c r="C785" s="89" t="s">
        <v>45</v>
      </c>
      <c r="D785" s="13" t="s">
        <v>180</v>
      </c>
      <c r="E785" s="35">
        <f>VLOOKUP(B785, Passenger_Kilometre_by_mode_type[#All],MATCH(A785, Passenger_Kilometre_by_mode_type[#Headers],0),0)</f>
        <v>6533218281.3236027</v>
      </c>
      <c r="F785" s="89">
        <f>VLOOKUP(C785, Reason_for_car_journeys_by_percentage[#All],MATCH(A785, Reason_for_car_journeys_by_percentage[#Headers],0),0)/100</f>
        <v>1.3500000000000002E-2</v>
      </c>
      <c r="G785" s="13">
        <f t="shared" si="61"/>
        <v>88198446.797868639</v>
      </c>
      <c r="H785" s="89">
        <f>VLOOKUP(D785,Average_Distance_by_kilometre_grouping_for_mode_type[#All],MATCH(A785,Average_Distance_by_kilometre_grouping_for_mode_type[#Headers],0),0)</f>
        <v>5</v>
      </c>
      <c r="I785" s="89">
        <f>VLOOKUP(D785,Average_Distance_by_kilometres_grouping_for_trip_purpose[#All],MATCH(A785,Average_Distance_by_kilometres_grouping_for_trip_purpose[#Headers],0),0)</f>
        <v>5</v>
      </c>
      <c r="J785" s="89">
        <f t="shared" si="62"/>
        <v>5</v>
      </c>
      <c r="K785" s="89">
        <f t="shared" si="63"/>
        <v>9.490367277213628E-2</v>
      </c>
      <c r="L785" s="89">
        <v>1</v>
      </c>
      <c r="M785" s="13">
        <f t="shared" si="64"/>
        <v>8370356.5339155961</v>
      </c>
      <c r="N785" s="11">
        <f t="shared" si="60"/>
        <v>1.4890118857898701E-4</v>
      </c>
    </row>
    <row r="786" spans="1:14" x14ac:dyDescent="0.25">
      <c r="A786" s="79" t="s">
        <v>33</v>
      </c>
      <c r="B786" s="89" t="s">
        <v>6</v>
      </c>
      <c r="C786" s="89" t="s">
        <v>45</v>
      </c>
      <c r="D786" s="13" t="s">
        <v>182</v>
      </c>
      <c r="E786" s="35">
        <f>VLOOKUP(B786, Passenger_Kilometre_by_mode_type[#All],MATCH(A786, Passenger_Kilometre_by_mode_type[#Headers],0),0)</f>
        <v>6533218281.3236027</v>
      </c>
      <c r="F786" s="89">
        <f>VLOOKUP(C786, Reason_for_car_journeys_by_percentage[#All],MATCH(A786, Reason_for_car_journeys_by_percentage[#Headers],0),0)/100</f>
        <v>1.3500000000000002E-2</v>
      </c>
      <c r="G786" s="13">
        <f t="shared" si="61"/>
        <v>88198446.797868639</v>
      </c>
      <c r="H786" s="89">
        <f>VLOOKUP(D786,Average_Distance_by_kilometre_grouping_for_mode_type[#All],MATCH(A786,Average_Distance_by_kilometre_grouping_for_mode_type[#Headers],0),0)</f>
        <v>7</v>
      </c>
      <c r="I786" s="89">
        <f>VLOOKUP(D786,Average_Distance_by_kilometres_grouping_for_trip_purpose[#All],MATCH(A786,Average_Distance_by_kilometres_grouping_for_trip_purpose[#Headers],0),0)</f>
        <v>7</v>
      </c>
      <c r="J786" s="89">
        <f t="shared" si="62"/>
        <v>7</v>
      </c>
      <c r="K786" s="89">
        <f t="shared" si="63"/>
        <v>0.1328651418809908</v>
      </c>
      <c r="L786" s="89">
        <v>1</v>
      </c>
      <c r="M786" s="13">
        <f t="shared" si="64"/>
        <v>11718499.147481836</v>
      </c>
      <c r="N786" s="11">
        <f t="shared" si="60"/>
        <v>2.0846166401058185E-4</v>
      </c>
    </row>
    <row r="787" spans="1:14" x14ac:dyDescent="0.25">
      <c r="A787" s="79" t="s">
        <v>33</v>
      </c>
      <c r="B787" s="89" t="s">
        <v>6</v>
      </c>
      <c r="C787" s="89" t="s">
        <v>45</v>
      </c>
      <c r="D787" s="13" t="s">
        <v>1</v>
      </c>
      <c r="E787" s="35">
        <f>VLOOKUP(B787, Passenger_Kilometre_by_mode_type[#All],MATCH(A787, Passenger_Kilometre_by_mode_type[#Headers],0),0)</f>
        <v>6533218281.3236027</v>
      </c>
      <c r="F787" s="89">
        <f>VLOOKUP(C787, Reason_for_car_journeys_by_percentage[#All],MATCH(A787, Reason_for_car_journeys_by_percentage[#Headers],0),0)/100</f>
        <v>1.3500000000000002E-2</v>
      </c>
      <c r="G787" s="13">
        <f t="shared" si="61"/>
        <v>88198446.797868639</v>
      </c>
      <c r="H787" s="89">
        <f>VLOOKUP(D787,Average_Distance_by_kilometre_grouping_for_mode_type[#All],MATCH(A787,Average_Distance_by_kilometre_grouping_for_mode_type[#Headers],0),0)</f>
        <v>35.22</v>
      </c>
      <c r="I787" s="89">
        <f>VLOOKUP(D787,Average_Distance_by_kilometres_grouping_for_trip_purpose[#All],MATCH(A787,Average_Distance_by_kilometres_grouping_for_trip_purpose[#Headers],0),0)</f>
        <v>38.15</v>
      </c>
      <c r="J787" s="89">
        <f t="shared" si="62"/>
        <v>36.685000000000002</v>
      </c>
      <c r="K787" s="89">
        <f t="shared" si="63"/>
        <v>0.69630824712916395</v>
      </c>
      <c r="L787" s="89">
        <v>1</v>
      </c>
      <c r="M787" s="13">
        <f t="shared" si="64"/>
        <v>61413305.889338732</v>
      </c>
      <c r="N787" s="11">
        <f t="shared" si="60"/>
        <v>1.0924880206040278E-3</v>
      </c>
    </row>
    <row r="788" spans="1:14" x14ac:dyDescent="0.25">
      <c r="A788" s="79" t="s">
        <v>33</v>
      </c>
      <c r="B788" s="89" t="s">
        <v>6</v>
      </c>
      <c r="C788" s="89" t="s">
        <v>56</v>
      </c>
      <c r="D788" s="13" t="s">
        <v>12</v>
      </c>
      <c r="E788" s="35">
        <f>VLOOKUP(B788, Passenger_Kilometre_by_mode_type[#All],MATCH(A788, Passenger_Kilometre_by_mode_type[#Headers],0),0)</f>
        <v>6533218281.3236027</v>
      </c>
      <c r="F788" s="89">
        <f>VLOOKUP(C788, Reason_for_car_journeys_by_percentage[#All],MATCH(A788, Reason_for_car_journeys_by_percentage[#Headers],0),0)/100</f>
        <v>0.1125</v>
      </c>
      <c r="G788" s="13">
        <f t="shared" si="61"/>
        <v>734987056.64890528</v>
      </c>
      <c r="H788" s="89">
        <f>VLOOKUP(D788,Average_Distance_by_kilometre_grouping_for_mode_type[#All],MATCH(A788,Average_Distance_by_kilometre_grouping_for_mode_type[#Headers],0),0)</f>
        <v>1</v>
      </c>
      <c r="I788" s="89">
        <f>VLOOKUP(D788,Average_Distance_by_kilometres_grouping_for_trip_purpose[#All],MATCH(A788,Average_Distance_by_kilometres_grouping_for_trip_purpose[#Headers],0),0)</f>
        <v>1</v>
      </c>
      <c r="J788" s="89">
        <f t="shared" si="62"/>
        <v>1</v>
      </c>
      <c r="K788" s="89">
        <f t="shared" si="63"/>
        <v>1.8980734554427257E-2</v>
      </c>
      <c r="L788" s="89">
        <v>1</v>
      </c>
      <c r="M788" s="13">
        <f t="shared" si="64"/>
        <v>13950594.22319266</v>
      </c>
      <c r="N788" s="11">
        <f t="shared" ref="N788:N851" si="65">M788/SUM($M$723:$M$1082)</f>
        <v>2.4816864763164503E-4</v>
      </c>
    </row>
    <row r="789" spans="1:14" x14ac:dyDescent="0.25">
      <c r="A789" s="79" t="s">
        <v>33</v>
      </c>
      <c r="B789" s="89" t="s">
        <v>6</v>
      </c>
      <c r="C789" s="89" t="s">
        <v>56</v>
      </c>
      <c r="D789" s="13" t="s">
        <v>181</v>
      </c>
      <c r="E789" s="35">
        <f>VLOOKUP(B789, Passenger_Kilometre_by_mode_type[#All],MATCH(A789, Passenger_Kilometre_by_mode_type[#Headers],0),0)</f>
        <v>6533218281.3236027</v>
      </c>
      <c r="F789" s="89">
        <f>VLOOKUP(C789, Reason_for_car_journeys_by_percentage[#All],MATCH(A789, Reason_for_car_journeys_by_percentage[#Headers],0),0)/100</f>
        <v>0.1125</v>
      </c>
      <c r="G789" s="13">
        <f t="shared" si="61"/>
        <v>734987056.64890528</v>
      </c>
      <c r="H789" s="89">
        <f>VLOOKUP(D789,Average_Distance_by_kilometre_grouping_for_mode_type[#All],MATCH(A789,Average_Distance_by_kilometre_grouping_for_mode_type[#Headers],0),0)</f>
        <v>3</v>
      </c>
      <c r="I789" s="89">
        <f>VLOOKUP(D789,Average_Distance_by_kilometres_grouping_for_trip_purpose[#All],MATCH(A789,Average_Distance_by_kilometres_grouping_for_trip_purpose[#Headers],0),0)</f>
        <v>3</v>
      </c>
      <c r="J789" s="89">
        <f t="shared" si="62"/>
        <v>3</v>
      </c>
      <c r="K789" s="89">
        <f t="shared" si="63"/>
        <v>5.6942203663281767E-2</v>
      </c>
      <c r="L789" s="89">
        <v>1</v>
      </c>
      <c r="M789" s="13">
        <f t="shared" si="64"/>
        <v>41851782.669577979</v>
      </c>
      <c r="N789" s="11">
        <f t="shared" si="65"/>
        <v>7.44505942894935E-4</v>
      </c>
    </row>
    <row r="790" spans="1:14" x14ac:dyDescent="0.25">
      <c r="A790" s="79" t="s">
        <v>33</v>
      </c>
      <c r="B790" s="89" t="s">
        <v>6</v>
      </c>
      <c r="C790" s="89" t="s">
        <v>56</v>
      </c>
      <c r="D790" s="13" t="s">
        <v>180</v>
      </c>
      <c r="E790" s="35">
        <f>VLOOKUP(B790, Passenger_Kilometre_by_mode_type[#All],MATCH(A790, Passenger_Kilometre_by_mode_type[#Headers],0),0)</f>
        <v>6533218281.3236027</v>
      </c>
      <c r="F790" s="89">
        <f>VLOOKUP(C790, Reason_for_car_journeys_by_percentage[#All],MATCH(A790, Reason_for_car_journeys_by_percentage[#Headers],0),0)/100</f>
        <v>0.1125</v>
      </c>
      <c r="G790" s="13">
        <f t="shared" si="61"/>
        <v>734987056.64890528</v>
      </c>
      <c r="H790" s="89">
        <f>VLOOKUP(D790,Average_Distance_by_kilometre_grouping_for_mode_type[#All],MATCH(A790,Average_Distance_by_kilometre_grouping_for_mode_type[#Headers],0),0)</f>
        <v>5</v>
      </c>
      <c r="I790" s="89">
        <f>VLOOKUP(D790,Average_Distance_by_kilometres_grouping_for_trip_purpose[#All],MATCH(A790,Average_Distance_by_kilometres_grouping_for_trip_purpose[#Headers],0),0)</f>
        <v>5</v>
      </c>
      <c r="J790" s="89">
        <f t="shared" si="62"/>
        <v>5</v>
      </c>
      <c r="K790" s="89">
        <f t="shared" si="63"/>
        <v>9.490367277213628E-2</v>
      </c>
      <c r="L790" s="89">
        <v>1</v>
      </c>
      <c r="M790" s="13">
        <f t="shared" si="64"/>
        <v>69752971.115963295</v>
      </c>
      <c r="N790" s="11">
        <f t="shared" si="65"/>
        <v>1.2408432381582251E-3</v>
      </c>
    </row>
    <row r="791" spans="1:14" x14ac:dyDescent="0.25">
      <c r="A791" s="79" t="s">
        <v>33</v>
      </c>
      <c r="B791" s="89" t="s">
        <v>6</v>
      </c>
      <c r="C791" s="89" t="s">
        <v>56</v>
      </c>
      <c r="D791" s="13" t="s">
        <v>182</v>
      </c>
      <c r="E791" s="35">
        <f>VLOOKUP(B791, Passenger_Kilometre_by_mode_type[#All],MATCH(A791, Passenger_Kilometre_by_mode_type[#Headers],0),0)</f>
        <v>6533218281.3236027</v>
      </c>
      <c r="F791" s="89">
        <f>VLOOKUP(C791, Reason_for_car_journeys_by_percentage[#All],MATCH(A791, Reason_for_car_journeys_by_percentage[#Headers],0),0)/100</f>
        <v>0.1125</v>
      </c>
      <c r="G791" s="13">
        <f t="shared" si="61"/>
        <v>734987056.64890528</v>
      </c>
      <c r="H791" s="89">
        <f>VLOOKUP(D791,Average_Distance_by_kilometre_grouping_for_mode_type[#All],MATCH(A791,Average_Distance_by_kilometre_grouping_for_mode_type[#Headers],0),0)</f>
        <v>7</v>
      </c>
      <c r="I791" s="89">
        <f>VLOOKUP(D791,Average_Distance_by_kilometres_grouping_for_trip_purpose[#All],MATCH(A791,Average_Distance_by_kilometres_grouping_for_trip_purpose[#Headers],0),0)</f>
        <v>7</v>
      </c>
      <c r="J791" s="89">
        <f t="shared" si="62"/>
        <v>7</v>
      </c>
      <c r="K791" s="89">
        <f t="shared" si="63"/>
        <v>0.1328651418809908</v>
      </c>
      <c r="L791" s="89">
        <v>1</v>
      </c>
      <c r="M791" s="13">
        <f t="shared" si="64"/>
        <v>97654159.562348619</v>
      </c>
      <c r="N791" s="11">
        <f t="shared" si="65"/>
        <v>1.7371805334215151E-3</v>
      </c>
    </row>
    <row r="792" spans="1:14" x14ac:dyDescent="0.25">
      <c r="A792" s="79" t="s">
        <v>33</v>
      </c>
      <c r="B792" s="89" t="s">
        <v>6</v>
      </c>
      <c r="C792" s="89" t="s">
        <v>56</v>
      </c>
      <c r="D792" s="13" t="s">
        <v>1</v>
      </c>
      <c r="E792" s="35">
        <f>VLOOKUP(B792, Passenger_Kilometre_by_mode_type[#All],MATCH(A792, Passenger_Kilometre_by_mode_type[#Headers],0),0)</f>
        <v>6533218281.3236027</v>
      </c>
      <c r="F792" s="89">
        <f>VLOOKUP(C792, Reason_for_car_journeys_by_percentage[#All],MATCH(A792, Reason_for_car_journeys_by_percentage[#Headers],0),0)/100</f>
        <v>0.1125</v>
      </c>
      <c r="G792" s="13">
        <f t="shared" si="61"/>
        <v>734987056.64890528</v>
      </c>
      <c r="H792" s="89">
        <f>VLOOKUP(D792,Average_Distance_by_kilometre_grouping_for_mode_type[#All],MATCH(A792,Average_Distance_by_kilometre_grouping_for_mode_type[#Headers],0),0)</f>
        <v>35.22</v>
      </c>
      <c r="I792" s="89">
        <f>VLOOKUP(D792,Average_Distance_by_kilometres_grouping_for_trip_purpose[#All],MATCH(A792,Average_Distance_by_kilometres_grouping_for_trip_purpose[#Headers],0),0)</f>
        <v>38.15</v>
      </c>
      <c r="J792" s="89">
        <f t="shared" si="62"/>
        <v>36.685000000000002</v>
      </c>
      <c r="K792" s="89">
        <f t="shared" si="63"/>
        <v>0.69630824712916395</v>
      </c>
      <c r="L792" s="89">
        <v>1</v>
      </c>
      <c r="M792" s="13">
        <f t="shared" si="64"/>
        <v>511777549.07782274</v>
      </c>
      <c r="N792" s="11">
        <f t="shared" si="65"/>
        <v>9.1040668383668977E-3</v>
      </c>
    </row>
    <row r="793" spans="1:14" x14ac:dyDescent="0.25">
      <c r="A793" s="79" t="s">
        <v>33</v>
      </c>
      <c r="B793" s="89" t="s">
        <v>6</v>
      </c>
      <c r="C793" s="89" t="s">
        <v>57</v>
      </c>
      <c r="D793" s="13" t="s">
        <v>12</v>
      </c>
      <c r="E793" s="35">
        <f>VLOOKUP(B793, Passenger_Kilometre_by_mode_type[#All],MATCH(A793, Passenger_Kilometre_by_mode_type[#Headers],0),0)</f>
        <v>6533218281.3236027</v>
      </c>
      <c r="F793" s="89">
        <f>VLOOKUP(C793, Reason_for_car_journeys_by_percentage[#All],MATCH(A793, Reason_for_car_journeys_by_percentage[#Headers],0),0)/100</f>
        <v>7.8750000000000001E-2</v>
      </c>
      <c r="G793" s="13">
        <f t="shared" si="61"/>
        <v>514490939.65423369</v>
      </c>
      <c r="H793" s="89">
        <f>VLOOKUP(D793,Average_Distance_by_kilometre_grouping_for_mode_type[#All],MATCH(A793,Average_Distance_by_kilometre_grouping_for_mode_type[#Headers],0),0)</f>
        <v>1</v>
      </c>
      <c r="I793" s="89">
        <f>VLOOKUP(D793,Average_Distance_by_kilometres_grouping_for_trip_purpose[#All],MATCH(A793,Average_Distance_by_kilometres_grouping_for_trip_purpose[#Headers],0),0)</f>
        <v>1</v>
      </c>
      <c r="J793" s="89">
        <f t="shared" si="62"/>
        <v>1</v>
      </c>
      <c r="K793" s="89">
        <f t="shared" si="63"/>
        <v>1.8980734554427257E-2</v>
      </c>
      <c r="L793" s="89">
        <v>1</v>
      </c>
      <c r="M793" s="13">
        <f t="shared" si="64"/>
        <v>9765415.9562348612</v>
      </c>
      <c r="N793" s="11">
        <f t="shared" si="65"/>
        <v>1.737180533421515E-4</v>
      </c>
    </row>
    <row r="794" spans="1:14" x14ac:dyDescent="0.25">
      <c r="A794" s="79" t="s">
        <v>33</v>
      </c>
      <c r="B794" s="89" t="s">
        <v>6</v>
      </c>
      <c r="C794" s="89" t="s">
        <v>57</v>
      </c>
      <c r="D794" s="13" t="s">
        <v>181</v>
      </c>
      <c r="E794" s="35">
        <f>VLOOKUP(B794, Passenger_Kilometre_by_mode_type[#All],MATCH(A794, Passenger_Kilometre_by_mode_type[#Headers],0),0)</f>
        <v>6533218281.3236027</v>
      </c>
      <c r="F794" s="89">
        <f>VLOOKUP(C794, Reason_for_car_journeys_by_percentage[#All],MATCH(A794, Reason_for_car_journeys_by_percentage[#Headers],0),0)/100</f>
        <v>7.8750000000000001E-2</v>
      </c>
      <c r="G794" s="13">
        <f t="shared" si="61"/>
        <v>514490939.65423369</v>
      </c>
      <c r="H794" s="89">
        <f>VLOOKUP(D794,Average_Distance_by_kilometre_grouping_for_mode_type[#All],MATCH(A794,Average_Distance_by_kilometre_grouping_for_mode_type[#Headers],0),0)</f>
        <v>3</v>
      </c>
      <c r="I794" s="89">
        <f>VLOOKUP(D794,Average_Distance_by_kilometres_grouping_for_trip_purpose[#All],MATCH(A794,Average_Distance_by_kilometres_grouping_for_trip_purpose[#Headers],0),0)</f>
        <v>3</v>
      </c>
      <c r="J794" s="89">
        <f t="shared" si="62"/>
        <v>3</v>
      </c>
      <c r="K794" s="89">
        <f t="shared" si="63"/>
        <v>5.6942203663281767E-2</v>
      </c>
      <c r="L794" s="89">
        <v>1</v>
      </c>
      <c r="M794" s="13">
        <f t="shared" si="64"/>
        <v>29296247.868704583</v>
      </c>
      <c r="N794" s="11">
        <f t="shared" si="65"/>
        <v>5.2115416002645445E-4</v>
      </c>
    </row>
    <row r="795" spans="1:14" x14ac:dyDescent="0.25">
      <c r="A795" s="79" t="s">
        <v>33</v>
      </c>
      <c r="B795" s="89" t="s">
        <v>6</v>
      </c>
      <c r="C795" s="89" t="s">
        <v>57</v>
      </c>
      <c r="D795" s="13" t="s">
        <v>180</v>
      </c>
      <c r="E795" s="35">
        <f>VLOOKUP(B795, Passenger_Kilometre_by_mode_type[#All],MATCH(A795, Passenger_Kilometre_by_mode_type[#Headers],0),0)</f>
        <v>6533218281.3236027</v>
      </c>
      <c r="F795" s="89">
        <f>VLOOKUP(C795, Reason_for_car_journeys_by_percentage[#All],MATCH(A795, Reason_for_car_journeys_by_percentage[#Headers],0),0)/100</f>
        <v>7.8750000000000001E-2</v>
      </c>
      <c r="G795" s="13">
        <f t="shared" si="61"/>
        <v>514490939.65423369</v>
      </c>
      <c r="H795" s="89">
        <f>VLOOKUP(D795,Average_Distance_by_kilometre_grouping_for_mode_type[#All],MATCH(A795,Average_Distance_by_kilometre_grouping_for_mode_type[#Headers],0),0)</f>
        <v>5</v>
      </c>
      <c r="I795" s="89">
        <f>VLOOKUP(D795,Average_Distance_by_kilometres_grouping_for_trip_purpose[#All],MATCH(A795,Average_Distance_by_kilometres_grouping_for_trip_purpose[#Headers],0),0)</f>
        <v>5</v>
      </c>
      <c r="J795" s="89">
        <f t="shared" si="62"/>
        <v>5</v>
      </c>
      <c r="K795" s="89">
        <f t="shared" si="63"/>
        <v>9.490367277213628E-2</v>
      </c>
      <c r="L795" s="89">
        <v>1</v>
      </c>
      <c r="M795" s="13">
        <f t="shared" si="64"/>
        <v>48827079.78117431</v>
      </c>
      <c r="N795" s="11">
        <f t="shared" si="65"/>
        <v>8.6859026671075757E-4</v>
      </c>
    </row>
    <row r="796" spans="1:14" x14ac:dyDescent="0.25">
      <c r="A796" s="79" t="s">
        <v>33</v>
      </c>
      <c r="B796" s="89" t="s">
        <v>6</v>
      </c>
      <c r="C796" s="89" t="s">
        <v>57</v>
      </c>
      <c r="D796" s="13" t="s">
        <v>182</v>
      </c>
      <c r="E796" s="35">
        <f>VLOOKUP(B796, Passenger_Kilometre_by_mode_type[#All],MATCH(A796, Passenger_Kilometre_by_mode_type[#Headers],0),0)</f>
        <v>6533218281.3236027</v>
      </c>
      <c r="F796" s="89">
        <f>VLOOKUP(C796, Reason_for_car_journeys_by_percentage[#All],MATCH(A796, Reason_for_car_journeys_by_percentage[#Headers],0),0)/100</f>
        <v>7.8750000000000001E-2</v>
      </c>
      <c r="G796" s="13">
        <f t="shared" si="61"/>
        <v>514490939.65423369</v>
      </c>
      <c r="H796" s="89">
        <f>VLOOKUP(D796,Average_Distance_by_kilometre_grouping_for_mode_type[#All],MATCH(A796,Average_Distance_by_kilometre_grouping_for_mode_type[#Headers],0),0)</f>
        <v>7</v>
      </c>
      <c r="I796" s="89">
        <f>VLOOKUP(D796,Average_Distance_by_kilometres_grouping_for_trip_purpose[#All],MATCH(A796,Average_Distance_by_kilometres_grouping_for_trip_purpose[#Headers],0),0)</f>
        <v>7</v>
      </c>
      <c r="J796" s="89">
        <f t="shared" si="62"/>
        <v>7</v>
      </c>
      <c r="K796" s="89">
        <f t="shared" si="63"/>
        <v>0.1328651418809908</v>
      </c>
      <c r="L796" s="89">
        <v>1</v>
      </c>
      <c r="M796" s="13">
        <f t="shared" si="64"/>
        <v>68357911.693644032</v>
      </c>
      <c r="N796" s="11">
        <f t="shared" si="65"/>
        <v>1.2160263733950606E-3</v>
      </c>
    </row>
    <row r="797" spans="1:14" x14ac:dyDescent="0.25">
      <c r="A797" s="79" t="s">
        <v>33</v>
      </c>
      <c r="B797" s="89" t="s">
        <v>6</v>
      </c>
      <c r="C797" s="89" t="s">
        <v>57</v>
      </c>
      <c r="D797" s="13" t="s">
        <v>1</v>
      </c>
      <c r="E797" s="35">
        <f>VLOOKUP(B797, Passenger_Kilometre_by_mode_type[#All],MATCH(A797, Passenger_Kilometre_by_mode_type[#Headers],0),0)</f>
        <v>6533218281.3236027</v>
      </c>
      <c r="F797" s="89">
        <f>VLOOKUP(C797, Reason_for_car_journeys_by_percentage[#All],MATCH(A797, Reason_for_car_journeys_by_percentage[#Headers],0),0)/100</f>
        <v>7.8750000000000001E-2</v>
      </c>
      <c r="G797" s="13">
        <f t="shared" si="61"/>
        <v>514490939.65423369</v>
      </c>
      <c r="H797" s="89">
        <f>VLOOKUP(D797,Average_Distance_by_kilometre_grouping_for_mode_type[#All],MATCH(A797,Average_Distance_by_kilometre_grouping_for_mode_type[#Headers],0),0)</f>
        <v>35.22</v>
      </c>
      <c r="I797" s="89">
        <f>VLOOKUP(D797,Average_Distance_by_kilometres_grouping_for_trip_purpose[#All],MATCH(A797,Average_Distance_by_kilometres_grouping_for_trip_purpose[#Headers],0),0)</f>
        <v>38.15</v>
      </c>
      <c r="J797" s="89">
        <f t="shared" si="62"/>
        <v>36.685000000000002</v>
      </c>
      <c r="K797" s="89">
        <f t="shared" si="63"/>
        <v>0.69630824712916395</v>
      </c>
      <c r="L797" s="89">
        <v>1</v>
      </c>
      <c r="M797" s="13">
        <f t="shared" si="64"/>
        <v>358244284.35447592</v>
      </c>
      <c r="N797" s="11">
        <f t="shared" si="65"/>
        <v>6.3728467868568285E-3</v>
      </c>
    </row>
    <row r="798" spans="1:14" x14ac:dyDescent="0.25">
      <c r="A798" s="79" t="s">
        <v>33</v>
      </c>
      <c r="B798" s="89" t="s">
        <v>6</v>
      </c>
      <c r="C798" s="89" t="s">
        <v>93</v>
      </c>
      <c r="D798" s="13" t="s">
        <v>12</v>
      </c>
      <c r="E798" s="35">
        <f>VLOOKUP(B798, Passenger_Kilometre_by_mode_type[#All],MATCH(A798, Passenger_Kilometre_by_mode_type[#Headers],0),0)</f>
        <v>6533218281.3236027</v>
      </c>
      <c r="F798" s="89">
        <f>VLOOKUP(C798, Reason_for_car_journeys_by_percentage[#All],MATCH(A798, Reason_for_car_journeys_by_percentage[#Headers],0),0)/100</f>
        <v>6.7250000000000004E-2</v>
      </c>
      <c r="G798" s="13">
        <f t="shared" si="61"/>
        <v>439358929.41901231</v>
      </c>
      <c r="H798" s="89">
        <f>VLOOKUP(D798,Average_Distance_by_kilometre_grouping_for_mode_type[#All],MATCH(A798,Average_Distance_by_kilometre_grouping_for_mode_type[#Headers],0),0)</f>
        <v>1</v>
      </c>
      <c r="I798" s="89">
        <f>VLOOKUP(D798,Average_Distance_by_kilometres_grouping_for_trip_purpose[#All],MATCH(A798,Average_Distance_by_kilometres_grouping_for_trip_purpose[#Headers],0),0)</f>
        <v>1</v>
      </c>
      <c r="J798" s="89">
        <f t="shared" si="62"/>
        <v>1</v>
      </c>
      <c r="K798" s="89">
        <f t="shared" si="63"/>
        <v>1.8980734554427257E-2</v>
      </c>
      <c r="L798" s="89">
        <v>1</v>
      </c>
      <c r="M798" s="13">
        <f t="shared" si="64"/>
        <v>8339355.2134196134</v>
      </c>
      <c r="N798" s="11">
        <f t="shared" si="65"/>
        <v>1.4834970269536114E-4</v>
      </c>
    </row>
    <row r="799" spans="1:14" x14ac:dyDescent="0.25">
      <c r="A799" s="79" t="s">
        <v>33</v>
      </c>
      <c r="B799" s="89" t="s">
        <v>6</v>
      </c>
      <c r="C799" s="89" t="s">
        <v>93</v>
      </c>
      <c r="D799" s="13" t="s">
        <v>181</v>
      </c>
      <c r="E799" s="35">
        <f>VLOOKUP(B799, Passenger_Kilometre_by_mode_type[#All],MATCH(A799, Passenger_Kilometre_by_mode_type[#Headers],0),0)</f>
        <v>6533218281.3236027</v>
      </c>
      <c r="F799" s="89">
        <f>VLOOKUP(C799, Reason_for_car_journeys_by_percentage[#All],MATCH(A799, Reason_for_car_journeys_by_percentage[#Headers],0),0)/100</f>
        <v>6.7250000000000004E-2</v>
      </c>
      <c r="G799" s="13">
        <f t="shared" si="61"/>
        <v>439358929.41901231</v>
      </c>
      <c r="H799" s="89">
        <f>VLOOKUP(D799,Average_Distance_by_kilometre_grouping_for_mode_type[#All],MATCH(A799,Average_Distance_by_kilometre_grouping_for_mode_type[#Headers],0),0)</f>
        <v>3</v>
      </c>
      <c r="I799" s="89">
        <f>VLOOKUP(D799,Average_Distance_by_kilometres_grouping_for_trip_purpose[#All],MATCH(A799,Average_Distance_by_kilometres_grouping_for_trip_purpose[#Headers],0),0)</f>
        <v>3</v>
      </c>
      <c r="J799" s="89">
        <f t="shared" si="62"/>
        <v>3</v>
      </c>
      <c r="K799" s="89">
        <f t="shared" si="63"/>
        <v>5.6942203663281767E-2</v>
      </c>
      <c r="L799" s="89">
        <v>1</v>
      </c>
      <c r="M799" s="13">
        <f t="shared" si="64"/>
        <v>25018065.640258837</v>
      </c>
      <c r="N799" s="11">
        <f t="shared" si="65"/>
        <v>4.4504910808608342E-4</v>
      </c>
    </row>
    <row r="800" spans="1:14" x14ac:dyDescent="0.25">
      <c r="A800" s="79" t="s">
        <v>33</v>
      </c>
      <c r="B800" s="89" t="s">
        <v>6</v>
      </c>
      <c r="C800" s="89" t="s">
        <v>93</v>
      </c>
      <c r="D800" s="13" t="s">
        <v>180</v>
      </c>
      <c r="E800" s="35">
        <f>VLOOKUP(B800, Passenger_Kilometre_by_mode_type[#All],MATCH(A800, Passenger_Kilometre_by_mode_type[#Headers],0),0)</f>
        <v>6533218281.3236027</v>
      </c>
      <c r="F800" s="89">
        <f>VLOOKUP(C800, Reason_for_car_journeys_by_percentage[#All],MATCH(A800, Reason_for_car_journeys_by_percentage[#Headers],0),0)/100</f>
        <v>6.7250000000000004E-2</v>
      </c>
      <c r="G800" s="13">
        <f t="shared" si="61"/>
        <v>439358929.41901231</v>
      </c>
      <c r="H800" s="89">
        <f>VLOOKUP(D800,Average_Distance_by_kilometre_grouping_for_mode_type[#All],MATCH(A800,Average_Distance_by_kilometre_grouping_for_mode_type[#Headers],0),0)</f>
        <v>5</v>
      </c>
      <c r="I800" s="89">
        <f>VLOOKUP(D800,Average_Distance_by_kilometres_grouping_for_trip_purpose[#All],MATCH(A800,Average_Distance_by_kilometres_grouping_for_trip_purpose[#Headers],0),0)</f>
        <v>5</v>
      </c>
      <c r="J800" s="89">
        <f t="shared" si="62"/>
        <v>5</v>
      </c>
      <c r="K800" s="89">
        <f t="shared" si="63"/>
        <v>9.490367277213628E-2</v>
      </c>
      <c r="L800" s="89">
        <v>1</v>
      </c>
      <c r="M800" s="13">
        <f t="shared" si="64"/>
        <v>41696776.067098066</v>
      </c>
      <c r="N800" s="11">
        <f t="shared" si="65"/>
        <v>7.4174851347680575E-4</v>
      </c>
    </row>
    <row r="801" spans="1:14" x14ac:dyDescent="0.25">
      <c r="A801" s="79" t="s">
        <v>33</v>
      </c>
      <c r="B801" s="89" t="s">
        <v>6</v>
      </c>
      <c r="C801" s="89" t="s">
        <v>93</v>
      </c>
      <c r="D801" s="13" t="s">
        <v>182</v>
      </c>
      <c r="E801" s="35">
        <f>VLOOKUP(B801, Passenger_Kilometre_by_mode_type[#All],MATCH(A801, Passenger_Kilometre_by_mode_type[#Headers],0),0)</f>
        <v>6533218281.3236027</v>
      </c>
      <c r="F801" s="89">
        <f>VLOOKUP(C801, Reason_for_car_journeys_by_percentage[#All],MATCH(A801, Reason_for_car_journeys_by_percentage[#Headers],0),0)/100</f>
        <v>6.7250000000000004E-2</v>
      </c>
      <c r="G801" s="13">
        <f t="shared" si="61"/>
        <v>439358929.41901231</v>
      </c>
      <c r="H801" s="89">
        <f>VLOOKUP(D801,Average_Distance_by_kilometre_grouping_for_mode_type[#All],MATCH(A801,Average_Distance_by_kilometre_grouping_for_mode_type[#Headers],0),0)</f>
        <v>7</v>
      </c>
      <c r="I801" s="89">
        <f>VLOOKUP(D801,Average_Distance_by_kilometres_grouping_for_trip_purpose[#All],MATCH(A801,Average_Distance_by_kilometres_grouping_for_trip_purpose[#Headers],0),0)</f>
        <v>7</v>
      </c>
      <c r="J801" s="89">
        <f t="shared" si="62"/>
        <v>7</v>
      </c>
      <c r="K801" s="89">
        <f t="shared" si="63"/>
        <v>0.1328651418809908</v>
      </c>
      <c r="L801" s="89">
        <v>1</v>
      </c>
      <c r="M801" s="13">
        <f t="shared" si="64"/>
        <v>58375486.493937291</v>
      </c>
      <c r="N801" s="11">
        <f t="shared" si="65"/>
        <v>1.0384479188675279E-3</v>
      </c>
    </row>
    <row r="802" spans="1:14" x14ac:dyDescent="0.25">
      <c r="A802" s="79" t="s">
        <v>33</v>
      </c>
      <c r="B802" s="89" t="s">
        <v>6</v>
      </c>
      <c r="C802" s="89" t="s">
        <v>93</v>
      </c>
      <c r="D802" s="13" t="s">
        <v>1</v>
      </c>
      <c r="E802" s="35">
        <f>VLOOKUP(B802, Passenger_Kilometre_by_mode_type[#All],MATCH(A802, Passenger_Kilometre_by_mode_type[#Headers],0),0)</f>
        <v>6533218281.3236027</v>
      </c>
      <c r="F802" s="89">
        <f>VLOOKUP(C802, Reason_for_car_journeys_by_percentage[#All],MATCH(A802, Reason_for_car_journeys_by_percentage[#Headers],0),0)/100</f>
        <v>6.7250000000000004E-2</v>
      </c>
      <c r="G802" s="13">
        <f t="shared" si="61"/>
        <v>439358929.41901231</v>
      </c>
      <c r="H802" s="89">
        <f>VLOOKUP(D802,Average_Distance_by_kilometre_grouping_for_mode_type[#All],MATCH(A802,Average_Distance_by_kilometre_grouping_for_mode_type[#Headers],0),0)</f>
        <v>35.22</v>
      </c>
      <c r="I802" s="89">
        <f>VLOOKUP(D802,Average_Distance_by_kilometres_grouping_for_trip_purpose[#All],MATCH(A802,Average_Distance_by_kilometres_grouping_for_trip_purpose[#Headers],0),0)</f>
        <v>38.15</v>
      </c>
      <c r="J802" s="89">
        <f t="shared" si="62"/>
        <v>36.685000000000002</v>
      </c>
      <c r="K802" s="89">
        <f t="shared" si="63"/>
        <v>0.69630824712916395</v>
      </c>
      <c r="L802" s="89">
        <v>1</v>
      </c>
      <c r="M802" s="13">
        <f t="shared" si="64"/>
        <v>305929246.00429851</v>
      </c>
      <c r="N802" s="11">
        <f t="shared" si="65"/>
        <v>5.4422088433793234E-3</v>
      </c>
    </row>
    <row r="803" spans="1:14" x14ac:dyDescent="0.25">
      <c r="A803" s="79" t="s">
        <v>33</v>
      </c>
      <c r="B803" s="89" t="s">
        <v>6</v>
      </c>
      <c r="C803" s="89" t="s">
        <v>243</v>
      </c>
      <c r="D803" s="13" t="s">
        <v>12</v>
      </c>
      <c r="E803" s="35">
        <f>VLOOKUP(B803, Passenger_Kilometre_by_mode_type[#All],MATCH(A803, Passenger_Kilometre_by_mode_type[#Headers],0),0)</f>
        <v>6533218281.3236027</v>
      </c>
      <c r="F803" s="89">
        <f>VLOOKUP(C803, Reason_for_car_journeys_by_percentage[#All],MATCH(A803, Reason_for_car_journeys_by_percentage[#Headers],0),0)/100</f>
        <v>0.18149999999999999</v>
      </c>
      <c r="G803" s="13">
        <f t="shared" si="61"/>
        <v>1185779118.0602338</v>
      </c>
      <c r="H803" s="89">
        <f>VLOOKUP(D803,Average_Distance_by_kilometre_grouping_for_mode_type[#All],MATCH(A803,Average_Distance_by_kilometre_grouping_for_mode_type[#Headers],0),0)</f>
        <v>1</v>
      </c>
      <c r="I803" s="89">
        <f>VLOOKUP(D803,Average_Distance_by_kilometres_grouping_for_trip_purpose[#All],MATCH(A803,Average_Distance_by_kilometres_grouping_for_trip_purpose[#Headers],0),0)</f>
        <v>1</v>
      </c>
      <c r="J803" s="89">
        <f t="shared" si="62"/>
        <v>1</v>
      </c>
      <c r="K803" s="89">
        <f t="shared" si="63"/>
        <v>1.8980734554427257E-2</v>
      </c>
      <c r="L803" s="89">
        <v>1</v>
      </c>
      <c r="M803" s="13">
        <f t="shared" si="64"/>
        <v>22506958.680084158</v>
      </c>
      <c r="N803" s="11">
        <f t="shared" si="65"/>
        <v>4.0037875151238727E-4</v>
      </c>
    </row>
    <row r="804" spans="1:14" x14ac:dyDescent="0.25">
      <c r="A804" s="79" t="s">
        <v>33</v>
      </c>
      <c r="B804" s="89" t="s">
        <v>6</v>
      </c>
      <c r="C804" s="89" t="s">
        <v>243</v>
      </c>
      <c r="D804" s="13" t="s">
        <v>181</v>
      </c>
      <c r="E804" s="35">
        <f>VLOOKUP(B804, Passenger_Kilometre_by_mode_type[#All],MATCH(A804, Passenger_Kilometre_by_mode_type[#Headers],0),0)</f>
        <v>6533218281.3236027</v>
      </c>
      <c r="F804" s="89">
        <f>VLOOKUP(C804, Reason_for_car_journeys_by_percentage[#All],MATCH(A804, Reason_for_car_journeys_by_percentage[#Headers],0),0)/100</f>
        <v>0.18149999999999999</v>
      </c>
      <c r="G804" s="13">
        <f t="shared" si="61"/>
        <v>1185779118.0602338</v>
      </c>
      <c r="H804" s="89">
        <f>VLOOKUP(D804,Average_Distance_by_kilometre_grouping_for_mode_type[#All],MATCH(A804,Average_Distance_by_kilometre_grouping_for_mode_type[#Headers],0),0)</f>
        <v>3</v>
      </c>
      <c r="I804" s="89">
        <f>VLOOKUP(D804,Average_Distance_by_kilometres_grouping_for_trip_purpose[#All],MATCH(A804,Average_Distance_by_kilometres_grouping_for_trip_purpose[#Headers],0),0)</f>
        <v>3</v>
      </c>
      <c r="J804" s="89">
        <f t="shared" si="62"/>
        <v>3</v>
      </c>
      <c r="K804" s="89">
        <f t="shared" si="63"/>
        <v>5.6942203663281767E-2</v>
      </c>
      <c r="L804" s="89">
        <v>1</v>
      </c>
      <c r="M804" s="13">
        <f t="shared" si="64"/>
        <v>67520876.040252462</v>
      </c>
      <c r="N804" s="11">
        <f t="shared" si="65"/>
        <v>1.2011362545371615E-3</v>
      </c>
    </row>
    <row r="805" spans="1:14" x14ac:dyDescent="0.25">
      <c r="A805" s="79" t="s">
        <v>33</v>
      </c>
      <c r="B805" s="89" t="s">
        <v>6</v>
      </c>
      <c r="C805" s="89" t="s">
        <v>243</v>
      </c>
      <c r="D805" s="13" t="s">
        <v>180</v>
      </c>
      <c r="E805" s="35">
        <f>VLOOKUP(B805, Passenger_Kilometre_by_mode_type[#All],MATCH(A805, Passenger_Kilometre_by_mode_type[#Headers],0),0)</f>
        <v>6533218281.3236027</v>
      </c>
      <c r="F805" s="89">
        <f>VLOOKUP(C805, Reason_for_car_journeys_by_percentage[#All],MATCH(A805, Reason_for_car_journeys_by_percentage[#Headers],0),0)/100</f>
        <v>0.18149999999999999</v>
      </c>
      <c r="G805" s="13">
        <f t="shared" si="61"/>
        <v>1185779118.0602338</v>
      </c>
      <c r="H805" s="89">
        <f>VLOOKUP(D805,Average_Distance_by_kilometre_grouping_for_mode_type[#All],MATCH(A805,Average_Distance_by_kilometre_grouping_for_mode_type[#Headers],0),0)</f>
        <v>5</v>
      </c>
      <c r="I805" s="89">
        <f>VLOOKUP(D805,Average_Distance_by_kilometres_grouping_for_trip_purpose[#All],MATCH(A805,Average_Distance_by_kilometres_grouping_for_trip_purpose[#Headers],0),0)</f>
        <v>5</v>
      </c>
      <c r="J805" s="89">
        <f t="shared" si="62"/>
        <v>5</v>
      </c>
      <c r="K805" s="89">
        <f t="shared" si="63"/>
        <v>9.490367277213628E-2</v>
      </c>
      <c r="L805" s="89">
        <v>1</v>
      </c>
      <c r="M805" s="13">
        <f t="shared" si="64"/>
        <v>112534793.40042078</v>
      </c>
      <c r="N805" s="11">
        <f t="shared" si="65"/>
        <v>2.0018937575619362E-3</v>
      </c>
    </row>
    <row r="806" spans="1:14" x14ac:dyDescent="0.25">
      <c r="A806" s="79" t="s">
        <v>33</v>
      </c>
      <c r="B806" s="89" t="s">
        <v>6</v>
      </c>
      <c r="C806" s="89" t="s">
        <v>243</v>
      </c>
      <c r="D806" s="13" t="s">
        <v>182</v>
      </c>
      <c r="E806" s="35">
        <f>VLOOKUP(B806, Passenger_Kilometre_by_mode_type[#All],MATCH(A806, Passenger_Kilometre_by_mode_type[#Headers],0),0)</f>
        <v>6533218281.3236027</v>
      </c>
      <c r="F806" s="89">
        <f>VLOOKUP(C806, Reason_for_car_journeys_by_percentage[#All],MATCH(A806, Reason_for_car_journeys_by_percentage[#Headers],0),0)/100</f>
        <v>0.18149999999999999</v>
      </c>
      <c r="G806" s="13">
        <f t="shared" si="61"/>
        <v>1185779118.0602338</v>
      </c>
      <c r="H806" s="89">
        <f>VLOOKUP(D806,Average_Distance_by_kilometre_grouping_for_mode_type[#All],MATCH(A806,Average_Distance_by_kilometre_grouping_for_mode_type[#Headers],0),0)</f>
        <v>7</v>
      </c>
      <c r="I806" s="89">
        <f>VLOOKUP(D806,Average_Distance_by_kilometres_grouping_for_trip_purpose[#All],MATCH(A806,Average_Distance_by_kilometres_grouping_for_trip_purpose[#Headers],0),0)</f>
        <v>7</v>
      </c>
      <c r="J806" s="89">
        <f t="shared" si="62"/>
        <v>7</v>
      </c>
      <c r="K806" s="89">
        <f t="shared" si="63"/>
        <v>0.1328651418809908</v>
      </c>
      <c r="L806" s="89">
        <v>1</v>
      </c>
      <c r="M806" s="13">
        <f t="shared" si="64"/>
        <v>157548710.76058912</v>
      </c>
      <c r="N806" s="11">
        <f t="shared" si="65"/>
        <v>2.8026512605867113E-3</v>
      </c>
    </row>
    <row r="807" spans="1:14" x14ac:dyDescent="0.25">
      <c r="A807" s="79" t="s">
        <v>33</v>
      </c>
      <c r="B807" s="89" t="s">
        <v>6</v>
      </c>
      <c r="C807" s="89" t="s">
        <v>243</v>
      </c>
      <c r="D807" s="13" t="s">
        <v>1</v>
      </c>
      <c r="E807" s="35">
        <f>VLOOKUP(B807, Passenger_Kilometre_by_mode_type[#All],MATCH(A807, Passenger_Kilometre_by_mode_type[#Headers],0),0)</f>
        <v>6533218281.3236027</v>
      </c>
      <c r="F807" s="89">
        <f>VLOOKUP(C807, Reason_for_car_journeys_by_percentage[#All],MATCH(A807, Reason_for_car_journeys_by_percentage[#Headers],0),0)/100</f>
        <v>0.18149999999999999</v>
      </c>
      <c r="G807" s="13">
        <f t="shared" si="61"/>
        <v>1185779118.0602338</v>
      </c>
      <c r="H807" s="89">
        <f>VLOOKUP(D807,Average_Distance_by_kilometre_grouping_for_mode_type[#All],MATCH(A807,Average_Distance_by_kilometre_grouping_for_mode_type[#Headers],0),0)</f>
        <v>35.22</v>
      </c>
      <c r="I807" s="89">
        <f>VLOOKUP(D807,Average_Distance_by_kilometres_grouping_for_trip_purpose[#All],MATCH(A807,Average_Distance_by_kilometres_grouping_for_trip_purpose[#Headers],0),0)</f>
        <v>38.15</v>
      </c>
      <c r="J807" s="89">
        <f t="shared" si="62"/>
        <v>36.685000000000002</v>
      </c>
      <c r="K807" s="89">
        <f t="shared" si="63"/>
        <v>0.69630824712916395</v>
      </c>
      <c r="L807" s="89">
        <v>1</v>
      </c>
      <c r="M807" s="13">
        <f t="shared" si="64"/>
        <v>825667779.17888737</v>
      </c>
      <c r="N807" s="11">
        <f t="shared" si="65"/>
        <v>1.4687894499231928E-2</v>
      </c>
    </row>
    <row r="808" spans="1:14" x14ac:dyDescent="0.25">
      <c r="A808" s="79" t="s">
        <v>33</v>
      </c>
      <c r="B808" s="89" t="s">
        <v>6</v>
      </c>
      <c r="C808" s="89" t="s">
        <v>50</v>
      </c>
      <c r="D808" s="13" t="s">
        <v>12</v>
      </c>
      <c r="E808" s="35">
        <f>VLOOKUP(B808, Passenger_Kilometre_by_mode_type[#All],MATCH(A808, Passenger_Kilometre_by_mode_type[#Headers],0),0)</f>
        <v>6533218281.3236027</v>
      </c>
      <c r="F808" s="89">
        <f>VLOOKUP(C808, Reason_for_car_journeys_by_percentage[#All],MATCH(A808, Reason_for_car_journeys_by_percentage[#Headers],0),0)/100</f>
        <v>3.4750000000000003E-2</v>
      </c>
      <c r="G808" s="13">
        <f t="shared" si="61"/>
        <v>227029335.27599522</v>
      </c>
      <c r="H808" s="89">
        <f>VLOOKUP(D808,Average_Distance_by_kilometre_grouping_for_mode_type[#All],MATCH(A808,Average_Distance_by_kilometre_grouping_for_mode_type[#Headers],0),0)</f>
        <v>1</v>
      </c>
      <c r="I808" s="89">
        <f>VLOOKUP(D808,Average_Distance_by_kilometres_grouping_for_trip_purpose[#All],MATCH(A808,Average_Distance_by_kilometres_grouping_for_trip_purpose[#Headers],0),0)</f>
        <v>1</v>
      </c>
      <c r="J808" s="89">
        <f t="shared" si="62"/>
        <v>1</v>
      </c>
      <c r="K808" s="89">
        <f t="shared" si="63"/>
        <v>1.8980734554427257E-2</v>
      </c>
      <c r="L808" s="89">
        <v>1</v>
      </c>
      <c r="M808" s="13">
        <f t="shared" si="64"/>
        <v>4309183.5489417333</v>
      </c>
      <c r="N808" s="11">
        <f t="shared" si="65"/>
        <v>7.6656537823997027E-5</v>
      </c>
    </row>
    <row r="809" spans="1:14" x14ac:dyDescent="0.25">
      <c r="A809" s="79" t="s">
        <v>33</v>
      </c>
      <c r="B809" s="89" t="s">
        <v>6</v>
      </c>
      <c r="C809" s="89" t="s">
        <v>50</v>
      </c>
      <c r="D809" s="13" t="s">
        <v>181</v>
      </c>
      <c r="E809" s="35">
        <f>VLOOKUP(B809, Passenger_Kilometre_by_mode_type[#All],MATCH(A809, Passenger_Kilometre_by_mode_type[#Headers],0),0)</f>
        <v>6533218281.3236027</v>
      </c>
      <c r="F809" s="89">
        <f>VLOOKUP(C809, Reason_for_car_journeys_by_percentage[#All],MATCH(A809, Reason_for_car_journeys_by_percentage[#Headers],0),0)/100</f>
        <v>3.4750000000000003E-2</v>
      </c>
      <c r="G809" s="13">
        <f t="shared" si="61"/>
        <v>227029335.27599522</v>
      </c>
      <c r="H809" s="89">
        <f>VLOOKUP(D809,Average_Distance_by_kilometre_grouping_for_mode_type[#All],MATCH(A809,Average_Distance_by_kilometre_grouping_for_mode_type[#Headers],0),0)</f>
        <v>3</v>
      </c>
      <c r="I809" s="89">
        <f>VLOOKUP(D809,Average_Distance_by_kilometres_grouping_for_trip_purpose[#All],MATCH(A809,Average_Distance_by_kilometres_grouping_for_trip_purpose[#Headers],0),0)</f>
        <v>3</v>
      </c>
      <c r="J809" s="89">
        <f t="shared" si="62"/>
        <v>3</v>
      </c>
      <c r="K809" s="89">
        <f t="shared" si="63"/>
        <v>5.6942203663281767E-2</v>
      </c>
      <c r="L809" s="89">
        <v>1</v>
      </c>
      <c r="M809" s="13">
        <f t="shared" si="64"/>
        <v>12927550.6468252</v>
      </c>
      <c r="N809" s="11">
        <f t="shared" si="65"/>
        <v>2.2996961347199107E-4</v>
      </c>
    </row>
    <row r="810" spans="1:14" x14ac:dyDescent="0.25">
      <c r="A810" s="79" t="s">
        <v>33</v>
      </c>
      <c r="B810" s="89" t="s">
        <v>6</v>
      </c>
      <c r="C810" s="89" t="s">
        <v>50</v>
      </c>
      <c r="D810" s="13" t="s">
        <v>180</v>
      </c>
      <c r="E810" s="35">
        <f>VLOOKUP(B810, Passenger_Kilometre_by_mode_type[#All],MATCH(A810, Passenger_Kilometre_by_mode_type[#Headers],0),0)</f>
        <v>6533218281.3236027</v>
      </c>
      <c r="F810" s="89">
        <f>VLOOKUP(C810, Reason_for_car_journeys_by_percentage[#All],MATCH(A810, Reason_for_car_journeys_by_percentage[#Headers],0),0)/100</f>
        <v>3.4750000000000003E-2</v>
      </c>
      <c r="G810" s="13">
        <f t="shared" si="61"/>
        <v>227029335.27599522</v>
      </c>
      <c r="H810" s="89">
        <f>VLOOKUP(D810,Average_Distance_by_kilometre_grouping_for_mode_type[#All],MATCH(A810,Average_Distance_by_kilometre_grouping_for_mode_type[#Headers],0),0)</f>
        <v>5</v>
      </c>
      <c r="I810" s="89">
        <f>VLOOKUP(D810,Average_Distance_by_kilometres_grouping_for_trip_purpose[#All],MATCH(A810,Average_Distance_by_kilometres_grouping_for_trip_purpose[#Headers],0),0)</f>
        <v>5</v>
      </c>
      <c r="J810" s="89">
        <f t="shared" si="62"/>
        <v>5</v>
      </c>
      <c r="K810" s="89">
        <f t="shared" si="63"/>
        <v>9.490367277213628E-2</v>
      </c>
      <c r="L810" s="89">
        <v>1</v>
      </c>
      <c r="M810" s="13">
        <f t="shared" si="64"/>
        <v>21545917.744708668</v>
      </c>
      <c r="N810" s="11">
        <f t="shared" si="65"/>
        <v>3.8328268911998518E-4</v>
      </c>
    </row>
    <row r="811" spans="1:14" x14ac:dyDescent="0.25">
      <c r="A811" s="79" t="s">
        <v>33</v>
      </c>
      <c r="B811" s="89" t="s">
        <v>6</v>
      </c>
      <c r="C811" s="89" t="s">
        <v>50</v>
      </c>
      <c r="D811" s="13" t="s">
        <v>182</v>
      </c>
      <c r="E811" s="35">
        <f>VLOOKUP(B811, Passenger_Kilometre_by_mode_type[#All],MATCH(A811, Passenger_Kilometre_by_mode_type[#Headers],0),0)</f>
        <v>6533218281.3236027</v>
      </c>
      <c r="F811" s="89">
        <f>VLOOKUP(C811, Reason_for_car_journeys_by_percentage[#All],MATCH(A811, Reason_for_car_journeys_by_percentage[#Headers],0),0)/100</f>
        <v>3.4750000000000003E-2</v>
      </c>
      <c r="G811" s="13">
        <f t="shared" si="61"/>
        <v>227029335.27599522</v>
      </c>
      <c r="H811" s="89">
        <f>VLOOKUP(D811,Average_Distance_by_kilometre_grouping_for_mode_type[#All],MATCH(A811,Average_Distance_by_kilometre_grouping_for_mode_type[#Headers],0),0)</f>
        <v>7</v>
      </c>
      <c r="I811" s="89">
        <f>VLOOKUP(D811,Average_Distance_by_kilometres_grouping_for_trip_purpose[#All],MATCH(A811,Average_Distance_by_kilometres_grouping_for_trip_purpose[#Headers],0),0)</f>
        <v>7</v>
      </c>
      <c r="J811" s="89">
        <f t="shared" si="62"/>
        <v>7</v>
      </c>
      <c r="K811" s="89">
        <f t="shared" si="63"/>
        <v>0.1328651418809908</v>
      </c>
      <c r="L811" s="89">
        <v>1</v>
      </c>
      <c r="M811" s="13">
        <f t="shared" si="64"/>
        <v>30164284.842592135</v>
      </c>
      <c r="N811" s="11">
        <f t="shared" si="65"/>
        <v>5.3659576476797926E-4</v>
      </c>
    </row>
    <row r="812" spans="1:14" x14ac:dyDescent="0.25">
      <c r="A812" s="79" t="s">
        <v>33</v>
      </c>
      <c r="B812" s="89" t="s">
        <v>6</v>
      </c>
      <c r="C812" s="89" t="s">
        <v>50</v>
      </c>
      <c r="D812" s="13" t="s">
        <v>1</v>
      </c>
      <c r="E812" s="35">
        <f>VLOOKUP(B812, Passenger_Kilometre_by_mode_type[#All],MATCH(A812, Passenger_Kilometre_by_mode_type[#Headers],0),0)</f>
        <v>6533218281.3236027</v>
      </c>
      <c r="F812" s="89">
        <f>VLOOKUP(C812, Reason_for_car_journeys_by_percentage[#All],MATCH(A812, Reason_for_car_journeys_by_percentage[#Headers],0),0)/100</f>
        <v>3.4750000000000003E-2</v>
      </c>
      <c r="G812" s="13">
        <f t="shared" si="61"/>
        <v>227029335.27599522</v>
      </c>
      <c r="H812" s="89">
        <f>VLOOKUP(D812,Average_Distance_by_kilometre_grouping_for_mode_type[#All],MATCH(A812,Average_Distance_by_kilometre_grouping_for_mode_type[#Headers],0),0)</f>
        <v>35.22</v>
      </c>
      <c r="I812" s="89">
        <f>VLOOKUP(D812,Average_Distance_by_kilometres_grouping_for_trip_purpose[#All],MATCH(A812,Average_Distance_by_kilometres_grouping_for_trip_purpose[#Headers],0),0)</f>
        <v>38.15</v>
      </c>
      <c r="J812" s="89">
        <f t="shared" si="62"/>
        <v>36.685000000000002</v>
      </c>
      <c r="K812" s="89">
        <f t="shared" si="63"/>
        <v>0.69630824712916395</v>
      </c>
      <c r="L812" s="89">
        <v>1</v>
      </c>
      <c r="M812" s="13">
        <f t="shared" si="64"/>
        <v>158082398.49292749</v>
      </c>
      <c r="N812" s="11">
        <f t="shared" si="65"/>
        <v>2.812145090073331E-3</v>
      </c>
    </row>
    <row r="813" spans="1:14" x14ac:dyDescent="0.25">
      <c r="A813" s="79" t="s">
        <v>33</v>
      </c>
      <c r="B813" s="89" t="s">
        <v>7</v>
      </c>
      <c r="C813" s="89" t="s">
        <v>42</v>
      </c>
      <c r="D813" s="13" t="s">
        <v>12</v>
      </c>
      <c r="E813" s="35">
        <f>VLOOKUP(B813, Passenger_Kilometre_by_mode_type[#All],MATCH(A813, Passenger_Kilometre_by_mode_type[#Headers],0),0)</f>
        <v>157166834.45463219</v>
      </c>
      <c r="F813" s="89">
        <f>VLOOKUP(C813, Reason_for_walking_cycling_journeys_by_percentage[#All],MATCH(A813, Reason_for_walking_cycling_journeys_by_percentage[#Headers],0),0)/100</f>
        <v>0.17649999999999999</v>
      </c>
      <c r="G813" s="13">
        <f t="shared" si="61"/>
        <v>27739946.281242579</v>
      </c>
      <c r="H813" s="89">
        <f>VLOOKUP(D813,Average_Distance_by_kilometre_grouping_for_mode_type[#All],MATCH(A813,Average_Distance_by_kilometre_grouping_for_mode_type[#Headers],0),0)</f>
        <v>1</v>
      </c>
      <c r="I813" s="89">
        <f>VLOOKUP(D813,Average_Distance_by_kilometres_grouping_for_trip_purpose[#All],MATCH(A813,Average_Distance_by_kilometres_grouping_for_trip_purpose[#Headers],0),0)</f>
        <v>1</v>
      </c>
      <c r="J813" s="89">
        <f t="shared" si="62"/>
        <v>1</v>
      </c>
      <c r="K813" s="89">
        <f t="shared" si="63"/>
        <v>1.8980734554427257E-2</v>
      </c>
      <c r="L813" s="89">
        <v>1</v>
      </c>
      <c r="M813" s="13">
        <f t="shared" si="64"/>
        <v>526524.55691833689</v>
      </c>
      <c r="N813" s="11">
        <f t="shared" si="65"/>
        <v>9.3664029750104093E-6</v>
      </c>
    </row>
    <row r="814" spans="1:14" x14ac:dyDescent="0.25">
      <c r="A814" s="79" t="s">
        <v>33</v>
      </c>
      <c r="B814" s="89" t="s">
        <v>7</v>
      </c>
      <c r="C814" s="89" t="s">
        <v>42</v>
      </c>
      <c r="D814" s="13" t="s">
        <v>181</v>
      </c>
      <c r="E814" s="35">
        <f>VLOOKUP(B814, Passenger_Kilometre_by_mode_type[#All],MATCH(A814, Passenger_Kilometre_by_mode_type[#Headers],0),0)</f>
        <v>157166834.45463219</v>
      </c>
      <c r="F814" s="89">
        <f>VLOOKUP(C814, Reason_for_walking_cycling_journeys_by_percentage[#All],MATCH(A814, Reason_for_walking_cycling_journeys_by_percentage[#Headers],0),0)/100</f>
        <v>0.17649999999999999</v>
      </c>
      <c r="G814" s="13">
        <f t="shared" si="61"/>
        <v>27739946.281242579</v>
      </c>
      <c r="H814" s="89">
        <f>VLOOKUP(D814,Average_Distance_by_kilometre_grouping_for_mode_type[#All],MATCH(A814,Average_Distance_by_kilometre_grouping_for_mode_type[#Headers],0),0)</f>
        <v>3</v>
      </c>
      <c r="I814" s="89">
        <f>VLOOKUP(D814,Average_Distance_by_kilometres_grouping_for_trip_purpose[#All],MATCH(A814,Average_Distance_by_kilometres_grouping_for_trip_purpose[#Headers],0),0)</f>
        <v>3</v>
      </c>
      <c r="J814" s="89">
        <f t="shared" si="62"/>
        <v>3</v>
      </c>
      <c r="K814" s="89">
        <f t="shared" si="63"/>
        <v>5.6942203663281767E-2</v>
      </c>
      <c r="L814" s="89">
        <v>1</v>
      </c>
      <c r="M814" s="13">
        <f t="shared" si="64"/>
        <v>1579573.6707550106</v>
      </c>
      <c r="N814" s="11">
        <f t="shared" si="65"/>
        <v>2.8099208925031226E-5</v>
      </c>
    </row>
    <row r="815" spans="1:14" x14ac:dyDescent="0.25">
      <c r="A815" s="79" t="s">
        <v>33</v>
      </c>
      <c r="B815" s="89" t="s">
        <v>7</v>
      </c>
      <c r="C815" s="89" t="s">
        <v>42</v>
      </c>
      <c r="D815" s="13" t="s">
        <v>180</v>
      </c>
      <c r="E815" s="35">
        <f>VLOOKUP(B815, Passenger_Kilometre_by_mode_type[#All],MATCH(A815, Passenger_Kilometre_by_mode_type[#Headers],0),0)</f>
        <v>157166834.45463219</v>
      </c>
      <c r="F815" s="89">
        <f>VLOOKUP(C815, Reason_for_walking_cycling_journeys_by_percentage[#All],MATCH(A815, Reason_for_walking_cycling_journeys_by_percentage[#Headers],0),0)/100</f>
        <v>0.17649999999999999</v>
      </c>
      <c r="G815" s="13">
        <f t="shared" si="61"/>
        <v>27739946.281242579</v>
      </c>
      <c r="H815" s="89">
        <f>VLOOKUP(D815,Average_Distance_by_kilometre_grouping_for_mode_type[#All],MATCH(A815,Average_Distance_by_kilometre_grouping_for_mode_type[#Headers],0),0)</f>
        <v>5</v>
      </c>
      <c r="I815" s="89">
        <f>VLOOKUP(D815,Average_Distance_by_kilometres_grouping_for_trip_purpose[#All],MATCH(A815,Average_Distance_by_kilometres_grouping_for_trip_purpose[#Headers],0),0)</f>
        <v>5</v>
      </c>
      <c r="J815" s="89">
        <f t="shared" si="62"/>
        <v>5</v>
      </c>
      <c r="K815" s="89">
        <f t="shared" si="63"/>
        <v>9.490367277213628E-2</v>
      </c>
      <c r="L815" s="89">
        <v>1</v>
      </c>
      <c r="M815" s="13">
        <f t="shared" si="64"/>
        <v>2632622.7845916846</v>
      </c>
      <c r="N815" s="11">
        <f t="shared" si="65"/>
        <v>4.6832014875052052E-5</v>
      </c>
    </row>
    <row r="816" spans="1:14" x14ac:dyDescent="0.25">
      <c r="A816" s="79" t="s">
        <v>33</v>
      </c>
      <c r="B816" s="89" t="s">
        <v>7</v>
      </c>
      <c r="C816" s="89" t="s">
        <v>42</v>
      </c>
      <c r="D816" s="13" t="s">
        <v>182</v>
      </c>
      <c r="E816" s="35">
        <f>VLOOKUP(B816, Passenger_Kilometre_by_mode_type[#All],MATCH(A816, Passenger_Kilometre_by_mode_type[#Headers],0),0)</f>
        <v>157166834.45463219</v>
      </c>
      <c r="F816" s="89">
        <f>VLOOKUP(C816, Reason_for_walking_cycling_journeys_by_percentage[#All],MATCH(A816, Reason_for_walking_cycling_journeys_by_percentage[#Headers],0),0)/100</f>
        <v>0.17649999999999999</v>
      </c>
      <c r="G816" s="13">
        <f t="shared" si="61"/>
        <v>27739946.281242579</v>
      </c>
      <c r="H816" s="89">
        <f>VLOOKUP(D816,Average_Distance_by_kilometre_grouping_for_mode_type[#All],MATCH(A816,Average_Distance_by_kilometre_grouping_for_mode_type[#Headers],0),0)</f>
        <v>7</v>
      </c>
      <c r="I816" s="89">
        <f>VLOOKUP(D816,Average_Distance_by_kilometres_grouping_for_trip_purpose[#All],MATCH(A816,Average_Distance_by_kilometres_grouping_for_trip_purpose[#Headers],0),0)</f>
        <v>7</v>
      </c>
      <c r="J816" s="89">
        <f t="shared" si="62"/>
        <v>7</v>
      </c>
      <c r="K816" s="89">
        <f t="shared" si="63"/>
        <v>0.1328651418809908</v>
      </c>
      <c r="L816" s="89">
        <v>1</v>
      </c>
      <c r="M816" s="13">
        <f t="shared" si="64"/>
        <v>3685671.8984283586</v>
      </c>
      <c r="N816" s="11">
        <f t="shared" si="65"/>
        <v>6.556482082507288E-5</v>
      </c>
    </row>
    <row r="817" spans="1:14" x14ac:dyDescent="0.25">
      <c r="A817" s="79" t="s">
        <v>33</v>
      </c>
      <c r="B817" s="89" t="s">
        <v>7</v>
      </c>
      <c r="C817" s="89" t="s">
        <v>42</v>
      </c>
      <c r="D817" s="13" t="s">
        <v>1</v>
      </c>
      <c r="E817" s="35">
        <f>VLOOKUP(B817, Passenger_Kilometre_by_mode_type[#All],MATCH(A817, Passenger_Kilometre_by_mode_type[#Headers],0),0)</f>
        <v>157166834.45463219</v>
      </c>
      <c r="F817" s="89">
        <f>VLOOKUP(C817, Reason_for_walking_cycling_journeys_by_percentage[#All],MATCH(A817, Reason_for_walking_cycling_journeys_by_percentage[#Headers],0),0)/100</f>
        <v>0.17649999999999999</v>
      </c>
      <c r="G817" s="13">
        <f t="shared" si="61"/>
        <v>27739946.281242579</v>
      </c>
      <c r="H817" s="89">
        <f>VLOOKUP(D817,Average_Distance_by_kilometre_grouping_for_mode_type[#All],MATCH(A817,Average_Distance_by_kilometre_grouping_for_mode_type[#Headers],0),0)</f>
        <v>35.22</v>
      </c>
      <c r="I817" s="89">
        <f>VLOOKUP(D817,Average_Distance_by_kilometres_grouping_for_trip_purpose[#All],MATCH(A817,Average_Distance_by_kilometres_grouping_for_trip_purpose[#Headers],0),0)</f>
        <v>38.15</v>
      </c>
      <c r="J817" s="89">
        <f t="shared" si="62"/>
        <v>36.685000000000002</v>
      </c>
      <c r="K817" s="89">
        <f t="shared" si="63"/>
        <v>0.69630824712916395</v>
      </c>
      <c r="L817" s="89">
        <v>1</v>
      </c>
      <c r="M817" s="13">
        <f t="shared" si="64"/>
        <v>19315553.370549191</v>
      </c>
      <c r="N817" s="11">
        <f t="shared" si="65"/>
        <v>3.4360649313825689E-4</v>
      </c>
    </row>
    <row r="818" spans="1:14" x14ac:dyDescent="0.25">
      <c r="A818" s="79" t="s">
        <v>33</v>
      </c>
      <c r="B818" s="89" t="s">
        <v>7</v>
      </c>
      <c r="C818" s="89" t="s">
        <v>43</v>
      </c>
      <c r="D818" s="13" t="s">
        <v>12</v>
      </c>
      <c r="E818" s="35">
        <f>VLOOKUP(B818, Passenger_Kilometre_by_mode_type[#All],MATCH(A818, Passenger_Kilometre_by_mode_type[#Headers],0),0)</f>
        <v>157166834.45463219</v>
      </c>
      <c r="F818" s="89">
        <f>VLOOKUP(C818, Reason_for_walking_cycling_journeys_by_percentage[#All],MATCH(A818, Reason_for_walking_cycling_journeys_by_percentage[#Headers],0),0)/100</f>
        <v>8.5249999999999992E-2</v>
      </c>
      <c r="G818" s="13">
        <f t="shared" si="61"/>
        <v>13398472.637257393</v>
      </c>
      <c r="H818" s="89">
        <f>VLOOKUP(D818,Average_Distance_by_kilometre_grouping_for_mode_type[#All],MATCH(A818,Average_Distance_by_kilometre_grouping_for_mode_type[#Headers],0),0)</f>
        <v>1</v>
      </c>
      <c r="I818" s="89">
        <f>VLOOKUP(D818,Average_Distance_by_kilometres_grouping_for_trip_purpose[#All],MATCH(A818,Average_Distance_by_kilometres_grouping_for_trip_purpose[#Headers],0),0)</f>
        <v>1</v>
      </c>
      <c r="J818" s="89">
        <f t="shared" si="62"/>
        <v>1</v>
      </c>
      <c r="K818" s="89">
        <f t="shared" si="63"/>
        <v>1.8980734554427257E-2</v>
      </c>
      <c r="L818" s="89">
        <v>1</v>
      </c>
      <c r="M818" s="13">
        <f t="shared" si="64"/>
        <v>254312.85256253951</v>
      </c>
      <c r="N818" s="11">
        <f t="shared" si="65"/>
        <v>4.5239991706495044E-6</v>
      </c>
    </row>
    <row r="819" spans="1:14" x14ac:dyDescent="0.25">
      <c r="A819" s="79" t="s">
        <v>33</v>
      </c>
      <c r="B819" s="89" t="s">
        <v>7</v>
      </c>
      <c r="C819" s="89" t="s">
        <v>43</v>
      </c>
      <c r="D819" s="13" t="s">
        <v>181</v>
      </c>
      <c r="E819" s="35">
        <f>VLOOKUP(B819, Passenger_Kilometre_by_mode_type[#All],MATCH(A819, Passenger_Kilometre_by_mode_type[#Headers],0),0)</f>
        <v>157166834.45463219</v>
      </c>
      <c r="F819" s="89">
        <f>VLOOKUP(C819, Reason_for_walking_cycling_journeys_by_percentage[#All],MATCH(A819, Reason_for_walking_cycling_journeys_by_percentage[#Headers],0),0)/100</f>
        <v>8.5249999999999992E-2</v>
      </c>
      <c r="G819" s="13">
        <f t="shared" si="61"/>
        <v>13398472.637257393</v>
      </c>
      <c r="H819" s="89">
        <f>VLOOKUP(D819,Average_Distance_by_kilometre_grouping_for_mode_type[#All],MATCH(A819,Average_Distance_by_kilometre_grouping_for_mode_type[#Headers],0),0)</f>
        <v>3</v>
      </c>
      <c r="I819" s="89">
        <f>VLOOKUP(D819,Average_Distance_by_kilometres_grouping_for_trip_purpose[#All],MATCH(A819,Average_Distance_by_kilometres_grouping_for_trip_purpose[#Headers],0),0)</f>
        <v>3</v>
      </c>
      <c r="J819" s="89">
        <f t="shared" si="62"/>
        <v>3</v>
      </c>
      <c r="K819" s="89">
        <f t="shared" si="63"/>
        <v>5.6942203663281767E-2</v>
      </c>
      <c r="L819" s="89">
        <v>1</v>
      </c>
      <c r="M819" s="13">
        <f t="shared" si="64"/>
        <v>762938.55768761842</v>
      </c>
      <c r="N819" s="11">
        <f t="shared" si="65"/>
        <v>1.3571997511948511E-5</v>
      </c>
    </row>
    <row r="820" spans="1:14" x14ac:dyDescent="0.25">
      <c r="A820" s="79" t="s">
        <v>33</v>
      </c>
      <c r="B820" s="89" t="s">
        <v>7</v>
      </c>
      <c r="C820" s="89" t="s">
        <v>43</v>
      </c>
      <c r="D820" s="13" t="s">
        <v>180</v>
      </c>
      <c r="E820" s="35">
        <f>VLOOKUP(B820, Passenger_Kilometre_by_mode_type[#All],MATCH(A820, Passenger_Kilometre_by_mode_type[#Headers],0),0)</f>
        <v>157166834.45463219</v>
      </c>
      <c r="F820" s="89">
        <f>VLOOKUP(C820, Reason_for_walking_cycling_journeys_by_percentage[#All],MATCH(A820, Reason_for_walking_cycling_journeys_by_percentage[#Headers],0),0)/100</f>
        <v>8.5249999999999992E-2</v>
      </c>
      <c r="G820" s="13">
        <f t="shared" si="61"/>
        <v>13398472.637257393</v>
      </c>
      <c r="H820" s="89">
        <f>VLOOKUP(D820,Average_Distance_by_kilometre_grouping_for_mode_type[#All],MATCH(A820,Average_Distance_by_kilometre_grouping_for_mode_type[#Headers],0),0)</f>
        <v>5</v>
      </c>
      <c r="I820" s="89">
        <f>VLOOKUP(D820,Average_Distance_by_kilometres_grouping_for_trip_purpose[#All],MATCH(A820,Average_Distance_by_kilometres_grouping_for_trip_purpose[#Headers],0),0)</f>
        <v>5</v>
      </c>
      <c r="J820" s="89">
        <f t="shared" si="62"/>
        <v>5</v>
      </c>
      <c r="K820" s="89">
        <f t="shared" si="63"/>
        <v>9.490367277213628E-2</v>
      </c>
      <c r="L820" s="89">
        <v>1</v>
      </c>
      <c r="M820" s="13">
        <f t="shared" si="64"/>
        <v>1271564.2628126976</v>
      </c>
      <c r="N820" s="11">
        <f t="shared" si="65"/>
        <v>2.2619995853247519E-5</v>
      </c>
    </row>
    <row r="821" spans="1:14" x14ac:dyDescent="0.25">
      <c r="A821" s="79" t="s">
        <v>33</v>
      </c>
      <c r="B821" s="89" t="s">
        <v>7</v>
      </c>
      <c r="C821" s="89" t="s">
        <v>43</v>
      </c>
      <c r="D821" s="13" t="s">
        <v>182</v>
      </c>
      <c r="E821" s="35">
        <f>VLOOKUP(B821, Passenger_Kilometre_by_mode_type[#All],MATCH(A821, Passenger_Kilometre_by_mode_type[#Headers],0),0)</f>
        <v>157166834.45463219</v>
      </c>
      <c r="F821" s="89">
        <f>VLOOKUP(C821, Reason_for_walking_cycling_journeys_by_percentage[#All],MATCH(A821, Reason_for_walking_cycling_journeys_by_percentage[#Headers],0),0)/100</f>
        <v>8.5249999999999992E-2</v>
      </c>
      <c r="G821" s="13">
        <f t="shared" si="61"/>
        <v>13398472.637257393</v>
      </c>
      <c r="H821" s="89">
        <f>VLOOKUP(D821,Average_Distance_by_kilometre_grouping_for_mode_type[#All],MATCH(A821,Average_Distance_by_kilometre_grouping_for_mode_type[#Headers],0),0)</f>
        <v>7</v>
      </c>
      <c r="I821" s="89">
        <f>VLOOKUP(D821,Average_Distance_by_kilometres_grouping_for_trip_purpose[#All],MATCH(A821,Average_Distance_by_kilometres_grouping_for_trip_purpose[#Headers],0),0)</f>
        <v>7</v>
      </c>
      <c r="J821" s="89">
        <f t="shared" si="62"/>
        <v>7</v>
      </c>
      <c r="K821" s="89">
        <f t="shared" si="63"/>
        <v>0.1328651418809908</v>
      </c>
      <c r="L821" s="89">
        <v>1</v>
      </c>
      <c r="M821" s="13">
        <f t="shared" si="64"/>
        <v>1780189.9679377766</v>
      </c>
      <c r="N821" s="11">
        <f t="shared" si="65"/>
        <v>3.1667994194546527E-5</v>
      </c>
    </row>
    <row r="822" spans="1:14" x14ac:dyDescent="0.25">
      <c r="A822" s="79" t="s">
        <v>33</v>
      </c>
      <c r="B822" s="89" t="s">
        <v>7</v>
      </c>
      <c r="C822" s="89" t="s">
        <v>43</v>
      </c>
      <c r="D822" s="13" t="s">
        <v>1</v>
      </c>
      <c r="E822" s="35">
        <f>VLOOKUP(B822, Passenger_Kilometre_by_mode_type[#All],MATCH(A822, Passenger_Kilometre_by_mode_type[#Headers],0),0)</f>
        <v>157166834.45463219</v>
      </c>
      <c r="F822" s="89">
        <f>VLOOKUP(C822, Reason_for_walking_cycling_journeys_by_percentage[#All],MATCH(A822, Reason_for_walking_cycling_journeys_by_percentage[#Headers],0),0)/100</f>
        <v>8.5249999999999992E-2</v>
      </c>
      <c r="G822" s="13">
        <f t="shared" si="61"/>
        <v>13398472.637257393</v>
      </c>
      <c r="H822" s="89">
        <f>VLOOKUP(D822,Average_Distance_by_kilometre_grouping_for_mode_type[#All],MATCH(A822,Average_Distance_by_kilometre_grouping_for_mode_type[#Headers],0),0)</f>
        <v>35.22</v>
      </c>
      <c r="I822" s="89">
        <f>VLOOKUP(D822,Average_Distance_by_kilometres_grouping_for_trip_purpose[#All],MATCH(A822,Average_Distance_by_kilometres_grouping_for_trip_purpose[#Headers],0),0)</f>
        <v>38.15</v>
      </c>
      <c r="J822" s="89">
        <f t="shared" si="62"/>
        <v>36.685000000000002</v>
      </c>
      <c r="K822" s="89">
        <f t="shared" si="63"/>
        <v>0.69630824712916395</v>
      </c>
      <c r="L822" s="89">
        <v>1</v>
      </c>
      <c r="M822" s="13">
        <f t="shared" si="64"/>
        <v>9329466.9962567613</v>
      </c>
      <c r="N822" s="11">
        <f t="shared" si="65"/>
        <v>1.6596290957527704E-4</v>
      </c>
    </row>
    <row r="823" spans="1:14" x14ac:dyDescent="0.25">
      <c r="A823" s="79" t="s">
        <v>33</v>
      </c>
      <c r="B823" s="89" t="s">
        <v>7</v>
      </c>
      <c r="C823" s="89" t="s">
        <v>44</v>
      </c>
      <c r="D823" s="13" t="s">
        <v>12</v>
      </c>
      <c r="E823" s="35">
        <f>VLOOKUP(B823, Passenger_Kilometre_by_mode_type[#All],MATCH(A823, Passenger_Kilometre_by_mode_type[#Headers],0),0)</f>
        <v>157166834.45463219</v>
      </c>
      <c r="F823" s="89">
        <f>VLOOKUP(C823, Reason_for_walking_cycling_journeys_by_percentage[#All],MATCH(A823, Reason_for_walking_cycling_journeys_by_percentage[#Headers],0),0)/100</f>
        <v>0.23774999999999999</v>
      </c>
      <c r="G823" s="13">
        <f t="shared" si="61"/>
        <v>37366414.8915888</v>
      </c>
      <c r="H823" s="89">
        <f>VLOOKUP(D823,Average_Distance_by_kilometre_grouping_for_mode_type[#All],MATCH(A823,Average_Distance_by_kilometre_grouping_for_mode_type[#Headers],0),0)</f>
        <v>1</v>
      </c>
      <c r="I823" s="89">
        <f>VLOOKUP(D823,Average_Distance_by_kilometres_grouping_for_trip_purpose[#All],MATCH(A823,Average_Distance_by_kilometres_grouping_for_trip_purpose[#Headers],0),0)</f>
        <v>1</v>
      </c>
      <c r="J823" s="89">
        <f t="shared" si="62"/>
        <v>1</v>
      </c>
      <c r="K823" s="89">
        <f t="shared" si="63"/>
        <v>1.8980734554427257E-2</v>
      </c>
      <c r="L823" s="89">
        <v>1</v>
      </c>
      <c r="M823" s="13">
        <f t="shared" si="64"/>
        <v>709242.0023078447</v>
      </c>
      <c r="N823" s="11">
        <f t="shared" si="65"/>
        <v>1.2616783610814304E-5</v>
      </c>
    </row>
    <row r="824" spans="1:14" x14ac:dyDescent="0.25">
      <c r="A824" s="79" t="s">
        <v>33</v>
      </c>
      <c r="B824" s="89" t="s">
        <v>7</v>
      </c>
      <c r="C824" s="89" t="s">
        <v>44</v>
      </c>
      <c r="D824" s="13" t="s">
        <v>181</v>
      </c>
      <c r="E824" s="35">
        <f>VLOOKUP(B824, Passenger_Kilometre_by_mode_type[#All],MATCH(A824, Passenger_Kilometre_by_mode_type[#Headers],0),0)</f>
        <v>157166834.45463219</v>
      </c>
      <c r="F824" s="89">
        <f>VLOOKUP(C824, Reason_for_walking_cycling_journeys_by_percentage[#All],MATCH(A824, Reason_for_walking_cycling_journeys_by_percentage[#Headers],0),0)/100</f>
        <v>0.23774999999999999</v>
      </c>
      <c r="G824" s="13">
        <f t="shared" si="61"/>
        <v>37366414.8915888</v>
      </c>
      <c r="H824" s="89">
        <f>VLOOKUP(D824,Average_Distance_by_kilometre_grouping_for_mode_type[#All],MATCH(A824,Average_Distance_by_kilometre_grouping_for_mode_type[#Headers],0),0)</f>
        <v>3</v>
      </c>
      <c r="I824" s="89">
        <f>VLOOKUP(D824,Average_Distance_by_kilometres_grouping_for_trip_purpose[#All],MATCH(A824,Average_Distance_by_kilometres_grouping_for_trip_purpose[#Headers],0),0)</f>
        <v>3</v>
      </c>
      <c r="J824" s="89">
        <f t="shared" si="62"/>
        <v>3</v>
      </c>
      <c r="K824" s="89">
        <f t="shared" si="63"/>
        <v>5.6942203663281767E-2</v>
      </c>
      <c r="L824" s="89">
        <v>1</v>
      </c>
      <c r="M824" s="13">
        <f t="shared" si="64"/>
        <v>2127726.006923534</v>
      </c>
      <c r="N824" s="11">
        <f t="shared" si="65"/>
        <v>3.7850350832442909E-5</v>
      </c>
    </row>
    <row r="825" spans="1:14" x14ac:dyDescent="0.25">
      <c r="A825" s="79" t="s">
        <v>33</v>
      </c>
      <c r="B825" s="89" t="s">
        <v>7</v>
      </c>
      <c r="C825" s="89" t="s">
        <v>44</v>
      </c>
      <c r="D825" s="13" t="s">
        <v>180</v>
      </c>
      <c r="E825" s="35">
        <f>VLOOKUP(B825, Passenger_Kilometre_by_mode_type[#All],MATCH(A825, Passenger_Kilometre_by_mode_type[#Headers],0),0)</f>
        <v>157166834.45463219</v>
      </c>
      <c r="F825" s="89">
        <f>VLOOKUP(C825, Reason_for_walking_cycling_journeys_by_percentage[#All],MATCH(A825, Reason_for_walking_cycling_journeys_by_percentage[#Headers],0),0)/100</f>
        <v>0.23774999999999999</v>
      </c>
      <c r="G825" s="13">
        <f t="shared" si="61"/>
        <v>37366414.8915888</v>
      </c>
      <c r="H825" s="89">
        <f>VLOOKUP(D825,Average_Distance_by_kilometre_grouping_for_mode_type[#All],MATCH(A825,Average_Distance_by_kilometre_grouping_for_mode_type[#Headers],0),0)</f>
        <v>5</v>
      </c>
      <c r="I825" s="89">
        <f>VLOOKUP(D825,Average_Distance_by_kilometres_grouping_for_trip_purpose[#All],MATCH(A825,Average_Distance_by_kilometres_grouping_for_trip_purpose[#Headers],0),0)</f>
        <v>5</v>
      </c>
      <c r="J825" s="89">
        <f t="shared" si="62"/>
        <v>5</v>
      </c>
      <c r="K825" s="89">
        <f t="shared" si="63"/>
        <v>9.490367277213628E-2</v>
      </c>
      <c r="L825" s="89">
        <v>1</v>
      </c>
      <c r="M825" s="13">
        <f t="shared" si="64"/>
        <v>3546210.0115392236</v>
      </c>
      <c r="N825" s="11">
        <f t="shared" si="65"/>
        <v>6.3083918054071531E-5</v>
      </c>
    </row>
    <row r="826" spans="1:14" x14ac:dyDescent="0.25">
      <c r="A826" s="79" t="s">
        <v>33</v>
      </c>
      <c r="B826" s="89" t="s">
        <v>7</v>
      </c>
      <c r="C826" s="89" t="s">
        <v>44</v>
      </c>
      <c r="D826" s="13" t="s">
        <v>182</v>
      </c>
      <c r="E826" s="35">
        <f>VLOOKUP(B826, Passenger_Kilometre_by_mode_type[#All],MATCH(A826, Passenger_Kilometre_by_mode_type[#Headers],0),0)</f>
        <v>157166834.45463219</v>
      </c>
      <c r="F826" s="89">
        <f>VLOOKUP(C826, Reason_for_walking_cycling_journeys_by_percentage[#All],MATCH(A826, Reason_for_walking_cycling_journeys_by_percentage[#Headers],0),0)/100</f>
        <v>0.23774999999999999</v>
      </c>
      <c r="G826" s="13">
        <f t="shared" si="61"/>
        <v>37366414.8915888</v>
      </c>
      <c r="H826" s="89">
        <f>VLOOKUP(D826,Average_Distance_by_kilometre_grouping_for_mode_type[#All],MATCH(A826,Average_Distance_by_kilometre_grouping_for_mode_type[#Headers],0),0)</f>
        <v>7</v>
      </c>
      <c r="I826" s="89">
        <f>VLOOKUP(D826,Average_Distance_by_kilometres_grouping_for_trip_purpose[#All],MATCH(A826,Average_Distance_by_kilometres_grouping_for_trip_purpose[#Headers],0),0)</f>
        <v>7</v>
      </c>
      <c r="J826" s="89">
        <f t="shared" si="62"/>
        <v>7</v>
      </c>
      <c r="K826" s="89">
        <f t="shared" si="63"/>
        <v>0.1328651418809908</v>
      </c>
      <c r="L826" s="89">
        <v>1</v>
      </c>
      <c r="M826" s="13">
        <f t="shared" si="64"/>
        <v>4964694.0161549132</v>
      </c>
      <c r="N826" s="11">
        <f t="shared" si="65"/>
        <v>8.8317485275700146E-5</v>
      </c>
    </row>
    <row r="827" spans="1:14" x14ac:dyDescent="0.25">
      <c r="A827" s="79" t="s">
        <v>33</v>
      </c>
      <c r="B827" s="89" t="s">
        <v>7</v>
      </c>
      <c r="C827" s="89" t="s">
        <v>44</v>
      </c>
      <c r="D827" s="13" t="s">
        <v>1</v>
      </c>
      <c r="E827" s="35">
        <f>VLOOKUP(B827, Passenger_Kilometre_by_mode_type[#All],MATCH(A827, Passenger_Kilometre_by_mode_type[#Headers],0),0)</f>
        <v>157166834.45463219</v>
      </c>
      <c r="F827" s="89">
        <f>VLOOKUP(C827, Reason_for_walking_cycling_journeys_by_percentage[#All],MATCH(A827, Reason_for_walking_cycling_journeys_by_percentage[#Headers],0),0)/100</f>
        <v>0.23774999999999999</v>
      </c>
      <c r="G827" s="13">
        <f t="shared" si="61"/>
        <v>37366414.8915888</v>
      </c>
      <c r="H827" s="89">
        <f>VLOOKUP(D827,Average_Distance_by_kilometre_grouping_for_mode_type[#All],MATCH(A827,Average_Distance_by_kilometre_grouping_for_mode_type[#Headers],0),0)</f>
        <v>35.22</v>
      </c>
      <c r="I827" s="89">
        <f>VLOOKUP(D827,Average_Distance_by_kilometres_grouping_for_trip_purpose[#All],MATCH(A827,Average_Distance_by_kilometres_grouping_for_trip_purpose[#Headers],0),0)</f>
        <v>38.15</v>
      </c>
      <c r="J827" s="89">
        <f t="shared" si="62"/>
        <v>36.685000000000002</v>
      </c>
      <c r="K827" s="89">
        <f t="shared" si="63"/>
        <v>0.69630824712916395</v>
      </c>
      <c r="L827" s="89">
        <v>1</v>
      </c>
      <c r="M827" s="13">
        <f t="shared" si="64"/>
        <v>26018542.854663286</v>
      </c>
      <c r="N827" s="11">
        <f t="shared" si="65"/>
        <v>4.6284670676272283E-4</v>
      </c>
    </row>
    <row r="828" spans="1:14" x14ac:dyDescent="0.25">
      <c r="A828" s="79" t="s">
        <v>33</v>
      </c>
      <c r="B828" s="89" t="s">
        <v>7</v>
      </c>
      <c r="C828" s="89" t="s">
        <v>45</v>
      </c>
      <c r="D828" s="13" t="s">
        <v>12</v>
      </c>
      <c r="E828" s="35">
        <f>VLOOKUP(B828, Passenger_Kilometre_by_mode_type[#All],MATCH(A828, Passenger_Kilometre_by_mode_type[#Headers],0),0)</f>
        <v>157166834.45463219</v>
      </c>
      <c r="F828" s="89">
        <f>VLOOKUP(C828, Reason_for_walking_cycling_journeys_by_percentage[#All],MATCH(A828, Reason_for_walking_cycling_journeys_by_percentage[#Headers],0),0)/100</f>
        <v>3.6750000000000005E-2</v>
      </c>
      <c r="G828" s="13">
        <f t="shared" si="61"/>
        <v>5775881.1662077336</v>
      </c>
      <c r="H828" s="89">
        <f>VLOOKUP(D828,Average_Distance_by_kilometre_grouping_for_mode_type[#All],MATCH(A828,Average_Distance_by_kilometre_grouping_for_mode_type[#Headers],0),0)</f>
        <v>1</v>
      </c>
      <c r="I828" s="89">
        <f>VLOOKUP(D828,Average_Distance_by_kilometres_grouping_for_trip_purpose[#All],MATCH(A828,Average_Distance_by_kilometres_grouping_for_trip_purpose[#Headers],0),0)</f>
        <v>1</v>
      </c>
      <c r="J828" s="89">
        <f t="shared" si="62"/>
        <v>1</v>
      </c>
      <c r="K828" s="89">
        <f t="shared" si="63"/>
        <v>1.8980734554427257E-2</v>
      </c>
      <c r="L828" s="89">
        <v>1</v>
      </c>
      <c r="M828" s="13">
        <f t="shared" si="64"/>
        <v>109630.46723370472</v>
      </c>
      <c r="N828" s="11">
        <f t="shared" si="65"/>
        <v>1.9502283814823377E-6</v>
      </c>
    </row>
    <row r="829" spans="1:14" x14ac:dyDescent="0.25">
      <c r="A829" s="79" t="s">
        <v>33</v>
      </c>
      <c r="B829" s="89" t="s">
        <v>7</v>
      </c>
      <c r="C829" s="89" t="s">
        <v>45</v>
      </c>
      <c r="D829" s="13" t="s">
        <v>181</v>
      </c>
      <c r="E829" s="35">
        <f>VLOOKUP(B829, Passenger_Kilometre_by_mode_type[#All],MATCH(A829, Passenger_Kilometre_by_mode_type[#Headers],0),0)</f>
        <v>157166834.45463219</v>
      </c>
      <c r="F829" s="89">
        <f>VLOOKUP(C829, Reason_for_walking_cycling_journeys_by_percentage[#All],MATCH(A829, Reason_for_walking_cycling_journeys_by_percentage[#Headers],0),0)/100</f>
        <v>3.6750000000000005E-2</v>
      </c>
      <c r="G829" s="13">
        <f t="shared" si="61"/>
        <v>5775881.1662077336</v>
      </c>
      <c r="H829" s="89">
        <f>VLOOKUP(D829,Average_Distance_by_kilometre_grouping_for_mode_type[#All],MATCH(A829,Average_Distance_by_kilometre_grouping_for_mode_type[#Headers],0),0)</f>
        <v>3</v>
      </c>
      <c r="I829" s="89">
        <f>VLOOKUP(D829,Average_Distance_by_kilometres_grouping_for_trip_purpose[#All],MATCH(A829,Average_Distance_by_kilometres_grouping_for_trip_purpose[#Headers],0),0)</f>
        <v>3</v>
      </c>
      <c r="J829" s="89">
        <f t="shared" si="62"/>
        <v>3</v>
      </c>
      <c r="K829" s="89">
        <f t="shared" si="63"/>
        <v>5.6942203663281767E-2</v>
      </c>
      <c r="L829" s="89">
        <v>1</v>
      </c>
      <c r="M829" s="13">
        <f t="shared" si="64"/>
        <v>328891.40170111414</v>
      </c>
      <c r="N829" s="11">
        <f t="shared" si="65"/>
        <v>5.8506851444470124E-6</v>
      </c>
    </row>
    <row r="830" spans="1:14" x14ac:dyDescent="0.25">
      <c r="A830" s="79" t="s">
        <v>33</v>
      </c>
      <c r="B830" s="89" t="s">
        <v>7</v>
      </c>
      <c r="C830" s="89" t="s">
        <v>45</v>
      </c>
      <c r="D830" s="13" t="s">
        <v>180</v>
      </c>
      <c r="E830" s="35">
        <f>VLOOKUP(B830, Passenger_Kilometre_by_mode_type[#All],MATCH(A830, Passenger_Kilometre_by_mode_type[#Headers],0),0)</f>
        <v>157166834.45463219</v>
      </c>
      <c r="F830" s="89">
        <f>VLOOKUP(C830, Reason_for_walking_cycling_journeys_by_percentage[#All],MATCH(A830, Reason_for_walking_cycling_journeys_by_percentage[#Headers],0),0)/100</f>
        <v>3.6750000000000005E-2</v>
      </c>
      <c r="G830" s="13">
        <f t="shared" si="61"/>
        <v>5775881.1662077336</v>
      </c>
      <c r="H830" s="89">
        <f>VLOOKUP(D830,Average_Distance_by_kilometre_grouping_for_mode_type[#All],MATCH(A830,Average_Distance_by_kilometre_grouping_for_mode_type[#Headers],0),0)</f>
        <v>5</v>
      </c>
      <c r="I830" s="89">
        <f>VLOOKUP(D830,Average_Distance_by_kilometres_grouping_for_trip_purpose[#All],MATCH(A830,Average_Distance_by_kilometres_grouping_for_trip_purpose[#Headers],0),0)</f>
        <v>5</v>
      </c>
      <c r="J830" s="89">
        <f t="shared" si="62"/>
        <v>5</v>
      </c>
      <c r="K830" s="89">
        <f t="shared" si="63"/>
        <v>9.490367277213628E-2</v>
      </c>
      <c r="L830" s="89">
        <v>1</v>
      </c>
      <c r="M830" s="13">
        <f t="shared" si="64"/>
        <v>548152.33616852365</v>
      </c>
      <c r="N830" s="11">
        <f t="shared" si="65"/>
        <v>9.7511419074116896E-6</v>
      </c>
    </row>
    <row r="831" spans="1:14" x14ac:dyDescent="0.25">
      <c r="A831" s="79" t="s">
        <v>33</v>
      </c>
      <c r="B831" s="89" t="s">
        <v>7</v>
      </c>
      <c r="C831" s="89" t="s">
        <v>45</v>
      </c>
      <c r="D831" s="13" t="s">
        <v>182</v>
      </c>
      <c r="E831" s="35">
        <f>VLOOKUP(B831, Passenger_Kilometre_by_mode_type[#All],MATCH(A831, Passenger_Kilometre_by_mode_type[#Headers],0),0)</f>
        <v>157166834.45463219</v>
      </c>
      <c r="F831" s="89">
        <f>VLOOKUP(C831, Reason_for_walking_cycling_journeys_by_percentage[#All],MATCH(A831, Reason_for_walking_cycling_journeys_by_percentage[#Headers],0),0)/100</f>
        <v>3.6750000000000005E-2</v>
      </c>
      <c r="G831" s="13">
        <f t="shared" si="61"/>
        <v>5775881.1662077336</v>
      </c>
      <c r="H831" s="89">
        <f>VLOOKUP(D831,Average_Distance_by_kilometre_grouping_for_mode_type[#All],MATCH(A831,Average_Distance_by_kilometre_grouping_for_mode_type[#Headers],0),0)</f>
        <v>7</v>
      </c>
      <c r="I831" s="89">
        <f>VLOOKUP(D831,Average_Distance_by_kilometres_grouping_for_trip_purpose[#All],MATCH(A831,Average_Distance_by_kilometres_grouping_for_trip_purpose[#Headers],0),0)</f>
        <v>7</v>
      </c>
      <c r="J831" s="89">
        <f t="shared" si="62"/>
        <v>7</v>
      </c>
      <c r="K831" s="89">
        <f t="shared" si="63"/>
        <v>0.1328651418809908</v>
      </c>
      <c r="L831" s="89">
        <v>1</v>
      </c>
      <c r="M831" s="13">
        <f t="shared" si="64"/>
        <v>767413.27063593315</v>
      </c>
      <c r="N831" s="11">
        <f t="shared" si="65"/>
        <v>1.3651598670376365E-5</v>
      </c>
    </row>
    <row r="832" spans="1:14" x14ac:dyDescent="0.25">
      <c r="A832" s="79" t="s">
        <v>33</v>
      </c>
      <c r="B832" s="89" t="s">
        <v>7</v>
      </c>
      <c r="C832" s="89" t="s">
        <v>45</v>
      </c>
      <c r="D832" s="13" t="s">
        <v>1</v>
      </c>
      <c r="E832" s="35">
        <f>VLOOKUP(B832, Passenger_Kilometre_by_mode_type[#All],MATCH(A832, Passenger_Kilometre_by_mode_type[#Headers],0),0)</f>
        <v>157166834.45463219</v>
      </c>
      <c r="F832" s="89">
        <f>VLOOKUP(C832, Reason_for_walking_cycling_journeys_by_percentage[#All],MATCH(A832, Reason_for_walking_cycling_journeys_by_percentage[#Headers],0),0)/100</f>
        <v>3.6750000000000005E-2</v>
      </c>
      <c r="G832" s="13">
        <f t="shared" si="61"/>
        <v>5775881.1662077336</v>
      </c>
      <c r="H832" s="89">
        <f>VLOOKUP(D832,Average_Distance_by_kilometre_grouping_for_mode_type[#All],MATCH(A832,Average_Distance_by_kilometre_grouping_for_mode_type[#Headers],0),0)</f>
        <v>35.22</v>
      </c>
      <c r="I832" s="89">
        <f>VLOOKUP(D832,Average_Distance_by_kilometres_grouping_for_trip_purpose[#All],MATCH(A832,Average_Distance_by_kilometres_grouping_for_trip_purpose[#Headers],0),0)</f>
        <v>38.15</v>
      </c>
      <c r="J832" s="89">
        <f t="shared" si="62"/>
        <v>36.685000000000002</v>
      </c>
      <c r="K832" s="89">
        <f t="shared" si="63"/>
        <v>0.69630824712916395</v>
      </c>
      <c r="L832" s="89">
        <v>1</v>
      </c>
      <c r="M832" s="13">
        <f t="shared" si="64"/>
        <v>4021793.690468458</v>
      </c>
      <c r="N832" s="11">
        <f t="shared" si="65"/>
        <v>7.1544128174679561E-5</v>
      </c>
    </row>
    <row r="833" spans="1:14" x14ac:dyDescent="0.25">
      <c r="A833" s="79" t="s">
        <v>33</v>
      </c>
      <c r="B833" s="89" t="s">
        <v>7</v>
      </c>
      <c r="C833" s="89" t="s">
        <v>56</v>
      </c>
      <c r="D833" s="13" t="s">
        <v>12</v>
      </c>
      <c r="E833" s="35">
        <f>VLOOKUP(B833, Passenger_Kilometre_by_mode_type[#All],MATCH(A833, Passenger_Kilometre_by_mode_type[#Headers],0),0)</f>
        <v>157166834.45463219</v>
      </c>
      <c r="F833" s="89">
        <f>VLOOKUP(C833, Reason_for_walking_cycling_journeys_by_percentage[#All],MATCH(A833, Reason_for_walking_cycling_journeys_by_percentage[#Headers],0),0)/100</f>
        <v>7.4500000000000011E-2</v>
      </c>
      <c r="G833" s="13">
        <f t="shared" si="61"/>
        <v>11708929.1668701</v>
      </c>
      <c r="H833" s="89">
        <f>VLOOKUP(D833,Average_Distance_by_kilometre_grouping_for_mode_type[#All],MATCH(A833,Average_Distance_by_kilometre_grouping_for_mode_type[#Headers],0),0)</f>
        <v>1</v>
      </c>
      <c r="I833" s="89">
        <f>VLOOKUP(D833,Average_Distance_by_kilometres_grouping_for_trip_purpose[#All],MATCH(A833,Average_Distance_by_kilometres_grouping_for_trip_purpose[#Headers],0),0)</f>
        <v>1</v>
      </c>
      <c r="J833" s="89">
        <f t="shared" si="62"/>
        <v>1</v>
      </c>
      <c r="K833" s="89">
        <f t="shared" si="63"/>
        <v>1.8980734554427257E-2</v>
      </c>
      <c r="L833" s="89">
        <v>1</v>
      </c>
      <c r="M833" s="13">
        <f t="shared" si="64"/>
        <v>222244.07643295245</v>
      </c>
      <c r="N833" s="11">
        <f t="shared" si="65"/>
        <v>3.9535242019165764E-6</v>
      </c>
    </row>
    <row r="834" spans="1:14" x14ac:dyDescent="0.25">
      <c r="A834" s="79" t="s">
        <v>33</v>
      </c>
      <c r="B834" s="89" t="s">
        <v>7</v>
      </c>
      <c r="C834" s="89" t="s">
        <v>56</v>
      </c>
      <c r="D834" s="13" t="s">
        <v>181</v>
      </c>
      <c r="E834" s="35">
        <f>VLOOKUP(B834, Passenger_Kilometre_by_mode_type[#All],MATCH(A834, Passenger_Kilometre_by_mode_type[#Headers],0),0)</f>
        <v>157166834.45463219</v>
      </c>
      <c r="F834" s="89">
        <f>VLOOKUP(C834, Reason_for_walking_cycling_journeys_by_percentage[#All],MATCH(A834, Reason_for_walking_cycling_journeys_by_percentage[#Headers],0),0)/100</f>
        <v>7.4500000000000011E-2</v>
      </c>
      <c r="G834" s="13">
        <f t="shared" si="61"/>
        <v>11708929.1668701</v>
      </c>
      <c r="H834" s="89">
        <f>VLOOKUP(D834,Average_Distance_by_kilometre_grouping_for_mode_type[#All],MATCH(A834,Average_Distance_by_kilometre_grouping_for_mode_type[#Headers],0),0)</f>
        <v>3</v>
      </c>
      <c r="I834" s="89">
        <f>VLOOKUP(D834,Average_Distance_by_kilometres_grouping_for_trip_purpose[#All],MATCH(A834,Average_Distance_by_kilometres_grouping_for_trip_purpose[#Headers],0),0)</f>
        <v>3</v>
      </c>
      <c r="J834" s="89">
        <f t="shared" si="62"/>
        <v>3</v>
      </c>
      <c r="K834" s="89">
        <f t="shared" si="63"/>
        <v>5.6942203663281767E-2</v>
      </c>
      <c r="L834" s="89">
        <v>1</v>
      </c>
      <c r="M834" s="13">
        <f t="shared" si="64"/>
        <v>666732.22929885739</v>
      </c>
      <c r="N834" s="11">
        <f t="shared" si="65"/>
        <v>1.1860572605749728E-5</v>
      </c>
    </row>
    <row r="835" spans="1:14" x14ac:dyDescent="0.25">
      <c r="A835" s="79" t="s">
        <v>33</v>
      </c>
      <c r="B835" s="89" t="s">
        <v>7</v>
      </c>
      <c r="C835" s="89" t="s">
        <v>56</v>
      </c>
      <c r="D835" s="13" t="s">
        <v>180</v>
      </c>
      <c r="E835" s="35">
        <f>VLOOKUP(B835, Passenger_Kilometre_by_mode_type[#All],MATCH(A835, Passenger_Kilometre_by_mode_type[#Headers],0),0)</f>
        <v>157166834.45463219</v>
      </c>
      <c r="F835" s="89">
        <f>VLOOKUP(C835, Reason_for_walking_cycling_journeys_by_percentage[#All],MATCH(A835, Reason_for_walking_cycling_journeys_by_percentage[#Headers],0),0)/100</f>
        <v>7.4500000000000011E-2</v>
      </c>
      <c r="G835" s="13">
        <f t="shared" si="61"/>
        <v>11708929.1668701</v>
      </c>
      <c r="H835" s="89">
        <f>VLOOKUP(D835,Average_Distance_by_kilometre_grouping_for_mode_type[#All],MATCH(A835,Average_Distance_by_kilometre_grouping_for_mode_type[#Headers],0),0)</f>
        <v>5</v>
      </c>
      <c r="I835" s="89">
        <f>VLOOKUP(D835,Average_Distance_by_kilometres_grouping_for_trip_purpose[#All],MATCH(A835,Average_Distance_by_kilometres_grouping_for_trip_purpose[#Headers],0),0)</f>
        <v>5</v>
      </c>
      <c r="J835" s="89">
        <f t="shared" si="62"/>
        <v>5</v>
      </c>
      <c r="K835" s="89">
        <f t="shared" si="63"/>
        <v>9.490367277213628E-2</v>
      </c>
      <c r="L835" s="89">
        <v>1</v>
      </c>
      <c r="M835" s="13">
        <f t="shared" si="64"/>
        <v>1111220.3821647624</v>
      </c>
      <c r="N835" s="11">
        <f t="shared" si="65"/>
        <v>1.9767621009582881E-5</v>
      </c>
    </row>
    <row r="836" spans="1:14" x14ac:dyDescent="0.25">
      <c r="A836" s="79" t="s">
        <v>33</v>
      </c>
      <c r="B836" s="89" t="s">
        <v>7</v>
      </c>
      <c r="C836" s="89" t="s">
        <v>56</v>
      </c>
      <c r="D836" s="13" t="s">
        <v>182</v>
      </c>
      <c r="E836" s="35">
        <f>VLOOKUP(B836, Passenger_Kilometre_by_mode_type[#All],MATCH(A836, Passenger_Kilometre_by_mode_type[#Headers],0),0)</f>
        <v>157166834.45463219</v>
      </c>
      <c r="F836" s="89">
        <f>VLOOKUP(C836, Reason_for_walking_cycling_journeys_by_percentage[#All],MATCH(A836, Reason_for_walking_cycling_journeys_by_percentage[#Headers],0),0)/100</f>
        <v>7.4500000000000011E-2</v>
      </c>
      <c r="G836" s="13">
        <f t="shared" ref="G836:G899" si="66">E836*F836</f>
        <v>11708929.1668701</v>
      </c>
      <c r="H836" s="89">
        <f>VLOOKUP(D836,Average_Distance_by_kilometre_grouping_for_mode_type[#All],MATCH(A836,Average_Distance_by_kilometre_grouping_for_mode_type[#Headers],0),0)</f>
        <v>7</v>
      </c>
      <c r="I836" s="89">
        <f>VLOOKUP(D836,Average_Distance_by_kilometres_grouping_for_trip_purpose[#All],MATCH(A836,Average_Distance_by_kilometres_grouping_for_trip_purpose[#Headers],0),0)</f>
        <v>7</v>
      </c>
      <c r="J836" s="89">
        <f t="shared" ref="J836:J899" si="67">AVERAGE(H836:I836)</f>
        <v>7</v>
      </c>
      <c r="K836" s="89">
        <f t="shared" ref="K836:K899" si="68">J836/SUM(J836:J840)</f>
        <v>0.1328651418809908</v>
      </c>
      <c r="L836" s="89">
        <v>1</v>
      </c>
      <c r="M836" s="13">
        <f t="shared" ref="M836:M899" si="69">G836*K836*L836</f>
        <v>1555708.5350306672</v>
      </c>
      <c r="N836" s="11">
        <f t="shared" si="65"/>
        <v>2.7674669413416032E-5</v>
      </c>
    </row>
    <row r="837" spans="1:14" x14ac:dyDescent="0.25">
      <c r="A837" s="79" t="s">
        <v>33</v>
      </c>
      <c r="B837" s="89" t="s">
        <v>7</v>
      </c>
      <c r="C837" s="89" t="s">
        <v>56</v>
      </c>
      <c r="D837" s="13" t="s">
        <v>1</v>
      </c>
      <c r="E837" s="35">
        <f>VLOOKUP(B837, Passenger_Kilometre_by_mode_type[#All],MATCH(A837, Passenger_Kilometre_by_mode_type[#Headers],0),0)</f>
        <v>157166834.45463219</v>
      </c>
      <c r="F837" s="89">
        <f>VLOOKUP(C837, Reason_for_walking_cycling_journeys_by_percentage[#All],MATCH(A837, Reason_for_walking_cycling_journeys_by_percentage[#Headers],0),0)/100</f>
        <v>7.4500000000000011E-2</v>
      </c>
      <c r="G837" s="13">
        <f t="shared" si="66"/>
        <v>11708929.1668701</v>
      </c>
      <c r="H837" s="89">
        <f>VLOOKUP(D837,Average_Distance_by_kilometre_grouping_for_mode_type[#All],MATCH(A837,Average_Distance_by_kilometre_grouping_for_mode_type[#Headers],0),0)</f>
        <v>35.22</v>
      </c>
      <c r="I837" s="89">
        <f>VLOOKUP(D837,Average_Distance_by_kilometres_grouping_for_trip_purpose[#All],MATCH(A837,Average_Distance_by_kilometres_grouping_for_trip_purpose[#Headers],0),0)</f>
        <v>38.15</v>
      </c>
      <c r="J837" s="89">
        <f t="shared" si="67"/>
        <v>36.685000000000002</v>
      </c>
      <c r="K837" s="89">
        <f t="shared" si="68"/>
        <v>0.69630824712916395</v>
      </c>
      <c r="L837" s="89">
        <v>1</v>
      </c>
      <c r="M837" s="13">
        <f t="shared" si="69"/>
        <v>8153023.9439428616</v>
      </c>
      <c r="N837" s="11">
        <f t="shared" si="65"/>
        <v>1.4503503534730962E-4</v>
      </c>
    </row>
    <row r="838" spans="1:14" x14ac:dyDescent="0.25">
      <c r="A838" s="79" t="s">
        <v>33</v>
      </c>
      <c r="B838" s="89" t="s">
        <v>7</v>
      </c>
      <c r="C838" s="89" t="s">
        <v>57</v>
      </c>
      <c r="D838" s="13" t="s">
        <v>12</v>
      </c>
      <c r="E838" s="35">
        <f>VLOOKUP(B838, Passenger_Kilometre_by_mode_type[#All],MATCH(A838, Passenger_Kilometre_by_mode_type[#Headers],0),0)</f>
        <v>157166834.45463219</v>
      </c>
      <c r="F838" s="89">
        <f>VLOOKUP(C838, Reason_for_walking_cycling_journeys_by_percentage[#All],MATCH(A838, Reason_for_walking_cycling_journeys_by_percentage[#Headers],0),0)/100</f>
        <v>0.19524999999999998</v>
      </c>
      <c r="G838" s="13">
        <f t="shared" si="66"/>
        <v>30686824.427266933</v>
      </c>
      <c r="H838" s="89">
        <f>VLOOKUP(D838,Average_Distance_by_kilometre_grouping_for_mode_type[#All],MATCH(A838,Average_Distance_by_kilometre_grouping_for_mode_type[#Headers],0),0)</f>
        <v>1</v>
      </c>
      <c r="I838" s="89">
        <f>VLOOKUP(D838,Average_Distance_by_kilometres_grouping_for_trip_purpose[#All],MATCH(A838,Average_Distance_by_kilometres_grouping_for_trip_purpose[#Headers],0),0)</f>
        <v>1</v>
      </c>
      <c r="J838" s="89">
        <f t="shared" si="67"/>
        <v>1</v>
      </c>
      <c r="K838" s="89">
        <f t="shared" si="68"/>
        <v>1.8980734554427257E-2</v>
      </c>
      <c r="L838" s="89">
        <v>1</v>
      </c>
      <c r="M838" s="13">
        <f t="shared" si="69"/>
        <v>582458.46877226792</v>
      </c>
      <c r="N838" s="11">
        <f t="shared" si="65"/>
        <v>1.0361417455358541E-5</v>
      </c>
    </row>
    <row r="839" spans="1:14" x14ac:dyDescent="0.25">
      <c r="A839" s="79" t="s">
        <v>33</v>
      </c>
      <c r="B839" s="89" t="s">
        <v>7</v>
      </c>
      <c r="C839" s="89" t="s">
        <v>57</v>
      </c>
      <c r="D839" s="13" t="s">
        <v>181</v>
      </c>
      <c r="E839" s="35">
        <f>VLOOKUP(B839, Passenger_Kilometre_by_mode_type[#All],MATCH(A839, Passenger_Kilometre_by_mode_type[#Headers],0),0)</f>
        <v>157166834.45463219</v>
      </c>
      <c r="F839" s="89">
        <f>VLOOKUP(C839, Reason_for_walking_cycling_journeys_by_percentage[#All],MATCH(A839, Reason_for_walking_cycling_journeys_by_percentage[#Headers],0),0)/100</f>
        <v>0.19524999999999998</v>
      </c>
      <c r="G839" s="13">
        <f t="shared" si="66"/>
        <v>30686824.427266933</v>
      </c>
      <c r="H839" s="89">
        <f>VLOOKUP(D839,Average_Distance_by_kilometre_grouping_for_mode_type[#All],MATCH(A839,Average_Distance_by_kilometre_grouping_for_mode_type[#Headers],0),0)</f>
        <v>3</v>
      </c>
      <c r="I839" s="89">
        <f>VLOOKUP(D839,Average_Distance_by_kilometres_grouping_for_trip_purpose[#All],MATCH(A839,Average_Distance_by_kilometres_grouping_for_trip_purpose[#Headers],0),0)</f>
        <v>3</v>
      </c>
      <c r="J839" s="89">
        <f t="shared" si="67"/>
        <v>3</v>
      </c>
      <c r="K839" s="89">
        <f t="shared" si="68"/>
        <v>5.6942203663281767E-2</v>
      </c>
      <c r="L839" s="89">
        <v>1</v>
      </c>
      <c r="M839" s="13">
        <f t="shared" si="69"/>
        <v>1747375.4063168035</v>
      </c>
      <c r="N839" s="11">
        <f t="shared" si="65"/>
        <v>3.1084252366075624E-5</v>
      </c>
    </row>
    <row r="840" spans="1:14" x14ac:dyDescent="0.25">
      <c r="A840" s="79" t="s">
        <v>33</v>
      </c>
      <c r="B840" s="89" t="s">
        <v>7</v>
      </c>
      <c r="C840" s="89" t="s">
        <v>57</v>
      </c>
      <c r="D840" s="13" t="s">
        <v>180</v>
      </c>
      <c r="E840" s="35">
        <f>VLOOKUP(B840, Passenger_Kilometre_by_mode_type[#All],MATCH(A840, Passenger_Kilometre_by_mode_type[#Headers],0),0)</f>
        <v>157166834.45463219</v>
      </c>
      <c r="F840" s="89">
        <f>VLOOKUP(C840, Reason_for_walking_cycling_journeys_by_percentage[#All],MATCH(A840, Reason_for_walking_cycling_journeys_by_percentage[#Headers],0),0)/100</f>
        <v>0.19524999999999998</v>
      </c>
      <c r="G840" s="13">
        <f t="shared" si="66"/>
        <v>30686824.427266933</v>
      </c>
      <c r="H840" s="89">
        <f>VLOOKUP(D840,Average_Distance_by_kilometre_grouping_for_mode_type[#All],MATCH(A840,Average_Distance_by_kilometre_grouping_for_mode_type[#Headers],0),0)</f>
        <v>5</v>
      </c>
      <c r="I840" s="89">
        <f>VLOOKUP(D840,Average_Distance_by_kilometres_grouping_for_trip_purpose[#All],MATCH(A840,Average_Distance_by_kilometres_grouping_for_trip_purpose[#Headers],0),0)</f>
        <v>5</v>
      </c>
      <c r="J840" s="89">
        <f t="shared" si="67"/>
        <v>5</v>
      </c>
      <c r="K840" s="89">
        <f t="shared" si="68"/>
        <v>9.490367277213628E-2</v>
      </c>
      <c r="L840" s="89">
        <v>1</v>
      </c>
      <c r="M840" s="13">
        <f t="shared" si="69"/>
        <v>2912292.3438613391</v>
      </c>
      <c r="N840" s="11">
        <f t="shared" si="65"/>
        <v>5.18070872767927E-5</v>
      </c>
    </row>
    <row r="841" spans="1:14" x14ac:dyDescent="0.25">
      <c r="A841" s="79" t="s">
        <v>33</v>
      </c>
      <c r="B841" s="89" t="s">
        <v>7</v>
      </c>
      <c r="C841" s="89" t="s">
        <v>57</v>
      </c>
      <c r="D841" s="13" t="s">
        <v>182</v>
      </c>
      <c r="E841" s="35">
        <f>VLOOKUP(B841, Passenger_Kilometre_by_mode_type[#All],MATCH(A841, Passenger_Kilometre_by_mode_type[#Headers],0),0)</f>
        <v>157166834.45463219</v>
      </c>
      <c r="F841" s="89">
        <f>VLOOKUP(C841, Reason_for_walking_cycling_journeys_by_percentage[#All],MATCH(A841, Reason_for_walking_cycling_journeys_by_percentage[#Headers],0),0)/100</f>
        <v>0.19524999999999998</v>
      </c>
      <c r="G841" s="13">
        <f t="shared" si="66"/>
        <v>30686824.427266933</v>
      </c>
      <c r="H841" s="89">
        <f>VLOOKUP(D841,Average_Distance_by_kilometre_grouping_for_mode_type[#All],MATCH(A841,Average_Distance_by_kilometre_grouping_for_mode_type[#Headers],0),0)</f>
        <v>7</v>
      </c>
      <c r="I841" s="89">
        <f>VLOOKUP(D841,Average_Distance_by_kilometres_grouping_for_trip_purpose[#All],MATCH(A841,Average_Distance_by_kilometres_grouping_for_trip_purpose[#Headers],0),0)</f>
        <v>7</v>
      </c>
      <c r="J841" s="89">
        <f t="shared" si="67"/>
        <v>7</v>
      </c>
      <c r="K841" s="89">
        <f t="shared" si="68"/>
        <v>0.1328651418809908</v>
      </c>
      <c r="L841" s="89">
        <v>1</v>
      </c>
      <c r="M841" s="13">
        <f t="shared" si="69"/>
        <v>4077209.2814058755</v>
      </c>
      <c r="N841" s="11">
        <f t="shared" si="65"/>
        <v>7.2529922187509796E-5</v>
      </c>
    </row>
    <row r="842" spans="1:14" x14ac:dyDescent="0.25">
      <c r="A842" s="79" t="s">
        <v>33</v>
      </c>
      <c r="B842" s="89" t="s">
        <v>7</v>
      </c>
      <c r="C842" s="89" t="s">
        <v>57</v>
      </c>
      <c r="D842" s="13" t="s">
        <v>1</v>
      </c>
      <c r="E842" s="35">
        <f>VLOOKUP(B842, Passenger_Kilometre_by_mode_type[#All],MATCH(A842, Passenger_Kilometre_by_mode_type[#Headers],0),0)</f>
        <v>157166834.45463219</v>
      </c>
      <c r="F842" s="89">
        <f>VLOOKUP(C842, Reason_for_walking_cycling_journeys_by_percentage[#All],MATCH(A842, Reason_for_walking_cycling_journeys_by_percentage[#Headers],0),0)/100</f>
        <v>0.19524999999999998</v>
      </c>
      <c r="G842" s="13">
        <f t="shared" si="66"/>
        <v>30686824.427266933</v>
      </c>
      <c r="H842" s="89">
        <f>VLOOKUP(D842,Average_Distance_by_kilometre_grouping_for_mode_type[#All],MATCH(A842,Average_Distance_by_kilometre_grouping_for_mode_type[#Headers],0),0)</f>
        <v>35.22</v>
      </c>
      <c r="I842" s="89">
        <f>VLOOKUP(D842,Average_Distance_by_kilometres_grouping_for_trip_purpose[#All],MATCH(A842,Average_Distance_by_kilometres_grouping_for_trip_purpose[#Headers],0),0)</f>
        <v>38.15</v>
      </c>
      <c r="J842" s="89">
        <f t="shared" si="67"/>
        <v>36.685000000000002</v>
      </c>
      <c r="K842" s="89">
        <f t="shared" si="68"/>
        <v>0.69630824712916395</v>
      </c>
      <c r="L842" s="89">
        <v>1</v>
      </c>
      <c r="M842" s="13">
        <f t="shared" si="69"/>
        <v>21367488.92691065</v>
      </c>
      <c r="N842" s="11">
        <f t="shared" si="65"/>
        <v>3.8010859934982816E-4</v>
      </c>
    </row>
    <row r="843" spans="1:14" x14ac:dyDescent="0.25">
      <c r="A843" s="79" t="s">
        <v>33</v>
      </c>
      <c r="B843" s="89" t="s">
        <v>7</v>
      </c>
      <c r="C843" s="89" t="s">
        <v>93</v>
      </c>
      <c r="D843" s="13" t="s">
        <v>12</v>
      </c>
      <c r="E843" s="35">
        <f>VLOOKUP(B843, Passenger_Kilometre_by_mode_type[#All],MATCH(A843, Passenger_Kilometre_by_mode_type[#Headers],0),0)</f>
        <v>157166834.45463219</v>
      </c>
      <c r="F843" s="89">
        <f>VLOOKUP(C843, Reason_for_walking_cycling_journeys_by_percentage[#All],MATCH(A843, Reason_for_walking_cycling_journeys_by_percentage[#Headers],0),0)/100</f>
        <v>4.4499999999999991E-2</v>
      </c>
      <c r="G843" s="13">
        <f t="shared" si="66"/>
        <v>6993924.1332311314</v>
      </c>
      <c r="H843" s="89">
        <f>VLOOKUP(D843,Average_Distance_by_kilometre_grouping_for_mode_type[#All],MATCH(A843,Average_Distance_by_kilometre_grouping_for_mode_type[#Headers],0),0)</f>
        <v>1</v>
      </c>
      <c r="I843" s="89">
        <f>VLOOKUP(D843,Average_Distance_by_kilometres_grouping_for_trip_purpose[#All],MATCH(A843,Average_Distance_by_kilometres_grouping_for_trip_purpose[#Headers],0),0)</f>
        <v>1</v>
      </c>
      <c r="J843" s="89">
        <f t="shared" si="67"/>
        <v>1</v>
      </c>
      <c r="K843" s="89">
        <f t="shared" si="68"/>
        <v>1.8980734554427257E-2</v>
      </c>
      <c r="L843" s="89">
        <v>1</v>
      </c>
      <c r="M843" s="13">
        <f t="shared" si="69"/>
        <v>132749.81746666285</v>
      </c>
      <c r="N843" s="11">
        <f t="shared" si="65"/>
        <v>2.3615010333595651E-6</v>
      </c>
    </row>
    <row r="844" spans="1:14" x14ac:dyDescent="0.25">
      <c r="A844" s="79" t="s">
        <v>33</v>
      </c>
      <c r="B844" s="89" t="s">
        <v>7</v>
      </c>
      <c r="C844" s="89" t="s">
        <v>93</v>
      </c>
      <c r="D844" s="13" t="s">
        <v>181</v>
      </c>
      <c r="E844" s="35">
        <f>VLOOKUP(B844, Passenger_Kilometre_by_mode_type[#All],MATCH(A844, Passenger_Kilometre_by_mode_type[#Headers],0),0)</f>
        <v>157166834.45463219</v>
      </c>
      <c r="F844" s="89">
        <f>VLOOKUP(C844, Reason_for_walking_cycling_journeys_by_percentage[#All],MATCH(A844, Reason_for_walking_cycling_journeys_by_percentage[#Headers],0),0)/100</f>
        <v>4.4499999999999991E-2</v>
      </c>
      <c r="G844" s="13">
        <f t="shared" si="66"/>
        <v>6993924.1332311314</v>
      </c>
      <c r="H844" s="89">
        <f>VLOOKUP(D844,Average_Distance_by_kilometre_grouping_for_mode_type[#All],MATCH(A844,Average_Distance_by_kilometre_grouping_for_mode_type[#Headers],0),0)</f>
        <v>3</v>
      </c>
      <c r="I844" s="89">
        <f>VLOOKUP(D844,Average_Distance_by_kilometres_grouping_for_trip_purpose[#All],MATCH(A844,Average_Distance_by_kilometres_grouping_for_trip_purpose[#Headers],0),0)</f>
        <v>3</v>
      </c>
      <c r="J844" s="89">
        <f t="shared" si="67"/>
        <v>3</v>
      </c>
      <c r="K844" s="89">
        <f t="shared" si="68"/>
        <v>5.6942203663281767E-2</v>
      </c>
      <c r="L844" s="89">
        <v>1</v>
      </c>
      <c r="M844" s="13">
        <f t="shared" si="69"/>
        <v>398249.45239998848</v>
      </c>
      <c r="N844" s="11">
        <f t="shared" si="65"/>
        <v>7.0845031000786948E-6</v>
      </c>
    </row>
    <row r="845" spans="1:14" x14ac:dyDescent="0.25">
      <c r="A845" s="79" t="s">
        <v>33</v>
      </c>
      <c r="B845" s="89" t="s">
        <v>7</v>
      </c>
      <c r="C845" s="89" t="s">
        <v>93</v>
      </c>
      <c r="D845" s="13" t="s">
        <v>180</v>
      </c>
      <c r="E845" s="35">
        <f>VLOOKUP(B845, Passenger_Kilometre_by_mode_type[#All],MATCH(A845, Passenger_Kilometre_by_mode_type[#Headers],0),0)</f>
        <v>157166834.45463219</v>
      </c>
      <c r="F845" s="89">
        <f>VLOOKUP(C845, Reason_for_walking_cycling_journeys_by_percentage[#All],MATCH(A845, Reason_for_walking_cycling_journeys_by_percentage[#Headers],0),0)/100</f>
        <v>4.4499999999999991E-2</v>
      </c>
      <c r="G845" s="13">
        <f t="shared" si="66"/>
        <v>6993924.1332311314</v>
      </c>
      <c r="H845" s="89">
        <f>VLOOKUP(D845,Average_Distance_by_kilometre_grouping_for_mode_type[#All],MATCH(A845,Average_Distance_by_kilometre_grouping_for_mode_type[#Headers],0),0)</f>
        <v>5</v>
      </c>
      <c r="I845" s="89">
        <f>VLOOKUP(D845,Average_Distance_by_kilometres_grouping_for_trip_purpose[#All],MATCH(A845,Average_Distance_by_kilometres_grouping_for_trip_purpose[#Headers],0),0)</f>
        <v>5</v>
      </c>
      <c r="J845" s="89">
        <f t="shared" si="67"/>
        <v>5</v>
      </c>
      <c r="K845" s="89">
        <f t="shared" si="68"/>
        <v>9.490367277213628E-2</v>
      </c>
      <c r="L845" s="89">
        <v>1</v>
      </c>
      <c r="M845" s="13">
        <f t="shared" si="69"/>
        <v>663749.08733331412</v>
      </c>
      <c r="N845" s="11">
        <f t="shared" si="65"/>
        <v>1.1807505166797823E-5</v>
      </c>
    </row>
    <row r="846" spans="1:14" x14ac:dyDescent="0.25">
      <c r="A846" s="79" t="s">
        <v>33</v>
      </c>
      <c r="B846" s="89" t="s">
        <v>7</v>
      </c>
      <c r="C846" s="89" t="s">
        <v>93</v>
      </c>
      <c r="D846" s="13" t="s">
        <v>182</v>
      </c>
      <c r="E846" s="35">
        <f>VLOOKUP(B846, Passenger_Kilometre_by_mode_type[#All],MATCH(A846, Passenger_Kilometre_by_mode_type[#Headers],0),0)</f>
        <v>157166834.45463219</v>
      </c>
      <c r="F846" s="89">
        <f>VLOOKUP(C846, Reason_for_walking_cycling_journeys_by_percentage[#All],MATCH(A846, Reason_for_walking_cycling_journeys_by_percentage[#Headers],0),0)/100</f>
        <v>4.4499999999999991E-2</v>
      </c>
      <c r="G846" s="13">
        <f t="shared" si="66"/>
        <v>6993924.1332311314</v>
      </c>
      <c r="H846" s="89">
        <f>VLOOKUP(D846,Average_Distance_by_kilometre_grouping_for_mode_type[#All],MATCH(A846,Average_Distance_by_kilometre_grouping_for_mode_type[#Headers],0),0)</f>
        <v>7</v>
      </c>
      <c r="I846" s="89">
        <f>VLOOKUP(D846,Average_Distance_by_kilometres_grouping_for_trip_purpose[#All],MATCH(A846,Average_Distance_by_kilometres_grouping_for_trip_purpose[#Headers],0),0)</f>
        <v>7</v>
      </c>
      <c r="J846" s="89">
        <f t="shared" si="67"/>
        <v>7</v>
      </c>
      <c r="K846" s="89">
        <f t="shared" si="68"/>
        <v>0.1328651418809908</v>
      </c>
      <c r="L846" s="89">
        <v>1</v>
      </c>
      <c r="M846" s="13">
        <f t="shared" si="69"/>
        <v>929248.72226663982</v>
      </c>
      <c r="N846" s="11">
        <f t="shared" si="65"/>
        <v>1.6530507233516954E-5</v>
      </c>
    </row>
    <row r="847" spans="1:14" x14ac:dyDescent="0.25">
      <c r="A847" s="79" t="s">
        <v>33</v>
      </c>
      <c r="B847" s="89" t="s">
        <v>7</v>
      </c>
      <c r="C847" s="89" t="s">
        <v>93</v>
      </c>
      <c r="D847" s="13" t="s">
        <v>1</v>
      </c>
      <c r="E847" s="35">
        <f>VLOOKUP(B847, Passenger_Kilometre_by_mode_type[#All],MATCH(A847, Passenger_Kilometre_by_mode_type[#Headers],0),0)</f>
        <v>157166834.45463219</v>
      </c>
      <c r="F847" s="89">
        <f>VLOOKUP(C847, Reason_for_walking_cycling_journeys_by_percentage[#All],MATCH(A847, Reason_for_walking_cycling_journeys_by_percentage[#Headers],0),0)/100</f>
        <v>4.4499999999999991E-2</v>
      </c>
      <c r="G847" s="13">
        <f t="shared" si="66"/>
        <v>6993924.1332311314</v>
      </c>
      <c r="H847" s="89">
        <f>VLOOKUP(D847,Average_Distance_by_kilometre_grouping_for_mode_type[#All],MATCH(A847,Average_Distance_by_kilometre_grouping_for_mode_type[#Headers],0),0)</f>
        <v>35.22</v>
      </c>
      <c r="I847" s="89">
        <f>VLOOKUP(D847,Average_Distance_by_kilometres_grouping_for_trip_purpose[#All],MATCH(A847,Average_Distance_by_kilometres_grouping_for_trip_purpose[#Headers],0),0)</f>
        <v>38.15</v>
      </c>
      <c r="J847" s="89">
        <f t="shared" si="67"/>
        <v>36.685000000000002</v>
      </c>
      <c r="K847" s="89">
        <f t="shared" si="68"/>
        <v>0.69630824712916395</v>
      </c>
      <c r="L847" s="89">
        <v>1</v>
      </c>
      <c r="M847" s="13">
        <f t="shared" si="69"/>
        <v>4869927.0537645267</v>
      </c>
      <c r="N847" s="11">
        <f t="shared" si="65"/>
        <v>8.6631665408795655E-5</v>
      </c>
    </row>
    <row r="848" spans="1:14" x14ac:dyDescent="0.25">
      <c r="A848" s="79" t="s">
        <v>33</v>
      </c>
      <c r="B848" s="89" t="s">
        <v>7</v>
      </c>
      <c r="C848" s="89" t="s">
        <v>243</v>
      </c>
      <c r="D848" s="13" t="s">
        <v>12</v>
      </c>
      <c r="E848" s="35">
        <f>VLOOKUP(B848, Passenger_Kilometre_by_mode_type[#All],MATCH(A848, Passenger_Kilometre_by_mode_type[#Headers],0),0)</f>
        <v>157166834.45463219</v>
      </c>
      <c r="F848" s="89">
        <f>VLOOKUP(C848, Reason_for_walking_cycling_journeys_by_percentage[#All],MATCH(A848, Reason_for_walking_cycling_journeys_by_percentage[#Headers],0),0)/100</f>
        <v>8.5500000000000007E-2</v>
      </c>
      <c r="G848" s="13">
        <f t="shared" si="66"/>
        <v>13437764.345871054</v>
      </c>
      <c r="H848" s="89">
        <f>VLOOKUP(D848,Average_Distance_by_kilometre_grouping_for_mode_type[#All],MATCH(A848,Average_Distance_by_kilometre_grouping_for_mode_type[#Headers],0),0)</f>
        <v>1</v>
      </c>
      <c r="I848" s="89">
        <f>VLOOKUP(D848,Average_Distance_by_kilometres_grouping_for_trip_purpose[#All],MATCH(A848,Average_Distance_by_kilometres_grouping_for_trip_purpose[#Headers],0),0)</f>
        <v>1</v>
      </c>
      <c r="J848" s="89">
        <f t="shared" si="67"/>
        <v>1</v>
      </c>
      <c r="K848" s="89">
        <f t="shared" si="68"/>
        <v>1.8980734554427257E-2</v>
      </c>
      <c r="L848" s="89">
        <v>1</v>
      </c>
      <c r="M848" s="13">
        <f t="shared" si="69"/>
        <v>255058.6380539253</v>
      </c>
      <c r="N848" s="11">
        <f t="shared" si="65"/>
        <v>4.5372660303874798E-6</v>
      </c>
    </row>
    <row r="849" spans="1:14" x14ac:dyDescent="0.25">
      <c r="A849" s="79" t="s">
        <v>33</v>
      </c>
      <c r="B849" s="89" t="s">
        <v>7</v>
      </c>
      <c r="C849" s="89" t="s">
        <v>243</v>
      </c>
      <c r="D849" s="13" t="s">
        <v>181</v>
      </c>
      <c r="E849" s="35">
        <f>VLOOKUP(B849, Passenger_Kilometre_by_mode_type[#All],MATCH(A849, Passenger_Kilometre_by_mode_type[#Headers],0),0)</f>
        <v>157166834.45463219</v>
      </c>
      <c r="F849" s="89">
        <f>VLOOKUP(C849, Reason_for_walking_cycling_journeys_by_percentage[#All],MATCH(A849, Reason_for_walking_cycling_journeys_by_percentage[#Headers],0),0)/100</f>
        <v>8.5500000000000007E-2</v>
      </c>
      <c r="G849" s="13">
        <f t="shared" si="66"/>
        <v>13437764.345871054</v>
      </c>
      <c r="H849" s="89">
        <f>VLOOKUP(D849,Average_Distance_by_kilometre_grouping_for_mode_type[#All],MATCH(A849,Average_Distance_by_kilometre_grouping_for_mode_type[#Headers],0),0)</f>
        <v>3</v>
      </c>
      <c r="I849" s="89">
        <f>VLOOKUP(D849,Average_Distance_by_kilometres_grouping_for_trip_purpose[#All],MATCH(A849,Average_Distance_by_kilometres_grouping_for_trip_purpose[#Headers],0),0)</f>
        <v>3</v>
      </c>
      <c r="J849" s="89">
        <f t="shared" si="67"/>
        <v>3</v>
      </c>
      <c r="K849" s="89">
        <f t="shared" si="68"/>
        <v>5.6942203663281767E-2</v>
      </c>
      <c r="L849" s="89">
        <v>1</v>
      </c>
      <c r="M849" s="13">
        <f t="shared" si="69"/>
        <v>765175.91416177584</v>
      </c>
      <c r="N849" s="11">
        <f t="shared" si="65"/>
        <v>1.361179809116244E-5</v>
      </c>
    </row>
    <row r="850" spans="1:14" x14ac:dyDescent="0.25">
      <c r="A850" s="79" t="s">
        <v>33</v>
      </c>
      <c r="B850" s="89" t="s">
        <v>7</v>
      </c>
      <c r="C850" s="89" t="s">
        <v>243</v>
      </c>
      <c r="D850" s="13" t="s">
        <v>180</v>
      </c>
      <c r="E850" s="35">
        <f>VLOOKUP(B850, Passenger_Kilometre_by_mode_type[#All],MATCH(A850, Passenger_Kilometre_by_mode_type[#Headers],0),0)</f>
        <v>157166834.45463219</v>
      </c>
      <c r="F850" s="89">
        <f>VLOOKUP(C850, Reason_for_walking_cycling_journeys_by_percentage[#All],MATCH(A850, Reason_for_walking_cycling_journeys_by_percentage[#Headers],0),0)/100</f>
        <v>8.5500000000000007E-2</v>
      </c>
      <c r="G850" s="13">
        <f t="shared" si="66"/>
        <v>13437764.345871054</v>
      </c>
      <c r="H850" s="89">
        <f>VLOOKUP(D850,Average_Distance_by_kilometre_grouping_for_mode_type[#All],MATCH(A850,Average_Distance_by_kilometre_grouping_for_mode_type[#Headers],0),0)</f>
        <v>5</v>
      </c>
      <c r="I850" s="89">
        <f>VLOOKUP(D850,Average_Distance_by_kilometres_grouping_for_trip_purpose[#All],MATCH(A850,Average_Distance_by_kilometres_grouping_for_trip_purpose[#Headers],0),0)</f>
        <v>5</v>
      </c>
      <c r="J850" s="89">
        <f t="shared" si="67"/>
        <v>5</v>
      </c>
      <c r="K850" s="89">
        <f t="shared" si="68"/>
        <v>9.490367277213628E-2</v>
      </c>
      <c r="L850" s="89">
        <v>1</v>
      </c>
      <c r="M850" s="13">
        <f t="shared" si="69"/>
        <v>1275293.1902696264</v>
      </c>
      <c r="N850" s="11">
        <f t="shared" si="65"/>
        <v>2.2686330151937398E-5</v>
      </c>
    </row>
    <row r="851" spans="1:14" x14ac:dyDescent="0.25">
      <c r="A851" s="79" t="s">
        <v>33</v>
      </c>
      <c r="B851" s="89" t="s">
        <v>7</v>
      </c>
      <c r="C851" s="89" t="s">
        <v>243</v>
      </c>
      <c r="D851" s="13" t="s">
        <v>182</v>
      </c>
      <c r="E851" s="35">
        <f>VLOOKUP(B851, Passenger_Kilometre_by_mode_type[#All],MATCH(A851, Passenger_Kilometre_by_mode_type[#Headers],0),0)</f>
        <v>157166834.45463219</v>
      </c>
      <c r="F851" s="89">
        <f>VLOOKUP(C851, Reason_for_walking_cycling_journeys_by_percentage[#All],MATCH(A851, Reason_for_walking_cycling_journeys_by_percentage[#Headers],0),0)/100</f>
        <v>8.5500000000000007E-2</v>
      </c>
      <c r="G851" s="13">
        <f t="shared" si="66"/>
        <v>13437764.345871054</v>
      </c>
      <c r="H851" s="89">
        <f>VLOOKUP(D851,Average_Distance_by_kilometre_grouping_for_mode_type[#All],MATCH(A851,Average_Distance_by_kilometre_grouping_for_mode_type[#Headers],0),0)</f>
        <v>7</v>
      </c>
      <c r="I851" s="89">
        <f>VLOOKUP(D851,Average_Distance_by_kilometres_grouping_for_trip_purpose[#All],MATCH(A851,Average_Distance_by_kilometres_grouping_for_trip_purpose[#Headers],0),0)</f>
        <v>7</v>
      </c>
      <c r="J851" s="89">
        <f t="shared" si="67"/>
        <v>7</v>
      </c>
      <c r="K851" s="89">
        <f t="shared" si="68"/>
        <v>0.1328651418809908</v>
      </c>
      <c r="L851" s="89">
        <v>1</v>
      </c>
      <c r="M851" s="13">
        <f t="shared" si="69"/>
        <v>1785410.4663774772</v>
      </c>
      <c r="N851" s="11">
        <f t="shared" si="65"/>
        <v>3.1760862212712361E-5</v>
      </c>
    </row>
    <row r="852" spans="1:14" x14ac:dyDescent="0.25">
      <c r="A852" s="79" t="s">
        <v>33</v>
      </c>
      <c r="B852" s="89" t="s">
        <v>7</v>
      </c>
      <c r="C852" s="89" t="s">
        <v>243</v>
      </c>
      <c r="D852" s="13" t="s">
        <v>1</v>
      </c>
      <c r="E852" s="35">
        <f>VLOOKUP(B852, Passenger_Kilometre_by_mode_type[#All],MATCH(A852, Passenger_Kilometre_by_mode_type[#Headers],0),0)</f>
        <v>157166834.45463219</v>
      </c>
      <c r="F852" s="89">
        <f>VLOOKUP(C852, Reason_for_walking_cycling_journeys_by_percentage[#All],MATCH(A852, Reason_for_walking_cycling_journeys_by_percentage[#Headers],0),0)/100</f>
        <v>8.5500000000000007E-2</v>
      </c>
      <c r="G852" s="13">
        <f t="shared" si="66"/>
        <v>13437764.345871054</v>
      </c>
      <c r="H852" s="89">
        <f>VLOOKUP(D852,Average_Distance_by_kilometre_grouping_for_mode_type[#All],MATCH(A852,Average_Distance_by_kilometre_grouping_for_mode_type[#Headers],0),0)</f>
        <v>35.22</v>
      </c>
      <c r="I852" s="89">
        <f>VLOOKUP(D852,Average_Distance_by_kilometres_grouping_for_trip_purpose[#All],MATCH(A852,Average_Distance_by_kilometres_grouping_for_trip_purpose[#Headers],0),0)</f>
        <v>38.15</v>
      </c>
      <c r="J852" s="89">
        <f t="shared" si="67"/>
        <v>36.685000000000002</v>
      </c>
      <c r="K852" s="89">
        <f t="shared" si="68"/>
        <v>0.69630824712916395</v>
      </c>
      <c r="L852" s="89">
        <v>1</v>
      </c>
      <c r="M852" s="13">
        <f t="shared" si="69"/>
        <v>9356826.1370082498</v>
      </c>
      <c r="N852" s="11">
        <f t="shared" ref="N852:N915" si="70">M852/SUM($M$723:$M$1082)</f>
        <v>1.664496043247647E-4</v>
      </c>
    </row>
    <row r="853" spans="1:14" x14ac:dyDescent="0.25">
      <c r="A853" s="79" t="s">
        <v>33</v>
      </c>
      <c r="B853" s="89" t="s">
        <v>7</v>
      </c>
      <c r="C853" s="89" t="s">
        <v>50</v>
      </c>
      <c r="D853" s="13" t="s">
        <v>12</v>
      </c>
      <c r="E853" s="35">
        <f>VLOOKUP(B853, Passenger_Kilometre_by_mode_type[#All],MATCH(A853, Passenger_Kilometre_by_mode_type[#Headers],0),0)</f>
        <v>157166834.45463219</v>
      </c>
      <c r="F853" s="89">
        <f>VLOOKUP(C853, Reason_for_walking_cycling_journeys_by_percentage[#All],MATCH(A853, Reason_for_walking_cycling_journeys_by_percentage[#Headers],0),0)/100</f>
        <v>6.4000000000000001E-2</v>
      </c>
      <c r="G853" s="13">
        <f t="shared" si="66"/>
        <v>10058677.40509646</v>
      </c>
      <c r="H853" s="89">
        <f>VLOOKUP(D853,Average_Distance_by_kilometre_grouping_for_mode_type[#All],MATCH(A853,Average_Distance_by_kilometre_grouping_for_mode_type[#Headers],0),0)</f>
        <v>1</v>
      </c>
      <c r="I853" s="89">
        <f>VLOOKUP(D853,Average_Distance_by_kilometres_grouping_for_trip_purpose[#All],MATCH(A853,Average_Distance_by_kilometres_grouping_for_trip_purpose[#Headers],0),0)</f>
        <v>1</v>
      </c>
      <c r="J853" s="89">
        <f t="shared" si="67"/>
        <v>1</v>
      </c>
      <c r="K853" s="89">
        <f t="shared" si="68"/>
        <v>1.8980734554427257E-2</v>
      </c>
      <c r="L853" s="89">
        <v>1</v>
      </c>
      <c r="M853" s="13">
        <f t="shared" si="69"/>
        <v>190921.08579475107</v>
      </c>
      <c r="N853" s="11">
        <f t="shared" si="70"/>
        <v>3.3963160929216217E-6</v>
      </c>
    </row>
    <row r="854" spans="1:14" x14ac:dyDescent="0.25">
      <c r="A854" s="79" t="s">
        <v>33</v>
      </c>
      <c r="B854" s="89" t="s">
        <v>7</v>
      </c>
      <c r="C854" s="89" t="s">
        <v>50</v>
      </c>
      <c r="D854" s="13" t="s">
        <v>181</v>
      </c>
      <c r="E854" s="35">
        <f>VLOOKUP(B854, Passenger_Kilometre_by_mode_type[#All],MATCH(A854, Passenger_Kilometre_by_mode_type[#Headers],0),0)</f>
        <v>157166834.45463219</v>
      </c>
      <c r="F854" s="89">
        <f>VLOOKUP(C854, Reason_for_walking_cycling_journeys_by_percentage[#All],MATCH(A854, Reason_for_walking_cycling_journeys_by_percentage[#Headers],0),0)/100</f>
        <v>6.4000000000000001E-2</v>
      </c>
      <c r="G854" s="13">
        <f t="shared" si="66"/>
        <v>10058677.40509646</v>
      </c>
      <c r="H854" s="89">
        <f>VLOOKUP(D854,Average_Distance_by_kilometre_grouping_for_mode_type[#All],MATCH(A854,Average_Distance_by_kilometre_grouping_for_mode_type[#Headers],0),0)</f>
        <v>3</v>
      </c>
      <c r="I854" s="89">
        <f>VLOOKUP(D854,Average_Distance_by_kilometres_grouping_for_trip_purpose[#All],MATCH(A854,Average_Distance_by_kilometres_grouping_for_trip_purpose[#Headers],0),0)</f>
        <v>3</v>
      </c>
      <c r="J854" s="89">
        <f t="shared" si="67"/>
        <v>3</v>
      </c>
      <c r="K854" s="89">
        <f t="shared" si="68"/>
        <v>5.6942203663281767E-2</v>
      </c>
      <c r="L854" s="89">
        <v>1</v>
      </c>
      <c r="M854" s="13">
        <f t="shared" si="69"/>
        <v>572763.2573842532</v>
      </c>
      <c r="N854" s="11">
        <f t="shared" si="70"/>
        <v>1.0188948278764865E-5</v>
      </c>
    </row>
    <row r="855" spans="1:14" x14ac:dyDescent="0.25">
      <c r="A855" s="79" t="s">
        <v>33</v>
      </c>
      <c r="B855" s="89" t="s">
        <v>7</v>
      </c>
      <c r="C855" s="89" t="s">
        <v>50</v>
      </c>
      <c r="D855" s="13" t="s">
        <v>180</v>
      </c>
      <c r="E855" s="35">
        <f>VLOOKUP(B855, Passenger_Kilometre_by_mode_type[#All],MATCH(A855, Passenger_Kilometre_by_mode_type[#Headers],0),0)</f>
        <v>157166834.45463219</v>
      </c>
      <c r="F855" s="89">
        <f>VLOOKUP(C855, Reason_for_walking_cycling_journeys_by_percentage[#All],MATCH(A855, Reason_for_walking_cycling_journeys_by_percentage[#Headers],0),0)/100</f>
        <v>6.4000000000000001E-2</v>
      </c>
      <c r="G855" s="13">
        <f t="shared" si="66"/>
        <v>10058677.40509646</v>
      </c>
      <c r="H855" s="89">
        <f>VLOOKUP(D855,Average_Distance_by_kilometre_grouping_for_mode_type[#All],MATCH(A855,Average_Distance_by_kilometre_grouping_for_mode_type[#Headers],0),0)</f>
        <v>5</v>
      </c>
      <c r="I855" s="89">
        <f>VLOOKUP(D855,Average_Distance_by_kilometres_grouping_for_trip_purpose[#All],MATCH(A855,Average_Distance_by_kilometres_grouping_for_trip_purpose[#Headers],0),0)</f>
        <v>5</v>
      </c>
      <c r="J855" s="89">
        <f t="shared" si="67"/>
        <v>5</v>
      </c>
      <c r="K855" s="89">
        <f t="shared" si="68"/>
        <v>9.490367277213628E-2</v>
      </c>
      <c r="L855" s="89">
        <v>1</v>
      </c>
      <c r="M855" s="13">
        <f t="shared" si="69"/>
        <v>954605.42897375533</v>
      </c>
      <c r="N855" s="11">
        <f t="shared" si="70"/>
        <v>1.6981580464608111E-5</v>
      </c>
    </row>
    <row r="856" spans="1:14" x14ac:dyDescent="0.25">
      <c r="A856" s="79" t="s">
        <v>33</v>
      </c>
      <c r="B856" s="89" t="s">
        <v>7</v>
      </c>
      <c r="C856" s="89" t="s">
        <v>50</v>
      </c>
      <c r="D856" s="13" t="s">
        <v>182</v>
      </c>
      <c r="E856" s="35">
        <f>VLOOKUP(B856, Passenger_Kilometre_by_mode_type[#All],MATCH(A856, Passenger_Kilometre_by_mode_type[#Headers],0),0)</f>
        <v>157166834.45463219</v>
      </c>
      <c r="F856" s="89">
        <f>VLOOKUP(C856, Reason_for_walking_cycling_journeys_by_percentage[#All],MATCH(A856, Reason_for_walking_cycling_journeys_by_percentage[#Headers],0),0)/100</f>
        <v>6.4000000000000001E-2</v>
      </c>
      <c r="G856" s="13">
        <f t="shared" si="66"/>
        <v>10058677.40509646</v>
      </c>
      <c r="H856" s="89">
        <f>VLOOKUP(D856,Average_Distance_by_kilometre_grouping_for_mode_type[#All],MATCH(A856,Average_Distance_by_kilometre_grouping_for_mode_type[#Headers],0),0)</f>
        <v>7</v>
      </c>
      <c r="I856" s="89">
        <f>VLOOKUP(D856,Average_Distance_by_kilometres_grouping_for_trip_purpose[#All],MATCH(A856,Average_Distance_by_kilometres_grouping_for_trip_purpose[#Headers],0),0)</f>
        <v>7</v>
      </c>
      <c r="J856" s="89">
        <f t="shared" si="67"/>
        <v>7</v>
      </c>
      <c r="K856" s="89">
        <f t="shared" si="68"/>
        <v>0.1328651418809908</v>
      </c>
      <c r="L856" s="89">
        <v>1</v>
      </c>
      <c r="M856" s="13">
        <f t="shared" si="69"/>
        <v>1336447.6005632575</v>
      </c>
      <c r="N856" s="11">
        <f t="shared" si="70"/>
        <v>2.3774212650451352E-5</v>
      </c>
    </row>
    <row r="857" spans="1:14" x14ac:dyDescent="0.25">
      <c r="A857" s="79" t="s">
        <v>33</v>
      </c>
      <c r="B857" s="89" t="s">
        <v>7</v>
      </c>
      <c r="C857" s="89" t="s">
        <v>50</v>
      </c>
      <c r="D857" s="13" t="s">
        <v>1</v>
      </c>
      <c r="E857" s="35">
        <f>VLOOKUP(B857, Passenger_Kilometre_by_mode_type[#All],MATCH(A857, Passenger_Kilometre_by_mode_type[#Headers],0),0)</f>
        <v>157166834.45463219</v>
      </c>
      <c r="F857" s="89">
        <f>VLOOKUP(C857, Reason_for_walking_cycling_journeys_by_percentage[#All],MATCH(A857, Reason_for_walking_cycling_journeys_by_percentage[#Headers],0),0)/100</f>
        <v>6.4000000000000001E-2</v>
      </c>
      <c r="G857" s="13">
        <f t="shared" si="66"/>
        <v>10058677.40509646</v>
      </c>
      <c r="H857" s="89">
        <f>VLOOKUP(D857,Average_Distance_by_kilometre_grouping_for_mode_type[#All],MATCH(A857,Average_Distance_by_kilometre_grouping_for_mode_type[#Headers],0),0)</f>
        <v>35.22</v>
      </c>
      <c r="I857" s="89">
        <f>VLOOKUP(D857,Average_Distance_by_kilometres_grouping_for_trip_purpose[#All],MATCH(A857,Average_Distance_by_kilometres_grouping_for_trip_purpose[#Headers],0),0)</f>
        <v>38.15</v>
      </c>
      <c r="J857" s="89">
        <f t="shared" si="67"/>
        <v>36.685000000000002</v>
      </c>
      <c r="K857" s="89">
        <f t="shared" si="68"/>
        <v>0.69630824712916395</v>
      </c>
      <c r="L857" s="89">
        <v>1</v>
      </c>
      <c r="M857" s="13">
        <f t="shared" si="69"/>
        <v>7003940.0323804431</v>
      </c>
      <c r="N857" s="11">
        <f t="shared" si="70"/>
        <v>1.2459385586882971E-4</v>
      </c>
    </row>
    <row r="858" spans="1:14" x14ac:dyDescent="0.25">
      <c r="A858" s="79" t="s">
        <v>33</v>
      </c>
      <c r="B858" s="89" t="s">
        <v>8</v>
      </c>
      <c r="C858" s="89" t="s">
        <v>42</v>
      </c>
      <c r="D858" s="13" t="s">
        <v>12</v>
      </c>
      <c r="E858" s="35">
        <f>VLOOKUP(B858, Passenger_Kilometre_by_mode_type[#All],MATCH(A858, Passenger_Kilometre_by_mode_type[#Headers],0),0)</f>
        <v>2719981114.5358052</v>
      </c>
      <c r="F858" s="89">
        <f>VLOOKUP(C858, Reason_for_public_transport_journeys_by_percentage[#All],MATCH(A858, Reason_for_public_transport_journeys_by_percentage[#Headers],0),0)/100</f>
        <v>0.28824999999999995</v>
      </c>
      <c r="G858" s="13">
        <f t="shared" si="66"/>
        <v>784034556.26494575</v>
      </c>
      <c r="H858" s="89">
        <f>VLOOKUP(D858,Average_Distance_by_kilometre_grouping_for_mode_type[#All],MATCH(A858,Average_Distance_by_kilometre_grouping_for_mode_type[#Headers],0),0)</f>
        <v>1</v>
      </c>
      <c r="I858" s="89">
        <f>VLOOKUP(D858,Average_Distance_by_kilometres_grouping_for_trip_purpose[#All],MATCH(A858,Average_Distance_by_kilometres_grouping_for_trip_purpose[#Headers],0),0)</f>
        <v>1</v>
      </c>
      <c r="J858" s="89">
        <f t="shared" si="67"/>
        <v>1</v>
      </c>
      <c r="K858" s="89">
        <f t="shared" si="68"/>
        <v>1.8980734554427257E-2</v>
      </c>
      <c r="L858" s="89">
        <v>1</v>
      </c>
      <c r="M858" s="13">
        <f t="shared" si="69"/>
        <v>14881551.793963097</v>
      </c>
      <c r="N858" s="11">
        <f t="shared" si="70"/>
        <v>2.6472955375824207E-4</v>
      </c>
    </row>
    <row r="859" spans="1:14" x14ac:dyDescent="0.25">
      <c r="A859" s="79" t="s">
        <v>33</v>
      </c>
      <c r="B859" s="89" t="s">
        <v>8</v>
      </c>
      <c r="C859" s="89" t="s">
        <v>42</v>
      </c>
      <c r="D859" s="13" t="s">
        <v>181</v>
      </c>
      <c r="E859" s="35">
        <f>VLOOKUP(B859, Passenger_Kilometre_by_mode_type[#All],MATCH(A859, Passenger_Kilometre_by_mode_type[#Headers],0),0)</f>
        <v>2719981114.5358052</v>
      </c>
      <c r="F859" s="89">
        <f>VLOOKUP(C859, Reason_for_public_transport_journeys_by_percentage[#All],MATCH(A859, Reason_for_public_transport_journeys_by_percentage[#Headers],0),0)/100</f>
        <v>0.28824999999999995</v>
      </c>
      <c r="G859" s="13">
        <f t="shared" si="66"/>
        <v>784034556.26494575</v>
      </c>
      <c r="H859" s="89">
        <f>VLOOKUP(D859,Average_Distance_by_kilometre_grouping_for_mode_type[#All],MATCH(A859,Average_Distance_by_kilometre_grouping_for_mode_type[#Headers],0),0)</f>
        <v>3</v>
      </c>
      <c r="I859" s="89">
        <f>VLOOKUP(D859,Average_Distance_by_kilometres_grouping_for_trip_purpose[#All],MATCH(A859,Average_Distance_by_kilometres_grouping_for_trip_purpose[#Headers],0),0)</f>
        <v>3</v>
      </c>
      <c r="J859" s="89">
        <f t="shared" si="67"/>
        <v>3</v>
      </c>
      <c r="K859" s="89">
        <f t="shared" si="68"/>
        <v>5.6942203663281767E-2</v>
      </c>
      <c r="L859" s="89">
        <v>1</v>
      </c>
      <c r="M859" s="13">
        <f t="shared" si="69"/>
        <v>44644655.381889291</v>
      </c>
      <c r="N859" s="11">
        <f t="shared" si="70"/>
        <v>7.941886612747262E-4</v>
      </c>
    </row>
    <row r="860" spans="1:14" x14ac:dyDescent="0.25">
      <c r="A860" s="79" t="s">
        <v>33</v>
      </c>
      <c r="B860" s="89" t="s">
        <v>8</v>
      </c>
      <c r="C860" s="89" t="s">
        <v>42</v>
      </c>
      <c r="D860" s="13" t="s">
        <v>180</v>
      </c>
      <c r="E860" s="35">
        <f>VLOOKUP(B860, Passenger_Kilometre_by_mode_type[#All],MATCH(A860, Passenger_Kilometre_by_mode_type[#Headers],0),0)</f>
        <v>2719981114.5358052</v>
      </c>
      <c r="F860" s="89">
        <f>VLOOKUP(C860, Reason_for_public_transport_journeys_by_percentage[#All],MATCH(A860, Reason_for_public_transport_journeys_by_percentage[#Headers],0),0)/100</f>
        <v>0.28824999999999995</v>
      </c>
      <c r="G860" s="13">
        <f t="shared" si="66"/>
        <v>784034556.26494575</v>
      </c>
      <c r="H860" s="89">
        <f>VLOOKUP(D860,Average_Distance_by_kilometre_grouping_for_mode_type[#All],MATCH(A860,Average_Distance_by_kilometre_grouping_for_mode_type[#Headers],0),0)</f>
        <v>5</v>
      </c>
      <c r="I860" s="89">
        <f>VLOOKUP(D860,Average_Distance_by_kilometres_grouping_for_trip_purpose[#All],MATCH(A860,Average_Distance_by_kilometres_grouping_for_trip_purpose[#Headers],0),0)</f>
        <v>5</v>
      </c>
      <c r="J860" s="89">
        <f t="shared" si="67"/>
        <v>5</v>
      </c>
      <c r="K860" s="89">
        <f t="shared" si="68"/>
        <v>9.490367277213628E-2</v>
      </c>
      <c r="L860" s="89">
        <v>1</v>
      </c>
      <c r="M860" s="13">
        <f t="shared" si="69"/>
        <v>74407758.969815478</v>
      </c>
      <c r="N860" s="11">
        <f t="shared" si="70"/>
        <v>1.3236477687912102E-3</v>
      </c>
    </row>
    <row r="861" spans="1:14" x14ac:dyDescent="0.25">
      <c r="A861" s="79" t="s">
        <v>33</v>
      </c>
      <c r="B861" s="89" t="s">
        <v>8</v>
      </c>
      <c r="C861" s="89" t="s">
        <v>42</v>
      </c>
      <c r="D861" s="13" t="s">
        <v>182</v>
      </c>
      <c r="E861" s="35">
        <f>VLOOKUP(B861, Passenger_Kilometre_by_mode_type[#All],MATCH(A861, Passenger_Kilometre_by_mode_type[#Headers],0),0)</f>
        <v>2719981114.5358052</v>
      </c>
      <c r="F861" s="89">
        <f>VLOOKUP(C861, Reason_for_public_transport_journeys_by_percentage[#All],MATCH(A861, Reason_for_public_transport_journeys_by_percentage[#Headers],0),0)/100</f>
        <v>0.28824999999999995</v>
      </c>
      <c r="G861" s="13">
        <f t="shared" si="66"/>
        <v>784034556.26494575</v>
      </c>
      <c r="H861" s="89">
        <f>VLOOKUP(D861,Average_Distance_by_kilometre_grouping_for_mode_type[#All],MATCH(A861,Average_Distance_by_kilometre_grouping_for_mode_type[#Headers],0),0)</f>
        <v>7</v>
      </c>
      <c r="I861" s="89">
        <f>VLOOKUP(D861,Average_Distance_by_kilometres_grouping_for_trip_purpose[#All],MATCH(A861,Average_Distance_by_kilometres_grouping_for_trip_purpose[#Headers],0),0)</f>
        <v>7</v>
      </c>
      <c r="J861" s="89">
        <f t="shared" si="67"/>
        <v>7</v>
      </c>
      <c r="K861" s="89">
        <f t="shared" si="68"/>
        <v>0.1328651418809908</v>
      </c>
      <c r="L861" s="89">
        <v>1</v>
      </c>
      <c r="M861" s="13">
        <f t="shared" si="69"/>
        <v>104170862.55774169</v>
      </c>
      <c r="N861" s="11">
        <f t="shared" si="70"/>
        <v>1.8531068763076946E-3</v>
      </c>
    </row>
    <row r="862" spans="1:14" x14ac:dyDescent="0.25">
      <c r="A862" s="79" t="s">
        <v>33</v>
      </c>
      <c r="B862" s="89" t="s">
        <v>8</v>
      </c>
      <c r="C862" s="89" t="s">
        <v>42</v>
      </c>
      <c r="D862" s="13" t="s">
        <v>1</v>
      </c>
      <c r="E862" s="35">
        <f>VLOOKUP(B862, Passenger_Kilometre_by_mode_type[#All],MATCH(A862, Passenger_Kilometre_by_mode_type[#Headers],0),0)</f>
        <v>2719981114.5358052</v>
      </c>
      <c r="F862" s="89">
        <f>VLOOKUP(C862, Reason_for_public_transport_journeys_by_percentage[#All],MATCH(A862, Reason_for_public_transport_journeys_by_percentage[#Headers],0),0)/100</f>
        <v>0.28824999999999995</v>
      </c>
      <c r="G862" s="13">
        <f t="shared" si="66"/>
        <v>784034556.26494575</v>
      </c>
      <c r="H862" s="89">
        <f>VLOOKUP(D862,Average_Distance_by_kilometre_grouping_for_mode_type[#All],MATCH(A862,Average_Distance_by_kilometre_grouping_for_mode_type[#Headers],0),0)</f>
        <v>35.22</v>
      </c>
      <c r="I862" s="89">
        <f>VLOOKUP(D862,Average_Distance_by_kilometres_grouping_for_trip_purpose[#All],MATCH(A862,Average_Distance_by_kilometres_grouping_for_trip_purpose[#Headers],0),0)</f>
        <v>38.15</v>
      </c>
      <c r="J862" s="89">
        <f t="shared" si="67"/>
        <v>36.685000000000002</v>
      </c>
      <c r="K862" s="89">
        <f t="shared" si="68"/>
        <v>0.69630824712916395</v>
      </c>
      <c r="L862" s="89">
        <v>1</v>
      </c>
      <c r="M862" s="13">
        <f t="shared" si="69"/>
        <v>545929727.56153619</v>
      </c>
      <c r="N862" s="11">
        <f t="shared" si="70"/>
        <v>9.7116036796211103E-3</v>
      </c>
    </row>
    <row r="863" spans="1:14" x14ac:dyDescent="0.25">
      <c r="A863" s="79" t="s">
        <v>33</v>
      </c>
      <c r="B863" s="89" t="s">
        <v>8</v>
      </c>
      <c r="C863" s="89" t="s">
        <v>43</v>
      </c>
      <c r="D863" s="13" t="s">
        <v>12</v>
      </c>
      <c r="E863" s="35">
        <f>VLOOKUP(B863, Passenger_Kilometre_by_mode_type[#All],MATCH(A863, Passenger_Kilometre_by_mode_type[#Headers],0),0)</f>
        <v>2719981114.5358052</v>
      </c>
      <c r="F863" s="89">
        <f>VLOOKUP(C863, Reason_for_public_transport_journeys_by_percentage[#All],MATCH(A863, Reason_for_public_transport_journeys_by_percentage[#Headers],0),0)/100</f>
        <v>0.12437499999999999</v>
      </c>
      <c r="G863" s="13">
        <f t="shared" si="66"/>
        <v>338297651.12039071</v>
      </c>
      <c r="H863" s="89">
        <f>VLOOKUP(D863,Average_Distance_by_kilometre_grouping_for_mode_type[#All],MATCH(A863,Average_Distance_by_kilometre_grouping_for_mode_type[#Headers],0),0)</f>
        <v>1</v>
      </c>
      <c r="I863" s="89">
        <f>VLOOKUP(D863,Average_Distance_by_kilometres_grouping_for_trip_purpose[#All],MATCH(A863,Average_Distance_by_kilometres_grouping_for_trip_purpose[#Headers],0),0)</f>
        <v>1</v>
      </c>
      <c r="J863" s="89">
        <f t="shared" si="67"/>
        <v>1</v>
      </c>
      <c r="K863" s="89">
        <f t="shared" si="68"/>
        <v>1.8980734554427257E-2</v>
      </c>
      <c r="L863" s="89">
        <v>1</v>
      </c>
      <c r="M863" s="13">
        <f t="shared" si="69"/>
        <v>6421137.9163023764</v>
      </c>
      <c r="N863" s="11">
        <f t="shared" si="70"/>
        <v>1.1422632523393358E-4</v>
      </c>
    </row>
    <row r="864" spans="1:14" x14ac:dyDescent="0.25">
      <c r="A864" s="79" t="s">
        <v>33</v>
      </c>
      <c r="B864" s="89" t="s">
        <v>8</v>
      </c>
      <c r="C864" s="89" t="s">
        <v>43</v>
      </c>
      <c r="D864" s="13" t="s">
        <v>181</v>
      </c>
      <c r="E864" s="35">
        <f>VLOOKUP(B864, Passenger_Kilometre_by_mode_type[#All],MATCH(A864, Passenger_Kilometre_by_mode_type[#Headers],0),0)</f>
        <v>2719981114.5358052</v>
      </c>
      <c r="F864" s="89">
        <f>VLOOKUP(C864, Reason_for_public_transport_journeys_by_percentage[#All],MATCH(A864, Reason_for_public_transport_journeys_by_percentage[#Headers],0),0)/100</f>
        <v>0.12437499999999999</v>
      </c>
      <c r="G864" s="13">
        <f t="shared" si="66"/>
        <v>338297651.12039071</v>
      </c>
      <c r="H864" s="89">
        <f>VLOOKUP(D864,Average_Distance_by_kilometre_grouping_for_mode_type[#All],MATCH(A864,Average_Distance_by_kilometre_grouping_for_mode_type[#Headers],0),0)</f>
        <v>3</v>
      </c>
      <c r="I864" s="89">
        <f>VLOOKUP(D864,Average_Distance_by_kilometres_grouping_for_trip_purpose[#All],MATCH(A864,Average_Distance_by_kilometres_grouping_for_trip_purpose[#Headers],0),0)</f>
        <v>3</v>
      </c>
      <c r="J864" s="89">
        <f t="shared" si="67"/>
        <v>3</v>
      </c>
      <c r="K864" s="89">
        <f t="shared" si="68"/>
        <v>5.6942203663281767E-2</v>
      </c>
      <c r="L864" s="89">
        <v>1</v>
      </c>
      <c r="M864" s="13">
        <f t="shared" si="69"/>
        <v>19263413.74890713</v>
      </c>
      <c r="N864" s="11">
        <f t="shared" si="70"/>
        <v>3.4267897570180073E-4</v>
      </c>
    </row>
    <row r="865" spans="1:14" x14ac:dyDescent="0.25">
      <c r="A865" s="79" t="s">
        <v>33</v>
      </c>
      <c r="B865" s="89" t="s">
        <v>8</v>
      </c>
      <c r="C865" s="89" t="s">
        <v>43</v>
      </c>
      <c r="D865" s="13" t="s">
        <v>180</v>
      </c>
      <c r="E865" s="35">
        <f>VLOOKUP(B865, Passenger_Kilometre_by_mode_type[#All],MATCH(A865, Passenger_Kilometre_by_mode_type[#Headers],0),0)</f>
        <v>2719981114.5358052</v>
      </c>
      <c r="F865" s="89">
        <f>VLOOKUP(C865, Reason_for_public_transport_journeys_by_percentage[#All],MATCH(A865, Reason_for_public_transport_journeys_by_percentage[#Headers],0),0)/100</f>
        <v>0.12437499999999999</v>
      </c>
      <c r="G865" s="13">
        <f t="shared" si="66"/>
        <v>338297651.12039071</v>
      </c>
      <c r="H865" s="89">
        <f>VLOOKUP(D865,Average_Distance_by_kilometre_grouping_for_mode_type[#All],MATCH(A865,Average_Distance_by_kilometre_grouping_for_mode_type[#Headers],0),0)</f>
        <v>5</v>
      </c>
      <c r="I865" s="89">
        <f>VLOOKUP(D865,Average_Distance_by_kilometres_grouping_for_trip_purpose[#All],MATCH(A865,Average_Distance_by_kilometres_grouping_for_trip_purpose[#Headers],0),0)</f>
        <v>5</v>
      </c>
      <c r="J865" s="89">
        <f t="shared" si="67"/>
        <v>5</v>
      </c>
      <c r="K865" s="89">
        <f t="shared" si="68"/>
        <v>9.490367277213628E-2</v>
      </c>
      <c r="L865" s="89">
        <v>1</v>
      </c>
      <c r="M865" s="13">
        <f t="shared" si="69"/>
        <v>32105689.581511881</v>
      </c>
      <c r="N865" s="11">
        <f t="shared" si="70"/>
        <v>5.7113162616966788E-4</v>
      </c>
    </row>
    <row r="866" spans="1:14" x14ac:dyDescent="0.25">
      <c r="A866" s="79" t="s">
        <v>33</v>
      </c>
      <c r="B866" s="89" t="s">
        <v>8</v>
      </c>
      <c r="C866" s="89" t="s">
        <v>43</v>
      </c>
      <c r="D866" s="13" t="s">
        <v>182</v>
      </c>
      <c r="E866" s="35">
        <f>VLOOKUP(B866, Passenger_Kilometre_by_mode_type[#All],MATCH(A866, Passenger_Kilometre_by_mode_type[#Headers],0),0)</f>
        <v>2719981114.5358052</v>
      </c>
      <c r="F866" s="89">
        <f>VLOOKUP(C866, Reason_for_public_transport_journeys_by_percentage[#All],MATCH(A866, Reason_for_public_transport_journeys_by_percentage[#Headers],0),0)/100</f>
        <v>0.12437499999999999</v>
      </c>
      <c r="G866" s="13">
        <f t="shared" si="66"/>
        <v>338297651.12039071</v>
      </c>
      <c r="H866" s="89">
        <f>VLOOKUP(D866,Average_Distance_by_kilometre_grouping_for_mode_type[#All],MATCH(A866,Average_Distance_by_kilometre_grouping_for_mode_type[#Headers],0),0)</f>
        <v>7</v>
      </c>
      <c r="I866" s="89">
        <f>VLOOKUP(D866,Average_Distance_by_kilometres_grouping_for_trip_purpose[#All],MATCH(A866,Average_Distance_by_kilometres_grouping_for_trip_purpose[#Headers],0),0)</f>
        <v>7</v>
      </c>
      <c r="J866" s="89">
        <f t="shared" si="67"/>
        <v>7</v>
      </c>
      <c r="K866" s="89">
        <f t="shared" si="68"/>
        <v>0.1328651418809908</v>
      </c>
      <c r="L866" s="89">
        <v>1</v>
      </c>
      <c r="M866" s="13">
        <f t="shared" si="69"/>
        <v>44947965.414116636</v>
      </c>
      <c r="N866" s="11">
        <f t="shared" si="70"/>
        <v>7.9958427663753503E-4</v>
      </c>
    </row>
    <row r="867" spans="1:14" x14ac:dyDescent="0.25">
      <c r="A867" s="79" t="s">
        <v>33</v>
      </c>
      <c r="B867" s="89" t="s">
        <v>8</v>
      </c>
      <c r="C867" s="89" t="s">
        <v>43</v>
      </c>
      <c r="D867" s="13" t="s">
        <v>1</v>
      </c>
      <c r="E867" s="35">
        <f>VLOOKUP(B867, Passenger_Kilometre_by_mode_type[#All],MATCH(A867, Passenger_Kilometre_by_mode_type[#Headers],0),0)</f>
        <v>2719981114.5358052</v>
      </c>
      <c r="F867" s="89">
        <f>VLOOKUP(C867, Reason_for_public_transport_journeys_by_percentage[#All],MATCH(A867, Reason_for_public_transport_journeys_by_percentage[#Headers],0),0)/100</f>
        <v>0.12437499999999999</v>
      </c>
      <c r="G867" s="13">
        <f t="shared" si="66"/>
        <v>338297651.12039071</v>
      </c>
      <c r="H867" s="89">
        <f>VLOOKUP(D867,Average_Distance_by_kilometre_grouping_for_mode_type[#All],MATCH(A867,Average_Distance_by_kilometre_grouping_for_mode_type[#Headers],0),0)</f>
        <v>35.22</v>
      </c>
      <c r="I867" s="89">
        <f>VLOOKUP(D867,Average_Distance_by_kilometres_grouping_for_trip_purpose[#All],MATCH(A867,Average_Distance_by_kilometres_grouping_for_trip_purpose[#Headers],0),0)</f>
        <v>38.15</v>
      </c>
      <c r="J867" s="89">
        <f t="shared" si="67"/>
        <v>36.685000000000002</v>
      </c>
      <c r="K867" s="89">
        <f t="shared" si="68"/>
        <v>0.69630824712916395</v>
      </c>
      <c r="L867" s="89">
        <v>1</v>
      </c>
      <c r="M867" s="13">
        <f t="shared" si="69"/>
        <v>235559444.45955271</v>
      </c>
      <c r="N867" s="11">
        <f t="shared" si="70"/>
        <v>4.190392741206854E-3</v>
      </c>
    </row>
    <row r="868" spans="1:14" x14ac:dyDescent="0.25">
      <c r="A868" s="79" t="s">
        <v>33</v>
      </c>
      <c r="B868" s="89" t="s">
        <v>8</v>
      </c>
      <c r="C868" s="89" t="s">
        <v>44</v>
      </c>
      <c r="D868" s="13" t="s">
        <v>12</v>
      </c>
      <c r="E868" s="35">
        <f>VLOOKUP(B868, Passenger_Kilometre_by_mode_type[#All],MATCH(A868, Passenger_Kilometre_by_mode_type[#Headers],0),0)</f>
        <v>2719981114.5358052</v>
      </c>
      <c r="F868" s="89">
        <f>VLOOKUP(C868, Reason_for_public_transport_journeys_by_percentage[#All],MATCH(A868, Reason_for_public_transport_journeys_by_percentage[#Headers],0),0)/100</f>
        <v>0.18625</v>
      </c>
      <c r="G868" s="13">
        <f t="shared" si="66"/>
        <v>506596482.58229375</v>
      </c>
      <c r="H868" s="89">
        <f>VLOOKUP(D868,Average_Distance_by_kilometre_grouping_for_mode_type[#All],MATCH(A868,Average_Distance_by_kilometre_grouping_for_mode_type[#Headers],0),0)</f>
        <v>1</v>
      </c>
      <c r="I868" s="89">
        <f>VLOOKUP(D868,Average_Distance_by_kilometres_grouping_for_trip_purpose[#All],MATCH(A868,Average_Distance_by_kilometres_grouping_for_trip_purpose[#Headers],0),0)</f>
        <v>1</v>
      </c>
      <c r="J868" s="89">
        <f t="shared" si="67"/>
        <v>1</v>
      </c>
      <c r="K868" s="89">
        <f t="shared" si="68"/>
        <v>1.8980734554427257E-2</v>
      </c>
      <c r="L868" s="89">
        <v>1</v>
      </c>
      <c r="M868" s="13">
        <f t="shared" si="69"/>
        <v>9615573.3621010482</v>
      </c>
      <c r="N868" s="11">
        <f t="shared" si="70"/>
        <v>1.7105248703372971E-4</v>
      </c>
    </row>
    <row r="869" spans="1:14" x14ac:dyDescent="0.25">
      <c r="A869" s="79" t="s">
        <v>33</v>
      </c>
      <c r="B869" s="89" t="s">
        <v>8</v>
      </c>
      <c r="C869" s="89" t="s">
        <v>44</v>
      </c>
      <c r="D869" s="13" t="s">
        <v>181</v>
      </c>
      <c r="E869" s="35">
        <f>VLOOKUP(B869, Passenger_Kilometre_by_mode_type[#All],MATCH(A869, Passenger_Kilometre_by_mode_type[#Headers],0),0)</f>
        <v>2719981114.5358052</v>
      </c>
      <c r="F869" s="89">
        <f>VLOOKUP(C869, Reason_for_public_transport_journeys_by_percentage[#All],MATCH(A869, Reason_for_public_transport_journeys_by_percentage[#Headers],0),0)/100</f>
        <v>0.18625</v>
      </c>
      <c r="G869" s="13">
        <f t="shared" si="66"/>
        <v>506596482.58229375</v>
      </c>
      <c r="H869" s="89">
        <f>VLOOKUP(D869,Average_Distance_by_kilometre_grouping_for_mode_type[#All],MATCH(A869,Average_Distance_by_kilometre_grouping_for_mode_type[#Headers],0),0)</f>
        <v>3</v>
      </c>
      <c r="I869" s="89">
        <f>VLOOKUP(D869,Average_Distance_by_kilometres_grouping_for_trip_purpose[#All],MATCH(A869,Average_Distance_by_kilometres_grouping_for_trip_purpose[#Headers],0),0)</f>
        <v>3</v>
      </c>
      <c r="J869" s="89">
        <f t="shared" si="67"/>
        <v>3</v>
      </c>
      <c r="K869" s="89">
        <f t="shared" si="68"/>
        <v>5.6942203663281767E-2</v>
      </c>
      <c r="L869" s="89">
        <v>1</v>
      </c>
      <c r="M869" s="13">
        <f t="shared" si="69"/>
        <v>28846720.086303145</v>
      </c>
      <c r="N869" s="11">
        <f t="shared" si="70"/>
        <v>5.1315746110118911E-4</v>
      </c>
    </row>
    <row r="870" spans="1:14" x14ac:dyDescent="0.25">
      <c r="A870" s="79" t="s">
        <v>33</v>
      </c>
      <c r="B870" s="89" t="s">
        <v>8</v>
      </c>
      <c r="C870" s="89" t="s">
        <v>44</v>
      </c>
      <c r="D870" s="13" t="s">
        <v>180</v>
      </c>
      <c r="E870" s="35">
        <f>VLOOKUP(B870, Passenger_Kilometre_by_mode_type[#All],MATCH(A870, Passenger_Kilometre_by_mode_type[#Headers],0),0)</f>
        <v>2719981114.5358052</v>
      </c>
      <c r="F870" s="89">
        <f>VLOOKUP(C870, Reason_for_public_transport_journeys_by_percentage[#All],MATCH(A870, Reason_for_public_transport_journeys_by_percentage[#Headers],0),0)/100</f>
        <v>0.18625</v>
      </c>
      <c r="G870" s="13">
        <f t="shared" si="66"/>
        <v>506596482.58229375</v>
      </c>
      <c r="H870" s="89">
        <f>VLOOKUP(D870,Average_Distance_by_kilometre_grouping_for_mode_type[#All],MATCH(A870,Average_Distance_by_kilometre_grouping_for_mode_type[#Headers],0),0)</f>
        <v>5</v>
      </c>
      <c r="I870" s="89">
        <f>VLOOKUP(D870,Average_Distance_by_kilometres_grouping_for_trip_purpose[#All],MATCH(A870,Average_Distance_by_kilometres_grouping_for_trip_purpose[#Headers],0),0)</f>
        <v>5</v>
      </c>
      <c r="J870" s="89">
        <f t="shared" si="67"/>
        <v>5</v>
      </c>
      <c r="K870" s="89">
        <f t="shared" si="68"/>
        <v>9.490367277213628E-2</v>
      </c>
      <c r="L870" s="89">
        <v>1</v>
      </c>
      <c r="M870" s="13">
        <f t="shared" si="69"/>
        <v>48077866.810505241</v>
      </c>
      <c r="N870" s="11">
        <f t="shared" si="70"/>
        <v>8.5526243516864859E-4</v>
      </c>
    </row>
    <row r="871" spans="1:14" x14ac:dyDescent="0.25">
      <c r="A871" s="79" t="s">
        <v>33</v>
      </c>
      <c r="B871" s="89" t="s">
        <v>8</v>
      </c>
      <c r="C871" s="89" t="s">
        <v>44</v>
      </c>
      <c r="D871" s="13" t="s">
        <v>182</v>
      </c>
      <c r="E871" s="35">
        <f>VLOOKUP(B871, Passenger_Kilometre_by_mode_type[#All],MATCH(A871, Passenger_Kilometre_by_mode_type[#Headers],0),0)</f>
        <v>2719981114.5358052</v>
      </c>
      <c r="F871" s="89">
        <f>VLOOKUP(C871, Reason_for_public_transport_journeys_by_percentage[#All],MATCH(A871, Reason_for_public_transport_journeys_by_percentage[#Headers],0),0)/100</f>
        <v>0.18625</v>
      </c>
      <c r="G871" s="13">
        <f t="shared" si="66"/>
        <v>506596482.58229375</v>
      </c>
      <c r="H871" s="89">
        <f>VLOOKUP(D871,Average_Distance_by_kilometre_grouping_for_mode_type[#All],MATCH(A871,Average_Distance_by_kilometre_grouping_for_mode_type[#Headers],0),0)</f>
        <v>7</v>
      </c>
      <c r="I871" s="89">
        <f>VLOOKUP(D871,Average_Distance_by_kilometres_grouping_for_trip_purpose[#All],MATCH(A871,Average_Distance_by_kilometres_grouping_for_trip_purpose[#Headers],0),0)</f>
        <v>7</v>
      </c>
      <c r="J871" s="89">
        <f t="shared" si="67"/>
        <v>7</v>
      </c>
      <c r="K871" s="89">
        <f t="shared" si="68"/>
        <v>0.1328651418809908</v>
      </c>
      <c r="L871" s="89">
        <v>1</v>
      </c>
      <c r="M871" s="13">
        <f t="shared" si="69"/>
        <v>67309013.534707338</v>
      </c>
      <c r="N871" s="11">
        <f t="shared" si="70"/>
        <v>1.1973674092361081E-3</v>
      </c>
    </row>
    <row r="872" spans="1:14" x14ac:dyDescent="0.25">
      <c r="A872" s="79" t="s">
        <v>33</v>
      </c>
      <c r="B872" s="89" t="s">
        <v>8</v>
      </c>
      <c r="C872" s="89" t="s">
        <v>44</v>
      </c>
      <c r="D872" s="13" t="s">
        <v>1</v>
      </c>
      <c r="E872" s="35">
        <f>VLOOKUP(B872, Passenger_Kilometre_by_mode_type[#All],MATCH(A872, Passenger_Kilometre_by_mode_type[#Headers],0),0)</f>
        <v>2719981114.5358052</v>
      </c>
      <c r="F872" s="89">
        <f>VLOOKUP(C872, Reason_for_public_transport_journeys_by_percentage[#All],MATCH(A872, Reason_for_public_transport_journeys_by_percentage[#Headers],0),0)/100</f>
        <v>0.18625</v>
      </c>
      <c r="G872" s="13">
        <f t="shared" si="66"/>
        <v>506596482.58229375</v>
      </c>
      <c r="H872" s="89">
        <f>VLOOKUP(D872,Average_Distance_by_kilometre_grouping_for_mode_type[#All],MATCH(A872,Average_Distance_by_kilometre_grouping_for_mode_type[#Headers],0),0)</f>
        <v>35.22</v>
      </c>
      <c r="I872" s="89">
        <f>VLOOKUP(D872,Average_Distance_by_kilometres_grouping_for_trip_purpose[#All],MATCH(A872,Average_Distance_by_kilometres_grouping_for_trip_purpose[#Headers],0),0)</f>
        <v>38.15</v>
      </c>
      <c r="J872" s="89">
        <f t="shared" si="67"/>
        <v>36.685000000000002</v>
      </c>
      <c r="K872" s="89">
        <f t="shared" si="68"/>
        <v>0.69630824712916395</v>
      </c>
      <c r="L872" s="89">
        <v>1</v>
      </c>
      <c r="M872" s="13">
        <f t="shared" si="69"/>
        <v>352747308.78867698</v>
      </c>
      <c r="N872" s="11">
        <f t="shared" si="70"/>
        <v>6.2750604868323755E-3</v>
      </c>
    </row>
    <row r="873" spans="1:14" x14ac:dyDescent="0.25">
      <c r="A873" s="79" t="s">
        <v>33</v>
      </c>
      <c r="B873" s="89" t="s">
        <v>8</v>
      </c>
      <c r="C873" s="89" t="s">
        <v>45</v>
      </c>
      <c r="D873" s="13" t="s">
        <v>12</v>
      </c>
      <c r="E873" s="35">
        <f>VLOOKUP(B873, Passenger_Kilometre_by_mode_type[#All],MATCH(A873, Passenger_Kilometre_by_mode_type[#Headers],0),0)</f>
        <v>2719981114.5358052</v>
      </c>
      <c r="F873" s="89">
        <f>VLOOKUP(C873, Reason_for_public_transport_journeys_by_percentage[#All],MATCH(A873, Reason_for_public_transport_journeys_by_percentage[#Headers],0),0)/100</f>
        <v>1.7000000000000001E-2</v>
      </c>
      <c r="G873" s="13">
        <f t="shared" si="66"/>
        <v>46239678.947108693</v>
      </c>
      <c r="H873" s="89">
        <f>VLOOKUP(D873,Average_Distance_by_kilometre_grouping_for_mode_type[#All],MATCH(A873,Average_Distance_by_kilometre_grouping_for_mode_type[#Headers],0),0)</f>
        <v>1</v>
      </c>
      <c r="I873" s="89">
        <f>VLOOKUP(D873,Average_Distance_by_kilometres_grouping_for_trip_purpose[#All],MATCH(A873,Average_Distance_by_kilometres_grouping_for_trip_purpose[#Headers],0),0)</f>
        <v>1</v>
      </c>
      <c r="J873" s="89">
        <f t="shared" si="67"/>
        <v>1</v>
      </c>
      <c r="K873" s="89">
        <f t="shared" si="68"/>
        <v>1.8980734554427257E-2</v>
      </c>
      <c r="L873" s="89">
        <v>1</v>
      </c>
      <c r="M873" s="13">
        <f t="shared" si="69"/>
        <v>877663.07197700848</v>
      </c>
      <c r="N873" s="11">
        <f t="shared" si="70"/>
        <v>1.5612844454085399E-5</v>
      </c>
    </row>
    <row r="874" spans="1:14" x14ac:dyDescent="0.25">
      <c r="A874" s="79" t="s">
        <v>33</v>
      </c>
      <c r="B874" s="89" t="s">
        <v>8</v>
      </c>
      <c r="C874" s="89" t="s">
        <v>45</v>
      </c>
      <c r="D874" s="13" t="s">
        <v>181</v>
      </c>
      <c r="E874" s="35">
        <f>VLOOKUP(B874, Passenger_Kilometre_by_mode_type[#All],MATCH(A874, Passenger_Kilometre_by_mode_type[#Headers],0),0)</f>
        <v>2719981114.5358052</v>
      </c>
      <c r="F874" s="89">
        <f>VLOOKUP(C874, Reason_for_public_transport_journeys_by_percentage[#All],MATCH(A874, Reason_for_public_transport_journeys_by_percentage[#Headers],0),0)/100</f>
        <v>1.7000000000000001E-2</v>
      </c>
      <c r="G874" s="13">
        <f t="shared" si="66"/>
        <v>46239678.947108693</v>
      </c>
      <c r="H874" s="89">
        <f>VLOOKUP(D874,Average_Distance_by_kilometre_grouping_for_mode_type[#All],MATCH(A874,Average_Distance_by_kilometre_grouping_for_mode_type[#Headers],0),0)</f>
        <v>3</v>
      </c>
      <c r="I874" s="89">
        <f>VLOOKUP(D874,Average_Distance_by_kilometres_grouping_for_trip_purpose[#All],MATCH(A874,Average_Distance_by_kilometres_grouping_for_trip_purpose[#Headers],0),0)</f>
        <v>3</v>
      </c>
      <c r="J874" s="89">
        <f t="shared" si="67"/>
        <v>3</v>
      </c>
      <c r="K874" s="89">
        <f t="shared" si="68"/>
        <v>5.6942203663281767E-2</v>
      </c>
      <c r="L874" s="89">
        <v>1</v>
      </c>
      <c r="M874" s="13">
        <f t="shared" si="69"/>
        <v>2632989.2159310253</v>
      </c>
      <c r="N874" s="11">
        <f t="shared" si="70"/>
        <v>4.683853336225619E-5</v>
      </c>
    </row>
    <row r="875" spans="1:14" x14ac:dyDescent="0.25">
      <c r="A875" s="79" t="s">
        <v>33</v>
      </c>
      <c r="B875" s="89" t="s">
        <v>8</v>
      </c>
      <c r="C875" s="89" t="s">
        <v>45</v>
      </c>
      <c r="D875" s="13" t="s">
        <v>180</v>
      </c>
      <c r="E875" s="35">
        <f>VLOOKUP(B875, Passenger_Kilometre_by_mode_type[#All],MATCH(A875, Passenger_Kilometre_by_mode_type[#Headers],0),0)</f>
        <v>2719981114.5358052</v>
      </c>
      <c r="F875" s="89">
        <f>VLOOKUP(C875, Reason_for_public_transport_journeys_by_percentage[#All],MATCH(A875, Reason_for_public_transport_journeys_by_percentage[#Headers],0),0)/100</f>
        <v>1.7000000000000001E-2</v>
      </c>
      <c r="G875" s="13">
        <f t="shared" si="66"/>
        <v>46239678.947108693</v>
      </c>
      <c r="H875" s="89">
        <f>VLOOKUP(D875,Average_Distance_by_kilometre_grouping_for_mode_type[#All],MATCH(A875,Average_Distance_by_kilometre_grouping_for_mode_type[#Headers],0),0)</f>
        <v>5</v>
      </c>
      <c r="I875" s="89">
        <f>VLOOKUP(D875,Average_Distance_by_kilometres_grouping_for_trip_purpose[#All],MATCH(A875,Average_Distance_by_kilometres_grouping_for_trip_purpose[#Headers],0),0)</f>
        <v>5</v>
      </c>
      <c r="J875" s="89">
        <f t="shared" si="67"/>
        <v>5</v>
      </c>
      <c r="K875" s="89">
        <f t="shared" si="68"/>
        <v>9.490367277213628E-2</v>
      </c>
      <c r="L875" s="89">
        <v>1</v>
      </c>
      <c r="M875" s="13">
        <f t="shared" si="69"/>
        <v>4388315.3598850425</v>
      </c>
      <c r="N875" s="11">
        <f t="shared" si="70"/>
        <v>7.8064222270426989E-5</v>
      </c>
    </row>
    <row r="876" spans="1:14" x14ac:dyDescent="0.25">
      <c r="A876" s="79" t="s">
        <v>33</v>
      </c>
      <c r="B876" s="89" t="s">
        <v>8</v>
      </c>
      <c r="C876" s="89" t="s">
        <v>45</v>
      </c>
      <c r="D876" s="13" t="s">
        <v>182</v>
      </c>
      <c r="E876" s="35">
        <f>VLOOKUP(B876, Passenger_Kilometre_by_mode_type[#All],MATCH(A876, Passenger_Kilometre_by_mode_type[#Headers],0),0)</f>
        <v>2719981114.5358052</v>
      </c>
      <c r="F876" s="89">
        <f>VLOOKUP(C876, Reason_for_public_transport_journeys_by_percentage[#All],MATCH(A876, Reason_for_public_transport_journeys_by_percentage[#Headers],0),0)/100</f>
        <v>1.7000000000000001E-2</v>
      </c>
      <c r="G876" s="13">
        <f t="shared" si="66"/>
        <v>46239678.947108693</v>
      </c>
      <c r="H876" s="89">
        <f>VLOOKUP(D876,Average_Distance_by_kilometre_grouping_for_mode_type[#All],MATCH(A876,Average_Distance_by_kilometre_grouping_for_mode_type[#Headers],0),0)</f>
        <v>7</v>
      </c>
      <c r="I876" s="89">
        <f>VLOOKUP(D876,Average_Distance_by_kilometres_grouping_for_trip_purpose[#All],MATCH(A876,Average_Distance_by_kilometres_grouping_for_trip_purpose[#Headers],0),0)</f>
        <v>7</v>
      </c>
      <c r="J876" s="89">
        <f t="shared" si="67"/>
        <v>7</v>
      </c>
      <c r="K876" s="89">
        <f t="shared" si="68"/>
        <v>0.1328651418809908</v>
      </c>
      <c r="L876" s="89">
        <v>1</v>
      </c>
      <c r="M876" s="13">
        <f t="shared" si="69"/>
        <v>6143641.5038390597</v>
      </c>
      <c r="N876" s="11">
        <f t="shared" si="70"/>
        <v>1.0928991117859779E-4</v>
      </c>
    </row>
    <row r="877" spans="1:14" x14ac:dyDescent="0.25">
      <c r="A877" s="79" t="s">
        <v>33</v>
      </c>
      <c r="B877" s="89" t="s">
        <v>8</v>
      </c>
      <c r="C877" s="89" t="s">
        <v>45</v>
      </c>
      <c r="D877" s="13" t="s">
        <v>1</v>
      </c>
      <c r="E877" s="35">
        <f>VLOOKUP(B877, Passenger_Kilometre_by_mode_type[#All],MATCH(A877, Passenger_Kilometre_by_mode_type[#Headers],0),0)</f>
        <v>2719981114.5358052</v>
      </c>
      <c r="F877" s="89">
        <f>VLOOKUP(C877, Reason_for_public_transport_journeys_by_percentage[#All],MATCH(A877, Reason_for_public_transport_journeys_by_percentage[#Headers],0),0)/100</f>
        <v>1.7000000000000001E-2</v>
      </c>
      <c r="G877" s="13">
        <f t="shared" si="66"/>
        <v>46239678.947108693</v>
      </c>
      <c r="H877" s="89">
        <f>VLOOKUP(D877,Average_Distance_by_kilometre_grouping_for_mode_type[#All],MATCH(A877,Average_Distance_by_kilometre_grouping_for_mode_type[#Headers],0),0)</f>
        <v>35.22</v>
      </c>
      <c r="I877" s="89">
        <f>VLOOKUP(D877,Average_Distance_by_kilometres_grouping_for_trip_purpose[#All],MATCH(A877,Average_Distance_by_kilometres_grouping_for_trip_purpose[#Headers],0),0)</f>
        <v>38.15</v>
      </c>
      <c r="J877" s="89">
        <f t="shared" si="67"/>
        <v>36.685000000000002</v>
      </c>
      <c r="K877" s="89">
        <f t="shared" si="68"/>
        <v>0.69630824712916395</v>
      </c>
      <c r="L877" s="89">
        <v>1</v>
      </c>
      <c r="M877" s="13">
        <f t="shared" si="69"/>
        <v>32197069.79547656</v>
      </c>
      <c r="N877" s="11">
        <f t="shared" si="70"/>
        <v>5.7275719879812284E-4</v>
      </c>
    </row>
    <row r="878" spans="1:14" x14ac:dyDescent="0.25">
      <c r="A878" s="79" t="s">
        <v>33</v>
      </c>
      <c r="B878" s="89" t="s">
        <v>8</v>
      </c>
      <c r="C878" s="89" t="s">
        <v>56</v>
      </c>
      <c r="D878" s="13" t="s">
        <v>12</v>
      </c>
      <c r="E878" s="35">
        <f>VLOOKUP(B878, Passenger_Kilometre_by_mode_type[#All],MATCH(A878, Passenger_Kilometre_by_mode_type[#Headers],0),0)</f>
        <v>2719981114.5358052</v>
      </c>
      <c r="F878" s="89">
        <f>VLOOKUP(C878, Reason_for_public_transport_journeys_by_percentage[#All],MATCH(A878, Reason_for_public_transport_journeys_by_percentage[#Headers],0),0)/100</f>
        <v>0.10375000000000002</v>
      </c>
      <c r="G878" s="13">
        <f t="shared" si="66"/>
        <v>282198040.63308984</v>
      </c>
      <c r="H878" s="89">
        <f>VLOOKUP(D878,Average_Distance_by_kilometre_grouping_for_mode_type[#All],MATCH(A878,Average_Distance_by_kilometre_grouping_for_mode_type[#Headers],0),0)</f>
        <v>1</v>
      </c>
      <c r="I878" s="89">
        <f>VLOOKUP(D878,Average_Distance_by_kilometres_grouping_for_trip_purpose[#All],MATCH(A878,Average_Distance_by_kilometres_grouping_for_trip_purpose[#Headers],0),0)</f>
        <v>1</v>
      </c>
      <c r="J878" s="89">
        <f t="shared" si="67"/>
        <v>1</v>
      </c>
      <c r="K878" s="89">
        <f t="shared" si="68"/>
        <v>1.8980734554427257E-2</v>
      </c>
      <c r="L878" s="89">
        <v>1</v>
      </c>
      <c r="M878" s="13">
        <f t="shared" si="69"/>
        <v>5356326.1010361556</v>
      </c>
      <c r="N878" s="11">
        <f t="shared" si="70"/>
        <v>9.5284271300668255E-5</v>
      </c>
    </row>
    <row r="879" spans="1:14" x14ac:dyDescent="0.25">
      <c r="A879" s="79" t="s">
        <v>33</v>
      </c>
      <c r="B879" s="89" t="s">
        <v>8</v>
      </c>
      <c r="C879" s="89" t="s">
        <v>56</v>
      </c>
      <c r="D879" s="13" t="s">
        <v>181</v>
      </c>
      <c r="E879" s="35">
        <f>VLOOKUP(B879, Passenger_Kilometre_by_mode_type[#All],MATCH(A879, Passenger_Kilometre_by_mode_type[#Headers],0),0)</f>
        <v>2719981114.5358052</v>
      </c>
      <c r="F879" s="89">
        <f>VLOOKUP(C879, Reason_for_public_transport_journeys_by_percentage[#All],MATCH(A879, Reason_for_public_transport_journeys_by_percentage[#Headers],0),0)/100</f>
        <v>0.10375000000000002</v>
      </c>
      <c r="G879" s="13">
        <f t="shared" si="66"/>
        <v>282198040.63308984</v>
      </c>
      <c r="H879" s="89">
        <f>VLOOKUP(D879,Average_Distance_by_kilometre_grouping_for_mode_type[#All],MATCH(A879,Average_Distance_by_kilometre_grouping_for_mode_type[#Headers],0),0)</f>
        <v>3</v>
      </c>
      <c r="I879" s="89">
        <f>VLOOKUP(D879,Average_Distance_by_kilometres_grouping_for_trip_purpose[#All],MATCH(A879,Average_Distance_by_kilometres_grouping_for_trip_purpose[#Headers],0),0)</f>
        <v>3</v>
      </c>
      <c r="J879" s="89">
        <f t="shared" si="67"/>
        <v>3</v>
      </c>
      <c r="K879" s="89">
        <f t="shared" si="68"/>
        <v>5.6942203663281767E-2</v>
      </c>
      <c r="L879" s="89">
        <v>1</v>
      </c>
      <c r="M879" s="13">
        <f t="shared" si="69"/>
        <v>16068978.303108465</v>
      </c>
      <c r="N879" s="11">
        <f t="shared" si="70"/>
        <v>2.8585281390200473E-4</v>
      </c>
    </row>
    <row r="880" spans="1:14" x14ac:dyDescent="0.25">
      <c r="A880" s="79" t="s">
        <v>33</v>
      </c>
      <c r="B880" s="89" t="s">
        <v>8</v>
      </c>
      <c r="C880" s="89" t="s">
        <v>56</v>
      </c>
      <c r="D880" s="13" t="s">
        <v>180</v>
      </c>
      <c r="E880" s="35">
        <f>VLOOKUP(B880, Passenger_Kilometre_by_mode_type[#All],MATCH(A880, Passenger_Kilometre_by_mode_type[#Headers],0),0)</f>
        <v>2719981114.5358052</v>
      </c>
      <c r="F880" s="89">
        <f>VLOOKUP(C880, Reason_for_public_transport_journeys_by_percentage[#All],MATCH(A880, Reason_for_public_transport_journeys_by_percentage[#Headers],0),0)/100</f>
        <v>0.10375000000000002</v>
      </c>
      <c r="G880" s="13">
        <f t="shared" si="66"/>
        <v>282198040.63308984</v>
      </c>
      <c r="H880" s="89">
        <f>VLOOKUP(D880,Average_Distance_by_kilometre_grouping_for_mode_type[#All],MATCH(A880,Average_Distance_by_kilometre_grouping_for_mode_type[#Headers],0),0)</f>
        <v>5</v>
      </c>
      <c r="I880" s="89">
        <f>VLOOKUP(D880,Average_Distance_by_kilometres_grouping_for_trip_purpose[#All],MATCH(A880,Average_Distance_by_kilometres_grouping_for_trip_purpose[#Headers],0),0)</f>
        <v>5</v>
      </c>
      <c r="J880" s="89">
        <f t="shared" si="67"/>
        <v>5</v>
      </c>
      <c r="K880" s="89">
        <f t="shared" si="68"/>
        <v>9.490367277213628E-2</v>
      </c>
      <c r="L880" s="89">
        <v>1</v>
      </c>
      <c r="M880" s="13">
        <f t="shared" si="69"/>
        <v>26781630.505180776</v>
      </c>
      <c r="N880" s="11">
        <f t="shared" si="70"/>
        <v>4.7642135650334121E-4</v>
      </c>
    </row>
    <row r="881" spans="1:14" x14ac:dyDescent="0.25">
      <c r="A881" s="79" t="s">
        <v>33</v>
      </c>
      <c r="B881" s="89" t="s">
        <v>8</v>
      </c>
      <c r="C881" s="89" t="s">
        <v>56</v>
      </c>
      <c r="D881" s="13" t="s">
        <v>182</v>
      </c>
      <c r="E881" s="35">
        <f>VLOOKUP(B881, Passenger_Kilometre_by_mode_type[#All],MATCH(A881, Passenger_Kilometre_by_mode_type[#Headers],0),0)</f>
        <v>2719981114.5358052</v>
      </c>
      <c r="F881" s="89">
        <f>VLOOKUP(C881, Reason_for_public_transport_journeys_by_percentage[#All],MATCH(A881, Reason_for_public_transport_journeys_by_percentage[#Headers],0),0)/100</f>
        <v>0.10375000000000002</v>
      </c>
      <c r="G881" s="13">
        <f t="shared" si="66"/>
        <v>282198040.63308984</v>
      </c>
      <c r="H881" s="89">
        <f>VLOOKUP(D881,Average_Distance_by_kilometre_grouping_for_mode_type[#All],MATCH(A881,Average_Distance_by_kilometre_grouping_for_mode_type[#Headers],0),0)</f>
        <v>7</v>
      </c>
      <c r="I881" s="89">
        <f>VLOOKUP(D881,Average_Distance_by_kilometres_grouping_for_trip_purpose[#All],MATCH(A881,Average_Distance_by_kilometres_grouping_for_trip_purpose[#Headers],0),0)</f>
        <v>7</v>
      </c>
      <c r="J881" s="89">
        <f t="shared" si="67"/>
        <v>7</v>
      </c>
      <c r="K881" s="89">
        <f t="shared" si="68"/>
        <v>0.1328651418809908</v>
      </c>
      <c r="L881" s="89">
        <v>1</v>
      </c>
      <c r="M881" s="13">
        <f t="shared" si="69"/>
        <v>37494282.707253091</v>
      </c>
      <c r="N881" s="11">
        <f t="shared" si="70"/>
        <v>6.6698989910467786E-4</v>
      </c>
    </row>
    <row r="882" spans="1:14" x14ac:dyDescent="0.25">
      <c r="A882" s="79" t="s">
        <v>33</v>
      </c>
      <c r="B882" s="89" t="s">
        <v>8</v>
      </c>
      <c r="C882" s="89" t="s">
        <v>56</v>
      </c>
      <c r="D882" s="13" t="s">
        <v>1</v>
      </c>
      <c r="E882" s="35">
        <f>VLOOKUP(B882, Passenger_Kilometre_by_mode_type[#All],MATCH(A882, Passenger_Kilometre_by_mode_type[#Headers],0),0)</f>
        <v>2719981114.5358052</v>
      </c>
      <c r="F882" s="89">
        <f>VLOOKUP(C882, Reason_for_public_transport_journeys_by_percentage[#All],MATCH(A882, Reason_for_public_transport_journeys_by_percentage[#Headers],0),0)/100</f>
        <v>0.10375000000000002</v>
      </c>
      <c r="G882" s="13">
        <f t="shared" si="66"/>
        <v>282198040.63308984</v>
      </c>
      <c r="H882" s="89">
        <f>VLOOKUP(D882,Average_Distance_by_kilometre_grouping_for_mode_type[#All],MATCH(A882,Average_Distance_by_kilometre_grouping_for_mode_type[#Headers],0),0)</f>
        <v>35.22</v>
      </c>
      <c r="I882" s="89">
        <f>VLOOKUP(D882,Average_Distance_by_kilometres_grouping_for_trip_purpose[#All],MATCH(A882,Average_Distance_by_kilometres_grouping_for_trip_purpose[#Headers],0),0)</f>
        <v>38.15</v>
      </c>
      <c r="J882" s="89">
        <f t="shared" si="67"/>
        <v>36.685000000000002</v>
      </c>
      <c r="K882" s="89">
        <f t="shared" si="68"/>
        <v>0.69630824712916395</v>
      </c>
      <c r="L882" s="89">
        <v>1</v>
      </c>
      <c r="M882" s="13">
        <f t="shared" si="69"/>
        <v>196496823.01651138</v>
      </c>
      <c r="N882" s="11">
        <f t="shared" si="70"/>
        <v>3.4955034926650152E-3</v>
      </c>
    </row>
    <row r="883" spans="1:14" x14ac:dyDescent="0.25">
      <c r="A883" s="79" t="s">
        <v>33</v>
      </c>
      <c r="B883" s="89" t="s">
        <v>8</v>
      </c>
      <c r="C883" s="89" t="s">
        <v>57</v>
      </c>
      <c r="D883" s="13" t="s">
        <v>12</v>
      </c>
      <c r="E883" s="35">
        <f>VLOOKUP(B883, Passenger_Kilometre_by_mode_type[#All],MATCH(A883, Passenger_Kilometre_by_mode_type[#Headers],0),0)</f>
        <v>2719981114.5358052</v>
      </c>
      <c r="F883" s="89">
        <f>VLOOKUP(C883, Reason_for_public_transport_journeys_by_percentage[#All],MATCH(A883, Reason_for_public_transport_journeys_by_percentage[#Headers],0),0)/100</f>
        <v>7.0250000000000007E-2</v>
      </c>
      <c r="G883" s="13">
        <f t="shared" si="66"/>
        <v>191078673.29614034</v>
      </c>
      <c r="H883" s="89">
        <f>VLOOKUP(D883,Average_Distance_by_kilometre_grouping_for_mode_type[#All],MATCH(A883,Average_Distance_by_kilometre_grouping_for_mode_type[#Headers],0),0)</f>
        <v>1</v>
      </c>
      <c r="I883" s="89">
        <f>VLOOKUP(D883,Average_Distance_by_kilometres_grouping_for_trip_purpose[#All],MATCH(A883,Average_Distance_by_kilometres_grouping_for_trip_purpose[#Headers],0),0)</f>
        <v>1</v>
      </c>
      <c r="J883" s="89">
        <f t="shared" si="67"/>
        <v>1</v>
      </c>
      <c r="K883" s="89">
        <f t="shared" si="68"/>
        <v>1.8980734554427257E-2</v>
      </c>
      <c r="L883" s="89">
        <v>1</v>
      </c>
      <c r="M883" s="13">
        <f t="shared" si="69"/>
        <v>3626813.5768461679</v>
      </c>
      <c r="N883" s="11">
        <f t="shared" si="70"/>
        <v>6.4517783699970553E-5</v>
      </c>
    </row>
    <row r="884" spans="1:14" x14ac:dyDescent="0.25">
      <c r="A884" s="79" t="s">
        <v>33</v>
      </c>
      <c r="B884" s="89" t="s">
        <v>8</v>
      </c>
      <c r="C884" s="89" t="s">
        <v>57</v>
      </c>
      <c r="D884" s="13" t="s">
        <v>181</v>
      </c>
      <c r="E884" s="35">
        <f>VLOOKUP(B884, Passenger_Kilometre_by_mode_type[#All],MATCH(A884, Passenger_Kilometre_by_mode_type[#Headers],0),0)</f>
        <v>2719981114.5358052</v>
      </c>
      <c r="F884" s="89">
        <f>VLOOKUP(C884, Reason_for_public_transport_journeys_by_percentage[#All],MATCH(A884, Reason_for_public_transport_journeys_by_percentage[#Headers],0),0)/100</f>
        <v>7.0250000000000007E-2</v>
      </c>
      <c r="G884" s="13">
        <f t="shared" si="66"/>
        <v>191078673.29614034</v>
      </c>
      <c r="H884" s="89">
        <f>VLOOKUP(D884,Average_Distance_by_kilometre_grouping_for_mode_type[#All],MATCH(A884,Average_Distance_by_kilometre_grouping_for_mode_type[#Headers],0),0)</f>
        <v>3</v>
      </c>
      <c r="I884" s="89">
        <f>VLOOKUP(D884,Average_Distance_by_kilometres_grouping_for_trip_purpose[#All],MATCH(A884,Average_Distance_by_kilometres_grouping_for_trip_purpose[#Headers],0),0)</f>
        <v>3</v>
      </c>
      <c r="J884" s="89">
        <f t="shared" si="67"/>
        <v>3</v>
      </c>
      <c r="K884" s="89">
        <f t="shared" si="68"/>
        <v>5.6942203663281767E-2</v>
      </c>
      <c r="L884" s="89">
        <v>1</v>
      </c>
      <c r="M884" s="13">
        <f t="shared" si="69"/>
        <v>10880440.730538502</v>
      </c>
      <c r="N884" s="11">
        <f t="shared" si="70"/>
        <v>1.9355335109991163E-4</v>
      </c>
    </row>
    <row r="885" spans="1:14" x14ac:dyDescent="0.25">
      <c r="A885" s="79" t="s">
        <v>33</v>
      </c>
      <c r="B885" s="89" t="s">
        <v>8</v>
      </c>
      <c r="C885" s="89" t="s">
        <v>57</v>
      </c>
      <c r="D885" s="13" t="s">
        <v>180</v>
      </c>
      <c r="E885" s="35">
        <f>VLOOKUP(B885, Passenger_Kilometre_by_mode_type[#All],MATCH(A885, Passenger_Kilometre_by_mode_type[#Headers],0),0)</f>
        <v>2719981114.5358052</v>
      </c>
      <c r="F885" s="89">
        <f>VLOOKUP(C885, Reason_for_public_transport_journeys_by_percentage[#All],MATCH(A885, Reason_for_public_transport_journeys_by_percentage[#Headers],0),0)/100</f>
        <v>7.0250000000000007E-2</v>
      </c>
      <c r="G885" s="13">
        <f t="shared" si="66"/>
        <v>191078673.29614034</v>
      </c>
      <c r="H885" s="89">
        <f>VLOOKUP(D885,Average_Distance_by_kilometre_grouping_for_mode_type[#All],MATCH(A885,Average_Distance_by_kilometre_grouping_for_mode_type[#Headers],0),0)</f>
        <v>5</v>
      </c>
      <c r="I885" s="89">
        <f>VLOOKUP(D885,Average_Distance_by_kilometres_grouping_for_trip_purpose[#All],MATCH(A885,Average_Distance_by_kilometres_grouping_for_trip_purpose[#Headers],0),0)</f>
        <v>5</v>
      </c>
      <c r="J885" s="89">
        <f t="shared" si="67"/>
        <v>5</v>
      </c>
      <c r="K885" s="89">
        <f t="shared" si="68"/>
        <v>9.490367277213628E-2</v>
      </c>
      <c r="L885" s="89">
        <v>1</v>
      </c>
      <c r="M885" s="13">
        <f t="shared" si="69"/>
        <v>18134067.884230837</v>
      </c>
      <c r="N885" s="11">
        <f t="shared" si="70"/>
        <v>3.2258891849985274E-4</v>
      </c>
    </row>
    <row r="886" spans="1:14" x14ac:dyDescent="0.25">
      <c r="A886" s="79" t="s">
        <v>33</v>
      </c>
      <c r="B886" s="89" t="s">
        <v>8</v>
      </c>
      <c r="C886" s="89" t="s">
        <v>57</v>
      </c>
      <c r="D886" s="13" t="s">
        <v>182</v>
      </c>
      <c r="E886" s="35">
        <f>VLOOKUP(B886, Passenger_Kilometre_by_mode_type[#All],MATCH(A886, Passenger_Kilometre_by_mode_type[#Headers],0),0)</f>
        <v>2719981114.5358052</v>
      </c>
      <c r="F886" s="89">
        <f>VLOOKUP(C886, Reason_for_public_transport_journeys_by_percentage[#All],MATCH(A886, Reason_for_public_transport_journeys_by_percentage[#Headers],0),0)/100</f>
        <v>7.0250000000000007E-2</v>
      </c>
      <c r="G886" s="13">
        <f t="shared" si="66"/>
        <v>191078673.29614034</v>
      </c>
      <c r="H886" s="89">
        <f>VLOOKUP(D886,Average_Distance_by_kilometre_grouping_for_mode_type[#All],MATCH(A886,Average_Distance_by_kilometre_grouping_for_mode_type[#Headers],0),0)</f>
        <v>7</v>
      </c>
      <c r="I886" s="89">
        <f>VLOOKUP(D886,Average_Distance_by_kilometres_grouping_for_trip_purpose[#All],MATCH(A886,Average_Distance_by_kilometres_grouping_for_trip_purpose[#Headers],0),0)</f>
        <v>7</v>
      </c>
      <c r="J886" s="89">
        <f t="shared" si="67"/>
        <v>7</v>
      </c>
      <c r="K886" s="89">
        <f t="shared" si="68"/>
        <v>0.1328651418809908</v>
      </c>
      <c r="L886" s="89">
        <v>1</v>
      </c>
      <c r="M886" s="13">
        <f t="shared" si="69"/>
        <v>25387695.037923176</v>
      </c>
      <c r="N886" s="11">
        <f t="shared" si="70"/>
        <v>4.5162448589979384E-4</v>
      </c>
    </row>
    <row r="887" spans="1:14" x14ac:dyDescent="0.25">
      <c r="A887" s="79" t="s">
        <v>33</v>
      </c>
      <c r="B887" s="89" t="s">
        <v>8</v>
      </c>
      <c r="C887" s="89" t="s">
        <v>57</v>
      </c>
      <c r="D887" s="13" t="s">
        <v>1</v>
      </c>
      <c r="E887" s="35">
        <f>VLOOKUP(B887, Passenger_Kilometre_by_mode_type[#All],MATCH(A887, Passenger_Kilometre_by_mode_type[#Headers],0),0)</f>
        <v>2719981114.5358052</v>
      </c>
      <c r="F887" s="89">
        <f>VLOOKUP(C887, Reason_for_public_transport_journeys_by_percentage[#All],MATCH(A887, Reason_for_public_transport_journeys_by_percentage[#Headers],0),0)/100</f>
        <v>7.0250000000000007E-2</v>
      </c>
      <c r="G887" s="13">
        <f t="shared" si="66"/>
        <v>191078673.29614034</v>
      </c>
      <c r="H887" s="89">
        <f>VLOOKUP(D887,Average_Distance_by_kilometre_grouping_for_mode_type[#All],MATCH(A887,Average_Distance_by_kilometre_grouping_for_mode_type[#Headers],0),0)</f>
        <v>35.22</v>
      </c>
      <c r="I887" s="89">
        <f>VLOOKUP(D887,Average_Distance_by_kilometres_grouping_for_trip_purpose[#All],MATCH(A887,Average_Distance_by_kilometres_grouping_for_trip_purpose[#Headers],0),0)</f>
        <v>38.15</v>
      </c>
      <c r="J887" s="89">
        <f t="shared" si="67"/>
        <v>36.685000000000002</v>
      </c>
      <c r="K887" s="89">
        <f t="shared" si="68"/>
        <v>0.69630824712916395</v>
      </c>
      <c r="L887" s="89">
        <v>1</v>
      </c>
      <c r="M887" s="13">
        <f t="shared" si="69"/>
        <v>133049656.06660166</v>
      </c>
      <c r="N887" s="11">
        <f t="shared" si="70"/>
        <v>2.3668348950334197E-3</v>
      </c>
    </row>
    <row r="888" spans="1:14" x14ac:dyDescent="0.25">
      <c r="A888" s="79" t="s">
        <v>33</v>
      </c>
      <c r="B888" s="89" t="s">
        <v>8</v>
      </c>
      <c r="C888" s="89" t="s">
        <v>93</v>
      </c>
      <c r="D888" s="13" t="s">
        <v>12</v>
      </c>
      <c r="E888" s="35">
        <f>VLOOKUP(B888, Passenger_Kilometre_by_mode_type[#All],MATCH(A888, Passenger_Kilometre_by_mode_type[#Headers],0),0)</f>
        <v>2719981114.5358052</v>
      </c>
      <c r="F888" s="89">
        <f>VLOOKUP(C888, Reason_for_public_transport_journeys_by_percentage[#All],MATCH(A888, Reason_for_public_transport_journeys_by_percentage[#Headers],0),0)/100</f>
        <v>9.6374999999999988E-2</v>
      </c>
      <c r="G888" s="13">
        <f t="shared" si="66"/>
        <v>262138179.91338819</v>
      </c>
      <c r="H888" s="89">
        <f>VLOOKUP(D888,Average_Distance_by_kilometre_grouping_for_mode_type[#All],MATCH(A888,Average_Distance_by_kilometre_grouping_for_mode_type[#Headers],0),0)</f>
        <v>1</v>
      </c>
      <c r="I888" s="89">
        <f>VLOOKUP(D888,Average_Distance_by_kilometres_grouping_for_trip_purpose[#All],MATCH(A888,Average_Distance_by_kilometres_grouping_for_trip_purpose[#Headers],0),0)</f>
        <v>1</v>
      </c>
      <c r="J888" s="89">
        <f t="shared" si="67"/>
        <v>1</v>
      </c>
      <c r="K888" s="89">
        <f t="shared" si="68"/>
        <v>1.8980734554427257E-2</v>
      </c>
      <c r="L888" s="89">
        <v>1</v>
      </c>
      <c r="M888" s="13">
        <f t="shared" si="69"/>
        <v>4975575.2095167162</v>
      </c>
      <c r="N888" s="11">
        <f t="shared" si="70"/>
        <v>8.851105201543999E-5</v>
      </c>
    </row>
    <row r="889" spans="1:14" x14ac:dyDescent="0.25">
      <c r="A889" s="79" t="s">
        <v>33</v>
      </c>
      <c r="B889" s="89" t="s">
        <v>8</v>
      </c>
      <c r="C889" s="89" t="s">
        <v>93</v>
      </c>
      <c r="D889" s="13" t="s">
        <v>181</v>
      </c>
      <c r="E889" s="35">
        <f>VLOOKUP(B889, Passenger_Kilometre_by_mode_type[#All],MATCH(A889, Passenger_Kilometre_by_mode_type[#Headers],0),0)</f>
        <v>2719981114.5358052</v>
      </c>
      <c r="F889" s="89">
        <f>VLOOKUP(C889, Reason_for_public_transport_journeys_by_percentage[#All],MATCH(A889, Reason_for_public_transport_journeys_by_percentage[#Headers],0),0)/100</f>
        <v>9.6374999999999988E-2</v>
      </c>
      <c r="G889" s="13">
        <f t="shared" si="66"/>
        <v>262138179.91338819</v>
      </c>
      <c r="H889" s="89">
        <f>VLOOKUP(D889,Average_Distance_by_kilometre_grouping_for_mode_type[#All],MATCH(A889,Average_Distance_by_kilometre_grouping_for_mode_type[#Headers],0),0)</f>
        <v>3</v>
      </c>
      <c r="I889" s="89">
        <f>VLOOKUP(D889,Average_Distance_by_kilometres_grouping_for_trip_purpose[#All],MATCH(A889,Average_Distance_by_kilometres_grouping_for_trip_purpose[#Headers],0),0)</f>
        <v>3</v>
      </c>
      <c r="J889" s="89">
        <f t="shared" si="67"/>
        <v>3</v>
      </c>
      <c r="K889" s="89">
        <f t="shared" si="68"/>
        <v>5.6942203663281767E-2</v>
      </c>
      <c r="L889" s="89">
        <v>1</v>
      </c>
      <c r="M889" s="13">
        <f t="shared" si="69"/>
        <v>14926725.628550148</v>
      </c>
      <c r="N889" s="11">
        <f t="shared" si="70"/>
        <v>2.6553315604631994E-4</v>
      </c>
    </row>
    <row r="890" spans="1:14" x14ac:dyDescent="0.25">
      <c r="A890" s="79" t="s">
        <v>33</v>
      </c>
      <c r="B890" s="89" t="s">
        <v>8</v>
      </c>
      <c r="C890" s="89" t="s">
        <v>93</v>
      </c>
      <c r="D890" s="13" t="s">
        <v>180</v>
      </c>
      <c r="E890" s="35">
        <f>VLOOKUP(B890, Passenger_Kilometre_by_mode_type[#All],MATCH(A890, Passenger_Kilometre_by_mode_type[#Headers],0),0)</f>
        <v>2719981114.5358052</v>
      </c>
      <c r="F890" s="89">
        <f>VLOOKUP(C890, Reason_for_public_transport_journeys_by_percentage[#All],MATCH(A890, Reason_for_public_transport_journeys_by_percentage[#Headers],0),0)/100</f>
        <v>9.6374999999999988E-2</v>
      </c>
      <c r="G890" s="13">
        <f t="shared" si="66"/>
        <v>262138179.91338819</v>
      </c>
      <c r="H890" s="89">
        <f>VLOOKUP(D890,Average_Distance_by_kilometre_grouping_for_mode_type[#All],MATCH(A890,Average_Distance_by_kilometre_grouping_for_mode_type[#Headers],0),0)</f>
        <v>5</v>
      </c>
      <c r="I890" s="89">
        <f>VLOOKUP(D890,Average_Distance_by_kilometres_grouping_for_trip_purpose[#All],MATCH(A890,Average_Distance_by_kilometres_grouping_for_trip_purpose[#Headers],0),0)</f>
        <v>5</v>
      </c>
      <c r="J890" s="89">
        <f t="shared" si="67"/>
        <v>5</v>
      </c>
      <c r="K890" s="89">
        <f t="shared" si="68"/>
        <v>9.490367277213628E-2</v>
      </c>
      <c r="L890" s="89">
        <v>1</v>
      </c>
      <c r="M890" s="13">
        <f t="shared" si="69"/>
        <v>24877876.04758358</v>
      </c>
      <c r="N890" s="11">
        <f t="shared" si="70"/>
        <v>4.4255526007719998E-4</v>
      </c>
    </row>
    <row r="891" spans="1:14" x14ac:dyDescent="0.25">
      <c r="A891" s="79" t="s">
        <v>33</v>
      </c>
      <c r="B891" s="89" t="s">
        <v>8</v>
      </c>
      <c r="C891" s="89" t="s">
        <v>93</v>
      </c>
      <c r="D891" s="13" t="s">
        <v>182</v>
      </c>
      <c r="E891" s="35">
        <f>VLOOKUP(B891, Passenger_Kilometre_by_mode_type[#All],MATCH(A891, Passenger_Kilometre_by_mode_type[#Headers],0),0)</f>
        <v>2719981114.5358052</v>
      </c>
      <c r="F891" s="89">
        <f>VLOOKUP(C891, Reason_for_public_transport_journeys_by_percentage[#All],MATCH(A891, Reason_for_public_transport_journeys_by_percentage[#Headers],0),0)/100</f>
        <v>9.6374999999999988E-2</v>
      </c>
      <c r="G891" s="13">
        <f t="shared" si="66"/>
        <v>262138179.91338819</v>
      </c>
      <c r="H891" s="89">
        <f>VLOOKUP(D891,Average_Distance_by_kilometre_grouping_for_mode_type[#All],MATCH(A891,Average_Distance_by_kilometre_grouping_for_mode_type[#Headers],0),0)</f>
        <v>7</v>
      </c>
      <c r="I891" s="89">
        <f>VLOOKUP(D891,Average_Distance_by_kilometres_grouping_for_trip_purpose[#All],MATCH(A891,Average_Distance_by_kilometres_grouping_for_trip_purpose[#Headers],0),0)</f>
        <v>7</v>
      </c>
      <c r="J891" s="89">
        <f t="shared" si="67"/>
        <v>7</v>
      </c>
      <c r="K891" s="89">
        <f t="shared" si="68"/>
        <v>0.1328651418809908</v>
      </c>
      <c r="L891" s="89">
        <v>1</v>
      </c>
      <c r="M891" s="13">
        <f t="shared" si="69"/>
        <v>34829026.466617018</v>
      </c>
      <c r="N891" s="11">
        <f t="shared" si="70"/>
        <v>6.1957736410808001E-4</v>
      </c>
    </row>
    <row r="892" spans="1:14" x14ac:dyDescent="0.25">
      <c r="A892" s="79" t="s">
        <v>33</v>
      </c>
      <c r="B892" s="89" t="s">
        <v>8</v>
      </c>
      <c r="C892" s="89" t="s">
        <v>93</v>
      </c>
      <c r="D892" s="13" t="s">
        <v>1</v>
      </c>
      <c r="E892" s="35">
        <f>VLOOKUP(B892, Passenger_Kilometre_by_mode_type[#All],MATCH(A892, Passenger_Kilometre_by_mode_type[#Headers],0),0)</f>
        <v>2719981114.5358052</v>
      </c>
      <c r="F892" s="89">
        <f>VLOOKUP(C892, Reason_for_public_transport_journeys_by_percentage[#All],MATCH(A892, Reason_for_public_transport_journeys_by_percentage[#Headers],0),0)/100</f>
        <v>9.6374999999999988E-2</v>
      </c>
      <c r="G892" s="13">
        <f t="shared" si="66"/>
        <v>262138179.91338819</v>
      </c>
      <c r="H892" s="89">
        <f>VLOOKUP(D892,Average_Distance_by_kilometre_grouping_for_mode_type[#All],MATCH(A892,Average_Distance_by_kilometre_grouping_for_mode_type[#Headers],0),0)</f>
        <v>35.22</v>
      </c>
      <c r="I892" s="89">
        <f>VLOOKUP(D892,Average_Distance_by_kilometres_grouping_for_trip_purpose[#All],MATCH(A892,Average_Distance_by_kilometres_grouping_for_trip_purpose[#Headers],0),0)</f>
        <v>38.15</v>
      </c>
      <c r="J892" s="89">
        <f t="shared" si="67"/>
        <v>36.685000000000002</v>
      </c>
      <c r="K892" s="89">
        <f t="shared" si="68"/>
        <v>0.69630824712916395</v>
      </c>
      <c r="L892" s="89">
        <v>1</v>
      </c>
      <c r="M892" s="13">
        <f t="shared" si="69"/>
        <v>182528976.56112075</v>
      </c>
      <c r="N892" s="11">
        <f t="shared" si="70"/>
        <v>3.2470279431864165E-3</v>
      </c>
    </row>
    <row r="893" spans="1:14" x14ac:dyDescent="0.25">
      <c r="A893" s="79" t="s">
        <v>33</v>
      </c>
      <c r="B893" s="89" t="s">
        <v>8</v>
      </c>
      <c r="C893" s="89" t="s">
        <v>243</v>
      </c>
      <c r="D893" s="13" t="s">
        <v>12</v>
      </c>
      <c r="E893" s="35">
        <f>VLOOKUP(B893, Passenger_Kilometre_by_mode_type[#All],MATCH(A893, Passenger_Kilometre_by_mode_type[#Headers],0),0)</f>
        <v>2719981114.5358052</v>
      </c>
      <c r="F893" s="89">
        <f>VLOOKUP(C893, Reason_for_public_transport_journeys_by_percentage[#All],MATCH(A893, Reason_for_public_transport_journeys_by_percentage[#Headers],0),0)/100</f>
        <v>2.2499999999999999E-2</v>
      </c>
      <c r="G893" s="13">
        <f t="shared" si="66"/>
        <v>61199575.077055618</v>
      </c>
      <c r="H893" s="89">
        <f>VLOOKUP(D893,Average_Distance_by_kilometre_grouping_for_mode_type[#All],MATCH(A893,Average_Distance_by_kilometre_grouping_for_mode_type[#Headers],0),0)</f>
        <v>1</v>
      </c>
      <c r="I893" s="89">
        <f>VLOOKUP(D893,Average_Distance_by_kilometres_grouping_for_trip_purpose[#All],MATCH(A893,Average_Distance_by_kilometres_grouping_for_trip_purpose[#Headers],0),0)</f>
        <v>1</v>
      </c>
      <c r="J893" s="89">
        <f t="shared" si="67"/>
        <v>1</v>
      </c>
      <c r="K893" s="89">
        <f t="shared" si="68"/>
        <v>1.8980734554427257E-2</v>
      </c>
      <c r="L893" s="89">
        <v>1</v>
      </c>
      <c r="M893" s="13">
        <f t="shared" si="69"/>
        <v>1161612.8893813347</v>
      </c>
      <c r="N893" s="11">
        <f t="shared" si="70"/>
        <v>2.0664058836289496E-5</v>
      </c>
    </row>
    <row r="894" spans="1:14" x14ac:dyDescent="0.25">
      <c r="A894" s="79" t="s">
        <v>33</v>
      </c>
      <c r="B894" s="89" t="s">
        <v>8</v>
      </c>
      <c r="C894" s="89" t="s">
        <v>243</v>
      </c>
      <c r="D894" s="13" t="s">
        <v>181</v>
      </c>
      <c r="E894" s="35">
        <f>VLOOKUP(B894, Passenger_Kilometre_by_mode_type[#All],MATCH(A894, Passenger_Kilometre_by_mode_type[#Headers],0),0)</f>
        <v>2719981114.5358052</v>
      </c>
      <c r="F894" s="89">
        <f>VLOOKUP(C894, Reason_for_public_transport_journeys_by_percentage[#All],MATCH(A894, Reason_for_public_transport_journeys_by_percentage[#Headers],0),0)/100</f>
        <v>2.2499999999999999E-2</v>
      </c>
      <c r="G894" s="13">
        <f t="shared" si="66"/>
        <v>61199575.077055618</v>
      </c>
      <c r="H894" s="89">
        <f>VLOOKUP(D894,Average_Distance_by_kilometre_grouping_for_mode_type[#All],MATCH(A894,Average_Distance_by_kilometre_grouping_for_mode_type[#Headers],0),0)</f>
        <v>3</v>
      </c>
      <c r="I894" s="89">
        <f>VLOOKUP(D894,Average_Distance_by_kilometres_grouping_for_trip_purpose[#All],MATCH(A894,Average_Distance_by_kilometres_grouping_for_trip_purpose[#Headers],0),0)</f>
        <v>3</v>
      </c>
      <c r="J894" s="89">
        <f t="shared" si="67"/>
        <v>3</v>
      </c>
      <c r="K894" s="89">
        <f t="shared" si="68"/>
        <v>5.6942203663281767E-2</v>
      </c>
      <c r="L894" s="89">
        <v>1</v>
      </c>
      <c r="M894" s="13">
        <f t="shared" si="69"/>
        <v>3484838.668144004</v>
      </c>
      <c r="N894" s="11">
        <f t="shared" si="70"/>
        <v>6.1992176508868487E-5</v>
      </c>
    </row>
    <row r="895" spans="1:14" x14ac:dyDescent="0.25">
      <c r="A895" s="79" t="s">
        <v>33</v>
      </c>
      <c r="B895" s="89" t="s">
        <v>8</v>
      </c>
      <c r="C895" s="89" t="s">
        <v>243</v>
      </c>
      <c r="D895" s="13" t="s">
        <v>180</v>
      </c>
      <c r="E895" s="35">
        <f>VLOOKUP(B895, Passenger_Kilometre_by_mode_type[#All],MATCH(A895, Passenger_Kilometre_by_mode_type[#Headers],0),0)</f>
        <v>2719981114.5358052</v>
      </c>
      <c r="F895" s="89">
        <f>VLOOKUP(C895, Reason_for_public_transport_journeys_by_percentage[#All],MATCH(A895, Reason_for_public_transport_journeys_by_percentage[#Headers],0),0)/100</f>
        <v>2.2499999999999999E-2</v>
      </c>
      <c r="G895" s="13">
        <f t="shared" si="66"/>
        <v>61199575.077055618</v>
      </c>
      <c r="H895" s="89">
        <f>VLOOKUP(D895,Average_Distance_by_kilometre_grouping_for_mode_type[#All],MATCH(A895,Average_Distance_by_kilometre_grouping_for_mode_type[#Headers],0),0)</f>
        <v>5</v>
      </c>
      <c r="I895" s="89">
        <f>VLOOKUP(D895,Average_Distance_by_kilometres_grouping_for_trip_purpose[#All],MATCH(A895,Average_Distance_by_kilometres_grouping_for_trip_purpose[#Headers],0),0)</f>
        <v>5</v>
      </c>
      <c r="J895" s="89">
        <f t="shared" si="67"/>
        <v>5</v>
      </c>
      <c r="K895" s="89">
        <f t="shared" si="68"/>
        <v>9.490367277213628E-2</v>
      </c>
      <c r="L895" s="89">
        <v>1</v>
      </c>
      <c r="M895" s="13">
        <f t="shared" si="69"/>
        <v>5808064.4469066737</v>
      </c>
      <c r="N895" s="11">
        <f t="shared" si="70"/>
        <v>1.0332029418144748E-4</v>
      </c>
    </row>
    <row r="896" spans="1:14" x14ac:dyDescent="0.25">
      <c r="A896" s="79" t="s">
        <v>33</v>
      </c>
      <c r="B896" s="89" t="s">
        <v>8</v>
      </c>
      <c r="C896" s="89" t="s">
        <v>243</v>
      </c>
      <c r="D896" s="13" t="s">
        <v>182</v>
      </c>
      <c r="E896" s="35">
        <f>VLOOKUP(B896, Passenger_Kilometre_by_mode_type[#All],MATCH(A896, Passenger_Kilometre_by_mode_type[#Headers],0),0)</f>
        <v>2719981114.5358052</v>
      </c>
      <c r="F896" s="89">
        <f>VLOOKUP(C896, Reason_for_public_transport_journeys_by_percentage[#All],MATCH(A896, Reason_for_public_transport_journeys_by_percentage[#Headers],0),0)/100</f>
        <v>2.2499999999999999E-2</v>
      </c>
      <c r="G896" s="13">
        <f t="shared" si="66"/>
        <v>61199575.077055618</v>
      </c>
      <c r="H896" s="89">
        <f>VLOOKUP(D896,Average_Distance_by_kilometre_grouping_for_mode_type[#All],MATCH(A896,Average_Distance_by_kilometre_grouping_for_mode_type[#Headers],0),0)</f>
        <v>7</v>
      </c>
      <c r="I896" s="89">
        <f>VLOOKUP(D896,Average_Distance_by_kilometres_grouping_for_trip_purpose[#All],MATCH(A896,Average_Distance_by_kilometres_grouping_for_trip_purpose[#Headers],0),0)</f>
        <v>7</v>
      </c>
      <c r="J896" s="89">
        <f t="shared" si="67"/>
        <v>7</v>
      </c>
      <c r="K896" s="89">
        <f t="shared" si="68"/>
        <v>0.1328651418809908</v>
      </c>
      <c r="L896" s="89">
        <v>1</v>
      </c>
      <c r="M896" s="13">
        <f t="shared" si="69"/>
        <v>8131290.225669343</v>
      </c>
      <c r="N896" s="11">
        <f t="shared" si="70"/>
        <v>1.4464841185402648E-4</v>
      </c>
    </row>
    <row r="897" spans="1:14" x14ac:dyDescent="0.25">
      <c r="A897" s="79" t="s">
        <v>33</v>
      </c>
      <c r="B897" s="89" t="s">
        <v>8</v>
      </c>
      <c r="C897" s="89" t="s">
        <v>243</v>
      </c>
      <c r="D897" s="13" t="s">
        <v>1</v>
      </c>
      <c r="E897" s="35">
        <f>VLOOKUP(B897, Passenger_Kilometre_by_mode_type[#All],MATCH(A897, Passenger_Kilometre_by_mode_type[#Headers],0),0)</f>
        <v>2719981114.5358052</v>
      </c>
      <c r="F897" s="89">
        <f>VLOOKUP(C897, Reason_for_public_transport_journeys_by_percentage[#All],MATCH(A897, Reason_for_public_transport_journeys_by_percentage[#Headers],0),0)/100</f>
        <v>2.2499999999999999E-2</v>
      </c>
      <c r="G897" s="13">
        <f t="shared" si="66"/>
        <v>61199575.077055618</v>
      </c>
      <c r="H897" s="89">
        <f>VLOOKUP(D897,Average_Distance_by_kilometre_grouping_for_mode_type[#All],MATCH(A897,Average_Distance_by_kilometre_grouping_for_mode_type[#Headers],0),0)</f>
        <v>35.22</v>
      </c>
      <c r="I897" s="89">
        <f>VLOOKUP(D897,Average_Distance_by_kilometres_grouping_for_trip_purpose[#All],MATCH(A897,Average_Distance_by_kilometres_grouping_for_trip_purpose[#Headers],0),0)</f>
        <v>38.15</v>
      </c>
      <c r="J897" s="89">
        <f t="shared" si="67"/>
        <v>36.685000000000002</v>
      </c>
      <c r="K897" s="89">
        <f t="shared" si="68"/>
        <v>0.69630824712916395</v>
      </c>
      <c r="L897" s="89">
        <v>1</v>
      </c>
      <c r="M897" s="13">
        <f t="shared" si="69"/>
        <v>42613768.846954264</v>
      </c>
      <c r="N897" s="11">
        <f t="shared" si="70"/>
        <v>7.5806099840928013E-4</v>
      </c>
    </row>
    <row r="898" spans="1:14" x14ac:dyDescent="0.25">
      <c r="A898" s="79" t="s">
        <v>33</v>
      </c>
      <c r="B898" s="89" t="s">
        <v>8</v>
      </c>
      <c r="C898" s="89" t="s">
        <v>50</v>
      </c>
      <c r="D898" s="13" t="s">
        <v>12</v>
      </c>
      <c r="E898" s="35">
        <f>VLOOKUP(B898, Passenger_Kilometre_by_mode_type[#All],MATCH(A898, Passenger_Kilometre_by_mode_type[#Headers],0),0)</f>
        <v>2719981114.5358052</v>
      </c>
      <c r="F898" s="89">
        <f>VLOOKUP(C898, Reason_for_public_transport_journeys_by_percentage[#All],MATCH(A898, Reason_for_public_transport_journeys_by_percentage[#Headers],0),0)/100</f>
        <v>9.1250000000000012E-2</v>
      </c>
      <c r="G898" s="13">
        <f t="shared" si="66"/>
        <v>248198276.70139226</v>
      </c>
      <c r="H898" s="89">
        <f>VLOOKUP(D898,Average_Distance_by_kilometre_grouping_for_mode_type[#All],MATCH(A898,Average_Distance_by_kilometre_grouping_for_mode_type[#Headers],0),0)</f>
        <v>1</v>
      </c>
      <c r="I898" s="89">
        <f>VLOOKUP(D898,Average_Distance_by_kilometres_grouping_for_trip_purpose[#All],MATCH(A898,Average_Distance_by_kilometres_grouping_for_trip_purpose[#Headers],0),0)</f>
        <v>1</v>
      </c>
      <c r="J898" s="89">
        <f t="shared" si="67"/>
        <v>1</v>
      </c>
      <c r="K898" s="89">
        <f t="shared" si="68"/>
        <v>1.8980734554427257E-2</v>
      </c>
      <c r="L898" s="89">
        <v>1</v>
      </c>
      <c r="M898" s="13">
        <f t="shared" si="69"/>
        <v>4710985.6069354136</v>
      </c>
      <c r="N898" s="11">
        <f t="shared" si="70"/>
        <v>8.3804238613840749E-5</v>
      </c>
    </row>
    <row r="899" spans="1:14" x14ac:dyDescent="0.25">
      <c r="A899" s="79" t="s">
        <v>33</v>
      </c>
      <c r="B899" s="89" t="s">
        <v>8</v>
      </c>
      <c r="C899" s="89" t="s">
        <v>50</v>
      </c>
      <c r="D899" s="13" t="s">
        <v>181</v>
      </c>
      <c r="E899" s="35">
        <f>VLOOKUP(B899, Passenger_Kilometre_by_mode_type[#All],MATCH(A899, Passenger_Kilometre_by_mode_type[#Headers],0),0)</f>
        <v>2719981114.5358052</v>
      </c>
      <c r="F899" s="89">
        <f>VLOOKUP(C899, Reason_for_public_transport_journeys_by_percentage[#All],MATCH(A899, Reason_for_public_transport_journeys_by_percentage[#Headers],0),0)/100</f>
        <v>9.1250000000000012E-2</v>
      </c>
      <c r="G899" s="13">
        <f t="shared" si="66"/>
        <v>248198276.70139226</v>
      </c>
      <c r="H899" s="89">
        <f>VLOOKUP(D899,Average_Distance_by_kilometre_grouping_for_mode_type[#All],MATCH(A899,Average_Distance_by_kilometre_grouping_for_mode_type[#Headers],0),0)</f>
        <v>3</v>
      </c>
      <c r="I899" s="89">
        <f>VLOOKUP(D899,Average_Distance_by_kilometres_grouping_for_trip_purpose[#All],MATCH(A899,Average_Distance_by_kilometres_grouping_for_trip_purpose[#Headers],0),0)</f>
        <v>3</v>
      </c>
      <c r="J899" s="89">
        <f t="shared" si="67"/>
        <v>3</v>
      </c>
      <c r="K899" s="89">
        <f t="shared" si="68"/>
        <v>5.6942203663281767E-2</v>
      </c>
      <c r="L899" s="89">
        <v>1</v>
      </c>
      <c r="M899" s="13">
        <f t="shared" si="69"/>
        <v>14132956.820806241</v>
      </c>
      <c r="N899" s="11">
        <f t="shared" si="70"/>
        <v>2.5141271584152225E-4</v>
      </c>
    </row>
    <row r="900" spans="1:14" x14ac:dyDescent="0.25">
      <c r="A900" s="79" t="s">
        <v>33</v>
      </c>
      <c r="B900" s="89" t="s">
        <v>8</v>
      </c>
      <c r="C900" s="89" t="s">
        <v>50</v>
      </c>
      <c r="D900" s="13" t="s">
        <v>180</v>
      </c>
      <c r="E900" s="35">
        <f>VLOOKUP(B900, Passenger_Kilometre_by_mode_type[#All],MATCH(A900, Passenger_Kilometre_by_mode_type[#Headers],0),0)</f>
        <v>2719981114.5358052</v>
      </c>
      <c r="F900" s="89">
        <f>VLOOKUP(C900, Reason_for_public_transport_journeys_by_percentage[#All],MATCH(A900, Reason_for_public_transport_journeys_by_percentage[#Headers],0),0)/100</f>
        <v>9.1250000000000012E-2</v>
      </c>
      <c r="G900" s="13">
        <f t="shared" ref="G900:G963" si="71">E900*F900</f>
        <v>248198276.70139226</v>
      </c>
      <c r="H900" s="89">
        <f>VLOOKUP(D900,Average_Distance_by_kilometre_grouping_for_mode_type[#All],MATCH(A900,Average_Distance_by_kilometre_grouping_for_mode_type[#Headers],0),0)</f>
        <v>5</v>
      </c>
      <c r="I900" s="89">
        <f>VLOOKUP(D900,Average_Distance_by_kilometres_grouping_for_trip_purpose[#All],MATCH(A900,Average_Distance_by_kilometres_grouping_for_trip_purpose[#Headers],0),0)</f>
        <v>5</v>
      </c>
      <c r="J900" s="89">
        <f t="shared" ref="J900:J963" si="72">AVERAGE(H900:I900)</f>
        <v>5</v>
      </c>
      <c r="K900" s="89">
        <f t="shared" ref="K900:K963" si="73">J900/SUM(J900:J904)</f>
        <v>9.490367277213628E-2</v>
      </c>
      <c r="L900" s="89">
        <v>1</v>
      </c>
      <c r="M900" s="13">
        <f t="shared" ref="M900:M963" si="74">G900*K900*L900</f>
        <v>23554928.034677066</v>
      </c>
      <c r="N900" s="11">
        <f t="shared" si="70"/>
        <v>4.1902119306920369E-4</v>
      </c>
    </row>
    <row r="901" spans="1:14" x14ac:dyDescent="0.25">
      <c r="A901" s="79" t="s">
        <v>33</v>
      </c>
      <c r="B901" s="89" t="s">
        <v>8</v>
      </c>
      <c r="C901" s="89" t="s">
        <v>50</v>
      </c>
      <c r="D901" s="13" t="s">
        <v>182</v>
      </c>
      <c r="E901" s="35">
        <f>VLOOKUP(B901, Passenger_Kilometre_by_mode_type[#All],MATCH(A901, Passenger_Kilometre_by_mode_type[#Headers],0),0)</f>
        <v>2719981114.5358052</v>
      </c>
      <c r="F901" s="89">
        <f>VLOOKUP(C901, Reason_for_public_transport_journeys_by_percentage[#All],MATCH(A901, Reason_for_public_transport_journeys_by_percentage[#Headers],0),0)/100</f>
        <v>9.1250000000000012E-2</v>
      </c>
      <c r="G901" s="13">
        <f t="shared" si="71"/>
        <v>248198276.70139226</v>
      </c>
      <c r="H901" s="89">
        <f>VLOOKUP(D901,Average_Distance_by_kilometre_grouping_for_mode_type[#All],MATCH(A901,Average_Distance_by_kilometre_grouping_for_mode_type[#Headers],0),0)</f>
        <v>7</v>
      </c>
      <c r="I901" s="89">
        <f>VLOOKUP(D901,Average_Distance_by_kilometres_grouping_for_trip_purpose[#All],MATCH(A901,Average_Distance_by_kilometres_grouping_for_trip_purpose[#Headers],0),0)</f>
        <v>7</v>
      </c>
      <c r="J901" s="89">
        <f t="shared" si="72"/>
        <v>7</v>
      </c>
      <c r="K901" s="89">
        <f t="shared" si="73"/>
        <v>0.1328651418809908</v>
      </c>
      <c r="L901" s="89">
        <v>1</v>
      </c>
      <c r="M901" s="13">
        <f t="shared" si="74"/>
        <v>32976899.248547897</v>
      </c>
      <c r="N901" s="11">
        <f t="shared" si="70"/>
        <v>5.8662967029688524E-4</v>
      </c>
    </row>
    <row r="902" spans="1:14" x14ac:dyDescent="0.25">
      <c r="A902" s="79" t="s">
        <v>33</v>
      </c>
      <c r="B902" s="89" t="s">
        <v>8</v>
      </c>
      <c r="C902" s="89" t="s">
        <v>50</v>
      </c>
      <c r="D902" s="13" t="s">
        <v>1</v>
      </c>
      <c r="E902" s="35">
        <f>VLOOKUP(B902, Passenger_Kilometre_by_mode_type[#All],MATCH(A902, Passenger_Kilometre_by_mode_type[#Headers],0),0)</f>
        <v>2719981114.5358052</v>
      </c>
      <c r="F902" s="89">
        <f>VLOOKUP(C902, Reason_for_public_transport_journeys_by_percentage[#All],MATCH(A902, Reason_for_public_transport_journeys_by_percentage[#Headers],0),0)/100</f>
        <v>9.1250000000000012E-2</v>
      </c>
      <c r="G902" s="13">
        <f t="shared" si="71"/>
        <v>248198276.70139226</v>
      </c>
      <c r="H902" s="89">
        <f>VLOOKUP(D902,Average_Distance_by_kilometre_grouping_for_mode_type[#All],MATCH(A902,Average_Distance_by_kilometre_grouping_for_mode_type[#Headers],0),0)</f>
        <v>35.22</v>
      </c>
      <c r="I902" s="89">
        <f>VLOOKUP(D902,Average_Distance_by_kilometres_grouping_for_trip_purpose[#All],MATCH(A902,Average_Distance_by_kilometres_grouping_for_trip_purpose[#Headers],0),0)</f>
        <v>38.15</v>
      </c>
      <c r="J902" s="89">
        <f t="shared" si="72"/>
        <v>36.685000000000002</v>
      </c>
      <c r="K902" s="89">
        <f t="shared" si="73"/>
        <v>0.69630824712916395</v>
      </c>
      <c r="L902" s="89">
        <v>1</v>
      </c>
      <c r="M902" s="13">
        <f t="shared" si="74"/>
        <v>172822506.99042565</v>
      </c>
      <c r="N902" s="11">
        <f t="shared" si="70"/>
        <v>3.0743584935487476E-3</v>
      </c>
    </row>
    <row r="903" spans="1:14" x14ac:dyDescent="0.25">
      <c r="A903" s="79" t="s">
        <v>33</v>
      </c>
      <c r="B903" s="89" t="s">
        <v>9</v>
      </c>
      <c r="C903" s="89" t="s">
        <v>42</v>
      </c>
      <c r="D903" s="13" t="s">
        <v>12</v>
      </c>
      <c r="E903" s="35">
        <f>VLOOKUP(B903, Passenger_Kilometre_by_mode_type[#All],MATCH(A903, Passenger_Kilometre_by_mode_type[#Headers],0),0)</f>
        <v>145514747.73957029</v>
      </c>
      <c r="F903" s="89">
        <f>VLOOKUP(C903, Reason_for_walking_cycling_journeys_by_percentage[#All],MATCH(A903, Reason_for_walking_cycling_journeys_by_percentage[#Headers],0),0)/100</f>
        <v>0.17649999999999999</v>
      </c>
      <c r="G903" s="13">
        <f t="shared" si="71"/>
        <v>25683352.976034153</v>
      </c>
      <c r="H903" s="89">
        <f>VLOOKUP(D903,Average_Distance_by_kilometre_grouping_for_mode_type[#All],MATCH(A903,Average_Distance_by_kilometre_grouping_for_mode_type[#Headers],0),0)</f>
        <v>1</v>
      </c>
      <c r="I903" s="89">
        <f>VLOOKUP(D903,Average_Distance_by_kilometres_grouping_for_trip_purpose[#All],MATCH(A903,Average_Distance_by_kilometres_grouping_for_trip_purpose[#Headers],0),0)</f>
        <v>1</v>
      </c>
      <c r="J903" s="89">
        <f t="shared" si="72"/>
        <v>1</v>
      </c>
      <c r="K903" s="89">
        <f t="shared" si="73"/>
        <v>1.8980734554427257E-2</v>
      </c>
      <c r="L903" s="89">
        <v>1</v>
      </c>
      <c r="M903" s="13">
        <f t="shared" si="74"/>
        <v>487488.90530576359</v>
      </c>
      <c r="N903" s="11">
        <f t="shared" si="70"/>
        <v>8.6719934957348129E-6</v>
      </c>
    </row>
    <row r="904" spans="1:14" x14ac:dyDescent="0.25">
      <c r="A904" s="79" t="s">
        <v>33</v>
      </c>
      <c r="B904" s="89" t="s">
        <v>9</v>
      </c>
      <c r="C904" s="89" t="s">
        <v>42</v>
      </c>
      <c r="D904" s="13" t="s">
        <v>181</v>
      </c>
      <c r="E904" s="35">
        <f>VLOOKUP(B904, Passenger_Kilometre_by_mode_type[#All],MATCH(A904, Passenger_Kilometre_by_mode_type[#Headers],0),0)</f>
        <v>145514747.73957029</v>
      </c>
      <c r="F904" s="89">
        <f>VLOOKUP(C904, Reason_for_walking_cycling_journeys_by_percentage[#All],MATCH(A904, Reason_for_walking_cycling_journeys_by_percentage[#Headers],0),0)/100</f>
        <v>0.17649999999999999</v>
      </c>
      <c r="G904" s="13">
        <f t="shared" si="71"/>
        <v>25683352.976034153</v>
      </c>
      <c r="H904" s="89">
        <f>VLOOKUP(D904,Average_Distance_by_kilometre_grouping_for_mode_type[#All],MATCH(A904,Average_Distance_by_kilometre_grouping_for_mode_type[#Headers],0),0)</f>
        <v>3</v>
      </c>
      <c r="I904" s="89">
        <f>VLOOKUP(D904,Average_Distance_by_kilometres_grouping_for_trip_purpose[#All],MATCH(A904,Average_Distance_by_kilometres_grouping_for_trip_purpose[#Headers],0),0)</f>
        <v>3</v>
      </c>
      <c r="J904" s="89">
        <f t="shared" si="72"/>
        <v>3</v>
      </c>
      <c r="K904" s="89">
        <f t="shared" si="73"/>
        <v>5.6942203663281767E-2</v>
      </c>
      <c r="L904" s="89">
        <v>1</v>
      </c>
      <c r="M904" s="13">
        <f t="shared" si="74"/>
        <v>1462466.7159172907</v>
      </c>
      <c r="N904" s="11">
        <f t="shared" si="70"/>
        <v>2.6015980487204439E-5</v>
      </c>
    </row>
    <row r="905" spans="1:14" x14ac:dyDescent="0.25">
      <c r="A905" s="79" t="s">
        <v>33</v>
      </c>
      <c r="B905" s="89" t="s">
        <v>9</v>
      </c>
      <c r="C905" s="89" t="s">
        <v>42</v>
      </c>
      <c r="D905" s="13" t="s">
        <v>180</v>
      </c>
      <c r="E905" s="35">
        <f>VLOOKUP(B905, Passenger_Kilometre_by_mode_type[#All],MATCH(A905, Passenger_Kilometre_by_mode_type[#Headers],0),0)</f>
        <v>145514747.73957029</v>
      </c>
      <c r="F905" s="89">
        <f>VLOOKUP(C905, Reason_for_walking_cycling_journeys_by_percentage[#All],MATCH(A905, Reason_for_walking_cycling_journeys_by_percentage[#Headers],0),0)/100</f>
        <v>0.17649999999999999</v>
      </c>
      <c r="G905" s="13">
        <f t="shared" si="71"/>
        <v>25683352.976034153</v>
      </c>
      <c r="H905" s="89">
        <f>VLOOKUP(D905,Average_Distance_by_kilometre_grouping_for_mode_type[#All],MATCH(A905,Average_Distance_by_kilometre_grouping_for_mode_type[#Headers],0),0)</f>
        <v>5</v>
      </c>
      <c r="I905" s="89">
        <f>VLOOKUP(D905,Average_Distance_by_kilometres_grouping_for_trip_purpose[#All],MATCH(A905,Average_Distance_by_kilometres_grouping_for_trip_purpose[#Headers],0),0)</f>
        <v>5</v>
      </c>
      <c r="J905" s="89">
        <f t="shared" si="72"/>
        <v>5</v>
      </c>
      <c r="K905" s="89">
        <f t="shared" si="73"/>
        <v>9.490367277213628E-2</v>
      </c>
      <c r="L905" s="89">
        <v>1</v>
      </c>
      <c r="M905" s="13">
        <f t="shared" si="74"/>
        <v>2437444.5265288176</v>
      </c>
      <c r="N905" s="11">
        <f t="shared" si="70"/>
        <v>4.3359967478674061E-5</v>
      </c>
    </row>
    <row r="906" spans="1:14" x14ac:dyDescent="0.25">
      <c r="A906" s="79" t="s">
        <v>33</v>
      </c>
      <c r="B906" s="89" t="s">
        <v>9</v>
      </c>
      <c r="C906" s="89" t="s">
        <v>42</v>
      </c>
      <c r="D906" s="13" t="s">
        <v>182</v>
      </c>
      <c r="E906" s="35">
        <f>VLOOKUP(B906, Passenger_Kilometre_by_mode_type[#All],MATCH(A906, Passenger_Kilometre_by_mode_type[#Headers],0),0)</f>
        <v>145514747.73957029</v>
      </c>
      <c r="F906" s="89">
        <f>VLOOKUP(C906, Reason_for_walking_cycling_journeys_by_percentage[#All],MATCH(A906, Reason_for_walking_cycling_journeys_by_percentage[#Headers],0),0)/100</f>
        <v>0.17649999999999999</v>
      </c>
      <c r="G906" s="13">
        <f t="shared" si="71"/>
        <v>25683352.976034153</v>
      </c>
      <c r="H906" s="89">
        <f>VLOOKUP(D906,Average_Distance_by_kilometre_grouping_for_mode_type[#All],MATCH(A906,Average_Distance_by_kilometre_grouping_for_mode_type[#Headers],0),0)</f>
        <v>7</v>
      </c>
      <c r="I906" s="89">
        <f>VLOOKUP(D906,Average_Distance_by_kilometres_grouping_for_trip_purpose[#All],MATCH(A906,Average_Distance_by_kilometres_grouping_for_trip_purpose[#Headers],0),0)</f>
        <v>7</v>
      </c>
      <c r="J906" s="89">
        <f t="shared" si="72"/>
        <v>7</v>
      </c>
      <c r="K906" s="89">
        <f t="shared" si="73"/>
        <v>0.1328651418809908</v>
      </c>
      <c r="L906" s="89">
        <v>1</v>
      </c>
      <c r="M906" s="13">
        <f t="shared" si="74"/>
        <v>3412422.337140345</v>
      </c>
      <c r="N906" s="11">
        <f t="shared" si="70"/>
        <v>6.0703954470143694E-5</v>
      </c>
    </row>
    <row r="907" spans="1:14" x14ac:dyDescent="0.25">
      <c r="A907" s="79" t="s">
        <v>33</v>
      </c>
      <c r="B907" s="89" t="s">
        <v>9</v>
      </c>
      <c r="C907" s="89" t="s">
        <v>42</v>
      </c>
      <c r="D907" s="13" t="s">
        <v>1</v>
      </c>
      <c r="E907" s="35">
        <f>VLOOKUP(B907, Passenger_Kilometre_by_mode_type[#All],MATCH(A907, Passenger_Kilometre_by_mode_type[#Headers],0),0)</f>
        <v>145514747.73957029</v>
      </c>
      <c r="F907" s="89">
        <f>VLOOKUP(C907, Reason_for_walking_cycling_journeys_by_percentage[#All],MATCH(A907, Reason_for_walking_cycling_journeys_by_percentage[#Headers],0),0)/100</f>
        <v>0.17649999999999999</v>
      </c>
      <c r="G907" s="13">
        <f t="shared" si="71"/>
        <v>25683352.976034153</v>
      </c>
      <c r="H907" s="89">
        <f>VLOOKUP(D907,Average_Distance_by_kilometre_grouping_for_mode_type[#All],MATCH(A907,Average_Distance_by_kilometre_grouping_for_mode_type[#Headers],0),0)</f>
        <v>35.22</v>
      </c>
      <c r="I907" s="89">
        <f>VLOOKUP(D907,Average_Distance_by_kilometres_grouping_for_trip_purpose[#All],MATCH(A907,Average_Distance_by_kilometres_grouping_for_trip_purpose[#Headers],0),0)</f>
        <v>38.15</v>
      </c>
      <c r="J907" s="89">
        <f t="shared" si="72"/>
        <v>36.685000000000002</v>
      </c>
      <c r="K907" s="89">
        <f t="shared" si="73"/>
        <v>0.69630824712916395</v>
      </c>
      <c r="L907" s="89">
        <v>1</v>
      </c>
      <c r="M907" s="13">
        <f t="shared" si="74"/>
        <v>17883530.491141938</v>
      </c>
      <c r="N907" s="11">
        <f t="shared" si="70"/>
        <v>3.1813208139103161E-4</v>
      </c>
    </row>
    <row r="908" spans="1:14" x14ac:dyDescent="0.25">
      <c r="A908" s="79" t="s">
        <v>33</v>
      </c>
      <c r="B908" s="89" t="s">
        <v>9</v>
      </c>
      <c r="C908" s="89" t="s">
        <v>43</v>
      </c>
      <c r="D908" s="13" t="s">
        <v>12</v>
      </c>
      <c r="E908" s="35">
        <f>VLOOKUP(B908, Passenger_Kilometre_by_mode_type[#All],MATCH(A908, Passenger_Kilometre_by_mode_type[#Headers],0),0)</f>
        <v>145514747.73957029</v>
      </c>
      <c r="F908" s="89">
        <f>VLOOKUP(C908, Reason_for_walking_cycling_journeys_by_percentage[#All],MATCH(A908, Reason_for_walking_cycling_journeys_by_percentage[#Headers],0),0)/100</f>
        <v>8.5249999999999992E-2</v>
      </c>
      <c r="G908" s="13">
        <f t="shared" si="71"/>
        <v>12405132.244798366</v>
      </c>
      <c r="H908" s="89">
        <f>VLOOKUP(D908,Average_Distance_by_kilometre_grouping_for_mode_type[#All],MATCH(A908,Average_Distance_by_kilometre_grouping_for_mode_type[#Headers],0),0)</f>
        <v>1</v>
      </c>
      <c r="I908" s="89">
        <f>VLOOKUP(D908,Average_Distance_by_kilometres_grouping_for_trip_purpose[#All],MATCH(A908,Average_Distance_by_kilometres_grouping_for_trip_purpose[#Headers],0),0)</f>
        <v>1</v>
      </c>
      <c r="J908" s="89">
        <f t="shared" si="72"/>
        <v>1</v>
      </c>
      <c r="K908" s="89">
        <f t="shared" si="73"/>
        <v>1.8980734554427257E-2</v>
      </c>
      <c r="L908" s="89">
        <v>1</v>
      </c>
      <c r="M908" s="13">
        <f t="shared" si="74"/>
        <v>235458.5222510841</v>
      </c>
      <c r="N908" s="11">
        <f t="shared" si="70"/>
        <v>4.1885974249937272E-6</v>
      </c>
    </row>
    <row r="909" spans="1:14" x14ac:dyDescent="0.25">
      <c r="A909" s="79" t="s">
        <v>33</v>
      </c>
      <c r="B909" s="89" t="s">
        <v>9</v>
      </c>
      <c r="C909" s="89" t="s">
        <v>43</v>
      </c>
      <c r="D909" s="13" t="s">
        <v>181</v>
      </c>
      <c r="E909" s="35">
        <f>VLOOKUP(B909, Passenger_Kilometre_by_mode_type[#All],MATCH(A909, Passenger_Kilometre_by_mode_type[#Headers],0),0)</f>
        <v>145514747.73957029</v>
      </c>
      <c r="F909" s="89">
        <f>VLOOKUP(C909, Reason_for_walking_cycling_journeys_by_percentage[#All],MATCH(A909, Reason_for_walking_cycling_journeys_by_percentage[#Headers],0),0)/100</f>
        <v>8.5249999999999992E-2</v>
      </c>
      <c r="G909" s="13">
        <f t="shared" si="71"/>
        <v>12405132.244798366</v>
      </c>
      <c r="H909" s="89">
        <f>VLOOKUP(D909,Average_Distance_by_kilometre_grouping_for_mode_type[#All],MATCH(A909,Average_Distance_by_kilometre_grouping_for_mode_type[#Headers],0),0)</f>
        <v>3</v>
      </c>
      <c r="I909" s="89">
        <f>VLOOKUP(D909,Average_Distance_by_kilometres_grouping_for_trip_purpose[#All],MATCH(A909,Average_Distance_by_kilometres_grouping_for_trip_purpose[#Headers],0),0)</f>
        <v>3</v>
      </c>
      <c r="J909" s="89">
        <f t="shared" si="72"/>
        <v>3</v>
      </c>
      <c r="K909" s="89">
        <f t="shared" si="73"/>
        <v>5.6942203663281767E-2</v>
      </c>
      <c r="L909" s="89">
        <v>1</v>
      </c>
      <c r="M909" s="13">
        <f t="shared" si="74"/>
        <v>706375.56675325229</v>
      </c>
      <c r="N909" s="11">
        <f t="shared" si="70"/>
        <v>1.256579227498118E-5</v>
      </c>
    </row>
    <row r="910" spans="1:14" x14ac:dyDescent="0.25">
      <c r="A910" s="79" t="s">
        <v>33</v>
      </c>
      <c r="B910" s="89" t="s">
        <v>9</v>
      </c>
      <c r="C910" s="89" t="s">
        <v>43</v>
      </c>
      <c r="D910" s="13" t="s">
        <v>180</v>
      </c>
      <c r="E910" s="35">
        <f>VLOOKUP(B910, Passenger_Kilometre_by_mode_type[#All],MATCH(A910, Passenger_Kilometre_by_mode_type[#Headers],0),0)</f>
        <v>145514747.73957029</v>
      </c>
      <c r="F910" s="89">
        <f>VLOOKUP(C910, Reason_for_walking_cycling_journeys_by_percentage[#All],MATCH(A910, Reason_for_walking_cycling_journeys_by_percentage[#Headers],0),0)/100</f>
        <v>8.5249999999999992E-2</v>
      </c>
      <c r="G910" s="13">
        <f t="shared" si="71"/>
        <v>12405132.244798366</v>
      </c>
      <c r="H910" s="89">
        <f>VLOOKUP(D910,Average_Distance_by_kilometre_grouping_for_mode_type[#All],MATCH(A910,Average_Distance_by_kilometre_grouping_for_mode_type[#Headers],0),0)</f>
        <v>5</v>
      </c>
      <c r="I910" s="89">
        <f>VLOOKUP(D910,Average_Distance_by_kilometres_grouping_for_trip_purpose[#All],MATCH(A910,Average_Distance_by_kilometres_grouping_for_trip_purpose[#Headers],0),0)</f>
        <v>5</v>
      </c>
      <c r="J910" s="89">
        <f t="shared" si="72"/>
        <v>5</v>
      </c>
      <c r="K910" s="89">
        <f t="shared" si="73"/>
        <v>9.490367277213628E-2</v>
      </c>
      <c r="L910" s="89">
        <v>1</v>
      </c>
      <c r="M910" s="13">
        <f t="shared" si="74"/>
        <v>1177292.6112554206</v>
      </c>
      <c r="N910" s="11">
        <f t="shared" si="70"/>
        <v>2.0942987124968636E-5</v>
      </c>
    </row>
    <row r="911" spans="1:14" x14ac:dyDescent="0.25">
      <c r="A911" s="79" t="s">
        <v>33</v>
      </c>
      <c r="B911" s="89" t="s">
        <v>9</v>
      </c>
      <c r="C911" s="89" t="s">
        <v>43</v>
      </c>
      <c r="D911" s="13" t="s">
        <v>182</v>
      </c>
      <c r="E911" s="35">
        <f>VLOOKUP(B911, Passenger_Kilometre_by_mode_type[#All],MATCH(A911, Passenger_Kilometre_by_mode_type[#Headers],0),0)</f>
        <v>145514747.73957029</v>
      </c>
      <c r="F911" s="89">
        <f>VLOOKUP(C911, Reason_for_walking_cycling_journeys_by_percentage[#All],MATCH(A911, Reason_for_walking_cycling_journeys_by_percentage[#Headers],0),0)/100</f>
        <v>8.5249999999999992E-2</v>
      </c>
      <c r="G911" s="13">
        <f t="shared" si="71"/>
        <v>12405132.244798366</v>
      </c>
      <c r="H911" s="89">
        <f>VLOOKUP(D911,Average_Distance_by_kilometre_grouping_for_mode_type[#All],MATCH(A911,Average_Distance_by_kilometre_grouping_for_mode_type[#Headers],0),0)</f>
        <v>7</v>
      </c>
      <c r="I911" s="89">
        <f>VLOOKUP(D911,Average_Distance_by_kilometres_grouping_for_trip_purpose[#All],MATCH(A911,Average_Distance_by_kilometres_grouping_for_trip_purpose[#Headers],0),0)</f>
        <v>7</v>
      </c>
      <c r="J911" s="89">
        <f t="shared" si="72"/>
        <v>7</v>
      </c>
      <c r="K911" s="89">
        <f t="shared" si="73"/>
        <v>0.1328651418809908</v>
      </c>
      <c r="L911" s="89">
        <v>1</v>
      </c>
      <c r="M911" s="13">
        <f t="shared" si="74"/>
        <v>1648209.6557575888</v>
      </c>
      <c r="N911" s="11">
        <f t="shared" si="70"/>
        <v>2.932018197495609E-5</v>
      </c>
    </row>
    <row r="912" spans="1:14" x14ac:dyDescent="0.25">
      <c r="A912" s="79" t="s">
        <v>33</v>
      </c>
      <c r="B912" s="89" t="s">
        <v>9</v>
      </c>
      <c r="C912" s="89" t="s">
        <v>43</v>
      </c>
      <c r="D912" s="13" t="s">
        <v>1</v>
      </c>
      <c r="E912" s="35">
        <f>VLOOKUP(B912, Passenger_Kilometre_by_mode_type[#All],MATCH(A912, Passenger_Kilometre_by_mode_type[#Headers],0),0)</f>
        <v>145514747.73957029</v>
      </c>
      <c r="F912" s="89">
        <f>VLOOKUP(C912, Reason_for_walking_cycling_journeys_by_percentage[#All],MATCH(A912, Reason_for_walking_cycling_journeys_by_percentage[#Headers],0),0)/100</f>
        <v>8.5249999999999992E-2</v>
      </c>
      <c r="G912" s="13">
        <f t="shared" si="71"/>
        <v>12405132.244798366</v>
      </c>
      <c r="H912" s="89">
        <f>VLOOKUP(D912,Average_Distance_by_kilometre_grouping_for_mode_type[#All],MATCH(A912,Average_Distance_by_kilometre_grouping_for_mode_type[#Headers],0),0)</f>
        <v>35.22</v>
      </c>
      <c r="I912" s="89">
        <f>VLOOKUP(D912,Average_Distance_by_kilometres_grouping_for_trip_purpose[#All],MATCH(A912,Average_Distance_by_kilometres_grouping_for_trip_purpose[#Headers],0),0)</f>
        <v>38.15</v>
      </c>
      <c r="J912" s="89">
        <f t="shared" si="72"/>
        <v>36.685000000000002</v>
      </c>
      <c r="K912" s="89">
        <f t="shared" si="73"/>
        <v>0.69630824712916395</v>
      </c>
      <c r="L912" s="89">
        <v>1</v>
      </c>
      <c r="M912" s="13">
        <f t="shared" si="74"/>
        <v>8637795.8887810204</v>
      </c>
      <c r="N912" s="11">
        <f t="shared" si="70"/>
        <v>1.5365869653589486E-4</v>
      </c>
    </row>
    <row r="913" spans="1:14" x14ac:dyDescent="0.25">
      <c r="A913" s="79" t="s">
        <v>33</v>
      </c>
      <c r="B913" s="89" t="s">
        <v>9</v>
      </c>
      <c r="C913" s="89" t="s">
        <v>44</v>
      </c>
      <c r="D913" s="13" t="s">
        <v>12</v>
      </c>
      <c r="E913" s="35">
        <f>VLOOKUP(B913, Passenger_Kilometre_by_mode_type[#All],MATCH(A913, Passenger_Kilometre_by_mode_type[#Headers],0),0)</f>
        <v>145514747.73957029</v>
      </c>
      <c r="F913" s="89">
        <f>VLOOKUP(C913, Reason_for_walking_cycling_journeys_by_percentage[#All],MATCH(A913, Reason_for_walking_cycling_journeys_by_percentage[#Headers],0),0)/100</f>
        <v>0.23774999999999999</v>
      </c>
      <c r="G913" s="13">
        <f t="shared" si="71"/>
        <v>34596131.275082834</v>
      </c>
      <c r="H913" s="89">
        <f>VLOOKUP(D913,Average_Distance_by_kilometre_grouping_for_mode_type[#All],MATCH(A913,Average_Distance_by_kilometre_grouping_for_mode_type[#Headers],0),0)</f>
        <v>1</v>
      </c>
      <c r="I913" s="89">
        <f>VLOOKUP(D913,Average_Distance_by_kilometres_grouping_for_trip_purpose[#All],MATCH(A913,Average_Distance_by_kilometres_grouping_for_trip_purpose[#Headers],0),0)</f>
        <v>1</v>
      </c>
      <c r="J913" s="89">
        <f t="shared" si="72"/>
        <v>1</v>
      </c>
      <c r="K913" s="89">
        <f t="shared" si="73"/>
        <v>1.8980734554427257E-2</v>
      </c>
      <c r="L913" s="89">
        <v>1</v>
      </c>
      <c r="M913" s="13">
        <f t="shared" si="74"/>
        <v>656659.98434246622</v>
      </c>
      <c r="N913" s="11">
        <f t="shared" si="70"/>
        <v>1.1681396337739104E-5</v>
      </c>
    </row>
    <row r="914" spans="1:14" x14ac:dyDescent="0.25">
      <c r="A914" s="79" t="s">
        <v>33</v>
      </c>
      <c r="B914" s="89" t="s">
        <v>9</v>
      </c>
      <c r="C914" s="89" t="s">
        <v>44</v>
      </c>
      <c r="D914" s="13" t="s">
        <v>181</v>
      </c>
      <c r="E914" s="35">
        <f>VLOOKUP(B914, Passenger_Kilometre_by_mode_type[#All],MATCH(A914, Passenger_Kilometre_by_mode_type[#Headers],0),0)</f>
        <v>145514747.73957029</v>
      </c>
      <c r="F914" s="89">
        <f>VLOOKUP(C914, Reason_for_walking_cycling_journeys_by_percentage[#All],MATCH(A914, Reason_for_walking_cycling_journeys_by_percentage[#Headers],0),0)/100</f>
        <v>0.23774999999999999</v>
      </c>
      <c r="G914" s="13">
        <f t="shared" si="71"/>
        <v>34596131.275082834</v>
      </c>
      <c r="H914" s="89">
        <f>VLOOKUP(D914,Average_Distance_by_kilometre_grouping_for_mode_type[#All],MATCH(A914,Average_Distance_by_kilometre_grouping_for_mode_type[#Headers],0),0)</f>
        <v>3</v>
      </c>
      <c r="I914" s="89">
        <f>VLOOKUP(D914,Average_Distance_by_kilometres_grouping_for_trip_purpose[#All],MATCH(A914,Average_Distance_by_kilometres_grouping_for_trip_purpose[#Headers],0),0)</f>
        <v>3</v>
      </c>
      <c r="J914" s="89">
        <f t="shared" si="72"/>
        <v>3</v>
      </c>
      <c r="K914" s="89">
        <f t="shared" si="73"/>
        <v>5.6942203663281767E-2</v>
      </c>
      <c r="L914" s="89">
        <v>1</v>
      </c>
      <c r="M914" s="13">
        <f t="shared" si="74"/>
        <v>1969979.9530273986</v>
      </c>
      <c r="N914" s="11">
        <f t="shared" si="70"/>
        <v>3.5044189013217308E-5</v>
      </c>
    </row>
    <row r="915" spans="1:14" x14ac:dyDescent="0.25">
      <c r="A915" s="79" t="s">
        <v>33</v>
      </c>
      <c r="B915" s="89" t="s">
        <v>9</v>
      </c>
      <c r="C915" s="89" t="s">
        <v>44</v>
      </c>
      <c r="D915" s="13" t="s">
        <v>180</v>
      </c>
      <c r="E915" s="35">
        <f>VLOOKUP(B915, Passenger_Kilometre_by_mode_type[#All],MATCH(A915, Passenger_Kilometre_by_mode_type[#Headers],0),0)</f>
        <v>145514747.73957029</v>
      </c>
      <c r="F915" s="89">
        <f>VLOOKUP(C915, Reason_for_walking_cycling_journeys_by_percentage[#All],MATCH(A915, Reason_for_walking_cycling_journeys_by_percentage[#Headers],0),0)/100</f>
        <v>0.23774999999999999</v>
      </c>
      <c r="G915" s="13">
        <f t="shared" si="71"/>
        <v>34596131.275082834</v>
      </c>
      <c r="H915" s="89">
        <f>VLOOKUP(D915,Average_Distance_by_kilometre_grouping_for_mode_type[#All],MATCH(A915,Average_Distance_by_kilometre_grouping_for_mode_type[#Headers],0),0)</f>
        <v>5</v>
      </c>
      <c r="I915" s="89">
        <f>VLOOKUP(D915,Average_Distance_by_kilometres_grouping_for_trip_purpose[#All],MATCH(A915,Average_Distance_by_kilometres_grouping_for_trip_purpose[#Headers],0),0)</f>
        <v>5</v>
      </c>
      <c r="J915" s="89">
        <f t="shared" si="72"/>
        <v>5</v>
      </c>
      <c r="K915" s="89">
        <f t="shared" si="73"/>
        <v>9.490367277213628E-2</v>
      </c>
      <c r="L915" s="89">
        <v>1</v>
      </c>
      <c r="M915" s="13">
        <f t="shared" si="74"/>
        <v>3283299.921712331</v>
      </c>
      <c r="N915" s="11">
        <f t="shared" si="70"/>
        <v>5.8406981688695513E-5</v>
      </c>
    </row>
    <row r="916" spans="1:14" x14ac:dyDescent="0.25">
      <c r="A916" s="79" t="s">
        <v>33</v>
      </c>
      <c r="B916" s="89" t="s">
        <v>9</v>
      </c>
      <c r="C916" s="89" t="s">
        <v>44</v>
      </c>
      <c r="D916" s="13" t="s">
        <v>182</v>
      </c>
      <c r="E916" s="35">
        <f>VLOOKUP(B916, Passenger_Kilometre_by_mode_type[#All],MATCH(A916, Passenger_Kilometre_by_mode_type[#Headers],0),0)</f>
        <v>145514747.73957029</v>
      </c>
      <c r="F916" s="89">
        <f>VLOOKUP(C916, Reason_for_walking_cycling_journeys_by_percentage[#All],MATCH(A916, Reason_for_walking_cycling_journeys_by_percentage[#Headers],0),0)/100</f>
        <v>0.23774999999999999</v>
      </c>
      <c r="G916" s="13">
        <f t="shared" si="71"/>
        <v>34596131.275082834</v>
      </c>
      <c r="H916" s="89">
        <f>VLOOKUP(D916,Average_Distance_by_kilometre_grouping_for_mode_type[#All],MATCH(A916,Average_Distance_by_kilometre_grouping_for_mode_type[#Headers],0),0)</f>
        <v>7</v>
      </c>
      <c r="I916" s="89">
        <f>VLOOKUP(D916,Average_Distance_by_kilometres_grouping_for_trip_purpose[#All],MATCH(A916,Average_Distance_by_kilometres_grouping_for_trip_purpose[#Headers],0),0)</f>
        <v>7</v>
      </c>
      <c r="J916" s="89">
        <f t="shared" si="72"/>
        <v>7</v>
      </c>
      <c r="K916" s="89">
        <f t="shared" si="73"/>
        <v>0.1328651418809908</v>
      </c>
      <c r="L916" s="89">
        <v>1</v>
      </c>
      <c r="M916" s="13">
        <f t="shared" si="74"/>
        <v>4596619.8903972637</v>
      </c>
      <c r="N916" s="11">
        <f t="shared" ref="N916:N979" si="75">M916/SUM($M$723:$M$1082)</f>
        <v>8.1769774364173731E-5</v>
      </c>
    </row>
    <row r="917" spans="1:14" x14ac:dyDescent="0.25">
      <c r="A917" s="79" t="s">
        <v>33</v>
      </c>
      <c r="B917" s="89" t="s">
        <v>9</v>
      </c>
      <c r="C917" s="89" t="s">
        <v>44</v>
      </c>
      <c r="D917" s="13" t="s">
        <v>1</v>
      </c>
      <c r="E917" s="35">
        <f>VLOOKUP(B917, Passenger_Kilometre_by_mode_type[#All],MATCH(A917, Passenger_Kilometre_by_mode_type[#Headers],0),0)</f>
        <v>145514747.73957029</v>
      </c>
      <c r="F917" s="89">
        <f>VLOOKUP(C917, Reason_for_walking_cycling_journeys_by_percentage[#All],MATCH(A917, Reason_for_walking_cycling_journeys_by_percentage[#Headers],0),0)/100</f>
        <v>0.23774999999999999</v>
      </c>
      <c r="G917" s="13">
        <f t="shared" si="71"/>
        <v>34596131.275082834</v>
      </c>
      <c r="H917" s="89">
        <f>VLOOKUP(D917,Average_Distance_by_kilometre_grouping_for_mode_type[#All],MATCH(A917,Average_Distance_by_kilometre_grouping_for_mode_type[#Headers],0),0)</f>
        <v>35.22</v>
      </c>
      <c r="I917" s="89">
        <f>VLOOKUP(D917,Average_Distance_by_kilometres_grouping_for_trip_purpose[#All],MATCH(A917,Average_Distance_by_kilometres_grouping_for_trip_purpose[#Headers],0),0)</f>
        <v>38.15</v>
      </c>
      <c r="J917" s="89">
        <f t="shared" si="72"/>
        <v>36.685000000000002</v>
      </c>
      <c r="K917" s="89">
        <f t="shared" si="73"/>
        <v>0.69630824712916395</v>
      </c>
      <c r="L917" s="89">
        <v>1</v>
      </c>
      <c r="M917" s="13">
        <f t="shared" si="74"/>
        <v>24089571.525603376</v>
      </c>
      <c r="N917" s="11">
        <f t="shared" si="75"/>
        <v>4.2853202464995907E-4</v>
      </c>
    </row>
    <row r="918" spans="1:14" x14ac:dyDescent="0.25">
      <c r="A918" s="79" t="s">
        <v>33</v>
      </c>
      <c r="B918" s="89" t="s">
        <v>9</v>
      </c>
      <c r="C918" s="89" t="s">
        <v>45</v>
      </c>
      <c r="D918" s="13" t="s">
        <v>12</v>
      </c>
      <c r="E918" s="35">
        <f>VLOOKUP(B918, Passenger_Kilometre_by_mode_type[#All],MATCH(A918, Passenger_Kilometre_by_mode_type[#Headers],0),0)</f>
        <v>145514747.73957029</v>
      </c>
      <c r="F918" s="89">
        <f>VLOOKUP(C918, Reason_for_walking_cycling_journeys_by_percentage[#All],MATCH(A918, Reason_for_walking_cycling_journeys_by_percentage[#Headers],0),0)/100</f>
        <v>3.6750000000000005E-2</v>
      </c>
      <c r="G918" s="13">
        <f t="shared" si="71"/>
        <v>5347666.9794292087</v>
      </c>
      <c r="H918" s="89">
        <f>VLOOKUP(D918,Average_Distance_by_kilometre_grouping_for_mode_type[#All],MATCH(A918,Average_Distance_by_kilometre_grouping_for_mode_type[#Headers],0),0)</f>
        <v>1</v>
      </c>
      <c r="I918" s="89">
        <f>VLOOKUP(D918,Average_Distance_by_kilometres_grouping_for_trip_purpose[#All],MATCH(A918,Average_Distance_by_kilometres_grouping_for_trip_purpose[#Headers],0),0)</f>
        <v>1</v>
      </c>
      <c r="J918" s="89">
        <f t="shared" si="72"/>
        <v>1</v>
      </c>
      <c r="K918" s="89">
        <f t="shared" si="73"/>
        <v>1.8980734554427257E-2</v>
      </c>
      <c r="L918" s="89">
        <v>1</v>
      </c>
      <c r="M918" s="13">
        <f t="shared" si="74"/>
        <v>101502.64742202162</v>
      </c>
      <c r="N918" s="11">
        <f t="shared" si="75"/>
        <v>1.8056417052025748E-6</v>
      </c>
    </row>
    <row r="919" spans="1:14" x14ac:dyDescent="0.25">
      <c r="A919" s="79" t="s">
        <v>33</v>
      </c>
      <c r="B919" s="89" t="s">
        <v>9</v>
      </c>
      <c r="C919" s="89" t="s">
        <v>45</v>
      </c>
      <c r="D919" s="13" t="s">
        <v>181</v>
      </c>
      <c r="E919" s="35">
        <f>VLOOKUP(B919, Passenger_Kilometre_by_mode_type[#All],MATCH(A919, Passenger_Kilometre_by_mode_type[#Headers],0),0)</f>
        <v>145514747.73957029</v>
      </c>
      <c r="F919" s="89">
        <f>VLOOKUP(C919, Reason_for_walking_cycling_journeys_by_percentage[#All],MATCH(A919, Reason_for_walking_cycling_journeys_by_percentage[#Headers],0),0)/100</f>
        <v>3.6750000000000005E-2</v>
      </c>
      <c r="G919" s="13">
        <f t="shared" si="71"/>
        <v>5347666.9794292087</v>
      </c>
      <c r="H919" s="89">
        <f>VLOOKUP(D919,Average_Distance_by_kilometre_grouping_for_mode_type[#All],MATCH(A919,Average_Distance_by_kilometre_grouping_for_mode_type[#Headers],0),0)</f>
        <v>3</v>
      </c>
      <c r="I919" s="89">
        <f>VLOOKUP(D919,Average_Distance_by_kilometres_grouping_for_trip_purpose[#All],MATCH(A919,Average_Distance_by_kilometres_grouping_for_trip_purpose[#Headers],0),0)</f>
        <v>3</v>
      </c>
      <c r="J919" s="89">
        <f t="shared" si="72"/>
        <v>3</v>
      </c>
      <c r="K919" s="89">
        <f t="shared" si="73"/>
        <v>5.6942203663281767E-2</v>
      </c>
      <c r="L919" s="89">
        <v>1</v>
      </c>
      <c r="M919" s="13">
        <f t="shared" si="74"/>
        <v>304507.94226606481</v>
      </c>
      <c r="N919" s="11">
        <f t="shared" si="75"/>
        <v>5.4169251156077236E-6</v>
      </c>
    </row>
    <row r="920" spans="1:14" x14ac:dyDescent="0.25">
      <c r="A920" s="79" t="s">
        <v>33</v>
      </c>
      <c r="B920" s="89" t="s">
        <v>9</v>
      </c>
      <c r="C920" s="89" t="s">
        <v>45</v>
      </c>
      <c r="D920" s="13" t="s">
        <v>180</v>
      </c>
      <c r="E920" s="35">
        <f>VLOOKUP(B920, Passenger_Kilometre_by_mode_type[#All],MATCH(A920, Passenger_Kilometre_by_mode_type[#Headers],0),0)</f>
        <v>145514747.73957029</v>
      </c>
      <c r="F920" s="89">
        <f>VLOOKUP(C920, Reason_for_walking_cycling_journeys_by_percentage[#All],MATCH(A920, Reason_for_walking_cycling_journeys_by_percentage[#Headers],0),0)/100</f>
        <v>3.6750000000000005E-2</v>
      </c>
      <c r="G920" s="13">
        <f t="shared" si="71"/>
        <v>5347666.9794292087</v>
      </c>
      <c r="H920" s="89">
        <f>VLOOKUP(D920,Average_Distance_by_kilometre_grouping_for_mode_type[#All],MATCH(A920,Average_Distance_by_kilometre_grouping_for_mode_type[#Headers],0),0)</f>
        <v>5</v>
      </c>
      <c r="I920" s="89">
        <f>VLOOKUP(D920,Average_Distance_by_kilometres_grouping_for_trip_purpose[#All],MATCH(A920,Average_Distance_by_kilometres_grouping_for_trip_purpose[#Headers],0),0)</f>
        <v>5</v>
      </c>
      <c r="J920" s="89">
        <f t="shared" si="72"/>
        <v>5</v>
      </c>
      <c r="K920" s="89">
        <f t="shared" si="73"/>
        <v>9.490367277213628E-2</v>
      </c>
      <c r="L920" s="89">
        <v>1</v>
      </c>
      <c r="M920" s="13">
        <f t="shared" si="74"/>
        <v>507513.23711010808</v>
      </c>
      <c r="N920" s="11">
        <f t="shared" si="75"/>
        <v>9.0282085260128741E-6</v>
      </c>
    </row>
    <row r="921" spans="1:14" x14ac:dyDescent="0.25">
      <c r="A921" s="79" t="s">
        <v>33</v>
      </c>
      <c r="B921" s="89" t="s">
        <v>9</v>
      </c>
      <c r="C921" s="89" t="s">
        <v>45</v>
      </c>
      <c r="D921" s="13" t="s">
        <v>182</v>
      </c>
      <c r="E921" s="35">
        <f>VLOOKUP(B921, Passenger_Kilometre_by_mode_type[#All],MATCH(A921, Passenger_Kilometre_by_mode_type[#Headers],0),0)</f>
        <v>145514747.73957029</v>
      </c>
      <c r="F921" s="89">
        <f>VLOOKUP(C921, Reason_for_walking_cycling_journeys_by_percentage[#All],MATCH(A921, Reason_for_walking_cycling_journeys_by_percentage[#Headers],0),0)/100</f>
        <v>3.6750000000000005E-2</v>
      </c>
      <c r="G921" s="13">
        <f t="shared" si="71"/>
        <v>5347666.9794292087</v>
      </c>
      <c r="H921" s="89">
        <f>VLOOKUP(D921,Average_Distance_by_kilometre_grouping_for_mode_type[#All],MATCH(A921,Average_Distance_by_kilometre_grouping_for_mode_type[#Headers],0),0)</f>
        <v>7</v>
      </c>
      <c r="I921" s="89">
        <f>VLOOKUP(D921,Average_Distance_by_kilometres_grouping_for_trip_purpose[#All],MATCH(A921,Average_Distance_by_kilometres_grouping_for_trip_purpose[#Headers],0),0)</f>
        <v>7</v>
      </c>
      <c r="J921" s="89">
        <f t="shared" si="72"/>
        <v>7</v>
      </c>
      <c r="K921" s="89">
        <f t="shared" si="73"/>
        <v>0.1328651418809908</v>
      </c>
      <c r="L921" s="89">
        <v>1</v>
      </c>
      <c r="M921" s="13">
        <f t="shared" si="74"/>
        <v>710518.53195415135</v>
      </c>
      <c r="N921" s="11">
        <f t="shared" si="75"/>
        <v>1.2639491936418024E-5</v>
      </c>
    </row>
    <row r="922" spans="1:14" x14ac:dyDescent="0.25">
      <c r="A922" s="79" t="s">
        <v>33</v>
      </c>
      <c r="B922" s="89" t="s">
        <v>9</v>
      </c>
      <c r="C922" s="89" t="s">
        <v>45</v>
      </c>
      <c r="D922" s="13" t="s">
        <v>1</v>
      </c>
      <c r="E922" s="35">
        <f>VLOOKUP(B922, Passenger_Kilometre_by_mode_type[#All],MATCH(A922, Passenger_Kilometre_by_mode_type[#Headers],0),0)</f>
        <v>145514747.73957029</v>
      </c>
      <c r="F922" s="89">
        <f>VLOOKUP(C922, Reason_for_walking_cycling_journeys_by_percentage[#All],MATCH(A922, Reason_for_walking_cycling_journeys_by_percentage[#Headers],0),0)/100</f>
        <v>3.6750000000000005E-2</v>
      </c>
      <c r="G922" s="13">
        <f t="shared" si="71"/>
        <v>5347666.9794292087</v>
      </c>
      <c r="H922" s="89">
        <f>VLOOKUP(D922,Average_Distance_by_kilometre_grouping_for_mode_type[#All],MATCH(A922,Average_Distance_by_kilometre_grouping_for_mode_type[#Headers],0),0)</f>
        <v>35.22</v>
      </c>
      <c r="I922" s="89">
        <f>VLOOKUP(D922,Average_Distance_by_kilometres_grouping_for_trip_purpose[#All],MATCH(A922,Average_Distance_by_kilometres_grouping_for_trip_purpose[#Headers],0),0)</f>
        <v>38.15</v>
      </c>
      <c r="J922" s="89">
        <f t="shared" si="72"/>
        <v>36.685000000000002</v>
      </c>
      <c r="K922" s="89">
        <f t="shared" si="73"/>
        <v>0.69630824712916395</v>
      </c>
      <c r="L922" s="89">
        <v>1</v>
      </c>
      <c r="M922" s="13">
        <f t="shared" si="74"/>
        <v>3723624.620676863</v>
      </c>
      <c r="N922" s="11">
        <f t="shared" si="75"/>
        <v>6.6239965955356461E-5</v>
      </c>
    </row>
    <row r="923" spans="1:14" x14ac:dyDescent="0.25">
      <c r="A923" s="79" t="s">
        <v>33</v>
      </c>
      <c r="B923" s="89" t="s">
        <v>9</v>
      </c>
      <c r="C923" s="89" t="s">
        <v>56</v>
      </c>
      <c r="D923" s="13" t="s">
        <v>12</v>
      </c>
      <c r="E923" s="35">
        <f>VLOOKUP(B923, Passenger_Kilometre_by_mode_type[#All],MATCH(A923, Passenger_Kilometre_by_mode_type[#Headers],0),0)</f>
        <v>145514747.73957029</v>
      </c>
      <c r="F923" s="89">
        <f>VLOOKUP(C923, Reason_for_walking_cycling_journeys_by_percentage[#All],MATCH(A923, Reason_for_walking_cycling_journeys_by_percentage[#Headers],0),0)/100</f>
        <v>7.4500000000000011E-2</v>
      </c>
      <c r="G923" s="13">
        <f t="shared" si="71"/>
        <v>10840848.706597988</v>
      </c>
      <c r="H923" s="89">
        <f>VLOOKUP(D923,Average_Distance_by_kilometre_grouping_for_mode_type[#All],MATCH(A923,Average_Distance_by_kilometre_grouping_for_mode_type[#Headers],0),0)</f>
        <v>1</v>
      </c>
      <c r="I923" s="89">
        <f>VLOOKUP(D923,Average_Distance_by_kilometres_grouping_for_trip_purpose[#All],MATCH(A923,Average_Distance_by_kilometres_grouping_for_trip_purpose[#Headers],0),0)</f>
        <v>1</v>
      </c>
      <c r="J923" s="89">
        <f t="shared" si="72"/>
        <v>1</v>
      </c>
      <c r="K923" s="89">
        <f t="shared" si="73"/>
        <v>1.8980734554427257E-2</v>
      </c>
      <c r="L923" s="89">
        <v>1</v>
      </c>
      <c r="M923" s="13">
        <f t="shared" si="74"/>
        <v>205767.27164464246</v>
      </c>
      <c r="N923" s="11">
        <f t="shared" si="75"/>
        <v>3.6604165180297094E-6</v>
      </c>
    </row>
    <row r="924" spans="1:14" x14ac:dyDescent="0.25">
      <c r="A924" s="79" t="s">
        <v>33</v>
      </c>
      <c r="B924" s="89" t="s">
        <v>9</v>
      </c>
      <c r="C924" s="89" t="s">
        <v>56</v>
      </c>
      <c r="D924" s="13" t="s">
        <v>181</v>
      </c>
      <c r="E924" s="35">
        <f>VLOOKUP(B924, Passenger_Kilometre_by_mode_type[#All],MATCH(A924, Passenger_Kilometre_by_mode_type[#Headers],0),0)</f>
        <v>145514747.73957029</v>
      </c>
      <c r="F924" s="89">
        <f>VLOOKUP(C924, Reason_for_walking_cycling_journeys_by_percentage[#All],MATCH(A924, Reason_for_walking_cycling_journeys_by_percentage[#Headers],0),0)/100</f>
        <v>7.4500000000000011E-2</v>
      </c>
      <c r="G924" s="13">
        <f t="shared" si="71"/>
        <v>10840848.706597988</v>
      </c>
      <c r="H924" s="89">
        <f>VLOOKUP(D924,Average_Distance_by_kilometre_grouping_for_mode_type[#All],MATCH(A924,Average_Distance_by_kilometre_grouping_for_mode_type[#Headers],0),0)</f>
        <v>3</v>
      </c>
      <c r="I924" s="89">
        <f>VLOOKUP(D924,Average_Distance_by_kilometres_grouping_for_trip_purpose[#All],MATCH(A924,Average_Distance_by_kilometres_grouping_for_trip_purpose[#Headers],0),0)</f>
        <v>3</v>
      </c>
      <c r="J924" s="89">
        <f t="shared" si="72"/>
        <v>3</v>
      </c>
      <c r="K924" s="89">
        <f t="shared" si="73"/>
        <v>5.6942203663281767E-2</v>
      </c>
      <c r="L924" s="89">
        <v>1</v>
      </c>
      <c r="M924" s="13">
        <f t="shared" si="74"/>
        <v>617301.81493392738</v>
      </c>
      <c r="N924" s="11">
        <f t="shared" si="75"/>
        <v>1.0981249554089128E-5</v>
      </c>
    </row>
    <row r="925" spans="1:14" x14ac:dyDescent="0.25">
      <c r="A925" s="79" t="s">
        <v>33</v>
      </c>
      <c r="B925" s="89" t="s">
        <v>9</v>
      </c>
      <c r="C925" s="89" t="s">
        <v>56</v>
      </c>
      <c r="D925" s="13" t="s">
        <v>180</v>
      </c>
      <c r="E925" s="35">
        <f>VLOOKUP(B925, Passenger_Kilometre_by_mode_type[#All],MATCH(A925, Passenger_Kilometre_by_mode_type[#Headers],0),0)</f>
        <v>145514747.73957029</v>
      </c>
      <c r="F925" s="89">
        <f>VLOOKUP(C925, Reason_for_walking_cycling_journeys_by_percentage[#All],MATCH(A925, Reason_for_walking_cycling_journeys_by_percentage[#Headers],0),0)/100</f>
        <v>7.4500000000000011E-2</v>
      </c>
      <c r="G925" s="13">
        <f t="shared" si="71"/>
        <v>10840848.706597988</v>
      </c>
      <c r="H925" s="89">
        <f>VLOOKUP(D925,Average_Distance_by_kilometre_grouping_for_mode_type[#All],MATCH(A925,Average_Distance_by_kilometre_grouping_for_mode_type[#Headers],0),0)</f>
        <v>5</v>
      </c>
      <c r="I925" s="89">
        <f>VLOOKUP(D925,Average_Distance_by_kilometres_grouping_for_trip_purpose[#All],MATCH(A925,Average_Distance_by_kilometres_grouping_for_trip_purpose[#Headers],0),0)</f>
        <v>5</v>
      </c>
      <c r="J925" s="89">
        <f t="shared" si="72"/>
        <v>5</v>
      </c>
      <c r="K925" s="89">
        <f t="shared" si="73"/>
        <v>9.490367277213628E-2</v>
      </c>
      <c r="L925" s="89">
        <v>1</v>
      </c>
      <c r="M925" s="13">
        <f t="shared" si="74"/>
        <v>1028836.3582232122</v>
      </c>
      <c r="N925" s="11">
        <f t="shared" si="75"/>
        <v>1.8302082590148545E-5</v>
      </c>
    </row>
    <row r="926" spans="1:14" x14ac:dyDescent="0.25">
      <c r="A926" s="79" t="s">
        <v>33</v>
      </c>
      <c r="B926" s="89" t="s">
        <v>9</v>
      </c>
      <c r="C926" s="89" t="s">
        <v>56</v>
      </c>
      <c r="D926" s="13" t="s">
        <v>182</v>
      </c>
      <c r="E926" s="35">
        <f>VLOOKUP(B926, Passenger_Kilometre_by_mode_type[#All],MATCH(A926, Passenger_Kilometre_by_mode_type[#Headers],0),0)</f>
        <v>145514747.73957029</v>
      </c>
      <c r="F926" s="89">
        <f>VLOOKUP(C926, Reason_for_walking_cycling_journeys_by_percentage[#All],MATCH(A926, Reason_for_walking_cycling_journeys_by_percentage[#Headers],0),0)/100</f>
        <v>7.4500000000000011E-2</v>
      </c>
      <c r="G926" s="13">
        <f t="shared" si="71"/>
        <v>10840848.706597988</v>
      </c>
      <c r="H926" s="89">
        <f>VLOOKUP(D926,Average_Distance_by_kilometre_grouping_for_mode_type[#All],MATCH(A926,Average_Distance_by_kilometre_grouping_for_mode_type[#Headers],0),0)</f>
        <v>7</v>
      </c>
      <c r="I926" s="89">
        <f>VLOOKUP(D926,Average_Distance_by_kilometres_grouping_for_trip_purpose[#All],MATCH(A926,Average_Distance_by_kilometres_grouping_for_trip_purpose[#Headers],0),0)</f>
        <v>7</v>
      </c>
      <c r="J926" s="89">
        <f t="shared" si="72"/>
        <v>7</v>
      </c>
      <c r="K926" s="89">
        <f t="shared" si="73"/>
        <v>0.1328651418809908</v>
      </c>
      <c r="L926" s="89">
        <v>1</v>
      </c>
      <c r="M926" s="13">
        <f t="shared" si="74"/>
        <v>1440370.9015124973</v>
      </c>
      <c r="N926" s="11">
        <f t="shared" si="75"/>
        <v>2.5622915626207967E-5</v>
      </c>
    </row>
    <row r="927" spans="1:14" x14ac:dyDescent="0.25">
      <c r="A927" s="79" t="s">
        <v>33</v>
      </c>
      <c r="B927" s="89" t="s">
        <v>9</v>
      </c>
      <c r="C927" s="89" t="s">
        <v>56</v>
      </c>
      <c r="D927" s="13" t="s">
        <v>1</v>
      </c>
      <c r="E927" s="35">
        <f>VLOOKUP(B927, Passenger_Kilometre_by_mode_type[#All],MATCH(A927, Passenger_Kilometre_by_mode_type[#Headers],0),0)</f>
        <v>145514747.73957029</v>
      </c>
      <c r="F927" s="89">
        <f>VLOOKUP(C927, Reason_for_walking_cycling_journeys_by_percentage[#All],MATCH(A927, Reason_for_walking_cycling_journeys_by_percentage[#Headers],0),0)/100</f>
        <v>7.4500000000000011E-2</v>
      </c>
      <c r="G927" s="13">
        <f t="shared" si="71"/>
        <v>10840848.706597988</v>
      </c>
      <c r="H927" s="89">
        <f>VLOOKUP(D927,Average_Distance_by_kilometre_grouping_for_mode_type[#All],MATCH(A927,Average_Distance_by_kilometre_grouping_for_mode_type[#Headers],0),0)</f>
        <v>35.22</v>
      </c>
      <c r="I927" s="89">
        <f>VLOOKUP(D927,Average_Distance_by_kilometres_grouping_for_trip_purpose[#All],MATCH(A927,Average_Distance_by_kilometres_grouping_for_trip_purpose[#Headers],0),0)</f>
        <v>38.15</v>
      </c>
      <c r="J927" s="89">
        <f t="shared" si="72"/>
        <v>36.685000000000002</v>
      </c>
      <c r="K927" s="89">
        <f t="shared" si="73"/>
        <v>0.69630824712916395</v>
      </c>
      <c r="L927" s="89">
        <v>1</v>
      </c>
      <c r="M927" s="13">
        <f t="shared" si="74"/>
        <v>7548572.3602837091</v>
      </c>
      <c r="N927" s="11">
        <f t="shared" si="75"/>
        <v>1.3428237996391989E-4</v>
      </c>
    </row>
    <row r="928" spans="1:14" x14ac:dyDescent="0.25">
      <c r="A928" s="79" t="s">
        <v>33</v>
      </c>
      <c r="B928" s="89" t="s">
        <v>9</v>
      </c>
      <c r="C928" s="89" t="s">
        <v>57</v>
      </c>
      <c r="D928" s="13" t="s">
        <v>12</v>
      </c>
      <c r="E928" s="35">
        <f>VLOOKUP(B928, Passenger_Kilometre_by_mode_type[#All],MATCH(A928, Passenger_Kilometre_by_mode_type[#Headers],0),0)</f>
        <v>145514747.73957029</v>
      </c>
      <c r="F928" s="89">
        <f>VLOOKUP(C928, Reason_for_walking_cycling_journeys_by_percentage[#All],MATCH(A928, Reason_for_walking_cycling_journeys_by_percentage[#Headers],0),0)/100</f>
        <v>0.19524999999999998</v>
      </c>
      <c r="G928" s="13">
        <f t="shared" si="71"/>
        <v>28411754.496151097</v>
      </c>
      <c r="H928" s="89">
        <f>VLOOKUP(D928,Average_Distance_by_kilometre_grouping_for_mode_type[#All],MATCH(A928,Average_Distance_by_kilometre_grouping_for_mode_type[#Headers],0),0)</f>
        <v>1</v>
      </c>
      <c r="I928" s="89">
        <f>VLOOKUP(D928,Average_Distance_by_kilometres_grouping_for_trip_purpose[#All],MATCH(A928,Average_Distance_by_kilometres_grouping_for_trip_purpose[#Headers],0),0)</f>
        <v>1</v>
      </c>
      <c r="J928" s="89">
        <f t="shared" si="72"/>
        <v>1</v>
      </c>
      <c r="K928" s="89">
        <f t="shared" si="73"/>
        <v>1.8980734554427257E-2</v>
      </c>
      <c r="L928" s="89">
        <v>1</v>
      </c>
      <c r="M928" s="13">
        <f t="shared" si="74"/>
        <v>539275.97031699913</v>
      </c>
      <c r="N928" s="11">
        <f t="shared" si="75"/>
        <v>9.5932392636953104E-6</v>
      </c>
    </row>
    <row r="929" spans="1:14" x14ac:dyDescent="0.25">
      <c r="A929" s="79" t="s">
        <v>33</v>
      </c>
      <c r="B929" s="89" t="s">
        <v>9</v>
      </c>
      <c r="C929" s="89" t="s">
        <v>57</v>
      </c>
      <c r="D929" s="13" t="s">
        <v>181</v>
      </c>
      <c r="E929" s="35">
        <f>VLOOKUP(B929, Passenger_Kilometre_by_mode_type[#All],MATCH(A929, Passenger_Kilometre_by_mode_type[#Headers],0),0)</f>
        <v>145514747.73957029</v>
      </c>
      <c r="F929" s="89">
        <f>VLOOKUP(C929, Reason_for_walking_cycling_journeys_by_percentage[#All],MATCH(A929, Reason_for_walking_cycling_journeys_by_percentage[#Headers],0),0)/100</f>
        <v>0.19524999999999998</v>
      </c>
      <c r="G929" s="13">
        <f t="shared" si="71"/>
        <v>28411754.496151097</v>
      </c>
      <c r="H929" s="89">
        <f>VLOOKUP(D929,Average_Distance_by_kilometre_grouping_for_mode_type[#All],MATCH(A929,Average_Distance_by_kilometre_grouping_for_mode_type[#Headers],0),0)</f>
        <v>3</v>
      </c>
      <c r="I929" s="89">
        <f>VLOOKUP(D929,Average_Distance_by_kilometres_grouping_for_trip_purpose[#All],MATCH(A929,Average_Distance_by_kilometres_grouping_for_trip_purpose[#Headers],0),0)</f>
        <v>3</v>
      </c>
      <c r="J929" s="89">
        <f t="shared" si="72"/>
        <v>3</v>
      </c>
      <c r="K929" s="89">
        <f t="shared" si="73"/>
        <v>5.6942203663281767E-2</v>
      </c>
      <c r="L929" s="89">
        <v>1</v>
      </c>
      <c r="M929" s="13">
        <f t="shared" si="74"/>
        <v>1617827.9109509971</v>
      </c>
      <c r="N929" s="11">
        <f t="shared" si="75"/>
        <v>2.8779717791085928E-5</v>
      </c>
    </row>
    <row r="930" spans="1:14" x14ac:dyDescent="0.25">
      <c r="A930" s="79" t="s">
        <v>33</v>
      </c>
      <c r="B930" s="89" t="s">
        <v>9</v>
      </c>
      <c r="C930" s="89" t="s">
        <v>57</v>
      </c>
      <c r="D930" s="13" t="s">
        <v>180</v>
      </c>
      <c r="E930" s="35">
        <f>VLOOKUP(B930, Passenger_Kilometre_by_mode_type[#All],MATCH(A930, Passenger_Kilometre_by_mode_type[#Headers],0),0)</f>
        <v>145514747.73957029</v>
      </c>
      <c r="F930" s="89">
        <f>VLOOKUP(C930, Reason_for_walking_cycling_journeys_by_percentage[#All],MATCH(A930, Reason_for_walking_cycling_journeys_by_percentage[#Headers],0),0)/100</f>
        <v>0.19524999999999998</v>
      </c>
      <c r="G930" s="13">
        <f t="shared" si="71"/>
        <v>28411754.496151097</v>
      </c>
      <c r="H930" s="89">
        <f>VLOOKUP(D930,Average_Distance_by_kilometre_grouping_for_mode_type[#All],MATCH(A930,Average_Distance_by_kilometre_grouping_for_mode_type[#Headers],0),0)</f>
        <v>5</v>
      </c>
      <c r="I930" s="89">
        <f>VLOOKUP(D930,Average_Distance_by_kilometres_grouping_for_trip_purpose[#All],MATCH(A930,Average_Distance_by_kilometres_grouping_for_trip_purpose[#Headers],0),0)</f>
        <v>5</v>
      </c>
      <c r="J930" s="89">
        <f t="shared" si="72"/>
        <v>5</v>
      </c>
      <c r="K930" s="89">
        <f t="shared" si="73"/>
        <v>9.490367277213628E-2</v>
      </c>
      <c r="L930" s="89">
        <v>1</v>
      </c>
      <c r="M930" s="13">
        <f t="shared" si="74"/>
        <v>2696379.8515849956</v>
      </c>
      <c r="N930" s="11">
        <f t="shared" si="75"/>
        <v>4.7966196318476552E-5</v>
      </c>
    </row>
    <row r="931" spans="1:14" x14ac:dyDescent="0.25">
      <c r="A931" s="79" t="s">
        <v>33</v>
      </c>
      <c r="B931" s="89" t="s">
        <v>9</v>
      </c>
      <c r="C931" s="89" t="s">
        <v>57</v>
      </c>
      <c r="D931" s="13" t="s">
        <v>182</v>
      </c>
      <c r="E931" s="35">
        <f>VLOOKUP(B931, Passenger_Kilometre_by_mode_type[#All],MATCH(A931, Passenger_Kilometre_by_mode_type[#Headers],0),0)</f>
        <v>145514747.73957029</v>
      </c>
      <c r="F931" s="89">
        <f>VLOOKUP(C931, Reason_for_walking_cycling_journeys_by_percentage[#All],MATCH(A931, Reason_for_walking_cycling_journeys_by_percentage[#Headers],0),0)/100</f>
        <v>0.19524999999999998</v>
      </c>
      <c r="G931" s="13">
        <f t="shared" si="71"/>
        <v>28411754.496151097</v>
      </c>
      <c r="H931" s="89">
        <f>VLOOKUP(D931,Average_Distance_by_kilometre_grouping_for_mode_type[#All],MATCH(A931,Average_Distance_by_kilometre_grouping_for_mode_type[#Headers],0),0)</f>
        <v>7</v>
      </c>
      <c r="I931" s="89">
        <f>VLOOKUP(D931,Average_Distance_by_kilometres_grouping_for_trip_purpose[#All],MATCH(A931,Average_Distance_by_kilometres_grouping_for_trip_purpose[#Headers],0),0)</f>
        <v>7</v>
      </c>
      <c r="J931" s="89">
        <f t="shared" si="72"/>
        <v>7</v>
      </c>
      <c r="K931" s="89">
        <f t="shared" si="73"/>
        <v>0.1328651418809908</v>
      </c>
      <c r="L931" s="89">
        <v>1</v>
      </c>
      <c r="M931" s="13">
        <f t="shared" si="74"/>
        <v>3774931.7922189939</v>
      </c>
      <c r="N931" s="11">
        <f t="shared" si="75"/>
        <v>6.7152674845867173E-5</v>
      </c>
    </row>
    <row r="932" spans="1:14" x14ac:dyDescent="0.25">
      <c r="A932" s="79" t="s">
        <v>33</v>
      </c>
      <c r="B932" s="89" t="s">
        <v>9</v>
      </c>
      <c r="C932" s="89" t="s">
        <v>57</v>
      </c>
      <c r="D932" s="13" t="s">
        <v>1</v>
      </c>
      <c r="E932" s="35">
        <f>VLOOKUP(B932, Passenger_Kilometre_by_mode_type[#All],MATCH(A932, Passenger_Kilometre_by_mode_type[#Headers],0),0)</f>
        <v>145514747.73957029</v>
      </c>
      <c r="F932" s="89">
        <f>VLOOKUP(C932, Reason_for_walking_cycling_journeys_by_percentage[#All],MATCH(A932, Reason_for_walking_cycling_journeys_by_percentage[#Headers],0),0)/100</f>
        <v>0.19524999999999998</v>
      </c>
      <c r="G932" s="13">
        <f t="shared" si="71"/>
        <v>28411754.496151097</v>
      </c>
      <c r="H932" s="89">
        <f>VLOOKUP(D932,Average_Distance_by_kilometre_grouping_for_mode_type[#All],MATCH(A932,Average_Distance_by_kilometre_grouping_for_mode_type[#Headers],0),0)</f>
        <v>35.22</v>
      </c>
      <c r="I932" s="89">
        <f>VLOOKUP(D932,Average_Distance_by_kilometres_grouping_for_trip_purpose[#All],MATCH(A932,Average_Distance_by_kilometres_grouping_for_trip_purpose[#Headers],0),0)</f>
        <v>38.15</v>
      </c>
      <c r="J932" s="89">
        <f t="shared" si="72"/>
        <v>36.685000000000002</v>
      </c>
      <c r="K932" s="89">
        <f t="shared" si="73"/>
        <v>0.69630824712916395</v>
      </c>
      <c r="L932" s="89">
        <v>1</v>
      </c>
      <c r="M932" s="13">
        <f t="shared" si="74"/>
        <v>19783338.971079115</v>
      </c>
      <c r="N932" s="11">
        <f t="shared" si="75"/>
        <v>3.5192798238866253E-4</v>
      </c>
    </row>
    <row r="933" spans="1:14" x14ac:dyDescent="0.25">
      <c r="A933" s="79" t="s">
        <v>33</v>
      </c>
      <c r="B933" s="89" t="s">
        <v>9</v>
      </c>
      <c r="C933" s="89" t="s">
        <v>93</v>
      </c>
      <c r="D933" s="13" t="s">
        <v>12</v>
      </c>
      <c r="E933" s="35">
        <f>VLOOKUP(B933, Passenger_Kilometre_by_mode_type[#All],MATCH(A933, Passenger_Kilometre_by_mode_type[#Headers],0),0)</f>
        <v>145514747.73957029</v>
      </c>
      <c r="F933" s="89">
        <f>VLOOKUP(C933, Reason_for_walking_cycling_journeys_by_percentage[#All],MATCH(A933, Reason_for_walking_cycling_journeys_by_percentage[#Headers],0),0)/100</f>
        <v>4.4499999999999991E-2</v>
      </c>
      <c r="G933" s="13">
        <f t="shared" si="71"/>
        <v>6475406.2744108764</v>
      </c>
      <c r="H933" s="89">
        <f>VLOOKUP(D933,Average_Distance_by_kilometre_grouping_for_mode_type[#All],MATCH(A933,Average_Distance_by_kilometre_grouping_for_mode_type[#Headers],0),0)</f>
        <v>1</v>
      </c>
      <c r="I933" s="89">
        <f>VLOOKUP(D933,Average_Distance_by_kilometres_grouping_for_trip_purpose[#All],MATCH(A933,Average_Distance_by_kilometres_grouping_for_trip_purpose[#Headers],0),0)</f>
        <v>1</v>
      </c>
      <c r="J933" s="89">
        <f t="shared" si="72"/>
        <v>1</v>
      </c>
      <c r="K933" s="89">
        <f t="shared" si="73"/>
        <v>1.8980734554427257E-2</v>
      </c>
      <c r="L933" s="89">
        <v>1</v>
      </c>
      <c r="M933" s="13">
        <f t="shared" si="74"/>
        <v>122907.96762666559</v>
      </c>
      <c r="N933" s="11">
        <f t="shared" si="75"/>
        <v>2.1864232892929129E-6</v>
      </c>
    </row>
    <row r="934" spans="1:14" x14ac:dyDescent="0.25">
      <c r="A934" s="79" t="s">
        <v>33</v>
      </c>
      <c r="B934" s="89" t="s">
        <v>9</v>
      </c>
      <c r="C934" s="89" t="s">
        <v>93</v>
      </c>
      <c r="D934" s="13" t="s">
        <v>181</v>
      </c>
      <c r="E934" s="35">
        <f>VLOOKUP(B934, Passenger_Kilometre_by_mode_type[#All],MATCH(A934, Passenger_Kilometre_by_mode_type[#Headers],0),0)</f>
        <v>145514747.73957029</v>
      </c>
      <c r="F934" s="89">
        <f>VLOOKUP(C934, Reason_for_walking_cycling_journeys_by_percentage[#All],MATCH(A934, Reason_for_walking_cycling_journeys_by_percentage[#Headers],0),0)/100</f>
        <v>4.4499999999999991E-2</v>
      </c>
      <c r="G934" s="13">
        <f t="shared" si="71"/>
        <v>6475406.2744108764</v>
      </c>
      <c r="H934" s="89">
        <f>VLOOKUP(D934,Average_Distance_by_kilometre_grouping_for_mode_type[#All],MATCH(A934,Average_Distance_by_kilometre_grouping_for_mode_type[#Headers],0),0)</f>
        <v>3</v>
      </c>
      <c r="I934" s="89">
        <f>VLOOKUP(D934,Average_Distance_by_kilometres_grouping_for_trip_purpose[#All],MATCH(A934,Average_Distance_by_kilometres_grouping_for_trip_purpose[#Headers],0),0)</f>
        <v>3</v>
      </c>
      <c r="J934" s="89">
        <f t="shared" si="72"/>
        <v>3</v>
      </c>
      <c r="K934" s="89">
        <f t="shared" si="73"/>
        <v>5.6942203663281767E-2</v>
      </c>
      <c r="L934" s="89">
        <v>1</v>
      </c>
      <c r="M934" s="13">
        <f t="shared" si="74"/>
        <v>368723.90287999675</v>
      </c>
      <c r="N934" s="11">
        <f t="shared" si="75"/>
        <v>6.5592698678787383E-6</v>
      </c>
    </row>
    <row r="935" spans="1:14" x14ac:dyDescent="0.25">
      <c r="A935" s="79" t="s">
        <v>33</v>
      </c>
      <c r="B935" s="89" t="s">
        <v>9</v>
      </c>
      <c r="C935" s="89" t="s">
        <v>93</v>
      </c>
      <c r="D935" s="13" t="s">
        <v>180</v>
      </c>
      <c r="E935" s="35">
        <f>VLOOKUP(B935, Passenger_Kilometre_by_mode_type[#All],MATCH(A935, Passenger_Kilometre_by_mode_type[#Headers],0),0)</f>
        <v>145514747.73957029</v>
      </c>
      <c r="F935" s="89">
        <f>VLOOKUP(C935, Reason_for_walking_cycling_journeys_by_percentage[#All],MATCH(A935, Reason_for_walking_cycling_journeys_by_percentage[#Headers],0),0)/100</f>
        <v>4.4499999999999991E-2</v>
      </c>
      <c r="G935" s="13">
        <f t="shared" si="71"/>
        <v>6475406.2744108764</v>
      </c>
      <c r="H935" s="89">
        <f>VLOOKUP(D935,Average_Distance_by_kilometre_grouping_for_mode_type[#All],MATCH(A935,Average_Distance_by_kilometre_grouping_for_mode_type[#Headers],0),0)</f>
        <v>5</v>
      </c>
      <c r="I935" s="89">
        <f>VLOOKUP(D935,Average_Distance_by_kilometres_grouping_for_trip_purpose[#All],MATCH(A935,Average_Distance_by_kilometres_grouping_for_trip_purpose[#Headers],0),0)</f>
        <v>5</v>
      </c>
      <c r="J935" s="89">
        <f t="shared" si="72"/>
        <v>5</v>
      </c>
      <c r="K935" s="89">
        <f t="shared" si="73"/>
        <v>9.490367277213628E-2</v>
      </c>
      <c r="L935" s="89">
        <v>1</v>
      </c>
      <c r="M935" s="13">
        <f t="shared" si="74"/>
        <v>614539.8381333279</v>
      </c>
      <c r="N935" s="11">
        <f t="shared" si="75"/>
        <v>1.0932116446464563E-5</v>
      </c>
    </row>
    <row r="936" spans="1:14" x14ac:dyDescent="0.25">
      <c r="A936" s="79" t="s">
        <v>33</v>
      </c>
      <c r="B936" s="89" t="s">
        <v>9</v>
      </c>
      <c r="C936" s="89" t="s">
        <v>93</v>
      </c>
      <c r="D936" s="13" t="s">
        <v>182</v>
      </c>
      <c r="E936" s="35">
        <f>VLOOKUP(B936, Passenger_Kilometre_by_mode_type[#All],MATCH(A936, Passenger_Kilometre_by_mode_type[#Headers],0),0)</f>
        <v>145514747.73957029</v>
      </c>
      <c r="F936" s="89">
        <f>VLOOKUP(C936, Reason_for_walking_cycling_journeys_by_percentage[#All],MATCH(A936, Reason_for_walking_cycling_journeys_by_percentage[#Headers],0),0)/100</f>
        <v>4.4499999999999991E-2</v>
      </c>
      <c r="G936" s="13">
        <f t="shared" si="71"/>
        <v>6475406.2744108764</v>
      </c>
      <c r="H936" s="89">
        <f>VLOOKUP(D936,Average_Distance_by_kilometre_grouping_for_mode_type[#All],MATCH(A936,Average_Distance_by_kilometre_grouping_for_mode_type[#Headers],0),0)</f>
        <v>7</v>
      </c>
      <c r="I936" s="89">
        <f>VLOOKUP(D936,Average_Distance_by_kilometres_grouping_for_trip_purpose[#All],MATCH(A936,Average_Distance_by_kilometres_grouping_for_trip_purpose[#Headers],0),0)</f>
        <v>7</v>
      </c>
      <c r="J936" s="89">
        <f t="shared" si="72"/>
        <v>7</v>
      </c>
      <c r="K936" s="89">
        <f t="shared" si="73"/>
        <v>0.1328651418809908</v>
      </c>
      <c r="L936" s="89">
        <v>1</v>
      </c>
      <c r="M936" s="13">
        <f t="shared" si="74"/>
        <v>860355.7733866591</v>
      </c>
      <c r="N936" s="11">
        <f t="shared" si="75"/>
        <v>1.5304963025050392E-5</v>
      </c>
    </row>
    <row r="937" spans="1:14" x14ac:dyDescent="0.25">
      <c r="A937" s="79" t="s">
        <v>33</v>
      </c>
      <c r="B937" s="89" t="s">
        <v>9</v>
      </c>
      <c r="C937" s="89" t="s">
        <v>93</v>
      </c>
      <c r="D937" s="13" t="s">
        <v>1</v>
      </c>
      <c r="E937" s="35">
        <f>VLOOKUP(B937, Passenger_Kilometre_by_mode_type[#All],MATCH(A937, Passenger_Kilometre_by_mode_type[#Headers],0),0)</f>
        <v>145514747.73957029</v>
      </c>
      <c r="F937" s="89">
        <f>VLOOKUP(C937, Reason_for_walking_cycling_journeys_by_percentage[#All],MATCH(A937, Reason_for_walking_cycling_journeys_by_percentage[#Headers],0),0)/100</f>
        <v>4.4499999999999991E-2</v>
      </c>
      <c r="G937" s="13">
        <f t="shared" si="71"/>
        <v>6475406.2744108764</v>
      </c>
      <c r="H937" s="89">
        <f>VLOOKUP(D937,Average_Distance_by_kilometre_grouping_for_mode_type[#All],MATCH(A937,Average_Distance_by_kilometre_grouping_for_mode_type[#Headers],0),0)</f>
        <v>35.22</v>
      </c>
      <c r="I937" s="89">
        <f>VLOOKUP(D937,Average_Distance_by_kilometres_grouping_for_trip_purpose[#All],MATCH(A937,Average_Distance_by_kilometres_grouping_for_trip_purpose[#Headers],0),0)</f>
        <v>38.15</v>
      </c>
      <c r="J937" s="89">
        <f t="shared" si="72"/>
        <v>36.685000000000002</v>
      </c>
      <c r="K937" s="89">
        <f t="shared" si="73"/>
        <v>0.69630824712916395</v>
      </c>
      <c r="L937" s="89">
        <v>1</v>
      </c>
      <c r="M937" s="13">
        <f t="shared" si="74"/>
        <v>4508878.7923842277</v>
      </c>
      <c r="N937" s="11">
        <f t="shared" si="75"/>
        <v>8.0208938367710522E-5</v>
      </c>
    </row>
    <row r="938" spans="1:14" x14ac:dyDescent="0.25">
      <c r="A938" s="79" t="s">
        <v>33</v>
      </c>
      <c r="B938" s="89" t="s">
        <v>9</v>
      </c>
      <c r="C938" s="89" t="s">
        <v>243</v>
      </c>
      <c r="D938" s="13" t="s">
        <v>12</v>
      </c>
      <c r="E938" s="35">
        <f>VLOOKUP(B938, Passenger_Kilometre_by_mode_type[#All],MATCH(A938, Passenger_Kilometre_by_mode_type[#Headers],0),0)</f>
        <v>145514747.73957029</v>
      </c>
      <c r="F938" s="89">
        <f>VLOOKUP(C938, Reason_for_walking_cycling_journeys_by_percentage[#All],MATCH(A938, Reason_for_walking_cycling_journeys_by_percentage[#Headers],0),0)/100</f>
        <v>8.5500000000000007E-2</v>
      </c>
      <c r="G938" s="13">
        <f t="shared" si="71"/>
        <v>12441510.93173326</v>
      </c>
      <c r="H938" s="89">
        <f>VLOOKUP(D938,Average_Distance_by_kilometre_grouping_for_mode_type[#All],MATCH(A938,Average_Distance_by_kilometre_grouping_for_mode_type[#Headers],0),0)</f>
        <v>1</v>
      </c>
      <c r="I938" s="89">
        <f>VLOOKUP(D938,Average_Distance_by_kilometres_grouping_for_trip_purpose[#All],MATCH(A938,Average_Distance_by_kilometres_grouping_for_trip_purpose[#Headers],0),0)</f>
        <v>1</v>
      </c>
      <c r="J938" s="89">
        <f t="shared" si="72"/>
        <v>1</v>
      </c>
      <c r="K938" s="89">
        <f t="shared" si="73"/>
        <v>1.8980734554427257E-2</v>
      </c>
      <c r="L938" s="89">
        <v>1</v>
      </c>
      <c r="M938" s="13">
        <f t="shared" si="74"/>
        <v>236149.01645123394</v>
      </c>
      <c r="N938" s="11">
        <f t="shared" si="75"/>
        <v>4.2008807018998675E-6</v>
      </c>
    </row>
    <row r="939" spans="1:14" x14ac:dyDescent="0.25">
      <c r="A939" s="79" t="s">
        <v>33</v>
      </c>
      <c r="B939" s="89" t="s">
        <v>9</v>
      </c>
      <c r="C939" s="89" t="s">
        <v>243</v>
      </c>
      <c r="D939" s="13" t="s">
        <v>181</v>
      </c>
      <c r="E939" s="35">
        <f>VLOOKUP(B939, Passenger_Kilometre_by_mode_type[#All],MATCH(A939, Passenger_Kilometre_by_mode_type[#Headers],0),0)</f>
        <v>145514747.73957029</v>
      </c>
      <c r="F939" s="89">
        <f>VLOOKUP(C939, Reason_for_walking_cycling_journeys_by_percentage[#All],MATCH(A939, Reason_for_walking_cycling_journeys_by_percentage[#Headers],0),0)/100</f>
        <v>8.5500000000000007E-2</v>
      </c>
      <c r="G939" s="13">
        <f t="shared" si="71"/>
        <v>12441510.93173326</v>
      </c>
      <c r="H939" s="89">
        <f>VLOOKUP(D939,Average_Distance_by_kilometre_grouping_for_mode_type[#All],MATCH(A939,Average_Distance_by_kilometre_grouping_for_mode_type[#Headers],0),0)</f>
        <v>3</v>
      </c>
      <c r="I939" s="89">
        <f>VLOOKUP(D939,Average_Distance_by_kilometres_grouping_for_trip_purpose[#All],MATCH(A939,Average_Distance_by_kilometres_grouping_for_trip_purpose[#Headers],0),0)</f>
        <v>3</v>
      </c>
      <c r="J939" s="89">
        <f t="shared" si="72"/>
        <v>3</v>
      </c>
      <c r="K939" s="89">
        <f t="shared" si="73"/>
        <v>5.6942203663281767E-2</v>
      </c>
      <c r="L939" s="89">
        <v>1</v>
      </c>
      <c r="M939" s="13">
        <f t="shared" si="74"/>
        <v>708447.04935370176</v>
      </c>
      <c r="N939" s="11">
        <f t="shared" si="75"/>
        <v>1.2602642105699602E-5</v>
      </c>
    </row>
    <row r="940" spans="1:14" x14ac:dyDescent="0.25">
      <c r="A940" s="79" t="s">
        <v>33</v>
      </c>
      <c r="B940" s="89" t="s">
        <v>9</v>
      </c>
      <c r="C940" s="89" t="s">
        <v>243</v>
      </c>
      <c r="D940" s="13" t="s">
        <v>180</v>
      </c>
      <c r="E940" s="35">
        <f>VLOOKUP(B940, Passenger_Kilometre_by_mode_type[#All],MATCH(A940, Passenger_Kilometre_by_mode_type[#Headers],0),0)</f>
        <v>145514747.73957029</v>
      </c>
      <c r="F940" s="89">
        <f>VLOOKUP(C940, Reason_for_walking_cycling_journeys_by_percentage[#All],MATCH(A940, Reason_for_walking_cycling_journeys_by_percentage[#Headers],0),0)/100</f>
        <v>8.5500000000000007E-2</v>
      </c>
      <c r="G940" s="13">
        <f t="shared" si="71"/>
        <v>12441510.93173326</v>
      </c>
      <c r="H940" s="89">
        <f>VLOOKUP(D940,Average_Distance_by_kilometre_grouping_for_mode_type[#All],MATCH(A940,Average_Distance_by_kilometre_grouping_for_mode_type[#Headers],0),0)</f>
        <v>5</v>
      </c>
      <c r="I940" s="89">
        <f>VLOOKUP(D940,Average_Distance_by_kilometres_grouping_for_trip_purpose[#All],MATCH(A940,Average_Distance_by_kilometres_grouping_for_trip_purpose[#Headers],0),0)</f>
        <v>5</v>
      </c>
      <c r="J940" s="89">
        <f t="shared" si="72"/>
        <v>5</v>
      </c>
      <c r="K940" s="89">
        <f t="shared" si="73"/>
        <v>9.490367277213628E-2</v>
      </c>
      <c r="L940" s="89">
        <v>1</v>
      </c>
      <c r="M940" s="13">
        <f t="shared" si="74"/>
        <v>1180745.0822561698</v>
      </c>
      <c r="N940" s="11">
        <f t="shared" si="75"/>
        <v>2.1004403509499337E-5</v>
      </c>
    </row>
    <row r="941" spans="1:14" x14ac:dyDescent="0.25">
      <c r="A941" s="79" t="s">
        <v>33</v>
      </c>
      <c r="B941" s="89" t="s">
        <v>9</v>
      </c>
      <c r="C941" s="89" t="s">
        <v>243</v>
      </c>
      <c r="D941" s="13" t="s">
        <v>182</v>
      </c>
      <c r="E941" s="35">
        <f>VLOOKUP(B941, Passenger_Kilometre_by_mode_type[#All],MATCH(A941, Passenger_Kilometre_by_mode_type[#Headers],0),0)</f>
        <v>145514747.73957029</v>
      </c>
      <c r="F941" s="89">
        <f>VLOOKUP(C941, Reason_for_walking_cycling_journeys_by_percentage[#All],MATCH(A941, Reason_for_walking_cycling_journeys_by_percentage[#Headers],0),0)/100</f>
        <v>8.5500000000000007E-2</v>
      </c>
      <c r="G941" s="13">
        <f t="shared" si="71"/>
        <v>12441510.93173326</v>
      </c>
      <c r="H941" s="89">
        <f>VLOOKUP(D941,Average_Distance_by_kilometre_grouping_for_mode_type[#All],MATCH(A941,Average_Distance_by_kilometre_grouping_for_mode_type[#Headers],0),0)</f>
        <v>7</v>
      </c>
      <c r="I941" s="89">
        <f>VLOOKUP(D941,Average_Distance_by_kilometres_grouping_for_trip_purpose[#All],MATCH(A941,Average_Distance_by_kilometres_grouping_for_trip_purpose[#Headers],0),0)</f>
        <v>7</v>
      </c>
      <c r="J941" s="89">
        <f t="shared" si="72"/>
        <v>7</v>
      </c>
      <c r="K941" s="89">
        <f t="shared" si="73"/>
        <v>0.1328651418809908</v>
      </c>
      <c r="L941" s="89">
        <v>1</v>
      </c>
      <c r="M941" s="13">
        <f t="shared" si="74"/>
        <v>1653043.1151586375</v>
      </c>
      <c r="N941" s="11">
        <f t="shared" si="75"/>
        <v>2.940616491329907E-5</v>
      </c>
    </row>
    <row r="942" spans="1:14" x14ac:dyDescent="0.25">
      <c r="A942" s="79" t="s">
        <v>33</v>
      </c>
      <c r="B942" s="89" t="s">
        <v>9</v>
      </c>
      <c r="C942" s="89" t="s">
        <v>243</v>
      </c>
      <c r="D942" s="13" t="s">
        <v>1</v>
      </c>
      <c r="E942" s="35">
        <f>VLOOKUP(B942, Passenger_Kilometre_by_mode_type[#All],MATCH(A942, Passenger_Kilometre_by_mode_type[#Headers],0),0)</f>
        <v>145514747.73957029</v>
      </c>
      <c r="F942" s="89">
        <f>VLOOKUP(C942, Reason_for_walking_cycling_journeys_by_percentage[#All],MATCH(A942, Reason_for_walking_cycling_journeys_by_percentage[#Headers],0),0)/100</f>
        <v>8.5500000000000007E-2</v>
      </c>
      <c r="G942" s="13">
        <f t="shared" si="71"/>
        <v>12441510.93173326</v>
      </c>
      <c r="H942" s="89">
        <f>VLOOKUP(D942,Average_Distance_by_kilometre_grouping_for_mode_type[#All],MATCH(A942,Average_Distance_by_kilometre_grouping_for_mode_type[#Headers],0),0)</f>
        <v>35.22</v>
      </c>
      <c r="I942" s="89">
        <f>VLOOKUP(D942,Average_Distance_by_kilometres_grouping_for_trip_purpose[#All],MATCH(A942,Average_Distance_by_kilometres_grouping_for_trip_purpose[#Headers],0),0)</f>
        <v>38.15</v>
      </c>
      <c r="J942" s="89">
        <f t="shared" si="72"/>
        <v>36.685000000000002</v>
      </c>
      <c r="K942" s="89">
        <f t="shared" si="73"/>
        <v>0.69630824712916395</v>
      </c>
      <c r="L942" s="89">
        <v>1</v>
      </c>
      <c r="M942" s="13">
        <f t="shared" si="74"/>
        <v>8663126.6685135178</v>
      </c>
      <c r="N942" s="11">
        <f t="shared" si="75"/>
        <v>1.5410930854919665E-4</v>
      </c>
    </row>
    <row r="943" spans="1:14" x14ac:dyDescent="0.25">
      <c r="A943" s="79" t="s">
        <v>33</v>
      </c>
      <c r="B943" s="89" t="s">
        <v>9</v>
      </c>
      <c r="C943" s="89" t="s">
        <v>50</v>
      </c>
      <c r="D943" s="13" t="s">
        <v>12</v>
      </c>
      <c r="E943" s="35">
        <f>VLOOKUP(B943, Passenger_Kilometre_by_mode_type[#All],MATCH(A943, Passenger_Kilometre_by_mode_type[#Headers],0),0)</f>
        <v>145514747.73957029</v>
      </c>
      <c r="F943" s="89">
        <f>VLOOKUP(C943, Reason_for_walking_cycling_journeys_by_percentage[#All],MATCH(A943, Reason_for_walking_cycling_journeys_by_percentage[#Headers],0),0)/100</f>
        <v>6.4000000000000001E-2</v>
      </c>
      <c r="G943" s="13">
        <f t="shared" si="71"/>
        <v>9312943.8553324994</v>
      </c>
      <c r="H943" s="89">
        <f>VLOOKUP(D943,Average_Distance_by_kilometre_grouping_for_mode_type[#All],MATCH(A943,Average_Distance_by_kilometre_grouping_for_mode_type[#Headers],0),0)</f>
        <v>1</v>
      </c>
      <c r="I943" s="89">
        <f>VLOOKUP(D943,Average_Distance_by_kilometres_grouping_for_trip_purpose[#All],MATCH(A943,Average_Distance_by_kilometres_grouping_for_trip_purpose[#Headers],0),0)</f>
        <v>1</v>
      </c>
      <c r="J943" s="89">
        <f t="shared" si="72"/>
        <v>1</v>
      </c>
      <c r="K943" s="89">
        <f t="shared" si="73"/>
        <v>1.8980734554427257E-2</v>
      </c>
      <c r="L943" s="89">
        <v>1</v>
      </c>
      <c r="M943" s="13">
        <f t="shared" si="74"/>
        <v>176766.51523835058</v>
      </c>
      <c r="N943" s="11">
        <f t="shared" si="75"/>
        <v>3.1445188879718311E-6</v>
      </c>
    </row>
    <row r="944" spans="1:14" x14ac:dyDescent="0.25">
      <c r="A944" s="79" t="s">
        <v>33</v>
      </c>
      <c r="B944" s="89" t="s">
        <v>9</v>
      </c>
      <c r="C944" s="89" t="s">
        <v>50</v>
      </c>
      <c r="D944" s="13" t="s">
        <v>181</v>
      </c>
      <c r="E944" s="35">
        <f>VLOOKUP(B944, Passenger_Kilometre_by_mode_type[#All],MATCH(A944, Passenger_Kilometre_by_mode_type[#Headers],0),0)</f>
        <v>145514747.73957029</v>
      </c>
      <c r="F944" s="89">
        <f>VLOOKUP(C944, Reason_for_walking_cycling_journeys_by_percentage[#All],MATCH(A944, Reason_for_walking_cycling_journeys_by_percentage[#Headers],0),0)/100</f>
        <v>6.4000000000000001E-2</v>
      </c>
      <c r="G944" s="13">
        <f t="shared" si="71"/>
        <v>9312943.8553324994</v>
      </c>
      <c r="H944" s="89">
        <f>VLOOKUP(D944,Average_Distance_by_kilometre_grouping_for_mode_type[#All],MATCH(A944,Average_Distance_by_kilometre_grouping_for_mode_type[#Headers],0),0)</f>
        <v>3</v>
      </c>
      <c r="I944" s="89">
        <f>VLOOKUP(D944,Average_Distance_by_kilometres_grouping_for_trip_purpose[#All],MATCH(A944,Average_Distance_by_kilometres_grouping_for_trip_purpose[#Headers],0),0)</f>
        <v>3</v>
      </c>
      <c r="J944" s="89">
        <f t="shared" si="72"/>
        <v>3</v>
      </c>
      <c r="K944" s="89">
        <f t="shared" si="73"/>
        <v>5.6942203663281767E-2</v>
      </c>
      <c r="L944" s="89">
        <v>1</v>
      </c>
      <c r="M944" s="13">
        <f t="shared" si="74"/>
        <v>530299.5457150517</v>
      </c>
      <c r="N944" s="11">
        <f t="shared" si="75"/>
        <v>9.4335566639154933E-6</v>
      </c>
    </row>
    <row r="945" spans="1:14" x14ac:dyDescent="0.25">
      <c r="A945" s="79" t="s">
        <v>33</v>
      </c>
      <c r="B945" s="89" t="s">
        <v>9</v>
      </c>
      <c r="C945" s="89" t="s">
        <v>50</v>
      </c>
      <c r="D945" s="13" t="s">
        <v>180</v>
      </c>
      <c r="E945" s="35">
        <f>VLOOKUP(B945, Passenger_Kilometre_by_mode_type[#All],MATCH(A945, Passenger_Kilometre_by_mode_type[#Headers],0),0)</f>
        <v>145514747.73957029</v>
      </c>
      <c r="F945" s="89">
        <f>VLOOKUP(C945, Reason_for_walking_cycling_journeys_by_percentage[#All],MATCH(A945, Reason_for_walking_cycling_journeys_by_percentage[#Headers],0),0)/100</f>
        <v>6.4000000000000001E-2</v>
      </c>
      <c r="G945" s="13">
        <f t="shared" si="71"/>
        <v>9312943.8553324994</v>
      </c>
      <c r="H945" s="89">
        <f>VLOOKUP(D945,Average_Distance_by_kilometre_grouping_for_mode_type[#All],MATCH(A945,Average_Distance_by_kilometre_grouping_for_mode_type[#Headers],0),0)</f>
        <v>5</v>
      </c>
      <c r="I945" s="89">
        <f>VLOOKUP(D945,Average_Distance_by_kilometres_grouping_for_trip_purpose[#All],MATCH(A945,Average_Distance_by_kilometres_grouping_for_trip_purpose[#Headers],0),0)</f>
        <v>5</v>
      </c>
      <c r="J945" s="89">
        <f t="shared" si="72"/>
        <v>5</v>
      </c>
      <c r="K945" s="89">
        <f t="shared" si="73"/>
        <v>9.490367277213628E-2</v>
      </c>
      <c r="L945" s="89">
        <v>1</v>
      </c>
      <c r="M945" s="13">
        <f t="shared" si="74"/>
        <v>883832.5761917528</v>
      </c>
      <c r="N945" s="11">
        <f t="shared" si="75"/>
        <v>1.5722594439859152E-5</v>
      </c>
    </row>
    <row r="946" spans="1:14" x14ac:dyDescent="0.25">
      <c r="A946" s="79" t="s">
        <v>33</v>
      </c>
      <c r="B946" s="89" t="s">
        <v>9</v>
      </c>
      <c r="C946" s="89" t="s">
        <v>50</v>
      </c>
      <c r="D946" s="13" t="s">
        <v>182</v>
      </c>
      <c r="E946" s="35">
        <f>VLOOKUP(B946, Passenger_Kilometre_by_mode_type[#All],MATCH(A946, Passenger_Kilometre_by_mode_type[#Headers],0),0)</f>
        <v>145514747.73957029</v>
      </c>
      <c r="F946" s="89">
        <f>VLOOKUP(C946, Reason_for_walking_cycling_journeys_by_percentage[#All],MATCH(A946, Reason_for_walking_cycling_journeys_by_percentage[#Headers],0),0)/100</f>
        <v>6.4000000000000001E-2</v>
      </c>
      <c r="G946" s="13">
        <f t="shared" si="71"/>
        <v>9312943.8553324994</v>
      </c>
      <c r="H946" s="89">
        <f>VLOOKUP(D946,Average_Distance_by_kilometre_grouping_for_mode_type[#All],MATCH(A946,Average_Distance_by_kilometre_grouping_for_mode_type[#Headers],0),0)</f>
        <v>7</v>
      </c>
      <c r="I946" s="89">
        <f>VLOOKUP(D946,Average_Distance_by_kilometres_grouping_for_trip_purpose[#All],MATCH(A946,Average_Distance_by_kilometres_grouping_for_trip_purpose[#Headers],0),0)</f>
        <v>7</v>
      </c>
      <c r="J946" s="89">
        <f t="shared" si="72"/>
        <v>7</v>
      </c>
      <c r="K946" s="89">
        <f t="shared" si="73"/>
        <v>0.1328651418809908</v>
      </c>
      <c r="L946" s="89">
        <v>1</v>
      </c>
      <c r="M946" s="13">
        <f t="shared" si="74"/>
        <v>1237365.6066684539</v>
      </c>
      <c r="N946" s="11">
        <f t="shared" si="75"/>
        <v>2.2011632215802814E-5</v>
      </c>
    </row>
    <row r="947" spans="1:14" x14ac:dyDescent="0.25">
      <c r="A947" s="79" t="s">
        <v>33</v>
      </c>
      <c r="B947" s="89" t="s">
        <v>9</v>
      </c>
      <c r="C947" s="89" t="s">
        <v>50</v>
      </c>
      <c r="D947" s="13" t="s">
        <v>1</v>
      </c>
      <c r="E947" s="35">
        <f>VLOOKUP(B947, Passenger_Kilometre_by_mode_type[#All],MATCH(A947, Passenger_Kilometre_by_mode_type[#Headers],0),0)</f>
        <v>145514747.73957029</v>
      </c>
      <c r="F947" s="89">
        <f>VLOOKUP(C947, Reason_for_walking_cycling_journeys_by_percentage[#All],MATCH(A947, Reason_for_walking_cycling_journeys_by_percentage[#Headers],0),0)/100</f>
        <v>6.4000000000000001E-2</v>
      </c>
      <c r="G947" s="13">
        <f t="shared" si="71"/>
        <v>9312943.8553324994</v>
      </c>
      <c r="H947" s="89">
        <f>VLOOKUP(D947,Average_Distance_by_kilometre_grouping_for_mode_type[#All],MATCH(A947,Average_Distance_by_kilometre_grouping_for_mode_type[#Headers],0),0)</f>
        <v>35.22</v>
      </c>
      <c r="I947" s="89">
        <f>VLOOKUP(D947,Average_Distance_by_kilometres_grouping_for_trip_purpose[#All],MATCH(A947,Average_Distance_by_kilometres_grouping_for_trip_purpose[#Headers],0),0)</f>
        <v>38.15</v>
      </c>
      <c r="J947" s="89">
        <f t="shared" si="72"/>
        <v>36.685000000000002</v>
      </c>
      <c r="K947" s="89">
        <f t="shared" si="73"/>
        <v>0.69630824712916395</v>
      </c>
      <c r="L947" s="89">
        <v>1</v>
      </c>
      <c r="M947" s="13">
        <f t="shared" si="74"/>
        <v>6484679.6115188906</v>
      </c>
      <c r="N947" s="11">
        <f t="shared" si="75"/>
        <v>1.1535667540524662E-4</v>
      </c>
    </row>
    <row r="948" spans="1:14" x14ac:dyDescent="0.25">
      <c r="A948" s="79" t="s">
        <v>33</v>
      </c>
      <c r="B948" s="89" t="s">
        <v>10</v>
      </c>
      <c r="C948" s="89" t="s">
        <v>42</v>
      </c>
      <c r="D948" s="13" t="s">
        <v>12</v>
      </c>
      <c r="E948" s="35">
        <f>VLOOKUP(B948, Passenger_Kilometre_by_mode_type[#All],MATCH(A948, Passenger_Kilometre_by_mode_type[#Headers],0),0)</f>
        <v>2141662556.5333641</v>
      </c>
      <c r="F948" s="89">
        <f>VLOOKUP(C948, Reason_for_public_transport_journeys_by_percentage[#All],MATCH(A948, Reason_for_public_transport_journeys_by_percentage[#Headers],0),0)/100</f>
        <v>0.28824999999999995</v>
      </c>
      <c r="G948" s="13">
        <f t="shared" si="71"/>
        <v>617334231.92074203</v>
      </c>
      <c r="H948" s="89">
        <f>VLOOKUP(D948,Average_Distance_by_kilometre_grouping_for_mode_type[#All],MATCH(A948,Average_Distance_by_kilometre_grouping_for_mode_type[#Headers],0),0)</f>
        <v>1</v>
      </c>
      <c r="I948" s="89">
        <f>VLOOKUP(D948,Average_Distance_by_kilometres_grouping_for_trip_purpose[#All],MATCH(A948,Average_Distance_by_kilometres_grouping_for_trip_purpose[#Headers],0),0)</f>
        <v>1</v>
      </c>
      <c r="J948" s="89">
        <f t="shared" si="72"/>
        <v>1</v>
      </c>
      <c r="K948" s="89">
        <f t="shared" si="73"/>
        <v>1.8980734554427257E-2</v>
      </c>
      <c r="L948" s="89">
        <v>1</v>
      </c>
      <c r="M948" s="13">
        <f t="shared" si="74"/>
        <v>11717457.187448839</v>
      </c>
      <c r="N948" s="11">
        <f t="shared" si="75"/>
        <v>2.0844312846950464E-4</v>
      </c>
    </row>
    <row r="949" spans="1:14" x14ac:dyDescent="0.25">
      <c r="A949" s="79" t="s">
        <v>33</v>
      </c>
      <c r="B949" s="89" t="s">
        <v>10</v>
      </c>
      <c r="C949" s="89" t="s">
        <v>42</v>
      </c>
      <c r="D949" s="13" t="s">
        <v>181</v>
      </c>
      <c r="E949" s="35">
        <f>VLOOKUP(B949, Passenger_Kilometre_by_mode_type[#All],MATCH(A949, Passenger_Kilometre_by_mode_type[#Headers],0),0)</f>
        <v>2141662556.5333641</v>
      </c>
      <c r="F949" s="89">
        <f>VLOOKUP(C949, Reason_for_public_transport_journeys_by_percentage[#All],MATCH(A949, Reason_for_public_transport_journeys_by_percentage[#Headers],0),0)/100</f>
        <v>0.28824999999999995</v>
      </c>
      <c r="G949" s="13">
        <f t="shared" si="71"/>
        <v>617334231.92074203</v>
      </c>
      <c r="H949" s="89">
        <f>VLOOKUP(D949,Average_Distance_by_kilometre_grouping_for_mode_type[#All],MATCH(A949,Average_Distance_by_kilometre_grouping_for_mode_type[#Headers],0),0)</f>
        <v>3</v>
      </c>
      <c r="I949" s="89">
        <f>VLOOKUP(D949,Average_Distance_by_kilometres_grouping_for_trip_purpose[#All],MATCH(A949,Average_Distance_by_kilometres_grouping_for_trip_purpose[#Headers],0),0)</f>
        <v>3</v>
      </c>
      <c r="J949" s="89">
        <f t="shared" si="72"/>
        <v>3</v>
      </c>
      <c r="K949" s="89">
        <f t="shared" si="73"/>
        <v>5.6942203663281767E-2</v>
      </c>
      <c r="L949" s="89">
        <v>1</v>
      </c>
      <c r="M949" s="13">
        <f t="shared" si="74"/>
        <v>35152371.562346511</v>
      </c>
      <c r="N949" s="11">
        <f t="shared" si="75"/>
        <v>6.253293854085139E-4</v>
      </c>
    </row>
    <row r="950" spans="1:14" x14ac:dyDescent="0.25">
      <c r="A950" s="79" t="s">
        <v>33</v>
      </c>
      <c r="B950" s="89" t="s">
        <v>10</v>
      </c>
      <c r="C950" s="89" t="s">
        <v>42</v>
      </c>
      <c r="D950" s="13" t="s">
        <v>180</v>
      </c>
      <c r="E950" s="35">
        <f>VLOOKUP(B950, Passenger_Kilometre_by_mode_type[#All],MATCH(A950, Passenger_Kilometre_by_mode_type[#Headers],0),0)</f>
        <v>2141662556.5333641</v>
      </c>
      <c r="F950" s="89">
        <f>VLOOKUP(C950, Reason_for_public_transport_journeys_by_percentage[#All],MATCH(A950, Reason_for_public_transport_journeys_by_percentage[#Headers],0),0)/100</f>
        <v>0.28824999999999995</v>
      </c>
      <c r="G950" s="13">
        <f t="shared" si="71"/>
        <v>617334231.92074203</v>
      </c>
      <c r="H950" s="89">
        <f>VLOOKUP(D950,Average_Distance_by_kilometre_grouping_for_mode_type[#All],MATCH(A950,Average_Distance_by_kilometre_grouping_for_mode_type[#Headers],0),0)</f>
        <v>5</v>
      </c>
      <c r="I950" s="89">
        <f>VLOOKUP(D950,Average_Distance_by_kilometres_grouping_for_trip_purpose[#All],MATCH(A950,Average_Distance_by_kilometres_grouping_for_trip_purpose[#Headers],0),0)</f>
        <v>5</v>
      </c>
      <c r="J950" s="89">
        <f t="shared" si="72"/>
        <v>5</v>
      </c>
      <c r="K950" s="89">
        <f t="shared" si="73"/>
        <v>9.490367277213628E-2</v>
      </c>
      <c r="L950" s="89">
        <v>1</v>
      </c>
      <c r="M950" s="13">
        <f t="shared" si="74"/>
        <v>58587285.937244192</v>
      </c>
      <c r="N950" s="11">
        <f t="shared" si="75"/>
        <v>1.0422156423475232E-3</v>
      </c>
    </row>
    <row r="951" spans="1:14" x14ac:dyDescent="0.25">
      <c r="A951" s="79" t="s">
        <v>33</v>
      </c>
      <c r="B951" s="89" t="s">
        <v>10</v>
      </c>
      <c r="C951" s="89" t="s">
        <v>42</v>
      </c>
      <c r="D951" s="13" t="s">
        <v>182</v>
      </c>
      <c r="E951" s="35">
        <f>VLOOKUP(B951, Passenger_Kilometre_by_mode_type[#All],MATCH(A951, Passenger_Kilometre_by_mode_type[#Headers],0),0)</f>
        <v>2141662556.5333641</v>
      </c>
      <c r="F951" s="89">
        <f>VLOOKUP(C951, Reason_for_public_transport_journeys_by_percentage[#All],MATCH(A951, Reason_for_public_transport_journeys_by_percentage[#Headers],0),0)/100</f>
        <v>0.28824999999999995</v>
      </c>
      <c r="G951" s="13">
        <f t="shared" si="71"/>
        <v>617334231.92074203</v>
      </c>
      <c r="H951" s="89">
        <f>VLOOKUP(D951,Average_Distance_by_kilometre_grouping_for_mode_type[#All],MATCH(A951,Average_Distance_by_kilometre_grouping_for_mode_type[#Headers],0),0)</f>
        <v>7</v>
      </c>
      <c r="I951" s="89">
        <f>VLOOKUP(D951,Average_Distance_by_kilometres_grouping_for_trip_purpose[#All],MATCH(A951,Average_Distance_by_kilometres_grouping_for_trip_purpose[#Headers],0),0)</f>
        <v>7</v>
      </c>
      <c r="J951" s="89">
        <f t="shared" si="72"/>
        <v>7</v>
      </c>
      <c r="K951" s="89">
        <f t="shared" si="73"/>
        <v>0.1328651418809908</v>
      </c>
      <c r="L951" s="89">
        <v>1</v>
      </c>
      <c r="M951" s="13">
        <f t="shared" si="74"/>
        <v>82022200.312141865</v>
      </c>
      <c r="N951" s="11">
        <f t="shared" si="75"/>
        <v>1.4591018992865324E-3</v>
      </c>
    </row>
    <row r="952" spans="1:14" x14ac:dyDescent="0.25">
      <c r="A952" s="79" t="s">
        <v>33</v>
      </c>
      <c r="B952" s="89" t="s">
        <v>10</v>
      </c>
      <c r="C952" s="89" t="s">
        <v>42</v>
      </c>
      <c r="D952" s="13" t="s">
        <v>1</v>
      </c>
      <c r="E952" s="35">
        <f>VLOOKUP(B952, Passenger_Kilometre_by_mode_type[#All],MATCH(A952, Passenger_Kilometre_by_mode_type[#Headers],0),0)</f>
        <v>2141662556.5333641</v>
      </c>
      <c r="F952" s="89">
        <f>VLOOKUP(C952, Reason_for_public_transport_journeys_by_percentage[#All],MATCH(A952, Reason_for_public_transport_journeys_by_percentage[#Headers],0),0)/100</f>
        <v>0.28824999999999995</v>
      </c>
      <c r="G952" s="13">
        <f t="shared" si="71"/>
        <v>617334231.92074203</v>
      </c>
      <c r="H952" s="89">
        <f>VLOOKUP(D952,Average_Distance_by_kilometre_grouping_for_mode_type[#All],MATCH(A952,Average_Distance_by_kilometre_grouping_for_mode_type[#Headers],0),0)</f>
        <v>35.22</v>
      </c>
      <c r="I952" s="89">
        <f>VLOOKUP(D952,Average_Distance_by_kilometres_grouping_for_trip_purpose[#All],MATCH(A952,Average_Distance_by_kilometres_grouping_for_trip_purpose[#Headers],0),0)</f>
        <v>38.15</v>
      </c>
      <c r="J952" s="89">
        <f t="shared" si="72"/>
        <v>36.685000000000002</v>
      </c>
      <c r="K952" s="89">
        <f t="shared" si="73"/>
        <v>0.69630824712916395</v>
      </c>
      <c r="L952" s="89">
        <v>1</v>
      </c>
      <c r="M952" s="13">
        <f t="shared" si="74"/>
        <v>429854916.92156065</v>
      </c>
      <c r="N952" s="11">
        <f t="shared" si="75"/>
        <v>7.646736167903778E-3</v>
      </c>
    </row>
    <row r="953" spans="1:14" x14ac:dyDescent="0.25">
      <c r="A953" s="79" t="s">
        <v>33</v>
      </c>
      <c r="B953" s="89" t="s">
        <v>10</v>
      </c>
      <c r="C953" s="89" t="s">
        <v>43</v>
      </c>
      <c r="D953" s="13" t="s">
        <v>12</v>
      </c>
      <c r="E953" s="35">
        <f>VLOOKUP(B953, Passenger_Kilometre_by_mode_type[#All],MATCH(A953, Passenger_Kilometre_by_mode_type[#Headers],0),0)</f>
        <v>2141662556.5333641</v>
      </c>
      <c r="F953" s="89">
        <f>VLOOKUP(C953, Reason_for_public_transport_journeys_by_percentage[#All],MATCH(A953, Reason_for_public_transport_journeys_by_percentage[#Headers],0),0)/100</f>
        <v>0.12437499999999999</v>
      </c>
      <c r="G953" s="13">
        <f t="shared" si="71"/>
        <v>266369280.46883711</v>
      </c>
      <c r="H953" s="89">
        <f>VLOOKUP(D953,Average_Distance_by_kilometre_grouping_for_mode_type[#All],MATCH(A953,Average_Distance_by_kilometre_grouping_for_mode_type[#Headers],0),0)</f>
        <v>1</v>
      </c>
      <c r="I953" s="89">
        <f>VLOOKUP(D953,Average_Distance_by_kilometres_grouping_for_trip_purpose[#All],MATCH(A953,Average_Distance_by_kilometres_grouping_for_trip_purpose[#Headers],0),0)</f>
        <v>1</v>
      </c>
      <c r="J953" s="89">
        <f t="shared" si="72"/>
        <v>1</v>
      </c>
      <c r="K953" s="89">
        <f t="shared" si="73"/>
        <v>1.8980734554427257E-2</v>
      </c>
      <c r="L953" s="89">
        <v>1</v>
      </c>
      <c r="M953" s="13">
        <f t="shared" si="74"/>
        <v>5055884.6060327822</v>
      </c>
      <c r="N953" s="11">
        <f t="shared" si="75"/>
        <v>8.993968466051915E-5</v>
      </c>
    </row>
    <row r="954" spans="1:14" x14ac:dyDescent="0.25">
      <c r="A954" s="79" t="s">
        <v>33</v>
      </c>
      <c r="B954" s="89" t="s">
        <v>10</v>
      </c>
      <c r="C954" s="89" t="s">
        <v>43</v>
      </c>
      <c r="D954" s="13" t="s">
        <v>181</v>
      </c>
      <c r="E954" s="35">
        <f>VLOOKUP(B954, Passenger_Kilometre_by_mode_type[#All],MATCH(A954, Passenger_Kilometre_by_mode_type[#Headers],0),0)</f>
        <v>2141662556.5333641</v>
      </c>
      <c r="F954" s="89">
        <f>VLOOKUP(C954, Reason_for_public_transport_journeys_by_percentage[#All],MATCH(A954, Reason_for_public_transport_journeys_by_percentage[#Headers],0),0)/100</f>
        <v>0.12437499999999999</v>
      </c>
      <c r="G954" s="13">
        <f t="shared" si="71"/>
        <v>266369280.46883711</v>
      </c>
      <c r="H954" s="89">
        <f>VLOOKUP(D954,Average_Distance_by_kilometre_grouping_for_mode_type[#All],MATCH(A954,Average_Distance_by_kilometre_grouping_for_mode_type[#Headers],0),0)</f>
        <v>3</v>
      </c>
      <c r="I954" s="89">
        <f>VLOOKUP(D954,Average_Distance_by_kilometres_grouping_for_trip_purpose[#All],MATCH(A954,Average_Distance_by_kilometres_grouping_for_trip_purpose[#Headers],0),0)</f>
        <v>3</v>
      </c>
      <c r="J954" s="89">
        <f t="shared" si="72"/>
        <v>3</v>
      </c>
      <c r="K954" s="89">
        <f t="shared" si="73"/>
        <v>5.6942203663281767E-2</v>
      </c>
      <c r="L954" s="89">
        <v>1</v>
      </c>
      <c r="M954" s="13">
        <f t="shared" si="74"/>
        <v>15167653.818098346</v>
      </c>
      <c r="N954" s="11">
        <f t="shared" si="75"/>
        <v>2.6981905398155742E-4</v>
      </c>
    </row>
    <row r="955" spans="1:14" x14ac:dyDescent="0.25">
      <c r="A955" s="79" t="s">
        <v>33</v>
      </c>
      <c r="B955" s="89" t="s">
        <v>10</v>
      </c>
      <c r="C955" s="89" t="s">
        <v>43</v>
      </c>
      <c r="D955" s="13" t="s">
        <v>180</v>
      </c>
      <c r="E955" s="35">
        <f>VLOOKUP(B955, Passenger_Kilometre_by_mode_type[#All],MATCH(A955, Passenger_Kilometre_by_mode_type[#Headers],0),0)</f>
        <v>2141662556.5333641</v>
      </c>
      <c r="F955" s="89">
        <f>VLOOKUP(C955, Reason_for_public_transport_journeys_by_percentage[#All],MATCH(A955, Reason_for_public_transport_journeys_by_percentage[#Headers],0),0)/100</f>
        <v>0.12437499999999999</v>
      </c>
      <c r="G955" s="13">
        <f t="shared" si="71"/>
        <v>266369280.46883711</v>
      </c>
      <c r="H955" s="89">
        <f>VLOOKUP(D955,Average_Distance_by_kilometre_grouping_for_mode_type[#All],MATCH(A955,Average_Distance_by_kilometre_grouping_for_mode_type[#Headers],0),0)</f>
        <v>5</v>
      </c>
      <c r="I955" s="89">
        <f>VLOOKUP(D955,Average_Distance_by_kilometres_grouping_for_trip_purpose[#All],MATCH(A955,Average_Distance_by_kilometres_grouping_for_trip_purpose[#Headers],0),0)</f>
        <v>5</v>
      </c>
      <c r="J955" s="89">
        <f t="shared" si="72"/>
        <v>5</v>
      </c>
      <c r="K955" s="89">
        <f t="shared" si="73"/>
        <v>9.490367277213628E-2</v>
      </c>
      <c r="L955" s="89">
        <v>1</v>
      </c>
      <c r="M955" s="13">
        <f t="shared" si="74"/>
        <v>25279423.03016391</v>
      </c>
      <c r="N955" s="11">
        <f t="shared" si="75"/>
        <v>4.4969842330259572E-4</v>
      </c>
    </row>
    <row r="956" spans="1:14" x14ac:dyDescent="0.25">
      <c r="A956" s="79" t="s">
        <v>33</v>
      </c>
      <c r="B956" s="89" t="s">
        <v>10</v>
      </c>
      <c r="C956" s="89" t="s">
        <v>43</v>
      </c>
      <c r="D956" s="13" t="s">
        <v>182</v>
      </c>
      <c r="E956" s="35">
        <f>VLOOKUP(B956, Passenger_Kilometre_by_mode_type[#All],MATCH(A956, Passenger_Kilometre_by_mode_type[#Headers],0),0)</f>
        <v>2141662556.5333641</v>
      </c>
      <c r="F956" s="89">
        <f>VLOOKUP(C956, Reason_for_public_transport_journeys_by_percentage[#All],MATCH(A956, Reason_for_public_transport_journeys_by_percentage[#Headers],0),0)/100</f>
        <v>0.12437499999999999</v>
      </c>
      <c r="G956" s="13">
        <f t="shared" si="71"/>
        <v>266369280.46883711</v>
      </c>
      <c r="H956" s="89">
        <f>VLOOKUP(D956,Average_Distance_by_kilometre_grouping_for_mode_type[#All],MATCH(A956,Average_Distance_by_kilometre_grouping_for_mode_type[#Headers],0),0)</f>
        <v>7</v>
      </c>
      <c r="I956" s="89">
        <f>VLOOKUP(D956,Average_Distance_by_kilometres_grouping_for_trip_purpose[#All],MATCH(A956,Average_Distance_by_kilometres_grouping_for_trip_purpose[#Headers],0),0)</f>
        <v>7</v>
      </c>
      <c r="J956" s="89">
        <f t="shared" si="72"/>
        <v>7</v>
      </c>
      <c r="K956" s="89">
        <f t="shared" si="73"/>
        <v>0.1328651418809908</v>
      </c>
      <c r="L956" s="89">
        <v>1</v>
      </c>
      <c r="M956" s="13">
        <f t="shared" si="74"/>
        <v>35391192.242229477</v>
      </c>
      <c r="N956" s="11">
        <f t="shared" si="75"/>
        <v>6.2957779262363402E-4</v>
      </c>
    </row>
    <row r="957" spans="1:14" x14ac:dyDescent="0.25">
      <c r="A957" s="79" t="s">
        <v>33</v>
      </c>
      <c r="B957" s="89" t="s">
        <v>10</v>
      </c>
      <c r="C957" s="89" t="s">
        <v>43</v>
      </c>
      <c r="D957" s="13" t="s">
        <v>1</v>
      </c>
      <c r="E957" s="35">
        <f>VLOOKUP(B957, Passenger_Kilometre_by_mode_type[#All],MATCH(A957, Passenger_Kilometre_by_mode_type[#Headers],0),0)</f>
        <v>2141662556.5333641</v>
      </c>
      <c r="F957" s="89">
        <f>VLOOKUP(C957, Reason_for_public_transport_journeys_by_percentage[#All],MATCH(A957, Reason_for_public_transport_journeys_by_percentage[#Headers],0),0)/100</f>
        <v>0.12437499999999999</v>
      </c>
      <c r="G957" s="13">
        <f t="shared" si="71"/>
        <v>266369280.46883711</v>
      </c>
      <c r="H957" s="89">
        <f>VLOOKUP(D957,Average_Distance_by_kilometre_grouping_for_mode_type[#All],MATCH(A957,Average_Distance_by_kilometre_grouping_for_mode_type[#Headers],0),0)</f>
        <v>35.22</v>
      </c>
      <c r="I957" s="89">
        <f>VLOOKUP(D957,Average_Distance_by_kilometres_grouping_for_trip_purpose[#All],MATCH(A957,Average_Distance_by_kilometres_grouping_for_trip_purpose[#Headers],0),0)</f>
        <v>38.15</v>
      </c>
      <c r="J957" s="89">
        <f t="shared" si="72"/>
        <v>36.685000000000002</v>
      </c>
      <c r="K957" s="89">
        <f t="shared" si="73"/>
        <v>0.69630824712916395</v>
      </c>
      <c r="L957" s="89">
        <v>1</v>
      </c>
      <c r="M957" s="13">
        <f t="shared" si="74"/>
        <v>185475126.77231261</v>
      </c>
      <c r="N957" s="11">
        <f t="shared" si="75"/>
        <v>3.299437331771145E-3</v>
      </c>
    </row>
    <row r="958" spans="1:14" x14ac:dyDescent="0.25">
      <c r="A958" s="79" t="s">
        <v>33</v>
      </c>
      <c r="B958" s="89" t="s">
        <v>10</v>
      </c>
      <c r="C958" s="89" t="s">
        <v>44</v>
      </c>
      <c r="D958" s="13" t="s">
        <v>12</v>
      </c>
      <c r="E958" s="35">
        <f>VLOOKUP(B958, Passenger_Kilometre_by_mode_type[#All],MATCH(A958, Passenger_Kilometre_by_mode_type[#Headers],0),0)</f>
        <v>2141662556.5333641</v>
      </c>
      <c r="F958" s="89">
        <f>VLOOKUP(C958, Reason_for_public_transport_journeys_by_percentage[#All],MATCH(A958, Reason_for_public_transport_journeys_by_percentage[#Headers],0),0)/100</f>
        <v>0.18625</v>
      </c>
      <c r="G958" s="13">
        <f t="shared" si="71"/>
        <v>398884651.15433908</v>
      </c>
      <c r="H958" s="89">
        <f>VLOOKUP(D958,Average_Distance_by_kilometre_grouping_for_mode_type[#All],MATCH(A958,Average_Distance_by_kilometre_grouping_for_mode_type[#Headers],0),0)</f>
        <v>1</v>
      </c>
      <c r="I958" s="89">
        <f>VLOOKUP(D958,Average_Distance_by_kilometres_grouping_for_trip_purpose[#All],MATCH(A958,Average_Distance_by_kilometres_grouping_for_trip_purpose[#Headers],0),0)</f>
        <v>1</v>
      </c>
      <c r="J958" s="89">
        <f t="shared" si="72"/>
        <v>1</v>
      </c>
      <c r="K958" s="89">
        <f t="shared" si="73"/>
        <v>1.8980734554427257E-2</v>
      </c>
      <c r="L958" s="89">
        <v>1</v>
      </c>
      <c r="M958" s="13">
        <f t="shared" si="74"/>
        <v>7571123.6813958259</v>
      </c>
      <c r="N958" s="11">
        <f t="shared" si="75"/>
        <v>1.3468354788359152E-4</v>
      </c>
    </row>
    <row r="959" spans="1:14" x14ac:dyDescent="0.25">
      <c r="A959" s="79" t="s">
        <v>33</v>
      </c>
      <c r="B959" s="89" t="s">
        <v>10</v>
      </c>
      <c r="C959" s="89" t="s">
        <v>44</v>
      </c>
      <c r="D959" s="13" t="s">
        <v>181</v>
      </c>
      <c r="E959" s="35">
        <f>VLOOKUP(B959, Passenger_Kilometre_by_mode_type[#All],MATCH(A959, Passenger_Kilometre_by_mode_type[#Headers],0),0)</f>
        <v>2141662556.5333641</v>
      </c>
      <c r="F959" s="89">
        <f>VLOOKUP(C959, Reason_for_public_transport_journeys_by_percentage[#All],MATCH(A959, Reason_for_public_transport_journeys_by_percentage[#Headers],0),0)/100</f>
        <v>0.18625</v>
      </c>
      <c r="G959" s="13">
        <f t="shared" si="71"/>
        <v>398884651.15433908</v>
      </c>
      <c r="H959" s="89">
        <f>VLOOKUP(D959,Average_Distance_by_kilometre_grouping_for_mode_type[#All],MATCH(A959,Average_Distance_by_kilometre_grouping_for_mode_type[#Headers],0),0)</f>
        <v>3</v>
      </c>
      <c r="I959" s="89">
        <f>VLOOKUP(D959,Average_Distance_by_kilometres_grouping_for_trip_purpose[#All],MATCH(A959,Average_Distance_by_kilometres_grouping_for_trip_purpose[#Headers],0),0)</f>
        <v>3</v>
      </c>
      <c r="J959" s="89">
        <f t="shared" si="72"/>
        <v>3</v>
      </c>
      <c r="K959" s="89">
        <f t="shared" si="73"/>
        <v>5.6942203663281767E-2</v>
      </c>
      <c r="L959" s="89">
        <v>1</v>
      </c>
      <c r="M959" s="13">
        <f t="shared" si="74"/>
        <v>22713371.044187475</v>
      </c>
      <c r="N959" s="11">
        <f t="shared" si="75"/>
        <v>4.0405064365077448E-4</v>
      </c>
    </row>
    <row r="960" spans="1:14" x14ac:dyDescent="0.25">
      <c r="A960" s="79" t="s">
        <v>33</v>
      </c>
      <c r="B960" s="89" t="s">
        <v>10</v>
      </c>
      <c r="C960" s="89" t="s">
        <v>44</v>
      </c>
      <c r="D960" s="13" t="s">
        <v>180</v>
      </c>
      <c r="E960" s="35">
        <f>VLOOKUP(B960, Passenger_Kilometre_by_mode_type[#All],MATCH(A960, Passenger_Kilometre_by_mode_type[#Headers],0),0)</f>
        <v>2141662556.5333641</v>
      </c>
      <c r="F960" s="89">
        <f>VLOOKUP(C960, Reason_for_public_transport_journeys_by_percentage[#All],MATCH(A960, Reason_for_public_transport_journeys_by_percentage[#Headers],0),0)/100</f>
        <v>0.18625</v>
      </c>
      <c r="G960" s="13">
        <f t="shared" si="71"/>
        <v>398884651.15433908</v>
      </c>
      <c r="H960" s="89">
        <f>VLOOKUP(D960,Average_Distance_by_kilometre_grouping_for_mode_type[#All],MATCH(A960,Average_Distance_by_kilometre_grouping_for_mode_type[#Headers],0),0)</f>
        <v>5</v>
      </c>
      <c r="I960" s="89">
        <f>VLOOKUP(D960,Average_Distance_by_kilometres_grouping_for_trip_purpose[#All],MATCH(A960,Average_Distance_by_kilometres_grouping_for_trip_purpose[#Headers],0),0)</f>
        <v>5</v>
      </c>
      <c r="J960" s="89">
        <f t="shared" si="72"/>
        <v>5</v>
      </c>
      <c r="K960" s="89">
        <f t="shared" si="73"/>
        <v>9.490367277213628E-2</v>
      </c>
      <c r="L960" s="89">
        <v>1</v>
      </c>
      <c r="M960" s="13">
        <f t="shared" si="74"/>
        <v>37855618.406979129</v>
      </c>
      <c r="N960" s="11">
        <f t="shared" si="75"/>
        <v>6.7341773941795757E-4</v>
      </c>
    </row>
    <row r="961" spans="1:14" x14ac:dyDescent="0.25">
      <c r="A961" s="79" t="s">
        <v>33</v>
      </c>
      <c r="B961" s="89" t="s">
        <v>10</v>
      </c>
      <c r="C961" s="89" t="s">
        <v>44</v>
      </c>
      <c r="D961" s="13" t="s">
        <v>182</v>
      </c>
      <c r="E961" s="35">
        <f>VLOOKUP(B961, Passenger_Kilometre_by_mode_type[#All],MATCH(A961, Passenger_Kilometre_by_mode_type[#Headers],0),0)</f>
        <v>2141662556.5333641</v>
      </c>
      <c r="F961" s="89">
        <f>VLOOKUP(C961, Reason_for_public_transport_journeys_by_percentage[#All],MATCH(A961, Reason_for_public_transport_journeys_by_percentage[#Headers],0),0)/100</f>
        <v>0.18625</v>
      </c>
      <c r="G961" s="13">
        <f t="shared" si="71"/>
        <v>398884651.15433908</v>
      </c>
      <c r="H961" s="89">
        <f>VLOOKUP(D961,Average_Distance_by_kilometre_grouping_for_mode_type[#All],MATCH(A961,Average_Distance_by_kilometre_grouping_for_mode_type[#Headers],0),0)</f>
        <v>7</v>
      </c>
      <c r="I961" s="89">
        <f>VLOOKUP(D961,Average_Distance_by_kilometres_grouping_for_trip_purpose[#All],MATCH(A961,Average_Distance_by_kilometres_grouping_for_trip_purpose[#Headers],0),0)</f>
        <v>7</v>
      </c>
      <c r="J961" s="89">
        <f t="shared" si="72"/>
        <v>7</v>
      </c>
      <c r="K961" s="89">
        <f t="shared" si="73"/>
        <v>0.1328651418809908</v>
      </c>
      <c r="L961" s="89">
        <v>1</v>
      </c>
      <c r="M961" s="13">
        <f t="shared" si="74"/>
        <v>52997865.769770779</v>
      </c>
      <c r="N961" s="11">
        <f t="shared" si="75"/>
        <v>9.4278483518514045E-4</v>
      </c>
    </row>
    <row r="962" spans="1:14" x14ac:dyDescent="0.25">
      <c r="A962" s="79" t="s">
        <v>33</v>
      </c>
      <c r="B962" s="89" t="s">
        <v>10</v>
      </c>
      <c r="C962" s="89" t="s">
        <v>44</v>
      </c>
      <c r="D962" s="13" t="s">
        <v>1</v>
      </c>
      <c r="E962" s="35">
        <f>VLOOKUP(B962, Passenger_Kilometre_by_mode_type[#All],MATCH(A962, Passenger_Kilometre_by_mode_type[#Headers],0),0)</f>
        <v>2141662556.5333641</v>
      </c>
      <c r="F962" s="89">
        <f>VLOOKUP(C962, Reason_for_public_transport_journeys_by_percentage[#All],MATCH(A962, Reason_for_public_transport_journeys_by_percentage[#Headers],0),0)/100</f>
        <v>0.18625</v>
      </c>
      <c r="G962" s="13">
        <f t="shared" si="71"/>
        <v>398884651.15433908</v>
      </c>
      <c r="H962" s="89">
        <f>VLOOKUP(D962,Average_Distance_by_kilometre_grouping_for_mode_type[#All],MATCH(A962,Average_Distance_by_kilometre_grouping_for_mode_type[#Headers],0),0)</f>
        <v>35.22</v>
      </c>
      <c r="I962" s="89">
        <f>VLOOKUP(D962,Average_Distance_by_kilometres_grouping_for_trip_purpose[#All],MATCH(A962,Average_Distance_by_kilometres_grouping_for_trip_purpose[#Headers],0),0)</f>
        <v>38.15</v>
      </c>
      <c r="J962" s="89">
        <f t="shared" si="72"/>
        <v>36.685000000000002</v>
      </c>
      <c r="K962" s="89">
        <f t="shared" si="73"/>
        <v>0.69630824712916395</v>
      </c>
      <c r="L962" s="89">
        <v>1</v>
      </c>
      <c r="M962" s="13">
        <f t="shared" si="74"/>
        <v>277746672.25200588</v>
      </c>
      <c r="N962" s="11">
        <f t="shared" si="75"/>
        <v>4.9408659541095544E-3</v>
      </c>
    </row>
    <row r="963" spans="1:14" x14ac:dyDescent="0.25">
      <c r="A963" s="79" t="s">
        <v>33</v>
      </c>
      <c r="B963" s="89" t="s">
        <v>10</v>
      </c>
      <c r="C963" s="89" t="s">
        <v>45</v>
      </c>
      <c r="D963" s="13" t="s">
        <v>12</v>
      </c>
      <c r="E963" s="35">
        <f>VLOOKUP(B963, Passenger_Kilometre_by_mode_type[#All],MATCH(A963, Passenger_Kilometre_by_mode_type[#Headers],0),0)</f>
        <v>2141662556.5333641</v>
      </c>
      <c r="F963" s="89">
        <f>VLOOKUP(C963, Reason_for_public_transport_journeys_by_percentage[#All],MATCH(A963, Reason_for_public_transport_journeys_by_percentage[#Headers],0),0)/100</f>
        <v>1.7000000000000001E-2</v>
      </c>
      <c r="G963" s="13">
        <f t="shared" si="71"/>
        <v>36408263.461067192</v>
      </c>
      <c r="H963" s="89">
        <f>VLOOKUP(D963,Average_Distance_by_kilometre_grouping_for_mode_type[#All],MATCH(A963,Average_Distance_by_kilometre_grouping_for_mode_type[#Headers],0),0)</f>
        <v>1</v>
      </c>
      <c r="I963" s="89">
        <f>VLOOKUP(D963,Average_Distance_by_kilometres_grouping_for_trip_purpose[#All],MATCH(A963,Average_Distance_by_kilometres_grouping_for_trip_purpose[#Headers],0),0)</f>
        <v>1</v>
      </c>
      <c r="J963" s="89">
        <f t="shared" si="72"/>
        <v>1</v>
      </c>
      <c r="K963" s="89">
        <f t="shared" si="73"/>
        <v>1.8980734554427257E-2</v>
      </c>
      <c r="L963" s="89">
        <v>1</v>
      </c>
      <c r="M963" s="13">
        <f t="shared" si="74"/>
        <v>691055.58434216934</v>
      </c>
      <c r="N963" s="11">
        <f t="shared" si="75"/>
        <v>1.2293263430985534E-5</v>
      </c>
    </row>
    <row r="964" spans="1:14" x14ac:dyDescent="0.25">
      <c r="A964" s="79" t="s">
        <v>33</v>
      </c>
      <c r="B964" s="89" t="s">
        <v>10</v>
      </c>
      <c r="C964" s="89" t="s">
        <v>45</v>
      </c>
      <c r="D964" s="13" t="s">
        <v>181</v>
      </c>
      <c r="E964" s="35">
        <f>VLOOKUP(B964, Passenger_Kilometre_by_mode_type[#All],MATCH(A964, Passenger_Kilometre_by_mode_type[#Headers],0),0)</f>
        <v>2141662556.5333641</v>
      </c>
      <c r="F964" s="89">
        <f>VLOOKUP(C964, Reason_for_public_transport_journeys_by_percentage[#All],MATCH(A964, Reason_for_public_transport_journeys_by_percentage[#Headers],0),0)/100</f>
        <v>1.7000000000000001E-2</v>
      </c>
      <c r="G964" s="13">
        <f t="shared" ref="G964:G1027" si="76">E964*F964</f>
        <v>36408263.461067192</v>
      </c>
      <c r="H964" s="89">
        <f>VLOOKUP(D964,Average_Distance_by_kilometre_grouping_for_mode_type[#All],MATCH(A964,Average_Distance_by_kilometre_grouping_for_mode_type[#Headers],0),0)</f>
        <v>3</v>
      </c>
      <c r="I964" s="89">
        <f>VLOOKUP(D964,Average_Distance_by_kilometres_grouping_for_trip_purpose[#All],MATCH(A964,Average_Distance_by_kilometres_grouping_for_trip_purpose[#Headers],0),0)</f>
        <v>3</v>
      </c>
      <c r="J964" s="89">
        <f t="shared" ref="J964:J1027" si="77">AVERAGE(H964:I964)</f>
        <v>3</v>
      </c>
      <c r="K964" s="89">
        <f t="shared" ref="K964:K1027" si="78">J964/SUM(J964:J968)</f>
        <v>5.6942203663281767E-2</v>
      </c>
      <c r="L964" s="89">
        <v>1</v>
      </c>
      <c r="M964" s="13">
        <f t="shared" ref="M964:M1027" si="79">G964*K964*L964</f>
        <v>2073166.753026508</v>
      </c>
      <c r="N964" s="11">
        <f t="shared" si="75"/>
        <v>3.6879790292956602E-5</v>
      </c>
    </row>
    <row r="965" spans="1:14" x14ac:dyDescent="0.25">
      <c r="A965" s="79" t="s">
        <v>33</v>
      </c>
      <c r="B965" s="89" t="s">
        <v>10</v>
      </c>
      <c r="C965" s="89" t="s">
        <v>45</v>
      </c>
      <c r="D965" s="13" t="s">
        <v>180</v>
      </c>
      <c r="E965" s="35">
        <f>VLOOKUP(B965, Passenger_Kilometre_by_mode_type[#All],MATCH(A965, Passenger_Kilometre_by_mode_type[#Headers],0),0)</f>
        <v>2141662556.5333641</v>
      </c>
      <c r="F965" s="89">
        <f>VLOOKUP(C965, Reason_for_public_transport_journeys_by_percentage[#All],MATCH(A965, Reason_for_public_transport_journeys_by_percentage[#Headers],0),0)/100</f>
        <v>1.7000000000000001E-2</v>
      </c>
      <c r="G965" s="13">
        <f t="shared" si="76"/>
        <v>36408263.461067192</v>
      </c>
      <c r="H965" s="89">
        <f>VLOOKUP(D965,Average_Distance_by_kilometre_grouping_for_mode_type[#All],MATCH(A965,Average_Distance_by_kilometre_grouping_for_mode_type[#Headers],0),0)</f>
        <v>5</v>
      </c>
      <c r="I965" s="89">
        <f>VLOOKUP(D965,Average_Distance_by_kilometres_grouping_for_trip_purpose[#All],MATCH(A965,Average_Distance_by_kilometres_grouping_for_trip_purpose[#Headers],0),0)</f>
        <v>5</v>
      </c>
      <c r="J965" s="89">
        <f t="shared" si="77"/>
        <v>5</v>
      </c>
      <c r="K965" s="89">
        <f t="shared" si="78"/>
        <v>9.490367277213628E-2</v>
      </c>
      <c r="L965" s="89">
        <v>1</v>
      </c>
      <c r="M965" s="13">
        <f t="shared" si="79"/>
        <v>3455277.9217108465</v>
      </c>
      <c r="N965" s="11">
        <f t="shared" si="75"/>
        <v>6.1466317154927657E-5</v>
      </c>
    </row>
    <row r="966" spans="1:14" x14ac:dyDescent="0.25">
      <c r="A966" s="79" t="s">
        <v>33</v>
      </c>
      <c r="B966" s="89" t="s">
        <v>10</v>
      </c>
      <c r="C966" s="89" t="s">
        <v>45</v>
      </c>
      <c r="D966" s="13" t="s">
        <v>182</v>
      </c>
      <c r="E966" s="35">
        <f>VLOOKUP(B966, Passenger_Kilometre_by_mode_type[#All],MATCH(A966, Passenger_Kilometre_by_mode_type[#Headers],0),0)</f>
        <v>2141662556.5333641</v>
      </c>
      <c r="F966" s="89">
        <f>VLOOKUP(C966, Reason_for_public_transport_journeys_by_percentage[#All],MATCH(A966, Reason_for_public_transport_journeys_by_percentage[#Headers],0),0)/100</f>
        <v>1.7000000000000001E-2</v>
      </c>
      <c r="G966" s="13">
        <f t="shared" si="76"/>
        <v>36408263.461067192</v>
      </c>
      <c r="H966" s="89">
        <f>VLOOKUP(D966,Average_Distance_by_kilometre_grouping_for_mode_type[#All],MATCH(A966,Average_Distance_by_kilometre_grouping_for_mode_type[#Headers],0),0)</f>
        <v>7</v>
      </c>
      <c r="I966" s="89">
        <f>VLOOKUP(D966,Average_Distance_by_kilometres_grouping_for_trip_purpose[#All],MATCH(A966,Average_Distance_by_kilometres_grouping_for_trip_purpose[#Headers],0),0)</f>
        <v>7</v>
      </c>
      <c r="J966" s="89">
        <f t="shared" si="77"/>
        <v>7</v>
      </c>
      <c r="K966" s="89">
        <f t="shared" si="78"/>
        <v>0.1328651418809908</v>
      </c>
      <c r="L966" s="89">
        <v>1</v>
      </c>
      <c r="M966" s="13">
        <f t="shared" si="79"/>
        <v>4837389.0903951861</v>
      </c>
      <c r="N966" s="11">
        <f t="shared" si="75"/>
        <v>8.6052844016898752E-5</v>
      </c>
    </row>
    <row r="967" spans="1:14" x14ac:dyDescent="0.25">
      <c r="A967" s="79" t="s">
        <v>33</v>
      </c>
      <c r="B967" s="89" t="s">
        <v>10</v>
      </c>
      <c r="C967" s="89" t="s">
        <v>45</v>
      </c>
      <c r="D967" s="13" t="s">
        <v>1</v>
      </c>
      <c r="E967" s="35">
        <f>VLOOKUP(B967, Passenger_Kilometre_by_mode_type[#All],MATCH(A967, Passenger_Kilometre_by_mode_type[#Headers],0),0)</f>
        <v>2141662556.5333641</v>
      </c>
      <c r="F967" s="89">
        <f>VLOOKUP(C967, Reason_for_public_transport_journeys_by_percentage[#All],MATCH(A967, Reason_for_public_transport_journeys_by_percentage[#Headers],0),0)/100</f>
        <v>1.7000000000000001E-2</v>
      </c>
      <c r="G967" s="13">
        <f t="shared" si="76"/>
        <v>36408263.461067192</v>
      </c>
      <c r="H967" s="89">
        <f>VLOOKUP(D967,Average_Distance_by_kilometre_grouping_for_mode_type[#All],MATCH(A967,Average_Distance_by_kilometre_grouping_for_mode_type[#Headers],0),0)</f>
        <v>35.22</v>
      </c>
      <c r="I967" s="89">
        <f>VLOOKUP(D967,Average_Distance_by_kilometres_grouping_for_trip_purpose[#All],MATCH(A967,Average_Distance_by_kilometres_grouping_for_trip_purpose[#Headers],0),0)</f>
        <v>38.15</v>
      </c>
      <c r="J967" s="89">
        <f t="shared" si="77"/>
        <v>36.685000000000002</v>
      </c>
      <c r="K967" s="89">
        <f t="shared" si="78"/>
        <v>0.69630824712916395</v>
      </c>
      <c r="L967" s="89">
        <v>1</v>
      </c>
      <c r="M967" s="13">
        <f t="shared" si="79"/>
        <v>25351374.111592483</v>
      </c>
      <c r="N967" s="11">
        <f t="shared" si="75"/>
        <v>4.5097836896570428E-4</v>
      </c>
    </row>
    <row r="968" spans="1:14" x14ac:dyDescent="0.25">
      <c r="A968" s="79" t="s">
        <v>33</v>
      </c>
      <c r="B968" s="89" t="s">
        <v>10</v>
      </c>
      <c r="C968" s="89" t="s">
        <v>56</v>
      </c>
      <c r="D968" s="13" t="s">
        <v>12</v>
      </c>
      <c r="E968" s="35">
        <f>VLOOKUP(B968, Passenger_Kilometre_by_mode_type[#All],MATCH(A968, Passenger_Kilometre_by_mode_type[#Headers],0),0)</f>
        <v>2141662556.5333641</v>
      </c>
      <c r="F968" s="89">
        <f>VLOOKUP(C968, Reason_for_public_transport_journeys_by_percentage[#All],MATCH(A968, Reason_for_public_transport_journeys_by_percentage[#Headers],0),0)/100</f>
        <v>0.10375000000000002</v>
      </c>
      <c r="G968" s="13">
        <f t="shared" si="76"/>
        <v>222197490.24033657</v>
      </c>
      <c r="H968" s="89">
        <f>VLOOKUP(D968,Average_Distance_by_kilometre_grouping_for_mode_type[#All],MATCH(A968,Average_Distance_by_kilometre_grouping_for_mode_type[#Headers],0),0)</f>
        <v>1</v>
      </c>
      <c r="I968" s="89">
        <f>VLOOKUP(D968,Average_Distance_by_kilometres_grouping_for_trip_purpose[#All],MATCH(A968,Average_Distance_by_kilometres_grouping_for_trip_purpose[#Headers],0),0)</f>
        <v>1</v>
      </c>
      <c r="J968" s="89">
        <f t="shared" si="77"/>
        <v>1</v>
      </c>
      <c r="K968" s="89">
        <f t="shared" si="78"/>
        <v>1.8980734554427257E-2</v>
      </c>
      <c r="L968" s="89">
        <v>1</v>
      </c>
      <c r="M968" s="13">
        <f t="shared" si="79"/>
        <v>4217471.5809117695</v>
      </c>
      <c r="N968" s="11">
        <f t="shared" si="75"/>
        <v>7.5025063586161721E-5</v>
      </c>
    </row>
    <row r="969" spans="1:14" x14ac:dyDescent="0.25">
      <c r="A969" s="79" t="s">
        <v>33</v>
      </c>
      <c r="B969" s="89" t="s">
        <v>10</v>
      </c>
      <c r="C969" s="89" t="s">
        <v>56</v>
      </c>
      <c r="D969" s="13" t="s">
        <v>181</v>
      </c>
      <c r="E969" s="35">
        <f>VLOOKUP(B969, Passenger_Kilometre_by_mode_type[#All],MATCH(A969, Passenger_Kilometre_by_mode_type[#Headers],0),0)</f>
        <v>2141662556.5333641</v>
      </c>
      <c r="F969" s="89">
        <f>VLOOKUP(C969, Reason_for_public_transport_journeys_by_percentage[#All],MATCH(A969, Reason_for_public_transport_journeys_by_percentage[#Headers],0),0)/100</f>
        <v>0.10375000000000002</v>
      </c>
      <c r="G969" s="13">
        <f t="shared" si="76"/>
        <v>222197490.24033657</v>
      </c>
      <c r="H969" s="89">
        <f>VLOOKUP(D969,Average_Distance_by_kilometre_grouping_for_mode_type[#All],MATCH(A969,Average_Distance_by_kilometre_grouping_for_mode_type[#Headers],0),0)</f>
        <v>3</v>
      </c>
      <c r="I969" s="89">
        <f>VLOOKUP(D969,Average_Distance_by_kilometres_grouping_for_trip_purpose[#All],MATCH(A969,Average_Distance_by_kilometres_grouping_for_trip_purpose[#Headers],0),0)</f>
        <v>3</v>
      </c>
      <c r="J969" s="89">
        <f t="shared" si="77"/>
        <v>3</v>
      </c>
      <c r="K969" s="89">
        <f t="shared" si="78"/>
        <v>5.6942203663281767E-2</v>
      </c>
      <c r="L969" s="89">
        <v>1</v>
      </c>
      <c r="M969" s="13">
        <f t="shared" si="79"/>
        <v>12652414.742735308</v>
      </c>
      <c r="N969" s="11">
        <f t="shared" si="75"/>
        <v>2.2507519075848516E-4</v>
      </c>
    </row>
    <row r="970" spans="1:14" x14ac:dyDescent="0.25">
      <c r="A970" s="79" t="s">
        <v>33</v>
      </c>
      <c r="B970" s="89" t="s">
        <v>10</v>
      </c>
      <c r="C970" s="89" t="s">
        <v>56</v>
      </c>
      <c r="D970" s="13" t="s">
        <v>180</v>
      </c>
      <c r="E970" s="35">
        <f>VLOOKUP(B970, Passenger_Kilometre_by_mode_type[#All],MATCH(A970, Passenger_Kilometre_by_mode_type[#Headers],0),0)</f>
        <v>2141662556.5333641</v>
      </c>
      <c r="F970" s="89">
        <f>VLOOKUP(C970, Reason_for_public_transport_journeys_by_percentage[#All],MATCH(A970, Reason_for_public_transport_journeys_by_percentage[#Headers],0),0)/100</f>
        <v>0.10375000000000002</v>
      </c>
      <c r="G970" s="13">
        <f t="shared" si="76"/>
        <v>222197490.24033657</v>
      </c>
      <c r="H970" s="89">
        <f>VLOOKUP(D970,Average_Distance_by_kilometre_grouping_for_mode_type[#All],MATCH(A970,Average_Distance_by_kilometre_grouping_for_mode_type[#Headers],0),0)</f>
        <v>5</v>
      </c>
      <c r="I970" s="89">
        <f>VLOOKUP(D970,Average_Distance_by_kilometres_grouping_for_trip_purpose[#All],MATCH(A970,Average_Distance_by_kilometres_grouping_for_trip_purpose[#Headers],0),0)</f>
        <v>5</v>
      </c>
      <c r="J970" s="89">
        <f t="shared" si="77"/>
        <v>5</v>
      </c>
      <c r="K970" s="89">
        <f t="shared" si="78"/>
        <v>9.490367277213628E-2</v>
      </c>
      <c r="L970" s="89">
        <v>1</v>
      </c>
      <c r="M970" s="13">
        <f t="shared" si="79"/>
        <v>21087357.904558845</v>
      </c>
      <c r="N970" s="11">
        <f t="shared" si="75"/>
        <v>3.751253179308086E-4</v>
      </c>
    </row>
    <row r="971" spans="1:14" x14ac:dyDescent="0.25">
      <c r="A971" s="79" t="s">
        <v>33</v>
      </c>
      <c r="B971" s="89" t="s">
        <v>10</v>
      </c>
      <c r="C971" s="89" t="s">
        <v>56</v>
      </c>
      <c r="D971" s="13" t="s">
        <v>182</v>
      </c>
      <c r="E971" s="35">
        <f>VLOOKUP(B971, Passenger_Kilometre_by_mode_type[#All],MATCH(A971, Passenger_Kilometre_by_mode_type[#Headers],0),0)</f>
        <v>2141662556.5333641</v>
      </c>
      <c r="F971" s="89">
        <f>VLOOKUP(C971, Reason_for_public_transport_journeys_by_percentage[#All],MATCH(A971, Reason_for_public_transport_journeys_by_percentage[#Headers],0),0)/100</f>
        <v>0.10375000000000002</v>
      </c>
      <c r="G971" s="13">
        <f t="shared" si="76"/>
        <v>222197490.24033657</v>
      </c>
      <c r="H971" s="89">
        <f>VLOOKUP(D971,Average_Distance_by_kilometre_grouping_for_mode_type[#All],MATCH(A971,Average_Distance_by_kilometre_grouping_for_mode_type[#Headers],0),0)</f>
        <v>7</v>
      </c>
      <c r="I971" s="89">
        <f>VLOOKUP(D971,Average_Distance_by_kilometres_grouping_for_trip_purpose[#All],MATCH(A971,Average_Distance_by_kilometres_grouping_for_trip_purpose[#Headers],0),0)</f>
        <v>7</v>
      </c>
      <c r="J971" s="89">
        <f t="shared" si="77"/>
        <v>7</v>
      </c>
      <c r="K971" s="89">
        <f t="shared" si="78"/>
        <v>0.1328651418809908</v>
      </c>
      <c r="L971" s="89">
        <v>1</v>
      </c>
      <c r="M971" s="13">
        <f t="shared" si="79"/>
        <v>29522301.066382386</v>
      </c>
      <c r="N971" s="11">
        <f t="shared" si="75"/>
        <v>5.251754451031321E-4</v>
      </c>
    </row>
    <row r="972" spans="1:14" x14ac:dyDescent="0.25">
      <c r="A972" s="79" t="s">
        <v>33</v>
      </c>
      <c r="B972" s="89" t="s">
        <v>10</v>
      </c>
      <c r="C972" s="89" t="s">
        <v>56</v>
      </c>
      <c r="D972" s="13" t="s">
        <v>1</v>
      </c>
      <c r="E972" s="35">
        <f>VLOOKUP(B972, Passenger_Kilometre_by_mode_type[#All],MATCH(A972, Passenger_Kilometre_by_mode_type[#Headers],0),0)</f>
        <v>2141662556.5333641</v>
      </c>
      <c r="F972" s="89">
        <f>VLOOKUP(C972, Reason_for_public_transport_journeys_by_percentage[#All],MATCH(A972, Reason_for_public_transport_journeys_by_percentage[#Headers],0),0)/100</f>
        <v>0.10375000000000002</v>
      </c>
      <c r="G972" s="13">
        <f t="shared" si="76"/>
        <v>222197490.24033657</v>
      </c>
      <c r="H972" s="89">
        <f>VLOOKUP(D972,Average_Distance_by_kilometre_grouping_for_mode_type[#All],MATCH(A972,Average_Distance_by_kilometre_grouping_for_mode_type[#Headers],0),0)</f>
        <v>35.22</v>
      </c>
      <c r="I972" s="89">
        <f>VLOOKUP(D972,Average_Distance_by_kilometres_grouping_for_trip_purpose[#All],MATCH(A972,Average_Distance_by_kilometres_grouping_for_trip_purpose[#Headers],0),0)</f>
        <v>38.15</v>
      </c>
      <c r="J972" s="89">
        <f t="shared" si="77"/>
        <v>36.685000000000002</v>
      </c>
      <c r="K972" s="89">
        <f t="shared" si="78"/>
        <v>0.69630824712916395</v>
      </c>
      <c r="L972" s="89">
        <v>1</v>
      </c>
      <c r="M972" s="13">
        <f t="shared" si="79"/>
        <v>154717944.94574827</v>
      </c>
      <c r="N972" s="11">
        <f t="shared" si="75"/>
        <v>2.7522944576583428E-3</v>
      </c>
    </row>
    <row r="973" spans="1:14" x14ac:dyDescent="0.25">
      <c r="A973" s="79" t="s">
        <v>33</v>
      </c>
      <c r="B973" s="89" t="s">
        <v>10</v>
      </c>
      <c r="C973" s="89" t="s">
        <v>57</v>
      </c>
      <c r="D973" s="13" t="s">
        <v>12</v>
      </c>
      <c r="E973" s="35">
        <f>VLOOKUP(B973, Passenger_Kilometre_by_mode_type[#All],MATCH(A973, Passenger_Kilometre_by_mode_type[#Headers],0),0)</f>
        <v>2141662556.5333641</v>
      </c>
      <c r="F973" s="89">
        <f>VLOOKUP(C973, Reason_for_public_transport_journeys_by_percentage[#All],MATCH(A973, Reason_for_public_transport_journeys_by_percentage[#Headers],0),0)/100</f>
        <v>7.0250000000000007E-2</v>
      </c>
      <c r="G973" s="13">
        <f t="shared" si="76"/>
        <v>150451794.59646884</v>
      </c>
      <c r="H973" s="89">
        <f>VLOOKUP(D973,Average_Distance_by_kilometre_grouping_for_mode_type[#All],MATCH(A973,Average_Distance_by_kilometre_grouping_for_mode_type[#Headers],0),0)</f>
        <v>1</v>
      </c>
      <c r="I973" s="89">
        <f>VLOOKUP(D973,Average_Distance_by_kilometres_grouping_for_trip_purpose[#All],MATCH(A973,Average_Distance_by_kilometres_grouping_for_trip_purpose[#Headers],0),0)</f>
        <v>1</v>
      </c>
      <c r="J973" s="89">
        <f t="shared" si="77"/>
        <v>1</v>
      </c>
      <c r="K973" s="89">
        <f t="shared" si="78"/>
        <v>1.8980734554427257E-2</v>
      </c>
      <c r="L973" s="89">
        <v>1</v>
      </c>
      <c r="M973" s="13">
        <f t="shared" si="79"/>
        <v>2855685.5764727881</v>
      </c>
      <c r="N973" s="11">
        <f t="shared" si="75"/>
        <v>5.080010329569022E-5</v>
      </c>
    </row>
    <row r="974" spans="1:14" x14ac:dyDescent="0.25">
      <c r="A974" s="79" t="s">
        <v>33</v>
      </c>
      <c r="B974" s="89" t="s">
        <v>10</v>
      </c>
      <c r="C974" s="89" t="s">
        <v>57</v>
      </c>
      <c r="D974" s="13" t="s">
        <v>181</v>
      </c>
      <c r="E974" s="35">
        <f>VLOOKUP(B974, Passenger_Kilometre_by_mode_type[#All],MATCH(A974, Passenger_Kilometre_by_mode_type[#Headers],0),0)</f>
        <v>2141662556.5333641</v>
      </c>
      <c r="F974" s="89">
        <f>VLOOKUP(C974, Reason_for_public_transport_journeys_by_percentage[#All],MATCH(A974, Reason_for_public_transport_journeys_by_percentage[#Headers],0),0)/100</f>
        <v>7.0250000000000007E-2</v>
      </c>
      <c r="G974" s="13">
        <f t="shared" si="76"/>
        <v>150451794.59646884</v>
      </c>
      <c r="H974" s="89">
        <f>VLOOKUP(D974,Average_Distance_by_kilometre_grouping_for_mode_type[#All],MATCH(A974,Average_Distance_by_kilometre_grouping_for_mode_type[#Headers],0),0)</f>
        <v>3</v>
      </c>
      <c r="I974" s="89">
        <f>VLOOKUP(D974,Average_Distance_by_kilometres_grouping_for_trip_purpose[#All],MATCH(A974,Average_Distance_by_kilometres_grouping_for_trip_purpose[#Headers],0),0)</f>
        <v>3</v>
      </c>
      <c r="J974" s="89">
        <f t="shared" si="77"/>
        <v>3</v>
      </c>
      <c r="K974" s="89">
        <f t="shared" si="78"/>
        <v>5.6942203663281767E-2</v>
      </c>
      <c r="L974" s="89">
        <v>1</v>
      </c>
      <c r="M974" s="13">
        <f t="shared" si="79"/>
        <v>8567056.7294183634</v>
      </c>
      <c r="N974" s="11">
        <f t="shared" si="75"/>
        <v>1.5240030988707064E-4</v>
      </c>
    </row>
    <row r="975" spans="1:14" x14ac:dyDescent="0.25">
      <c r="A975" s="79" t="s">
        <v>33</v>
      </c>
      <c r="B975" s="89" t="s">
        <v>10</v>
      </c>
      <c r="C975" s="89" t="s">
        <v>57</v>
      </c>
      <c r="D975" s="13" t="s">
        <v>180</v>
      </c>
      <c r="E975" s="35">
        <f>VLOOKUP(B975, Passenger_Kilometre_by_mode_type[#All],MATCH(A975, Passenger_Kilometre_by_mode_type[#Headers],0),0)</f>
        <v>2141662556.5333641</v>
      </c>
      <c r="F975" s="89">
        <f>VLOOKUP(C975, Reason_for_public_transport_journeys_by_percentage[#All],MATCH(A975, Reason_for_public_transport_journeys_by_percentage[#Headers],0),0)/100</f>
        <v>7.0250000000000007E-2</v>
      </c>
      <c r="G975" s="13">
        <f t="shared" si="76"/>
        <v>150451794.59646884</v>
      </c>
      <c r="H975" s="89">
        <f>VLOOKUP(D975,Average_Distance_by_kilometre_grouping_for_mode_type[#All],MATCH(A975,Average_Distance_by_kilometre_grouping_for_mode_type[#Headers],0),0)</f>
        <v>5</v>
      </c>
      <c r="I975" s="89">
        <f>VLOOKUP(D975,Average_Distance_by_kilometres_grouping_for_trip_purpose[#All],MATCH(A975,Average_Distance_by_kilometres_grouping_for_trip_purpose[#Headers],0),0)</f>
        <v>5</v>
      </c>
      <c r="J975" s="89">
        <f t="shared" si="77"/>
        <v>5</v>
      </c>
      <c r="K975" s="89">
        <f t="shared" si="78"/>
        <v>9.490367277213628E-2</v>
      </c>
      <c r="L975" s="89">
        <v>1</v>
      </c>
      <c r="M975" s="13">
        <f t="shared" si="79"/>
        <v>14278427.88236394</v>
      </c>
      <c r="N975" s="11">
        <f t="shared" si="75"/>
        <v>2.5400051647845109E-4</v>
      </c>
    </row>
    <row r="976" spans="1:14" x14ac:dyDescent="0.25">
      <c r="A976" s="79" t="s">
        <v>33</v>
      </c>
      <c r="B976" s="89" t="s">
        <v>10</v>
      </c>
      <c r="C976" s="89" t="s">
        <v>57</v>
      </c>
      <c r="D976" s="13" t="s">
        <v>182</v>
      </c>
      <c r="E976" s="35">
        <f>VLOOKUP(B976, Passenger_Kilometre_by_mode_type[#All],MATCH(A976, Passenger_Kilometre_by_mode_type[#Headers],0),0)</f>
        <v>2141662556.5333641</v>
      </c>
      <c r="F976" s="89">
        <f>VLOOKUP(C976, Reason_for_public_transport_journeys_by_percentage[#All],MATCH(A976, Reason_for_public_transport_journeys_by_percentage[#Headers],0),0)/100</f>
        <v>7.0250000000000007E-2</v>
      </c>
      <c r="G976" s="13">
        <f t="shared" si="76"/>
        <v>150451794.59646884</v>
      </c>
      <c r="H976" s="89">
        <f>VLOOKUP(D976,Average_Distance_by_kilometre_grouping_for_mode_type[#All],MATCH(A976,Average_Distance_by_kilometre_grouping_for_mode_type[#Headers],0),0)</f>
        <v>7</v>
      </c>
      <c r="I976" s="89">
        <f>VLOOKUP(D976,Average_Distance_by_kilometres_grouping_for_trip_purpose[#All],MATCH(A976,Average_Distance_by_kilometres_grouping_for_trip_purpose[#Headers],0),0)</f>
        <v>7</v>
      </c>
      <c r="J976" s="89">
        <f t="shared" si="77"/>
        <v>7</v>
      </c>
      <c r="K976" s="89">
        <f t="shared" si="78"/>
        <v>0.1328651418809908</v>
      </c>
      <c r="L976" s="89">
        <v>1</v>
      </c>
      <c r="M976" s="13">
        <f t="shared" si="79"/>
        <v>19989799.035309516</v>
      </c>
      <c r="N976" s="11">
        <f t="shared" si="75"/>
        <v>3.5560072306983152E-4</v>
      </c>
    </row>
    <row r="977" spans="1:14" x14ac:dyDescent="0.25">
      <c r="A977" s="79" t="s">
        <v>33</v>
      </c>
      <c r="B977" s="89" t="s">
        <v>10</v>
      </c>
      <c r="C977" s="89" t="s">
        <v>57</v>
      </c>
      <c r="D977" s="13" t="s">
        <v>1</v>
      </c>
      <c r="E977" s="35">
        <f>VLOOKUP(B977, Passenger_Kilometre_by_mode_type[#All],MATCH(A977, Passenger_Kilometre_by_mode_type[#Headers],0),0)</f>
        <v>2141662556.5333641</v>
      </c>
      <c r="F977" s="89">
        <f>VLOOKUP(C977, Reason_for_public_transport_journeys_by_percentage[#All],MATCH(A977, Reason_for_public_transport_journeys_by_percentage[#Headers],0),0)/100</f>
        <v>7.0250000000000007E-2</v>
      </c>
      <c r="G977" s="13">
        <f t="shared" si="76"/>
        <v>150451794.59646884</v>
      </c>
      <c r="H977" s="89">
        <f>VLOOKUP(D977,Average_Distance_by_kilometre_grouping_for_mode_type[#All],MATCH(A977,Average_Distance_by_kilometre_grouping_for_mode_type[#Headers],0),0)</f>
        <v>35.22</v>
      </c>
      <c r="I977" s="89">
        <f>VLOOKUP(D977,Average_Distance_by_kilometres_grouping_for_trip_purpose[#All],MATCH(A977,Average_Distance_by_kilometres_grouping_for_trip_purpose[#Headers],0),0)</f>
        <v>38.15</v>
      </c>
      <c r="J977" s="89">
        <f t="shared" si="77"/>
        <v>36.685000000000002</v>
      </c>
      <c r="K977" s="89">
        <f t="shared" si="78"/>
        <v>0.69630824712916395</v>
      </c>
      <c r="L977" s="89">
        <v>1</v>
      </c>
      <c r="M977" s="13">
        <f t="shared" si="79"/>
        <v>104760825.37290424</v>
      </c>
      <c r="N977" s="11">
        <f t="shared" si="75"/>
        <v>1.863601789402396E-3</v>
      </c>
    </row>
    <row r="978" spans="1:14" x14ac:dyDescent="0.25">
      <c r="A978" s="79" t="s">
        <v>33</v>
      </c>
      <c r="B978" s="89" t="s">
        <v>10</v>
      </c>
      <c r="C978" s="89" t="s">
        <v>93</v>
      </c>
      <c r="D978" s="13" t="s">
        <v>12</v>
      </c>
      <c r="E978" s="35">
        <f>VLOOKUP(B978, Passenger_Kilometre_by_mode_type[#All],MATCH(A978, Passenger_Kilometre_by_mode_type[#Headers],0),0)</f>
        <v>2141662556.5333641</v>
      </c>
      <c r="F978" s="89">
        <f>VLOOKUP(C978, Reason_for_public_transport_journeys_by_percentage[#All],MATCH(A978, Reason_for_public_transport_journeys_by_percentage[#Headers],0),0)/100</f>
        <v>9.6374999999999988E-2</v>
      </c>
      <c r="G978" s="13">
        <f t="shared" si="76"/>
        <v>206402728.88590294</v>
      </c>
      <c r="H978" s="89">
        <f>VLOOKUP(D978,Average_Distance_by_kilometre_grouping_for_mode_type[#All],MATCH(A978,Average_Distance_by_kilometre_grouping_for_mode_type[#Headers],0),0)</f>
        <v>1</v>
      </c>
      <c r="I978" s="89">
        <f>VLOOKUP(D978,Average_Distance_by_kilometres_grouping_for_trip_purpose[#All],MATCH(A978,Average_Distance_by_kilometres_grouping_for_trip_purpose[#Headers],0),0)</f>
        <v>1</v>
      </c>
      <c r="J978" s="89">
        <f t="shared" si="77"/>
        <v>1</v>
      </c>
      <c r="K978" s="89">
        <f t="shared" si="78"/>
        <v>1.8980734554427257E-2</v>
      </c>
      <c r="L978" s="89">
        <v>1</v>
      </c>
      <c r="M978" s="13">
        <f t="shared" si="79"/>
        <v>3917675.4082927387</v>
      </c>
      <c r="N978" s="11">
        <f t="shared" si="75"/>
        <v>6.9691956656542972E-5</v>
      </c>
    </row>
    <row r="979" spans="1:14" x14ac:dyDescent="0.25">
      <c r="A979" s="79" t="s">
        <v>33</v>
      </c>
      <c r="B979" s="89" t="s">
        <v>10</v>
      </c>
      <c r="C979" s="89" t="s">
        <v>93</v>
      </c>
      <c r="D979" s="13" t="s">
        <v>181</v>
      </c>
      <c r="E979" s="35">
        <f>VLOOKUP(B979, Passenger_Kilometre_by_mode_type[#All],MATCH(A979, Passenger_Kilometre_by_mode_type[#Headers],0),0)</f>
        <v>2141662556.5333641</v>
      </c>
      <c r="F979" s="89">
        <f>VLOOKUP(C979, Reason_for_public_transport_journeys_by_percentage[#All],MATCH(A979, Reason_for_public_transport_journeys_by_percentage[#Headers],0),0)/100</f>
        <v>9.6374999999999988E-2</v>
      </c>
      <c r="G979" s="13">
        <f t="shared" si="76"/>
        <v>206402728.88590294</v>
      </c>
      <c r="H979" s="89">
        <f>VLOOKUP(D979,Average_Distance_by_kilometre_grouping_for_mode_type[#All],MATCH(A979,Average_Distance_by_kilometre_grouping_for_mode_type[#Headers],0),0)</f>
        <v>3</v>
      </c>
      <c r="I979" s="89">
        <f>VLOOKUP(D979,Average_Distance_by_kilometres_grouping_for_trip_purpose[#All],MATCH(A979,Average_Distance_by_kilometres_grouping_for_trip_purpose[#Headers],0),0)</f>
        <v>3</v>
      </c>
      <c r="J979" s="89">
        <f t="shared" si="77"/>
        <v>3</v>
      </c>
      <c r="K979" s="89">
        <f t="shared" si="78"/>
        <v>5.6942203663281767E-2</v>
      </c>
      <c r="L979" s="89">
        <v>1</v>
      </c>
      <c r="M979" s="13">
        <f t="shared" si="79"/>
        <v>11753026.224878216</v>
      </c>
      <c r="N979" s="11">
        <f t="shared" si="75"/>
        <v>2.0907586996962892E-4</v>
      </c>
    </row>
    <row r="980" spans="1:14" x14ac:dyDescent="0.25">
      <c r="A980" s="79" t="s">
        <v>33</v>
      </c>
      <c r="B980" s="89" t="s">
        <v>10</v>
      </c>
      <c r="C980" s="89" t="s">
        <v>93</v>
      </c>
      <c r="D980" s="13" t="s">
        <v>180</v>
      </c>
      <c r="E980" s="35">
        <f>VLOOKUP(B980, Passenger_Kilometre_by_mode_type[#All],MATCH(A980, Passenger_Kilometre_by_mode_type[#Headers],0),0)</f>
        <v>2141662556.5333641</v>
      </c>
      <c r="F980" s="89">
        <f>VLOOKUP(C980, Reason_for_public_transport_journeys_by_percentage[#All],MATCH(A980, Reason_for_public_transport_journeys_by_percentage[#Headers],0),0)/100</f>
        <v>9.6374999999999988E-2</v>
      </c>
      <c r="G980" s="13">
        <f t="shared" si="76"/>
        <v>206402728.88590294</v>
      </c>
      <c r="H980" s="89">
        <f>VLOOKUP(D980,Average_Distance_by_kilometre_grouping_for_mode_type[#All],MATCH(A980,Average_Distance_by_kilometre_grouping_for_mode_type[#Headers],0),0)</f>
        <v>5</v>
      </c>
      <c r="I980" s="89">
        <f>VLOOKUP(D980,Average_Distance_by_kilometres_grouping_for_trip_purpose[#All],MATCH(A980,Average_Distance_by_kilometres_grouping_for_trip_purpose[#Headers],0),0)</f>
        <v>5</v>
      </c>
      <c r="J980" s="89">
        <f t="shared" si="77"/>
        <v>5</v>
      </c>
      <c r="K980" s="89">
        <f t="shared" si="78"/>
        <v>9.490367277213628E-2</v>
      </c>
      <c r="L980" s="89">
        <v>1</v>
      </c>
      <c r="M980" s="13">
        <f t="shared" si="79"/>
        <v>19588377.041463692</v>
      </c>
      <c r="N980" s="11">
        <f t="shared" ref="N980:N1043" si="80">M980/SUM($M$723:$M$1082)</f>
        <v>3.4845978328271486E-4</v>
      </c>
    </row>
    <row r="981" spans="1:14" x14ac:dyDescent="0.25">
      <c r="A981" s="79" t="s">
        <v>33</v>
      </c>
      <c r="B981" s="89" t="s">
        <v>10</v>
      </c>
      <c r="C981" s="89" t="s">
        <v>93</v>
      </c>
      <c r="D981" s="13" t="s">
        <v>182</v>
      </c>
      <c r="E981" s="35">
        <f>VLOOKUP(B981, Passenger_Kilometre_by_mode_type[#All],MATCH(A981, Passenger_Kilometre_by_mode_type[#Headers],0),0)</f>
        <v>2141662556.5333641</v>
      </c>
      <c r="F981" s="89">
        <f>VLOOKUP(C981, Reason_for_public_transport_journeys_by_percentage[#All],MATCH(A981, Reason_for_public_transport_journeys_by_percentage[#Headers],0),0)/100</f>
        <v>9.6374999999999988E-2</v>
      </c>
      <c r="G981" s="13">
        <f t="shared" si="76"/>
        <v>206402728.88590294</v>
      </c>
      <c r="H981" s="89">
        <f>VLOOKUP(D981,Average_Distance_by_kilometre_grouping_for_mode_type[#All],MATCH(A981,Average_Distance_by_kilometre_grouping_for_mode_type[#Headers],0),0)</f>
        <v>7</v>
      </c>
      <c r="I981" s="89">
        <f>VLOOKUP(D981,Average_Distance_by_kilometres_grouping_for_trip_purpose[#All],MATCH(A981,Average_Distance_by_kilometres_grouping_for_trip_purpose[#Headers],0),0)</f>
        <v>7</v>
      </c>
      <c r="J981" s="89">
        <f t="shared" si="77"/>
        <v>7</v>
      </c>
      <c r="K981" s="89">
        <f t="shared" si="78"/>
        <v>0.1328651418809908</v>
      </c>
      <c r="L981" s="89">
        <v>1</v>
      </c>
      <c r="M981" s="13">
        <f t="shared" si="79"/>
        <v>27423727.858049173</v>
      </c>
      <c r="N981" s="11">
        <f t="shared" si="80"/>
        <v>4.8784369659580086E-4</v>
      </c>
    </row>
    <row r="982" spans="1:14" x14ac:dyDescent="0.25">
      <c r="A982" s="79" t="s">
        <v>33</v>
      </c>
      <c r="B982" s="89" t="s">
        <v>10</v>
      </c>
      <c r="C982" s="89" t="s">
        <v>93</v>
      </c>
      <c r="D982" s="13" t="s">
        <v>1</v>
      </c>
      <c r="E982" s="35">
        <f>VLOOKUP(B982, Passenger_Kilometre_by_mode_type[#All],MATCH(A982, Passenger_Kilometre_by_mode_type[#Headers],0),0)</f>
        <v>2141662556.5333641</v>
      </c>
      <c r="F982" s="89">
        <f>VLOOKUP(C982, Reason_for_public_transport_journeys_by_percentage[#All],MATCH(A982, Reason_for_public_transport_journeys_by_percentage[#Headers],0),0)/100</f>
        <v>9.6374999999999988E-2</v>
      </c>
      <c r="G982" s="13">
        <f t="shared" si="76"/>
        <v>206402728.88590294</v>
      </c>
      <c r="H982" s="89">
        <f>VLOOKUP(D982,Average_Distance_by_kilometre_grouping_for_mode_type[#All],MATCH(A982,Average_Distance_by_kilometre_grouping_for_mode_type[#Headers],0),0)</f>
        <v>35.22</v>
      </c>
      <c r="I982" s="89">
        <f>VLOOKUP(D982,Average_Distance_by_kilometres_grouping_for_trip_purpose[#All],MATCH(A982,Average_Distance_by_kilometres_grouping_for_trip_purpose[#Headers],0),0)</f>
        <v>38.15</v>
      </c>
      <c r="J982" s="89">
        <f t="shared" si="77"/>
        <v>36.685000000000002</v>
      </c>
      <c r="K982" s="89">
        <f t="shared" si="78"/>
        <v>0.69630824712916395</v>
      </c>
      <c r="L982" s="89">
        <v>1</v>
      </c>
      <c r="M982" s="13">
        <f t="shared" si="79"/>
        <v>143719922.35321912</v>
      </c>
      <c r="N982" s="11">
        <f t="shared" si="80"/>
        <v>2.5566494299452793E-3</v>
      </c>
    </row>
    <row r="983" spans="1:14" x14ac:dyDescent="0.25">
      <c r="A983" s="79" t="s">
        <v>33</v>
      </c>
      <c r="B983" s="89" t="s">
        <v>10</v>
      </c>
      <c r="C983" s="89" t="s">
        <v>243</v>
      </c>
      <c r="D983" s="13" t="s">
        <v>12</v>
      </c>
      <c r="E983" s="35">
        <f>VLOOKUP(B983, Passenger_Kilometre_by_mode_type[#All],MATCH(A983, Passenger_Kilometre_by_mode_type[#Headers],0),0)</f>
        <v>2141662556.5333641</v>
      </c>
      <c r="F983" s="89">
        <f>VLOOKUP(C983, Reason_for_public_transport_journeys_by_percentage[#All],MATCH(A983, Reason_for_public_transport_journeys_by_percentage[#Headers],0),0)/100</f>
        <v>2.2499999999999999E-2</v>
      </c>
      <c r="G983" s="13">
        <f t="shared" si="76"/>
        <v>48187407.522000693</v>
      </c>
      <c r="H983" s="89">
        <f>VLOOKUP(D983,Average_Distance_by_kilometre_grouping_for_mode_type[#All],MATCH(A983,Average_Distance_by_kilometre_grouping_for_mode_type[#Headers],0),0)</f>
        <v>1</v>
      </c>
      <c r="I983" s="89">
        <f>VLOOKUP(D983,Average_Distance_by_kilometres_grouping_for_trip_purpose[#All],MATCH(A983,Average_Distance_by_kilometres_grouping_for_trip_purpose[#Headers],0),0)</f>
        <v>1</v>
      </c>
      <c r="J983" s="89">
        <f t="shared" si="77"/>
        <v>1</v>
      </c>
      <c r="K983" s="89">
        <f t="shared" si="78"/>
        <v>1.8980734554427257E-2</v>
      </c>
      <c r="L983" s="89">
        <v>1</v>
      </c>
      <c r="M983" s="13">
        <f t="shared" si="79"/>
        <v>914632.39104110643</v>
      </c>
      <c r="N983" s="11">
        <f t="shared" si="80"/>
        <v>1.6270495717480853E-5</v>
      </c>
    </row>
    <row r="984" spans="1:14" x14ac:dyDescent="0.25">
      <c r="A984" s="79" t="s">
        <v>33</v>
      </c>
      <c r="B984" s="89" t="s">
        <v>10</v>
      </c>
      <c r="C984" s="89" t="s">
        <v>243</v>
      </c>
      <c r="D984" s="13" t="s">
        <v>181</v>
      </c>
      <c r="E984" s="35">
        <f>VLOOKUP(B984, Passenger_Kilometre_by_mode_type[#All],MATCH(A984, Passenger_Kilometre_by_mode_type[#Headers],0),0)</f>
        <v>2141662556.5333641</v>
      </c>
      <c r="F984" s="89">
        <f>VLOOKUP(C984, Reason_for_public_transport_journeys_by_percentage[#All],MATCH(A984, Reason_for_public_transport_journeys_by_percentage[#Headers],0),0)/100</f>
        <v>2.2499999999999999E-2</v>
      </c>
      <c r="G984" s="13">
        <f t="shared" si="76"/>
        <v>48187407.522000693</v>
      </c>
      <c r="H984" s="89">
        <f>VLOOKUP(D984,Average_Distance_by_kilometre_grouping_for_mode_type[#All],MATCH(A984,Average_Distance_by_kilometre_grouping_for_mode_type[#Headers],0),0)</f>
        <v>3</v>
      </c>
      <c r="I984" s="89">
        <f>VLOOKUP(D984,Average_Distance_by_kilometres_grouping_for_trip_purpose[#All],MATCH(A984,Average_Distance_by_kilometres_grouping_for_trip_purpose[#Headers],0),0)</f>
        <v>3</v>
      </c>
      <c r="J984" s="89">
        <f t="shared" si="77"/>
        <v>3</v>
      </c>
      <c r="K984" s="89">
        <f t="shared" si="78"/>
        <v>5.6942203663281767E-2</v>
      </c>
      <c r="L984" s="89">
        <v>1</v>
      </c>
      <c r="M984" s="13">
        <f t="shared" si="79"/>
        <v>2743897.1731233192</v>
      </c>
      <c r="N984" s="11">
        <f t="shared" si="80"/>
        <v>4.8811487152442555E-5</v>
      </c>
    </row>
    <row r="985" spans="1:14" x14ac:dyDescent="0.25">
      <c r="A985" s="79" t="s">
        <v>33</v>
      </c>
      <c r="B985" s="89" t="s">
        <v>10</v>
      </c>
      <c r="C985" s="89" t="s">
        <v>243</v>
      </c>
      <c r="D985" s="13" t="s">
        <v>180</v>
      </c>
      <c r="E985" s="35">
        <f>VLOOKUP(B985, Passenger_Kilometre_by_mode_type[#All],MATCH(A985, Passenger_Kilometre_by_mode_type[#Headers],0),0)</f>
        <v>2141662556.5333641</v>
      </c>
      <c r="F985" s="89">
        <f>VLOOKUP(C985, Reason_for_public_transport_journeys_by_percentage[#All],MATCH(A985, Reason_for_public_transport_journeys_by_percentage[#Headers],0),0)/100</f>
        <v>2.2499999999999999E-2</v>
      </c>
      <c r="G985" s="13">
        <f t="shared" si="76"/>
        <v>48187407.522000693</v>
      </c>
      <c r="H985" s="89">
        <f>VLOOKUP(D985,Average_Distance_by_kilometre_grouping_for_mode_type[#All],MATCH(A985,Average_Distance_by_kilometre_grouping_for_mode_type[#Headers],0),0)</f>
        <v>5</v>
      </c>
      <c r="I985" s="89">
        <f>VLOOKUP(D985,Average_Distance_by_kilometres_grouping_for_trip_purpose[#All],MATCH(A985,Average_Distance_by_kilometres_grouping_for_trip_purpose[#Headers],0),0)</f>
        <v>5</v>
      </c>
      <c r="J985" s="89">
        <f t="shared" si="77"/>
        <v>5</v>
      </c>
      <c r="K985" s="89">
        <f t="shared" si="78"/>
        <v>9.490367277213628E-2</v>
      </c>
      <c r="L985" s="89">
        <v>1</v>
      </c>
      <c r="M985" s="13">
        <f t="shared" si="79"/>
        <v>4573161.9552055318</v>
      </c>
      <c r="N985" s="11">
        <f t="shared" si="80"/>
        <v>8.1352478587404261E-5</v>
      </c>
    </row>
    <row r="986" spans="1:14" x14ac:dyDescent="0.25">
      <c r="A986" s="79" t="s">
        <v>33</v>
      </c>
      <c r="B986" s="89" t="s">
        <v>10</v>
      </c>
      <c r="C986" s="89" t="s">
        <v>243</v>
      </c>
      <c r="D986" s="13" t="s">
        <v>182</v>
      </c>
      <c r="E986" s="35">
        <f>VLOOKUP(B986, Passenger_Kilometre_by_mode_type[#All],MATCH(A986, Passenger_Kilometre_by_mode_type[#Headers],0),0)</f>
        <v>2141662556.5333641</v>
      </c>
      <c r="F986" s="89">
        <f>VLOOKUP(C986, Reason_for_public_transport_journeys_by_percentage[#All],MATCH(A986, Reason_for_public_transport_journeys_by_percentage[#Headers],0),0)/100</f>
        <v>2.2499999999999999E-2</v>
      </c>
      <c r="G986" s="13">
        <f t="shared" si="76"/>
        <v>48187407.522000693</v>
      </c>
      <c r="H986" s="89">
        <f>VLOOKUP(D986,Average_Distance_by_kilometre_grouping_for_mode_type[#All],MATCH(A986,Average_Distance_by_kilometre_grouping_for_mode_type[#Headers],0),0)</f>
        <v>7</v>
      </c>
      <c r="I986" s="89">
        <f>VLOOKUP(D986,Average_Distance_by_kilometres_grouping_for_trip_purpose[#All],MATCH(A986,Average_Distance_by_kilometres_grouping_for_trip_purpose[#Headers],0),0)</f>
        <v>7</v>
      </c>
      <c r="J986" s="89">
        <f t="shared" si="77"/>
        <v>7</v>
      </c>
      <c r="K986" s="89">
        <f t="shared" si="78"/>
        <v>0.1328651418809908</v>
      </c>
      <c r="L986" s="89">
        <v>1</v>
      </c>
      <c r="M986" s="13">
        <f t="shared" si="79"/>
        <v>6402426.7372877458</v>
      </c>
      <c r="N986" s="11">
        <f t="shared" si="80"/>
        <v>1.1389347002236597E-4</v>
      </c>
    </row>
    <row r="987" spans="1:14" x14ac:dyDescent="0.25">
      <c r="A987" s="79" t="s">
        <v>33</v>
      </c>
      <c r="B987" s="89" t="s">
        <v>10</v>
      </c>
      <c r="C987" s="89" t="s">
        <v>243</v>
      </c>
      <c r="D987" s="13" t="s">
        <v>1</v>
      </c>
      <c r="E987" s="35">
        <f>VLOOKUP(B987, Passenger_Kilometre_by_mode_type[#All],MATCH(A987, Passenger_Kilometre_by_mode_type[#Headers],0),0)</f>
        <v>2141662556.5333641</v>
      </c>
      <c r="F987" s="89">
        <f>VLOOKUP(C987, Reason_for_public_transport_journeys_by_percentage[#All],MATCH(A987, Reason_for_public_transport_journeys_by_percentage[#Headers],0),0)/100</f>
        <v>2.2499999999999999E-2</v>
      </c>
      <c r="G987" s="13">
        <f t="shared" si="76"/>
        <v>48187407.522000693</v>
      </c>
      <c r="H987" s="89">
        <f>VLOOKUP(D987,Average_Distance_by_kilometre_grouping_for_mode_type[#All],MATCH(A987,Average_Distance_by_kilometre_grouping_for_mode_type[#Headers],0),0)</f>
        <v>35.22</v>
      </c>
      <c r="I987" s="89">
        <f>VLOOKUP(D987,Average_Distance_by_kilometres_grouping_for_trip_purpose[#All],MATCH(A987,Average_Distance_by_kilometres_grouping_for_trip_purpose[#Headers],0),0)</f>
        <v>38.15</v>
      </c>
      <c r="J987" s="89">
        <f t="shared" si="77"/>
        <v>36.685000000000002</v>
      </c>
      <c r="K987" s="89">
        <f t="shared" si="78"/>
        <v>0.69630824712916395</v>
      </c>
      <c r="L987" s="89">
        <v>1</v>
      </c>
      <c r="M987" s="13">
        <f t="shared" si="79"/>
        <v>33553289.265342992</v>
      </c>
      <c r="N987" s="11">
        <f t="shared" si="80"/>
        <v>5.9688313539578506E-4</v>
      </c>
    </row>
    <row r="988" spans="1:14" x14ac:dyDescent="0.25">
      <c r="A988" s="79" t="s">
        <v>33</v>
      </c>
      <c r="B988" s="89" t="s">
        <v>10</v>
      </c>
      <c r="C988" s="89" t="s">
        <v>50</v>
      </c>
      <c r="D988" s="13" t="s">
        <v>12</v>
      </c>
      <c r="E988" s="35">
        <f>VLOOKUP(B988, Passenger_Kilometre_by_mode_type[#All],MATCH(A988, Passenger_Kilometre_by_mode_type[#Headers],0),0)</f>
        <v>2141662556.5333641</v>
      </c>
      <c r="F988" s="89">
        <f>VLOOKUP(C988, Reason_for_public_transport_journeys_by_percentage[#All],MATCH(A988, Reason_for_public_transport_journeys_by_percentage[#Headers],0),0)/100</f>
        <v>9.1250000000000012E-2</v>
      </c>
      <c r="G988" s="13">
        <f t="shared" si="76"/>
        <v>195426708.2836695</v>
      </c>
      <c r="H988" s="89">
        <f>VLOOKUP(D988,Average_Distance_by_kilometre_grouping_for_mode_type[#All],MATCH(A988,Average_Distance_by_kilometre_grouping_for_mode_type[#Headers],0),0)</f>
        <v>1</v>
      </c>
      <c r="I988" s="89">
        <f>VLOOKUP(D988,Average_Distance_by_kilometres_grouping_for_trip_purpose[#All],MATCH(A988,Average_Distance_by_kilometres_grouping_for_trip_purpose[#Headers],0),0)</f>
        <v>1</v>
      </c>
      <c r="J988" s="89">
        <f t="shared" si="77"/>
        <v>1</v>
      </c>
      <c r="K988" s="89">
        <f t="shared" si="78"/>
        <v>1.8980734554427257E-2</v>
      </c>
      <c r="L988" s="89">
        <v>1</v>
      </c>
      <c r="M988" s="13">
        <f t="shared" si="79"/>
        <v>3709342.474777821</v>
      </c>
      <c r="N988" s="11">
        <f t="shared" si="80"/>
        <v>6.5985899298672354E-5</v>
      </c>
    </row>
    <row r="989" spans="1:14" x14ac:dyDescent="0.25">
      <c r="A989" s="79" t="s">
        <v>33</v>
      </c>
      <c r="B989" s="89" t="s">
        <v>10</v>
      </c>
      <c r="C989" s="89" t="s">
        <v>50</v>
      </c>
      <c r="D989" s="13" t="s">
        <v>181</v>
      </c>
      <c r="E989" s="35">
        <f>VLOOKUP(B989, Passenger_Kilometre_by_mode_type[#All],MATCH(A989, Passenger_Kilometre_by_mode_type[#Headers],0),0)</f>
        <v>2141662556.5333641</v>
      </c>
      <c r="F989" s="89">
        <f>VLOOKUP(C989, Reason_for_public_transport_journeys_by_percentage[#All],MATCH(A989, Reason_for_public_transport_journeys_by_percentage[#Headers],0),0)/100</f>
        <v>9.1250000000000012E-2</v>
      </c>
      <c r="G989" s="13">
        <f t="shared" si="76"/>
        <v>195426708.2836695</v>
      </c>
      <c r="H989" s="89">
        <f>VLOOKUP(D989,Average_Distance_by_kilometre_grouping_for_mode_type[#All],MATCH(A989,Average_Distance_by_kilometre_grouping_for_mode_type[#Headers],0),0)</f>
        <v>3</v>
      </c>
      <c r="I989" s="89">
        <f>VLOOKUP(D989,Average_Distance_by_kilometres_grouping_for_trip_purpose[#All],MATCH(A989,Average_Distance_by_kilometres_grouping_for_trip_purpose[#Headers],0),0)</f>
        <v>3</v>
      </c>
      <c r="J989" s="89">
        <f t="shared" si="77"/>
        <v>3</v>
      </c>
      <c r="K989" s="89">
        <f t="shared" si="78"/>
        <v>5.6942203663281767E-2</v>
      </c>
      <c r="L989" s="89">
        <v>1</v>
      </c>
      <c r="M989" s="13">
        <f t="shared" si="79"/>
        <v>11128027.424333462</v>
      </c>
      <c r="N989" s="11">
        <f t="shared" si="80"/>
        <v>1.9795769789601706E-4</v>
      </c>
    </row>
    <row r="990" spans="1:14" x14ac:dyDescent="0.25">
      <c r="A990" s="79" t="s">
        <v>33</v>
      </c>
      <c r="B990" s="89" t="s">
        <v>10</v>
      </c>
      <c r="C990" s="89" t="s">
        <v>50</v>
      </c>
      <c r="D990" s="13" t="s">
        <v>180</v>
      </c>
      <c r="E990" s="35">
        <f>VLOOKUP(B990, Passenger_Kilometre_by_mode_type[#All],MATCH(A990, Passenger_Kilometre_by_mode_type[#Headers],0),0)</f>
        <v>2141662556.5333641</v>
      </c>
      <c r="F990" s="89">
        <f>VLOOKUP(C990, Reason_for_public_transport_journeys_by_percentage[#All],MATCH(A990, Reason_for_public_transport_journeys_by_percentage[#Headers],0),0)/100</f>
        <v>9.1250000000000012E-2</v>
      </c>
      <c r="G990" s="13">
        <f t="shared" si="76"/>
        <v>195426708.2836695</v>
      </c>
      <c r="H990" s="89">
        <f>VLOOKUP(D990,Average_Distance_by_kilometre_grouping_for_mode_type[#All],MATCH(A990,Average_Distance_by_kilometre_grouping_for_mode_type[#Headers],0),0)</f>
        <v>5</v>
      </c>
      <c r="I990" s="89">
        <f>VLOOKUP(D990,Average_Distance_by_kilometres_grouping_for_trip_purpose[#All],MATCH(A990,Average_Distance_by_kilometres_grouping_for_trip_purpose[#Headers],0),0)</f>
        <v>5</v>
      </c>
      <c r="J990" s="89">
        <f t="shared" si="77"/>
        <v>5</v>
      </c>
      <c r="K990" s="89">
        <f t="shared" si="78"/>
        <v>9.490367277213628E-2</v>
      </c>
      <c r="L990" s="89">
        <v>1</v>
      </c>
      <c r="M990" s="13">
        <f t="shared" si="79"/>
        <v>18546712.373889104</v>
      </c>
      <c r="N990" s="11">
        <f t="shared" si="80"/>
        <v>3.2992949649336174E-4</v>
      </c>
    </row>
    <row r="991" spans="1:14" x14ac:dyDescent="0.25">
      <c r="A991" s="79" t="s">
        <v>33</v>
      </c>
      <c r="B991" s="89" t="s">
        <v>10</v>
      </c>
      <c r="C991" s="89" t="s">
        <v>50</v>
      </c>
      <c r="D991" s="13" t="s">
        <v>182</v>
      </c>
      <c r="E991" s="35">
        <f>VLOOKUP(B991, Passenger_Kilometre_by_mode_type[#All],MATCH(A991, Passenger_Kilometre_by_mode_type[#Headers],0),0)</f>
        <v>2141662556.5333641</v>
      </c>
      <c r="F991" s="89">
        <f>VLOOKUP(C991, Reason_for_public_transport_journeys_by_percentage[#All],MATCH(A991, Reason_for_public_transport_journeys_by_percentage[#Headers],0),0)/100</f>
        <v>9.1250000000000012E-2</v>
      </c>
      <c r="G991" s="13">
        <f t="shared" si="76"/>
        <v>195426708.2836695</v>
      </c>
      <c r="H991" s="89">
        <f>VLOOKUP(D991,Average_Distance_by_kilometre_grouping_for_mode_type[#All],MATCH(A991,Average_Distance_by_kilometre_grouping_for_mode_type[#Headers],0),0)</f>
        <v>7</v>
      </c>
      <c r="I991" s="89">
        <f>VLOOKUP(D991,Average_Distance_by_kilometres_grouping_for_trip_purpose[#All],MATCH(A991,Average_Distance_by_kilometres_grouping_for_trip_purpose[#Headers],0),0)</f>
        <v>7</v>
      </c>
      <c r="J991" s="89">
        <f t="shared" si="77"/>
        <v>7</v>
      </c>
      <c r="K991" s="89">
        <f t="shared" si="78"/>
        <v>0.1328651418809908</v>
      </c>
      <c r="L991" s="89">
        <v>1</v>
      </c>
      <c r="M991" s="13">
        <f t="shared" si="79"/>
        <v>25965397.32344475</v>
      </c>
      <c r="N991" s="11">
        <f t="shared" si="80"/>
        <v>4.6190129509070656E-4</v>
      </c>
    </row>
    <row r="992" spans="1:14" x14ac:dyDescent="0.25">
      <c r="A992" s="79" t="s">
        <v>33</v>
      </c>
      <c r="B992" s="89" t="s">
        <v>10</v>
      </c>
      <c r="C992" s="89" t="s">
        <v>50</v>
      </c>
      <c r="D992" s="13" t="s">
        <v>1</v>
      </c>
      <c r="E992" s="35">
        <f>VLOOKUP(B992, Passenger_Kilometre_by_mode_type[#All],MATCH(A992, Passenger_Kilometre_by_mode_type[#Headers],0),0)</f>
        <v>2141662556.5333641</v>
      </c>
      <c r="F992" s="89">
        <f>VLOOKUP(C992, Reason_for_public_transport_journeys_by_percentage[#All],MATCH(A992, Reason_for_public_transport_journeys_by_percentage[#Headers],0),0)/100</f>
        <v>9.1250000000000012E-2</v>
      </c>
      <c r="G992" s="13">
        <f t="shared" si="76"/>
        <v>195426708.2836695</v>
      </c>
      <c r="H992" s="89">
        <f>VLOOKUP(D992,Average_Distance_by_kilometre_grouping_for_mode_type[#All],MATCH(A992,Average_Distance_by_kilometre_grouping_for_mode_type[#Headers],0),0)</f>
        <v>35.22</v>
      </c>
      <c r="I992" s="89">
        <f>VLOOKUP(D992,Average_Distance_by_kilometres_grouping_for_trip_purpose[#All],MATCH(A992,Average_Distance_by_kilometres_grouping_for_trip_purpose[#Headers],0),0)</f>
        <v>38.15</v>
      </c>
      <c r="J992" s="89">
        <f t="shared" si="77"/>
        <v>36.685000000000002</v>
      </c>
      <c r="K992" s="89">
        <f t="shared" si="78"/>
        <v>0.69630824712916395</v>
      </c>
      <c r="L992" s="89">
        <v>1</v>
      </c>
      <c r="M992" s="13">
        <f t="shared" si="79"/>
        <v>136077228.68722439</v>
      </c>
      <c r="N992" s="11">
        <f t="shared" si="80"/>
        <v>2.4206927157717959E-3</v>
      </c>
    </row>
    <row r="993" spans="1:14" x14ac:dyDescent="0.25">
      <c r="A993" s="79" t="s">
        <v>33</v>
      </c>
      <c r="B993" s="89" t="s">
        <v>11</v>
      </c>
      <c r="C993" s="89" t="s">
        <v>42</v>
      </c>
      <c r="D993" s="13" t="s">
        <v>12</v>
      </c>
      <c r="E993" s="35">
        <f>VLOOKUP(B993, Passenger_Kilometre_by_mode_type[#All],MATCH(A993, Passenger_Kilometre_by_mode_type[#Headers],0),0)</f>
        <v>175307461.32720459</v>
      </c>
      <c r="F993" s="89">
        <f>VLOOKUP(C993, Reason_for_public_transport_journeys_by_percentage[#All],MATCH(A993, Reason_for_public_transport_journeys_by_percentage[#Headers],0),0)/100</f>
        <v>0.28824999999999995</v>
      </c>
      <c r="G993" s="13">
        <f t="shared" si="76"/>
        <v>50532375.727566712</v>
      </c>
      <c r="H993" s="89">
        <f>VLOOKUP(D993,Average_Distance_by_kilometre_grouping_for_mode_type[#All],MATCH(A993,Average_Distance_by_kilometre_grouping_for_mode_type[#Headers],0),0)</f>
        <v>1</v>
      </c>
      <c r="I993" s="89">
        <f>VLOOKUP(D993,Average_Distance_by_kilometres_grouping_for_trip_purpose[#All],MATCH(A993,Average_Distance_by_kilometres_grouping_for_trip_purpose[#Headers],0),0)</f>
        <v>1</v>
      </c>
      <c r="J993" s="89">
        <f t="shared" si="77"/>
        <v>1</v>
      </c>
      <c r="K993" s="89">
        <f t="shared" si="78"/>
        <v>1.8980734554427257E-2</v>
      </c>
      <c r="L993" s="89">
        <v>1</v>
      </c>
      <c r="M993" s="13">
        <f t="shared" si="79"/>
        <v>959141.61008952663</v>
      </c>
      <c r="N993" s="11">
        <f t="shared" si="80"/>
        <v>1.7062275086994992E-5</v>
      </c>
    </row>
    <row r="994" spans="1:14" x14ac:dyDescent="0.25">
      <c r="A994" s="79" t="s">
        <v>33</v>
      </c>
      <c r="B994" s="89" t="s">
        <v>11</v>
      </c>
      <c r="C994" s="89" t="s">
        <v>42</v>
      </c>
      <c r="D994" s="13" t="s">
        <v>181</v>
      </c>
      <c r="E994" s="35">
        <f>VLOOKUP(B994, Passenger_Kilometre_by_mode_type[#All],MATCH(A994, Passenger_Kilometre_by_mode_type[#Headers],0),0)</f>
        <v>175307461.32720459</v>
      </c>
      <c r="F994" s="89">
        <f>VLOOKUP(C994, Reason_for_public_transport_journeys_by_percentage[#All],MATCH(A994, Reason_for_public_transport_journeys_by_percentage[#Headers],0),0)/100</f>
        <v>0.28824999999999995</v>
      </c>
      <c r="G994" s="13">
        <f t="shared" si="76"/>
        <v>50532375.727566712</v>
      </c>
      <c r="H994" s="89">
        <f>VLOOKUP(D994,Average_Distance_by_kilometre_grouping_for_mode_type[#All],MATCH(A994,Average_Distance_by_kilometre_grouping_for_mode_type[#Headers],0),0)</f>
        <v>3</v>
      </c>
      <c r="I994" s="89">
        <f>VLOOKUP(D994,Average_Distance_by_kilometres_grouping_for_trip_purpose[#All],MATCH(A994,Average_Distance_by_kilometres_grouping_for_trip_purpose[#Headers],0),0)</f>
        <v>3</v>
      </c>
      <c r="J994" s="89">
        <f t="shared" si="77"/>
        <v>3</v>
      </c>
      <c r="K994" s="89">
        <f t="shared" si="78"/>
        <v>5.6942203663281767E-2</v>
      </c>
      <c r="L994" s="89">
        <v>1</v>
      </c>
      <c r="M994" s="13">
        <f t="shared" si="79"/>
        <v>2877424.83026858</v>
      </c>
      <c r="N994" s="11">
        <f t="shared" si="80"/>
        <v>5.1186825260984977E-5</v>
      </c>
    </row>
    <row r="995" spans="1:14" x14ac:dyDescent="0.25">
      <c r="A995" s="79" t="s">
        <v>33</v>
      </c>
      <c r="B995" s="89" t="s">
        <v>11</v>
      </c>
      <c r="C995" s="89" t="s">
        <v>42</v>
      </c>
      <c r="D995" s="13" t="s">
        <v>180</v>
      </c>
      <c r="E995" s="35">
        <f>VLOOKUP(B995, Passenger_Kilometre_by_mode_type[#All],MATCH(A995, Passenger_Kilometre_by_mode_type[#Headers],0),0)</f>
        <v>175307461.32720459</v>
      </c>
      <c r="F995" s="89">
        <f>VLOOKUP(C995, Reason_for_public_transport_journeys_by_percentage[#All],MATCH(A995, Reason_for_public_transport_journeys_by_percentage[#Headers],0),0)/100</f>
        <v>0.28824999999999995</v>
      </c>
      <c r="G995" s="13">
        <f t="shared" si="76"/>
        <v>50532375.727566712</v>
      </c>
      <c r="H995" s="89">
        <f>VLOOKUP(D995,Average_Distance_by_kilometre_grouping_for_mode_type[#All],MATCH(A995,Average_Distance_by_kilometre_grouping_for_mode_type[#Headers],0),0)</f>
        <v>5</v>
      </c>
      <c r="I995" s="89">
        <f>VLOOKUP(D995,Average_Distance_by_kilometres_grouping_for_trip_purpose[#All],MATCH(A995,Average_Distance_by_kilometres_grouping_for_trip_purpose[#Headers],0),0)</f>
        <v>5</v>
      </c>
      <c r="J995" s="89">
        <f t="shared" si="77"/>
        <v>5</v>
      </c>
      <c r="K995" s="89">
        <f t="shared" si="78"/>
        <v>9.490367277213628E-2</v>
      </c>
      <c r="L995" s="89">
        <v>1</v>
      </c>
      <c r="M995" s="13">
        <f t="shared" si="79"/>
        <v>4795708.0504476335</v>
      </c>
      <c r="N995" s="11">
        <f t="shared" si="80"/>
        <v>8.5311375434974975E-5</v>
      </c>
    </row>
    <row r="996" spans="1:14" x14ac:dyDescent="0.25">
      <c r="A996" s="79" t="s">
        <v>33</v>
      </c>
      <c r="B996" s="89" t="s">
        <v>11</v>
      </c>
      <c r="C996" s="89" t="s">
        <v>42</v>
      </c>
      <c r="D996" s="13" t="s">
        <v>182</v>
      </c>
      <c r="E996" s="35">
        <f>VLOOKUP(B996, Passenger_Kilometre_by_mode_type[#All],MATCH(A996, Passenger_Kilometre_by_mode_type[#Headers],0),0)</f>
        <v>175307461.32720459</v>
      </c>
      <c r="F996" s="89">
        <f>VLOOKUP(C996, Reason_for_public_transport_journeys_by_percentage[#All],MATCH(A996, Reason_for_public_transport_journeys_by_percentage[#Headers],0),0)/100</f>
        <v>0.28824999999999995</v>
      </c>
      <c r="G996" s="13">
        <f t="shared" si="76"/>
        <v>50532375.727566712</v>
      </c>
      <c r="H996" s="89">
        <f>VLOOKUP(D996,Average_Distance_by_kilometre_grouping_for_mode_type[#All],MATCH(A996,Average_Distance_by_kilometre_grouping_for_mode_type[#Headers],0),0)</f>
        <v>7</v>
      </c>
      <c r="I996" s="89">
        <f>VLOOKUP(D996,Average_Distance_by_kilometres_grouping_for_trip_purpose[#All],MATCH(A996,Average_Distance_by_kilometres_grouping_for_trip_purpose[#Headers],0),0)</f>
        <v>7</v>
      </c>
      <c r="J996" s="89">
        <f t="shared" si="77"/>
        <v>7</v>
      </c>
      <c r="K996" s="89">
        <f t="shared" si="78"/>
        <v>0.1328651418809908</v>
      </c>
      <c r="L996" s="89">
        <v>1</v>
      </c>
      <c r="M996" s="13">
        <f t="shared" si="79"/>
        <v>6713991.2706266865</v>
      </c>
      <c r="N996" s="11">
        <f t="shared" si="80"/>
        <v>1.1943592560896495E-4</v>
      </c>
    </row>
    <row r="997" spans="1:14" x14ac:dyDescent="0.25">
      <c r="A997" s="79" t="s">
        <v>33</v>
      </c>
      <c r="B997" s="89" t="s">
        <v>11</v>
      </c>
      <c r="C997" s="89" t="s">
        <v>42</v>
      </c>
      <c r="D997" s="13" t="s">
        <v>1</v>
      </c>
      <c r="E997" s="35">
        <f>VLOOKUP(B997, Passenger_Kilometre_by_mode_type[#All],MATCH(A997, Passenger_Kilometre_by_mode_type[#Headers],0),0)</f>
        <v>175307461.32720459</v>
      </c>
      <c r="F997" s="89">
        <f>VLOOKUP(C997, Reason_for_public_transport_journeys_by_percentage[#All],MATCH(A997, Reason_for_public_transport_journeys_by_percentage[#Headers],0),0)/100</f>
        <v>0.28824999999999995</v>
      </c>
      <c r="G997" s="13">
        <f t="shared" si="76"/>
        <v>50532375.727566712</v>
      </c>
      <c r="H997" s="89">
        <f>VLOOKUP(D997,Average_Distance_by_kilometre_grouping_for_mode_type[#All],MATCH(A997,Average_Distance_by_kilometre_grouping_for_mode_type[#Headers],0),0)</f>
        <v>35.22</v>
      </c>
      <c r="I997" s="89">
        <f>VLOOKUP(D997,Average_Distance_by_kilometres_grouping_for_trip_purpose[#All],MATCH(A997,Average_Distance_by_kilometres_grouping_for_trip_purpose[#Headers],0),0)</f>
        <v>38.15</v>
      </c>
      <c r="J997" s="89">
        <f t="shared" si="77"/>
        <v>36.685000000000002</v>
      </c>
      <c r="K997" s="89">
        <f t="shared" si="78"/>
        <v>0.69630824712916395</v>
      </c>
      <c r="L997" s="89">
        <v>1</v>
      </c>
      <c r="M997" s="13">
        <f t="shared" si="79"/>
        <v>35186109.966134287</v>
      </c>
      <c r="N997" s="11">
        <f t="shared" si="80"/>
        <v>6.2592956156641132E-4</v>
      </c>
    </row>
    <row r="998" spans="1:14" x14ac:dyDescent="0.25">
      <c r="A998" s="79" t="s">
        <v>33</v>
      </c>
      <c r="B998" s="89" t="s">
        <v>11</v>
      </c>
      <c r="C998" s="89" t="s">
        <v>43</v>
      </c>
      <c r="D998" s="13" t="s">
        <v>12</v>
      </c>
      <c r="E998" s="35">
        <f>VLOOKUP(B998, Passenger_Kilometre_by_mode_type[#All],MATCH(A998, Passenger_Kilometre_by_mode_type[#Headers],0),0)</f>
        <v>175307461.32720459</v>
      </c>
      <c r="F998" s="89">
        <f>VLOOKUP(C998, Reason_for_public_transport_journeys_by_percentage[#All],MATCH(A998, Reason_for_public_transport_journeys_by_percentage[#Headers],0),0)/100</f>
        <v>0.12437499999999999</v>
      </c>
      <c r="G998" s="13">
        <f t="shared" si="76"/>
        <v>21803865.502571069</v>
      </c>
      <c r="H998" s="89">
        <f>VLOOKUP(D998,Average_Distance_by_kilometre_grouping_for_mode_type[#All],MATCH(A998,Average_Distance_by_kilometre_grouping_for_mode_type[#Headers],0),0)</f>
        <v>1</v>
      </c>
      <c r="I998" s="89">
        <f>VLOOKUP(D998,Average_Distance_by_kilometres_grouping_for_trip_purpose[#All],MATCH(A998,Average_Distance_by_kilometres_grouping_for_trip_purpose[#Headers],0),0)</f>
        <v>1</v>
      </c>
      <c r="J998" s="89">
        <f t="shared" si="77"/>
        <v>1</v>
      </c>
      <c r="K998" s="89">
        <f t="shared" si="78"/>
        <v>1.8980734554427257E-2</v>
      </c>
      <c r="L998" s="89">
        <v>1</v>
      </c>
      <c r="M998" s="13">
        <f t="shared" si="79"/>
        <v>413853.38336473511</v>
      </c>
      <c r="N998" s="11">
        <f t="shared" si="80"/>
        <v>7.3620831359757249E-6</v>
      </c>
    </row>
    <row r="999" spans="1:14" x14ac:dyDescent="0.25">
      <c r="A999" s="79" t="s">
        <v>33</v>
      </c>
      <c r="B999" s="89" t="s">
        <v>11</v>
      </c>
      <c r="C999" s="89" t="s">
        <v>43</v>
      </c>
      <c r="D999" s="13" t="s">
        <v>181</v>
      </c>
      <c r="E999" s="35">
        <f>VLOOKUP(B999, Passenger_Kilometre_by_mode_type[#All],MATCH(A999, Passenger_Kilometre_by_mode_type[#Headers],0),0)</f>
        <v>175307461.32720459</v>
      </c>
      <c r="F999" s="89">
        <f>VLOOKUP(C999, Reason_for_public_transport_journeys_by_percentage[#All],MATCH(A999, Reason_for_public_transport_journeys_by_percentage[#Headers],0),0)/100</f>
        <v>0.12437499999999999</v>
      </c>
      <c r="G999" s="13">
        <f t="shared" si="76"/>
        <v>21803865.502571069</v>
      </c>
      <c r="H999" s="89">
        <f>VLOOKUP(D999,Average_Distance_by_kilometre_grouping_for_mode_type[#All],MATCH(A999,Average_Distance_by_kilometre_grouping_for_mode_type[#Headers],0),0)</f>
        <v>3</v>
      </c>
      <c r="I999" s="89">
        <f>VLOOKUP(D999,Average_Distance_by_kilometres_grouping_for_trip_purpose[#All],MATCH(A999,Average_Distance_by_kilometres_grouping_for_trip_purpose[#Headers],0),0)</f>
        <v>3</v>
      </c>
      <c r="J999" s="89">
        <f t="shared" si="77"/>
        <v>3</v>
      </c>
      <c r="K999" s="89">
        <f t="shared" si="78"/>
        <v>5.6942203663281767E-2</v>
      </c>
      <c r="L999" s="89">
        <v>1</v>
      </c>
      <c r="M999" s="13">
        <f t="shared" si="79"/>
        <v>1241560.1500942053</v>
      </c>
      <c r="N999" s="11">
        <f t="shared" si="80"/>
        <v>2.2086249407927174E-5</v>
      </c>
    </row>
    <row r="1000" spans="1:14" x14ac:dyDescent="0.25">
      <c r="A1000" s="79" t="s">
        <v>33</v>
      </c>
      <c r="B1000" s="89" t="s">
        <v>11</v>
      </c>
      <c r="C1000" s="89" t="s">
        <v>43</v>
      </c>
      <c r="D1000" s="13" t="s">
        <v>180</v>
      </c>
      <c r="E1000" s="35">
        <f>VLOOKUP(B1000, Passenger_Kilometre_by_mode_type[#All],MATCH(A1000, Passenger_Kilometre_by_mode_type[#Headers],0),0)</f>
        <v>175307461.32720459</v>
      </c>
      <c r="F1000" s="89">
        <f>VLOOKUP(C1000, Reason_for_public_transport_journeys_by_percentage[#All],MATCH(A1000, Reason_for_public_transport_journeys_by_percentage[#Headers],0),0)/100</f>
        <v>0.12437499999999999</v>
      </c>
      <c r="G1000" s="13">
        <f t="shared" si="76"/>
        <v>21803865.502571069</v>
      </c>
      <c r="H1000" s="89">
        <f>VLOOKUP(D1000,Average_Distance_by_kilometre_grouping_for_mode_type[#All],MATCH(A1000,Average_Distance_by_kilometre_grouping_for_mode_type[#Headers],0),0)</f>
        <v>5</v>
      </c>
      <c r="I1000" s="89">
        <f>VLOOKUP(D1000,Average_Distance_by_kilometres_grouping_for_trip_purpose[#All],MATCH(A1000,Average_Distance_by_kilometres_grouping_for_trip_purpose[#Headers],0),0)</f>
        <v>5</v>
      </c>
      <c r="J1000" s="89">
        <f t="shared" si="77"/>
        <v>5</v>
      </c>
      <c r="K1000" s="89">
        <f t="shared" si="78"/>
        <v>9.490367277213628E-2</v>
      </c>
      <c r="L1000" s="89">
        <v>1</v>
      </c>
      <c r="M1000" s="13">
        <f t="shared" si="79"/>
        <v>2069266.9168236754</v>
      </c>
      <c r="N1000" s="11">
        <f t="shared" si="80"/>
        <v>3.6810415679878622E-5</v>
      </c>
    </row>
    <row r="1001" spans="1:14" x14ac:dyDescent="0.25">
      <c r="A1001" s="79" t="s">
        <v>33</v>
      </c>
      <c r="B1001" s="89" t="s">
        <v>11</v>
      </c>
      <c r="C1001" s="89" t="s">
        <v>43</v>
      </c>
      <c r="D1001" s="13" t="s">
        <v>182</v>
      </c>
      <c r="E1001" s="35">
        <f>VLOOKUP(B1001, Passenger_Kilometre_by_mode_type[#All],MATCH(A1001, Passenger_Kilometre_by_mode_type[#Headers],0),0)</f>
        <v>175307461.32720459</v>
      </c>
      <c r="F1001" s="89">
        <f>VLOOKUP(C1001, Reason_for_public_transport_journeys_by_percentage[#All],MATCH(A1001, Reason_for_public_transport_journeys_by_percentage[#Headers],0),0)/100</f>
        <v>0.12437499999999999</v>
      </c>
      <c r="G1001" s="13">
        <f t="shared" si="76"/>
        <v>21803865.502571069</v>
      </c>
      <c r="H1001" s="89">
        <f>VLOOKUP(D1001,Average_Distance_by_kilometre_grouping_for_mode_type[#All],MATCH(A1001,Average_Distance_by_kilometre_grouping_for_mode_type[#Headers],0),0)</f>
        <v>7</v>
      </c>
      <c r="I1001" s="89">
        <f>VLOOKUP(D1001,Average_Distance_by_kilometres_grouping_for_trip_purpose[#All],MATCH(A1001,Average_Distance_by_kilometres_grouping_for_trip_purpose[#Headers],0),0)</f>
        <v>7</v>
      </c>
      <c r="J1001" s="89">
        <f t="shared" si="77"/>
        <v>7</v>
      </c>
      <c r="K1001" s="89">
        <f t="shared" si="78"/>
        <v>0.1328651418809908</v>
      </c>
      <c r="L1001" s="89">
        <v>1</v>
      </c>
      <c r="M1001" s="13">
        <f t="shared" si="79"/>
        <v>2896973.6835531457</v>
      </c>
      <c r="N1001" s="11">
        <f t="shared" si="80"/>
        <v>5.1534581951830073E-5</v>
      </c>
    </row>
    <row r="1002" spans="1:14" x14ac:dyDescent="0.25">
      <c r="A1002" s="79" t="s">
        <v>33</v>
      </c>
      <c r="B1002" s="89" t="s">
        <v>11</v>
      </c>
      <c r="C1002" s="89" t="s">
        <v>43</v>
      </c>
      <c r="D1002" s="13" t="s">
        <v>1</v>
      </c>
      <c r="E1002" s="35">
        <f>VLOOKUP(B1002, Passenger_Kilometre_by_mode_type[#All],MATCH(A1002, Passenger_Kilometre_by_mode_type[#Headers],0),0)</f>
        <v>175307461.32720459</v>
      </c>
      <c r="F1002" s="89">
        <f>VLOOKUP(C1002, Reason_for_public_transport_journeys_by_percentage[#All],MATCH(A1002, Reason_for_public_transport_journeys_by_percentage[#Headers],0),0)/100</f>
        <v>0.12437499999999999</v>
      </c>
      <c r="G1002" s="13">
        <f t="shared" si="76"/>
        <v>21803865.502571069</v>
      </c>
      <c r="H1002" s="89">
        <f>VLOOKUP(D1002,Average_Distance_by_kilometre_grouping_for_mode_type[#All],MATCH(A1002,Average_Distance_by_kilometre_grouping_for_mode_type[#Headers],0),0)</f>
        <v>35.22</v>
      </c>
      <c r="I1002" s="89">
        <f>VLOOKUP(D1002,Average_Distance_by_kilometres_grouping_for_trip_purpose[#All],MATCH(A1002,Average_Distance_by_kilometres_grouping_for_trip_purpose[#Headers],0),0)</f>
        <v>38.15</v>
      </c>
      <c r="J1002" s="89">
        <f t="shared" si="77"/>
        <v>36.685000000000002</v>
      </c>
      <c r="K1002" s="89">
        <f t="shared" si="78"/>
        <v>0.69630824712916395</v>
      </c>
      <c r="L1002" s="89">
        <v>1</v>
      </c>
      <c r="M1002" s="13">
        <f t="shared" si="79"/>
        <v>15182211.368735308</v>
      </c>
      <c r="N1002" s="11">
        <f t="shared" si="80"/>
        <v>2.7007801984326948E-4</v>
      </c>
    </row>
    <row r="1003" spans="1:14" x14ac:dyDescent="0.25">
      <c r="A1003" s="79" t="s">
        <v>33</v>
      </c>
      <c r="B1003" s="89" t="s">
        <v>11</v>
      </c>
      <c r="C1003" s="89" t="s">
        <v>44</v>
      </c>
      <c r="D1003" s="13" t="s">
        <v>12</v>
      </c>
      <c r="E1003" s="35">
        <f>VLOOKUP(B1003, Passenger_Kilometre_by_mode_type[#All],MATCH(A1003, Passenger_Kilometre_by_mode_type[#Headers],0),0)</f>
        <v>175307461.32720459</v>
      </c>
      <c r="F1003" s="89">
        <f>VLOOKUP(C1003, Reason_for_public_transport_journeys_by_percentage[#All],MATCH(A1003, Reason_for_public_transport_journeys_by_percentage[#Headers],0),0)/100</f>
        <v>0.18625</v>
      </c>
      <c r="G1003" s="13">
        <f t="shared" si="76"/>
        <v>32651014.672191855</v>
      </c>
      <c r="H1003" s="89">
        <f>VLOOKUP(D1003,Average_Distance_by_kilometre_grouping_for_mode_type[#All],MATCH(A1003,Average_Distance_by_kilometre_grouping_for_mode_type[#Headers],0),0)</f>
        <v>1</v>
      </c>
      <c r="I1003" s="89">
        <f>VLOOKUP(D1003,Average_Distance_by_kilometres_grouping_for_trip_purpose[#All],MATCH(A1003,Average_Distance_by_kilometres_grouping_for_trip_purpose[#Headers],0),0)</f>
        <v>1</v>
      </c>
      <c r="J1003" s="89">
        <f t="shared" si="77"/>
        <v>1</v>
      </c>
      <c r="K1003" s="89">
        <f t="shared" si="78"/>
        <v>1.8980734554427257E-2</v>
      </c>
      <c r="L1003" s="89">
        <v>1</v>
      </c>
      <c r="M1003" s="13">
        <f t="shared" si="79"/>
        <v>619740.2424255833</v>
      </c>
      <c r="N1003" s="11">
        <f t="shared" si="80"/>
        <v>1.1024627007642041E-5</v>
      </c>
    </row>
    <row r="1004" spans="1:14" x14ac:dyDescent="0.25">
      <c r="A1004" s="79" t="s">
        <v>33</v>
      </c>
      <c r="B1004" s="89" t="s">
        <v>11</v>
      </c>
      <c r="C1004" s="89" t="s">
        <v>44</v>
      </c>
      <c r="D1004" s="13" t="s">
        <v>181</v>
      </c>
      <c r="E1004" s="35">
        <f>VLOOKUP(B1004, Passenger_Kilometre_by_mode_type[#All],MATCH(A1004, Passenger_Kilometre_by_mode_type[#Headers],0),0)</f>
        <v>175307461.32720459</v>
      </c>
      <c r="F1004" s="89">
        <f>VLOOKUP(C1004, Reason_for_public_transport_journeys_by_percentage[#All],MATCH(A1004, Reason_for_public_transport_journeys_by_percentage[#Headers],0),0)/100</f>
        <v>0.18625</v>
      </c>
      <c r="G1004" s="13">
        <f t="shared" si="76"/>
        <v>32651014.672191855</v>
      </c>
      <c r="H1004" s="89">
        <f>VLOOKUP(D1004,Average_Distance_by_kilometre_grouping_for_mode_type[#All],MATCH(A1004,Average_Distance_by_kilometre_grouping_for_mode_type[#Headers],0),0)</f>
        <v>3</v>
      </c>
      <c r="I1004" s="89">
        <f>VLOOKUP(D1004,Average_Distance_by_kilometres_grouping_for_trip_purpose[#All],MATCH(A1004,Average_Distance_by_kilometres_grouping_for_trip_purpose[#Headers],0),0)</f>
        <v>3</v>
      </c>
      <c r="J1004" s="89">
        <f t="shared" si="77"/>
        <v>3</v>
      </c>
      <c r="K1004" s="89">
        <f t="shared" si="78"/>
        <v>5.6942203663281767E-2</v>
      </c>
      <c r="L1004" s="89">
        <v>1</v>
      </c>
      <c r="M1004" s="13">
        <f t="shared" si="79"/>
        <v>1859220.7272767497</v>
      </c>
      <c r="N1004" s="11">
        <f t="shared" si="80"/>
        <v>3.3073881022926122E-5</v>
      </c>
    </row>
    <row r="1005" spans="1:14" x14ac:dyDescent="0.25">
      <c r="A1005" s="79" t="s">
        <v>33</v>
      </c>
      <c r="B1005" s="89" t="s">
        <v>11</v>
      </c>
      <c r="C1005" s="89" t="s">
        <v>44</v>
      </c>
      <c r="D1005" s="13" t="s">
        <v>180</v>
      </c>
      <c r="E1005" s="35">
        <f>VLOOKUP(B1005, Passenger_Kilometre_by_mode_type[#All],MATCH(A1005, Passenger_Kilometre_by_mode_type[#Headers],0),0)</f>
        <v>175307461.32720459</v>
      </c>
      <c r="F1005" s="89">
        <f>VLOOKUP(C1005, Reason_for_public_transport_journeys_by_percentage[#All],MATCH(A1005, Reason_for_public_transport_journeys_by_percentage[#Headers],0),0)/100</f>
        <v>0.18625</v>
      </c>
      <c r="G1005" s="13">
        <f t="shared" si="76"/>
        <v>32651014.672191855</v>
      </c>
      <c r="H1005" s="89">
        <f>VLOOKUP(D1005,Average_Distance_by_kilometre_grouping_for_mode_type[#All],MATCH(A1005,Average_Distance_by_kilometre_grouping_for_mode_type[#Headers],0),0)</f>
        <v>5</v>
      </c>
      <c r="I1005" s="89">
        <f>VLOOKUP(D1005,Average_Distance_by_kilometres_grouping_for_trip_purpose[#All],MATCH(A1005,Average_Distance_by_kilometres_grouping_for_trip_purpose[#Headers],0),0)</f>
        <v>5</v>
      </c>
      <c r="J1005" s="89">
        <f t="shared" si="77"/>
        <v>5</v>
      </c>
      <c r="K1005" s="89">
        <f t="shared" si="78"/>
        <v>9.490367277213628E-2</v>
      </c>
      <c r="L1005" s="89">
        <v>1</v>
      </c>
      <c r="M1005" s="13">
        <f t="shared" si="79"/>
        <v>3098701.2121279165</v>
      </c>
      <c r="N1005" s="11">
        <f t="shared" si="80"/>
        <v>5.5123135038210208E-5</v>
      </c>
    </row>
    <row r="1006" spans="1:14" x14ac:dyDescent="0.25">
      <c r="A1006" s="79" t="s">
        <v>33</v>
      </c>
      <c r="B1006" s="89" t="s">
        <v>11</v>
      </c>
      <c r="C1006" s="89" t="s">
        <v>44</v>
      </c>
      <c r="D1006" s="13" t="s">
        <v>182</v>
      </c>
      <c r="E1006" s="35">
        <f>VLOOKUP(B1006, Passenger_Kilometre_by_mode_type[#All],MATCH(A1006, Passenger_Kilometre_by_mode_type[#Headers],0),0)</f>
        <v>175307461.32720459</v>
      </c>
      <c r="F1006" s="89">
        <f>VLOOKUP(C1006, Reason_for_public_transport_journeys_by_percentage[#All],MATCH(A1006, Reason_for_public_transport_journeys_by_percentage[#Headers],0),0)/100</f>
        <v>0.18625</v>
      </c>
      <c r="G1006" s="13">
        <f t="shared" si="76"/>
        <v>32651014.672191855</v>
      </c>
      <c r="H1006" s="89">
        <f>VLOOKUP(D1006,Average_Distance_by_kilometre_grouping_for_mode_type[#All],MATCH(A1006,Average_Distance_by_kilometre_grouping_for_mode_type[#Headers],0),0)</f>
        <v>7</v>
      </c>
      <c r="I1006" s="89">
        <f>VLOOKUP(D1006,Average_Distance_by_kilometres_grouping_for_trip_purpose[#All],MATCH(A1006,Average_Distance_by_kilometres_grouping_for_trip_purpose[#Headers],0),0)</f>
        <v>7</v>
      </c>
      <c r="J1006" s="89">
        <f t="shared" si="77"/>
        <v>7</v>
      </c>
      <c r="K1006" s="89">
        <f t="shared" si="78"/>
        <v>0.1328651418809908</v>
      </c>
      <c r="L1006" s="89">
        <v>1</v>
      </c>
      <c r="M1006" s="13">
        <f t="shared" si="79"/>
        <v>4338181.6969790831</v>
      </c>
      <c r="N1006" s="11">
        <f t="shared" si="80"/>
        <v>7.7172389053494281E-5</v>
      </c>
    </row>
    <row r="1007" spans="1:14" x14ac:dyDescent="0.25">
      <c r="A1007" s="79" t="s">
        <v>33</v>
      </c>
      <c r="B1007" s="89" t="s">
        <v>11</v>
      </c>
      <c r="C1007" s="89" t="s">
        <v>44</v>
      </c>
      <c r="D1007" s="13" t="s">
        <v>1</v>
      </c>
      <c r="E1007" s="35">
        <f>VLOOKUP(B1007, Passenger_Kilometre_by_mode_type[#All],MATCH(A1007, Passenger_Kilometre_by_mode_type[#Headers],0),0)</f>
        <v>175307461.32720459</v>
      </c>
      <c r="F1007" s="89">
        <f>VLOOKUP(C1007, Reason_for_public_transport_journeys_by_percentage[#All],MATCH(A1007, Reason_for_public_transport_journeys_by_percentage[#Headers],0),0)/100</f>
        <v>0.18625</v>
      </c>
      <c r="G1007" s="13">
        <f t="shared" si="76"/>
        <v>32651014.672191855</v>
      </c>
      <c r="H1007" s="89">
        <f>VLOOKUP(D1007,Average_Distance_by_kilometre_grouping_for_mode_type[#All],MATCH(A1007,Average_Distance_by_kilometre_grouping_for_mode_type[#Headers],0),0)</f>
        <v>35.22</v>
      </c>
      <c r="I1007" s="89">
        <f>VLOOKUP(D1007,Average_Distance_by_kilometres_grouping_for_trip_purpose[#All],MATCH(A1007,Average_Distance_by_kilometres_grouping_for_trip_purpose[#Headers],0),0)</f>
        <v>38.15</v>
      </c>
      <c r="J1007" s="89">
        <f t="shared" si="77"/>
        <v>36.685000000000002</v>
      </c>
      <c r="K1007" s="89">
        <f t="shared" si="78"/>
        <v>0.69630824712916395</v>
      </c>
      <c r="L1007" s="89">
        <v>1</v>
      </c>
      <c r="M1007" s="13">
        <f t="shared" si="79"/>
        <v>22735170.793382525</v>
      </c>
      <c r="N1007" s="11">
        <f t="shared" si="80"/>
        <v>4.0443844177534831E-4</v>
      </c>
    </row>
    <row r="1008" spans="1:14" x14ac:dyDescent="0.25">
      <c r="A1008" s="79" t="s">
        <v>33</v>
      </c>
      <c r="B1008" s="89" t="s">
        <v>11</v>
      </c>
      <c r="C1008" s="89" t="s">
        <v>45</v>
      </c>
      <c r="D1008" s="13" t="s">
        <v>12</v>
      </c>
      <c r="E1008" s="35">
        <f>VLOOKUP(B1008, Passenger_Kilometre_by_mode_type[#All],MATCH(A1008, Passenger_Kilometre_by_mode_type[#Headers],0),0)</f>
        <v>175307461.32720459</v>
      </c>
      <c r="F1008" s="89">
        <f>VLOOKUP(C1008, Reason_for_public_transport_journeys_by_percentage[#All],MATCH(A1008, Reason_for_public_transport_journeys_by_percentage[#Headers],0),0)/100</f>
        <v>1.7000000000000001E-2</v>
      </c>
      <c r="G1008" s="13">
        <f t="shared" si="76"/>
        <v>2980226.842562478</v>
      </c>
      <c r="H1008" s="89">
        <f>VLOOKUP(D1008,Average_Distance_by_kilometre_grouping_for_mode_type[#All],MATCH(A1008,Average_Distance_by_kilometre_grouping_for_mode_type[#Headers],0),0)</f>
        <v>1</v>
      </c>
      <c r="I1008" s="89">
        <f>VLOOKUP(D1008,Average_Distance_by_kilometres_grouping_for_trip_purpose[#All],MATCH(A1008,Average_Distance_by_kilometres_grouping_for_trip_purpose[#Headers],0),0)</f>
        <v>1</v>
      </c>
      <c r="J1008" s="89">
        <f t="shared" si="77"/>
        <v>1</v>
      </c>
      <c r="K1008" s="89">
        <f t="shared" si="78"/>
        <v>1.8980734554427257E-2</v>
      </c>
      <c r="L1008" s="89">
        <v>1</v>
      </c>
      <c r="M1008" s="13">
        <f t="shared" si="79"/>
        <v>56566.894610657269</v>
      </c>
      <c r="N1008" s="11">
        <f t="shared" si="80"/>
        <v>1.0062746798921594E-6</v>
      </c>
    </row>
    <row r="1009" spans="1:14" x14ac:dyDescent="0.25">
      <c r="A1009" s="79" t="s">
        <v>33</v>
      </c>
      <c r="B1009" s="89" t="s">
        <v>11</v>
      </c>
      <c r="C1009" s="89" t="s">
        <v>45</v>
      </c>
      <c r="D1009" s="13" t="s">
        <v>181</v>
      </c>
      <c r="E1009" s="35">
        <f>VLOOKUP(B1009, Passenger_Kilometre_by_mode_type[#All],MATCH(A1009, Passenger_Kilometre_by_mode_type[#Headers],0),0)</f>
        <v>175307461.32720459</v>
      </c>
      <c r="F1009" s="89">
        <f>VLOOKUP(C1009, Reason_for_public_transport_journeys_by_percentage[#All],MATCH(A1009, Reason_for_public_transport_journeys_by_percentage[#Headers],0),0)/100</f>
        <v>1.7000000000000001E-2</v>
      </c>
      <c r="G1009" s="13">
        <f t="shared" si="76"/>
        <v>2980226.842562478</v>
      </c>
      <c r="H1009" s="89">
        <f>VLOOKUP(D1009,Average_Distance_by_kilometre_grouping_for_mode_type[#All],MATCH(A1009,Average_Distance_by_kilometre_grouping_for_mode_type[#Headers],0),0)</f>
        <v>3</v>
      </c>
      <c r="I1009" s="89">
        <f>VLOOKUP(D1009,Average_Distance_by_kilometres_grouping_for_trip_purpose[#All],MATCH(A1009,Average_Distance_by_kilometres_grouping_for_trip_purpose[#Headers],0),0)</f>
        <v>3</v>
      </c>
      <c r="J1009" s="89">
        <f t="shared" si="77"/>
        <v>3</v>
      </c>
      <c r="K1009" s="89">
        <f t="shared" si="78"/>
        <v>5.6942203663281767E-2</v>
      </c>
      <c r="L1009" s="89">
        <v>1</v>
      </c>
      <c r="M1009" s="13">
        <f t="shared" si="79"/>
        <v>169700.68383197178</v>
      </c>
      <c r="N1009" s="11">
        <f t="shared" si="80"/>
        <v>3.0188240396764781E-6</v>
      </c>
    </row>
    <row r="1010" spans="1:14" x14ac:dyDescent="0.25">
      <c r="A1010" s="79" t="s">
        <v>33</v>
      </c>
      <c r="B1010" s="89" t="s">
        <v>11</v>
      </c>
      <c r="C1010" s="89" t="s">
        <v>45</v>
      </c>
      <c r="D1010" s="13" t="s">
        <v>180</v>
      </c>
      <c r="E1010" s="35">
        <f>VLOOKUP(B1010, Passenger_Kilometre_by_mode_type[#All],MATCH(A1010, Passenger_Kilometre_by_mode_type[#Headers],0),0)</f>
        <v>175307461.32720459</v>
      </c>
      <c r="F1010" s="89">
        <f>VLOOKUP(C1010, Reason_for_public_transport_journeys_by_percentage[#All],MATCH(A1010, Reason_for_public_transport_journeys_by_percentage[#Headers],0),0)/100</f>
        <v>1.7000000000000001E-2</v>
      </c>
      <c r="G1010" s="13">
        <f t="shared" si="76"/>
        <v>2980226.842562478</v>
      </c>
      <c r="H1010" s="89">
        <f>VLOOKUP(D1010,Average_Distance_by_kilometre_grouping_for_mode_type[#All],MATCH(A1010,Average_Distance_by_kilometre_grouping_for_mode_type[#Headers],0),0)</f>
        <v>5</v>
      </c>
      <c r="I1010" s="89">
        <f>VLOOKUP(D1010,Average_Distance_by_kilometres_grouping_for_trip_purpose[#All],MATCH(A1010,Average_Distance_by_kilometres_grouping_for_trip_purpose[#Headers],0),0)</f>
        <v>5</v>
      </c>
      <c r="J1010" s="89">
        <f t="shared" si="77"/>
        <v>5</v>
      </c>
      <c r="K1010" s="89">
        <f t="shared" si="78"/>
        <v>9.490367277213628E-2</v>
      </c>
      <c r="L1010" s="89">
        <v>1</v>
      </c>
      <c r="M1010" s="13">
        <f t="shared" si="79"/>
        <v>282834.47305328632</v>
      </c>
      <c r="N1010" s="11">
        <f t="shared" si="80"/>
        <v>5.0313733994607965E-6</v>
      </c>
    </row>
    <row r="1011" spans="1:14" x14ac:dyDescent="0.25">
      <c r="A1011" s="79" t="s">
        <v>33</v>
      </c>
      <c r="B1011" s="89" t="s">
        <v>11</v>
      </c>
      <c r="C1011" s="89" t="s">
        <v>45</v>
      </c>
      <c r="D1011" s="13" t="s">
        <v>182</v>
      </c>
      <c r="E1011" s="35">
        <f>VLOOKUP(B1011, Passenger_Kilometre_by_mode_type[#All],MATCH(A1011, Passenger_Kilometre_by_mode_type[#Headers],0),0)</f>
        <v>175307461.32720459</v>
      </c>
      <c r="F1011" s="89">
        <f>VLOOKUP(C1011, Reason_for_public_transport_journeys_by_percentage[#All],MATCH(A1011, Reason_for_public_transport_journeys_by_percentage[#Headers],0),0)/100</f>
        <v>1.7000000000000001E-2</v>
      </c>
      <c r="G1011" s="13">
        <f t="shared" si="76"/>
        <v>2980226.842562478</v>
      </c>
      <c r="H1011" s="89">
        <f>VLOOKUP(D1011,Average_Distance_by_kilometre_grouping_for_mode_type[#All],MATCH(A1011,Average_Distance_by_kilometre_grouping_for_mode_type[#Headers],0),0)</f>
        <v>7</v>
      </c>
      <c r="I1011" s="89">
        <f>VLOOKUP(D1011,Average_Distance_by_kilometres_grouping_for_trip_purpose[#All],MATCH(A1011,Average_Distance_by_kilometres_grouping_for_trip_purpose[#Headers],0),0)</f>
        <v>7</v>
      </c>
      <c r="J1011" s="89">
        <f t="shared" si="77"/>
        <v>7</v>
      </c>
      <c r="K1011" s="89">
        <f t="shared" si="78"/>
        <v>0.1328651418809908</v>
      </c>
      <c r="L1011" s="89">
        <v>1</v>
      </c>
      <c r="M1011" s="13">
        <f t="shared" si="79"/>
        <v>395968.26227460086</v>
      </c>
      <c r="N1011" s="11">
        <f t="shared" si="80"/>
        <v>7.0439227592451158E-6</v>
      </c>
    </row>
    <row r="1012" spans="1:14" x14ac:dyDescent="0.25">
      <c r="A1012" s="79" t="s">
        <v>33</v>
      </c>
      <c r="B1012" s="89" t="s">
        <v>11</v>
      </c>
      <c r="C1012" s="89" t="s">
        <v>45</v>
      </c>
      <c r="D1012" s="13" t="s">
        <v>1</v>
      </c>
      <c r="E1012" s="35">
        <f>VLOOKUP(B1012, Passenger_Kilometre_by_mode_type[#All],MATCH(A1012, Passenger_Kilometre_by_mode_type[#Headers],0),0)</f>
        <v>175307461.32720459</v>
      </c>
      <c r="F1012" s="89">
        <f>VLOOKUP(C1012, Reason_for_public_transport_journeys_by_percentage[#All],MATCH(A1012, Reason_for_public_transport_journeys_by_percentage[#Headers],0),0)/100</f>
        <v>1.7000000000000001E-2</v>
      </c>
      <c r="G1012" s="13">
        <f t="shared" si="76"/>
        <v>2980226.842562478</v>
      </c>
      <c r="H1012" s="89">
        <f>VLOOKUP(D1012,Average_Distance_by_kilometre_grouping_for_mode_type[#All],MATCH(A1012,Average_Distance_by_kilometre_grouping_for_mode_type[#Headers],0),0)</f>
        <v>35.22</v>
      </c>
      <c r="I1012" s="89">
        <f>VLOOKUP(D1012,Average_Distance_by_kilometres_grouping_for_trip_purpose[#All],MATCH(A1012,Average_Distance_by_kilometres_grouping_for_trip_purpose[#Headers],0),0)</f>
        <v>38.15</v>
      </c>
      <c r="J1012" s="89">
        <f t="shared" si="77"/>
        <v>36.685000000000002</v>
      </c>
      <c r="K1012" s="89">
        <f t="shared" si="78"/>
        <v>0.69630824712916395</v>
      </c>
      <c r="L1012" s="89">
        <v>1</v>
      </c>
      <c r="M1012" s="13">
        <f t="shared" si="79"/>
        <v>2075156.528791962</v>
      </c>
      <c r="N1012" s="11">
        <f t="shared" si="80"/>
        <v>3.6915186631843872E-5</v>
      </c>
    </row>
    <row r="1013" spans="1:14" x14ac:dyDescent="0.25">
      <c r="A1013" s="79" t="s">
        <v>33</v>
      </c>
      <c r="B1013" s="89" t="s">
        <v>11</v>
      </c>
      <c r="C1013" s="89" t="s">
        <v>56</v>
      </c>
      <c r="D1013" s="13" t="s">
        <v>12</v>
      </c>
      <c r="E1013" s="35">
        <f>VLOOKUP(B1013, Passenger_Kilometre_by_mode_type[#All],MATCH(A1013, Passenger_Kilometre_by_mode_type[#Headers],0),0)</f>
        <v>175307461.32720459</v>
      </c>
      <c r="F1013" s="89">
        <f>VLOOKUP(C1013, Reason_for_public_transport_journeys_by_percentage[#All],MATCH(A1013, Reason_for_public_transport_journeys_by_percentage[#Headers],0),0)/100</f>
        <v>0.10375000000000002</v>
      </c>
      <c r="G1013" s="13">
        <f t="shared" si="76"/>
        <v>18188149.112697478</v>
      </c>
      <c r="H1013" s="89">
        <f>VLOOKUP(D1013,Average_Distance_by_kilometre_grouping_for_mode_type[#All],MATCH(A1013,Average_Distance_by_kilometre_grouping_for_mode_type[#Headers],0),0)</f>
        <v>1</v>
      </c>
      <c r="I1013" s="89">
        <f>VLOOKUP(D1013,Average_Distance_by_kilometres_grouping_for_trip_purpose[#All],MATCH(A1013,Average_Distance_by_kilometres_grouping_for_trip_purpose[#Headers],0),0)</f>
        <v>1</v>
      </c>
      <c r="J1013" s="89">
        <f t="shared" si="77"/>
        <v>1</v>
      </c>
      <c r="K1013" s="89">
        <f t="shared" si="78"/>
        <v>1.8980734554427257E-2</v>
      </c>
      <c r="L1013" s="89">
        <v>1</v>
      </c>
      <c r="M1013" s="13">
        <f t="shared" si="79"/>
        <v>345224.4303444525</v>
      </c>
      <c r="N1013" s="11">
        <f t="shared" si="80"/>
        <v>6.1412351787536214E-6</v>
      </c>
    </row>
    <row r="1014" spans="1:14" x14ac:dyDescent="0.25">
      <c r="A1014" s="79" t="s">
        <v>33</v>
      </c>
      <c r="B1014" s="89" t="s">
        <v>11</v>
      </c>
      <c r="C1014" s="89" t="s">
        <v>56</v>
      </c>
      <c r="D1014" s="13" t="s">
        <v>181</v>
      </c>
      <c r="E1014" s="35">
        <f>VLOOKUP(B1014, Passenger_Kilometre_by_mode_type[#All],MATCH(A1014, Passenger_Kilometre_by_mode_type[#Headers],0),0)</f>
        <v>175307461.32720459</v>
      </c>
      <c r="F1014" s="89">
        <f>VLOOKUP(C1014, Reason_for_public_transport_journeys_by_percentage[#All],MATCH(A1014, Reason_for_public_transport_journeys_by_percentage[#Headers],0),0)/100</f>
        <v>0.10375000000000002</v>
      </c>
      <c r="G1014" s="13">
        <f t="shared" si="76"/>
        <v>18188149.112697478</v>
      </c>
      <c r="H1014" s="89">
        <f>VLOOKUP(D1014,Average_Distance_by_kilometre_grouping_for_mode_type[#All],MATCH(A1014,Average_Distance_by_kilometre_grouping_for_mode_type[#Headers],0),0)</f>
        <v>3</v>
      </c>
      <c r="I1014" s="89">
        <f>VLOOKUP(D1014,Average_Distance_by_kilometres_grouping_for_trip_purpose[#All],MATCH(A1014,Average_Distance_by_kilometres_grouping_for_trip_purpose[#Headers],0),0)</f>
        <v>3</v>
      </c>
      <c r="J1014" s="89">
        <f t="shared" si="77"/>
        <v>3</v>
      </c>
      <c r="K1014" s="89">
        <f t="shared" si="78"/>
        <v>5.6942203663281767E-2</v>
      </c>
      <c r="L1014" s="89">
        <v>1</v>
      </c>
      <c r="M1014" s="13">
        <f t="shared" si="79"/>
        <v>1035673.2910333574</v>
      </c>
      <c r="N1014" s="11">
        <f t="shared" si="80"/>
        <v>1.842370553626086E-5</v>
      </c>
    </row>
    <row r="1015" spans="1:14" x14ac:dyDescent="0.25">
      <c r="A1015" s="79" t="s">
        <v>33</v>
      </c>
      <c r="B1015" s="89" t="s">
        <v>11</v>
      </c>
      <c r="C1015" s="89" t="s">
        <v>56</v>
      </c>
      <c r="D1015" s="13" t="s">
        <v>180</v>
      </c>
      <c r="E1015" s="35">
        <f>VLOOKUP(B1015, Passenger_Kilometre_by_mode_type[#All],MATCH(A1015, Passenger_Kilometre_by_mode_type[#Headers],0),0)</f>
        <v>175307461.32720459</v>
      </c>
      <c r="F1015" s="89">
        <f>VLOOKUP(C1015, Reason_for_public_transport_journeys_by_percentage[#All],MATCH(A1015, Reason_for_public_transport_journeys_by_percentage[#Headers],0),0)/100</f>
        <v>0.10375000000000002</v>
      </c>
      <c r="G1015" s="13">
        <f t="shared" si="76"/>
        <v>18188149.112697478</v>
      </c>
      <c r="H1015" s="89">
        <f>VLOOKUP(D1015,Average_Distance_by_kilometre_grouping_for_mode_type[#All],MATCH(A1015,Average_Distance_by_kilometre_grouping_for_mode_type[#Headers],0),0)</f>
        <v>5</v>
      </c>
      <c r="I1015" s="89">
        <f>VLOOKUP(D1015,Average_Distance_by_kilometres_grouping_for_trip_purpose[#All],MATCH(A1015,Average_Distance_by_kilometres_grouping_for_trip_purpose[#Headers],0),0)</f>
        <v>5</v>
      </c>
      <c r="J1015" s="89">
        <f t="shared" si="77"/>
        <v>5</v>
      </c>
      <c r="K1015" s="89">
        <f t="shared" si="78"/>
        <v>9.490367277213628E-2</v>
      </c>
      <c r="L1015" s="89">
        <v>1</v>
      </c>
      <c r="M1015" s="13">
        <f t="shared" si="79"/>
        <v>1726122.1517222624</v>
      </c>
      <c r="N1015" s="11">
        <f t="shared" si="80"/>
        <v>3.0706175893768104E-5</v>
      </c>
    </row>
    <row r="1016" spans="1:14" x14ac:dyDescent="0.25">
      <c r="A1016" s="79" t="s">
        <v>33</v>
      </c>
      <c r="B1016" s="89" t="s">
        <v>11</v>
      </c>
      <c r="C1016" s="89" t="s">
        <v>56</v>
      </c>
      <c r="D1016" s="13" t="s">
        <v>182</v>
      </c>
      <c r="E1016" s="35">
        <f>VLOOKUP(B1016, Passenger_Kilometre_by_mode_type[#All],MATCH(A1016, Passenger_Kilometre_by_mode_type[#Headers],0),0)</f>
        <v>175307461.32720459</v>
      </c>
      <c r="F1016" s="89">
        <f>VLOOKUP(C1016, Reason_for_public_transport_journeys_by_percentage[#All],MATCH(A1016, Reason_for_public_transport_journeys_by_percentage[#Headers],0),0)/100</f>
        <v>0.10375000000000002</v>
      </c>
      <c r="G1016" s="13">
        <f t="shared" si="76"/>
        <v>18188149.112697478</v>
      </c>
      <c r="H1016" s="89">
        <f>VLOOKUP(D1016,Average_Distance_by_kilometre_grouping_for_mode_type[#All],MATCH(A1016,Average_Distance_by_kilometre_grouping_for_mode_type[#Headers],0),0)</f>
        <v>7</v>
      </c>
      <c r="I1016" s="89">
        <f>VLOOKUP(D1016,Average_Distance_by_kilometres_grouping_for_trip_purpose[#All],MATCH(A1016,Average_Distance_by_kilometres_grouping_for_trip_purpose[#Headers],0),0)</f>
        <v>7</v>
      </c>
      <c r="J1016" s="89">
        <f t="shared" si="77"/>
        <v>7</v>
      </c>
      <c r="K1016" s="89">
        <f t="shared" si="78"/>
        <v>0.1328651418809908</v>
      </c>
      <c r="L1016" s="89">
        <v>1</v>
      </c>
      <c r="M1016" s="13">
        <f t="shared" si="79"/>
        <v>2416571.0124111674</v>
      </c>
      <c r="N1016" s="11">
        <f t="shared" si="80"/>
        <v>4.2988646251275349E-5</v>
      </c>
    </row>
    <row r="1017" spans="1:14" x14ac:dyDescent="0.25">
      <c r="A1017" s="79" t="s">
        <v>33</v>
      </c>
      <c r="B1017" s="89" t="s">
        <v>11</v>
      </c>
      <c r="C1017" s="89" t="s">
        <v>56</v>
      </c>
      <c r="D1017" s="13" t="s">
        <v>1</v>
      </c>
      <c r="E1017" s="35">
        <f>VLOOKUP(B1017, Passenger_Kilometre_by_mode_type[#All],MATCH(A1017, Passenger_Kilometre_by_mode_type[#Headers],0),0)</f>
        <v>175307461.32720459</v>
      </c>
      <c r="F1017" s="89">
        <f>VLOOKUP(C1017, Reason_for_public_transport_journeys_by_percentage[#All],MATCH(A1017, Reason_for_public_transport_journeys_by_percentage[#Headers],0),0)/100</f>
        <v>0.10375000000000002</v>
      </c>
      <c r="G1017" s="13">
        <f t="shared" si="76"/>
        <v>18188149.112697478</v>
      </c>
      <c r="H1017" s="89">
        <f>VLOOKUP(D1017,Average_Distance_by_kilometre_grouping_for_mode_type[#All],MATCH(A1017,Average_Distance_by_kilometre_grouping_for_mode_type[#Headers],0),0)</f>
        <v>35.22</v>
      </c>
      <c r="I1017" s="89">
        <f>VLOOKUP(D1017,Average_Distance_by_kilometres_grouping_for_trip_purpose[#All],MATCH(A1017,Average_Distance_by_kilometres_grouping_for_trip_purpose[#Headers],0),0)</f>
        <v>38.15</v>
      </c>
      <c r="J1017" s="89">
        <f t="shared" si="77"/>
        <v>36.685000000000002</v>
      </c>
      <c r="K1017" s="89">
        <f t="shared" si="78"/>
        <v>0.69630824712916395</v>
      </c>
      <c r="L1017" s="89">
        <v>1</v>
      </c>
      <c r="M1017" s="13">
        <f t="shared" si="79"/>
        <v>12664558.22718624</v>
      </c>
      <c r="N1017" s="11">
        <f t="shared" si="80"/>
        <v>2.252912125325766E-4</v>
      </c>
    </row>
    <row r="1018" spans="1:14" x14ac:dyDescent="0.25">
      <c r="A1018" s="79" t="s">
        <v>33</v>
      </c>
      <c r="B1018" s="89" t="s">
        <v>11</v>
      </c>
      <c r="C1018" s="89" t="s">
        <v>57</v>
      </c>
      <c r="D1018" s="13" t="s">
        <v>12</v>
      </c>
      <c r="E1018" s="35">
        <f>VLOOKUP(B1018, Passenger_Kilometre_by_mode_type[#All],MATCH(A1018, Passenger_Kilometre_by_mode_type[#Headers],0),0)</f>
        <v>175307461.32720459</v>
      </c>
      <c r="F1018" s="89">
        <f>VLOOKUP(C1018, Reason_for_public_transport_journeys_by_percentage[#All],MATCH(A1018, Reason_for_public_transport_journeys_by_percentage[#Headers],0),0)/100</f>
        <v>7.0250000000000007E-2</v>
      </c>
      <c r="G1018" s="13">
        <f t="shared" si="76"/>
        <v>12315349.158236124</v>
      </c>
      <c r="H1018" s="89">
        <f>VLOOKUP(D1018,Average_Distance_by_kilometre_grouping_for_mode_type[#All],MATCH(A1018,Average_Distance_by_kilometre_grouping_for_mode_type[#Headers],0),0)</f>
        <v>1</v>
      </c>
      <c r="I1018" s="89">
        <f>VLOOKUP(D1018,Average_Distance_by_kilometres_grouping_for_trip_purpose[#All],MATCH(A1018,Average_Distance_by_kilometres_grouping_for_trip_purpose[#Headers],0),0)</f>
        <v>1</v>
      </c>
      <c r="J1018" s="89">
        <f t="shared" si="77"/>
        <v>1</v>
      </c>
      <c r="K1018" s="89">
        <f t="shared" si="78"/>
        <v>1.8980734554427257E-2</v>
      </c>
      <c r="L1018" s="89">
        <v>1</v>
      </c>
      <c r="M1018" s="13">
        <f t="shared" si="79"/>
        <v>233754.37331756903</v>
      </c>
      <c r="N1018" s="11">
        <f t="shared" si="80"/>
        <v>4.1582821330837766E-6</v>
      </c>
    </row>
    <row r="1019" spans="1:14" x14ac:dyDescent="0.25">
      <c r="A1019" s="79" t="s">
        <v>33</v>
      </c>
      <c r="B1019" s="89" t="s">
        <v>11</v>
      </c>
      <c r="C1019" s="89" t="s">
        <v>57</v>
      </c>
      <c r="D1019" s="13" t="s">
        <v>181</v>
      </c>
      <c r="E1019" s="35">
        <f>VLOOKUP(B1019, Passenger_Kilometre_by_mode_type[#All],MATCH(A1019, Passenger_Kilometre_by_mode_type[#Headers],0),0)</f>
        <v>175307461.32720459</v>
      </c>
      <c r="F1019" s="89">
        <f>VLOOKUP(C1019, Reason_for_public_transport_journeys_by_percentage[#All],MATCH(A1019, Reason_for_public_transport_journeys_by_percentage[#Headers],0),0)/100</f>
        <v>7.0250000000000007E-2</v>
      </c>
      <c r="G1019" s="13">
        <f t="shared" si="76"/>
        <v>12315349.158236124</v>
      </c>
      <c r="H1019" s="89">
        <f>VLOOKUP(D1019,Average_Distance_by_kilometre_grouping_for_mode_type[#All],MATCH(A1019,Average_Distance_by_kilometre_grouping_for_mode_type[#Headers],0),0)</f>
        <v>3</v>
      </c>
      <c r="I1019" s="89">
        <f>VLOOKUP(D1019,Average_Distance_by_kilometres_grouping_for_trip_purpose[#All],MATCH(A1019,Average_Distance_by_kilometres_grouping_for_trip_purpose[#Headers],0),0)</f>
        <v>3</v>
      </c>
      <c r="J1019" s="89">
        <f t="shared" si="77"/>
        <v>3</v>
      </c>
      <c r="K1019" s="89">
        <f t="shared" si="78"/>
        <v>5.6942203663281767E-2</v>
      </c>
      <c r="L1019" s="89">
        <v>1</v>
      </c>
      <c r="M1019" s="13">
        <f t="shared" si="79"/>
        <v>701263.11995270697</v>
      </c>
      <c r="N1019" s="11">
        <f t="shared" si="80"/>
        <v>1.2474846399251328E-5</v>
      </c>
    </row>
    <row r="1020" spans="1:14" x14ac:dyDescent="0.25">
      <c r="A1020" s="79" t="s">
        <v>33</v>
      </c>
      <c r="B1020" s="89" t="s">
        <v>11</v>
      </c>
      <c r="C1020" s="89" t="s">
        <v>57</v>
      </c>
      <c r="D1020" s="13" t="s">
        <v>180</v>
      </c>
      <c r="E1020" s="35">
        <f>VLOOKUP(B1020, Passenger_Kilometre_by_mode_type[#All],MATCH(A1020, Passenger_Kilometre_by_mode_type[#Headers],0),0)</f>
        <v>175307461.32720459</v>
      </c>
      <c r="F1020" s="89">
        <f>VLOOKUP(C1020, Reason_for_public_transport_journeys_by_percentage[#All],MATCH(A1020, Reason_for_public_transport_journeys_by_percentage[#Headers],0),0)/100</f>
        <v>7.0250000000000007E-2</v>
      </c>
      <c r="G1020" s="13">
        <f t="shared" si="76"/>
        <v>12315349.158236124</v>
      </c>
      <c r="H1020" s="89">
        <f>VLOOKUP(D1020,Average_Distance_by_kilometre_grouping_for_mode_type[#All],MATCH(A1020,Average_Distance_by_kilometre_grouping_for_mode_type[#Headers],0),0)</f>
        <v>5</v>
      </c>
      <c r="I1020" s="89">
        <f>VLOOKUP(D1020,Average_Distance_by_kilometres_grouping_for_trip_purpose[#All],MATCH(A1020,Average_Distance_by_kilometres_grouping_for_trip_purpose[#Headers],0),0)</f>
        <v>5</v>
      </c>
      <c r="J1020" s="89">
        <f t="shared" si="77"/>
        <v>5</v>
      </c>
      <c r="K1020" s="89">
        <f t="shared" si="78"/>
        <v>9.490367277213628E-2</v>
      </c>
      <c r="L1020" s="89">
        <v>1</v>
      </c>
      <c r="M1020" s="13">
        <f t="shared" si="79"/>
        <v>1168771.8665878451</v>
      </c>
      <c r="N1020" s="11">
        <f t="shared" si="80"/>
        <v>2.0791410665418885E-5</v>
      </c>
    </row>
    <row r="1021" spans="1:14" x14ac:dyDescent="0.25">
      <c r="A1021" s="79" t="s">
        <v>33</v>
      </c>
      <c r="B1021" s="89" t="s">
        <v>11</v>
      </c>
      <c r="C1021" s="89" t="s">
        <v>57</v>
      </c>
      <c r="D1021" s="13" t="s">
        <v>182</v>
      </c>
      <c r="E1021" s="35">
        <f>VLOOKUP(B1021, Passenger_Kilometre_by_mode_type[#All],MATCH(A1021, Passenger_Kilometre_by_mode_type[#Headers],0),0)</f>
        <v>175307461.32720459</v>
      </c>
      <c r="F1021" s="89">
        <f>VLOOKUP(C1021, Reason_for_public_transport_journeys_by_percentage[#All],MATCH(A1021, Reason_for_public_transport_journeys_by_percentage[#Headers],0),0)/100</f>
        <v>7.0250000000000007E-2</v>
      </c>
      <c r="G1021" s="13">
        <f t="shared" si="76"/>
        <v>12315349.158236124</v>
      </c>
      <c r="H1021" s="89">
        <f>VLOOKUP(D1021,Average_Distance_by_kilometre_grouping_for_mode_type[#All],MATCH(A1021,Average_Distance_by_kilometre_grouping_for_mode_type[#Headers],0),0)</f>
        <v>7</v>
      </c>
      <c r="I1021" s="89">
        <f>VLOOKUP(D1021,Average_Distance_by_kilometres_grouping_for_trip_purpose[#All],MATCH(A1021,Average_Distance_by_kilometres_grouping_for_trip_purpose[#Headers],0),0)</f>
        <v>7</v>
      </c>
      <c r="J1021" s="89">
        <f t="shared" si="77"/>
        <v>7</v>
      </c>
      <c r="K1021" s="89">
        <f t="shared" si="78"/>
        <v>0.1328651418809908</v>
      </c>
      <c r="L1021" s="89">
        <v>1</v>
      </c>
      <c r="M1021" s="13">
        <f t="shared" si="79"/>
        <v>1636280.6132229832</v>
      </c>
      <c r="N1021" s="11">
        <f t="shared" si="80"/>
        <v>2.9107974931586438E-5</v>
      </c>
    </row>
    <row r="1022" spans="1:14" x14ac:dyDescent="0.25">
      <c r="A1022" s="79" t="s">
        <v>33</v>
      </c>
      <c r="B1022" s="89" t="s">
        <v>11</v>
      </c>
      <c r="C1022" s="89" t="s">
        <v>57</v>
      </c>
      <c r="D1022" s="13" t="s">
        <v>1</v>
      </c>
      <c r="E1022" s="35">
        <f>VLOOKUP(B1022, Passenger_Kilometre_by_mode_type[#All],MATCH(A1022, Passenger_Kilometre_by_mode_type[#Headers],0),0)</f>
        <v>175307461.32720459</v>
      </c>
      <c r="F1022" s="89">
        <f>VLOOKUP(C1022, Reason_for_public_transport_journeys_by_percentage[#All],MATCH(A1022, Reason_for_public_transport_journeys_by_percentage[#Headers],0),0)/100</f>
        <v>7.0250000000000007E-2</v>
      </c>
      <c r="G1022" s="13">
        <f t="shared" si="76"/>
        <v>12315349.158236124</v>
      </c>
      <c r="H1022" s="89">
        <f>VLOOKUP(D1022,Average_Distance_by_kilometre_grouping_for_mode_type[#All],MATCH(A1022,Average_Distance_by_kilometre_grouping_for_mode_type[#Headers],0),0)</f>
        <v>35.22</v>
      </c>
      <c r="I1022" s="89">
        <f>VLOOKUP(D1022,Average_Distance_by_kilometres_grouping_for_trip_purpose[#All],MATCH(A1022,Average_Distance_by_kilometres_grouping_for_trip_purpose[#Headers],0),0)</f>
        <v>38.15</v>
      </c>
      <c r="J1022" s="89">
        <f t="shared" si="77"/>
        <v>36.685000000000002</v>
      </c>
      <c r="K1022" s="89">
        <f t="shared" si="78"/>
        <v>0.69630824712916395</v>
      </c>
      <c r="L1022" s="89">
        <v>1</v>
      </c>
      <c r="M1022" s="13">
        <f t="shared" si="79"/>
        <v>8575279.1851550192</v>
      </c>
      <c r="N1022" s="11">
        <f t="shared" si="80"/>
        <v>1.5254658005217834E-4</v>
      </c>
    </row>
    <row r="1023" spans="1:14" x14ac:dyDescent="0.25">
      <c r="A1023" s="79" t="s">
        <v>33</v>
      </c>
      <c r="B1023" s="89" t="s">
        <v>11</v>
      </c>
      <c r="C1023" s="89" t="s">
        <v>93</v>
      </c>
      <c r="D1023" s="13" t="s">
        <v>12</v>
      </c>
      <c r="E1023" s="35">
        <f>VLOOKUP(B1023, Passenger_Kilometre_by_mode_type[#All],MATCH(A1023, Passenger_Kilometre_by_mode_type[#Headers],0),0)</f>
        <v>175307461.32720459</v>
      </c>
      <c r="F1023" s="89">
        <f>VLOOKUP(C1023, Reason_for_public_transport_journeys_by_percentage[#All],MATCH(A1023, Reason_for_public_transport_journeys_by_percentage[#Headers],0),0)/100</f>
        <v>9.6374999999999988E-2</v>
      </c>
      <c r="G1023" s="13">
        <f t="shared" si="76"/>
        <v>16895256.58540934</v>
      </c>
      <c r="H1023" s="89">
        <f>VLOOKUP(D1023,Average_Distance_by_kilometre_grouping_for_mode_type[#All],MATCH(A1023,Average_Distance_by_kilometre_grouping_for_mode_type[#Headers],0),0)</f>
        <v>1</v>
      </c>
      <c r="I1023" s="89">
        <f>VLOOKUP(D1023,Average_Distance_by_kilometres_grouping_for_trip_purpose[#All],MATCH(A1023,Average_Distance_by_kilometres_grouping_for_trip_purpose[#Headers],0),0)</f>
        <v>1</v>
      </c>
      <c r="J1023" s="89">
        <f t="shared" si="77"/>
        <v>1</v>
      </c>
      <c r="K1023" s="89">
        <f t="shared" si="78"/>
        <v>1.8980734554427257E-2</v>
      </c>
      <c r="L1023" s="89">
        <v>1</v>
      </c>
      <c r="M1023" s="13">
        <f t="shared" si="79"/>
        <v>320684.38047659374</v>
      </c>
      <c r="N1023" s="11">
        <f t="shared" si="80"/>
        <v>5.7046895455651093E-6</v>
      </c>
    </row>
    <row r="1024" spans="1:14" x14ac:dyDescent="0.25">
      <c r="A1024" s="79" t="s">
        <v>33</v>
      </c>
      <c r="B1024" s="89" t="s">
        <v>11</v>
      </c>
      <c r="C1024" s="89" t="s">
        <v>93</v>
      </c>
      <c r="D1024" s="13" t="s">
        <v>181</v>
      </c>
      <c r="E1024" s="35">
        <f>VLOOKUP(B1024, Passenger_Kilometre_by_mode_type[#All],MATCH(A1024, Passenger_Kilometre_by_mode_type[#Headers],0),0)</f>
        <v>175307461.32720459</v>
      </c>
      <c r="F1024" s="89">
        <f>VLOOKUP(C1024, Reason_for_public_transport_journeys_by_percentage[#All],MATCH(A1024, Reason_for_public_transport_journeys_by_percentage[#Headers],0),0)/100</f>
        <v>9.6374999999999988E-2</v>
      </c>
      <c r="G1024" s="13">
        <f t="shared" si="76"/>
        <v>16895256.58540934</v>
      </c>
      <c r="H1024" s="89">
        <f>VLOOKUP(D1024,Average_Distance_by_kilometre_grouping_for_mode_type[#All],MATCH(A1024,Average_Distance_by_kilometre_grouping_for_mode_type[#Headers],0),0)</f>
        <v>3</v>
      </c>
      <c r="I1024" s="89">
        <f>VLOOKUP(D1024,Average_Distance_by_kilometres_grouping_for_trip_purpose[#All],MATCH(A1024,Average_Distance_by_kilometres_grouping_for_trip_purpose[#Headers],0),0)</f>
        <v>3</v>
      </c>
      <c r="J1024" s="89">
        <f t="shared" si="77"/>
        <v>3</v>
      </c>
      <c r="K1024" s="89">
        <f t="shared" si="78"/>
        <v>5.6942203663281767E-2</v>
      </c>
      <c r="L1024" s="89">
        <v>1</v>
      </c>
      <c r="M1024" s="13">
        <f t="shared" si="79"/>
        <v>962053.1414297811</v>
      </c>
      <c r="N1024" s="11">
        <f t="shared" si="80"/>
        <v>1.7114068636695325E-5</v>
      </c>
    </row>
    <row r="1025" spans="1:14" x14ac:dyDescent="0.25">
      <c r="A1025" s="79" t="s">
        <v>33</v>
      </c>
      <c r="B1025" s="89" t="s">
        <v>11</v>
      </c>
      <c r="C1025" s="89" t="s">
        <v>93</v>
      </c>
      <c r="D1025" s="13" t="s">
        <v>180</v>
      </c>
      <c r="E1025" s="35">
        <f>VLOOKUP(B1025, Passenger_Kilometre_by_mode_type[#All],MATCH(A1025, Passenger_Kilometre_by_mode_type[#Headers],0),0)</f>
        <v>175307461.32720459</v>
      </c>
      <c r="F1025" s="89">
        <f>VLOOKUP(C1025, Reason_for_public_transport_journeys_by_percentage[#All],MATCH(A1025, Reason_for_public_transport_journeys_by_percentage[#Headers],0),0)/100</f>
        <v>9.6374999999999988E-2</v>
      </c>
      <c r="G1025" s="13">
        <f t="shared" si="76"/>
        <v>16895256.58540934</v>
      </c>
      <c r="H1025" s="89">
        <f>VLOOKUP(D1025,Average_Distance_by_kilometre_grouping_for_mode_type[#All],MATCH(A1025,Average_Distance_by_kilometre_grouping_for_mode_type[#Headers],0),0)</f>
        <v>5</v>
      </c>
      <c r="I1025" s="89">
        <f>VLOOKUP(D1025,Average_Distance_by_kilometres_grouping_for_trip_purpose[#All],MATCH(A1025,Average_Distance_by_kilometres_grouping_for_trip_purpose[#Headers],0),0)</f>
        <v>5</v>
      </c>
      <c r="J1025" s="89">
        <f t="shared" si="77"/>
        <v>5</v>
      </c>
      <c r="K1025" s="89">
        <f t="shared" si="78"/>
        <v>9.490367277213628E-2</v>
      </c>
      <c r="L1025" s="89">
        <v>1</v>
      </c>
      <c r="M1025" s="13">
        <f t="shared" si="79"/>
        <v>1603421.9023829685</v>
      </c>
      <c r="N1025" s="11">
        <f t="shared" si="80"/>
        <v>2.8523447727825542E-5</v>
      </c>
    </row>
    <row r="1026" spans="1:14" x14ac:dyDescent="0.25">
      <c r="A1026" s="79" t="s">
        <v>33</v>
      </c>
      <c r="B1026" s="89" t="s">
        <v>11</v>
      </c>
      <c r="C1026" s="89" t="s">
        <v>93</v>
      </c>
      <c r="D1026" s="13" t="s">
        <v>182</v>
      </c>
      <c r="E1026" s="35">
        <f>VLOOKUP(B1026, Passenger_Kilometre_by_mode_type[#All],MATCH(A1026, Passenger_Kilometre_by_mode_type[#Headers],0),0)</f>
        <v>175307461.32720459</v>
      </c>
      <c r="F1026" s="89">
        <f>VLOOKUP(C1026, Reason_for_public_transport_journeys_by_percentage[#All],MATCH(A1026, Reason_for_public_transport_journeys_by_percentage[#Headers],0),0)/100</f>
        <v>9.6374999999999988E-2</v>
      </c>
      <c r="G1026" s="13">
        <f t="shared" si="76"/>
        <v>16895256.58540934</v>
      </c>
      <c r="H1026" s="89">
        <f>VLOOKUP(D1026,Average_Distance_by_kilometre_grouping_for_mode_type[#All],MATCH(A1026,Average_Distance_by_kilometre_grouping_for_mode_type[#Headers],0),0)</f>
        <v>7</v>
      </c>
      <c r="I1026" s="89">
        <f>VLOOKUP(D1026,Average_Distance_by_kilometres_grouping_for_trip_purpose[#All],MATCH(A1026,Average_Distance_by_kilometres_grouping_for_trip_purpose[#Headers],0),0)</f>
        <v>7</v>
      </c>
      <c r="J1026" s="89">
        <f t="shared" si="77"/>
        <v>7</v>
      </c>
      <c r="K1026" s="89">
        <f t="shared" si="78"/>
        <v>0.1328651418809908</v>
      </c>
      <c r="L1026" s="89">
        <v>1</v>
      </c>
      <c r="M1026" s="13">
        <f t="shared" si="79"/>
        <v>2244790.6633361559</v>
      </c>
      <c r="N1026" s="11">
        <f t="shared" si="80"/>
        <v>3.9932826818955759E-5</v>
      </c>
    </row>
    <row r="1027" spans="1:14" x14ac:dyDescent="0.25">
      <c r="A1027" s="79" t="s">
        <v>33</v>
      </c>
      <c r="B1027" s="89" t="s">
        <v>11</v>
      </c>
      <c r="C1027" s="89" t="s">
        <v>93</v>
      </c>
      <c r="D1027" s="13" t="s">
        <v>1</v>
      </c>
      <c r="E1027" s="35">
        <f>VLOOKUP(B1027, Passenger_Kilometre_by_mode_type[#All],MATCH(A1027, Passenger_Kilometre_by_mode_type[#Headers],0),0)</f>
        <v>175307461.32720459</v>
      </c>
      <c r="F1027" s="89">
        <f>VLOOKUP(C1027, Reason_for_public_transport_journeys_by_percentage[#All],MATCH(A1027, Reason_for_public_transport_journeys_by_percentage[#Headers],0),0)/100</f>
        <v>9.6374999999999988E-2</v>
      </c>
      <c r="G1027" s="13">
        <f t="shared" si="76"/>
        <v>16895256.58540934</v>
      </c>
      <c r="H1027" s="89">
        <f>VLOOKUP(D1027,Average_Distance_by_kilometre_grouping_for_mode_type[#All],MATCH(A1027,Average_Distance_by_kilometre_grouping_for_mode_type[#Headers],0),0)</f>
        <v>35.22</v>
      </c>
      <c r="I1027" s="89">
        <f>VLOOKUP(D1027,Average_Distance_by_kilometres_grouping_for_trip_purpose[#All],MATCH(A1027,Average_Distance_by_kilometres_grouping_for_trip_purpose[#Headers],0),0)</f>
        <v>38.15</v>
      </c>
      <c r="J1027" s="89">
        <f t="shared" si="77"/>
        <v>36.685000000000002</v>
      </c>
      <c r="K1027" s="89">
        <f t="shared" si="78"/>
        <v>0.69630824712916395</v>
      </c>
      <c r="L1027" s="89">
        <v>1</v>
      </c>
      <c r="M1027" s="13">
        <f t="shared" si="79"/>
        <v>11764306.497783842</v>
      </c>
      <c r="N1027" s="11">
        <f t="shared" si="80"/>
        <v>2.0927653597905603E-4</v>
      </c>
    </row>
    <row r="1028" spans="1:14" x14ac:dyDescent="0.25">
      <c r="A1028" s="79" t="s">
        <v>33</v>
      </c>
      <c r="B1028" s="89" t="s">
        <v>11</v>
      </c>
      <c r="C1028" s="89" t="s">
        <v>243</v>
      </c>
      <c r="D1028" s="13" t="s">
        <v>12</v>
      </c>
      <c r="E1028" s="35">
        <f>VLOOKUP(B1028, Passenger_Kilometre_by_mode_type[#All],MATCH(A1028, Passenger_Kilometre_by_mode_type[#Headers],0),0)</f>
        <v>175307461.32720459</v>
      </c>
      <c r="F1028" s="89">
        <f>VLOOKUP(C1028, Reason_for_public_transport_journeys_by_percentage[#All],MATCH(A1028, Reason_for_public_transport_journeys_by_percentage[#Headers],0),0)/100</f>
        <v>2.2499999999999999E-2</v>
      </c>
      <c r="G1028" s="13">
        <f t="shared" ref="G1028:G1091" si="81">E1028*F1028</f>
        <v>3944417.8798621031</v>
      </c>
      <c r="H1028" s="89">
        <f>VLOOKUP(D1028,Average_Distance_by_kilometre_grouping_for_mode_type[#All],MATCH(A1028,Average_Distance_by_kilometre_grouping_for_mode_type[#Headers],0),0)</f>
        <v>1</v>
      </c>
      <c r="I1028" s="89">
        <f>VLOOKUP(D1028,Average_Distance_by_kilometres_grouping_for_trip_purpose[#All],MATCH(A1028,Average_Distance_by_kilometres_grouping_for_trip_purpose[#Headers],0),0)</f>
        <v>1</v>
      </c>
      <c r="J1028" s="89">
        <f t="shared" ref="J1028:J1091" si="82">AVERAGE(H1028:I1028)</f>
        <v>1</v>
      </c>
      <c r="K1028" s="89">
        <f t="shared" ref="K1028:K1091" si="83">J1028/SUM(J1028:J1032)</f>
        <v>1.8980734554427257E-2</v>
      </c>
      <c r="L1028" s="89">
        <v>1</v>
      </c>
      <c r="M1028" s="13">
        <f t="shared" ref="M1028:M1091" si="84">G1028*K1028*L1028</f>
        <v>74867.948749399322</v>
      </c>
      <c r="N1028" s="11">
        <f t="shared" si="80"/>
        <v>1.3318341351513874E-6</v>
      </c>
    </row>
    <row r="1029" spans="1:14" x14ac:dyDescent="0.25">
      <c r="A1029" s="79" t="s">
        <v>33</v>
      </c>
      <c r="B1029" s="89" t="s">
        <v>11</v>
      </c>
      <c r="C1029" s="89" t="s">
        <v>243</v>
      </c>
      <c r="D1029" s="13" t="s">
        <v>181</v>
      </c>
      <c r="E1029" s="35">
        <f>VLOOKUP(B1029, Passenger_Kilometre_by_mode_type[#All],MATCH(A1029, Passenger_Kilometre_by_mode_type[#Headers],0),0)</f>
        <v>175307461.32720459</v>
      </c>
      <c r="F1029" s="89">
        <f>VLOOKUP(C1029, Reason_for_public_transport_journeys_by_percentage[#All],MATCH(A1029, Reason_for_public_transport_journeys_by_percentage[#Headers],0),0)/100</f>
        <v>2.2499999999999999E-2</v>
      </c>
      <c r="G1029" s="13">
        <f t="shared" si="81"/>
        <v>3944417.8798621031</v>
      </c>
      <c r="H1029" s="89">
        <f>VLOOKUP(D1029,Average_Distance_by_kilometre_grouping_for_mode_type[#All],MATCH(A1029,Average_Distance_by_kilometre_grouping_for_mode_type[#Headers],0),0)</f>
        <v>3</v>
      </c>
      <c r="I1029" s="89">
        <f>VLOOKUP(D1029,Average_Distance_by_kilometres_grouping_for_trip_purpose[#All],MATCH(A1029,Average_Distance_by_kilometres_grouping_for_trip_purpose[#Headers],0),0)</f>
        <v>3</v>
      </c>
      <c r="J1029" s="89">
        <f t="shared" si="82"/>
        <v>3</v>
      </c>
      <c r="K1029" s="89">
        <f t="shared" si="83"/>
        <v>5.6942203663281767E-2</v>
      </c>
      <c r="L1029" s="89">
        <v>1</v>
      </c>
      <c r="M1029" s="13">
        <f t="shared" si="84"/>
        <v>224603.84624819795</v>
      </c>
      <c r="N1029" s="11">
        <f t="shared" si="80"/>
        <v>3.9955024054541624E-6</v>
      </c>
    </row>
    <row r="1030" spans="1:14" x14ac:dyDescent="0.25">
      <c r="A1030" s="79" t="s">
        <v>33</v>
      </c>
      <c r="B1030" s="89" t="s">
        <v>11</v>
      </c>
      <c r="C1030" s="89" t="s">
        <v>243</v>
      </c>
      <c r="D1030" s="13" t="s">
        <v>180</v>
      </c>
      <c r="E1030" s="35">
        <f>VLOOKUP(B1030, Passenger_Kilometre_by_mode_type[#All],MATCH(A1030, Passenger_Kilometre_by_mode_type[#Headers],0),0)</f>
        <v>175307461.32720459</v>
      </c>
      <c r="F1030" s="89">
        <f>VLOOKUP(C1030, Reason_for_public_transport_journeys_by_percentage[#All],MATCH(A1030, Reason_for_public_transport_journeys_by_percentage[#Headers],0),0)/100</f>
        <v>2.2499999999999999E-2</v>
      </c>
      <c r="G1030" s="13">
        <f t="shared" si="81"/>
        <v>3944417.8798621031</v>
      </c>
      <c r="H1030" s="89">
        <f>VLOOKUP(D1030,Average_Distance_by_kilometre_grouping_for_mode_type[#All],MATCH(A1030,Average_Distance_by_kilometre_grouping_for_mode_type[#Headers],0),0)</f>
        <v>5</v>
      </c>
      <c r="I1030" s="89">
        <f>VLOOKUP(D1030,Average_Distance_by_kilometres_grouping_for_trip_purpose[#All],MATCH(A1030,Average_Distance_by_kilometres_grouping_for_trip_purpose[#Headers],0),0)</f>
        <v>5</v>
      </c>
      <c r="J1030" s="89">
        <f t="shared" si="82"/>
        <v>5</v>
      </c>
      <c r="K1030" s="89">
        <f t="shared" si="83"/>
        <v>9.490367277213628E-2</v>
      </c>
      <c r="L1030" s="89">
        <v>1</v>
      </c>
      <c r="M1030" s="13">
        <f t="shared" si="84"/>
        <v>374339.74374699657</v>
      </c>
      <c r="N1030" s="11">
        <f t="shared" si="80"/>
        <v>6.6591706757569368E-6</v>
      </c>
    </row>
    <row r="1031" spans="1:14" x14ac:dyDescent="0.25">
      <c r="A1031" s="79" t="s">
        <v>33</v>
      </c>
      <c r="B1031" s="89" t="s">
        <v>11</v>
      </c>
      <c r="C1031" s="89" t="s">
        <v>243</v>
      </c>
      <c r="D1031" s="13" t="s">
        <v>182</v>
      </c>
      <c r="E1031" s="35">
        <f>VLOOKUP(B1031, Passenger_Kilometre_by_mode_type[#All],MATCH(A1031, Passenger_Kilometre_by_mode_type[#Headers],0),0)</f>
        <v>175307461.32720459</v>
      </c>
      <c r="F1031" s="89">
        <f>VLOOKUP(C1031, Reason_for_public_transport_journeys_by_percentage[#All],MATCH(A1031, Reason_for_public_transport_journeys_by_percentage[#Headers],0),0)/100</f>
        <v>2.2499999999999999E-2</v>
      </c>
      <c r="G1031" s="13">
        <f t="shared" si="81"/>
        <v>3944417.8798621031</v>
      </c>
      <c r="H1031" s="89">
        <f>VLOOKUP(D1031,Average_Distance_by_kilometre_grouping_for_mode_type[#All],MATCH(A1031,Average_Distance_by_kilometre_grouping_for_mode_type[#Headers],0),0)</f>
        <v>7</v>
      </c>
      <c r="I1031" s="89">
        <f>VLOOKUP(D1031,Average_Distance_by_kilometres_grouping_for_trip_purpose[#All],MATCH(A1031,Average_Distance_by_kilometres_grouping_for_trip_purpose[#Headers],0),0)</f>
        <v>7</v>
      </c>
      <c r="J1031" s="89">
        <f t="shared" si="82"/>
        <v>7</v>
      </c>
      <c r="K1031" s="89">
        <f t="shared" si="83"/>
        <v>0.1328651418809908</v>
      </c>
      <c r="L1031" s="89">
        <v>1</v>
      </c>
      <c r="M1031" s="13">
        <f t="shared" si="84"/>
        <v>524075.64124579524</v>
      </c>
      <c r="N1031" s="11">
        <f t="shared" si="80"/>
        <v>9.322838946059712E-6</v>
      </c>
    </row>
    <row r="1032" spans="1:14" x14ac:dyDescent="0.25">
      <c r="A1032" s="79" t="s">
        <v>33</v>
      </c>
      <c r="B1032" s="89" t="s">
        <v>11</v>
      </c>
      <c r="C1032" s="89" t="s">
        <v>243</v>
      </c>
      <c r="D1032" s="13" t="s">
        <v>1</v>
      </c>
      <c r="E1032" s="35">
        <f>VLOOKUP(B1032, Passenger_Kilometre_by_mode_type[#All],MATCH(A1032, Passenger_Kilometre_by_mode_type[#Headers],0),0)</f>
        <v>175307461.32720459</v>
      </c>
      <c r="F1032" s="89">
        <f>VLOOKUP(C1032, Reason_for_public_transport_journeys_by_percentage[#All],MATCH(A1032, Reason_for_public_transport_journeys_by_percentage[#Headers],0),0)/100</f>
        <v>2.2499999999999999E-2</v>
      </c>
      <c r="G1032" s="13">
        <f t="shared" si="81"/>
        <v>3944417.8798621031</v>
      </c>
      <c r="H1032" s="89">
        <f>VLOOKUP(D1032,Average_Distance_by_kilometre_grouping_for_mode_type[#All],MATCH(A1032,Average_Distance_by_kilometre_grouping_for_mode_type[#Headers],0),0)</f>
        <v>35.22</v>
      </c>
      <c r="I1032" s="89">
        <f>VLOOKUP(D1032,Average_Distance_by_kilometres_grouping_for_trip_purpose[#All],MATCH(A1032,Average_Distance_by_kilometres_grouping_for_trip_purpose[#Headers],0),0)</f>
        <v>38.15</v>
      </c>
      <c r="J1032" s="89">
        <f t="shared" si="82"/>
        <v>36.685000000000002</v>
      </c>
      <c r="K1032" s="89">
        <f t="shared" si="83"/>
        <v>0.69630824712916395</v>
      </c>
      <c r="L1032" s="89">
        <v>1</v>
      </c>
      <c r="M1032" s="13">
        <f t="shared" si="84"/>
        <v>2746530.6998717142</v>
      </c>
      <c r="N1032" s="11">
        <f t="shared" si="80"/>
        <v>4.885833524802865E-5</v>
      </c>
    </row>
    <row r="1033" spans="1:14" x14ac:dyDescent="0.25">
      <c r="A1033" s="79" t="s">
        <v>33</v>
      </c>
      <c r="B1033" s="89" t="s">
        <v>11</v>
      </c>
      <c r="C1033" s="89" t="s">
        <v>50</v>
      </c>
      <c r="D1033" s="13" t="s">
        <v>12</v>
      </c>
      <c r="E1033" s="35">
        <f>VLOOKUP(B1033, Passenger_Kilometre_by_mode_type[#All],MATCH(A1033, Passenger_Kilometre_by_mode_type[#Headers],0),0)</f>
        <v>175307461.32720459</v>
      </c>
      <c r="F1033" s="89">
        <f>VLOOKUP(C1033, Reason_for_public_transport_journeys_by_percentage[#All],MATCH(A1033, Reason_for_public_transport_journeys_by_percentage[#Headers],0),0)/100</f>
        <v>9.1250000000000012E-2</v>
      </c>
      <c r="G1033" s="13">
        <f t="shared" si="81"/>
        <v>15996805.84610742</v>
      </c>
      <c r="H1033" s="89">
        <f>VLOOKUP(D1033,Average_Distance_by_kilometre_grouping_for_mode_type[#All],MATCH(A1033,Average_Distance_by_kilometre_grouping_for_mode_type[#Headers],0),0)</f>
        <v>1</v>
      </c>
      <c r="I1033" s="89">
        <f>VLOOKUP(D1033,Average_Distance_by_kilometres_grouping_for_trip_purpose[#All],MATCH(A1033,Average_Distance_by_kilometres_grouping_for_trip_purpose[#Headers],0),0)</f>
        <v>1</v>
      </c>
      <c r="J1033" s="89">
        <f t="shared" si="82"/>
        <v>1</v>
      </c>
      <c r="K1033" s="89">
        <f t="shared" si="83"/>
        <v>1.8980734554427257E-2</v>
      </c>
      <c r="L1033" s="89">
        <v>1</v>
      </c>
      <c r="M1033" s="13">
        <f t="shared" si="84"/>
        <v>303631.12548367504</v>
      </c>
      <c r="N1033" s="11">
        <f t="shared" si="80"/>
        <v>5.4013273258917387E-6</v>
      </c>
    </row>
    <row r="1034" spans="1:14" x14ac:dyDescent="0.25">
      <c r="A1034" s="79" t="s">
        <v>33</v>
      </c>
      <c r="B1034" s="89" t="s">
        <v>11</v>
      </c>
      <c r="C1034" s="89" t="s">
        <v>50</v>
      </c>
      <c r="D1034" s="13" t="s">
        <v>181</v>
      </c>
      <c r="E1034" s="35">
        <f>VLOOKUP(B1034, Passenger_Kilometre_by_mode_type[#All],MATCH(A1034, Passenger_Kilometre_by_mode_type[#Headers],0),0)</f>
        <v>175307461.32720459</v>
      </c>
      <c r="F1034" s="89">
        <f>VLOOKUP(C1034, Reason_for_public_transport_journeys_by_percentage[#All],MATCH(A1034, Reason_for_public_transport_journeys_by_percentage[#Headers],0),0)/100</f>
        <v>9.1250000000000012E-2</v>
      </c>
      <c r="G1034" s="13">
        <f t="shared" si="81"/>
        <v>15996805.84610742</v>
      </c>
      <c r="H1034" s="89">
        <f>VLOOKUP(D1034,Average_Distance_by_kilometre_grouping_for_mode_type[#All],MATCH(A1034,Average_Distance_by_kilometre_grouping_for_mode_type[#Headers],0),0)</f>
        <v>3</v>
      </c>
      <c r="I1034" s="89">
        <f>VLOOKUP(D1034,Average_Distance_by_kilometres_grouping_for_trip_purpose[#All],MATCH(A1034,Average_Distance_by_kilometres_grouping_for_trip_purpose[#Headers],0),0)</f>
        <v>3</v>
      </c>
      <c r="J1034" s="89">
        <f t="shared" si="82"/>
        <v>3</v>
      </c>
      <c r="K1034" s="89">
        <f t="shared" si="83"/>
        <v>5.6942203663281767E-2</v>
      </c>
      <c r="L1034" s="89">
        <v>1</v>
      </c>
      <c r="M1034" s="13">
        <f t="shared" si="84"/>
        <v>910893.37645102513</v>
      </c>
      <c r="N1034" s="11">
        <f t="shared" si="80"/>
        <v>1.6203981977675214E-5</v>
      </c>
    </row>
    <row r="1035" spans="1:14" x14ac:dyDescent="0.25">
      <c r="A1035" s="79" t="s">
        <v>33</v>
      </c>
      <c r="B1035" s="89" t="s">
        <v>11</v>
      </c>
      <c r="C1035" s="89" t="s">
        <v>50</v>
      </c>
      <c r="D1035" s="13" t="s">
        <v>180</v>
      </c>
      <c r="E1035" s="35">
        <f>VLOOKUP(B1035, Passenger_Kilometre_by_mode_type[#All],MATCH(A1035, Passenger_Kilometre_by_mode_type[#Headers],0),0)</f>
        <v>175307461.32720459</v>
      </c>
      <c r="F1035" s="89">
        <f>VLOOKUP(C1035, Reason_for_public_transport_journeys_by_percentage[#All],MATCH(A1035, Reason_for_public_transport_journeys_by_percentage[#Headers],0),0)/100</f>
        <v>9.1250000000000012E-2</v>
      </c>
      <c r="G1035" s="13">
        <f t="shared" si="81"/>
        <v>15996805.84610742</v>
      </c>
      <c r="H1035" s="89">
        <f>VLOOKUP(D1035,Average_Distance_by_kilometre_grouping_for_mode_type[#All],MATCH(A1035,Average_Distance_by_kilometre_grouping_for_mode_type[#Headers],0),0)</f>
        <v>5</v>
      </c>
      <c r="I1035" s="89">
        <f>VLOOKUP(D1035,Average_Distance_by_kilometres_grouping_for_trip_purpose[#All],MATCH(A1035,Average_Distance_by_kilometres_grouping_for_trip_purpose[#Headers],0),0)</f>
        <v>5</v>
      </c>
      <c r="J1035" s="89">
        <f t="shared" si="82"/>
        <v>5</v>
      </c>
      <c r="K1035" s="89">
        <f t="shared" si="83"/>
        <v>9.490367277213628E-2</v>
      </c>
      <c r="L1035" s="89">
        <v>1</v>
      </c>
      <c r="M1035" s="13">
        <f t="shared" si="84"/>
        <v>1518155.6274183751</v>
      </c>
      <c r="N1035" s="11">
        <f t="shared" si="80"/>
        <v>2.7006636629458689E-5</v>
      </c>
    </row>
    <row r="1036" spans="1:14" x14ac:dyDescent="0.25">
      <c r="A1036" s="79" t="s">
        <v>33</v>
      </c>
      <c r="B1036" s="89" t="s">
        <v>11</v>
      </c>
      <c r="C1036" s="89" t="s">
        <v>50</v>
      </c>
      <c r="D1036" s="13" t="s">
        <v>182</v>
      </c>
      <c r="E1036" s="35">
        <f>VLOOKUP(B1036, Passenger_Kilometre_by_mode_type[#All],MATCH(A1036, Passenger_Kilometre_by_mode_type[#Headers],0),0)</f>
        <v>175307461.32720459</v>
      </c>
      <c r="F1036" s="89">
        <f>VLOOKUP(C1036, Reason_for_public_transport_journeys_by_percentage[#All],MATCH(A1036, Reason_for_public_transport_journeys_by_percentage[#Headers],0),0)/100</f>
        <v>9.1250000000000012E-2</v>
      </c>
      <c r="G1036" s="13">
        <f t="shared" si="81"/>
        <v>15996805.84610742</v>
      </c>
      <c r="H1036" s="89">
        <f>VLOOKUP(D1036,Average_Distance_by_kilometre_grouping_for_mode_type[#All],MATCH(A1036,Average_Distance_by_kilometre_grouping_for_mode_type[#Headers],0),0)</f>
        <v>7</v>
      </c>
      <c r="I1036" s="89">
        <f>VLOOKUP(D1036,Average_Distance_by_kilometres_grouping_for_trip_purpose[#All],MATCH(A1036,Average_Distance_by_kilometres_grouping_for_trip_purpose[#Headers],0),0)</f>
        <v>7</v>
      </c>
      <c r="J1036" s="89">
        <f t="shared" si="82"/>
        <v>7</v>
      </c>
      <c r="K1036" s="89">
        <f t="shared" si="83"/>
        <v>0.1328651418809908</v>
      </c>
      <c r="L1036" s="89">
        <v>1</v>
      </c>
      <c r="M1036" s="13">
        <f t="shared" si="84"/>
        <v>2125417.8783857254</v>
      </c>
      <c r="N1036" s="11">
        <f t="shared" si="80"/>
        <v>3.7809291281242172E-5</v>
      </c>
    </row>
    <row r="1037" spans="1:14" x14ac:dyDescent="0.25">
      <c r="A1037" s="79" t="s">
        <v>33</v>
      </c>
      <c r="B1037" s="89" t="s">
        <v>11</v>
      </c>
      <c r="C1037" s="89" t="s">
        <v>50</v>
      </c>
      <c r="D1037" s="13" t="s">
        <v>1</v>
      </c>
      <c r="E1037" s="35">
        <f>VLOOKUP(B1037, Passenger_Kilometre_by_mode_type[#All],MATCH(A1037, Passenger_Kilometre_by_mode_type[#Headers],0),0)</f>
        <v>175307461.32720459</v>
      </c>
      <c r="F1037" s="89">
        <f>VLOOKUP(C1037, Reason_for_public_transport_journeys_by_percentage[#All],MATCH(A1037, Reason_for_public_transport_journeys_by_percentage[#Headers],0),0)/100</f>
        <v>9.1250000000000012E-2</v>
      </c>
      <c r="G1037" s="13">
        <f t="shared" si="81"/>
        <v>15996805.84610742</v>
      </c>
      <c r="H1037" s="89">
        <f>VLOOKUP(D1037,Average_Distance_by_kilometre_grouping_for_mode_type[#All],MATCH(A1037,Average_Distance_by_kilometre_grouping_for_mode_type[#Headers],0),0)</f>
        <v>35.22</v>
      </c>
      <c r="I1037" s="89">
        <f>VLOOKUP(D1037,Average_Distance_by_kilometres_grouping_for_trip_purpose[#All],MATCH(A1037,Average_Distance_by_kilometres_grouping_for_trip_purpose[#Headers],0),0)</f>
        <v>38.15</v>
      </c>
      <c r="J1037" s="89">
        <f t="shared" si="82"/>
        <v>36.685000000000002</v>
      </c>
      <c r="K1037" s="89">
        <f t="shared" si="83"/>
        <v>0.69630824712916395</v>
      </c>
      <c r="L1037" s="89">
        <v>1</v>
      </c>
      <c r="M1037" s="13">
        <f t="shared" si="84"/>
        <v>11138707.838368619</v>
      </c>
      <c r="N1037" s="11">
        <f t="shared" si="80"/>
        <v>1.9814769295033841E-4</v>
      </c>
    </row>
    <row r="1038" spans="1:14" x14ac:dyDescent="0.25">
      <c r="A1038" s="79" t="s">
        <v>33</v>
      </c>
      <c r="B1038" s="89" t="s">
        <v>90</v>
      </c>
      <c r="C1038" s="89" t="s">
        <v>42</v>
      </c>
      <c r="D1038" s="13" t="s">
        <v>12</v>
      </c>
      <c r="E1038" s="35">
        <f>VLOOKUP(B1038, Passenger_Kilometre_by_mode_type[#All],MATCH(A1038, Passenger_Kilometre_by_mode_type[#Headers],0),0)</f>
        <v>3443459091.9606371</v>
      </c>
      <c r="F1038" s="89">
        <f>VLOOKUP(C1038, Reason_for_lorry_motorcycle_other_journeys_by_percentage[#All],MATCH(A1038, Reason_for_lorry_motorcycle_other_journeys_by_percentage[#Headers],0),0)/100</f>
        <v>0.52124999999999999</v>
      </c>
      <c r="G1038" s="13">
        <f t="shared" si="81"/>
        <v>1794903051.6844821</v>
      </c>
      <c r="H1038" s="89">
        <f>VLOOKUP(D1038,Average_Distance_by_kilometre_grouping_for_mode_type[#All],MATCH(A1038,Average_Distance_by_kilometre_grouping_for_mode_type[#Headers],0),0)</f>
        <v>1</v>
      </c>
      <c r="I1038" s="89">
        <f>VLOOKUP(D1038,Average_Distance_by_kilometres_grouping_for_trip_purpose[#All],MATCH(A1038,Average_Distance_by_kilometres_grouping_for_trip_purpose[#Headers],0),0)</f>
        <v>1</v>
      </c>
      <c r="J1038" s="89">
        <f t="shared" si="82"/>
        <v>1</v>
      </c>
      <c r="K1038" s="89">
        <f t="shared" si="83"/>
        <v>1.8980734554427257E-2</v>
      </c>
      <c r="L1038" s="89">
        <v>1</v>
      </c>
      <c r="M1038" s="13">
        <f t="shared" si="84"/>
        <v>34068578.374954581</v>
      </c>
      <c r="N1038" s="11">
        <f t="shared" si="80"/>
        <v>6.0604966976885333E-4</v>
      </c>
    </row>
    <row r="1039" spans="1:14" x14ac:dyDescent="0.25">
      <c r="A1039" s="79" t="s">
        <v>33</v>
      </c>
      <c r="B1039" s="89" t="s">
        <v>90</v>
      </c>
      <c r="C1039" s="89" t="s">
        <v>42</v>
      </c>
      <c r="D1039" s="13" t="s">
        <v>181</v>
      </c>
      <c r="E1039" s="35">
        <f>VLOOKUP(B1039, Passenger_Kilometre_by_mode_type[#All],MATCH(A1039, Passenger_Kilometre_by_mode_type[#Headers],0),0)</f>
        <v>3443459091.9606371</v>
      </c>
      <c r="F1039" s="89">
        <f>VLOOKUP(C1039, Reason_for_lorry_motorcycle_other_journeys_by_percentage[#All],MATCH(A1039, Reason_for_lorry_motorcycle_other_journeys_by_percentage[#Headers],0),0)/100</f>
        <v>0.52124999999999999</v>
      </c>
      <c r="G1039" s="13">
        <f t="shared" si="81"/>
        <v>1794903051.6844821</v>
      </c>
      <c r="H1039" s="89">
        <f>VLOOKUP(D1039,Average_Distance_by_kilometre_grouping_for_mode_type[#All],MATCH(A1039,Average_Distance_by_kilometre_grouping_for_mode_type[#Headers],0),0)</f>
        <v>3</v>
      </c>
      <c r="I1039" s="89">
        <f>VLOOKUP(D1039,Average_Distance_by_kilometres_grouping_for_trip_purpose[#All],MATCH(A1039,Average_Distance_by_kilometres_grouping_for_trip_purpose[#Headers],0),0)</f>
        <v>3</v>
      </c>
      <c r="J1039" s="89">
        <f t="shared" si="82"/>
        <v>3</v>
      </c>
      <c r="K1039" s="89">
        <f t="shared" si="83"/>
        <v>5.6942203663281767E-2</v>
      </c>
      <c r="L1039" s="89">
        <v>1</v>
      </c>
      <c r="M1039" s="13">
        <f t="shared" si="84"/>
        <v>102205735.12486374</v>
      </c>
      <c r="N1039" s="11">
        <f t="shared" si="80"/>
        <v>1.8181490093065601E-3</v>
      </c>
    </row>
    <row r="1040" spans="1:14" x14ac:dyDescent="0.25">
      <c r="A1040" s="79" t="s">
        <v>33</v>
      </c>
      <c r="B1040" s="89" t="s">
        <v>90</v>
      </c>
      <c r="C1040" s="89" t="s">
        <v>42</v>
      </c>
      <c r="D1040" s="13" t="s">
        <v>180</v>
      </c>
      <c r="E1040" s="35">
        <f>VLOOKUP(B1040, Passenger_Kilometre_by_mode_type[#All],MATCH(A1040, Passenger_Kilometre_by_mode_type[#Headers],0),0)</f>
        <v>3443459091.9606371</v>
      </c>
      <c r="F1040" s="89">
        <f>VLOOKUP(C1040, Reason_for_lorry_motorcycle_other_journeys_by_percentage[#All],MATCH(A1040, Reason_for_lorry_motorcycle_other_journeys_by_percentage[#Headers],0),0)/100</f>
        <v>0.52124999999999999</v>
      </c>
      <c r="G1040" s="13">
        <f t="shared" si="81"/>
        <v>1794903051.6844821</v>
      </c>
      <c r="H1040" s="89">
        <f>VLOOKUP(D1040,Average_Distance_by_kilometre_grouping_for_mode_type[#All],MATCH(A1040,Average_Distance_by_kilometre_grouping_for_mode_type[#Headers],0),0)</f>
        <v>5</v>
      </c>
      <c r="I1040" s="89">
        <f>VLOOKUP(D1040,Average_Distance_by_kilometres_grouping_for_trip_purpose[#All],MATCH(A1040,Average_Distance_by_kilometres_grouping_for_trip_purpose[#Headers],0),0)</f>
        <v>5</v>
      </c>
      <c r="J1040" s="89">
        <f t="shared" si="82"/>
        <v>5</v>
      </c>
      <c r="K1040" s="89">
        <f t="shared" si="83"/>
        <v>9.490367277213628E-2</v>
      </c>
      <c r="L1040" s="89">
        <v>1</v>
      </c>
      <c r="M1040" s="13">
        <f t="shared" si="84"/>
        <v>170342891.87477291</v>
      </c>
      <c r="N1040" s="11">
        <f t="shared" si="80"/>
        <v>3.0302483488442666E-3</v>
      </c>
    </row>
    <row r="1041" spans="1:14" x14ac:dyDescent="0.25">
      <c r="A1041" s="79" t="s">
        <v>33</v>
      </c>
      <c r="B1041" s="89" t="s">
        <v>90</v>
      </c>
      <c r="C1041" s="89" t="s">
        <v>42</v>
      </c>
      <c r="D1041" s="13" t="s">
        <v>182</v>
      </c>
      <c r="E1041" s="35">
        <f>VLOOKUP(B1041, Passenger_Kilometre_by_mode_type[#All],MATCH(A1041, Passenger_Kilometre_by_mode_type[#Headers],0),0)</f>
        <v>3443459091.9606371</v>
      </c>
      <c r="F1041" s="89">
        <f>VLOOKUP(C1041, Reason_for_lorry_motorcycle_other_journeys_by_percentage[#All],MATCH(A1041, Reason_for_lorry_motorcycle_other_journeys_by_percentage[#Headers],0),0)/100</f>
        <v>0.52124999999999999</v>
      </c>
      <c r="G1041" s="13">
        <f t="shared" si="81"/>
        <v>1794903051.6844821</v>
      </c>
      <c r="H1041" s="89">
        <f>VLOOKUP(D1041,Average_Distance_by_kilometre_grouping_for_mode_type[#All],MATCH(A1041,Average_Distance_by_kilometre_grouping_for_mode_type[#Headers],0),0)</f>
        <v>7</v>
      </c>
      <c r="I1041" s="89">
        <f>VLOOKUP(D1041,Average_Distance_by_kilometres_grouping_for_trip_purpose[#All],MATCH(A1041,Average_Distance_by_kilometres_grouping_for_trip_purpose[#Headers],0),0)</f>
        <v>7</v>
      </c>
      <c r="J1041" s="89">
        <f t="shared" si="82"/>
        <v>7</v>
      </c>
      <c r="K1041" s="89">
        <f t="shared" si="83"/>
        <v>0.1328651418809908</v>
      </c>
      <c r="L1041" s="89">
        <v>1</v>
      </c>
      <c r="M1041" s="13">
        <f t="shared" si="84"/>
        <v>238480048.62468207</v>
      </c>
      <c r="N1041" s="11">
        <f t="shared" si="80"/>
        <v>4.2423476883819734E-3</v>
      </c>
    </row>
    <row r="1042" spans="1:14" x14ac:dyDescent="0.25">
      <c r="A1042" s="79" t="s">
        <v>33</v>
      </c>
      <c r="B1042" s="89" t="s">
        <v>90</v>
      </c>
      <c r="C1042" s="89" t="s">
        <v>42</v>
      </c>
      <c r="D1042" s="13" t="s">
        <v>1</v>
      </c>
      <c r="E1042" s="35">
        <f>VLOOKUP(B1042, Passenger_Kilometre_by_mode_type[#All],MATCH(A1042, Passenger_Kilometre_by_mode_type[#Headers],0),0)</f>
        <v>3443459091.9606371</v>
      </c>
      <c r="F1042" s="89">
        <f>VLOOKUP(C1042, Reason_for_lorry_motorcycle_other_journeys_by_percentage[#All],MATCH(A1042, Reason_for_lorry_motorcycle_other_journeys_by_percentage[#Headers],0),0)/100</f>
        <v>0.52124999999999999</v>
      </c>
      <c r="G1042" s="13">
        <f t="shared" si="81"/>
        <v>1794903051.6844821</v>
      </c>
      <c r="H1042" s="89">
        <f>VLOOKUP(D1042,Average_Distance_by_kilometre_grouping_for_mode_type[#All],MATCH(A1042,Average_Distance_by_kilometre_grouping_for_mode_type[#Headers],0),0)</f>
        <v>35.22</v>
      </c>
      <c r="I1042" s="89">
        <f>VLOOKUP(D1042,Average_Distance_by_kilometres_grouping_for_trip_purpose[#All],MATCH(A1042,Average_Distance_by_kilometres_grouping_for_trip_purpose[#Headers],0),0)</f>
        <v>38.15</v>
      </c>
      <c r="J1042" s="89">
        <f t="shared" si="82"/>
        <v>36.685000000000002</v>
      </c>
      <c r="K1042" s="89">
        <f t="shared" si="83"/>
        <v>0.69630824712916395</v>
      </c>
      <c r="L1042" s="89">
        <v>1</v>
      </c>
      <c r="M1042" s="13">
        <f t="shared" si="84"/>
        <v>1249805797.6852088</v>
      </c>
      <c r="N1042" s="11">
        <f t="shared" si="80"/>
        <v>2.2232932135470385E-2</v>
      </c>
    </row>
    <row r="1043" spans="1:14" x14ac:dyDescent="0.25">
      <c r="A1043" s="79" t="s">
        <v>33</v>
      </c>
      <c r="B1043" s="89" t="s">
        <v>90</v>
      </c>
      <c r="C1043" s="89" t="s">
        <v>43</v>
      </c>
      <c r="D1043" s="13" t="s">
        <v>12</v>
      </c>
      <c r="E1043" s="35">
        <f>VLOOKUP(B1043, Passenger_Kilometre_by_mode_type[#All],MATCH(A1043, Passenger_Kilometre_by_mode_type[#Headers],0),0)</f>
        <v>3443459091.9606371</v>
      </c>
      <c r="F1043" s="89">
        <f>VLOOKUP(C1043, Reason_for_lorry_motorcycle_other_journeys_by_percentage[#All],MATCH(A1043, Reason_for_lorry_motorcycle_other_journeys_by_percentage[#Headers],0),0)/100</f>
        <v>1.7250000000000001E-2</v>
      </c>
      <c r="G1043" s="13">
        <f t="shared" si="81"/>
        <v>59399669.336320996</v>
      </c>
      <c r="H1043" s="89">
        <f>VLOOKUP(D1043,Average_Distance_by_kilometre_grouping_for_mode_type[#All],MATCH(A1043,Average_Distance_by_kilometre_grouping_for_mode_type[#Headers],0),0)</f>
        <v>1</v>
      </c>
      <c r="I1043" s="89">
        <f>VLOOKUP(D1043,Average_Distance_by_kilometres_grouping_for_trip_purpose[#All],MATCH(A1043,Average_Distance_by_kilometres_grouping_for_trip_purpose[#Headers],0),0)</f>
        <v>1</v>
      </c>
      <c r="J1043" s="89">
        <f t="shared" si="82"/>
        <v>1</v>
      </c>
      <c r="K1043" s="89">
        <f t="shared" si="83"/>
        <v>1.8980734554427257E-2</v>
      </c>
      <c r="L1043" s="89">
        <v>1</v>
      </c>
      <c r="M1043" s="13">
        <f t="shared" si="84"/>
        <v>1127449.3562934611</v>
      </c>
      <c r="N1043" s="11">
        <f t="shared" si="80"/>
        <v>2.0056320006739033E-5</v>
      </c>
    </row>
    <row r="1044" spans="1:14" x14ac:dyDescent="0.25">
      <c r="A1044" s="79" t="s">
        <v>33</v>
      </c>
      <c r="B1044" s="89" t="s">
        <v>90</v>
      </c>
      <c r="C1044" s="89" t="s">
        <v>43</v>
      </c>
      <c r="D1044" s="13" t="s">
        <v>181</v>
      </c>
      <c r="E1044" s="35">
        <f>VLOOKUP(B1044, Passenger_Kilometre_by_mode_type[#All],MATCH(A1044, Passenger_Kilometre_by_mode_type[#Headers],0),0)</f>
        <v>3443459091.9606371</v>
      </c>
      <c r="F1044" s="89">
        <f>VLOOKUP(C1044, Reason_for_lorry_motorcycle_other_journeys_by_percentage[#All],MATCH(A1044, Reason_for_lorry_motorcycle_other_journeys_by_percentage[#Headers],0),0)/100</f>
        <v>1.7250000000000001E-2</v>
      </c>
      <c r="G1044" s="13">
        <f t="shared" si="81"/>
        <v>59399669.336320996</v>
      </c>
      <c r="H1044" s="89">
        <f>VLOOKUP(D1044,Average_Distance_by_kilometre_grouping_for_mode_type[#All],MATCH(A1044,Average_Distance_by_kilometre_grouping_for_mode_type[#Headers],0),0)</f>
        <v>3</v>
      </c>
      <c r="I1044" s="89">
        <f>VLOOKUP(D1044,Average_Distance_by_kilometres_grouping_for_trip_purpose[#All],MATCH(A1044,Average_Distance_by_kilometres_grouping_for_trip_purpose[#Headers],0),0)</f>
        <v>3</v>
      </c>
      <c r="J1044" s="89">
        <f t="shared" si="82"/>
        <v>3</v>
      </c>
      <c r="K1044" s="89">
        <f t="shared" si="83"/>
        <v>5.6942203663281767E-2</v>
      </c>
      <c r="L1044" s="89">
        <v>1</v>
      </c>
      <c r="M1044" s="13">
        <f t="shared" si="84"/>
        <v>3382348.0688803829</v>
      </c>
      <c r="N1044" s="11">
        <f t="shared" ref="N1044:N1082" si="85">M1044/SUM($M$723:$M$1082)</f>
        <v>6.0168960020217094E-5</v>
      </c>
    </row>
    <row r="1045" spans="1:14" x14ac:dyDescent="0.25">
      <c r="A1045" s="79" t="s">
        <v>33</v>
      </c>
      <c r="B1045" s="89" t="s">
        <v>90</v>
      </c>
      <c r="C1045" s="89" t="s">
        <v>43</v>
      </c>
      <c r="D1045" s="13" t="s">
        <v>180</v>
      </c>
      <c r="E1045" s="35">
        <f>VLOOKUP(B1045, Passenger_Kilometre_by_mode_type[#All],MATCH(A1045, Passenger_Kilometre_by_mode_type[#Headers],0),0)</f>
        <v>3443459091.9606371</v>
      </c>
      <c r="F1045" s="89">
        <f>VLOOKUP(C1045, Reason_for_lorry_motorcycle_other_journeys_by_percentage[#All],MATCH(A1045, Reason_for_lorry_motorcycle_other_journeys_by_percentage[#Headers],0),0)/100</f>
        <v>1.7250000000000001E-2</v>
      </c>
      <c r="G1045" s="13">
        <f t="shared" si="81"/>
        <v>59399669.336320996</v>
      </c>
      <c r="H1045" s="89">
        <f>VLOOKUP(D1045,Average_Distance_by_kilometre_grouping_for_mode_type[#All],MATCH(A1045,Average_Distance_by_kilometre_grouping_for_mode_type[#Headers],0),0)</f>
        <v>5</v>
      </c>
      <c r="I1045" s="89">
        <f>VLOOKUP(D1045,Average_Distance_by_kilometres_grouping_for_trip_purpose[#All],MATCH(A1045,Average_Distance_by_kilometres_grouping_for_trip_purpose[#Headers],0),0)</f>
        <v>5</v>
      </c>
      <c r="J1045" s="89">
        <f t="shared" si="82"/>
        <v>5</v>
      </c>
      <c r="K1045" s="89">
        <f t="shared" si="83"/>
        <v>9.490367277213628E-2</v>
      </c>
      <c r="L1045" s="89">
        <v>1</v>
      </c>
      <c r="M1045" s="13">
        <f t="shared" si="84"/>
        <v>5637246.7814673055</v>
      </c>
      <c r="N1045" s="11">
        <f t="shared" si="85"/>
        <v>1.0028160003369517E-4</v>
      </c>
    </row>
    <row r="1046" spans="1:14" x14ac:dyDescent="0.25">
      <c r="A1046" s="79" t="s">
        <v>33</v>
      </c>
      <c r="B1046" s="89" t="s">
        <v>90</v>
      </c>
      <c r="C1046" s="89" t="s">
        <v>43</v>
      </c>
      <c r="D1046" s="13" t="s">
        <v>182</v>
      </c>
      <c r="E1046" s="35">
        <f>VLOOKUP(B1046, Passenger_Kilometre_by_mode_type[#All],MATCH(A1046, Passenger_Kilometre_by_mode_type[#Headers],0),0)</f>
        <v>3443459091.9606371</v>
      </c>
      <c r="F1046" s="89">
        <f>VLOOKUP(C1046, Reason_for_lorry_motorcycle_other_journeys_by_percentage[#All],MATCH(A1046, Reason_for_lorry_motorcycle_other_journeys_by_percentage[#Headers],0),0)/100</f>
        <v>1.7250000000000001E-2</v>
      </c>
      <c r="G1046" s="13">
        <f t="shared" si="81"/>
        <v>59399669.336320996</v>
      </c>
      <c r="H1046" s="89">
        <f>VLOOKUP(D1046,Average_Distance_by_kilometre_grouping_for_mode_type[#All],MATCH(A1046,Average_Distance_by_kilometre_grouping_for_mode_type[#Headers],0),0)</f>
        <v>7</v>
      </c>
      <c r="I1046" s="89">
        <f>VLOOKUP(D1046,Average_Distance_by_kilometres_grouping_for_trip_purpose[#All],MATCH(A1046,Average_Distance_by_kilometres_grouping_for_trip_purpose[#Headers],0),0)</f>
        <v>7</v>
      </c>
      <c r="J1046" s="89">
        <f t="shared" si="82"/>
        <v>7</v>
      </c>
      <c r="K1046" s="89">
        <f t="shared" si="83"/>
        <v>0.1328651418809908</v>
      </c>
      <c r="L1046" s="89">
        <v>1</v>
      </c>
      <c r="M1046" s="13">
        <f t="shared" si="84"/>
        <v>7892145.4940542281</v>
      </c>
      <c r="N1046" s="11">
        <f t="shared" si="85"/>
        <v>1.4039424004717323E-4</v>
      </c>
    </row>
    <row r="1047" spans="1:14" x14ac:dyDescent="0.25">
      <c r="A1047" s="79" t="s">
        <v>33</v>
      </c>
      <c r="B1047" s="89" t="s">
        <v>90</v>
      </c>
      <c r="C1047" s="89" t="s">
        <v>43</v>
      </c>
      <c r="D1047" s="13" t="s">
        <v>1</v>
      </c>
      <c r="E1047" s="35">
        <f>VLOOKUP(B1047, Passenger_Kilometre_by_mode_type[#All],MATCH(A1047, Passenger_Kilometre_by_mode_type[#Headers],0),0)</f>
        <v>3443459091.9606371</v>
      </c>
      <c r="F1047" s="89">
        <f>VLOOKUP(C1047, Reason_for_lorry_motorcycle_other_journeys_by_percentage[#All],MATCH(A1047, Reason_for_lorry_motorcycle_other_journeys_by_percentage[#Headers],0),0)/100</f>
        <v>1.7250000000000001E-2</v>
      </c>
      <c r="G1047" s="13">
        <f t="shared" si="81"/>
        <v>59399669.336320996</v>
      </c>
      <c r="H1047" s="89">
        <f>VLOOKUP(D1047,Average_Distance_by_kilometre_grouping_for_mode_type[#All],MATCH(A1047,Average_Distance_by_kilometre_grouping_for_mode_type[#Headers],0),0)</f>
        <v>35.22</v>
      </c>
      <c r="I1047" s="89">
        <f>VLOOKUP(D1047,Average_Distance_by_kilometres_grouping_for_trip_purpose[#All],MATCH(A1047,Average_Distance_by_kilometres_grouping_for_trip_purpose[#Headers],0),0)</f>
        <v>38.15</v>
      </c>
      <c r="J1047" s="89">
        <f t="shared" si="82"/>
        <v>36.685000000000002</v>
      </c>
      <c r="K1047" s="89">
        <f t="shared" si="83"/>
        <v>0.69630824712916395</v>
      </c>
      <c r="L1047" s="89">
        <v>1</v>
      </c>
      <c r="M1047" s="13">
        <f t="shared" si="84"/>
        <v>41360479.635625623</v>
      </c>
      <c r="N1047" s="11">
        <f t="shared" si="85"/>
        <v>7.3576609944722151E-4</v>
      </c>
    </row>
    <row r="1048" spans="1:14" x14ac:dyDescent="0.25">
      <c r="A1048" s="79" t="s">
        <v>33</v>
      </c>
      <c r="B1048" s="89" t="s">
        <v>90</v>
      </c>
      <c r="C1048" s="89" t="s">
        <v>44</v>
      </c>
      <c r="D1048" s="13" t="s">
        <v>12</v>
      </c>
      <c r="E1048" s="35">
        <f>VLOOKUP(B1048, Passenger_Kilometre_by_mode_type[#All],MATCH(A1048, Passenger_Kilometre_by_mode_type[#Headers],0),0)</f>
        <v>3443459091.9606371</v>
      </c>
      <c r="F1048" s="89">
        <f>VLOOKUP(C1048, Reason_for_lorry_motorcycle_other_journeys_by_percentage[#All],MATCH(A1048, Reason_for_lorry_motorcycle_other_journeys_by_percentage[#Headers],0),0)/100</f>
        <v>9.5499999999999988E-2</v>
      </c>
      <c r="G1048" s="13">
        <f t="shared" si="81"/>
        <v>328850343.28224081</v>
      </c>
      <c r="H1048" s="89">
        <f>VLOOKUP(D1048,Average_Distance_by_kilometre_grouping_for_mode_type[#All],MATCH(A1048,Average_Distance_by_kilometre_grouping_for_mode_type[#Headers],0),0)</f>
        <v>1</v>
      </c>
      <c r="I1048" s="89">
        <f>VLOOKUP(D1048,Average_Distance_by_kilometres_grouping_for_trip_purpose[#All],MATCH(A1048,Average_Distance_by_kilometres_grouping_for_trip_purpose[#Headers],0),0)</f>
        <v>1</v>
      </c>
      <c r="J1048" s="89">
        <f t="shared" si="82"/>
        <v>1</v>
      </c>
      <c r="K1048" s="89">
        <f t="shared" si="83"/>
        <v>1.8980734554427257E-2</v>
      </c>
      <c r="L1048" s="89">
        <v>1</v>
      </c>
      <c r="M1048" s="13">
        <f t="shared" si="84"/>
        <v>6241821.0739724934</v>
      </c>
      <c r="N1048" s="11">
        <f t="shared" si="85"/>
        <v>1.1103643829817839E-4</v>
      </c>
    </row>
    <row r="1049" spans="1:14" x14ac:dyDescent="0.25">
      <c r="A1049" s="79" t="s">
        <v>33</v>
      </c>
      <c r="B1049" s="89" t="s">
        <v>90</v>
      </c>
      <c r="C1049" s="89" t="s">
        <v>44</v>
      </c>
      <c r="D1049" s="13" t="s">
        <v>181</v>
      </c>
      <c r="E1049" s="35">
        <f>VLOOKUP(B1049, Passenger_Kilometre_by_mode_type[#All],MATCH(A1049, Passenger_Kilometre_by_mode_type[#Headers],0),0)</f>
        <v>3443459091.9606371</v>
      </c>
      <c r="F1049" s="89">
        <f>VLOOKUP(C1049, Reason_for_lorry_motorcycle_other_journeys_by_percentage[#All],MATCH(A1049, Reason_for_lorry_motorcycle_other_journeys_by_percentage[#Headers],0),0)/100</f>
        <v>9.5499999999999988E-2</v>
      </c>
      <c r="G1049" s="13">
        <f t="shared" si="81"/>
        <v>328850343.28224081</v>
      </c>
      <c r="H1049" s="89">
        <f>VLOOKUP(D1049,Average_Distance_by_kilometre_grouping_for_mode_type[#All],MATCH(A1049,Average_Distance_by_kilometre_grouping_for_mode_type[#Headers],0),0)</f>
        <v>3</v>
      </c>
      <c r="I1049" s="89">
        <f>VLOOKUP(D1049,Average_Distance_by_kilometres_grouping_for_trip_purpose[#All],MATCH(A1049,Average_Distance_by_kilometres_grouping_for_trip_purpose[#Headers],0),0)</f>
        <v>3</v>
      </c>
      <c r="J1049" s="89">
        <f t="shared" si="82"/>
        <v>3</v>
      </c>
      <c r="K1049" s="89">
        <f t="shared" si="83"/>
        <v>5.6942203663281767E-2</v>
      </c>
      <c r="L1049" s="89">
        <v>1</v>
      </c>
      <c r="M1049" s="13">
        <f t="shared" si="84"/>
        <v>18725463.22191748</v>
      </c>
      <c r="N1049" s="11">
        <f t="shared" si="85"/>
        <v>3.331093148945352E-4</v>
      </c>
    </row>
    <row r="1050" spans="1:14" x14ac:dyDescent="0.25">
      <c r="A1050" s="79" t="s">
        <v>33</v>
      </c>
      <c r="B1050" s="89" t="s">
        <v>90</v>
      </c>
      <c r="C1050" s="89" t="s">
        <v>44</v>
      </c>
      <c r="D1050" s="13" t="s">
        <v>180</v>
      </c>
      <c r="E1050" s="35">
        <f>VLOOKUP(B1050, Passenger_Kilometre_by_mode_type[#All],MATCH(A1050, Passenger_Kilometre_by_mode_type[#Headers],0),0)</f>
        <v>3443459091.9606371</v>
      </c>
      <c r="F1050" s="89">
        <f>VLOOKUP(C1050, Reason_for_lorry_motorcycle_other_journeys_by_percentage[#All],MATCH(A1050, Reason_for_lorry_motorcycle_other_journeys_by_percentage[#Headers],0),0)/100</f>
        <v>9.5499999999999988E-2</v>
      </c>
      <c r="G1050" s="13">
        <f t="shared" si="81"/>
        <v>328850343.28224081</v>
      </c>
      <c r="H1050" s="89">
        <f>VLOOKUP(D1050,Average_Distance_by_kilometre_grouping_for_mode_type[#All],MATCH(A1050,Average_Distance_by_kilometre_grouping_for_mode_type[#Headers],0),0)</f>
        <v>5</v>
      </c>
      <c r="I1050" s="89">
        <f>VLOOKUP(D1050,Average_Distance_by_kilometres_grouping_for_trip_purpose[#All],MATCH(A1050,Average_Distance_by_kilometres_grouping_for_trip_purpose[#Headers],0),0)</f>
        <v>5</v>
      </c>
      <c r="J1050" s="89">
        <f t="shared" si="82"/>
        <v>5</v>
      </c>
      <c r="K1050" s="89">
        <f t="shared" si="83"/>
        <v>9.490367277213628E-2</v>
      </c>
      <c r="L1050" s="89">
        <v>1</v>
      </c>
      <c r="M1050" s="13">
        <f t="shared" si="84"/>
        <v>31209105.369862467</v>
      </c>
      <c r="N1050" s="11">
        <f t="shared" si="85"/>
        <v>5.5518219149089203E-4</v>
      </c>
    </row>
    <row r="1051" spans="1:14" x14ac:dyDescent="0.25">
      <c r="A1051" s="79" t="s">
        <v>33</v>
      </c>
      <c r="B1051" s="89" t="s">
        <v>90</v>
      </c>
      <c r="C1051" s="89" t="s">
        <v>44</v>
      </c>
      <c r="D1051" s="13" t="s">
        <v>182</v>
      </c>
      <c r="E1051" s="35">
        <f>VLOOKUP(B1051, Passenger_Kilometre_by_mode_type[#All],MATCH(A1051, Passenger_Kilometre_by_mode_type[#Headers],0),0)</f>
        <v>3443459091.9606371</v>
      </c>
      <c r="F1051" s="89">
        <f>VLOOKUP(C1051, Reason_for_lorry_motorcycle_other_journeys_by_percentage[#All],MATCH(A1051, Reason_for_lorry_motorcycle_other_journeys_by_percentage[#Headers],0),0)/100</f>
        <v>9.5499999999999988E-2</v>
      </c>
      <c r="G1051" s="13">
        <f t="shared" si="81"/>
        <v>328850343.28224081</v>
      </c>
      <c r="H1051" s="89">
        <f>VLOOKUP(D1051,Average_Distance_by_kilometre_grouping_for_mode_type[#All],MATCH(A1051,Average_Distance_by_kilometre_grouping_for_mode_type[#Headers],0),0)</f>
        <v>7</v>
      </c>
      <c r="I1051" s="89">
        <f>VLOOKUP(D1051,Average_Distance_by_kilometres_grouping_for_trip_purpose[#All],MATCH(A1051,Average_Distance_by_kilometres_grouping_for_trip_purpose[#Headers],0),0)</f>
        <v>7</v>
      </c>
      <c r="J1051" s="89">
        <f t="shared" si="82"/>
        <v>7</v>
      </c>
      <c r="K1051" s="89">
        <f t="shared" si="83"/>
        <v>0.1328651418809908</v>
      </c>
      <c r="L1051" s="89">
        <v>1</v>
      </c>
      <c r="M1051" s="13">
        <f t="shared" si="84"/>
        <v>43692747.517807454</v>
      </c>
      <c r="N1051" s="11">
        <f t="shared" si="85"/>
        <v>7.7725506808724875E-4</v>
      </c>
    </row>
    <row r="1052" spans="1:14" x14ac:dyDescent="0.25">
      <c r="A1052" s="79" t="s">
        <v>33</v>
      </c>
      <c r="B1052" s="89" t="s">
        <v>90</v>
      </c>
      <c r="C1052" s="89" t="s">
        <v>44</v>
      </c>
      <c r="D1052" s="13" t="s">
        <v>1</v>
      </c>
      <c r="E1052" s="35">
        <f>VLOOKUP(B1052, Passenger_Kilometre_by_mode_type[#All],MATCH(A1052, Passenger_Kilometre_by_mode_type[#Headers],0),0)</f>
        <v>3443459091.9606371</v>
      </c>
      <c r="F1052" s="89">
        <f>VLOOKUP(C1052, Reason_for_lorry_motorcycle_other_journeys_by_percentage[#All],MATCH(A1052, Reason_for_lorry_motorcycle_other_journeys_by_percentage[#Headers],0),0)/100</f>
        <v>9.5499999999999988E-2</v>
      </c>
      <c r="G1052" s="13">
        <f t="shared" si="81"/>
        <v>328850343.28224081</v>
      </c>
      <c r="H1052" s="89">
        <f>VLOOKUP(D1052,Average_Distance_by_kilometre_grouping_for_mode_type[#All],MATCH(A1052,Average_Distance_by_kilometre_grouping_for_mode_type[#Headers],0),0)</f>
        <v>35.22</v>
      </c>
      <c r="I1052" s="89">
        <f>VLOOKUP(D1052,Average_Distance_by_kilometres_grouping_for_trip_purpose[#All],MATCH(A1052,Average_Distance_by_kilometres_grouping_for_trip_purpose[#Headers],0),0)</f>
        <v>38.15</v>
      </c>
      <c r="J1052" s="89">
        <f t="shared" si="82"/>
        <v>36.685000000000002</v>
      </c>
      <c r="K1052" s="89">
        <f t="shared" si="83"/>
        <v>0.69630824712916395</v>
      </c>
      <c r="L1052" s="89">
        <v>1</v>
      </c>
      <c r="M1052" s="13">
        <f t="shared" si="84"/>
        <v>228981206.09868094</v>
      </c>
      <c r="N1052" s="11">
        <f t="shared" si="85"/>
        <v>4.0733717389686746E-3</v>
      </c>
    </row>
    <row r="1053" spans="1:14" x14ac:dyDescent="0.25">
      <c r="A1053" s="79" t="s">
        <v>33</v>
      </c>
      <c r="B1053" s="89" t="s">
        <v>90</v>
      </c>
      <c r="C1053" s="89" t="s">
        <v>45</v>
      </c>
      <c r="D1053" s="13" t="s">
        <v>12</v>
      </c>
      <c r="E1053" s="35">
        <f>VLOOKUP(B1053, Passenger_Kilometre_by_mode_type[#All],MATCH(A1053, Passenger_Kilometre_by_mode_type[#Headers],0),0)</f>
        <v>3443459091.9606371</v>
      </c>
      <c r="F1053" s="89">
        <f>VLOOKUP(C1053, Reason_for_lorry_motorcycle_other_journeys_by_percentage[#All],MATCH(A1053, Reason_for_lorry_motorcycle_other_journeys_by_percentage[#Headers],0),0)/100</f>
        <v>3.3750000000000002E-2</v>
      </c>
      <c r="G1053" s="13">
        <f t="shared" si="81"/>
        <v>116216744.35367151</v>
      </c>
      <c r="H1053" s="89">
        <f>VLOOKUP(D1053,Average_Distance_by_kilometre_grouping_for_mode_type[#All],MATCH(A1053,Average_Distance_by_kilometre_grouping_for_mode_type[#Headers],0),0)</f>
        <v>1</v>
      </c>
      <c r="I1053" s="89">
        <f>VLOOKUP(D1053,Average_Distance_by_kilometres_grouping_for_trip_purpose[#All],MATCH(A1053,Average_Distance_by_kilometres_grouping_for_trip_purpose[#Headers],0),0)</f>
        <v>1</v>
      </c>
      <c r="J1053" s="89">
        <f t="shared" si="82"/>
        <v>1</v>
      </c>
      <c r="K1053" s="89">
        <f t="shared" si="83"/>
        <v>1.8980734554427257E-2</v>
      </c>
      <c r="L1053" s="89">
        <v>1</v>
      </c>
      <c r="M1053" s="13">
        <f t="shared" si="84"/>
        <v>2205879.1753567713</v>
      </c>
      <c r="N1053" s="11">
        <f t="shared" si="85"/>
        <v>3.9240626100141584E-5</v>
      </c>
    </row>
    <row r="1054" spans="1:14" x14ac:dyDescent="0.25">
      <c r="A1054" s="79" t="s">
        <v>33</v>
      </c>
      <c r="B1054" s="89" t="s">
        <v>90</v>
      </c>
      <c r="C1054" s="89" t="s">
        <v>45</v>
      </c>
      <c r="D1054" s="13" t="s">
        <v>181</v>
      </c>
      <c r="E1054" s="35">
        <f>VLOOKUP(B1054, Passenger_Kilometre_by_mode_type[#All],MATCH(A1054, Passenger_Kilometre_by_mode_type[#Headers],0),0)</f>
        <v>3443459091.9606371</v>
      </c>
      <c r="F1054" s="89">
        <f>VLOOKUP(C1054, Reason_for_lorry_motorcycle_other_journeys_by_percentage[#All],MATCH(A1054, Reason_for_lorry_motorcycle_other_journeys_by_percentage[#Headers],0),0)/100</f>
        <v>3.3750000000000002E-2</v>
      </c>
      <c r="G1054" s="13">
        <f t="shared" si="81"/>
        <v>116216744.35367151</v>
      </c>
      <c r="H1054" s="89">
        <f>VLOOKUP(D1054,Average_Distance_by_kilometre_grouping_for_mode_type[#All],MATCH(A1054,Average_Distance_by_kilometre_grouping_for_mode_type[#Headers],0),0)</f>
        <v>3</v>
      </c>
      <c r="I1054" s="89">
        <f>VLOOKUP(D1054,Average_Distance_by_kilometres_grouping_for_trip_purpose[#All],MATCH(A1054,Average_Distance_by_kilometres_grouping_for_trip_purpose[#Headers],0),0)</f>
        <v>3</v>
      </c>
      <c r="J1054" s="89">
        <f t="shared" si="82"/>
        <v>3</v>
      </c>
      <c r="K1054" s="89">
        <f t="shared" si="83"/>
        <v>5.6942203663281767E-2</v>
      </c>
      <c r="L1054" s="89">
        <v>1</v>
      </c>
      <c r="M1054" s="13">
        <f t="shared" si="84"/>
        <v>6617637.5260703145</v>
      </c>
      <c r="N1054" s="11">
        <f t="shared" si="85"/>
        <v>1.1772187830042475E-4</v>
      </c>
    </row>
    <row r="1055" spans="1:14" x14ac:dyDescent="0.25">
      <c r="A1055" s="79" t="s">
        <v>33</v>
      </c>
      <c r="B1055" s="89" t="s">
        <v>90</v>
      </c>
      <c r="C1055" s="89" t="s">
        <v>45</v>
      </c>
      <c r="D1055" s="13" t="s">
        <v>180</v>
      </c>
      <c r="E1055" s="35">
        <f>VLOOKUP(B1055, Passenger_Kilometre_by_mode_type[#All],MATCH(A1055, Passenger_Kilometre_by_mode_type[#Headers],0),0)</f>
        <v>3443459091.9606371</v>
      </c>
      <c r="F1055" s="89">
        <f>VLOOKUP(C1055, Reason_for_lorry_motorcycle_other_journeys_by_percentage[#All],MATCH(A1055, Reason_for_lorry_motorcycle_other_journeys_by_percentage[#Headers],0),0)/100</f>
        <v>3.3750000000000002E-2</v>
      </c>
      <c r="G1055" s="13">
        <f t="shared" si="81"/>
        <v>116216744.35367151</v>
      </c>
      <c r="H1055" s="89">
        <f>VLOOKUP(D1055,Average_Distance_by_kilometre_grouping_for_mode_type[#All],MATCH(A1055,Average_Distance_by_kilometre_grouping_for_mode_type[#Headers],0),0)</f>
        <v>5</v>
      </c>
      <c r="I1055" s="89">
        <f>VLOOKUP(D1055,Average_Distance_by_kilometres_grouping_for_trip_purpose[#All],MATCH(A1055,Average_Distance_by_kilometres_grouping_for_trip_purpose[#Headers],0),0)</f>
        <v>5</v>
      </c>
      <c r="J1055" s="89">
        <f t="shared" si="82"/>
        <v>5</v>
      </c>
      <c r="K1055" s="89">
        <f t="shared" si="83"/>
        <v>9.490367277213628E-2</v>
      </c>
      <c r="L1055" s="89">
        <v>1</v>
      </c>
      <c r="M1055" s="13">
        <f t="shared" si="84"/>
        <v>11029395.876783857</v>
      </c>
      <c r="N1055" s="11">
        <f t="shared" si="85"/>
        <v>1.9620313050070791E-4</v>
      </c>
    </row>
    <row r="1056" spans="1:14" x14ac:dyDescent="0.25">
      <c r="A1056" s="79" t="s">
        <v>33</v>
      </c>
      <c r="B1056" s="89" t="s">
        <v>90</v>
      </c>
      <c r="C1056" s="89" t="s">
        <v>45</v>
      </c>
      <c r="D1056" s="13" t="s">
        <v>182</v>
      </c>
      <c r="E1056" s="35">
        <f>VLOOKUP(B1056, Passenger_Kilometre_by_mode_type[#All],MATCH(A1056, Passenger_Kilometre_by_mode_type[#Headers],0),0)</f>
        <v>3443459091.9606371</v>
      </c>
      <c r="F1056" s="89">
        <f>VLOOKUP(C1056, Reason_for_lorry_motorcycle_other_journeys_by_percentage[#All],MATCH(A1056, Reason_for_lorry_motorcycle_other_journeys_by_percentage[#Headers],0),0)/100</f>
        <v>3.3750000000000002E-2</v>
      </c>
      <c r="G1056" s="13">
        <f t="shared" si="81"/>
        <v>116216744.35367151</v>
      </c>
      <c r="H1056" s="89">
        <f>VLOOKUP(D1056,Average_Distance_by_kilometre_grouping_for_mode_type[#All],MATCH(A1056,Average_Distance_by_kilometre_grouping_for_mode_type[#Headers],0),0)</f>
        <v>7</v>
      </c>
      <c r="I1056" s="89">
        <f>VLOOKUP(D1056,Average_Distance_by_kilometres_grouping_for_trip_purpose[#All],MATCH(A1056,Average_Distance_by_kilometres_grouping_for_trip_purpose[#Headers],0),0)</f>
        <v>7</v>
      </c>
      <c r="J1056" s="89">
        <f t="shared" si="82"/>
        <v>7</v>
      </c>
      <c r="K1056" s="89">
        <f t="shared" si="83"/>
        <v>0.1328651418809908</v>
      </c>
      <c r="L1056" s="89">
        <v>1</v>
      </c>
      <c r="M1056" s="13">
        <f t="shared" si="84"/>
        <v>15441154.227497401</v>
      </c>
      <c r="N1056" s="11">
        <f t="shared" si="85"/>
        <v>2.746843827009911E-4</v>
      </c>
    </row>
    <row r="1057" spans="1:14" x14ac:dyDescent="0.25">
      <c r="A1057" s="79" t="s">
        <v>33</v>
      </c>
      <c r="B1057" s="89" t="s">
        <v>90</v>
      </c>
      <c r="C1057" s="89" t="s">
        <v>45</v>
      </c>
      <c r="D1057" s="13" t="s">
        <v>1</v>
      </c>
      <c r="E1057" s="35">
        <f>VLOOKUP(B1057, Passenger_Kilometre_by_mode_type[#All],MATCH(A1057, Passenger_Kilometre_by_mode_type[#Headers],0),0)</f>
        <v>3443459091.9606371</v>
      </c>
      <c r="F1057" s="89">
        <f>VLOOKUP(C1057, Reason_for_lorry_motorcycle_other_journeys_by_percentage[#All],MATCH(A1057, Reason_for_lorry_motorcycle_other_journeys_by_percentage[#Headers],0),0)/100</f>
        <v>3.3750000000000002E-2</v>
      </c>
      <c r="G1057" s="13">
        <f t="shared" si="81"/>
        <v>116216744.35367151</v>
      </c>
      <c r="H1057" s="89">
        <f>VLOOKUP(D1057,Average_Distance_by_kilometre_grouping_for_mode_type[#All],MATCH(A1057,Average_Distance_by_kilometre_grouping_for_mode_type[#Headers],0),0)</f>
        <v>35.22</v>
      </c>
      <c r="I1057" s="89">
        <f>VLOOKUP(D1057,Average_Distance_by_kilometres_grouping_for_trip_purpose[#All],MATCH(A1057,Average_Distance_by_kilometres_grouping_for_trip_purpose[#Headers],0),0)</f>
        <v>38.15</v>
      </c>
      <c r="J1057" s="89">
        <f t="shared" si="82"/>
        <v>36.685000000000002</v>
      </c>
      <c r="K1057" s="89">
        <f t="shared" si="83"/>
        <v>0.69630824712916395</v>
      </c>
      <c r="L1057" s="89">
        <v>1</v>
      </c>
      <c r="M1057" s="13">
        <f t="shared" si="84"/>
        <v>80922677.547963172</v>
      </c>
      <c r="N1057" s="11">
        <f t="shared" si="85"/>
        <v>1.4395423684836941E-3</v>
      </c>
    </row>
    <row r="1058" spans="1:14" x14ac:dyDescent="0.25">
      <c r="A1058" s="79" t="s">
        <v>33</v>
      </c>
      <c r="B1058" s="89" t="s">
        <v>90</v>
      </c>
      <c r="C1058" s="89" t="s">
        <v>56</v>
      </c>
      <c r="D1058" s="13" t="s">
        <v>12</v>
      </c>
      <c r="E1058" s="35">
        <f>VLOOKUP(B1058, Passenger_Kilometre_by_mode_type[#All],MATCH(A1058, Passenger_Kilometre_by_mode_type[#Headers],0),0)</f>
        <v>3443459091.9606371</v>
      </c>
      <c r="F1058" s="89">
        <f>VLOOKUP(C1058, Reason_for_lorry_motorcycle_other_journeys_by_percentage[#All],MATCH(A1058, Reason_for_lorry_motorcycle_other_journeys_by_percentage[#Headers],0),0)/100</f>
        <v>6.6500000000000004E-2</v>
      </c>
      <c r="G1058" s="13">
        <f t="shared" si="81"/>
        <v>228990029.61538237</v>
      </c>
      <c r="H1058" s="89">
        <f>VLOOKUP(D1058,Average_Distance_by_kilometre_grouping_for_mode_type[#All],MATCH(A1058,Average_Distance_by_kilometre_grouping_for_mode_type[#Headers],0),0)</f>
        <v>1</v>
      </c>
      <c r="I1058" s="89">
        <f>VLOOKUP(D1058,Average_Distance_by_kilometres_grouping_for_trip_purpose[#All],MATCH(A1058,Average_Distance_by_kilometres_grouping_for_trip_purpose[#Headers],0),0)</f>
        <v>1</v>
      </c>
      <c r="J1058" s="89">
        <f t="shared" si="82"/>
        <v>1</v>
      </c>
      <c r="K1058" s="89">
        <f t="shared" si="83"/>
        <v>1.8980734554427257E-2</v>
      </c>
      <c r="L1058" s="89">
        <v>1</v>
      </c>
      <c r="M1058" s="13">
        <f t="shared" si="84"/>
        <v>4346398.9677400086</v>
      </c>
      <c r="N1058" s="11">
        <f t="shared" si="85"/>
        <v>7.7318566982501185E-5</v>
      </c>
    </row>
    <row r="1059" spans="1:14" x14ac:dyDescent="0.25">
      <c r="A1059" s="79" t="s">
        <v>33</v>
      </c>
      <c r="B1059" s="89" t="s">
        <v>90</v>
      </c>
      <c r="C1059" s="89" t="s">
        <v>56</v>
      </c>
      <c r="D1059" s="13" t="s">
        <v>181</v>
      </c>
      <c r="E1059" s="35">
        <f>VLOOKUP(B1059, Passenger_Kilometre_by_mode_type[#All],MATCH(A1059, Passenger_Kilometre_by_mode_type[#Headers],0),0)</f>
        <v>3443459091.9606371</v>
      </c>
      <c r="F1059" s="89">
        <f>VLOOKUP(C1059, Reason_for_lorry_motorcycle_other_journeys_by_percentage[#All],MATCH(A1059, Reason_for_lorry_motorcycle_other_journeys_by_percentage[#Headers],0),0)/100</f>
        <v>6.6500000000000004E-2</v>
      </c>
      <c r="G1059" s="13">
        <f t="shared" si="81"/>
        <v>228990029.61538237</v>
      </c>
      <c r="H1059" s="89">
        <f>VLOOKUP(D1059,Average_Distance_by_kilometre_grouping_for_mode_type[#All],MATCH(A1059,Average_Distance_by_kilometre_grouping_for_mode_type[#Headers],0),0)</f>
        <v>3</v>
      </c>
      <c r="I1059" s="89">
        <f>VLOOKUP(D1059,Average_Distance_by_kilometres_grouping_for_trip_purpose[#All],MATCH(A1059,Average_Distance_by_kilometres_grouping_for_trip_purpose[#Headers],0),0)</f>
        <v>3</v>
      </c>
      <c r="J1059" s="89">
        <f t="shared" si="82"/>
        <v>3</v>
      </c>
      <c r="K1059" s="89">
        <f t="shared" si="83"/>
        <v>5.6942203663281767E-2</v>
      </c>
      <c r="L1059" s="89">
        <v>1</v>
      </c>
      <c r="M1059" s="13">
        <f t="shared" si="84"/>
        <v>13039196.903220026</v>
      </c>
      <c r="N1059" s="11">
        <f t="shared" si="85"/>
        <v>2.3195570094750357E-4</v>
      </c>
    </row>
    <row r="1060" spans="1:14" x14ac:dyDescent="0.25">
      <c r="A1060" s="79" t="s">
        <v>33</v>
      </c>
      <c r="B1060" s="89" t="s">
        <v>90</v>
      </c>
      <c r="C1060" s="89" t="s">
        <v>56</v>
      </c>
      <c r="D1060" s="13" t="s">
        <v>180</v>
      </c>
      <c r="E1060" s="35">
        <f>VLOOKUP(B1060, Passenger_Kilometre_by_mode_type[#All],MATCH(A1060, Passenger_Kilometre_by_mode_type[#Headers],0),0)</f>
        <v>3443459091.9606371</v>
      </c>
      <c r="F1060" s="89">
        <f>VLOOKUP(C1060, Reason_for_lorry_motorcycle_other_journeys_by_percentage[#All],MATCH(A1060, Reason_for_lorry_motorcycle_other_journeys_by_percentage[#Headers],0),0)/100</f>
        <v>6.6500000000000004E-2</v>
      </c>
      <c r="G1060" s="13">
        <f t="shared" si="81"/>
        <v>228990029.61538237</v>
      </c>
      <c r="H1060" s="89">
        <f>VLOOKUP(D1060,Average_Distance_by_kilometre_grouping_for_mode_type[#All],MATCH(A1060,Average_Distance_by_kilometre_grouping_for_mode_type[#Headers],0),0)</f>
        <v>5</v>
      </c>
      <c r="I1060" s="89">
        <f>VLOOKUP(D1060,Average_Distance_by_kilometres_grouping_for_trip_purpose[#All],MATCH(A1060,Average_Distance_by_kilometres_grouping_for_trip_purpose[#Headers],0),0)</f>
        <v>5</v>
      </c>
      <c r="J1060" s="89">
        <f t="shared" si="82"/>
        <v>5</v>
      </c>
      <c r="K1060" s="89">
        <f t="shared" si="83"/>
        <v>9.490367277213628E-2</v>
      </c>
      <c r="L1060" s="89">
        <v>1</v>
      </c>
      <c r="M1060" s="13">
        <f t="shared" si="84"/>
        <v>21731994.838700045</v>
      </c>
      <c r="N1060" s="11">
        <f t="shared" si="85"/>
        <v>3.8659283491250599E-4</v>
      </c>
    </row>
    <row r="1061" spans="1:14" x14ac:dyDescent="0.25">
      <c r="A1061" s="79" t="s">
        <v>33</v>
      </c>
      <c r="B1061" s="89" t="s">
        <v>90</v>
      </c>
      <c r="C1061" s="89" t="s">
        <v>56</v>
      </c>
      <c r="D1061" s="13" t="s">
        <v>182</v>
      </c>
      <c r="E1061" s="35">
        <f>VLOOKUP(B1061, Passenger_Kilometre_by_mode_type[#All],MATCH(A1061, Passenger_Kilometre_by_mode_type[#Headers],0),0)</f>
        <v>3443459091.9606371</v>
      </c>
      <c r="F1061" s="89">
        <f>VLOOKUP(C1061, Reason_for_lorry_motorcycle_other_journeys_by_percentage[#All],MATCH(A1061, Reason_for_lorry_motorcycle_other_journeys_by_percentage[#Headers],0),0)/100</f>
        <v>6.6500000000000004E-2</v>
      </c>
      <c r="G1061" s="13">
        <f t="shared" si="81"/>
        <v>228990029.61538237</v>
      </c>
      <c r="H1061" s="89">
        <f>VLOOKUP(D1061,Average_Distance_by_kilometre_grouping_for_mode_type[#All],MATCH(A1061,Average_Distance_by_kilometre_grouping_for_mode_type[#Headers],0),0)</f>
        <v>7</v>
      </c>
      <c r="I1061" s="89">
        <f>VLOOKUP(D1061,Average_Distance_by_kilometres_grouping_for_trip_purpose[#All],MATCH(A1061,Average_Distance_by_kilometres_grouping_for_trip_purpose[#Headers],0),0)</f>
        <v>7</v>
      </c>
      <c r="J1061" s="89">
        <f t="shared" si="82"/>
        <v>7</v>
      </c>
      <c r="K1061" s="89">
        <f t="shared" si="83"/>
        <v>0.1328651418809908</v>
      </c>
      <c r="L1061" s="89">
        <v>1</v>
      </c>
      <c r="M1061" s="13">
        <f t="shared" si="84"/>
        <v>30424792.774180066</v>
      </c>
      <c r="N1061" s="11">
        <f t="shared" si="85"/>
        <v>5.4122996887750845E-4</v>
      </c>
    </row>
    <row r="1062" spans="1:14" x14ac:dyDescent="0.25">
      <c r="A1062" s="79" t="s">
        <v>33</v>
      </c>
      <c r="B1062" s="89" t="s">
        <v>90</v>
      </c>
      <c r="C1062" s="89" t="s">
        <v>56</v>
      </c>
      <c r="D1062" s="13" t="s">
        <v>1</v>
      </c>
      <c r="E1062" s="35">
        <f>VLOOKUP(B1062, Passenger_Kilometre_by_mode_type[#All],MATCH(A1062, Passenger_Kilometre_by_mode_type[#Headers],0),0)</f>
        <v>3443459091.9606371</v>
      </c>
      <c r="F1062" s="89">
        <f>VLOOKUP(C1062, Reason_for_lorry_motorcycle_other_journeys_by_percentage[#All],MATCH(A1062, Reason_for_lorry_motorcycle_other_journeys_by_percentage[#Headers],0),0)/100</f>
        <v>6.6500000000000004E-2</v>
      </c>
      <c r="G1062" s="13">
        <f t="shared" si="81"/>
        <v>228990029.61538237</v>
      </c>
      <c r="H1062" s="89">
        <f>VLOOKUP(D1062,Average_Distance_by_kilometre_grouping_for_mode_type[#All],MATCH(A1062,Average_Distance_by_kilometre_grouping_for_mode_type[#Headers],0),0)</f>
        <v>35.22</v>
      </c>
      <c r="I1062" s="89">
        <f>VLOOKUP(D1062,Average_Distance_by_kilometres_grouping_for_trip_purpose[#All],MATCH(A1062,Average_Distance_by_kilometres_grouping_for_trip_purpose[#Headers],0),0)</f>
        <v>38.15</v>
      </c>
      <c r="J1062" s="89">
        <f t="shared" si="82"/>
        <v>36.685000000000002</v>
      </c>
      <c r="K1062" s="89">
        <f t="shared" si="83"/>
        <v>0.69630824712916395</v>
      </c>
      <c r="L1062" s="89">
        <v>1</v>
      </c>
      <c r="M1062" s="13">
        <f t="shared" si="84"/>
        <v>159447646.13154224</v>
      </c>
      <c r="N1062" s="11">
        <f t="shared" si="85"/>
        <v>2.8364316297530565E-3</v>
      </c>
    </row>
    <row r="1063" spans="1:14" x14ac:dyDescent="0.25">
      <c r="A1063" s="79" t="s">
        <v>33</v>
      </c>
      <c r="B1063" s="89" t="s">
        <v>90</v>
      </c>
      <c r="C1063" s="89" t="s">
        <v>57</v>
      </c>
      <c r="D1063" s="13" t="s">
        <v>12</v>
      </c>
      <c r="E1063" s="35">
        <f>VLOOKUP(B1063, Passenger_Kilometre_by_mode_type[#All],MATCH(A1063, Passenger_Kilometre_by_mode_type[#Headers],0),0)</f>
        <v>3443459091.9606371</v>
      </c>
      <c r="F1063" s="89">
        <f>VLOOKUP(C1063, Reason_for_lorry_motorcycle_other_journeys_by_percentage[#All],MATCH(A1063, Reason_for_lorry_motorcycle_other_journeys_by_percentage[#Headers],0),0)/100</f>
        <v>6.8500000000000005E-2</v>
      </c>
      <c r="G1063" s="13">
        <f t="shared" si="81"/>
        <v>235876947.79930365</v>
      </c>
      <c r="H1063" s="89">
        <f>VLOOKUP(D1063,Average_Distance_by_kilometre_grouping_for_mode_type[#All],MATCH(A1063,Average_Distance_by_kilometre_grouping_for_mode_type[#Headers],0),0)</f>
        <v>1</v>
      </c>
      <c r="I1063" s="89">
        <f>VLOOKUP(D1063,Average_Distance_by_kilometres_grouping_for_trip_purpose[#All],MATCH(A1063,Average_Distance_by_kilometres_grouping_for_trip_purpose[#Headers],0),0)</f>
        <v>1</v>
      </c>
      <c r="J1063" s="89">
        <f t="shared" si="82"/>
        <v>1</v>
      </c>
      <c r="K1063" s="89">
        <f t="shared" si="83"/>
        <v>1.8980734554427257E-2</v>
      </c>
      <c r="L1063" s="89">
        <v>1</v>
      </c>
      <c r="M1063" s="13">
        <f t="shared" si="84"/>
        <v>4477117.7336870767</v>
      </c>
      <c r="N1063" s="11">
        <f t="shared" si="85"/>
        <v>7.9643937418065138E-5</v>
      </c>
    </row>
    <row r="1064" spans="1:14" x14ac:dyDescent="0.25">
      <c r="A1064" s="79" t="s">
        <v>33</v>
      </c>
      <c r="B1064" s="89" t="s">
        <v>90</v>
      </c>
      <c r="C1064" s="89" t="s">
        <v>57</v>
      </c>
      <c r="D1064" s="13" t="s">
        <v>181</v>
      </c>
      <c r="E1064" s="35">
        <f>VLOOKUP(B1064, Passenger_Kilometre_by_mode_type[#All],MATCH(A1064, Passenger_Kilometre_by_mode_type[#Headers],0),0)</f>
        <v>3443459091.9606371</v>
      </c>
      <c r="F1064" s="89">
        <f>VLOOKUP(C1064, Reason_for_lorry_motorcycle_other_journeys_by_percentage[#All],MATCH(A1064, Reason_for_lorry_motorcycle_other_journeys_by_percentage[#Headers],0),0)/100</f>
        <v>6.8500000000000005E-2</v>
      </c>
      <c r="G1064" s="13">
        <f t="shared" si="81"/>
        <v>235876947.79930365</v>
      </c>
      <c r="H1064" s="89">
        <f>VLOOKUP(D1064,Average_Distance_by_kilometre_grouping_for_mode_type[#All],MATCH(A1064,Average_Distance_by_kilometre_grouping_for_mode_type[#Headers],0),0)</f>
        <v>3</v>
      </c>
      <c r="I1064" s="89">
        <f>VLOOKUP(D1064,Average_Distance_by_kilometres_grouping_for_trip_purpose[#All],MATCH(A1064,Average_Distance_by_kilometres_grouping_for_trip_purpose[#Headers],0),0)</f>
        <v>3</v>
      </c>
      <c r="J1064" s="89">
        <f t="shared" si="82"/>
        <v>3</v>
      </c>
      <c r="K1064" s="89">
        <f t="shared" si="83"/>
        <v>5.6942203663281767E-2</v>
      </c>
      <c r="L1064" s="89">
        <v>1</v>
      </c>
      <c r="M1064" s="13">
        <f t="shared" si="84"/>
        <v>13431353.20106123</v>
      </c>
      <c r="N1064" s="11">
        <f t="shared" si="85"/>
        <v>2.3893181225419542E-4</v>
      </c>
    </row>
    <row r="1065" spans="1:14" x14ac:dyDescent="0.25">
      <c r="A1065" s="79" t="s">
        <v>33</v>
      </c>
      <c r="B1065" s="89" t="s">
        <v>90</v>
      </c>
      <c r="C1065" s="89" t="s">
        <v>57</v>
      </c>
      <c r="D1065" s="13" t="s">
        <v>180</v>
      </c>
      <c r="E1065" s="35">
        <f>VLOOKUP(B1065, Passenger_Kilometre_by_mode_type[#All],MATCH(A1065, Passenger_Kilometre_by_mode_type[#Headers],0),0)</f>
        <v>3443459091.9606371</v>
      </c>
      <c r="F1065" s="89">
        <f>VLOOKUP(C1065, Reason_for_lorry_motorcycle_other_journeys_by_percentage[#All],MATCH(A1065, Reason_for_lorry_motorcycle_other_journeys_by_percentage[#Headers],0),0)/100</f>
        <v>6.8500000000000005E-2</v>
      </c>
      <c r="G1065" s="13">
        <f t="shared" si="81"/>
        <v>235876947.79930365</v>
      </c>
      <c r="H1065" s="89">
        <f>VLOOKUP(D1065,Average_Distance_by_kilometre_grouping_for_mode_type[#All],MATCH(A1065,Average_Distance_by_kilometre_grouping_for_mode_type[#Headers],0),0)</f>
        <v>5</v>
      </c>
      <c r="I1065" s="89">
        <f>VLOOKUP(D1065,Average_Distance_by_kilometres_grouping_for_trip_purpose[#All],MATCH(A1065,Average_Distance_by_kilometres_grouping_for_trip_purpose[#Headers],0),0)</f>
        <v>5</v>
      </c>
      <c r="J1065" s="89">
        <f t="shared" si="82"/>
        <v>5</v>
      </c>
      <c r="K1065" s="89">
        <f t="shared" si="83"/>
        <v>9.490367277213628E-2</v>
      </c>
      <c r="L1065" s="89">
        <v>1</v>
      </c>
      <c r="M1065" s="13">
        <f t="shared" si="84"/>
        <v>22385588.668435384</v>
      </c>
      <c r="N1065" s="11">
        <f t="shared" si="85"/>
        <v>3.9821968709032567E-4</v>
      </c>
    </row>
    <row r="1066" spans="1:14" x14ac:dyDescent="0.25">
      <c r="A1066" s="79" t="s">
        <v>33</v>
      </c>
      <c r="B1066" s="89" t="s">
        <v>90</v>
      </c>
      <c r="C1066" s="89" t="s">
        <v>57</v>
      </c>
      <c r="D1066" s="13" t="s">
        <v>182</v>
      </c>
      <c r="E1066" s="35">
        <f>VLOOKUP(B1066, Passenger_Kilometre_by_mode_type[#All],MATCH(A1066, Passenger_Kilometre_by_mode_type[#Headers],0),0)</f>
        <v>3443459091.9606371</v>
      </c>
      <c r="F1066" s="89">
        <f>VLOOKUP(C1066, Reason_for_lorry_motorcycle_other_journeys_by_percentage[#All],MATCH(A1066, Reason_for_lorry_motorcycle_other_journeys_by_percentage[#Headers],0),0)/100</f>
        <v>6.8500000000000005E-2</v>
      </c>
      <c r="G1066" s="13">
        <f t="shared" si="81"/>
        <v>235876947.79930365</v>
      </c>
      <c r="H1066" s="89">
        <f>VLOOKUP(D1066,Average_Distance_by_kilometre_grouping_for_mode_type[#All],MATCH(A1066,Average_Distance_by_kilometre_grouping_for_mode_type[#Headers],0),0)</f>
        <v>7</v>
      </c>
      <c r="I1066" s="89">
        <f>VLOOKUP(D1066,Average_Distance_by_kilometres_grouping_for_trip_purpose[#All],MATCH(A1066,Average_Distance_by_kilometres_grouping_for_trip_purpose[#Headers],0),0)</f>
        <v>7</v>
      </c>
      <c r="J1066" s="89">
        <f t="shared" si="82"/>
        <v>7</v>
      </c>
      <c r="K1066" s="89">
        <f t="shared" si="83"/>
        <v>0.1328651418809908</v>
      </c>
      <c r="L1066" s="89">
        <v>1</v>
      </c>
      <c r="M1066" s="13">
        <f t="shared" si="84"/>
        <v>31339824.135809541</v>
      </c>
      <c r="N1066" s="11">
        <f t="shared" si="85"/>
        <v>5.5750756192645605E-4</v>
      </c>
    </row>
    <row r="1067" spans="1:14" x14ac:dyDescent="0.25">
      <c r="A1067" s="79" t="s">
        <v>33</v>
      </c>
      <c r="B1067" s="89" t="s">
        <v>90</v>
      </c>
      <c r="C1067" s="89" t="s">
        <v>57</v>
      </c>
      <c r="D1067" s="13" t="s">
        <v>1</v>
      </c>
      <c r="E1067" s="35">
        <f>VLOOKUP(B1067, Passenger_Kilometre_by_mode_type[#All],MATCH(A1067, Passenger_Kilometre_by_mode_type[#Headers],0),0)</f>
        <v>3443459091.9606371</v>
      </c>
      <c r="F1067" s="89">
        <f>VLOOKUP(C1067, Reason_for_lorry_motorcycle_other_journeys_by_percentage[#All],MATCH(A1067, Reason_for_lorry_motorcycle_other_journeys_by_percentage[#Headers],0),0)/100</f>
        <v>6.8500000000000005E-2</v>
      </c>
      <c r="G1067" s="13">
        <f t="shared" si="81"/>
        <v>235876947.79930365</v>
      </c>
      <c r="H1067" s="89">
        <f>VLOOKUP(D1067,Average_Distance_by_kilometre_grouping_for_mode_type[#All],MATCH(A1067,Average_Distance_by_kilometre_grouping_for_mode_type[#Headers],0),0)</f>
        <v>35.22</v>
      </c>
      <c r="I1067" s="89">
        <f>VLOOKUP(D1067,Average_Distance_by_kilometres_grouping_for_trip_purpose[#All],MATCH(A1067,Average_Distance_by_kilometres_grouping_for_trip_purpose[#Headers],0),0)</f>
        <v>38.15</v>
      </c>
      <c r="J1067" s="89">
        <f t="shared" si="82"/>
        <v>36.685000000000002</v>
      </c>
      <c r="K1067" s="89">
        <f t="shared" si="83"/>
        <v>0.69630824712916395</v>
      </c>
      <c r="L1067" s="89">
        <v>1</v>
      </c>
      <c r="M1067" s="13">
        <f t="shared" si="84"/>
        <v>164243064.06031042</v>
      </c>
      <c r="N1067" s="11">
        <f t="shared" si="85"/>
        <v>2.92173784418172E-3</v>
      </c>
    </row>
    <row r="1068" spans="1:14" x14ac:dyDescent="0.25">
      <c r="A1068" s="79" t="s">
        <v>33</v>
      </c>
      <c r="B1068" s="89" t="s">
        <v>90</v>
      </c>
      <c r="C1068" s="89" t="s">
        <v>93</v>
      </c>
      <c r="D1068" s="13" t="s">
        <v>12</v>
      </c>
      <c r="E1068" s="35">
        <f>VLOOKUP(B1068, Passenger_Kilometre_by_mode_type[#All],MATCH(A1068, Passenger_Kilometre_by_mode_type[#Headers],0),0)</f>
        <v>3443459091.9606371</v>
      </c>
      <c r="F1068" s="89">
        <f>VLOOKUP(C1068, Reason_for_lorry_motorcycle_other_journeys_by_percentage[#All],MATCH(A1068, Reason_for_lorry_motorcycle_other_journeys_by_percentage[#Headers],0),0)/100</f>
        <v>8.8250000000000009E-2</v>
      </c>
      <c r="G1068" s="13">
        <f t="shared" si="81"/>
        <v>303885264.86552626</v>
      </c>
      <c r="H1068" s="89">
        <f>VLOOKUP(D1068,Average_Distance_by_kilometre_grouping_for_mode_type[#All],MATCH(A1068,Average_Distance_by_kilometre_grouping_for_mode_type[#Headers],0),0)</f>
        <v>1</v>
      </c>
      <c r="I1068" s="89">
        <f>VLOOKUP(D1068,Average_Distance_by_kilometres_grouping_for_trip_purpose[#All],MATCH(A1068,Average_Distance_by_kilometres_grouping_for_trip_purpose[#Headers],0),0)</f>
        <v>1</v>
      </c>
      <c r="J1068" s="89">
        <f t="shared" si="82"/>
        <v>1</v>
      </c>
      <c r="K1068" s="89">
        <f t="shared" si="83"/>
        <v>1.8980734554427257E-2</v>
      </c>
      <c r="L1068" s="89">
        <v>1</v>
      </c>
      <c r="M1068" s="13">
        <f t="shared" si="84"/>
        <v>5767965.5474143736</v>
      </c>
      <c r="N1068" s="11">
        <f t="shared" si="85"/>
        <v>1.0260697046925911E-4</v>
      </c>
    </row>
    <row r="1069" spans="1:14" x14ac:dyDescent="0.25">
      <c r="A1069" s="79" t="s">
        <v>33</v>
      </c>
      <c r="B1069" s="89" t="s">
        <v>90</v>
      </c>
      <c r="C1069" s="89" t="s">
        <v>93</v>
      </c>
      <c r="D1069" s="13" t="s">
        <v>181</v>
      </c>
      <c r="E1069" s="35">
        <f>VLOOKUP(B1069, Passenger_Kilometre_by_mode_type[#All],MATCH(A1069, Passenger_Kilometre_by_mode_type[#Headers],0),0)</f>
        <v>3443459091.9606371</v>
      </c>
      <c r="F1069" s="89">
        <f>VLOOKUP(C1069, Reason_for_lorry_motorcycle_other_journeys_by_percentage[#All],MATCH(A1069, Reason_for_lorry_motorcycle_other_journeys_by_percentage[#Headers],0),0)/100</f>
        <v>8.8250000000000009E-2</v>
      </c>
      <c r="G1069" s="13">
        <f t="shared" si="81"/>
        <v>303885264.86552626</v>
      </c>
      <c r="H1069" s="89">
        <f>VLOOKUP(D1069,Average_Distance_by_kilometre_grouping_for_mode_type[#All],MATCH(A1069,Average_Distance_by_kilometre_grouping_for_mode_type[#Headers],0),0)</f>
        <v>3</v>
      </c>
      <c r="I1069" s="89">
        <f>VLOOKUP(D1069,Average_Distance_by_kilometres_grouping_for_trip_purpose[#All],MATCH(A1069,Average_Distance_by_kilometres_grouping_for_trip_purpose[#Headers],0),0)</f>
        <v>3</v>
      </c>
      <c r="J1069" s="89">
        <f t="shared" si="82"/>
        <v>3</v>
      </c>
      <c r="K1069" s="89">
        <f t="shared" si="83"/>
        <v>5.6942203663281767E-2</v>
      </c>
      <c r="L1069" s="89">
        <v>1</v>
      </c>
      <c r="M1069" s="13">
        <f t="shared" si="84"/>
        <v>17303896.642243121</v>
      </c>
      <c r="N1069" s="11">
        <f t="shared" si="85"/>
        <v>3.0782091140777736E-4</v>
      </c>
    </row>
    <row r="1070" spans="1:14" x14ac:dyDescent="0.25">
      <c r="A1070" s="79" t="s">
        <v>33</v>
      </c>
      <c r="B1070" s="89" t="s">
        <v>90</v>
      </c>
      <c r="C1070" s="89" t="s">
        <v>93</v>
      </c>
      <c r="D1070" s="13" t="s">
        <v>180</v>
      </c>
      <c r="E1070" s="35">
        <f>VLOOKUP(B1070, Passenger_Kilometre_by_mode_type[#All],MATCH(A1070, Passenger_Kilometre_by_mode_type[#Headers],0),0)</f>
        <v>3443459091.9606371</v>
      </c>
      <c r="F1070" s="89">
        <f>VLOOKUP(C1070, Reason_for_lorry_motorcycle_other_journeys_by_percentage[#All],MATCH(A1070, Reason_for_lorry_motorcycle_other_journeys_by_percentage[#Headers],0),0)/100</f>
        <v>8.8250000000000009E-2</v>
      </c>
      <c r="G1070" s="13">
        <f t="shared" si="81"/>
        <v>303885264.86552626</v>
      </c>
      <c r="H1070" s="89">
        <f>VLOOKUP(D1070,Average_Distance_by_kilometre_grouping_for_mode_type[#All],MATCH(A1070,Average_Distance_by_kilometre_grouping_for_mode_type[#Headers],0),0)</f>
        <v>5</v>
      </c>
      <c r="I1070" s="89">
        <f>VLOOKUP(D1070,Average_Distance_by_kilometres_grouping_for_trip_purpose[#All],MATCH(A1070,Average_Distance_by_kilometres_grouping_for_trip_purpose[#Headers],0),0)</f>
        <v>5</v>
      </c>
      <c r="J1070" s="89">
        <f t="shared" si="82"/>
        <v>5</v>
      </c>
      <c r="K1070" s="89">
        <f t="shared" si="83"/>
        <v>9.490367277213628E-2</v>
      </c>
      <c r="L1070" s="89">
        <v>1</v>
      </c>
      <c r="M1070" s="13">
        <f t="shared" si="84"/>
        <v>28839827.737071864</v>
      </c>
      <c r="N1070" s="11">
        <f t="shared" si="85"/>
        <v>5.1303485234629553E-4</v>
      </c>
    </row>
    <row r="1071" spans="1:14" x14ac:dyDescent="0.25">
      <c r="A1071" s="79" t="s">
        <v>33</v>
      </c>
      <c r="B1071" s="89" t="s">
        <v>90</v>
      </c>
      <c r="C1071" s="89" t="s">
        <v>93</v>
      </c>
      <c r="D1071" s="13" t="s">
        <v>182</v>
      </c>
      <c r="E1071" s="35">
        <f>VLOOKUP(B1071, Passenger_Kilometre_by_mode_type[#All],MATCH(A1071, Passenger_Kilometre_by_mode_type[#Headers],0),0)</f>
        <v>3443459091.9606371</v>
      </c>
      <c r="F1071" s="89">
        <f>VLOOKUP(C1071, Reason_for_lorry_motorcycle_other_journeys_by_percentage[#All],MATCH(A1071, Reason_for_lorry_motorcycle_other_journeys_by_percentage[#Headers],0),0)/100</f>
        <v>8.8250000000000009E-2</v>
      </c>
      <c r="G1071" s="13">
        <f t="shared" si="81"/>
        <v>303885264.86552626</v>
      </c>
      <c r="H1071" s="89">
        <f>VLOOKUP(D1071,Average_Distance_by_kilometre_grouping_for_mode_type[#All],MATCH(A1071,Average_Distance_by_kilometre_grouping_for_mode_type[#Headers],0),0)</f>
        <v>7</v>
      </c>
      <c r="I1071" s="89">
        <f>VLOOKUP(D1071,Average_Distance_by_kilometres_grouping_for_trip_purpose[#All],MATCH(A1071,Average_Distance_by_kilometres_grouping_for_trip_purpose[#Headers],0),0)</f>
        <v>7</v>
      </c>
      <c r="J1071" s="89">
        <f t="shared" si="82"/>
        <v>7</v>
      </c>
      <c r="K1071" s="89">
        <f t="shared" si="83"/>
        <v>0.1328651418809908</v>
      </c>
      <c r="L1071" s="89">
        <v>1</v>
      </c>
      <c r="M1071" s="13">
        <f t="shared" si="84"/>
        <v>40375758.831900612</v>
      </c>
      <c r="N1071" s="11">
        <f t="shared" si="85"/>
        <v>7.1824879328481381E-4</v>
      </c>
    </row>
    <row r="1072" spans="1:14" x14ac:dyDescent="0.25">
      <c r="A1072" s="79" t="s">
        <v>33</v>
      </c>
      <c r="B1072" s="89" t="s">
        <v>90</v>
      </c>
      <c r="C1072" s="89" t="s">
        <v>93</v>
      </c>
      <c r="D1072" s="13" t="s">
        <v>1</v>
      </c>
      <c r="E1072" s="35">
        <f>VLOOKUP(B1072, Passenger_Kilometre_by_mode_type[#All],MATCH(A1072, Passenger_Kilometre_by_mode_type[#Headers],0),0)</f>
        <v>3443459091.9606371</v>
      </c>
      <c r="F1072" s="89">
        <f>VLOOKUP(C1072, Reason_for_lorry_motorcycle_other_journeys_by_percentage[#All],MATCH(A1072, Reason_for_lorry_motorcycle_other_journeys_by_percentage[#Headers],0),0)/100</f>
        <v>8.8250000000000009E-2</v>
      </c>
      <c r="G1072" s="13">
        <f t="shared" si="81"/>
        <v>303885264.86552626</v>
      </c>
      <c r="H1072" s="89">
        <f>VLOOKUP(D1072,Average_Distance_by_kilometre_grouping_for_mode_type[#All],MATCH(A1072,Average_Distance_by_kilometre_grouping_for_mode_type[#Headers],0),0)</f>
        <v>35.22</v>
      </c>
      <c r="I1072" s="89">
        <f>VLOOKUP(D1072,Average_Distance_by_kilometres_grouping_for_trip_purpose[#All],MATCH(A1072,Average_Distance_by_kilometres_grouping_for_trip_purpose[#Headers],0),0)</f>
        <v>38.15</v>
      </c>
      <c r="J1072" s="89">
        <f t="shared" si="82"/>
        <v>36.685000000000002</v>
      </c>
      <c r="K1072" s="89">
        <f t="shared" si="83"/>
        <v>0.69630824712916395</v>
      </c>
      <c r="L1072" s="89">
        <v>1</v>
      </c>
      <c r="M1072" s="13">
        <f t="shared" si="84"/>
        <v>211597816.10689631</v>
      </c>
      <c r="N1072" s="11">
        <f t="shared" si="85"/>
        <v>3.7641367116647709E-3</v>
      </c>
    </row>
    <row r="1073" spans="1:14" x14ac:dyDescent="0.25">
      <c r="A1073" s="79" t="s">
        <v>33</v>
      </c>
      <c r="B1073" s="89" t="s">
        <v>90</v>
      </c>
      <c r="C1073" s="89" t="s">
        <v>243</v>
      </c>
      <c r="D1073" s="13" t="s">
        <v>12</v>
      </c>
      <c r="E1073" s="35">
        <f>VLOOKUP(B1073, Passenger_Kilometre_by_mode_type[#All],MATCH(A1073, Passenger_Kilometre_by_mode_type[#Headers],0),0)</f>
        <v>3443459091.9606371</v>
      </c>
      <c r="F1073" s="89">
        <f>VLOOKUP(C1073, Reason_for_lorry_motorcycle_other_journeys_by_percentage[#All],MATCH(A1073, Reason_for_lorry_motorcycle_other_journeys_by_percentage[#Headers],0),0)/100</f>
        <v>4.8249999999999994E-2</v>
      </c>
      <c r="G1073" s="13">
        <f t="shared" si="81"/>
        <v>166146901.18710071</v>
      </c>
      <c r="H1073" s="89">
        <f>VLOOKUP(D1073,Average_Distance_by_kilometre_grouping_for_mode_type[#All],MATCH(A1073,Average_Distance_by_kilometre_grouping_for_mode_type[#Headers],0),0)</f>
        <v>1</v>
      </c>
      <c r="I1073" s="89">
        <f>VLOOKUP(D1073,Average_Distance_by_kilometres_grouping_for_trip_purpose[#All],MATCH(A1073,Average_Distance_by_kilometres_grouping_for_trip_purpose[#Headers],0),0)</f>
        <v>1</v>
      </c>
      <c r="J1073" s="89">
        <f t="shared" si="82"/>
        <v>1</v>
      </c>
      <c r="K1073" s="89">
        <f t="shared" si="83"/>
        <v>1.8980734554427257E-2</v>
      </c>
      <c r="L1073" s="89">
        <v>1</v>
      </c>
      <c r="M1073" s="13">
        <f t="shared" si="84"/>
        <v>3153590.2284730133</v>
      </c>
      <c r="N1073" s="11">
        <f t="shared" si="85"/>
        <v>5.609956175798018E-5</v>
      </c>
    </row>
    <row r="1074" spans="1:14" x14ac:dyDescent="0.25">
      <c r="A1074" s="79" t="s">
        <v>33</v>
      </c>
      <c r="B1074" s="89" t="s">
        <v>90</v>
      </c>
      <c r="C1074" s="89" t="s">
        <v>243</v>
      </c>
      <c r="D1074" s="13" t="s">
        <v>181</v>
      </c>
      <c r="E1074" s="35">
        <f>VLOOKUP(B1074, Passenger_Kilometre_by_mode_type[#All],MATCH(A1074, Passenger_Kilometre_by_mode_type[#Headers],0),0)</f>
        <v>3443459091.9606371</v>
      </c>
      <c r="F1074" s="89">
        <f>VLOOKUP(C1074, Reason_for_lorry_motorcycle_other_journeys_by_percentage[#All],MATCH(A1074, Reason_for_lorry_motorcycle_other_journeys_by_percentage[#Headers],0),0)/100</f>
        <v>4.8249999999999994E-2</v>
      </c>
      <c r="G1074" s="13">
        <f t="shared" si="81"/>
        <v>166146901.18710071</v>
      </c>
      <c r="H1074" s="89">
        <f>VLOOKUP(D1074,Average_Distance_by_kilometre_grouping_for_mode_type[#All],MATCH(A1074,Average_Distance_by_kilometre_grouping_for_mode_type[#Headers],0),0)</f>
        <v>3</v>
      </c>
      <c r="I1074" s="89">
        <f>VLOOKUP(D1074,Average_Distance_by_kilometres_grouping_for_trip_purpose[#All],MATCH(A1074,Average_Distance_by_kilometres_grouping_for_trip_purpose[#Headers],0),0)</f>
        <v>3</v>
      </c>
      <c r="J1074" s="89">
        <f t="shared" si="82"/>
        <v>3</v>
      </c>
      <c r="K1074" s="89">
        <f t="shared" si="83"/>
        <v>5.6942203663281767E-2</v>
      </c>
      <c r="L1074" s="89">
        <v>1</v>
      </c>
      <c r="M1074" s="13">
        <f t="shared" si="84"/>
        <v>9460770.6854190398</v>
      </c>
      <c r="N1074" s="11">
        <f t="shared" si="85"/>
        <v>1.6829868527394053E-4</v>
      </c>
    </row>
    <row r="1075" spans="1:14" x14ac:dyDescent="0.25">
      <c r="A1075" s="79" t="s">
        <v>33</v>
      </c>
      <c r="B1075" s="89" t="s">
        <v>90</v>
      </c>
      <c r="C1075" s="89" t="s">
        <v>243</v>
      </c>
      <c r="D1075" s="13" t="s">
        <v>180</v>
      </c>
      <c r="E1075" s="35">
        <f>VLOOKUP(B1075, Passenger_Kilometre_by_mode_type[#All],MATCH(A1075, Passenger_Kilometre_by_mode_type[#Headers],0),0)</f>
        <v>3443459091.9606371</v>
      </c>
      <c r="F1075" s="89">
        <f>VLOOKUP(C1075, Reason_for_lorry_motorcycle_other_journeys_by_percentage[#All],MATCH(A1075, Reason_for_lorry_motorcycle_other_journeys_by_percentage[#Headers],0),0)/100</f>
        <v>4.8249999999999994E-2</v>
      </c>
      <c r="G1075" s="13">
        <f t="shared" si="81"/>
        <v>166146901.18710071</v>
      </c>
      <c r="H1075" s="89">
        <f>VLOOKUP(D1075,Average_Distance_by_kilometre_grouping_for_mode_type[#All],MATCH(A1075,Average_Distance_by_kilometre_grouping_for_mode_type[#Headers],0),0)</f>
        <v>5</v>
      </c>
      <c r="I1075" s="89">
        <f>VLOOKUP(D1075,Average_Distance_by_kilometres_grouping_for_trip_purpose[#All],MATCH(A1075,Average_Distance_by_kilometres_grouping_for_trip_purpose[#Headers],0),0)</f>
        <v>5</v>
      </c>
      <c r="J1075" s="89">
        <f t="shared" si="82"/>
        <v>5</v>
      </c>
      <c r="K1075" s="89">
        <f t="shared" si="83"/>
        <v>9.490367277213628E-2</v>
      </c>
      <c r="L1075" s="89">
        <v>1</v>
      </c>
      <c r="M1075" s="13">
        <f t="shared" si="84"/>
        <v>15767951.142365066</v>
      </c>
      <c r="N1075" s="11">
        <f t="shared" si="85"/>
        <v>2.8049780878990088E-4</v>
      </c>
    </row>
    <row r="1076" spans="1:14" x14ac:dyDescent="0.25">
      <c r="A1076" s="79" t="s">
        <v>33</v>
      </c>
      <c r="B1076" s="89" t="s">
        <v>90</v>
      </c>
      <c r="C1076" s="89" t="s">
        <v>243</v>
      </c>
      <c r="D1076" s="13" t="s">
        <v>182</v>
      </c>
      <c r="E1076" s="35">
        <f>VLOOKUP(B1076, Passenger_Kilometre_by_mode_type[#All],MATCH(A1076, Passenger_Kilometre_by_mode_type[#Headers],0),0)</f>
        <v>3443459091.9606371</v>
      </c>
      <c r="F1076" s="89">
        <f>VLOOKUP(C1076, Reason_for_lorry_motorcycle_other_journeys_by_percentage[#All],MATCH(A1076, Reason_for_lorry_motorcycle_other_journeys_by_percentage[#Headers],0),0)/100</f>
        <v>4.8249999999999994E-2</v>
      </c>
      <c r="G1076" s="13">
        <f t="shared" si="81"/>
        <v>166146901.18710071</v>
      </c>
      <c r="H1076" s="89">
        <f>VLOOKUP(D1076,Average_Distance_by_kilometre_grouping_for_mode_type[#All],MATCH(A1076,Average_Distance_by_kilometre_grouping_for_mode_type[#Headers],0),0)</f>
        <v>7</v>
      </c>
      <c r="I1076" s="89">
        <f>VLOOKUP(D1076,Average_Distance_by_kilometres_grouping_for_trip_purpose[#All],MATCH(A1076,Average_Distance_by_kilometres_grouping_for_trip_purpose[#Headers],0),0)</f>
        <v>7</v>
      </c>
      <c r="J1076" s="89">
        <f t="shared" si="82"/>
        <v>7</v>
      </c>
      <c r="K1076" s="89">
        <f t="shared" si="83"/>
        <v>0.1328651418809908</v>
      </c>
      <c r="L1076" s="89">
        <v>1</v>
      </c>
      <c r="M1076" s="13">
        <f t="shared" si="84"/>
        <v>22075131.599311095</v>
      </c>
      <c r="N1076" s="11">
        <f t="shared" si="85"/>
        <v>3.9269693230586125E-4</v>
      </c>
    </row>
    <row r="1077" spans="1:14" x14ac:dyDescent="0.25">
      <c r="A1077" s="79" t="s">
        <v>33</v>
      </c>
      <c r="B1077" s="89" t="s">
        <v>90</v>
      </c>
      <c r="C1077" s="89" t="s">
        <v>243</v>
      </c>
      <c r="D1077" s="13" t="s">
        <v>1</v>
      </c>
      <c r="E1077" s="35">
        <f>VLOOKUP(B1077, Passenger_Kilometre_by_mode_type[#All],MATCH(A1077, Passenger_Kilometre_by_mode_type[#Headers],0),0)</f>
        <v>3443459091.9606371</v>
      </c>
      <c r="F1077" s="89">
        <f>VLOOKUP(C1077, Reason_for_lorry_motorcycle_other_journeys_by_percentage[#All],MATCH(A1077, Reason_for_lorry_motorcycle_other_journeys_by_percentage[#Headers],0),0)/100</f>
        <v>4.8249999999999994E-2</v>
      </c>
      <c r="G1077" s="13">
        <f t="shared" si="81"/>
        <v>166146901.18710071</v>
      </c>
      <c r="H1077" s="89">
        <f>VLOOKUP(D1077,Average_Distance_by_kilometre_grouping_for_mode_type[#All],MATCH(A1077,Average_Distance_by_kilometre_grouping_for_mode_type[#Headers],0),0)</f>
        <v>35.22</v>
      </c>
      <c r="I1077" s="89">
        <f>VLOOKUP(D1077,Average_Distance_by_kilometres_grouping_for_trip_purpose[#All],MATCH(A1077,Average_Distance_by_kilometres_grouping_for_trip_purpose[#Headers],0),0)</f>
        <v>38.15</v>
      </c>
      <c r="J1077" s="89">
        <f t="shared" si="82"/>
        <v>36.685000000000002</v>
      </c>
      <c r="K1077" s="89">
        <f t="shared" si="83"/>
        <v>0.69630824712916395</v>
      </c>
      <c r="L1077" s="89">
        <v>1</v>
      </c>
      <c r="M1077" s="13">
        <f t="shared" si="84"/>
        <v>115689457.5315325</v>
      </c>
      <c r="N1077" s="11">
        <f t="shared" si="85"/>
        <v>2.0580124230915029E-3</v>
      </c>
    </row>
    <row r="1078" spans="1:14" x14ac:dyDescent="0.25">
      <c r="A1078" s="79" t="s">
        <v>33</v>
      </c>
      <c r="B1078" s="89" t="s">
        <v>90</v>
      </c>
      <c r="C1078" s="89" t="s">
        <v>50</v>
      </c>
      <c r="D1078" s="13" t="s">
        <v>12</v>
      </c>
      <c r="E1078" s="35">
        <f>VLOOKUP(B1078, Passenger_Kilometre_by_mode_type[#All],MATCH(A1078, Passenger_Kilometre_by_mode_type[#Headers],0),0)</f>
        <v>3443459091.9606371</v>
      </c>
      <c r="F1078" s="89">
        <f>VLOOKUP(C1078, Reason_for_lorry_motorcycle_other_journeys_by_percentage[#All],MATCH(A1078, Reason_for_lorry_motorcycle_other_journeys_by_percentage[#Headers],0),0)/100</f>
        <v>6.0749999999999998E-2</v>
      </c>
      <c r="G1078" s="13">
        <f t="shared" si="81"/>
        <v>209190139.83660871</v>
      </c>
      <c r="H1078" s="89">
        <f>VLOOKUP(D1078,Average_Distance_by_kilometre_grouping_for_mode_type[#All],MATCH(A1078,Average_Distance_by_kilometre_grouping_for_mode_type[#Headers],0),0)</f>
        <v>1</v>
      </c>
      <c r="I1078" s="89">
        <f>VLOOKUP(D1078,Average_Distance_by_kilometres_grouping_for_trip_purpose[#All],MATCH(A1078,Average_Distance_by_kilometres_grouping_for_trip_purpose[#Headers],0),0)</f>
        <v>1</v>
      </c>
      <c r="J1078" s="89">
        <f t="shared" si="82"/>
        <v>1</v>
      </c>
      <c r="K1078" s="89">
        <f t="shared" si="83"/>
        <v>1.8980734554427257E-2</v>
      </c>
      <c r="L1078" s="89">
        <v>1</v>
      </c>
      <c r="M1078" s="13">
        <f t="shared" si="84"/>
        <v>3970582.5156421885</v>
      </c>
      <c r="N1078" s="11">
        <f t="shared" si="85"/>
        <v>7.0633126980254842E-5</v>
      </c>
    </row>
    <row r="1079" spans="1:14" x14ac:dyDescent="0.25">
      <c r="A1079" s="79" t="s">
        <v>33</v>
      </c>
      <c r="B1079" s="89" t="s">
        <v>90</v>
      </c>
      <c r="C1079" s="89" t="s">
        <v>50</v>
      </c>
      <c r="D1079" s="13" t="s">
        <v>181</v>
      </c>
      <c r="E1079" s="35">
        <f>VLOOKUP(B1079, Passenger_Kilometre_by_mode_type[#All],MATCH(A1079, Passenger_Kilometre_by_mode_type[#Headers],0),0)</f>
        <v>3443459091.9606371</v>
      </c>
      <c r="F1079" s="89">
        <f>VLOOKUP(C1079, Reason_for_lorry_motorcycle_other_journeys_by_percentage[#All],MATCH(A1079, Reason_for_lorry_motorcycle_other_journeys_by_percentage[#Headers],0),0)/100</f>
        <v>6.0749999999999998E-2</v>
      </c>
      <c r="G1079" s="13">
        <f t="shared" si="81"/>
        <v>209190139.83660871</v>
      </c>
      <c r="H1079" s="89">
        <f>VLOOKUP(D1079,Average_Distance_by_kilometre_grouping_for_mode_type[#All],MATCH(A1079,Average_Distance_by_kilometre_grouping_for_mode_type[#Headers],0),0)</f>
        <v>3</v>
      </c>
      <c r="I1079" s="89">
        <f>VLOOKUP(D1079,Average_Distance_by_kilometres_grouping_for_trip_purpose[#All],MATCH(A1079,Average_Distance_by_kilometres_grouping_for_trip_purpose[#Headers],0),0)</f>
        <v>3</v>
      </c>
      <c r="J1079" s="89">
        <f t="shared" si="82"/>
        <v>3</v>
      </c>
      <c r="K1079" s="89">
        <f t="shared" si="83"/>
        <v>5.6942203663281767E-2</v>
      </c>
      <c r="L1079" s="89">
        <v>1</v>
      </c>
      <c r="M1079" s="13">
        <f t="shared" si="84"/>
        <v>11911747.546926565</v>
      </c>
      <c r="N1079" s="11">
        <f t="shared" si="85"/>
        <v>2.1189938094076454E-4</v>
      </c>
    </row>
    <row r="1080" spans="1:14" x14ac:dyDescent="0.25">
      <c r="A1080" s="79" t="s">
        <v>33</v>
      </c>
      <c r="B1080" s="89" t="s">
        <v>90</v>
      </c>
      <c r="C1080" s="89" t="s">
        <v>50</v>
      </c>
      <c r="D1080" s="13" t="s">
        <v>180</v>
      </c>
      <c r="E1080" s="35">
        <f>VLOOKUP(B1080, Passenger_Kilometre_by_mode_type[#All],MATCH(A1080, Passenger_Kilometre_by_mode_type[#Headers],0),0)</f>
        <v>3443459091.9606371</v>
      </c>
      <c r="F1080" s="89">
        <f>VLOOKUP(C1080, Reason_for_lorry_motorcycle_other_journeys_by_percentage[#All],MATCH(A1080, Reason_for_lorry_motorcycle_other_journeys_by_percentage[#Headers],0),0)/100</f>
        <v>6.0749999999999998E-2</v>
      </c>
      <c r="G1080" s="13">
        <f t="shared" si="81"/>
        <v>209190139.83660871</v>
      </c>
      <c r="H1080" s="89">
        <f>VLOOKUP(D1080,Average_Distance_by_kilometre_grouping_for_mode_type[#All],MATCH(A1080,Average_Distance_by_kilometre_grouping_for_mode_type[#Headers],0),0)</f>
        <v>5</v>
      </c>
      <c r="I1080" s="89">
        <f>VLOOKUP(D1080,Average_Distance_by_kilometres_grouping_for_trip_purpose[#All],MATCH(A1080,Average_Distance_by_kilometres_grouping_for_trip_purpose[#Headers],0),0)</f>
        <v>5</v>
      </c>
      <c r="J1080" s="89">
        <f t="shared" si="82"/>
        <v>5</v>
      </c>
      <c r="K1080" s="89">
        <f t="shared" si="83"/>
        <v>9.490367277213628E-2</v>
      </c>
      <c r="L1080" s="89">
        <v>1</v>
      </c>
      <c r="M1080" s="13">
        <f t="shared" si="84"/>
        <v>19852912.578210942</v>
      </c>
      <c r="N1080" s="11">
        <f t="shared" si="85"/>
        <v>3.5316563490127425E-4</v>
      </c>
    </row>
    <row r="1081" spans="1:14" x14ac:dyDescent="0.25">
      <c r="A1081" s="79" t="s">
        <v>33</v>
      </c>
      <c r="B1081" s="89" t="s">
        <v>90</v>
      </c>
      <c r="C1081" s="89" t="s">
        <v>50</v>
      </c>
      <c r="D1081" s="13" t="s">
        <v>182</v>
      </c>
      <c r="E1081" s="35">
        <f>VLOOKUP(B1081, Passenger_Kilometre_by_mode_type[#All],MATCH(A1081, Passenger_Kilometre_by_mode_type[#Headers],0),0)</f>
        <v>3443459091.9606371</v>
      </c>
      <c r="F1081" s="89">
        <f>VLOOKUP(C1081, Reason_for_lorry_motorcycle_other_journeys_by_percentage[#All],MATCH(A1081, Reason_for_lorry_motorcycle_other_journeys_by_percentage[#Headers],0),0)/100</f>
        <v>6.0749999999999998E-2</v>
      </c>
      <c r="G1081" s="13">
        <f t="shared" si="81"/>
        <v>209190139.83660871</v>
      </c>
      <c r="H1081" s="89">
        <f>VLOOKUP(D1081,Average_Distance_by_kilometre_grouping_for_mode_type[#All],MATCH(A1081,Average_Distance_by_kilometre_grouping_for_mode_type[#Headers],0),0)</f>
        <v>7</v>
      </c>
      <c r="I1081" s="89">
        <f>VLOOKUP(D1081,Average_Distance_by_kilometres_grouping_for_trip_purpose[#All],MATCH(A1081,Average_Distance_by_kilometres_grouping_for_trip_purpose[#Headers],0),0)</f>
        <v>7</v>
      </c>
      <c r="J1081" s="89">
        <f t="shared" si="82"/>
        <v>7</v>
      </c>
      <c r="K1081" s="89">
        <f t="shared" si="83"/>
        <v>0.1328651418809908</v>
      </c>
      <c r="L1081" s="89">
        <v>1</v>
      </c>
      <c r="M1081" s="13">
        <f t="shared" si="84"/>
        <v>27794077.609495323</v>
      </c>
      <c r="N1081" s="11">
        <f t="shared" si="85"/>
        <v>4.9443188886178402E-4</v>
      </c>
    </row>
    <row r="1082" spans="1:14" x14ac:dyDescent="0.25">
      <c r="A1082" s="79" t="s">
        <v>33</v>
      </c>
      <c r="B1082" s="89" t="s">
        <v>90</v>
      </c>
      <c r="C1082" s="89" t="s">
        <v>50</v>
      </c>
      <c r="D1082" s="13" t="s">
        <v>1</v>
      </c>
      <c r="E1082" s="35">
        <f>VLOOKUP(B1082, Passenger_Kilometre_by_mode_type[#All],MATCH(A1082, Passenger_Kilometre_by_mode_type[#Headers],0),0)</f>
        <v>3443459091.9606371</v>
      </c>
      <c r="F1082" s="89">
        <f>VLOOKUP(C1082, Reason_for_lorry_motorcycle_other_journeys_by_percentage[#All],MATCH(A1082, Reason_for_lorry_motorcycle_other_journeys_by_percentage[#Headers],0),0)/100</f>
        <v>6.0749999999999998E-2</v>
      </c>
      <c r="G1082" s="13">
        <f t="shared" si="81"/>
        <v>209190139.83660871</v>
      </c>
      <c r="H1082" s="89">
        <f>VLOOKUP(D1082,Average_Distance_by_kilometre_grouping_for_mode_type[#All],MATCH(A1082,Average_Distance_by_kilometre_grouping_for_mode_type[#Headers],0),0)</f>
        <v>35.22</v>
      </c>
      <c r="I1082" s="89">
        <f>VLOOKUP(D1082,Average_Distance_by_kilometres_grouping_for_trip_purpose[#All],MATCH(A1082,Average_Distance_by_kilometres_grouping_for_trip_purpose[#Headers],0),0)</f>
        <v>38.15</v>
      </c>
      <c r="J1082" s="89">
        <f t="shared" si="82"/>
        <v>36.685000000000002</v>
      </c>
      <c r="K1082" s="89">
        <f t="shared" si="83"/>
        <v>0.69630824712916395</v>
      </c>
      <c r="L1082" s="89">
        <v>1</v>
      </c>
      <c r="M1082" s="13">
        <f t="shared" si="84"/>
        <v>145660819.58633369</v>
      </c>
      <c r="N1082" s="11">
        <f t="shared" si="85"/>
        <v>2.5911762632706494E-3</v>
      </c>
    </row>
    <row r="1083" spans="1:14" s="169" customFormat="1" x14ac:dyDescent="0.25">
      <c r="A1083" s="168" t="s">
        <v>34</v>
      </c>
      <c r="B1083" s="169" t="s">
        <v>5</v>
      </c>
      <c r="C1083" s="169" t="s">
        <v>42</v>
      </c>
      <c r="D1083" s="170" t="s">
        <v>12</v>
      </c>
      <c r="E1083" s="171">
        <f>VLOOKUP(B1083, Passenger_Kilometre_by_mode_type[#All],MATCH(A1083, Passenger_Kilometre_by_mode_type[#Headers],0),0)</f>
        <v>41379942945.20134</v>
      </c>
      <c r="F1083" s="169">
        <f>VLOOKUP(C1083, Reason_for_car_journeys_by_percentage[#All],MATCH(A1083, Reason_for_car_journeys_by_percentage[#Headers],0),0)/100</f>
        <v>0.25243932949712289</v>
      </c>
      <c r="G1083" s="170">
        <f t="shared" si="81"/>
        <v>10445925051.715826</v>
      </c>
      <c r="H1083" s="169">
        <f>VLOOKUP(D1083,Average_Distance_by_kilometre_grouping_for_mode_type[#All],MATCH(A1083,Average_Distance_by_kilometre_grouping_for_mode_type[#Headers],0),0)</f>
        <v>1</v>
      </c>
      <c r="I1083" s="169">
        <f>VLOOKUP(D1083,Average_Distance_by_kilometres_grouping_for_trip_purpose[#All],MATCH(A1083,Average_Distance_by_kilometres_grouping_for_trip_purpose[#Headers],0),0)</f>
        <v>1</v>
      </c>
      <c r="J1083" s="169">
        <f t="shared" si="82"/>
        <v>1</v>
      </c>
      <c r="K1083" s="169">
        <f t="shared" si="83"/>
        <v>1.763046544428773E-2</v>
      </c>
      <c r="L1083" s="169">
        <v>1</v>
      </c>
      <c r="M1083" s="170">
        <f t="shared" si="84"/>
        <v>184166520.65789539</v>
      </c>
      <c r="N1083" s="169">
        <f>M1083/SUM($M$1083:$M$1442)</f>
        <v>3.1826328153346213E-3</v>
      </c>
    </row>
    <row r="1084" spans="1:14" x14ac:dyDescent="0.25">
      <c r="A1084" s="79" t="s">
        <v>34</v>
      </c>
      <c r="B1084" s="89" t="s">
        <v>5</v>
      </c>
      <c r="C1084" s="89" t="s">
        <v>42</v>
      </c>
      <c r="D1084" s="13" t="s">
        <v>181</v>
      </c>
      <c r="E1084" s="35">
        <f>VLOOKUP(B1084, Passenger_Kilometre_by_mode_type[#All],MATCH(A1084, Passenger_Kilometre_by_mode_type[#Headers],0),0)</f>
        <v>41379942945.20134</v>
      </c>
      <c r="F1084" s="89">
        <f>VLOOKUP(C1084, Reason_for_car_journeys_by_percentage[#All],MATCH(A1084, Reason_for_car_journeys_by_percentage[#Headers],0),0)/100</f>
        <v>0.25243932949712289</v>
      </c>
      <c r="G1084" s="13">
        <f t="shared" si="81"/>
        <v>10445925051.715826</v>
      </c>
      <c r="H1084" s="89">
        <f>VLOOKUP(D1084,Average_Distance_by_kilometre_grouping_for_mode_type[#All],MATCH(A1084,Average_Distance_by_kilometre_grouping_for_mode_type[#Headers],0),0)</f>
        <v>3</v>
      </c>
      <c r="I1084" s="89">
        <f>VLOOKUP(D1084,Average_Distance_by_kilometres_grouping_for_trip_purpose[#All],MATCH(A1084,Average_Distance_by_kilometres_grouping_for_trip_purpose[#Headers],0),0)</f>
        <v>3</v>
      </c>
      <c r="J1084" s="89">
        <f t="shared" si="82"/>
        <v>3</v>
      </c>
      <c r="K1084" s="89">
        <f t="shared" si="83"/>
        <v>5.2891396332863189E-2</v>
      </c>
      <c r="L1084" s="89">
        <v>1</v>
      </c>
      <c r="M1084" s="13">
        <f t="shared" si="84"/>
        <v>552499561.9736861</v>
      </c>
      <c r="N1084" s="11">
        <f t="shared" ref="N1084:N1147" si="86">M1084/SUM($M$1083:$M$1442)</f>
        <v>9.5478984460038632E-3</v>
      </c>
    </row>
    <row r="1085" spans="1:14" x14ac:dyDescent="0.25">
      <c r="A1085" s="79" t="s">
        <v>34</v>
      </c>
      <c r="B1085" s="89" t="s">
        <v>5</v>
      </c>
      <c r="C1085" s="89" t="s">
        <v>42</v>
      </c>
      <c r="D1085" s="13" t="s">
        <v>180</v>
      </c>
      <c r="E1085" s="35">
        <f>VLOOKUP(B1085, Passenger_Kilometre_by_mode_type[#All],MATCH(A1085, Passenger_Kilometre_by_mode_type[#Headers],0),0)</f>
        <v>41379942945.20134</v>
      </c>
      <c r="F1085" s="89">
        <f>VLOOKUP(C1085, Reason_for_car_journeys_by_percentage[#All],MATCH(A1085, Reason_for_car_journeys_by_percentage[#Headers],0),0)/100</f>
        <v>0.25243932949712289</v>
      </c>
      <c r="G1085" s="13">
        <f t="shared" si="81"/>
        <v>10445925051.715826</v>
      </c>
      <c r="H1085" s="89">
        <f>VLOOKUP(D1085,Average_Distance_by_kilometre_grouping_for_mode_type[#All],MATCH(A1085,Average_Distance_by_kilometre_grouping_for_mode_type[#Headers],0),0)</f>
        <v>5</v>
      </c>
      <c r="I1085" s="89">
        <f>VLOOKUP(D1085,Average_Distance_by_kilometres_grouping_for_trip_purpose[#All],MATCH(A1085,Average_Distance_by_kilometres_grouping_for_trip_purpose[#Headers],0),0)</f>
        <v>5</v>
      </c>
      <c r="J1085" s="89">
        <f t="shared" si="82"/>
        <v>5</v>
      </c>
      <c r="K1085" s="89">
        <f t="shared" si="83"/>
        <v>8.8152327221438648E-2</v>
      </c>
      <c r="L1085" s="89">
        <v>1</v>
      </c>
      <c r="M1085" s="13">
        <f t="shared" si="84"/>
        <v>920832603.28947687</v>
      </c>
      <c r="N1085" s="11">
        <f t="shared" si="86"/>
        <v>1.5913164076673106E-2</v>
      </c>
    </row>
    <row r="1086" spans="1:14" x14ac:dyDescent="0.25">
      <c r="A1086" s="79" t="s">
        <v>34</v>
      </c>
      <c r="B1086" s="89" t="s">
        <v>5</v>
      </c>
      <c r="C1086" s="89" t="s">
        <v>42</v>
      </c>
      <c r="D1086" s="13" t="s">
        <v>182</v>
      </c>
      <c r="E1086" s="35">
        <f>VLOOKUP(B1086, Passenger_Kilometre_by_mode_type[#All],MATCH(A1086, Passenger_Kilometre_by_mode_type[#Headers],0),0)</f>
        <v>41379942945.20134</v>
      </c>
      <c r="F1086" s="89">
        <f>VLOOKUP(C1086, Reason_for_car_journeys_by_percentage[#All],MATCH(A1086, Reason_for_car_journeys_by_percentage[#Headers],0),0)/100</f>
        <v>0.25243932949712289</v>
      </c>
      <c r="G1086" s="13">
        <f t="shared" si="81"/>
        <v>10445925051.715826</v>
      </c>
      <c r="H1086" s="89">
        <f>VLOOKUP(D1086,Average_Distance_by_kilometre_grouping_for_mode_type[#All],MATCH(A1086,Average_Distance_by_kilometre_grouping_for_mode_type[#Headers],0),0)</f>
        <v>7</v>
      </c>
      <c r="I1086" s="89">
        <f>VLOOKUP(D1086,Average_Distance_by_kilometres_grouping_for_trip_purpose[#All],MATCH(A1086,Average_Distance_by_kilometres_grouping_for_trip_purpose[#Headers],0),0)</f>
        <v>7</v>
      </c>
      <c r="J1086" s="89">
        <f t="shared" si="82"/>
        <v>7</v>
      </c>
      <c r="K1086" s="89">
        <f t="shared" si="83"/>
        <v>0.12341325811001411</v>
      </c>
      <c r="L1086" s="89">
        <v>1</v>
      </c>
      <c r="M1086" s="13">
        <f t="shared" si="84"/>
        <v>1289165644.6052678</v>
      </c>
      <c r="N1086" s="11">
        <f t="shared" si="86"/>
        <v>2.227842970734235E-2</v>
      </c>
    </row>
    <row r="1087" spans="1:14" x14ac:dyDescent="0.25">
      <c r="A1087" s="79" t="s">
        <v>34</v>
      </c>
      <c r="B1087" s="89" t="s">
        <v>5</v>
      </c>
      <c r="C1087" s="89" t="s">
        <v>42</v>
      </c>
      <c r="D1087" s="13" t="s">
        <v>1</v>
      </c>
      <c r="E1087" s="35">
        <f>VLOOKUP(B1087, Passenger_Kilometre_by_mode_type[#All],MATCH(A1087, Passenger_Kilometre_by_mode_type[#Headers],0),0)</f>
        <v>41379942945.20134</v>
      </c>
      <c r="F1087" s="89">
        <f>VLOOKUP(C1087, Reason_for_car_journeys_by_percentage[#All],MATCH(A1087, Reason_for_car_journeys_by_percentage[#Headers],0),0)/100</f>
        <v>0.25243932949712289</v>
      </c>
      <c r="G1087" s="13">
        <f t="shared" si="81"/>
        <v>10445925051.715826</v>
      </c>
      <c r="H1087" s="89">
        <f>VLOOKUP(D1087,Average_Distance_by_kilometre_grouping_for_mode_type[#All],MATCH(A1087,Average_Distance_by_kilometre_grouping_for_mode_type[#Headers],0),0)</f>
        <v>38.99</v>
      </c>
      <c r="I1087" s="89">
        <f>VLOOKUP(D1087,Average_Distance_by_kilometres_grouping_for_trip_purpose[#All],MATCH(A1087,Average_Distance_by_kilometres_grouping_for_trip_purpose[#Headers],0),0)</f>
        <v>42.45</v>
      </c>
      <c r="J1087" s="89">
        <f t="shared" si="82"/>
        <v>40.72</v>
      </c>
      <c r="K1087" s="89">
        <f t="shared" si="83"/>
        <v>0.71791255289139633</v>
      </c>
      <c r="L1087" s="89">
        <v>1</v>
      </c>
      <c r="M1087" s="13">
        <f t="shared" si="84"/>
        <v>7499260721.1894999</v>
      </c>
      <c r="N1087" s="11">
        <f t="shared" si="86"/>
        <v>0.12959680824042577</v>
      </c>
    </row>
    <row r="1088" spans="1:14" x14ac:dyDescent="0.25">
      <c r="A1088" s="79" t="s">
        <v>34</v>
      </c>
      <c r="B1088" s="89" t="s">
        <v>5</v>
      </c>
      <c r="C1088" s="89" t="s">
        <v>43</v>
      </c>
      <c r="D1088" s="13" t="s">
        <v>12</v>
      </c>
      <c r="E1088" s="35">
        <f>VLOOKUP(B1088, Passenger_Kilometre_by_mode_type[#All],MATCH(A1088, Passenger_Kilometre_by_mode_type[#Headers],0),0)</f>
        <v>41379942945.20134</v>
      </c>
      <c r="F1088" s="89">
        <f>VLOOKUP(C1088, Reason_for_car_journeys_by_percentage[#All],MATCH(A1088, Reason_for_car_journeys_by_percentage[#Headers],0),0)/100</f>
        <v>3.1523642732049037E-2</v>
      </c>
      <c r="G1088" s="13">
        <f t="shared" si="81"/>
        <v>1304446537.6770999</v>
      </c>
      <c r="H1088" s="89">
        <f>VLOOKUP(D1088,Average_Distance_by_kilometre_grouping_for_mode_type[#All],MATCH(A1088,Average_Distance_by_kilometre_grouping_for_mode_type[#Headers],0),0)</f>
        <v>1</v>
      </c>
      <c r="I1088" s="89">
        <f>VLOOKUP(D1088,Average_Distance_by_kilometres_grouping_for_trip_purpose[#All],MATCH(A1088,Average_Distance_by_kilometres_grouping_for_trip_purpose[#Headers],0),0)</f>
        <v>1</v>
      </c>
      <c r="J1088" s="89">
        <f t="shared" si="82"/>
        <v>1</v>
      </c>
      <c r="K1088" s="89">
        <f t="shared" si="83"/>
        <v>1.763046544428773E-2</v>
      </c>
      <c r="L1088" s="89">
        <v>1</v>
      </c>
      <c r="M1088" s="13">
        <f t="shared" si="84"/>
        <v>22997999.606436882</v>
      </c>
      <c r="N1088" s="11">
        <f t="shared" si="86"/>
        <v>3.9743482134010129E-4</v>
      </c>
    </row>
    <row r="1089" spans="1:14" x14ac:dyDescent="0.25">
      <c r="A1089" s="79" t="s">
        <v>34</v>
      </c>
      <c r="B1089" s="89" t="s">
        <v>5</v>
      </c>
      <c r="C1089" s="89" t="s">
        <v>43</v>
      </c>
      <c r="D1089" s="13" t="s">
        <v>181</v>
      </c>
      <c r="E1089" s="35">
        <f>VLOOKUP(B1089, Passenger_Kilometre_by_mode_type[#All],MATCH(A1089, Passenger_Kilometre_by_mode_type[#Headers],0),0)</f>
        <v>41379942945.20134</v>
      </c>
      <c r="F1089" s="89">
        <f>VLOOKUP(C1089, Reason_for_car_journeys_by_percentage[#All],MATCH(A1089, Reason_for_car_journeys_by_percentage[#Headers],0),0)/100</f>
        <v>3.1523642732049037E-2</v>
      </c>
      <c r="G1089" s="13">
        <f t="shared" si="81"/>
        <v>1304446537.6770999</v>
      </c>
      <c r="H1089" s="89">
        <f>VLOOKUP(D1089,Average_Distance_by_kilometre_grouping_for_mode_type[#All],MATCH(A1089,Average_Distance_by_kilometre_grouping_for_mode_type[#Headers],0),0)</f>
        <v>3</v>
      </c>
      <c r="I1089" s="89">
        <f>VLOOKUP(D1089,Average_Distance_by_kilometres_grouping_for_trip_purpose[#All],MATCH(A1089,Average_Distance_by_kilometres_grouping_for_trip_purpose[#Headers],0),0)</f>
        <v>3</v>
      </c>
      <c r="J1089" s="89">
        <f t="shared" si="82"/>
        <v>3</v>
      </c>
      <c r="K1089" s="89">
        <f t="shared" si="83"/>
        <v>5.2891396332863189E-2</v>
      </c>
      <c r="L1089" s="89">
        <v>1</v>
      </c>
      <c r="M1089" s="13">
        <f t="shared" si="84"/>
        <v>68993998.81931065</v>
      </c>
      <c r="N1089" s="11">
        <f t="shared" si="86"/>
        <v>1.1923044640203041E-3</v>
      </c>
    </row>
    <row r="1090" spans="1:14" x14ac:dyDescent="0.25">
      <c r="A1090" s="79" t="s">
        <v>34</v>
      </c>
      <c r="B1090" s="89" t="s">
        <v>5</v>
      </c>
      <c r="C1090" s="89" t="s">
        <v>43</v>
      </c>
      <c r="D1090" s="13" t="s">
        <v>180</v>
      </c>
      <c r="E1090" s="35">
        <f>VLOOKUP(B1090, Passenger_Kilometre_by_mode_type[#All],MATCH(A1090, Passenger_Kilometre_by_mode_type[#Headers],0),0)</f>
        <v>41379942945.20134</v>
      </c>
      <c r="F1090" s="89">
        <f>VLOOKUP(C1090, Reason_for_car_journeys_by_percentage[#All],MATCH(A1090, Reason_for_car_journeys_by_percentage[#Headers],0),0)/100</f>
        <v>3.1523642732049037E-2</v>
      </c>
      <c r="G1090" s="13">
        <f t="shared" si="81"/>
        <v>1304446537.6770999</v>
      </c>
      <c r="H1090" s="89">
        <f>VLOOKUP(D1090,Average_Distance_by_kilometre_grouping_for_mode_type[#All],MATCH(A1090,Average_Distance_by_kilometre_grouping_for_mode_type[#Headers],0),0)</f>
        <v>5</v>
      </c>
      <c r="I1090" s="89">
        <f>VLOOKUP(D1090,Average_Distance_by_kilometres_grouping_for_trip_purpose[#All],MATCH(A1090,Average_Distance_by_kilometres_grouping_for_trip_purpose[#Headers],0),0)</f>
        <v>5</v>
      </c>
      <c r="J1090" s="89">
        <f t="shared" si="82"/>
        <v>5</v>
      </c>
      <c r="K1090" s="89">
        <f t="shared" si="83"/>
        <v>8.8152327221438648E-2</v>
      </c>
      <c r="L1090" s="89">
        <v>1</v>
      </c>
      <c r="M1090" s="13">
        <f t="shared" si="84"/>
        <v>114989998.03218441</v>
      </c>
      <c r="N1090" s="11">
        <f t="shared" si="86"/>
        <v>1.9871741067005065E-3</v>
      </c>
    </row>
    <row r="1091" spans="1:14" x14ac:dyDescent="0.25">
      <c r="A1091" s="79" t="s">
        <v>34</v>
      </c>
      <c r="B1091" s="89" t="s">
        <v>5</v>
      </c>
      <c r="C1091" s="89" t="s">
        <v>43</v>
      </c>
      <c r="D1091" s="13" t="s">
        <v>182</v>
      </c>
      <c r="E1091" s="35">
        <f>VLOOKUP(B1091, Passenger_Kilometre_by_mode_type[#All],MATCH(A1091, Passenger_Kilometre_by_mode_type[#Headers],0),0)</f>
        <v>41379942945.20134</v>
      </c>
      <c r="F1091" s="89">
        <f>VLOOKUP(C1091, Reason_for_car_journeys_by_percentage[#All],MATCH(A1091, Reason_for_car_journeys_by_percentage[#Headers],0),0)/100</f>
        <v>3.1523642732049037E-2</v>
      </c>
      <c r="G1091" s="13">
        <f t="shared" si="81"/>
        <v>1304446537.6770999</v>
      </c>
      <c r="H1091" s="89">
        <f>VLOOKUP(D1091,Average_Distance_by_kilometre_grouping_for_mode_type[#All],MATCH(A1091,Average_Distance_by_kilometre_grouping_for_mode_type[#Headers],0),0)</f>
        <v>7</v>
      </c>
      <c r="I1091" s="89">
        <f>VLOOKUP(D1091,Average_Distance_by_kilometres_grouping_for_trip_purpose[#All],MATCH(A1091,Average_Distance_by_kilometres_grouping_for_trip_purpose[#Headers],0),0)</f>
        <v>7</v>
      </c>
      <c r="J1091" s="89">
        <f t="shared" si="82"/>
        <v>7</v>
      </c>
      <c r="K1091" s="89">
        <f t="shared" si="83"/>
        <v>0.12341325811001411</v>
      </c>
      <c r="L1091" s="89">
        <v>1</v>
      </c>
      <c r="M1091" s="13">
        <f t="shared" si="84"/>
        <v>160985997.24505818</v>
      </c>
      <c r="N1091" s="11">
        <f t="shared" si="86"/>
        <v>2.7820437493807095E-3</v>
      </c>
    </row>
    <row r="1092" spans="1:14" x14ac:dyDescent="0.25">
      <c r="A1092" s="79" t="s">
        <v>34</v>
      </c>
      <c r="B1092" s="89" t="s">
        <v>5</v>
      </c>
      <c r="C1092" s="89" t="s">
        <v>43</v>
      </c>
      <c r="D1092" s="13" t="s">
        <v>1</v>
      </c>
      <c r="E1092" s="35">
        <f>VLOOKUP(B1092, Passenger_Kilometre_by_mode_type[#All],MATCH(A1092, Passenger_Kilometre_by_mode_type[#Headers],0),0)</f>
        <v>41379942945.20134</v>
      </c>
      <c r="F1092" s="89">
        <f>VLOOKUP(C1092, Reason_for_car_journeys_by_percentage[#All],MATCH(A1092, Reason_for_car_journeys_by_percentage[#Headers],0),0)/100</f>
        <v>3.1523642732049037E-2</v>
      </c>
      <c r="G1092" s="13">
        <f t="shared" ref="G1092:G1155" si="87">E1092*F1092</f>
        <v>1304446537.6770999</v>
      </c>
      <c r="H1092" s="89">
        <f>VLOOKUP(D1092,Average_Distance_by_kilometre_grouping_for_mode_type[#All],MATCH(A1092,Average_Distance_by_kilometre_grouping_for_mode_type[#Headers],0),0)</f>
        <v>38.99</v>
      </c>
      <c r="I1092" s="89">
        <f>VLOOKUP(D1092,Average_Distance_by_kilometres_grouping_for_trip_purpose[#All],MATCH(A1092,Average_Distance_by_kilometres_grouping_for_trip_purpose[#Headers],0),0)</f>
        <v>42.45</v>
      </c>
      <c r="J1092" s="89">
        <f t="shared" ref="J1092:J1155" si="88">AVERAGE(H1092:I1092)</f>
        <v>40.72</v>
      </c>
      <c r="K1092" s="89">
        <f t="shared" ref="K1092:K1155" si="89">J1092/SUM(J1092:J1096)</f>
        <v>0.71791255289139633</v>
      </c>
      <c r="L1092" s="89">
        <v>1</v>
      </c>
      <c r="M1092" s="13">
        <f t="shared" ref="M1092:M1155" si="90">G1092*K1092*L1092</f>
        <v>936478543.97410977</v>
      </c>
      <c r="N1092" s="11">
        <f t="shared" si="86"/>
        <v>1.6183545924968925E-2</v>
      </c>
    </row>
    <row r="1093" spans="1:14" x14ac:dyDescent="0.25">
      <c r="A1093" s="79" t="s">
        <v>34</v>
      </c>
      <c r="B1093" s="89" t="s">
        <v>5</v>
      </c>
      <c r="C1093" s="89" t="s">
        <v>44</v>
      </c>
      <c r="D1093" s="13" t="s">
        <v>12</v>
      </c>
      <c r="E1093" s="35">
        <f>VLOOKUP(B1093, Passenger_Kilometre_by_mode_type[#All],MATCH(A1093, Passenger_Kilometre_by_mode_type[#Headers],0),0)</f>
        <v>41379942945.20134</v>
      </c>
      <c r="F1093" s="89">
        <f>VLOOKUP(C1093, Reason_for_car_journeys_by_percentage[#All],MATCH(A1093, Reason_for_car_journeys_by_percentage[#Headers],0),0)/100</f>
        <v>0.2416812609457093</v>
      </c>
      <c r="G1093" s="13">
        <f t="shared" si="87"/>
        <v>10000756788.857767</v>
      </c>
      <c r="H1093" s="89">
        <f>VLOOKUP(D1093,Average_Distance_by_kilometre_grouping_for_mode_type[#All],MATCH(A1093,Average_Distance_by_kilometre_grouping_for_mode_type[#Headers],0),0)</f>
        <v>1</v>
      </c>
      <c r="I1093" s="89">
        <f>VLOOKUP(D1093,Average_Distance_by_kilometres_grouping_for_trip_purpose[#All],MATCH(A1093,Average_Distance_by_kilometres_grouping_for_trip_purpose[#Headers],0),0)</f>
        <v>1</v>
      </c>
      <c r="J1093" s="89">
        <f t="shared" si="88"/>
        <v>1</v>
      </c>
      <c r="K1093" s="89">
        <f t="shared" si="89"/>
        <v>1.763046544428773E-2</v>
      </c>
      <c r="L1093" s="89">
        <v>1</v>
      </c>
      <c r="M1093" s="13">
        <f t="shared" si="90"/>
        <v>176317996.98268279</v>
      </c>
      <c r="N1093" s="11">
        <f t="shared" si="86"/>
        <v>3.0470002969407773E-3</v>
      </c>
    </row>
    <row r="1094" spans="1:14" x14ac:dyDescent="0.25">
      <c r="A1094" s="79" t="s">
        <v>34</v>
      </c>
      <c r="B1094" s="89" t="s">
        <v>5</v>
      </c>
      <c r="C1094" s="89" t="s">
        <v>44</v>
      </c>
      <c r="D1094" s="13" t="s">
        <v>181</v>
      </c>
      <c r="E1094" s="35">
        <f>VLOOKUP(B1094, Passenger_Kilometre_by_mode_type[#All],MATCH(A1094, Passenger_Kilometre_by_mode_type[#Headers],0),0)</f>
        <v>41379942945.20134</v>
      </c>
      <c r="F1094" s="89">
        <f>VLOOKUP(C1094, Reason_for_car_journeys_by_percentage[#All],MATCH(A1094, Reason_for_car_journeys_by_percentage[#Headers],0),0)/100</f>
        <v>0.2416812609457093</v>
      </c>
      <c r="G1094" s="13">
        <f t="shared" si="87"/>
        <v>10000756788.857767</v>
      </c>
      <c r="H1094" s="89">
        <f>VLOOKUP(D1094,Average_Distance_by_kilometre_grouping_for_mode_type[#All],MATCH(A1094,Average_Distance_by_kilometre_grouping_for_mode_type[#Headers],0),0)</f>
        <v>3</v>
      </c>
      <c r="I1094" s="89">
        <f>VLOOKUP(D1094,Average_Distance_by_kilometres_grouping_for_trip_purpose[#All],MATCH(A1094,Average_Distance_by_kilometres_grouping_for_trip_purpose[#Headers],0),0)</f>
        <v>3</v>
      </c>
      <c r="J1094" s="89">
        <f t="shared" si="88"/>
        <v>3</v>
      </c>
      <c r="K1094" s="89">
        <f t="shared" si="89"/>
        <v>5.2891396332863189E-2</v>
      </c>
      <c r="L1094" s="89">
        <v>1</v>
      </c>
      <c r="M1094" s="13">
        <f t="shared" si="90"/>
        <v>528953990.94804835</v>
      </c>
      <c r="N1094" s="11">
        <f t="shared" si="86"/>
        <v>9.1410008908223307E-3</v>
      </c>
    </row>
    <row r="1095" spans="1:14" x14ac:dyDescent="0.25">
      <c r="A1095" s="79" t="s">
        <v>34</v>
      </c>
      <c r="B1095" s="89" t="s">
        <v>5</v>
      </c>
      <c r="C1095" s="89" t="s">
        <v>44</v>
      </c>
      <c r="D1095" s="13" t="s">
        <v>180</v>
      </c>
      <c r="E1095" s="35">
        <f>VLOOKUP(B1095, Passenger_Kilometre_by_mode_type[#All],MATCH(A1095, Passenger_Kilometre_by_mode_type[#Headers],0),0)</f>
        <v>41379942945.20134</v>
      </c>
      <c r="F1095" s="89">
        <f>VLOOKUP(C1095, Reason_for_car_journeys_by_percentage[#All],MATCH(A1095, Reason_for_car_journeys_by_percentage[#Headers],0),0)/100</f>
        <v>0.2416812609457093</v>
      </c>
      <c r="G1095" s="13">
        <f t="shared" si="87"/>
        <v>10000756788.857767</v>
      </c>
      <c r="H1095" s="89">
        <f>VLOOKUP(D1095,Average_Distance_by_kilometre_grouping_for_mode_type[#All],MATCH(A1095,Average_Distance_by_kilometre_grouping_for_mode_type[#Headers],0),0)</f>
        <v>5</v>
      </c>
      <c r="I1095" s="89">
        <f>VLOOKUP(D1095,Average_Distance_by_kilometres_grouping_for_trip_purpose[#All],MATCH(A1095,Average_Distance_by_kilometres_grouping_for_trip_purpose[#Headers],0),0)</f>
        <v>5</v>
      </c>
      <c r="J1095" s="89">
        <f t="shared" si="88"/>
        <v>5</v>
      </c>
      <c r="K1095" s="89">
        <f t="shared" si="89"/>
        <v>8.8152327221438648E-2</v>
      </c>
      <c r="L1095" s="89">
        <v>1</v>
      </c>
      <c r="M1095" s="13">
        <f t="shared" si="90"/>
        <v>881589984.91341388</v>
      </c>
      <c r="N1095" s="11">
        <f t="shared" si="86"/>
        <v>1.5235001484703884E-2</v>
      </c>
    </row>
    <row r="1096" spans="1:14" x14ac:dyDescent="0.25">
      <c r="A1096" s="79" t="s">
        <v>34</v>
      </c>
      <c r="B1096" s="89" t="s">
        <v>5</v>
      </c>
      <c r="C1096" s="89" t="s">
        <v>44</v>
      </c>
      <c r="D1096" s="13" t="s">
        <v>182</v>
      </c>
      <c r="E1096" s="35">
        <f>VLOOKUP(B1096, Passenger_Kilometre_by_mode_type[#All],MATCH(A1096, Passenger_Kilometre_by_mode_type[#Headers],0),0)</f>
        <v>41379942945.20134</v>
      </c>
      <c r="F1096" s="89">
        <f>VLOOKUP(C1096, Reason_for_car_journeys_by_percentage[#All],MATCH(A1096, Reason_for_car_journeys_by_percentage[#Headers],0),0)/100</f>
        <v>0.2416812609457093</v>
      </c>
      <c r="G1096" s="13">
        <f t="shared" si="87"/>
        <v>10000756788.857767</v>
      </c>
      <c r="H1096" s="89">
        <f>VLOOKUP(D1096,Average_Distance_by_kilometre_grouping_for_mode_type[#All],MATCH(A1096,Average_Distance_by_kilometre_grouping_for_mode_type[#Headers],0),0)</f>
        <v>7</v>
      </c>
      <c r="I1096" s="89">
        <f>VLOOKUP(D1096,Average_Distance_by_kilometres_grouping_for_trip_purpose[#All],MATCH(A1096,Average_Distance_by_kilometres_grouping_for_trip_purpose[#Headers],0),0)</f>
        <v>7</v>
      </c>
      <c r="J1096" s="89">
        <f t="shared" si="88"/>
        <v>7</v>
      </c>
      <c r="K1096" s="89">
        <f t="shared" si="89"/>
        <v>0.12341325811001411</v>
      </c>
      <c r="L1096" s="89">
        <v>1</v>
      </c>
      <c r="M1096" s="13">
        <f t="shared" si="90"/>
        <v>1234225978.8787794</v>
      </c>
      <c r="N1096" s="11">
        <f t="shared" si="86"/>
        <v>2.132900207858544E-2</v>
      </c>
    </row>
    <row r="1097" spans="1:14" x14ac:dyDescent="0.25">
      <c r="A1097" s="79" t="s">
        <v>34</v>
      </c>
      <c r="B1097" s="89" t="s">
        <v>5</v>
      </c>
      <c r="C1097" s="89" t="s">
        <v>44</v>
      </c>
      <c r="D1097" s="13" t="s">
        <v>1</v>
      </c>
      <c r="E1097" s="35">
        <f>VLOOKUP(B1097, Passenger_Kilometre_by_mode_type[#All],MATCH(A1097, Passenger_Kilometre_by_mode_type[#Headers],0),0)</f>
        <v>41379942945.20134</v>
      </c>
      <c r="F1097" s="89">
        <f>VLOOKUP(C1097, Reason_for_car_journeys_by_percentage[#All],MATCH(A1097, Reason_for_car_journeys_by_percentage[#Headers],0),0)/100</f>
        <v>0.2416812609457093</v>
      </c>
      <c r="G1097" s="13">
        <f t="shared" si="87"/>
        <v>10000756788.857767</v>
      </c>
      <c r="H1097" s="89">
        <f>VLOOKUP(D1097,Average_Distance_by_kilometre_grouping_for_mode_type[#All],MATCH(A1097,Average_Distance_by_kilometre_grouping_for_mode_type[#Headers],0),0)</f>
        <v>38.99</v>
      </c>
      <c r="I1097" s="89">
        <f>VLOOKUP(D1097,Average_Distance_by_kilometres_grouping_for_trip_purpose[#All],MATCH(A1097,Average_Distance_by_kilometres_grouping_for_trip_purpose[#Headers],0),0)</f>
        <v>42.45</v>
      </c>
      <c r="J1097" s="89">
        <f t="shared" si="88"/>
        <v>40.72</v>
      </c>
      <c r="K1097" s="89">
        <f t="shared" si="89"/>
        <v>0.71791255289139633</v>
      </c>
      <c r="L1097" s="89">
        <v>1</v>
      </c>
      <c r="M1097" s="13">
        <f t="shared" si="90"/>
        <v>7179668837.1348429</v>
      </c>
      <c r="N1097" s="11">
        <f t="shared" si="86"/>
        <v>0.12407385209142845</v>
      </c>
    </row>
    <row r="1098" spans="1:14" x14ac:dyDescent="0.25">
      <c r="A1098" s="79" t="s">
        <v>34</v>
      </c>
      <c r="B1098" s="89" t="s">
        <v>5</v>
      </c>
      <c r="C1098" s="89" t="s">
        <v>45</v>
      </c>
      <c r="D1098" s="13" t="s">
        <v>12</v>
      </c>
      <c r="E1098" s="35">
        <f>VLOOKUP(B1098, Passenger_Kilometre_by_mode_type[#All],MATCH(A1098, Passenger_Kilometre_by_mode_type[#Headers],0),0)</f>
        <v>41379942945.20134</v>
      </c>
      <c r="F1098" s="89">
        <f>VLOOKUP(C1098, Reason_for_car_journeys_by_percentage[#All],MATCH(A1098, Reason_for_car_journeys_by_percentage[#Headers],0),0)/100</f>
        <v>1.3009757317988493E-2</v>
      </c>
      <c r="G1098" s="13">
        <f t="shared" si="87"/>
        <v>538343015.54927945</v>
      </c>
      <c r="H1098" s="89">
        <f>VLOOKUP(D1098,Average_Distance_by_kilometre_grouping_for_mode_type[#All],MATCH(A1098,Average_Distance_by_kilometre_grouping_for_mode_type[#Headers],0),0)</f>
        <v>1</v>
      </c>
      <c r="I1098" s="89">
        <f>VLOOKUP(D1098,Average_Distance_by_kilometres_grouping_for_trip_purpose[#All],MATCH(A1098,Average_Distance_by_kilometres_grouping_for_trip_purpose[#Headers],0),0)</f>
        <v>1</v>
      </c>
      <c r="J1098" s="89">
        <f t="shared" si="88"/>
        <v>1</v>
      </c>
      <c r="K1098" s="89">
        <f t="shared" si="89"/>
        <v>1.763046544428773E-2</v>
      </c>
      <c r="L1098" s="89">
        <v>1</v>
      </c>
      <c r="M1098" s="13">
        <f t="shared" si="90"/>
        <v>9491237.9328152239</v>
      </c>
      <c r="N1098" s="11">
        <f t="shared" si="86"/>
        <v>1.6402071991813711E-4</v>
      </c>
    </row>
    <row r="1099" spans="1:14" x14ac:dyDescent="0.25">
      <c r="A1099" s="79" t="s">
        <v>34</v>
      </c>
      <c r="B1099" s="89" t="s">
        <v>5</v>
      </c>
      <c r="C1099" s="89" t="s">
        <v>45</v>
      </c>
      <c r="D1099" s="13" t="s">
        <v>181</v>
      </c>
      <c r="E1099" s="35">
        <f>VLOOKUP(B1099, Passenger_Kilometre_by_mode_type[#All],MATCH(A1099, Passenger_Kilometre_by_mode_type[#Headers],0),0)</f>
        <v>41379942945.20134</v>
      </c>
      <c r="F1099" s="89">
        <f>VLOOKUP(C1099, Reason_for_car_journeys_by_percentage[#All],MATCH(A1099, Reason_for_car_journeys_by_percentage[#Headers],0),0)/100</f>
        <v>1.3009757317988493E-2</v>
      </c>
      <c r="G1099" s="13">
        <f t="shared" si="87"/>
        <v>538343015.54927945</v>
      </c>
      <c r="H1099" s="89">
        <f>VLOOKUP(D1099,Average_Distance_by_kilometre_grouping_for_mode_type[#All],MATCH(A1099,Average_Distance_by_kilometre_grouping_for_mode_type[#Headers],0),0)</f>
        <v>3</v>
      </c>
      <c r="I1099" s="89">
        <f>VLOOKUP(D1099,Average_Distance_by_kilometres_grouping_for_trip_purpose[#All],MATCH(A1099,Average_Distance_by_kilometres_grouping_for_trip_purpose[#Headers],0),0)</f>
        <v>3</v>
      </c>
      <c r="J1099" s="89">
        <f t="shared" si="88"/>
        <v>3</v>
      </c>
      <c r="K1099" s="89">
        <f t="shared" si="89"/>
        <v>5.2891396332863189E-2</v>
      </c>
      <c r="L1099" s="89">
        <v>1</v>
      </c>
      <c r="M1099" s="13">
        <f t="shared" si="90"/>
        <v>28473713.798445668</v>
      </c>
      <c r="N1099" s="11">
        <f t="shared" si="86"/>
        <v>4.9206215975441123E-4</v>
      </c>
    </row>
    <row r="1100" spans="1:14" x14ac:dyDescent="0.25">
      <c r="A1100" s="79" t="s">
        <v>34</v>
      </c>
      <c r="B1100" s="89" t="s">
        <v>5</v>
      </c>
      <c r="C1100" s="89" t="s">
        <v>45</v>
      </c>
      <c r="D1100" s="13" t="s">
        <v>180</v>
      </c>
      <c r="E1100" s="35">
        <f>VLOOKUP(B1100, Passenger_Kilometre_by_mode_type[#All],MATCH(A1100, Passenger_Kilometre_by_mode_type[#Headers],0),0)</f>
        <v>41379942945.20134</v>
      </c>
      <c r="F1100" s="89">
        <f>VLOOKUP(C1100, Reason_for_car_journeys_by_percentage[#All],MATCH(A1100, Reason_for_car_journeys_by_percentage[#Headers],0),0)/100</f>
        <v>1.3009757317988493E-2</v>
      </c>
      <c r="G1100" s="13">
        <f t="shared" si="87"/>
        <v>538343015.54927945</v>
      </c>
      <c r="H1100" s="89">
        <f>VLOOKUP(D1100,Average_Distance_by_kilometre_grouping_for_mode_type[#All],MATCH(A1100,Average_Distance_by_kilometre_grouping_for_mode_type[#Headers],0),0)</f>
        <v>5</v>
      </c>
      <c r="I1100" s="89">
        <f>VLOOKUP(D1100,Average_Distance_by_kilometres_grouping_for_trip_purpose[#All],MATCH(A1100,Average_Distance_by_kilometres_grouping_for_trip_purpose[#Headers],0),0)</f>
        <v>5</v>
      </c>
      <c r="J1100" s="89">
        <f t="shared" si="88"/>
        <v>5</v>
      </c>
      <c r="K1100" s="89">
        <f t="shared" si="89"/>
        <v>8.8152327221438648E-2</v>
      </c>
      <c r="L1100" s="89">
        <v>1</v>
      </c>
      <c r="M1100" s="13">
        <f t="shared" si="90"/>
        <v>47456189.66407612</v>
      </c>
      <c r="N1100" s="11">
        <f t="shared" si="86"/>
        <v>8.2010359959068546E-4</v>
      </c>
    </row>
    <row r="1101" spans="1:14" x14ac:dyDescent="0.25">
      <c r="A1101" s="79" t="s">
        <v>34</v>
      </c>
      <c r="B1101" s="89" t="s">
        <v>5</v>
      </c>
      <c r="C1101" s="89" t="s">
        <v>45</v>
      </c>
      <c r="D1101" s="13" t="s">
        <v>182</v>
      </c>
      <c r="E1101" s="35">
        <f>VLOOKUP(B1101, Passenger_Kilometre_by_mode_type[#All],MATCH(A1101, Passenger_Kilometre_by_mode_type[#Headers],0),0)</f>
        <v>41379942945.20134</v>
      </c>
      <c r="F1101" s="89">
        <f>VLOOKUP(C1101, Reason_for_car_journeys_by_percentage[#All],MATCH(A1101, Reason_for_car_journeys_by_percentage[#Headers],0),0)/100</f>
        <v>1.3009757317988493E-2</v>
      </c>
      <c r="G1101" s="13">
        <f t="shared" si="87"/>
        <v>538343015.54927945</v>
      </c>
      <c r="H1101" s="89">
        <f>VLOOKUP(D1101,Average_Distance_by_kilometre_grouping_for_mode_type[#All],MATCH(A1101,Average_Distance_by_kilometre_grouping_for_mode_type[#Headers],0),0)</f>
        <v>7</v>
      </c>
      <c r="I1101" s="89">
        <f>VLOOKUP(D1101,Average_Distance_by_kilometres_grouping_for_trip_purpose[#All],MATCH(A1101,Average_Distance_by_kilometres_grouping_for_trip_purpose[#Headers],0),0)</f>
        <v>7</v>
      </c>
      <c r="J1101" s="89">
        <f t="shared" si="88"/>
        <v>7</v>
      </c>
      <c r="K1101" s="89">
        <f t="shared" si="89"/>
        <v>0.12341325811001411</v>
      </c>
      <c r="L1101" s="89">
        <v>1</v>
      </c>
      <c r="M1101" s="13">
        <f t="shared" si="90"/>
        <v>66438665.52970656</v>
      </c>
      <c r="N1101" s="11">
        <f t="shared" si="86"/>
        <v>1.1481450394269595E-3</v>
      </c>
    </row>
    <row r="1102" spans="1:14" x14ac:dyDescent="0.25">
      <c r="A1102" s="79" t="s">
        <v>34</v>
      </c>
      <c r="B1102" s="89" t="s">
        <v>5</v>
      </c>
      <c r="C1102" s="89" t="s">
        <v>45</v>
      </c>
      <c r="D1102" s="13" t="s">
        <v>1</v>
      </c>
      <c r="E1102" s="35">
        <f>VLOOKUP(B1102, Passenger_Kilometre_by_mode_type[#All],MATCH(A1102, Passenger_Kilometre_by_mode_type[#Headers],0),0)</f>
        <v>41379942945.20134</v>
      </c>
      <c r="F1102" s="89">
        <f>VLOOKUP(C1102, Reason_for_car_journeys_by_percentage[#All],MATCH(A1102, Reason_for_car_journeys_by_percentage[#Headers],0),0)/100</f>
        <v>1.3009757317988493E-2</v>
      </c>
      <c r="G1102" s="13">
        <f t="shared" si="87"/>
        <v>538343015.54927945</v>
      </c>
      <c r="H1102" s="89">
        <f>VLOOKUP(D1102,Average_Distance_by_kilometre_grouping_for_mode_type[#All],MATCH(A1102,Average_Distance_by_kilometre_grouping_for_mode_type[#Headers],0),0)</f>
        <v>38.99</v>
      </c>
      <c r="I1102" s="89">
        <f>VLOOKUP(D1102,Average_Distance_by_kilometres_grouping_for_trip_purpose[#All],MATCH(A1102,Average_Distance_by_kilometres_grouping_for_trip_purpose[#Headers],0),0)</f>
        <v>42.45</v>
      </c>
      <c r="J1102" s="89">
        <f t="shared" si="88"/>
        <v>40.72</v>
      </c>
      <c r="K1102" s="89">
        <f t="shared" si="89"/>
        <v>0.71791255289139633</v>
      </c>
      <c r="L1102" s="89">
        <v>1</v>
      </c>
      <c r="M1102" s="13">
        <f t="shared" si="90"/>
        <v>386483208.62423587</v>
      </c>
      <c r="N1102" s="11">
        <f t="shared" si="86"/>
        <v>6.6789237150665422E-3</v>
      </c>
    </row>
    <row r="1103" spans="1:14" x14ac:dyDescent="0.25">
      <c r="A1103" s="79" t="s">
        <v>34</v>
      </c>
      <c r="B1103" s="89" t="s">
        <v>5</v>
      </c>
      <c r="C1103" s="89" t="s">
        <v>56</v>
      </c>
      <c r="D1103" s="13" t="s">
        <v>12</v>
      </c>
      <c r="E1103" s="35">
        <f>VLOOKUP(B1103, Passenger_Kilometre_by_mode_type[#All],MATCH(A1103, Passenger_Kilometre_by_mode_type[#Headers],0),0)</f>
        <v>41379942945.20134</v>
      </c>
      <c r="F1103" s="89">
        <f>VLOOKUP(C1103, Reason_for_car_journeys_by_percentage[#All],MATCH(A1103, Reason_for_car_journeys_by_percentage[#Headers],0),0)/100</f>
        <v>0.11508631473605202</v>
      </c>
      <c r="G1103" s="13">
        <f t="shared" si="87"/>
        <v>4762265137.5513172</v>
      </c>
      <c r="H1103" s="89">
        <f>VLOOKUP(D1103,Average_Distance_by_kilometre_grouping_for_mode_type[#All],MATCH(A1103,Average_Distance_by_kilometre_grouping_for_mode_type[#Headers],0),0)</f>
        <v>1</v>
      </c>
      <c r="I1103" s="89">
        <f>VLOOKUP(D1103,Average_Distance_by_kilometres_grouping_for_trip_purpose[#All],MATCH(A1103,Average_Distance_by_kilometres_grouping_for_trip_purpose[#Headers],0),0)</f>
        <v>1</v>
      </c>
      <c r="J1103" s="89">
        <f t="shared" si="88"/>
        <v>1</v>
      </c>
      <c r="K1103" s="89">
        <f t="shared" si="89"/>
        <v>1.763046544428773E-2</v>
      </c>
      <c r="L1103" s="89">
        <v>1</v>
      </c>
      <c r="M1103" s="13">
        <f t="shared" si="90"/>
        <v>83960950.944134653</v>
      </c>
      <c r="N1103" s="11">
        <f t="shared" si="86"/>
        <v>1.4509525223527508E-3</v>
      </c>
    </row>
    <row r="1104" spans="1:14" x14ac:dyDescent="0.25">
      <c r="A1104" s="79" t="s">
        <v>34</v>
      </c>
      <c r="B1104" s="89" t="s">
        <v>5</v>
      </c>
      <c r="C1104" s="89" t="s">
        <v>56</v>
      </c>
      <c r="D1104" s="13" t="s">
        <v>181</v>
      </c>
      <c r="E1104" s="35">
        <f>VLOOKUP(B1104, Passenger_Kilometre_by_mode_type[#All],MATCH(A1104, Passenger_Kilometre_by_mode_type[#Headers],0),0)</f>
        <v>41379942945.20134</v>
      </c>
      <c r="F1104" s="89">
        <f>VLOOKUP(C1104, Reason_for_car_journeys_by_percentage[#All],MATCH(A1104, Reason_for_car_journeys_by_percentage[#Headers],0),0)/100</f>
        <v>0.11508631473605202</v>
      </c>
      <c r="G1104" s="13">
        <f t="shared" si="87"/>
        <v>4762265137.5513172</v>
      </c>
      <c r="H1104" s="89">
        <f>VLOOKUP(D1104,Average_Distance_by_kilometre_grouping_for_mode_type[#All],MATCH(A1104,Average_Distance_by_kilometre_grouping_for_mode_type[#Headers],0),0)</f>
        <v>3</v>
      </c>
      <c r="I1104" s="89">
        <f>VLOOKUP(D1104,Average_Distance_by_kilometres_grouping_for_trip_purpose[#All],MATCH(A1104,Average_Distance_by_kilometres_grouping_for_trip_purpose[#Headers],0),0)</f>
        <v>3</v>
      </c>
      <c r="J1104" s="89">
        <f t="shared" si="88"/>
        <v>3</v>
      </c>
      <c r="K1104" s="89">
        <f t="shared" si="89"/>
        <v>5.2891396332863189E-2</v>
      </c>
      <c r="L1104" s="89">
        <v>1</v>
      </c>
      <c r="M1104" s="13">
        <f t="shared" si="90"/>
        <v>251882852.83240396</v>
      </c>
      <c r="N1104" s="11">
        <f t="shared" si="86"/>
        <v>4.3528575670582527E-3</v>
      </c>
    </row>
    <row r="1105" spans="1:14" x14ac:dyDescent="0.25">
      <c r="A1105" s="79" t="s">
        <v>34</v>
      </c>
      <c r="B1105" s="89" t="s">
        <v>5</v>
      </c>
      <c r="C1105" s="89" t="s">
        <v>56</v>
      </c>
      <c r="D1105" s="13" t="s">
        <v>180</v>
      </c>
      <c r="E1105" s="35">
        <f>VLOOKUP(B1105, Passenger_Kilometre_by_mode_type[#All],MATCH(A1105, Passenger_Kilometre_by_mode_type[#Headers],0),0)</f>
        <v>41379942945.20134</v>
      </c>
      <c r="F1105" s="89">
        <f>VLOOKUP(C1105, Reason_for_car_journeys_by_percentage[#All],MATCH(A1105, Reason_for_car_journeys_by_percentage[#Headers],0),0)/100</f>
        <v>0.11508631473605202</v>
      </c>
      <c r="G1105" s="13">
        <f t="shared" si="87"/>
        <v>4762265137.5513172</v>
      </c>
      <c r="H1105" s="89">
        <f>VLOOKUP(D1105,Average_Distance_by_kilometre_grouping_for_mode_type[#All],MATCH(A1105,Average_Distance_by_kilometre_grouping_for_mode_type[#Headers],0),0)</f>
        <v>5</v>
      </c>
      <c r="I1105" s="89">
        <f>VLOOKUP(D1105,Average_Distance_by_kilometres_grouping_for_trip_purpose[#All],MATCH(A1105,Average_Distance_by_kilometres_grouping_for_trip_purpose[#Headers],0),0)</f>
        <v>5</v>
      </c>
      <c r="J1105" s="89">
        <f t="shared" si="88"/>
        <v>5</v>
      </c>
      <c r="K1105" s="89">
        <f t="shared" si="89"/>
        <v>8.8152327221438648E-2</v>
      </c>
      <c r="L1105" s="89">
        <v>1</v>
      </c>
      <c r="M1105" s="13">
        <f t="shared" si="90"/>
        <v>419804754.72067326</v>
      </c>
      <c r="N1105" s="11">
        <f t="shared" si="86"/>
        <v>7.2547626117637548E-3</v>
      </c>
    </row>
    <row r="1106" spans="1:14" x14ac:dyDescent="0.25">
      <c r="A1106" s="79" t="s">
        <v>34</v>
      </c>
      <c r="B1106" s="89" t="s">
        <v>5</v>
      </c>
      <c r="C1106" s="89" t="s">
        <v>56</v>
      </c>
      <c r="D1106" s="13" t="s">
        <v>182</v>
      </c>
      <c r="E1106" s="35">
        <f>VLOOKUP(B1106, Passenger_Kilometre_by_mode_type[#All],MATCH(A1106, Passenger_Kilometre_by_mode_type[#Headers],0),0)</f>
        <v>41379942945.20134</v>
      </c>
      <c r="F1106" s="89">
        <f>VLOOKUP(C1106, Reason_for_car_journeys_by_percentage[#All],MATCH(A1106, Reason_for_car_journeys_by_percentage[#Headers],0),0)/100</f>
        <v>0.11508631473605202</v>
      </c>
      <c r="G1106" s="13">
        <f t="shared" si="87"/>
        <v>4762265137.5513172</v>
      </c>
      <c r="H1106" s="89">
        <f>VLOOKUP(D1106,Average_Distance_by_kilometre_grouping_for_mode_type[#All],MATCH(A1106,Average_Distance_by_kilometre_grouping_for_mode_type[#Headers],0),0)</f>
        <v>7</v>
      </c>
      <c r="I1106" s="89">
        <f>VLOOKUP(D1106,Average_Distance_by_kilometres_grouping_for_trip_purpose[#All],MATCH(A1106,Average_Distance_by_kilometres_grouping_for_trip_purpose[#Headers],0),0)</f>
        <v>7</v>
      </c>
      <c r="J1106" s="89">
        <f t="shared" si="88"/>
        <v>7</v>
      </c>
      <c r="K1106" s="89">
        <f t="shared" si="89"/>
        <v>0.12341325811001411</v>
      </c>
      <c r="L1106" s="89">
        <v>1</v>
      </c>
      <c r="M1106" s="13">
        <f t="shared" si="90"/>
        <v>587726656.60894251</v>
      </c>
      <c r="N1106" s="11">
        <f t="shared" si="86"/>
        <v>1.0156667656469255E-2</v>
      </c>
    </row>
    <row r="1107" spans="1:14" x14ac:dyDescent="0.25">
      <c r="A1107" s="79" t="s">
        <v>34</v>
      </c>
      <c r="B1107" s="89" t="s">
        <v>5</v>
      </c>
      <c r="C1107" s="89" t="s">
        <v>56</v>
      </c>
      <c r="D1107" s="13" t="s">
        <v>1</v>
      </c>
      <c r="E1107" s="35">
        <f>VLOOKUP(B1107, Passenger_Kilometre_by_mode_type[#All],MATCH(A1107, Passenger_Kilometre_by_mode_type[#Headers],0),0)</f>
        <v>41379942945.20134</v>
      </c>
      <c r="F1107" s="89">
        <f>VLOOKUP(C1107, Reason_for_car_journeys_by_percentage[#All],MATCH(A1107, Reason_for_car_journeys_by_percentage[#Headers],0),0)/100</f>
        <v>0.11508631473605202</v>
      </c>
      <c r="G1107" s="13">
        <f t="shared" si="87"/>
        <v>4762265137.5513172</v>
      </c>
      <c r="H1107" s="89">
        <f>VLOOKUP(D1107,Average_Distance_by_kilometre_grouping_for_mode_type[#All],MATCH(A1107,Average_Distance_by_kilometre_grouping_for_mode_type[#Headers],0),0)</f>
        <v>38.99</v>
      </c>
      <c r="I1107" s="89">
        <f>VLOOKUP(D1107,Average_Distance_by_kilometres_grouping_for_trip_purpose[#All],MATCH(A1107,Average_Distance_by_kilometres_grouping_for_trip_purpose[#Headers],0),0)</f>
        <v>42.45</v>
      </c>
      <c r="J1107" s="89">
        <f t="shared" si="88"/>
        <v>40.72</v>
      </c>
      <c r="K1107" s="89">
        <f t="shared" si="89"/>
        <v>0.71791255289139633</v>
      </c>
      <c r="L1107" s="89">
        <v>1</v>
      </c>
      <c r="M1107" s="13">
        <f t="shared" si="90"/>
        <v>3418889922.4451628</v>
      </c>
      <c r="N1107" s="11">
        <f t="shared" si="86"/>
        <v>5.9082786710204012E-2</v>
      </c>
    </row>
    <row r="1108" spans="1:14" x14ac:dyDescent="0.25">
      <c r="A1108" s="79" t="s">
        <v>34</v>
      </c>
      <c r="B1108" s="89" t="s">
        <v>5</v>
      </c>
      <c r="C1108" s="89" t="s">
        <v>57</v>
      </c>
      <c r="D1108" s="13" t="s">
        <v>12</v>
      </c>
      <c r="E1108" s="35">
        <f>VLOOKUP(B1108, Passenger_Kilometre_by_mode_type[#All],MATCH(A1108, Passenger_Kilometre_by_mode_type[#Headers],0),0)</f>
        <v>41379942945.20134</v>
      </c>
      <c r="F1108" s="89">
        <f>VLOOKUP(C1108, Reason_for_car_journeys_by_percentage[#All],MATCH(A1108, Reason_for_car_journeys_by_percentage[#Headers],0),0)/100</f>
        <v>8.3812859644733548E-2</v>
      </c>
      <c r="G1108" s="13">
        <f t="shared" si="87"/>
        <v>3468171350.1732421</v>
      </c>
      <c r="H1108" s="89">
        <f>VLOOKUP(D1108,Average_Distance_by_kilometre_grouping_for_mode_type[#All],MATCH(A1108,Average_Distance_by_kilometre_grouping_for_mode_type[#Headers],0),0)</f>
        <v>1</v>
      </c>
      <c r="I1108" s="89">
        <f>VLOOKUP(D1108,Average_Distance_by_kilometres_grouping_for_trip_purpose[#All],MATCH(A1108,Average_Distance_by_kilometres_grouping_for_trip_purpose[#Headers],0),0)</f>
        <v>1</v>
      </c>
      <c r="J1108" s="89">
        <f t="shared" si="88"/>
        <v>1</v>
      </c>
      <c r="K1108" s="89">
        <f t="shared" si="89"/>
        <v>1.763046544428773E-2</v>
      </c>
      <c r="L1108" s="89">
        <v>1</v>
      </c>
      <c r="M1108" s="13">
        <f t="shared" si="90"/>
        <v>61145475.144098066</v>
      </c>
      <c r="N1108" s="11">
        <f t="shared" si="86"/>
        <v>1.0566719456264599E-3</v>
      </c>
    </row>
    <row r="1109" spans="1:14" x14ac:dyDescent="0.25">
      <c r="A1109" s="79" t="s">
        <v>34</v>
      </c>
      <c r="B1109" s="89" t="s">
        <v>5</v>
      </c>
      <c r="C1109" s="89" t="s">
        <v>57</v>
      </c>
      <c r="D1109" s="13" t="s">
        <v>181</v>
      </c>
      <c r="E1109" s="35">
        <f>VLOOKUP(B1109, Passenger_Kilometre_by_mode_type[#All],MATCH(A1109, Passenger_Kilometre_by_mode_type[#Headers],0),0)</f>
        <v>41379942945.20134</v>
      </c>
      <c r="F1109" s="89">
        <f>VLOOKUP(C1109, Reason_for_car_journeys_by_percentage[#All],MATCH(A1109, Reason_for_car_journeys_by_percentage[#Headers],0),0)/100</f>
        <v>8.3812859644733548E-2</v>
      </c>
      <c r="G1109" s="13">
        <f t="shared" si="87"/>
        <v>3468171350.1732421</v>
      </c>
      <c r="H1109" s="89">
        <f>VLOOKUP(D1109,Average_Distance_by_kilometre_grouping_for_mode_type[#All],MATCH(A1109,Average_Distance_by_kilometre_grouping_for_mode_type[#Headers],0),0)</f>
        <v>3</v>
      </c>
      <c r="I1109" s="89">
        <f>VLOOKUP(D1109,Average_Distance_by_kilometres_grouping_for_trip_purpose[#All],MATCH(A1109,Average_Distance_by_kilometres_grouping_for_trip_purpose[#Headers],0),0)</f>
        <v>3</v>
      </c>
      <c r="J1109" s="89">
        <f t="shared" si="88"/>
        <v>3</v>
      </c>
      <c r="K1109" s="89">
        <f t="shared" si="89"/>
        <v>5.2891396332863189E-2</v>
      </c>
      <c r="L1109" s="89">
        <v>1</v>
      </c>
      <c r="M1109" s="13">
        <f t="shared" si="90"/>
        <v>183436425.43229419</v>
      </c>
      <c r="N1109" s="11">
        <f t="shared" si="86"/>
        <v>3.1700158368793796E-3</v>
      </c>
    </row>
    <row r="1110" spans="1:14" x14ac:dyDescent="0.25">
      <c r="A1110" s="79" t="s">
        <v>34</v>
      </c>
      <c r="B1110" s="89" t="s">
        <v>5</v>
      </c>
      <c r="C1110" s="89" t="s">
        <v>57</v>
      </c>
      <c r="D1110" s="13" t="s">
        <v>180</v>
      </c>
      <c r="E1110" s="35">
        <f>VLOOKUP(B1110, Passenger_Kilometre_by_mode_type[#All],MATCH(A1110, Passenger_Kilometre_by_mode_type[#Headers],0),0)</f>
        <v>41379942945.20134</v>
      </c>
      <c r="F1110" s="89">
        <f>VLOOKUP(C1110, Reason_for_car_journeys_by_percentage[#All],MATCH(A1110, Reason_for_car_journeys_by_percentage[#Headers],0),0)/100</f>
        <v>8.3812859644733548E-2</v>
      </c>
      <c r="G1110" s="13">
        <f t="shared" si="87"/>
        <v>3468171350.1732421</v>
      </c>
      <c r="H1110" s="89">
        <f>VLOOKUP(D1110,Average_Distance_by_kilometre_grouping_for_mode_type[#All],MATCH(A1110,Average_Distance_by_kilometre_grouping_for_mode_type[#Headers],0),0)</f>
        <v>5</v>
      </c>
      <c r="I1110" s="89">
        <f>VLOOKUP(D1110,Average_Distance_by_kilometres_grouping_for_trip_purpose[#All],MATCH(A1110,Average_Distance_by_kilometres_grouping_for_trip_purpose[#Headers],0),0)</f>
        <v>5</v>
      </c>
      <c r="J1110" s="89">
        <f t="shared" si="88"/>
        <v>5</v>
      </c>
      <c r="K1110" s="89">
        <f t="shared" si="89"/>
        <v>8.8152327221438648E-2</v>
      </c>
      <c r="L1110" s="89">
        <v>1</v>
      </c>
      <c r="M1110" s="13">
        <f t="shared" si="90"/>
        <v>305727375.72049034</v>
      </c>
      <c r="N1110" s="11">
        <f t="shared" si="86"/>
        <v>5.2833597281322997E-3</v>
      </c>
    </row>
    <row r="1111" spans="1:14" x14ac:dyDescent="0.25">
      <c r="A1111" s="79" t="s">
        <v>34</v>
      </c>
      <c r="B1111" s="89" t="s">
        <v>5</v>
      </c>
      <c r="C1111" s="89" t="s">
        <v>57</v>
      </c>
      <c r="D1111" s="13" t="s">
        <v>182</v>
      </c>
      <c r="E1111" s="35">
        <f>VLOOKUP(B1111, Passenger_Kilometre_by_mode_type[#All],MATCH(A1111, Passenger_Kilometre_by_mode_type[#Headers],0),0)</f>
        <v>41379942945.20134</v>
      </c>
      <c r="F1111" s="89">
        <f>VLOOKUP(C1111, Reason_for_car_journeys_by_percentage[#All],MATCH(A1111, Reason_for_car_journeys_by_percentage[#Headers],0),0)/100</f>
        <v>8.3812859644733548E-2</v>
      </c>
      <c r="G1111" s="13">
        <f t="shared" si="87"/>
        <v>3468171350.1732421</v>
      </c>
      <c r="H1111" s="89">
        <f>VLOOKUP(D1111,Average_Distance_by_kilometre_grouping_for_mode_type[#All],MATCH(A1111,Average_Distance_by_kilometre_grouping_for_mode_type[#Headers],0),0)</f>
        <v>7</v>
      </c>
      <c r="I1111" s="89">
        <f>VLOOKUP(D1111,Average_Distance_by_kilometres_grouping_for_trip_purpose[#All],MATCH(A1111,Average_Distance_by_kilometres_grouping_for_trip_purpose[#Headers],0),0)</f>
        <v>7</v>
      </c>
      <c r="J1111" s="89">
        <f t="shared" si="88"/>
        <v>7</v>
      </c>
      <c r="K1111" s="89">
        <f t="shared" si="89"/>
        <v>0.12341325811001411</v>
      </c>
      <c r="L1111" s="89">
        <v>1</v>
      </c>
      <c r="M1111" s="13">
        <f t="shared" si="90"/>
        <v>428018326.00868642</v>
      </c>
      <c r="N1111" s="11">
        <f t="shared" si="86"/>
        <v>7.3967036193852195E-3</v>
      </c>
    </row>
    <row r="1112" spans="1:14" x14ac:dyDescent="0.25">
      <c r="A1112" s="79" t="s">
        <v>34</v>
      </c>
      <c r="B1112" s="89" t="s">
        <v>5</v>
      </c>
      <c r="C1112" s="89" t="s">
        <v>57</v>
      </c>
      <c r="D1112" s="13" t="s">
        <v>1</v>
      </c>
      <c r="E1112" s="35">
        <f>VLOOKUP(B1112, Passenger_Kilometre_by_mode_type[#All],MATCH(A1112, Passenger_Kilometre_by_mode_type[#Headers],0),0)</f>
        <v>41379942945.20134</v>
      </c>
      <c r="F1112" s="89">
        <f>VLOOKUP(C1112, Reason_for_car_journeys_by_percentage[#All],MATCH(A1112, Reason_for_car_journeys_by_percentage[#Headers],0),0)/100</f>
        <v>8.3812859644733548E-2</v>
      </c>
      <c r="G1112" s="13">
        <f t="shared" si="87"/>
        <v>3468171350.1732421</v>
      </c>
      <c r="H1112" s="89">
        <f>VLOOKUP(D1112,Average_Distance_by_kilometre_grouping_for_mode_type[#All],MATCH(A1112,Average_Distance_by_kilometre_grouping_for_mode_type[#Headers],0),0)</f>
        <v>38.99</v>
      </c>
      <c r="I1112" s="89">
        <f>VLOOKUP(D1112,Average_Distance_by_kilometres_grouping_for_trip_purpose[#All],MATCH(A1112,Average_Distance_by_kilometres_grouping_for_trip_purpose[#Headers],0),0)</f>
        <v>42.45</v>
      </c>
      <c r="J1112" s="89">
        <f t="shared" si="88"/>
        <v>40.72</v>
      </c>
      <c r="K1112" s="89">
        <f t="shared" si="89"/>
        <v>0.71791255289139633</v>
      </c>
      <c r="L1112" s="89">
        <v>1</v>
      </c>
      <c r="M1112" s="13">
        <f t="shared" si="90"/>
        <v>2489843747.8676729</v>
      </c>
      <c r="N1112" s="11">
        <f t="shared" si="86"/>
        <v>4.3027681625909447E-2</v>
      </c>
    </row>
    <row r="1113" spans="1:14" x14ac:dyDescent="0.25">
      <c r="A1113" s="79" t="s">
        <v>34</v>
      </c>
      <c r="B1113" s="89" t="s">
        <v>5</v>
      </c>
      <c r="C1113" s="89" t="s">
        <v>93</v>
      </c>
      <c r="D1113" s="13" t="s">
        <v>12</v>
      </c>
      <c r="E1113" s="35">
        <f>VLOOKUP(B1113, Passenger_Kilometre_by_mode_type[#All],MATCH(A1113, Passenger_Kilometre_by_mode_type[#Headers],0),0)</f>
        <v>41379942945.20134</v>
      </c>
      <c r="F1113" s="89">
        <f>VLOOKUP(C1113, Reason_for_car_journeys_by_percentage[#All],MATCH(A1113, Reason_for_car_journeys_by_percentage[#Headers],0),0)/100</f>
        <v>5.4791093319989992E-2</v>
      </c>
      <c r="G1113" s="13">
        <f t="shared" si="87"/>
        <v>2267252315.4863882</v>
      </c>
      <c r="H1113" s="89">
        <f>VLOOKUP(D1113,Average_Distance_by_kilometre_grouping_for_mode_type[#All],MATCH(A1113,Average_Distance_by_kilometre_grouping_for_mode_type[#Headers],0),0)</f>
        <v>1</v>
      </c>
      <c r="I1113" s="89">
        <f>VLOOKUP(D1113,Average_Distance_by_kilometres_grouping_for_trip_purpose[#All],MATCH(A1113,Average_Distance_by_kilometres_grouping_for_trip_purpose[#Headers],0),0)</f>
        <v>1</v>
      </c>
      <c r="J1113" s="89">
        <f t="shared" si="88"/>
        <v>1</v>
      </c>
      <c r="K1113" s="89">
        <f t="shared" si="89"/>
        <v>1.763046544428773E-2</v>
      </c>
      <c r="L1113" s="89">
        <v>1</v>
      </c>
      <c r="M1113" s="13">
        <f t="shared" si="90"/>
        <v>39972713.601664111</v>
      </c>
      <c r="N1113" s="11">
        <f t="shared" si="86"/>
        <v>6.9077957042446188E-4</v>
      </c>
    </row>
    <row r="1114" spans="1:14" x14ac:dyDescent="0.25">
      <c r="A1114" s="79" t="s">
        <v>34</v>
      </c>
      <c r="B1114" s="89" t="s">
        <v>5</v>
      </c>
      <c r="C1114" s="89" t="s">
        <v>93</v>
      </c>
      <c r="D1114" s="13" t="s">
        <v>181</v>
      </c>
      <c r="E1114" s="35">
        <f>VLOOKUP(B1114, Passenger_Kilometre_by_mode_type[#All],MATCH(A1114, Passenger_Kilometre_by_mode_type[#Headers],0),0)</f>
        <v>41379942945.20134</v>
      </c>
      <c r="F1114" s="89">
        <f>VLOOKUP(C1114, Reason_for_car_journeys_by_percentage[#All],MATCH(A1114, Reason_for_car_journeys_by_percentage[#Headers],0),0)/100</f>
        <v>5.4791093319989992E-2</v>
      </c>
      <c r="G1114" s="13">
        <f t="shared" si="87"/>
        <v>2267252315.4863882</v>
      </c>
      <c r="H1114" s="89">
        <f>VLOOKUP(D1114,Average_Distance_by_kilometre_grouping_for_mode_type[#All],MATCH(A1114,Average_Distance_by_kilometre_grouping_for_mode_type[#Headers],0),0)</f>
        <v>3</v>
      </c>
      <c r="I1114" s="89">
        <f>VLOOKUP(D1114,Average_Distance_by_kilometres_grouping_for_trip_purpose[#All],MATCH(A1114,Average_Distance_by_kilometres_grouping_for_trip_purpose[#Headers],0),0)</f>
        <v>3</v>
      </c>
      <c r="J1114" s="89">
        <f t="shared" si="88"/>
        <v>3</v>
      </c>
      <c r="K1114" s="89">
        <f t="shared" si="89"/>
        <v>5.2891396332863189E-2</v>
      </c>
      <c r="L1114" s="89">
        <v>1</v>
      </c>
      <c r="M1114" s="13">
        <f t="shared" si="90"/>
        <v>119918140.80499233</v>
      </c>
      <c r="N1114" s="11">
        <f t="shared" si="86"/>
        <v>2.0723387112733856E-3</v>
      </c>
    </row>
    <row r="1115" spans="1:14" x14ac:dyDescent="0.25">
      <c r="A1115" s="79" t="s">
        <v>34</v>
      </c>
      <c r="B1115" s="89" t="s">
        <v>5</v>
      </c>
      <c r="C1115" s="89" t="s">
        <v>93</v>
      </c>
      <c r="D1115" s="13" t="s">
        <v>180</v>
      </c>
      <c r="E1115" s="35">
        <f>VLOOKUP(B1115, Passenger_Kilometre_by_mode_type[#All],MATCH(A1115, Passenger_Kilometre_by_mode_type[#Headers],0),0)</f>
        <v>41379942945.20134</v>
      </c>
      <c r="F1115" s="89">
        <f>VLOOKUP(C1115, Reason_for_car_journeys_by_percentage[#All],MATCH(A1115, Reason_for_car_journeys_by_percentage[#Headers],0),0)/100</f>
        <v>5.4791093319989992E-2</v>
      </c>
      <c r="G1115" s="13">
        <f t="shared" si="87"/>
        <v>2267252315.4863882</v>
      </c>
      <c r="H1115" s="89">
        <f>VLOOKUP(D1115,Average_Distance_by_kilometre_grouping_for_mode_type[#All],MATCH(A1115,Average_Distance_by_kilometre_grouping_for_mode_type[#Headers],0),0)</f>
        <v>5</v>
      </c>
      <c r="I1115" s="89">
        <f>VLOOKUP(D1115,Average_Distance_by_kilometres_grouping_for_trip_purpose[#All],MATCH(A1115,Average_Distance_by_kilometres_grouping_for_trip_purpose[#Headers],0),0)</f>
        <v>5</v>
      </c>
      <c r="J1115" s="89">
        <f t="shared" si="88"/>
        <v>5</v>
      </c>
      <c r="K1115" s="89">
        <f t="shared" si="89"/>
        <v>8.8152327221438648E-2</v>
      </c>
      <c r="L1115" s="89">
        <v>1</v>
      </c>
      <c r="M1115" s="13">
        <f t="shared" si="90"/>
        <v>199863568.00832054</v>
      </c>
      <c r="N1115" s="11">
        <f t="shared" si="86"/>
        <v>3.4538978521223094E-3</v>
      </c>
    </row>
    <row r="1116" spans="1:14" x14ac:dyDescent="0.25">
      <c r="A1116" s="79" t="s">
        <v>34</v>
      </c>
      <c r="B1116" s="89" t="s">
        <v>5</v>
      </c>
      <c r="C1116" s="89" t="s">
        <v>93</v>
      </c>
      <c r="D1116" s="13" t="s">
        <v>182</v>
      </c>
      <c r="E1116" s="35">
        <f>VLOOKUP(B1116, Passenger_Kilometre_by_mode_type[#All],MATCH(A1116, Passenger_Kilometre_by_mode_type[#Headers],0),0)</f>
        <v>41379942945.20134</v>
      </c>
      <c r="F1116" s="89">
        <f>VLOOKUP(C1116, Reason_for_car_journeys_by_percentage[#All],MATCH(A1116, Reason_for_car_journeys_by_percentage[#Headers],0),0)/100</f>
        <v>5.4791093319989992E-2</v>
      </c>
      <c r="G1116" s="13">
        <f t="shared" si="87"/>
        <v>2267252315.4863882</v>
      </c>
      <c r="H1116" s="89">
        <f>VLOOKUP(D1116,Average_Distance_by_kilometre_grouping_for_mode_type[#All],MATCH(A1116,Average_Distance_by_kilometre_grouping_for_mode_type[#Headers],0),0)</f>
        <v>7</v>
      </c>
      <c r="I1116" s="89">
        <f>VLOOKUP(D1116,Average_Distance_by_kilometres_grouping_for_trip_purpose[#All],MATCH(A1116,Average_Distance_by_kilometres_grouping_for_trip_purpose[#Headers],0),0)</f>
        <v>7</v>
      </c>
      <c r="J1116" s="89">
        <f t="shared" si="88"/>
        <v>7</v>
      </c>
      <c r="K1116" s="89">
        <f t="shared" si="89"/>
        <v>0.12341325811001411</v>
      </c>
      <c r="L1116" s="89">
        <v>1</v>
      </c>
      <c r="M1116" s="13">
        <f t="shared" si="90"/>
        <v>279808995.21164876</v>
      </c>
      <c r="N1116" s="11">
        <f t="shared" si="86"/>
        <v>4.8354569929712331E-3</v>
      </c>
    </row>
    <row r="1117" spans="1:14" x14ac:dyDescent="0.25">
      <c r="A1117" s="79" t="s">
        <v>34</v>
      </c>
      <c r="B1117" s="89" t="s">
        <v>5</v>
      </c>
      <c r="C1117" s="89" t="s">
        <v>93</v>
      </c>
      <c r="D1117" s="13" t="s">
        <v>1</v>
      </c>
      <c r="E1117" s="35">
        <f>VLOOKUP(B1117, Passenger_Kilometre_by_mode_type[#All],MATCH(A1117, Passenger_Kilometre_by_mode_type[#Headers],0),0)</f>
        <v>41379942945.20134</v>
      </c>
      <c r="F1117" s="89">
        <f>VLOOKUP(C1117, Reason_for_car_journeys_by_percentage[#All],MATCH(A1117, Reason_for_car_journeys_by_percentage[#Headers],0),0)/100</f>
        <v>5.4791093319989992E-2</v>
      </c>
      <c r="G1117" s="13">
        <f t="shared" si="87"/>
        <v>2267252315.4863882</v>
      </c>
      <c r="H1117" s="89">
        <f>VLOOKUP(D1117,Average_Distance_by_kilometre_grouping_for_mode_type[#All],MATCH(A1117,Average_Distance_by_kilometre_grouping_for_mode_type[#Headers],0),0)</f>
        <v>38.99</v>
      </c>
      <c r="I1117" s="89">
        <f>VLOOKUP(D1117,Average_Distance_by_kilometres_grouping_for_trip_purpose[#All],MATCH(A1117,Average_Distance_by_kilometres_grouping_for_trip_purpose[#Headers],0),0)</f>
        <v>42.45</v>
      </c>
      <c r="J1117" s="89">
        <f t="shared" si="88"/>
        <v>40.72</v>
      </c>
      <c r="K1117" s="89">
        <f t="shared" si="89"/>
        <v>0.71791255289139633</v>
      </c>
      <c r="L1117" s="89">
        <v>1</v>
      </c>
      <c r="M1117" s="13">
        <f t="shared" si="90"/>
        <v>1627688897.8597624</v>
      </c>
      <c r="N1117" s="11">
        <f t="shared" si="86"/>
        <v>2.8128544107684086E-2</v>
      </c>
    </row>
    <row r="1118" spans="1:14" x14ac:dyDescent="0.25">
      <c r="A1118" s="79" t="s">
        <v>34</v>
      </c>
      <c r="B1118" s="89" t="s">
        <v>5</v>
      </c>
      <c r="C1118" s="89" t="s">
        <v>243</v>
      </c>
      <c r="D1118" s="13" t="s">
        <v>12</v>
      </c>
      <c r="E1118" s="35">
        <f>VLOOKUP(B1118, Passenger_Kilometre_by_mode_type[#All],MATCH(A1118, Passenger_Kilometre_by_mode_type[#Headers],0),0)</f>
        <v>41379942945.20134</v>
      </c>
      <c r="F1118" s="89">
        <f>VLOOKUP(C1118, Reason_for_car_journeys_by_percentage[#All],MATCH(A1118, Reason_for_car_journeys_by_percentage[#Headers],0),0)/100</f>
        <v>0.16062046534901178</v>
      </c>
      <c r="G1118" s="13">
        <f t="shared" si="87"/>
        <v>6646465691.9737959</v>
      </c>
      <c r="H1118" s="89">
        <f>VLOOKUP(D1118,Average_Distance_by_kilometre_grouping_for_mode_type[#All],MATCH(A1118,Average_Distance_by_kilometre_grouping_for_mode_type[#Headers],0),0)</f>
        <v>1</v>
      </c>
      <c r="I1118" s="89">
        <f>VLOOKUP(D1118,Average_Distance_by_kilometres_grouping_for_trip_purpose[#All],MATCH(A1118,Average_Distance_by_kilometres_grouping_for_trip_purpose[#Headers],0),0)</f>
        <v>1</v>
      </c>
      <c r="J1118" s="89">
        <f t="shared" si="88"/>
        <v>1</v>
      </c>
      <c r="K1118" s="89">
        <f t="shared" si="89"/>
        <v>1.763046544428773E-2</v>
      </c>
      <c r="L1118" s="89">
        <v>1</v>
      </c>
      <c r="M1118" s="13">
        <f t="shared" si="90"/>
        <v>117180283.70898794</v>
      </c>
      <c r="N1118" s="11">
        <f t="shared" si="86"/>
        <v>2.0250250420662309E-3</v>
      </c>
    </row>
    <row r="1119" spans="1:14" x14ac:dyDescent="0.25">
      <c r="A1119" s="79" t="s">
        <v>34</v>
      </c>
      <c r="B1119" s="89" t="s">
        <v>5</v>
      </c>
      <c r="C1119" s="89" t="s">
        <v>243</v>
      </c>
      <c r="D1119" s="13" t="s">
        <v>181</v>
      </c>
      <c r="E1119" s="35">
        <f>VLOOKUP(B1119, Passenger_Kilometre_by_mode_type[#All],MATCH(A1119, Passenger_Kilometre_by_mode_type[#Headers],0),0)</f>
        <v>41379942945.20134</v>
      </c>
      <c r="F1119" s="89">
        <f>VLOOKUP(C1119, Reason_for_car_journeys_by_percentage[#All],MATCH(A1119, Reason_for_car_journeys_by_percentage[#Headers],0),0)/100</f>
        <v>0.16062046534901178</v>
      </c>
      <c r="G1119" s="13">
        <f t="shared" si="87"/>
        <v>6646465691.9737959</v>
      </c>
      <c r="H1119" s="89">
        <f>VLOOKUP(D1119,Average_Distance_by_kilometre_grouping_for_mode_type[#All],MATCH(A1119,Average_Distance_by_kilometre_grouping_for_mode_type[#Headers],0),0)</f>
        <v>3</v>
      </c>
      <c r="I1119" s="89">
        <f>VLOOKUP(D1119,Average_Distance_by_kilometres_grouping_for_trip_purpose[#All],MATCH(A1119,Average_Distance_by_kilometres_grouping_for_trip_purpose[#Headers],0),0)</f>
        <v>3</v>
      </c>
      <c r="J1119" s="89">
        <f t="shared" si="88"/>
        <v>3</v>
      </c>
      <c r="K1119" s="89">
        <f t="shared" si="89"/>
        <v>5.2891396332863189E-2</v>
      </c>
      <c r="L1119" s="89">
        <v>1</v>
      </c>
      <c r="M1119" s="13">
        <f t="shared" si="90"/>
        <v>351540851.12696379</v>
      </c>
      <c r="N1119" s="11">
        <f t="shared" si="86"/>
        <v>6.0750751261986922E-3</v>
      </c>
    </row>
    <row r="1120" spans="1:14" x14ac:dyDescent="0.25">
      <c r="A1120" s="79" t="s">
        <v>34</v>
      </c>
      <c r="B1120" s="89" t="s">
        <v>5</v>
      </c>
      <c r="C1120" s="89" t="s">
        <v>243</v>
      </c>
      <c r="D1120" s="13" t="s">
        <v>180</v>
      </c>
      <c r="E1120" s="35">
        <f>VLOOKUP(B1120, Passenger_Kilometre_by_mode_type[#All],MATCH(A1120, Passenger_Kilometre_by_mode_type[#Headers],0),0)</f>
        <v>41379942945.20134</v>
      </c>
      <c r="F1120" s="89">
        <f>VLOOKUP(C1120, Reason_for_car_journeys_by_percentage[#All],MATCH(A1120, Reason_for_car_journeys_by_percentage[#Headers],0),0)/100</f>
        <v>0.16062046534901178</v>
      </c>
      <c r="G1120" s="13">
        <f t="shared" si="87"/>
        <v>6646465691.9737959</v>
      </c>
      <c r="H1120" s="89">
        <f>VLOOKUP(D1120,Average_Distance_by_kilometre_grouping_for_mode_type[#All],MATCH(A1120,Average_Distance_by_kilometre_grouping_for_mode_type[#Headers],0),0)</f>
        <v>5</v>
      </c>
      <c r="I1120" s="89">
        <f>VLOOKUP(D1120,Average_Distance_by_kilometres_grouping_for_trip_purpose[#All],MATCH(A1120,Average_Distance_by_kilometres_grouping_for_trip_purpose[#Headers],0),0)</f>
        <v>5</v>
      </c>
      <c r="J1120" s="89">
        <f t="shared" si="88"/>
        <v>5</v>
      </c>
      <c r="K1120" s="89">
        <f t="shared" si="89"/>
        <v>8.8152327221438648E-2</v>
      </c>
      <c r="L1120" s="89">
        <v>1</v>
      </c>
      <c r="M1120" s="13">
        <f t="shared" si="90"/>
        <v>585901418.54493976</v>
      </c>
      <c r="N1120" s="11">
        <f t="shared" si="86"/>
        <v>1.0125125210331156E-2</v>
      </c>
    </row>
    <row r="1121" spans="1:14" x14ac:dyDescent="0.25">
      <c r="A1121" s="79" t="s">
        <v>34</v>
      </c>
      <c r="B1121" s="89" t="s">
        <v>5</v>
      </c>
      <c r="C1121" s="89" t="s">
        <v>243</v>
      </c>
      <c r="D1121" s="13" t="s">
        <v>182</v>
      </c>
      <c r="E1121" s="35">
        <f>VLOOKUP(B1121, Passenger_Kilometre_by_mode_type[#All],MATCH(A1121, Passenger_Kilometre_by_mode_type[#Headers],0),0)</f>
        <v>41379942945.20134</v>
      </c>
      <c r="F1121" s="89">
        <f>VLOOKUP(C1121, Reason_for_car_journeys_by_percentage[#All],MATCH(A1121, Reason_for_car_journeys_by_percentage[#Headers],0),0)/100</f>
        <v>0.16062046534901178</v>
      </c>
      <c r="G1121" s="13">
        <f t="shared" si="87"/>
        <v>6646465691.9737959</v>
      </c>
      <c r="H1121" s="89">
        <f>VLOOKUP(D1121,Average_Distance_by_kilometre_grouping_for_mode_type[#All],MATCH(A1121,Average_Distance_by_kilometre_grouping_for_mode_type[#Headers],0),0)</f>
        <v>7</v>
      </c>
      <c r="I1121" s="89">
        <f>VLOOKUP(D1121,Average_Distance_by_kilometres_grouping_for_trip_purpose[#All],MATCH(A1121,Average_Distance_by_kilometres_grouping_for_trip_purpose[#Headers],0),0)</f>
        <v>7</v>
      </c>
      <c r="J1121" s="89">
        <f t="shared" si="88"/>
        <v>7</v>
      </c>
      <c r="K1121" s="89">
        <f t="shared" si="89"/>
        <v>0.12341325811001411</v>
      </c>
      <c r="L1121" s="89">
        <v>1</v>
      </c>
      <c r="M1121" s="13">
        <f t="shared" si="90"/>
        <v>820261985.96291554</v>
      </c>
      <c r="N1121" s="11">
        <f t="shared" si="86"/>
        <v>1.4175175294463615E-2</v>
      </c>
    </row>
    <row r="1122" spans="1:14" x14ac:dyDescent="0.25">
      <c r="A1122" s="79" t="s">
        <v>34</v>
      </c>
      <c r="B1122" s="89" t="s">
        <v>5</v>
      </c>
      <c r="C1122" s="89" t="s">
        <v>243</v>
      </c>
      <c r="D1122" s="13" t="s">
        <v>1</v>
      </c>
      <c r="E1122" s="35">
        <f>VLOOKUP(B1122, Passenger_Kilometre_by_mode_type[#All],MATCH(A1122, Passenger_Kilometre_by_mode_type[#Headers],0),0)</f>
        <v>41379942945.20134</v>
      </c>
      <c r="F1122" s="89">
        <f>VLOOKUP(C1122, Reason_for_car_journeys_by_percentage[#All],MATCH(A1122, Reason_for_car_journeys_by_percentage[#Headers],0),0)/100</f>
        <v>0.16062046534901178</v>
      </c>
      <c r="G1122" s="13">
        <f t="shared" si="87"/>
        <v>6646465691.9737959</v>
      </c>
      <c r="H1122" s="89">
        <f>VLOOKUP(D1122,Average_Distance_by_kilometre_grouping_for_mode_type[#All],MATCH(A1122,Average_Distance_by_kilometre_grouping_for_mode_type[#Headers],0),0)</f>
        <v>38.99</v>
      </c>
      <c r="I1122" s="89">
        <f>VLOOKUP(D1122,Average_Distance_by_kilometres_grouping_for_trip_purpose[#All],MATCH(A1122,Average_Distance_by_kilometres_grouping_for_trip_purpose[#Headers],0),0)</f>
        <v>42.45</v>
      </c>
      <c r="J1122" s="89">
        <f t="shared" si="88"/>
        <v>40.72</v>
      </c>
      <c r="K1122" s="89">
        <f t="shared" si="89"/>
        <v>0.71791255289139633</v>
      </c>
      <c r="L1122" s="89">
        <v>1</v>
      </c>
      <c r="M1122" s="13">
        <f t="shared" si="90"/>
        <v>4771581152.6299887</v>
      </c>
      <c r="N1122" s="11">
        <f t="shared" si="86"/>
        <v>8.2459019712936912E-2</v>
      </c>
    </row>
    <row r="1123" spans="1:14" x14ac:dyDescent="0.25">
      <c r="A1123" s="79" t="s">
        <v>34</v>
      </c>
      <c r="B1123" s="89" t="s">
        <v>5</v>
      </c>
      <c r="C1123" s="89" t="s">
        <v>50</v>
      </c>
      <c r="D1123" s="13" t="s">
        <v>12</v>
      </c>
      <c r="E1123" s="35">
        <f>VLOOKUP(B1123, Passenger_Kilometre_by_mode_type[#All],MATCH(A1123, Passenger_Kilometre_by_mode_type[#Headers],0),0)</f>
        <v>41379942945.20134</v>
      </c>
      <c r="F1123" s="89">
        <f>VLOOKUP(C1123, Reason_for_car_journeys_by_percentage[#All],MATCH(A1123, Reason_for_car_journeys_by_percentage[#Headers],0),0)/100</f>
        <v>4.7035276457343012E-2</v>
      </c>
      <c r="G1123" s="13">
        <f t="shared" si="87"/>
        <v>1946317056.2166257</v>
      </c>
      <c r="H1123" s="89">
        <f>VLOOKUP(D1123,Average_Distance_by_kilometre_grouping_for_mode_type[#All],MATCH(A1123,Average_Distance_by_kilometre_grouping_for_mode_type[#Headers],0),0)</f>
        <v>1</v>
      </c>
      <c r="I1123" s="89">
        <f>VLOOKUP(D1123,Average_Distance_by_kilometres_grouping_for_trip_purpose[#All],MATCH(A1123,Average_Distance_by_kilometres_grouping_for_trip_purpose[#Headers],0),0)</f>
        <v>1</v>
      </c>
      <c r="J1123" s="89">
        <f t="shared" si="88"/>
        <v>1</v>
      </c>
      <c r="K1123" s="89">
        <f t="shared" si="89"/>
        <v>1.763046544428773E-2</v>
      </c>
      <c r="L1123" s="89">
        <v>1</v>
      </c>
      <c r="M1123" s="13">
        <f t="shared" si="90"/>
        <v>34314475.603255041</v>
      </c>
      <c r="N1123" s="11">
        <f t="shared" si="86"/>
        <v>5.9299798739634183E-4</v>
      </c>
    </row>
    <row r="1124" spans="1:14" x14ac:dyDescent="0.25">
      <c r="A1124" s="79" t="s">
        <v>34</v>
      </c>
      <c r="B1124" s="89" t="s">
        <v>5</v>
      </c>
      <c r="C1124" s="89" t="s">
        <v>50</v>
      </c>
      <c r="D1124" s="13" t="s">
        <v>181</v>
      </c>
      <c r="E1124" s="35">
        <f>VLOOKUP(B1124, Passenger_Kilometre_by_mode_type[#All],MATCH(A1124, Passenger_Kilometre_by_mode_type[#Headers],0),0)</f>
        <v>41379942945.20134</v>
      </c>
      <c r="F1124" s="89">
        <f>VLOOKUP(C1124, Reason_for_car_journeys_by_percentage[#All],MATCH(A1124, Reason_for_car_journeys_by_percentage[#Headers],0),0)/100</f>
        <v>4.7035276457343012E-2</v>
      </c>
      <c r="G1124" s="13">
        <f t="shared" si="87"/>
        <v>1946317056.2166257</v>
      </c>
      <c r="H1124" s="89">
        <f>VLOOKUP(D1124,Average_Distance_by_kilometre_grouping_for_mode_type[#All],MATCH(A1124,Average_Distance_by_kilometre_grouping_for_mode_type[#Headers],0),0)</f>
        <v>3</v>
      </c>
      <c r="I1124" s="89">
        <f>VLOOKUP(D1124,Average_Distance_by_kilometres_grouping_for_trip_purpose[#All],MATCH(A1124,Average_Distance_by_kilometres_grouping_for_trip_purpose[#Headers],0),0)</f>
        <v>3</v>
      </c>
      <c r="J1124" s="89">
        <f t="shared" si="88"/>
        <v>3</v>
      </c>
      <c r="K1124" s="89">
        <f t="shared" si="89"/>
        <v>5.2891396332863189E-2</v>
      </c>
      <c r="L1124" s="89">
        <v>1</v>
      </c>
      <c r="M1124" s="13">
        <f t="shared" si="90"/>
        <v>102943426.80976512</v>
      </c>
      <c r="N1124" s="11">
        <f t="shared" si="86"/>
        <v>1.7789939621890253E-3</v>
      </c>
    </row>
    <row r="1125" spans="1:14" x14ac:dyDescent="0.25">
      <c r="A1125" s="79" t="s">
        <v>34</v>
      </c>
      <c r="B1125" s="89" t="s">
        <v>5</v>
      </c>
      <c r="C1125" s="89" t="s">
        <v>50</v>
      </c>
      <c r="D1125" s="13" t="s">
        <v>180</v>
      </c>
      <c r="E1125" s="35">
        <f>VLOOKUP(B1125, Passenger_Kilometre_by_mode_type[#All],MATCH(A1125, Passenger_Kilometre_by_mode_type[#Headers],0),0)</f>
        <v>41379942945.20134</v>
      </c>
      <c r="F1125" s="89">
        <f>VLOOKUP(C1125, Reason_for_car_journeys_by_percentage[#All],MATCH(A1125, Reason_for_car_journeys_by_percentage[#Headers],0),0)/100</f>
        <v>4.7035276457343012E-2</v>
      </c>
      <c r="G1125" s="13">
        <f t="shared" si="87"/>
        <v>1946317056.2166257</v>
      </c>
      <c r="H1125" s="89">
        <f>VLOOKUP(D1125,Average_Distance_by_kilometre_grouping_for_mode_type[#All],MATCH(A1125,Average_Distance_by_kilometre_grouping_for_mode_type[#Headers],0),0)</f>
        <v>5</v>
      </c>
      <c r="I1125" s="89">
        <f>VLOOKUP(D1125,Average_Distance_by_kilometres_grouping_for_trip_purpose[#All],MATCH(A1125,Average_Distance_by_kilometres_grouping_for_trip_purpose[#Headers],0),0)</f>
        <v>5</v>
      </c>
      <c r="J1125" s="89">
        <f t="shared" si="88"/>
        <v>5</v>
      </c>
      <c r="K1125" s="89">
        <f t="shared" si="89"/>
        <v>8.8152327221438648E-2</v>
      </c>
      <c r="L1125" s="89">
        <v>1</v>
      </c>
      <c r="M1125" s="13">
        <f t="shared" si="90"/>
        <v>171572378.0162752</v>
      </c>
      <c r="N1125" s="11">
        <f t="shared" si="86"/>
        <v>2.9649899369817091E-3</v>
      </c>
    </row>
    <row r="1126" spans="1:14" x14ac:dyDescent="0.25">
      <c r="A1126" s="79" t="s">
        <v>34</v>
      </c>
      <c r="B1126" s="89" t="s">
        <v>5</v>
      </c>
      <c r="C1126" s="89" t="s">
        <v>50</v>
      </c>
      <c r="D1126" s="13" t="s">
        <v>182</v>
      </c>
      <c r="E1126" s="35">
        <f>VLOOKUP(B1126, Passenger_Kilometre_by_mode_type[#All],MATCH(A1126, Passenger_Kilometre_by_mode_type[#Headers],0),0)</f>
        <v>41379942945.20134</v>
      </c>
      <c r="F1126" s="89">
        <f>VLOOKUP(C1126, Reason_for_car_journeys_by_percentage[#All],MATCH(A1126, Reason_for_car_journeys_by_percentage[#Headers],0),0)/100</f>
        <v>4.7035276457343012E-2</v>
      </c>
      <c r="G1126" s="13">
        <f t="shared" si="87"/>
        <v>1946317056.2166257</v>
      </c>
      <c r="H1126" s="89">
        <f>VLOOKUP(D1126,Average_Distance_by_kilometre_grouping_for_mode_type[#All],MATCH(A1126,Average_Distance_by_kilometre_grouping_for_mode_type[#Headers],0),0)</f>
        <v>7</v>
      </c>
      <c r="I1126" s="89">
        <f>VLOOKUP(D1126,Average_Distance_by_kilometres_grouping_for_trip_purpose[#All],MATCH(A1126,Average_Distance_by_kilometres_grouping_for_trip_purpose[#Headers],0),0)</f>
        <v>7</v>
      </c>
      <c r="J1126" s="89">
        <f t="shared" si="88"/>
        <v>7</v>
      </c>
      <c r="K1126" s="89">
        <f t="shared" si="89"/>
        <v>0.12341325811001411</v>
      </c>
      <c r="L1126" s="89">
        <v>1</v>
      </c>
      <c r="M1126" s="13">
        <f t="shared" si="90"/>
        <v>240201329.22278526</v>
      </c>
      <c r="N1126" s="11">
        <f t="shared" si="86"/>
        <v>4.1509859117743924E-3</v>
      </c>
    </row>
    <row r="1127" spans="1:14" x14ac:dyDescent="0.25">
      <c r="A1127" s="79" t="s">
        <v>34</v>
      </c>
      <c r="B1127" s="89" t="s">
        <v>5</v>
      </c>
      <c r="C1127" s="89" t="s">
        <v>50</v>
      </c>
      <c r="D1127" s="13" t="s">
        <v>1</v>
      </c>
      <c r="E1127" s="35">
        <f>VLOOKUP(B1127, Passenger_Kilometre_by_mode_type[#All],MATCH(A1127, Passenger_Kilometre_by_mode_type[#Headers],0),0)</f>
        <v>41379942945.20134</v>
      </c>
      <c r="F1127" s="89">
        <f>VLOOKUP(C1127, Reason_for_car_journeys_by_percentage[#All],MATCH(A1127, Reason_for_car_journeys_by_percentage[#Headers],0),0)/100</f>
        <v>4.7035276457343012E-2</v>
      </c>
      <c r="G1127" s="13">
        <f t="shared" si="87"/>
        <v>1946317056.2166257</v>
      </c>
      <c r="H1127" s="89">
        <f>VLOOKUP(D1127,Average_Distance_by_kilometre_grouping_for_mode_type[#All],MATCH(A1127,Average_Distance_by_kilometre_grouping_for_mode_type[#Headers],0),0)</f>
        <v>38.99</v>
      </c>
      <c r="I1127" s="89">
        <f>VLOOKUP(D1127,Average_Distance_by_kilometres_grouping_for_trip_purpose[#All],MATCH(A1127,Average_Distance_by_kilometres_grouping_for_trip_purpose[#Headers],0),0)</f>
        <v>42.45</v>
      </c>
      <c r="J1127" s="89">
        <f t="shared" si="88"/>
        <v>40.72</v>
      </c>
      <c r="K1127" s="89">
        <f t="shared" si="89"/>
        <v>0.71791255289139633</v>
      </c>
      <c r="L1127" s="89">
        <v>1</v>
      </c>
      <c r="M1127" s="13">
        <f t="shared" si="90"/>
        <v>1397285446.5645452</v>
      </c>
      <c r="N1127" s="11">
        <f t="shared" si="86"/>
        <v>2.4146878046779039E-2</v>
      </c>
    </row>
    <row r="1128" spans="1:14" x14ac:dyDescent="0.25">
      <c r="A1128" s="79" t="s">
        <v>34</v>
      </c>
      <c r="B1128" s="89" t="s">
        <v>6</v>
      </c>
      <c r="C1128" s="89" t="s">
        <v>42</v>
      </c>
      <c r="D1128" s="13" t="s">
        <v>12</v>
      </c>
      <c r="E1128" s="35">
        <f>VLOOKUP(B1128, Passenger_Kilometre_by_mode_type[#All],MATCH(A1128, Passenger_Kilometre_by_mode_type[#Headers],0),0)</f>
        <v>6799367587.5175657</v>
      </c>
      <c r="F1128" s="89">
        <f>VLOOKUP(C1128, Reason_for_car_journeys_by_percentage[#All],MATCH(A1128, Reason_for_car_journeys_by_percentage[#Headers],0),0)/100</f>
        <v>0.25243932949712289</v>
      </c>
      <c r="G1128" s="13">
        <f t="shared" si="87"/>
        <v>1716427794.7974043</v>
      </c>
      <c r="H1128" s="89">
        <f>VLOOKUP(D1128,Average_Distance_by_kilometre_grouping_for_mode_type[#All],MATCH(A1128,Average_Distance_by_kilometre_grouping_for_mode_type[#Headers],0),0)</f>
        <v>1</v>
      </c>
      <c r="I1128" s="89">
        <f>VLOOKUP(D1128,Average_Distance_by_kilometres_grouping_for_trip_purpose[#All],MATCH(A1128,Average_Distance_by_kilometres_grouping_for_trip_purpose[#Headers],0),0)</f>
        <v>1</v>
      </c>
      <c r="J1128" s="89">
        <f t="shared" si="88"/>
        <v>1</v>
      </c>
      <c r="K1128" s="89">
        <f t="shared" si="89"/>
        <v>1.763046544428773E-2</v>
      </c>
      <c r="L1128" s="89">
        <v>1</v>
      </c>
      <c r="M1128" s="13">
        <f t="shared" si="90"/>
        <v>30261420.923790626</v>
      </c>
      <c r="N1128" s="11">
        <f t="shared" si="86"/>
        <v>5.2295602331335481E-4</v>
      </c>
    </row>
    <row r="1129" spans="1:14" x14ac:dyDescent="0.25">
      <c r="A1129" s="79" t="s">
        <v>34</v>
      </c>
      <c r="B1129" s="89" t="s">
        <v>6</v>
      </c>
      <c r="C1129" s="89" t="s">
        <v>42</v>
      </c>
      <c r="D1129" s="13" t="s">
        <v>181</v>
      </c>
      <c r="E1129" s="35">
        <f>VLOOKUP(B1129, Passenger_Kilometre_by_mode_type[#All],MATCH(A1129, Passenger_Kilometre_by_mode_type[#Headers],0),0)</f>
        <v>6799367587.5175657</v>
      </c>
      <c r="F1129" s="89">
        <f>VLOOKUP(C1129, Reason_for_car_journeys_by_percentage[#All],MATCH(A1129, Reason_for_car_journeys_by_percentage[#Headers],0),0)/100</f>
        <v>0.25243932949712289</v>
      </c>
      <c r="G1129" s="13">
        <f t="shared" si="87"/>
        <v>1716427794.7974043</v>
      </c>
      <c r="H1129" s="89">
        <f>VLOOKUP(D1129,Average_Distance_by_kilometre_grouping_for_mode_type[#All],MATCH(A1129,Average_Distance_by_kilometre_grouping_for_mode_type[#Headers],0),0)</f>
        <v>3</v>
      </c>
      <c r="I1129" s="89">
        <f>VLOOKUP(D1129,Average_Distance_by_kilometres_grouping_for_trip_purpose[#All],MATCH(A1129,Average_Distance_by_kilometres_grouping_for_trip_purpose[#Headers],0),0)</f>
        <v>3</v>
      </c>
      <c r="J1129" s="89">
        <f t="shared" si="88"/>
        <v>3</v>
      </c>
      <c r="K1129" s="89">
        <f t="shared" si="89"/>
        <v>5.2891396332863189E-2</v>
      </c>
      <c r="L1129" s="89">
        <v>1</v>
      </c>
      <c r="M1129" s="13">
        <f t="shared" si="90"/>
        <v>90784262.771371886</v>
      </c>
      <c r="N1129" s="11">
        <f t="shared" si="86"/>
        <v>1.5688680699400645E-3</v>
      </c>
    </row>
    <row r="1130" spans="1:14" x14ac:dyDescent="0.25">
      <c r="A1130" s="79" t="s">
        <v>34</v>
      </c>
      <c r="B1130" s="89" t="s">
        <v>6</v>
      </c>
      <c r="C1130" s="89" t="s">
        <v>42</v>
      </c>
      <c r="D1130" s="13" t="s">
        <v>180</v>
      </c>
      <c r="E1130" s="35">
        <f>VLOOKUP(B1130, Passenger_Kilometre_by_mode_type[#All],MATCH(A1130, Passenger_Kilometre_by_mode_type[#Headers],0),0)</f>
        <v>6799367587.5175657</v>
      </c>
      <c r="F1130" s="89">
        <f>VLOOKUP(C1130, Reason_for_car_journeys_by_percentage[#All],MATCH(A1130, Reason_for_car_journeys_by_percentage[#Headers],0),0)/100</f>
        <v>0.25243932949712289</v>
      </c>
      <c r="G1130" s="13">
        <f t="shared" si="87"/>
        <v>1716427794.7974043</v>
      </c>
      <c r="H1130" s="89">
        <f>VLOOKUP(D1130,Average_Distance_by_kilometre_grouping_for_mode_type[#All],MATCH(A1130,Average_Distance_by_kilometre_grouping_for_mode_type[#Headers],0),0)</f>
        <v>5</v>
      </c>
      <c r="I1130" s="89">
        <f>VLOOKUP(D1130,Average_Distance_by_kilometres_grouping_for_trip_purpose[#All],MATCH(A1130,Average_Distance_by_kilometres_grouping_for_trip_purpose[#Headers],0),0)</f>
        <v>5</v>
      </c>
      <c r="J1130" s="89">
        <f t="shared" si="88"/>
        <v>5</v>
      </c>
      <c r="K1130" s="89">
        <f t="shared" si="89"/>
        <v>8.8152327221438648E-2</v>
      </c>
      <c r="L1130" s="89">
        <v>1</v>
      </c>
      <c r="M1130" s="13">
        <f t="shared" si="90"/>
        <v>151307104.61895314</v>
      </c>
      <c r="N1130" s="11">
        <f t="shared" si="86"/>
        <v>2.6147801165667742E-3</v>
      </c>
    </row>
    <row r="1131" spans="1:14" x14ac:dyDescent="0.25">
      <c r="A1131" s="79" t="s">
        <v>34</v>
      </c>
      <c r="B1131" s="89" t="s">
        <v>6</v>
      </c>
      <c r="C1131" s="89" t="s">
        <v>42</v>
      </c>
      <c r="D1131" s="13" t="s">
        <v>182</v>
      </c>
      <c r="E1131" s="35">
        <f>VLOOKUP(B1131, Passenger_Kilometre_by_mode_type[#All],MATCH(A1131, Passenger_Kilometre_by_mode_type[#Headers],0),0)</f>
        <v>6799367587.5175657</v>
      </c>
      <c r="F1131" s="89">
        <f>VLOOKUP(C1131, Reason_for_car_journeys_by_percentage[#All],MATCH(A1131, Reason_for_car_journeys_by_percentage[#Headers],0),0)/100</f>
        <v>0.25243932949712289</v>
      </c>
      <c r="G1131" s="13">
        <f t="shared" si="87"/>
        <v>1716427794.7974043</v>
      </c>
      <c r="H1131" s="89">
        <f>VLOOKUP(D1131,Average_Distance_by_kilometre_grouping_for_mode_type[#All],MATCH(A1131,Average_Distance_by_kilometre_grouping_for_mode_type[#Headers],0),0)</f>
        <v>7</v>
      </c>
      <c r="I1131" s="89">
        <f>VLOOKUP(D1131,Average_Distance_by_kilometres_grouping_for_trip_purpose[#All],MATCH(A1131,Average_Distance_by_kilometres_grouping_for_trip_purpose[#Headers],0),0)</f>
        <v>7</v>
      </c>
      <c r="J1131" s="89">
        <f t="shared" si="88"/>
        <v>7</v>
      </c>
      <c r="K1131" s="89">
        <f t="shared" si="89"/>
        <v>0.12341325811001411</v>
      </c>
      <c r="L1131" s="89">
        <v>1</v>
      </c>
      <c r="M1131" s="13">
        <f t="shared" si="90"/>
        <v>211829946.46653438</v>
      </c>
      <c r="N1131" s="11">
        <f t="shared" si="86"/>
        <v>3.6606921631934836E-3</v>
      </c>
    </row>
    <row r="1132" spans="1:14" x14ac:dyDescent="0.25">
      <c r="A1132" s="79" t="s">
        <v>34</v>
      </c>
      <c r="B1132" s="89" t="s">
        <v>6</v>
      </c>
      <c r="C1132" s="89" t="s">
        <v>42</v>
      </c>
      <c r="D1132" s="13" t="s">
        <v>1</v>
      </c>
      <c r="E1132" s="35">
        <f>VLOOKUP(B1132, Passenger_Kilometre_by_mode_type[#All],MATCH(A1132, Passenger_Kilometre_by_mode_type[#Headers],0),0)</f>
        <v>6799367587.5175657</v>
      </c>
      <c r="F1132" s="89">
        <f>VLOOKUP(C1132, Reason_for_car_journeys_by_percentage[#All],MATCH(A1132, Reason_for_car_journeys_by_percentage[#Headers],0),0)/100</f>
        <v>0.25243932949712289</v>
      </c>
      <c r="G1132" s="13">
        <f t="shared" si="87"/>
        <v>1716427794.7974043</v>
      </c>
      <c r="H1132" s="89">
        <f>VLOOKUP(D1132,Average_Distance_by_kilometre_grouping_for_mode_type[#All],MATCH(A1132,Average_Distance_by_kilometre_grouping_for_mode_type[#Headers],0),0)</f>
        <v>38.99</v>
      </c>
      <c r="I1132" s="89">
        <f>VLOOKUP(D1132,Average_Distance_by_kilometres_grouping_for_trip_purpose[#All],MATCH(A1132,Average_Distance_by_kilometres_grouping_for_trip_purpose[#Headers],0),0)</f>
        <v>42.45</v>
      </c>
      <c r="J1132" s="89">
        <f t="shared" si="88"/>
        <v>40.72</v>
      </c>
      <c r="K1132" s="89">
        <f t="shared" si="89"/>
        <v>0.71791255289139633</v>
      </c>
      <c r="L1132" s="89">
        <v>1</v>
      </c>
      <c r="M1132" s="13">
        <f t="shared" si="90"/>
        <v>1232245060.0167542</v>
      </c>
      <c r="N1132" s="11">
        <f t="shared" si="86"/>
        <v>2.1294769269319808E-2</v>
      </c>
    </row>
    <row r="1133" spans="1:14" x14ac:dyDescent="0.25">
      <c r="A1133" s="79" t="s">
        <v>34</v>
      </c>
      <c r="B1133" s="89" t="s">
        <v>6</v>
      </c>
      <c r="C1133" s="89" t="s">
        <v>43</v>
      </c>
      <c r="D1133" s="13" t="s">
        <v>12</v>
      </c>
      <c r="E1133" s="35">
        <f>VLOOKUP(B1133, Passenger_Kilometre_by_mode_type[#All],MATCH(A1133, Passenger_Kilometre_by_mode_type[#Headers],0),0)</f>
        <v>6799367587.5175657</v>
      </c>
      <c r="F1133" s="89">
        <f>VLOOKUP(C1133, Reason_for_car_journeys_by_percentage[#All],MATCH(A1133, Reason_for_car_journeys_by_percentage[#Headers],0),0)/100</f>
        <v>3.1523642732049037E-2</v>
      </c>
      <c r="G1133" s="13">
        <f t="shared" si="87"/>
        <v>214340834.6327779</v>
      </c>
      <c r="H1133" s="89">
        <f>VLOOKUP(D1133,Average_Distance_by_kilometre_grouping_for_mode_type[#All],MATCH(A1133,Average_Distance_by_kilometre_grouping_for_mode_type[#Headers],0),0)</f>
        <v>1</v>
      </c>
      <c r="I1133" s="89">
        <f>VLOOKUP(D1133,Average_Distance_by_kilometres_grouping_for_trip_purpose[#All],MATCH(A1133,Average_Distance_by_kilometres_grouping_for_trip_purpose[#Headers],0),0)</f>
        <v>1</v>
      </c>
      <c r="J1133" s="89">
        <f t="shared" si="88"/>
        <v>1</v>
      </c>
      <c r="K1133" s="89">
        <f t="shared" si="89"/>
        <v>1.763046544428773E-2</v>
      </c>
      <c r="L1133" s="89">
        <v>1</v>
      </c>
      <c r="M1133" s="13">
        <f t="shared" si="90"/>
        <v>3778928.6782929813</v>
      </c>
      <c r="N1133" s="11">
        <f t="shared" si="86"/>
        <v>6.5304716489080966E-5</v>
      </c>
    </row>
    <row r="1134" spans="1:14" x14ac:dyDescent="0.25">
      <c r="A1134" s="79" t="s">
        <v>34</v>
      </c>
      <c r="B1134" s="89" t="s">
        <v>6</v>
      </c>
      <c r="C1134" s="89" t="s">
        <v>43</v>
      </c>
      <c r="D1134" s="13" t="s">
        <v>181</v>
      </c>
      <c r="E1134" s="35">
        <f>VLOOKUP(B1134, Passenger_Kilometre_by_mode_type[#All],MATCH(A1134, Passenger_Kilometre_by_mode_type[#Headers],0),0)</f>
        <v>6799367587.5175657</v>
      </c>
      <c r="F1134" s="89">
        <f>VLOOKUP(C1134, Reason_for_car_journeys_by_percentage[#All],MATCH(A1134, Reason_for_car_journeys_by_percentage[#Headers],0),0)/100</f>
        <v>3.1523642732049037E-2</v>
      </c>
      <c r="G1134" s="13">
        <f t="shared" si="87"/>
        <v>214340834.6327779</v>
      </c>
      <c r="H1134" s="89">
        <f>VLOOKUP(D1134,Average_Distance_by_kilometre_grouping_for_mode_type[#All],MATCH(A1134,Average_Distance_by_kilometre_grouping_for_mode_type[#Headers],0),0)</f>
        <v>3</v>
      </c>
      <c r="I1134" s="89">
        <f>VLOOKUP(D1134,Average_Distance_by_kilometres_grouping_for_trip_purpose[#All],MATCH(A1134,Average_Distance_by_kilometres_grouping_for_trip_purpose[#Headers],0),0)</f>
        <v>3</v>
      </c>
      <c r="J1134" s="89">
        <f t="shared" si="88"/>
        <v>3</v>
      </c>
      <c r="K1134" s="89">
        <f t="shared" si="89"/>
        <v>5.2891396332863189E-2</v>
      </c>
      <c r="L1134" s="89">
        <v>1</v>
      </c>
      <c r="M1134" s="13">
        <f t="shared" si="90"/>
        <v>11336786.034878945</v>
      </c>
      <c r="N1134" s="11">
        <f t="shared" si="86"/>
        <v>1.9591414946724291E-4</v>
      </c>
    </row>
    <row r="1135" spans="1:14" x14ac:dyDescent="0.25">
      <c r="A1135" s="79" t="s">
        <v>34</v>
      </c>
      <c r="B1135" s="89" t="s">
        <v>6</v>
      </c>
      <c r="C1135" s="89" t="s">
        <v>43</v>
      </c>
      <c r="D1135" s="13" t="s">
        <v>180</v>
      </c>
      <c r="E1135" s="35">
        <f>VLOOKUP(B1135, Passenger_Kilometre_by_mode_type[#All],MATCH(A1135, Passenger_Kilometre_by_mode_type[#Headers],0),0)</f>
        <v>6799367587.5175657</v>
      </c>
      <c r="F1135" s="89">
        <f>VLOOKUP(C1135, Reason_for_car_journeys_by_percentage[#All],MATCH(A1135, Reason_for_car_journeys_by_percentage[#Headers],0),0)/100</f>
        <v>3.1523642732049037E-2</v>
      </c>
      <c r="G1135" s="13">
        <f t="shared" si="87"/>
        <v>214340834.6327779</v>
      </c>
      <c r="H1135" s="89">
        <f>VLOOKUP(D1135,Average_Distance_by_kilometre_grouping_for_mode_type[#All],MATCH(A1135,Average_Distance_by_kilometre_grouping_for_mode_type[#Headers],0),0)</f>
        <v>5</v>
      </c>
      <c r="I1135" s="89">
        <f>VLOOKUP(D1135,Average_Distance_by_kilometres_grouping_for_trip_purpose[#All],MATCH(A1135,Average_Distance_by_kilometres_grouping_for_trip_purpose[#Headers],0),0)</f>
        <v>5</v>
      </c>
      <c r="J1135" s="89">
        <f t="shared" si="88"/>
        <v>5</v>
      </c>
      <c r="K1135" s="89">
        <f t="shared" si="89"/>
        <v>8.8152327221438648E-2</v>
      </c>
      <c r="L1135" s="89">
        <v>1</v>
      </c>
      <c r="M1135" s="13">
        <f t="shared" si="90"/>
        <v>18894643.391464908</v>
      </c>
      <c r="N1135" s="11">
        <f t="shared" si="86"/>
        <v>3.2652358244540484E-4</v>
      </c>
    </row>
    <row r="1136" spans="1:14" x14ac:dyDescent="0.25">
      <c r="A1136" s="79" t="s">
        <v>34</v>
      </c>
      <c r="B1136" s="89" t="s">
        <v>6</v>
      </c>
      <c r="C1136" s="89" t="s">
        <v>43</v>
      </c>
      <c r="D1136" s="13" t="s">
        <v>182</v>
      </c>
      <c r="E1136" s="35">
        <f>VLOOKUP(B1136, Passenger_Kilometre_by_mode_type[#All],MATCH(A1136, Passenger_Kilometre_by_mode_type[#Headers],0),0)</f>
        <v>6799367587.5175657</v>
      </c>
      <c r="F1136" s="89">
        <f>VLOOKUP(C1136, Reason_for_car_journeys_by_percentage[#All],MATCH(A1136, Reason_for_car_journeys_by_percentage[#Headers],0),0)/100</f>
        <v>3.1523642732049037E-2</v>
      </c>
      <c r="G1136" s="13">
        <f t="shared" si="87"/>
        <v>214340834.6327779</v>
      </c>
      <c r="H1136" s="89">
        <f>VLOOKUP(D1136,Average_Distance_by_kilometre_grouping_for_mode_type[#All],MATCH(A1136,Average_Distance_by_kilometre_grouping_for_mode_type[#Headers],0),0)</f>
        <v>7</v>
      </c>
      <c r="I1136" s="89">
        <f>VLOOKUP(D1136,Average_Distance_by_kilometres_grouping_for_trip_purpose[#All],MATCH(A1136,Average_Distance_by_kilometres_grouping_for_trip_purpose[#Headers],0),0)</f>
        <v>7</v>
      </c>
      <c r="J1136" s="89">
        <f t="shared" si="88"/>
        <v>7</v>
      </c>
      <c r="K1136" s="89">
        <f t="shared" si="89"/>
        <v>0.12341325811001411</v>
      </c>
      <c r="L1136" s="89">
        <v>1</v>
      </c>
      <c r="M1136" s="13">
        <f t="shared" si="90"/>
        <v>26452500.748050869</v>
      </c>
      <c r="N1136" s="11">
        <f t="shared" si="86"/>
        <v>4.5713301542356675E-4</v>
      </c>
    </row>
    <row r="1137" spans="1:14" x14ac:dyDescent="0.25">
      <c r="A1137" s="79" t="s">
        <v>34</v>
      </c>
      <c r="B1137" s="89" t="s">
        <v>6</v>
      </c>
      <c r="C1137" s="89" t="s">
        <v>43</v>
      </c>
      <c r="D1137" s="13" t="s">
        <v>1</v>
      </c>
      <c r="E1137" s="35">
        <f>VLOOKUP(B1137, Passenger_Kilometre_by_mode_type[#All],MATCH(A1137, Passenger_Kilometre_by_mode_type[#Headers],0),0)</f>
        <v>6799367587.5175657</v>
      </c>
      <c r="F1137" s="89">
        <f>VLOOKUP(C1137, Reason_for_car_journeys_by_percentage[#All],MATCH(A1137, Reason_for_car_journeys_by_percentage[#Headers],0),0)/100</f>
        <v>3.1523642732049037E-2</v>
      </c>
      <c r="G1137" s="13">
        <f t="shared" si="87"/>
        <v>214340834.6327779</v>
      </c>
      <c r="H1137" s="89">
        <f>VLOOKUP(D1137,Average_Distance_by_kilometre_grouping_for_mode_type[#All],MATCH(A1137,Average_Distance_by_kilometre_grouping_for_mode_type[#Headers],0),0)</f>
        <v>38.99</v>
      </c>
      <c r="I1137" s="89">
        <f>VLOOKUP(D1137,Average_Distance_by_kilometres_grouping_for_trip_purpose[#All],MATCH(A1137,Average_Distance_by_kilometres_grouping_for_trip_purpose[#Headers],0),0)</f>
        <v>42.45</v>
      </c>
      <c r="J1137" s="89">
        <f t="shared" si="88"/>
        <v>40.72</v>
      </c>
      <c r="K1137" s="89">
        <f t="shared" si="89"/>
        <v>0.71791255289139633</v>
      </c>
      <c r="L1137" s="89">
        <v>1</v>
      </c>
      <c r="M1137" s="13">
        <f t="shared" si="90"/>
        <v>153877975.78009018</v>
      </c>
      <c r="N1137" s="11">
        <f t="shared" si="86"/>
        <v>2.6592080554353765E-3</v>
      </c>
    </row>
    <row r="1138" spans="1:14" x14ac:dyDescent="0.25">
      <c r="A1138" s="79" t="s">
        <v>34</v>
      </c>
      <c r="B1138" s="89" t="s">
        <v>6</v>
      </c>
      <c r="C1138" s="89" t="s">
        <v>44</v>
      </c>
      <c r="D1138" s="13" t="s">
        <v>12</v>
      </c>
      <c r="E1138" s="35">
        <f>VLOOKUP(B1138, Passenger_Kilometre_by_mode_type[#All],MATCH(A1138, Passenger_Kilometre_by_mode_type[#Headers],0),0)</f>
        <v>6799367587.5175657</v>
      </c>
      <c r="F1138" s="89">
        <f>VLOOKUP(C1138, Reason_for_car_journeys_by_percentage[#All],MATCH(A1138, Reason_for_car_journeys_by_percentage[#Headers],0),0)/100</f>
        <v>0.2416812609457093</v>
      </c>
      <c r="G1138" s="13">
        <f t="shared" si="87"/>
        <v>1643279732.1846306</v>
      </c>
      <c r="H1138" s="89">
        <f>VLOOKUP(D1138,Average_Distance_by_kilometre_grouping_for_mode_type[#All],MATCH(A1138,Average_Distance_by_kilometre_grouping_for_mode_type[#Headers],0),0)</f>
        <v>1</v>
      </c>
      <c r="I1138" s="89">
        <f>VLOOKUP(D1138,Average_Distance_by_kilometres_grouping_for_trip_purpose[#All],MATCH(A1138,Average_Distance_by_kilometres_grouping_for_trip_purpose[#Headers],0),0)</f>
        <v>1</v>
      </c>
      <c r="J1138" s="89">
        <f t="shared" si="88"/>
        <v>1</v>
      </c>
      <c r="K1138" s="89">
        <f t="shared" si="89"/>
        <v>1.763046544428773E-2</v>
      </c>
      <c r="L1138" s="89">
        <v>1</v>
      </c>
      <c r="M1138" s="13">
        <f t="shared" si="90"/>
        <v>28971786.533579525</v>
      </c>
      <c r="N1138" s="11">
        <f t="shared" si="86"/>
        <v>5.0066949308295405E-4</v>
      </c>
    </row>
    <row r="1139" spans="1:14" x14ac:dyDescent="0.25">
      <c r="A1139" s="79" t="s">
        <v>34</v>
      </c>
      <c r="B1139" s="89" t="s">
        <v>6</v>
      </c>
      <c r="C1139" s="89" t="s">
        <v>44</v>
      </c>
      <c r="D1139" s="13" t="s">
        <v>181</v>
      </c>
      <c r="E1139" s="35">
        <f>VLOOKUP(B1139, Passenger_Kilometre_by_mode_type[#All],MATCH(A1139, Passenger_Kilometre_by_mode_type[#Headers],0),0)</f>
        <v>6799367587.5175657</v>
      </c>
      <c r="F1139" s="89">
        <f>VLOOKUP(C1139, Reason_for_car_journeys_by_percentage[#All],MATCH(A1139, Reason_for_car_journeys_by_percentage[#Headers],0),0)/100</f>
        <v>0.2416812609457093</v>
      </c>
      <c r="G1139" s="13">
        <f t="shared" si="87"/>
        <v>1643279732.1846306</v>
      </c>
      <c r="H1139" s="89">
        <f>VLOOKUP(D1139,Average_Distance_by_kilometre_grouping_for_mode_type[#All],MATCH(A1139,Average_Distance_by_kilometre_grouping_for_mode_type[#Headers],0),0)</f>
        <v>3</v>
      </c>
      <c r="I1139" s="89">
        <f>VLOOKUP(D1139,Average_Distance_by_kilometres_grouping_for_trip_purpose[#All],MATCH(A1139,Average_Distance_by_kilometres_grouping_for_trip_purpose[#Headers],0),0)</f>
        <v>3</v>
      </c>
      <c r="J1139" s="89">
        <f t="shared" si="88"/>
        <v>3</v>
      </c>
      <c r="K1139" s="89">
        <f t="shared" si="89"/>
        <v>5.2891396332863189E-2</v>
      </c>
      <c r="L1139" s="89">
        <v>1</v>
      </c>
      <c r="M1139" s="13">
        <f t="shared" si="90"/>
        <v>86915359.60073857</v>
      </c>
      <c r="N1139" s="11">
        <f t="shared" si="86"/>
        <v>1.5020084792488622E-3</v>
      </c>
    </row>
    <row r="1140" spans="1:14" x14ac:dyDescent="0.25">
      <c r="A1140" s="79" t="s">
        <v>34</v>
      </c>
      <c r="B1140" s="89" t="s">
        <v>6</v>
      </c>
      <c r="C1140" s="89" t="s">
        <v>44</v>
      </c>
      <c r="D1140" s="13" t="s">
        <v>180</v>
      </c>
      <c r="E1140" s="35">
        <f>VLOOKUP(B1140, Passenger_Kilometre_by_mode_type[#All],MATCH(A1140, Passenger_Kilometre_by_mode_type[#Headers],0),0)</f>
        <v>6799367587.5175657</v>
      </c>
      <c r="F1140" s="89">
        <f>VLOOKUP(C1140, Reason_for_car_journeys_by_percentage[#All],MATCH(A1140, Reason_for_car_journeys_by_percentage[#Headers],0),0)/100</f>
        <v>0.2416812609457093</v>
      </c>
      <c r="G1140" s="13">
        <f t="shared" si="87"/>
        <v>1643279732.1846306</v>
      </c>
      <c r="H1140" s="89">
        <f>VLOOKUP(D1140,Average_Distance_by_kilometre_grouping_for_mode_type[#All],MATCH(A1140,Average_Distance_by_kilometre_grouping_for_mode_type[#Headers],0),0)</f>
        <v>5</v>
      </c>
      <c r="I1140" s="89">
        <f>VLOOKUP(D1140,Average_Distance_by_kilometres_grouping_for_trip_purpose[#All],MATCH(A1140,Average_Distance_by_kilometres_grouping_for_trip_purpose[#Headers],0),0)</f>
        <v>5</v>
      </c>
      <c r="J1140" s="89">
        <f t="shared" si="88"/>
        <v>5</v>
      </c>
      <c r="K1140" s="89">
        <f t="shared" si="89"/>
        <v>8.8152327221438648E-2</v>
      </c>
      <c r="L1140" s="89">
        <v>1</v>
      </c>
      <c r="M1140" s="13">
        <f t="shared" si="90"/>
        <v>144858932.66789761</v>
      </c>
      <c r="N1140" s="11">
        <f t="shared" si="86"/>
        <v>2.5033474654147705E-3</v>
      </c>
    </row>
    <row r="1141" spans="1:14" x14ac:dyDescent="0.25">
      <c r="A1141" s="79" t="s">
        <v>34</v>
      </c>
      <c r="B1141" s="89" t="s">
        <v>6</v>
      </c>
      <c r="C1141" s="89" t="s">
        <v>44</v>
      </c>
      <c r="D1141" s="13" t="s">
        <v>182</v>
      </c>
      <c r="E1141" s="35">
        <f>VLOOKUP(B1141, Passenger_Kilometre_by_mode_type[#All],MATCH(A1141, Passenger_Kilometre_by_mode_type[#Headers],0),0)</f>
        <v>6799367587.5175657</v>
      </c>
      <c r="F1141" s="89">
        <f>VLOOKUP(C1141, Reason_for_car_journeys_by_percentage[#All],MATCH(A1141, Reason_for_car_journeys_by_percentage[#Headers],0),0)/100</f>
        <v>0.2416812609457093</v>
      </c>
      <c r="G1141" s="13">
        <f t="shared" si="87"/>
        <v>1643279732.1846306</v>
      </c>
      <c r="H1141" s="89">
        <f>VLOOKUP(D1141,Average_Distance_by_kilometre_grouping_for_mode_type[#All],MATCH(A1141,Average_Distance_by_kilometre_grouping_for_mode_type[#Headers],0),0)</f>
        <v>7</v>
      </c>
      <c r="I1141" s="89">
        <f>VLOOKUP(D1141,Average_Distance_by_kilometres_grouping_for_trip_purpose[#All],MATCH(A1141,Average_Distance_by_kilometres_grouping_for_trip_purpose[#Headers],0),0)</f>
        <v>7</v>
      </c>
      <c r="J1141" s="89">
        <f t="shared" si="88"/>
        <v>7</v>
      </c>
      <c r="K1141" s="89">
        <f t="shared" si="89"/>
        <v>0.12341325811001411</v>
      </c>
      <c r="L1141" s="89">
        <v>1</v>
      </c>
      <c r="M1141" s="13">
        <f t="shared" si="90"/>
        <v>202802505.73505667</v>
      </c>
      <c r="N1141" s="11">
        <f t="shared" si="86"/>
        <v>3.5046864515806786E-3</v>
      </c>
    </row>
    <row r="1142" spans="1:14" x14ac:dyDescent="0.25">
      <c r="A1142" s="79" t="s">
        <v>34</v>
      </c>
      <c r="B1142" s="89" t="s">
        <v>6</v>
      </c>
      <c r="C1142" s="89" t="s">
        <v>44</v>
      </c>
      <c r="D1142" s="13" t="s">
        <v>1</v>
      </c>
      <c r="E1142" s="35">
        <f>VLOOKUP(B1142, Passenger_Kilometre_by_mode_type[#All],MATCH(A1142, Passenger_Kilometre_by_mode_type[#Headers],0),0)</f>
        <v>6799367587.5175657</v>
      </c>
      <c r="F1142" s="89">
        <f>VLOOKUP(C1142, Reason_for_car_journeys_by_percentage[#All],MATCH(A1142, Reason_for_car_journeys_by_percentage[#Headers],0),0)/100</f>
        <v>0.2416812609457093</v>
      </c>
      <c r="G1142" s="13">
        <f t="shared" si="87"/>
        <v>1643279732.1846306</v>
      </c>
      <c r="H1142" s="89">
        <f>VLOOKUP(D1142,Average_Distance_by_kilometre_grouping_for_mode_type[#All],MATCH(A1142,Average_Distance_by_kilometre_grouping_for_mode_type[#Headers],0),0)</f>
        <v>38.99</v>
      </c>
      <c r="I1142" s="89">
        <f>VLOOKUP(D1142,Average_Distance_by_kilometres_grouping_for_trip_purpose[#All],MATCH(A1142,Average_Distance_by_kilometres_grouping_for_trip_purpose[#Headers],0),0)</f>
        <v>42.45</v>
      </c>
      <c r="J1142" s="89">
        <f t="shared" si="88"/>
        <v>40.72</v>
      </c>
      <c r="K1142" s="89">
        <f t="shared" si="89"/>
        <v>0.71791255289139633</v>
      </c>
      <c r="L1142" s="89">
        <v>1</v>
      </c>
      <c r="M1142" s="13">
        <f t="shared" si="90"/>
        <v>1179731147.6473582</v>
      </c>
      <c r="N1142" s="11">
        <f t="shared" si="86"/>
        <v>2.0387261758337889E-2</v>
      </c>
    </row>
    <row r="1143" spans="1:14" x14ac:dyDescent="0.25">
      <c r="A1143" s="79" t="s">
        <v>34</v>
      </c>
      <c r="B1143" s="89" t="s">
        <v>6</v>
      </c>
      <c r="C1143" s="89" t="s">
        <v>45</v>
      </c>
      <c r="D1143" s="13" t="s">
        <v>12</v>
      </c>
      <c r="E1143" s="35">
        <f>VLOOKUP(B1143, Passenger_Kilometre_by_mode_type[#All],MATCH(A1143, Passenger_Kilometre_by_mode_type[#Headers],0),0)</f>
        <v>6799367587.5175657</v>
      </c>
      <c r="F1143" s="89">
        <f>VLOOKUP(C1143, Reason_for_car_journeys_by_percentage[#All],MATCH(A1143, Reason_for_car_journeys_by_percentage[#Headers],0),0)/100</f>
        <v>1.3009757317988493E-2</v>
      </c>
      <c r="G1143" s="13">
        <f t="shared" si="87"/>
        <v>88458122.229400426</v>
      </c>
      <c r="H1143" s="89">
        <f>VLOOKUP(D1143,Average_Distance_by_kilometre_grouping_for_mode_type[#All],MATCH(A1143,Average_Distance_by_kilometre_grouping_for_mode_type[#Headers],0),0)</f>
        <v>1</v>
      </c>
      <c r="I1143" s="89">
        <f>VLOOKUP(D1143,Average_Distance_by_kilometres_grouping_for_trip_purpose[#All],MATCH(A1143,Average_Distance_by_kilometres_grouping_for_trip_purpose[#Headers],0),0)</f>
        <v>1</v>
      </c>
      <c r="J1143" s="89">
        <f t="shared" si="88"/>
        <v>1</v>
      </c>
      <c r="K1143" s="89">
        <f t="shared" si="89"/>
        <v>1.763046544428773E-2</v>
      </c>
      <c r="L1143" s="89">
        <v>1</v>
      </c>
      <c r="M1143" s="13">
        <f t="shared" si="90"/>
        <v>1559557.8672320244</v>
      </c>
      <c r="N1143" s="11">
        <f t="shared" si="86"/>
        <v>2.695115283676358E-5</v>
      </c>
    </row>
    <row r="1144" spans="1:14" x14ac:dyDescent="0.25">
      <c r="A1144" s="79" t="s">
        <v>34</v>
      </c>
      <c r="B1144" s="89" t="s">
        <v>6</v>
      </c>
      <c r="C1144" s="89" t="s">
        <v>45</v>
      </c>
      <c r="D1144" s="13" t="s">
        <v>181</v>
      </c>
      <c r="E1144" s="35">
        <f>VLOOKUP(B1144, Passenger_Kilometre_by_mode_type[#All],MATCH(A1144, Passenger_Kilometre_by_mode_type[#Headers],0),0)</f>
        <v>6799367587.5175657</v>
      </c>
      <c r="F1144" s="89">
        <f>VLOOKUP(C1144, Reason_for_car_journeys_by_percentage[#All],MATCH(A1144, Reason_for_car_journeys_by_percentage[#Headers],0),0)/100</f>
        <v>1.3009757317988493E-2</v>
      </c>
      <c r="G1144" s="13">
        <f t="shared" si="87"/>
        <v>88458122.229400426</v>
      </c>
      <c r="H1144" s="89">
        <f>VLOOKUP(D1144,Average_Distance_by_kilometre_grouping_for_mode_type[#All],MATCH(A1144,Average_Distance_by_kilometre_grouping_for_mode_type[#Headers],0),0)</f>
        <v>3</v>
      </c>
      <c r="I1144" s="89">
        <f>VLOOKUP(D1144,Average_Distance_by_kilometres_grouping_for_trip_purpose[#All],MATCH(A1144,Average_Distance_by_kilometres_grouping_for_trip_purpose[#Headers],0),0)</f>
        <v>3</v>
      </c>
      <c r="J1144" s="89">
        <f t="shared" si="88"/>
        <v>3</v>
      </c>
      <c r="K1144" s="89">
        <f t="shared" si="89"/>
        <v>5.2891396332863189E-2</v>
      </c>
      <c r="L1144" s="89">
        <v>1</v>
      </c>
      <c r="M1144" s="13">
        <f t="shared" si="90"/>
        <v>4678673.6016960731</v>
      </c>
      <c r="N1144" s="11">
        <f t="shared" si="86"/>
        <v>8.0853458510290736E-5</v>
      </c>
    </row>
    <row r="1145" spans="1:14" x14ac:dyDescent="0.25">
      <c r="A1145" s="79" t="s">
        <v>34</v>
      </c>
      <c r="B1145" s="89" t="s">
        <v>6</v>
      </c>
      <c r="C1145" s="89" t="s">
        <v>45</v>
      </c>
      <c r="D1145" s="13" t="s">
        <v>180</v>
      </c>
      <c r="E1145" s="35">
        <f>VLOOKUP(B1145, Passenger_Kilometre_by_mode_type[#All],MATCH(A1145, Passenger_Kilometre_by_mode_type[#Headers],0),0)</f>
        <v>6799367587.5175657</v>
      </c>
      <c r="F1145" s="89">
        <f>VLOOKUP(C1145, Reason_for_car_journeys_by_percentage[#All],MATCH(A1145, Reason_for_car_journeys_by_percentage[#Headers],0),0)/100</f>
        <v>1.3009757317988493E-2</v>
      </c>
      <c r="G1145" s="13">
        <f t="shared" si="87"/>
        <v>88458122.229400426</v>
      </c>
      <c r="H1145" s="89">
        <f>VLOOKUP(D1145,Average_Distance_by_kilometre_grouping_for_mode_type[#All],MATCH(A1145,Average_Distance_by_kilometre_grouping_for_mode_type[#Headers],0),0)</f>
        <v>5</v>
      </c>
      <c r="I1145" s="89">
        <f>VLOOKUP(D1145,Average_Distance_by_kilometres_grouping_for_trip_purpose[#All],MATCH(A1145,Average_Distance_by_kilometres_grouping_for_trip_purpose[#Headers],0),0)</f>
        <v>5</v>
      </c>
      <c r="J1145" s="89">
        <f t="shared" si="88"/>
        <v>5</v>
      </c>
      <c r="K1145" s="89">
        <f t="shared" si="89"/>
        <v>8.8152327221438648E-2</v>
      </c>
      <c r="L1145" s="89">
        <v>1</v>
      </c>
      <c r="M1145" s="13">
        <f t="shared" si="90"/>
        <v>7797789.3361601224</v>
      </c>
      <c r="N1145" s="11">
        <f t="shared" si="86"/>
        <v>1.3475576418381792E-4</v>
      </c>
    </row>
    <row r="1146" spans="1:14" x14ac:dyDescent="0.25">
      <c r="A1146" s="79" t="s">
        <v>34</v>
      </c>
      <c r="B1146" s="89" t="s">
        <v>6</v>
      </c>
      <c r="C1146" s="89" t="s">
        <v>45</v>
      </c>
      <c r="D1146" s="13" t="s">
        <v>182</v>
      </c>
      <c r="E1146" s="35">
        <f>VLOOKUP(B1146, Passenger_Kilometre_by_mode_type[#All],MATCH(A1146, Passenger_Kilometre_by_mode_type[#Headers],0),0)</f>
        <v>6799367587.5175657</v>
      </c>
      <c r="F1146" s="89">
        <f>VLOOKUP(C1146, Reason_for_car_journeys_by_percentage[#All],MATCH(A1146, Reason_for_car_journeys_by_percentage[#Headers],0),0)/100</f>
        <v>1.3009757317988493E-2</v>
      </c>
      <c r="G1146" s="13">
        <f t="shared" si="87"/>
        <v>88458122.229400426</v>
      </c>
      <c r="H1146" s="89">
        <f>VLOOKUP(D1146,Average_Distance_by_kilometre_grouping_for_mode_type[#All],MATCH(A1146,Average_Distance_by_kilometre_grouping_for_mode_type[#Headers],0),0)</f>
        <v>7</v>
      </c>
      <c r="I1146" s="89">
        <f>VLOOKUP(D1146,Average_Distance_by_kilometres_grouping_for_trip_purpose[#All],MATCH(A1146,Average_Distance_by_kilometres_grouping_for_trip_purpose[#Headers],0),0)</f>
        <v>7</v>
      </c>
      <c r="J1146" s="89">
        <f t="shared" si="88"/>
        <v>7</v>
      </c>
      <c r="K1146" s="89">
        <f t="shared" si="89"/>
        <v>0.12341325811001411</v>
      </c>
      <c r="L1146" s="89">
        <v>1</v>
      </c>
      <c r="M1146" s="13">
        <f t="shared" si="90"/>
        <v>10916905.070624171</v>
      </c>
      <c r="N1146" s="11">
        <f t="shared" si="86"/>
        <v>1.8865806985734506E-4</v>
      </c>
    </row>
    <row r="1147" spans="1:14" x14ac:dyDescent="0.25">
      <c r="A1147" s="79" t="s">
        <v>34</v>
      </c>
      <c r="B1147" s="89" t="s">
        <v>6</v>
      </c>
      <c r="C1147" s="89" t="s">
        <v>45</v>
      </c>
      <c r="D1147" s="13" t="s">
        <v>1</v>
      </c>
      <c r="E1147" s="35">
        <f>VLOOKUP(B1147, Passenger_Kilometre_by_mode_type[#All],MATCH(A1147, Passenger_Kilometre_by_mode_type[#Headers],0),0)</f>
        <v>6799367587.5175657</v>
      </c>
      <c r="F1147" s="89">
        <f>VLOOKUP(C1147, Reason_for_car_journeys_by_percentage[#All],MATCH(A1147, Reason_for_car_journeys_by_percentage[#Headers],0),0)/100</f>
        <v>1.3009757317988493E-2</v>
      </c>
      <c r="G1147" s="13">
        <f t="shared" si="87"/>
        <v>88458122.229400426</v>
      </c>
      <c r="H1147" s="89">
        <f>VLOOKUP(D1147,Average_Distance_by_kilometre_grouping_for_mode_type[#All],MATCH(A1147,Average_Distance_by_kilometre_grouping_for_mode_type[#Headers],0),0)</f>
        <v>38.99</v>
      </c>
      <c r="I1147" s="89">
        <f>VLOOKUP(D1147,Average_Distance_by_kilometres_grouping_for_trip_purpose[#All],MATCH(A1147,Average_Distance_by_kilometres_grouping_for_trip_purpose[#Headers],0),0)</f>
        <v>42.45</v>
      </c>
      <c r="J1147" s="89">
        <f t="shared" si="88"/>
        <v>40.72</v>
      </c>
      <c r="K1147" s="89">
        <f t="shared" si="89"/>
        <v>0.71791255289139633</v>
      </c>
      <c r="L1147" s="89">
        <v>1</v>
      </c>
      <c r="M1147" s="13">
        <f t="shared" si="90"/>
        <v>63505196.353688031</v>
      </c>
      <c r="N1147" s="11">
        <f t="shared" si="86"/>
        <v>1.097450943513013E-3</v>
      </c>
    </row>
    <row r="1148" spans="1:14" x14ac:dyDescent="0.25">
      <c r="A1148" s="79" t="s">
        <v>34</v>
      </c>
      <c r="B1148" s="89" t="s">
        <v>6</v>
      </c>
      <c r="C1148" s="89" t="s">
        <v>56</v>
      </c>
      <c r="D1148" s="13" t="s">
        <v>12</v>
      </c>
      <c r="E1148" s="35">
        <f>VLOOKUP(B1148, Passenger_Kilometre_by_mode_type[#All],MATCH(A1148, Passenger_Kilometre_by_mode_type[#Headers],0),0)</f>
        <v>6799367587.5175657</v>
      </c>
      <c r="F1148" s="89">
        <f>VLOOKUP(C1148, Reason_for_car_journeys_by_percentage[#All],MATCH(A1148, Reason_for_car_journeys_by_percentage[#Headers],0),0)/100</f>
        <v>0.11508631473605202</v>
      </c>
      <c r="G1148" s="13">
        <f t="shared" si="87"/>
        <v>782514158.18315732</v>
      </c>
      <c r="H1148" s="89">
        <f>VLOOKUP(D1148,Average_Distance_by_kilometre_grouping_for_mode_type[#All],MATCH(A1148,Average_Distance_by_kilometre_grouping_for_mode_type[#Headers],0),0)</f>
        <v>1</v>
      </c>
      <c r="I1148" s="89">
        <f>VLOOKUP(D1148,Average_Distance_by_kilometres_grouping_for_trip_purpose[#All],MATCH(A1148,Average_Distance_by_kilometres_grouping_for_trip_purpose[#Headers],0),0)</f>
        <v>1</v>
      </c>
      <c r="J1148" s="89">
        <f t="shared" si="88"/>
        <v>1</v>
      </c>
      <c r="K1148" s="89">
        <f t="shared" si="89"/>
        <v>1.763046544428773E-2</v>
      </c>
      <c r="L1148" s="89">
        <v>1</v>
      </c>
      <c r="M1148" s="13">
        <f t="shared" si="90"/>
        <v>13796088.825514058</v>
      </c>
      <c r="N1148" s="11">
        <f t="shared" ref="N1148:N1211" si="91">M1148/SUM($M$1083:$M$1442)</f>
        <v>2.3841404432521621E-4</v>
      </c>
    </row>
    <row r="1149" spans="1:14" x14ac:dyDescent="0.25">
      <c r="A1149" s="79" t="s">
        <v>34</v>
      </c>
      <c r="B1149" s="89" t="s">
        <v>6</v>
      </c>
      <c r="C1149" s="89" t="s">
        <v>56</v>
      </c>
      <c r="D1149" s="13" t="s">
        <v>181</v>
      </c>
      <c r="E1149" s="35">
        <f>VLOOKUP(B1149, Passenger_Kilometre_by_mode_type[#All],MATCH(A1149, Passenger_Kilometre_by_mode_type[#Headers],0),0)</f>
        <v>6799367587.5175657</v>
      </c>
      <c r="F1149" s="89">
        <f>VLOOKUP(C1149, Reason_for_car_journeys_by_percentage[#All],MATCH(A1149, Reason_for_car_journeys_by_percentage[#Headers],0),0)/100</f>
        <v>0.11508631473605202</v>
      </c>
      <c r="G1149" s="13">
        <f t="shared" si="87"/>
        <v>782514158.18315732</v>
      </c>
      <c r="H1149" s="89">
        <f>VLOOKUP(D1149,Average_Distance_by_kilometre_grouping_for_mode_type[#All],MATCH(A1149,Average_Distance_by_kilometre_grouping_for_mode_type[#Headers],0),0)</f>
        <v>3</v>
      </c>
      <c r="I1149" s="89">
        <f>VLOOKUP(D1149,Average_Distance_by_kilometres_grouping_for_trip_purpose[#All],MATCH(A1149,Average_Distance_by_kilometres_grouping_for_trip_purpose[#Headers],0),0)</f>
        <v>3</v>
      </c>
      <c r="J1149" s="89">
        <f t="shared" si="88"/>
        <v>3</v>
      </c>
      <c r="K1149" s="89">
        <f t="shared" si="89"/>
        <v>5.2891396332863189E-2</v>
      </c>
      <c r="L1149" s="89">
        <v>1</v>
      </c>
      <c r="M1149" s="13">
        <f t="shared" si="90"/>
        <v>41388266.476542175</v>
      </c>
      <c r="N1149" s="11">
        <f t="shared" si="91"/>
        <v>7.1524213297564866E-4</v>
      </c>
    </row>
    <row r="1150" spans="1:14" x14ac:dyDescent="0.25">
      <c r="A1150" s="79" t="s">
        <v>34</v>
      </c>
      <c r="B1150" s="89" t="s">
        <v>6</v>
      </c>
      <c r="C1150" s="89" t="s">
        <v>56</v>
      </c>
      <c r="D1150" s="13" t="s">
        <v>180</v>
      </c>
      <c r="E1150" s="35">
        <f>VLOOKUP(B1150, Passenger_Kilometre_by_mode_type[#All],MATCH(A1150, Passenger_Kilometre_by_mode_type[#Headers],0),0)</f>
        <v>6799367587.5175657</v>
      </c>
      <c r="F1150" s="89">
        <f>VLOOKUP(C1150, Reason_for_car_journeys_by_percentage[#All],MATCH(A1150, Reason_for_car_journeys_by_percentage[#Headers],0),0)/100</f>
        <v>0.11508631473605202</v>
      </c>
      <c r="G1150" s="13">
        <f t="shared" si="87"/>
        <v>782514158.18315732</v>
      </c>
      <c r="H1150" s="89">
        <f>VLOOKUP(D1150,Average_Distance_by_kilometre_grouping_for_mode_type[#All],MATCH(A1150,Average_Distance_by_kilometre_grouping_for_mode_type[#Headers],0),0)</f>
        <v>5</v>
      </c>
      <c r="I1150" s="89">
        <f>VLOOKUP(D1150,Average_Distance_by_kilometres_grouping_for_trip_purpose[#All],MATCH(A1150,Average_Distance_by_kilometres_grouping_for_trip_purpose[#Headers],0),0)</f>
        <v>5</v>
      </c>
      <c r="J1150" s="89">
        <f t="shared" si="88"/>
        <v>5</v>
      </c>
      <c r="K1150" s="89">
        <f t="shared" si="89"/>
        <v>8.8152327221438648E-2</v>
      </c>
      <c r="L1150" s="89">
        <v>1</v>
      </c>
      <c r="M1150" s="13">
        <f t="shared" si="90"/>
        <v>68980444.127570286</v>
      </c>
      <c r="N1150" s="11">
        <f t="shared" si="91"/>
        <v>1.1920702216260809E-3</v>
      </c>
    </row>
    <row r="1151" spans="1:14" x14ac:dyDescent="0.25">
      <c r="A1151" s="79" t="s">
        <v>34</v>
      </c>
      <c r="B1151" s="89" t="s">
        <v>6</v>
      </c>
      <c r="C1151" s="89" t="s">
        <v>56</v>
      </c>
      <c r="D1151" s="13" t="s">
        <v>182</v>
      </c>
      <c r="E1151" s="35">
        <f>VLOOKUP(B1151, Passenger_Kilometre_by_mode_type[#All],MATCH(A1151, Passenger_Kilometre_by_mode_type[#Headers],0),0)</f>
        <v>6799367587.5175657</v>
      </c>
      <c r="F1151" s="89">
        <f>VLOOKUP(C1151, Reason_for_car_journeys_by_percentage[#All],MATCH(A1151, Reason_for_car_journeys_by_percentage[#Headers],0),0)/100</f>
        <v>0.11508631473605202</v>
      </c>
      <c r="G1151" s="13">
        <f t="shared" si="87"/>
        <v>782514158.18315732</v>
      </c>
      <c r="H1151" s="89">
        <f>VLOOKUP(D1151,Average_Distance_by_kilometre_grouping_for_mode_type[#All],MATCH(A1151,Average_Distance_by_kilometre_grouping_for_mode_type[#Headers],0),0)</f>
        <v>7</v>
      </c>
      <c r="I1151" s="89">
        <f>VLOOKUP(D1151,Average_Distance_by_kilometres_grouping_for_trip_purpose[#All],MATCH(A1151,Average_Distance_by_kilometres_grouping_for_trip_purpose[#Headers],0),0)</f>
        <v>7</v>
      </c>
      <c r="J1151" s="89">
        <f t="shared" si="88"/>
        <v>7</v>
      </c>
      <c r="K1151" s="89">
        <f t="shared" si="89"/>
        <v>0.12341325811001411</v>
      </c>
      <c r="L1151" s="89">
        <v>1</v>
      </c>
      <c r="M1151" s="13">
        <f t="shared" si="90"/>
        <v>96572621.778598398</v>
      </c>
      <c r="N1151" s="11">
        <f t="shared" si="91"/>
        <v>1.6688983102765133E-3</v>
      </c>
    </row>
    <row r="1152" spans="1:14" x14ac:dyDescent="0.25">
      <c r="A1152" s="79" t="s">
        <v>34</v>
      </c>
      <c r="B1152" s="89" t="s">
        <v>6</v>
      </c>
      <c r="C1152" s="89" t="s">
        <v>56</v>
      </c>
      <c r="D1152" s="13" t="s">
        <v>1</v>
      </c>
      <c r="E1152" s="35">
        <f>VLOOKUP(B1152, Passenger_Kilometre_by_mode_type[#All],MATCH(A1152, Passenger_Kilometre_by_mode_type[#Headers],0),0)</f>
        <v>6799367587.5175657</v>
      </c>
      <c r="F1152" s="89">
        <f>VLOOKUP(C1152, Reason_for_car_journeys_by_percentage[#All],MATCH(A1152, Reason_for_car_journeys_by_percentage[#Headers],0),0)/100</f>
        <v>0.11508631473605202</v>
      </c>
      <c r="G1152" s="13">
        <f t="shared" si="87"/>
        <v>782514158.18315732</v>
      </c>
      <c r="H1152" s="89">
        <f>VLOOKUP(D1152,Average_Distance_by_kilometre_grouping_for_mode_type[#All],MATCH(A1152,Average_Distance_by_kilometre_grouping_for_mode_type[#Headers],0),0)</f>
        <v>38.99</v>
      </c>
      <c r="I1152" s="89">
        <f>VLOOKUP(D1152,Average_Distance_by_kilometres_grouping_for_trip_purpose[#All],MATCH(A1152,Average_Distance_by_kilometres_grouping_for_trip_purpose[#Headers],0),0)</f>
        <v>42.45</v>
      </c>
      <c r="J1152" s="89">
        <f t="shared" si="88"/>
        <v>40.72</v>
      </c>
      <c r="K1152" s="89">
        <f t="shared" si="89"/>
        <v>0.71791255289139633</v>
      </c>
      <c r="L1152" s="89">
        <v>1</v>
      </c>
      <c r="M1152" s="13">
        <f t="shared" si="90"/>
        <v>561776736.97493243</v>
      </c>
      <c r="N1152" s="11">
        <f t="shared" si="91"/>
        <v>9.708219884922804E-3</v>
      </c>
    </row>
    <row r="1153" spans="1:14" x14ac:dyDescent="0.25">
      <c r="A1153" s="79" t="s">
        <v>34</v>
      </c>
      <c r="B1153" s="89" t="s">
        <v>6</v>
      </c>
      <c r="C1153" s="89" t="s">
        <v>57</v>
      </c>
      <c r="D1153" s="13" t="s">
        <v>12</v>
      </c>
      <c r="E1153" s="35">
        <f>VLOOKUP(B1153, Passenger_Kilometre_by_mode_type[#All],MATCH(A1153, Passenger_Kilometre_by_mode_type[#Headers],0),0)</f>
        <v>6799367587.5175657</v>
      </c>
      <c r="F1153" s="89">
        <f>VLOOKUP(C1153, Reason_for_car_journeys_by_percentage[#All],MATCH(A1153, Reason_for_car_journeys_by_percentage[#Headers],0),0)/100</f>
        <v>8.3812859644733548E-2</v>
      </c>
      <c r="G1153" s="13">
        <f t="shared" si="87"/>
        <v>569874441.28556025</v>
      </c>
      <c r="H1153" s="89">
        <f>VLOOKUP(D1153,Average_Distance_by_kilometre_grouping_for_mode_type[#All],MATCH(A1153,Average_Distance_by_kilometre_grouping_for_mode_type[#Headers],0),0)</f>
        <v>1</v>
      </c>
      <c r="I1153" s="89">
        <f>VLOOKUP(D1153,Average_Distance_by_kilometres_grouping_for_trip_purpose[#All],MATCH(A1153,Average_Distance_by_kilometres_grouping_for_trip_purpose[#Headers],0),0)</f>
        <v>1</v>
      </c>
      <c r="J1153" s="89">
        <f t="shared" si="88"/>
        <v>1</v>
      </c>
      <c r="K1153" s="89">
        <f t="shared" si="89"/>
        <v>1.763046544428773E-2</v>
      </c>
      <c r="L1153" s="89">
        <v>1</v>
      </c>
      <c r="M1153" s="13">
        <f t="shared" si="90"/>
        <v>10047151.644667847</v>
      </c>
      <c r="N1153" s="11">
        <f t="shared" si="91"/>
        <v>1.7362761923684226E-4</v>
      </c>
    </row>
    <row r="1154" spans="1:14" x14ac:dyDescent="0.25">
      <c r="A1154" s="79" t="s">
        <v>34</v>
      </c>
      <c r="B1154" s="89" t="s">
        <v>6</v>
      </c>
      <c r="C1154" s="89" t="s">
        <v>57</v>
      </c>
      <c r="D1154" s="13" t="s">
        <v>181</v>
      </c>
      <c r="E1154" s="35">
        <f>VLOOKUP(B1154, Passenger_Kilometre_by_mode_type[#All],MATCH(A1154, Passenger_Kilometre_by_mode_type[#Headers],0),0)</f>
        <v>6799367587.5175657</v>
      </c>
      <c r="F1154" s="89">
        <f>VLOOKUP(C1154, Reason_for_car_journeys_by_percentage[#All],MATCH(A1154, Reason_for_car_journeys_by_percentage[#Headers],0),0)/100</f>
        <v>8.3812859644733548E-2</v>
      </c>
      <c r="G1154" s="13">
        <f t="shared" si="87"/>
        <v>569874441.28556025</v>
      </c>
      <c r="H1154" s="89">
        <f>VLOOKUP(D1154,Average_Distance_by_kilometre_grouping_for_mode_type[#All],MATCH(A1154,Average_Distance_by_kilometre_grouping_for_mode_type[#Headers],0),0)</f>
        <v>3</v>
      </c>
      <c r="I1154" s="89">
        <f>VLOOKUP(D1154,Average_Distance_by_kilometres_grouping_for_trip_purpose[#All],MATCH(A1154,Average_Distance_by_kilometres_grouping_for_trip_purpose[#Headers],0),0)</f>
        <v>3</v>
      </c>
      <c r="J1154" s="89">
        <f t="shared" si="88"/>
        <v>3</v>
      </c>
      <c r="K1154" s="89">
        <f t="shared" si="89"/>
        <v>5.2891396332863189E-2</v>
      </c>
      <c r="L1154" s="89">
        <v>1</v>
      </c>
      <c r="M1154" s="13">
        <f t="shared" si="90"/>
        <v>30141454.934003539</v>
      </c>
      <c r="N1154" s="11">
        <f t="shared" si="91"/>
        <v>5.208828577105267E-4</v>
      </c>
    </row>
    <row r="1155" spans="1:14" x14ac:dyDescent="0.25">
      <c r="A1155" s="79" t="s">
        <v>34</v>
      </c>
      <c r="B1155" s="89" t="s">
        <v>6</v>
      </c>
      <c r="C1155" s="89" t="s">
        <v>57</v>
      </c>
      <c r="D1155" s="13" t="s">
        <v>180</v>
      </c>
      <c r="E1155" s="35">
        <f>VLOOKUP(B1155, Passenger_Kilometre_by_mode_type[#All],MATCH(A1155, Passenger_Kilometre_by_mode_type[#Headers],0),0)</f>
        <v>6799367587.5175657</v>
      </c>
      <c r="F1155" s="89">
        <f>VLOOKUP(C1155, Reason_for_car_journeys_by_percentage[#All],MATCH(A1155, Reason_for_car_journeys_by_percentage[#Headers],0),0)/100</f>
        <v>8.3812859644733548E-2</v>
      </c>
      <c r="G1155" s="13">
        <f t="shared" si="87"/>
        <v>569874441.28556025</v>
      </c>
      <c r="H1155" s="89">
        <f>VLOOKUP(D1155,Average_Distance_by_kilometre_grouping_for_mode_type[#All],MATCH(A1155,Average_Distance_by_kilometre_grouping_for_mode_type[#Headers],0),0)</f>
        <v>5</v>
      </c>
      <c r="I1155" s="89">
        <f>VLOOKUP(D1155,Average_Distance_by_kilometres_grouping_for_trip_purpose[#All],MATCH(A1155,Average_Distance_by_kilometres_grouping_for_trip_purpose[#Headers],0),0)</f>
        <v>5</v>
      </c>
      <c r="J1155" s="89">
        <f t="shared" si="88"/>
        <v>5</v>
      </c>
      <c r="K1155" s="89">
        <f t="shared" si="89"/>
        <v>8.8152327221438648E-2</v>
      </c>
      <c r="L1155" s="89">
        <v>1</v>
      </c>
      <c r="M1155" s="13">
        <f t="shared" si="90"/>
        <v>50235758.22333923</v>
      </c>
      <c r="N1155" s="11">
        <f t="shared" si="91"/>
        <v>8.6813809618421116E-4</v>
      </c>
    </row>
    <row r="1156" spans="1:14" x14ac:dyDescent="0.25">
      <c r="A1156" s="79" t="s">
        <v>34</v>
      </c>
      <c r="B1156" s="89" t="s">
        <v>6</v>
      </c>
      <c r="C1156" s="89" t="s">
        <v>57</v>
      </c>
      <c r="D1156" s="13" t="s">
        <v>182</v>
      </c>
      <c r="E1156" s="35">
        <f>VLOOKUP(B1156, Passenger_Kilometre_by_mode_type[#All],MATCH(A1156, Passenger_Kilometre_by_mode_type[#Headers],0),0)</f>
        <v>6799367587.5175657</v>
      </c>
      <c r="F1156" s="89">
        <f>VLOOKUP(C1156, Reason_for_car_journeys_by_percentage[#All],MATCH(A1156, Reason_for_car_journeys_by_percentage[#Headers],0),0)/100</f>
        <v>8.3812859644733548E-2</v>
      </c>
      <c r="G1156" s="13">
        <f t="shared" ref="G1156:G1219" si="92">E1156*F1156</f>
        <v>569874441.28556025</v>
      </c>
      <c r="H1156" s="89">
        <f>VLOOKUP(D1156,Average_Distance_by_kilometre_grouping_for_mode_type[#All],MATCH(A1156,Average_Distance_by_kilometre_grouping_for_mode_type[#Headers],0),0)</f>
        <v>7</v>
      </c>
      <c r="I1156" s="89">
        <f>VLOOKUP(D1156,Average_Distance_by_kilometres_grouping_for_trip_purpose[#All],MATCH(A1156,Average_Distance_by_kilometres_grouping_for_trip_purpose[#Headers],0),0)</f>
        <v>7</v>
      </c>
      <c r="J1156" s="89">
        <f t="shared" ref="J1156:J1219" si="93">AVERAGE(H1156:I1156)</f>
        <v>7</v>
      </c>
      <c r="K1156" s="89">
        <f t="shared" ref="K1156:K1219" si="94">J1156/SUM(J1156:J1160)</f>
        <v>0.12341325811001411</v>
      </c>
      <c r="L1156" s="89">
        <v>1</v>
      </c>
      <c r="M1156" s="13">
        <f t="shared" ref="M1156:M1219" si="95">G1156*K1156*L1156</f>
        <v>70330061.512674928</v>
      </c>
      <c r="N1156" s="11">
        <f t="shared" si="91"/>
        <v>1.2153933346578957E-3</v>
      </c>
    </row>
    <row r="1157" spans="1:14" x14ac:dyDescent="0.25">
      <c r="A1157" s="79" t="s">
        <v>34</v>
      </c>
      <c r="B1157" s="89" t="s">
        <v>6</v>
      </c>
      <c r="C1157" s="89" t="s">
        <v>57</v>
      </c>
      <c r="D1157" s="13" t="s">
        <v>1</v>
      </c>
      <c r="E1157" s="35">
        <f>VLOOKUP(B1157, Passenger_Kilometre_by_mode_type[#All],MATCH(A1157, Passenger_Kilometre_by_mode_type[#Headers],0),0)</f>
        <v>6799367587.5175657</v>
      </c>
      <c r="F1157" s="89">
        <f>VLOOKUP(C1157, Reason_for_car_journeys_by_percentage[#All],MATCH(A1157, Reason_for_car_journeys_by_percentage[#Headers],0),0)/100</f>
        <v>8.3812859644733548E-2</v>
      </c>
      <c r="G1157" s="13">
        <f t="shared" si="92"/>
        <v>569874441.28556025</v>
      </c>
      <c r="H1157" s="89">
        <f>VLOOKUP(D1157,Average_Distance_by_kilometre_grouping_for_mode_type[#All],MATCH(A1157,Average_Distance_by_kilometre_grouping_for_mode_type[#Headers],0),0)</f>
        <v>38.99</v>
      </c>
      <c r="I1157" s="89">
        <f>VLOOKUP(D1157,Average_Distance_by_kilometres_grouping_for_trip_purpose[#All],MATCH(A1157,Average_Distance_by_kilometres_grouping_for_trip_purpose[#Headers],0),0)</f>
        <v>42.45</v>
      </c>
      <c r="J1157" s="89">
        <f t="shared" si="93"/>
        <v>40.72</v>
      </c>
      <c r="K1157" s="89">
        <f t="shared" si="94"/>
        <v>0.71791255289139633</v>
      </c>
      <c r="L1157" s="89">
        <v>1</v>
      </c>
      <c r="M1157" s="13">
        <f t="shared" si="95"/>
        <v>409120014.97087473</v>
      </c>
      <c r="N1157" s="11">
        <f t="shared" si="91"/>
        <v>7.0701166553242163E-3</v>
      </c>
    </row>
    <row r="1158" spans="1:14" x14ac:dyDescent="0.25">
      <c r="A1158" s="79" t="s">
        <v>34</v>
      </c>
      <c r="B1158" s="89" t="s">
        <v>6</v>
      </c>
      <c r="C1158" s="89" t="s">
        <v>93</v>
      </c>
      <c r="D1158" s="13" t="s">
        <v>12</v>
      </c>
      <c r="E1158" s="35">
        <f>VLOOKUP(B1158, Passenger_Kilometre_by_mode_type[#All],MATCH(A1158, Passenger_Kilometre_by_mode_type[#Headers],0),0)</f>
        <v>6799367587.5175657</v>
      </c>
      <c r="F1158" s="89">
        <f>VLOOKUP(C1158, Reason_for_car_journeys_by_percentage[#All],MATCH(A1158, Reason_for_car_journeys_by_percentage[#Headers],0),0)/100</f>
        <v>5.4791093319989992E-2</v>
      </c>
      <c r="G1158" s="13">
        <f t="shared" si="92"/>
        <v>372544784.00459015</v>
      </c>
      <c r="H1158" s="89">
        <f>VLOOKUP(D1158,Average_Distance_by_kilometre_grouping_for_mode_type[#All],MATCH(A1158,Average_Distance_by_kilometre_grouping_for_mode_type[#Headers],0),0)</f>
        <v>1</v>
      </c>
      <c r="I1158" s="89">
        <f>VLOOKUP(D1158,Average_Distance_by_kilometres_grouping_for_trip_purpose[#All],MATCH(A1158,Average_Distance_by_kilometres_grouping_for_trip_purpose[#Headers],0),0)</f>
        <v>1</v>
      </c>
      <c r="J1158" s="89">
        <f t="shared" si="93"/>
        <v>1</v>
      </c>
      <c r="K1158" s="89">
        <f t="shared" si="94"/>
        <v>1.763046544428773E-2</v>
      </c>
      <c r="L1158" s="89">
        <v>1</v>
      </c>
      <c r="M1158" s="13">
        <f t="shared" si="95"/>
        <v>6568137.9408425624</v>
      </c>
      <c r="N1158" s="11">
        <f t="shared" si="91"/>
        <v>1.135058167548312E-4</v>
      </c>
    </row>
    <row r="1159" spans="1:14" x14ac:dyDescent="0.25">
      <c r="A1159" s="79" t="s">
        <v>34</v>
      </c>
      <c r="B1159" s="89" t="s">
        <v>6</v>
      </c>
      <c r="C1159" s="89" t="s">
        <v>93</v>
      </c>
      <c r="D1159" s="13" t="s">
        <v>181</v>
      </c>
      <c r="E1159" s="35">
        <f>VLOOKUP(B1159, Passenger_Kilometre_by_mode_type[#All],MATCH(A1159, Passenger_Kilometre_by_mode_type[#Headers],0),0)</f>
        <v>6799367587.5175657</v>
      </c>
      <c r="F1159" s="89">
        <f>VLOOKUP(C1159, Reason_for_car_journeys_by_percentage[#All],MATCH(A1159, Reason_for_car_journeys_by_percentage[#Headers],0),0)/100</f>
        <v>5.4791093319989992E-2</v>
      </c>
      <c r="G1159" s="13">
        <f t="shared" si="92"/>
        <v>372544784.00459015</v>
      </c>
      <c r="H1159" s="89">
        <f>VLOOKUP(D1159,Average_Distance_by_kilometre_grouping_for_mode_type[#All],MATCH(A1159,Average_Distance_by_kilometre_grouping_for_mode_type[#Headers],0),0)</f>
        <v>3</v>
      </c>
      <c r="I1159" s="89">
        <f>VLOOKUP(D1159,Average_Distance_by_kilometres_grouping_for_trip_purpose[#All],MATCH(A1159,Average_Distance_by_kilometres_grouping_for_trip_purpose[#Headers],0),0)</f>
        <v>3</v>
      </c>
      <c r="J1159" s="89">
        <f t="shared" si="93"/>
        <v>3</v>
      </c>
      <c r="K1159" s="89">
        <f t="shared" si="94"/>
        <v>5.2891396332863189E-2</v>
      </c>
      <c r="L1159" s="89">
        <v>1</v>
      </c>
      <c r="M1159" s="13">
        <f t="shared" si="95"/>
        <v>19704413.822527688</v>
      </c>
      <c r="N1159" s="11">
        <f t="shared" si="91"/>
        <v>3.4051745026449358E-4</v>
      </c>
    </row>
    <row r="1160" spans="1:14" x14ac:dyDescent="0.25">
      <c r="A1160" s="79" t="s">
        <v>34</v>
      </c>
      <c r="B1160" s="89" t="s">
        <v>6</v>
      </c>
      <c r="C1160" s="89" t="s">
        <v>93</v>
      </c>
      <c r="D1160" s="13" t="s">
        <v>180</v>
      </c>
      <c r="E1160" s="35">
        <f>VLOOKUP(B1160, Passenger_Kilometre_by_mode_type[#All],MATCH(A1160, Passenger_Kilometre_by_mode_type[#Headers],0),0)</f>
        <v>6799367587.5175657</v>
      </c>
      <c r="F1160" s="89">
        <f>VLOOKUP(C1160, Reason_for_car_journeys_by_percentage[#All],MATCH(A1160, Reason_for_car_journeys_by_percentage[#Headers],0),0)/100</f>
        <v>5.4791093319989992E-2</v>
      </c>
      <c r="G1160" s="13">
        <f t="shared" si="92"/>
        <v>372544784.00459015</v>
      </c>
      <c r="H1160" s="89">
        <f>VLOOKUP(D1160,Average_Distance_by_kilometre_grouping_for_mode_type[#All],MATCH(A1160,Average_Distance_by_kilometre_grouping_for_mode_type[#Headers],0),0)</f>
        <v>5</v>
      </c>
      <c r="I1160" s="89">
        <f>VLOOKUP(D1160,Average_Distance_by_kilometres_grouping_for_trip_purpose[#All],MATCH(A1160,Average_Distance_by_kilometres_grouping_for_trip_purpose[#Headers],0),0)</f>
        <v>5</v>
      </c>
      <c r="J1160" s="89">
        <f t="shared" si="93"/>
        <v>5</v>
      </c>
      <c r="K1160" s="89">
        <f t="shared" si="94"/>
        <v>8.8152327221438648E-2</v>
      </c>
      <c r="L1160" s="89">
        <v>1</v>
      </c>
      <c r="M1160" s="13">
        <f t="shared" si="95"/>
        <v>32840689.704212815</v>
      </c>
      <c r="N1160" s="11">
        <f t="shared" si="91"/>
        <v>5.6752908377415601E-4</v>
      </c>
    </row>
    <row r="1161" spans="1:14" x14ac:dyDescent="0.25">
      <c r="A1161" s="79" t="s">
        <v>34</v>
      </c>
      <c r="B1161" s="89" t="s">
        <v>6</v>
      </c>
      <c r="C1161" s="89" t="s">
        <v>93</v>
      </c>
      <c r="D1161" s="13" t="s">
        <v>182</v>
      </c>
      <c r="E1161" s="35">
        <f>VLOOKUP(B1161, Passenger_Kilometre_by_mode_type[#All],MATCH(A1161, Passenger_Kilometre_by_mode_type[#Headers],0),0)</f>
        <v>6799367587.5175657</v>
      </c>
      <c r="F1161" s="89">
        <f>VLOOKUP(C1161, Reason_for_car_journeys_by_percentage[#All],MATCH(A1161, Reason_for_car_journeys_by_percentage[#Headers],0),0)/100</f>
        <v>5.4791093319989992E-2</v>
      </c>
      <c r="G1161" s="13">
        <f t="shared" si="92"/>
        <v>372544784.00459015</v>
      </c>
      <c r="H1161" s="89">
        <f>VLOOKUP(D1161,Average_Distance_by_kilometre_grouping_for_mode_type[#All],MATCH(A1161,Average_Distance_by_kilometre_grouping_for_mode_type[#Headers],0),0)</f>
        <v>7</v>
      </c>
      <c r="I1161" s="89">
        <f>VLOOKUP(D1161,Average_Distance_by_kilometres_grouping_for_trip_purpose[#All],MATCH(A1161,Average_Distance_by_kilometres_grouping_for_trip_purpose[#Headers],0),0)</f>
        <v>7</v>
      </c>
      <c r="J1161" s="89">
        <f t="shared" si="93"/>
        <v>7</v>
      </c>
      <c r="K1161" s="89">
        <f t="shared" si="94"/>
        <v>0.12341325811001411</v>
      </c>
      <c r="L1161" s="89">
        <v>1</v>
      </c>
      <c r="M1161" s="13">
        <f t="shared" si="95"/>
        <v>45976965.585897937</v>
      </c>
      <c r="N1161" s="11">
        <f t="shared" si="91"/>
        <v>7.9454071728381843E-4</v>
      </c>
    </row>
    <row r="1162" spans="1:14" x14ac:dyDescent="0.25">
      <c r="A1162" s="79" t="s">
        <v>34</v>
      </c>
      <c r="B1162" s="89" t="s">
        <v>6</v>
      </c>
      <c r="C1162" s="89" t="s">
        <v>93</v>
      </c>
      <c r="D1162" s="13" t="s">
        <v>1</v>
      </c>
      <c r="E1162" s="35">
        <f>VLOOKUP(B1162, Passenger_Kilometre_by_mode_type[#All],MATCH(A1162, Passenger_Kilometre_by_mode_type[#Headers],0),0)</f>
        <v>6799367587.5175657</v>
      </c>
      <c r="F1162" s="89">
        <f>VLOOKUP(C1162, Reason_for_car_journeys_by_percentage[#All],MATCH(A1162, Reason_for_car_journeys_by_percentage[#Headers],0),0)/100</f>
        <v>5.4791093319989992E-2</v>
      </c>
      <c r="G1162" s="13">
        <f t="shared" si="92"/>
        <v>372544784.00459015</v>
      </c>
      <c r="H1162" s="89">
        <f>VLOOKUP(D1162,Average_Distance_by_kilometre_grouping_for_mode_type[#All],MATCH(A1162,Average_Distance_by_kilometre_grouping_for_mode_type[#Headers],0),0)</f>
        <v>38.99</v>
      </c>
      <c r="I1162" s="89">
        <f>VLOOKUP(D1162,Average_Distance_by_kilometres_grouping_for_trip_purpose[#All],MATCH(A1162,Average_Distance_by_kilometres_grouping_for_trip_purpose[#Headers],0),0)</f>
        <v>42.45</v>
      </c>
      <c r="J1162" s="89">
        <f t="shared" si="93"/>
        <v>40.72</v>
      </c>
      <c r="K1162" s="89">
        <f t="shared" si="94"/>
        <v>0.71791255289139633</v>
      </c>
      <c r="L1162" s="89">
        <v>1</v>
      </c>
      <c r="M1162" s="13">
        <f t="shared" si="95"/>
        <v>267454576.95110914</v>
      </c>
      <c r="N1162" s="11">
        <f t="shared" si="91"/>
        <v>4.6219568582567261E-3</v>
      </c>
    </row>
    <row r="1163" spans="1:14" x14ac:dyDescent="0.25">
      <c r="A1163" s="79" t="s">
        <v>34</v>
      </c>
      <c r="B1163" s="89" t="s">
        <v>6</v>
      </c>
      <c r="C1163" s="89" t="s">
        <v>243</v>
      </c>
      <c r="D1163" s="13" t="s">
        <v>12</v>
      </c>
      <c r="E1163" s="35">
        <f>VLOOKUP(B1163, Passenger_Kilometre_by_mode_type[#All],MATCH(A1163, Passenger_Kilometre_by_mode_type[#Headers],0),0)</f>
        <v>6799367587.5175657</v>
      </c>
      <c r="F1163" s="89">
        <f>VLOOKUP(C1163, Reason_for_car_journeys_by_percentage[#All],MATCH(A1163, Reason_for_car_journeys_by_percentage[#Headers],0),0)/100</f>
        <v>0.16062046534901178</v>
      </c>
      <c r="G1163" s="13">
        <f t="shared" si="92"/>
        <v>1092117585.986059</v>
      </c>
      <c r="H1163" s="89">
        <f>VLOOKUP(D1163,Average_Distance_by_kilometre_grouping_for_mode_type[#All],MATCH(A1163,Average_Distance_by_kilometre_grouping_for_mode_type[#Headers],0),0)</f>
        <v>1</v>
      </c>
      <c r="I1163" s="89">
        <f>VLOOKUP(D1163,Average_Distance_by_kilometres_grouping_for_trip_purpose[#All],MATCH(A1163,Average_Distance_by_kilometres_grouping_for_trip_purpose[#Headers],0),0)</f>
        <v>1</v>
      </c>
      <c r="J1163" s="89">
        <f t="shared" si="93"/>
        <v>1</v>
      </c>
      <c r="K1163" s="89">
        <f t="shared" si="94"/>
        <v>1.763046544428773E-2</v>
      </c>
      <c r="L1163" s="89">
        <v>1</v>
      </c>
      <c r="M1163" s="13">
        <f t="shared" si="95"/>
        <v>19254541.360826146</v>
      </c>
      <c r="N1163" s="11">
        <f t="shared" si="91"/>
        <v>3.3274307925388881E-4</v>
      </c>
    </row>
    <row r="1164" spans="1:14" x14ac:dyDescent="0.25">
      <c r="A1164" s="79" t="s">
        <v>34</v>
      </c>
      <c r="B1164" s="89" t="s">
        <v>6</v>
      </c>
      <c r="C1164" s="89" t="s">
        <v>243</v>
      </c>
      <c r="D1164" s="13" t="s">
        <v>181</v>
      </c>
      <c r="E1164" s="35">
        <f>VLOOKUP(B1164, Passenger_Kilometre_by_mode_type[#All],MATCH(A1164, Passenger_Kilometre_by_mode_type[#Headers],0),0)</f>
        <v>6799367587.5175657</v>
      </c>
      <c r="F1164" s="89">
        <f>VLOOKUP(C1164, Reason_for_car_journeys_by_percentage[#All],MATCH(A1164, Reason_for_car_journeys_by_percentage[#Headers],0),0)/100</f>
        <v>0.16062046534901178</v>
      </c>
      <c r="G1164" s="13">
        <f t="shared" si="92"/>
        <v>1092117585.986059</v>
      </c>
      <c r="H1164" s="89">
        <f>VLOOKUP(D1164,Average_Distance_by_kilometre_grouping_for_mode_type[#All],MATCH(A1164,Average_Distance_by_kilometre_grouping_for_mode_type[#Headers],0),0)</f>
        <v>3</v>
      </c>
      <c r="I1164" s="89">
        <f>VLOOKUP(D1164,Average_Distance_by_kilometres_grouping_for_trip_purpose[#All],MATCH(A1164,Average_Distance_by_kilometres_grouping_for_trip_purpose[#Headers],0),0)</f>
        <v>3</v>
      </c>
      <c r="J1164" s="89">
        <f t="shared" si="93"/>
        <v>3</v>
      </c>
      <c r="K1164" s="89">
        <f t="shared" si="94"/>
        <v>5.2891396332863189E-2</v>
      </c>
      <c r="L1164" s="89">
        <v>1</v>
      </c>
      <c r="M1164" s="13">
        <f t="shared" si="95"/>
        <v>57763624.082478434</v>
      </c>
      <c r="N1164" s="11">
        <f t="shared" si="91"/>
        <v>9.9822923776166626E-4</v>
      </c>
    </row>
    <row r="1165" spans="1:14" x14ac:dyDescent="0.25">
      <c r="A1165" s="79" t="s">
        <v>34</v>
      </c>
      <c r="B1165" s="89" t="s">
        <v>6</v>
      </c>
      <c r="C1165" s="89" t="s">
        <v>243</v>
      </c>
      <c r="D1165" s="13" t="s">
        <v>180</v>
      </c>
      <c r="E1165" s="35">
        <f>VLOOKUP(B1165, Passenger_Kilometre_by_mode_type[#All],MATCH(A1165, Passenger_Kilometre_by_mode_type[#Headers],0),0)</f>
        <v>6799367587.5175657</v>
      </c>
      <c r="F1165" s="89">
        <f>VLOOKUP(C1165, Reason_for_car_journeys_by_percentage[#All],MATCH(A1165, Reason_for_car_journeys_by_percentage[#Headers],0),0)/100</f>
        <v>0.16062046534901178</v>
      </c>
      <c r="G1165" s="13">
        <f t="shared" si="92"/>
        <v>1092117585.986059</v>
      </c>
      <c r="H1165" s="89">
        <f>VLOOKUP(D1165,Average_Distance_by_kilometre_grouping_for_mode_type[#All],MATCH(A1165,Average_Distance_by_kilometre_grouping_for_mode_type[#Headers],0),0)</f>
        <v>5</v>
      </c>
      <c r="I1165" s="89">
        <f>VLOOKUP(D1165,Average_Distance_by_kilometres_grouping_for_trip_purpose[#All],MATCH(A1165,Average_Distance_by_kilometres_grouping_for_trip_purpose[#Headers],0),0)</f>
        <v>5</v>
      </c>
      <c r="J1165" s="89">
        <f t="shared" si="93"/>
        <v>5</v>
      </c>
      <c r="K1165" s="89">
        <f t="shared" si="94"/>
        <v>8.8152327221438648E-2</v>
      </c>
      <c r="L1165" s="89">
        <v>1</v>
      </c>
      <c r="M1165" s="13">
        <f t="shared" si="95"/>
        <v>96272706.804130733</v>
      </c>
      <c r="N1165" s="11">
        <f t="shared" si="91"/>
        <v>1.663715396269444E-3</v>
      </c>
    </row>
    <row r="1166" spans="1:14" x14ac:dyDescent="0.25">
      <c r="A1166" s="79" t="s">
        <v>34</v>
      </c>
      <c r="B1166" s="89" t="s">
        <v>6</v>
      </c>
      <c r="C1166" s="89" t="s">
        <v>243</v>
      </c>
      <c r="D1166" s="13" t="s">
        <v>182</v>
      </c>
      <c r="E1166" s="35">
        <f>VLOOKUP(B1166, Passenger_Kilometre_by_mode_type[#All],MATCH(A1166, Passenger_Kilometre_by_mode_type[#Headers],0),0)</f>
        <v>6799367587.5175657</v>
      </c>
      <c r="F1166" s="89">
        <f>VLOOKUP(C1166, Reason_for_car_journeys_by_percentage[#All],MATCH(A1166, Reason_for_car_journeys_by_percentage[#Headers],0),0)/100</f>
        <v>0.16062046534901178</v>
      </c>
      <c r="G1166" s="13">
        <f t="shared" si="92"/>
        <v>1092117585.986059</v>
      </c>
      <c r="H1166" s="89">
        <f>VLOOKUP(D1166,Average_Distance_by_kilometre_grouping_for_mode_type[#All],MATCH(A1166,Average_Distance_by_kilometre_grouping_for_mode_type[#Headers],0),0)</f>
        <v>7</v>
      </c>
      <c r="I1166" s="89">
        <f>VLOOKUP(D1166,Average_Distance_by_kilometres_grouping_for_trip_purpose[#All],MATCH(A1166,Average_Distance_by_kilometres_grouping_for_trip_purpose[#Headers],0),0)</f>
        <v>7</v>
      </c>
      <c r="J1166" s="89">
        <f t="shared" si="93"/>
        <v>7</v>
      </c>
      <c r="K1166" s="89">
        <f t="shared" si="94"/>
        <v>0.12341325811001411</v>
      </c>
      <c r="L1166" s="89">
        <v>1</v>
      </c>
      <c r="M1166" s="13">
        <f t="shared" si="95"/>
        <v>134781789.52578303</v>
      </c>
      <c r="N1166" s="11">
        <f t="shared" si="91"/>
        <v>2.3292015547772219E-3</v>
      </c>
    </row>
    <row r="1167" spans="1:14" x14ac:dyDescent="0.25">
      <c r="A1167" s="79" t="s">
        <v>34</v>
      </c>
      <c r="B1167" s="89" t="s">
        <v>6</v>
      </c>
      <c r="C1167" s="89" t="s">
        <v>243</v>
      </c>
      <c r="D1167" s="13" t="s">
        <v>1</v>
      </c>
      <c r="E1167" s="35">
        <f>VLOOKUP(B1167, Passenger_Kilometre_by_mode_type[#All],MATCH(A1167, Passenger_Kilometre_by_mode_type[#Headers],0),0)</f>
        <v>6799367587.5175657</v>
      </c>
      <c r="F1167" s="89">
        <f>VLOOKUP(C1167, Reason_for_car_journeys_by_percentage[#All],MATCH(A1167, Reason_for_car_journeys_by_percentage[#Headers],0),0)/100</f>
        <v>0.16062046534901178</v>
      </c>
      <c r="G1167" s="13">
        <f t="shared" si="92"/>
        <v>1092117585.986059</v>
      </c>
      <c r="H1167" s="89">
        <f>VLOOKUP(D1167,Average_Distance_by_kilometre_grouping_for_mode_type[#All],MATCH(A1167,Average_Distance_by_kilometre_grouping_for_mode_type[#Headers],0),0)</f>
        <v>38.99</v>
      </c>
      <c r="I1167" s="89">
        <f>VLOOKUP(D1167,Average_Distance_by_kilometres_grouping_for_trip_purpose[#All],MATCH(A1167,Average_Distance_by_kilometres_grouping_for_trip_purpose[#Headers],0),0)</f>
        <v>42.45</v>
      </c>
      <c r="J1167" s="89">
        <f t="shared" si="93"/>
        <v>40.72</v>
      </c>
      <c r="K1167" s="89">
        <f t="shared" si="94"/>
        <v>0.71791255289139633</v>
      </c>
      <c r="L1167" s="89">
        <v>1</v>
      </c>
      <c r="M1167" s="13">
        <f t="shared" si="95"/>
        <v>784044924.21284068</v>
      </c>
      <c r="N1167" s="11">
        <f t="shared" si="91"/>
        <v>1.3549298187218351E-2</v>
      </c>
    </row>
    <row r="1168" spans="1:14" x14ac:dyDescent="0.25">
      <c r="A1168" s="79" t="s">
        <v>34</v>
      </c>
      <c r="B1168" s="89" t="s">
        <v>6</v>
      </c>
      <c r="C1168" s="89" t="s">
        <v>50</v>
      </c>
      <c r="D1168" s="13" t="s">
        <v>12</v>
      </c>
      <c r="E1168" s="35">
        <f>VLOOKUP(B1168, Passenger_Kilometre_by_mode_type[#All],MATCH(A1168, Passenger_Kilometre_by_mode_type[#Headers],0),0)</f>
        <v>6799367587.5175657</v>
      </c>
      <c r="F1168" s="89">
        <f>VLOOKUP(C1168, Reason_for_car_journeys_by_percentage[#All],MATCH(A1168, Reason_for_car_journeys_by_percentage[#Headers],0),0)/100</f>
        <v>4.7035276457343012E-2</v>
      </c>
      <c r="G1168" s="13">
        <f t="shared" si="92"/>
        <v>319810134.2139861</v>
      </c>
      <c r="H1168" s="89">
        <f>VLOOKUP(D1168,Average_Distance_by_kilometre_grouping_for_mode_type[#All],MATCH(A1168,Average_Distance_by_kilometre_grouping_for_mode_type[#Headers],0),0)</f>
        <v>1</v>
      </c>
      <c r="I1168" s="89">
        <f>VLOOKUP(D1168,Average_Distance_by_kilometres_grouping_for_trip_purpose[#All],MATCH(A1168,Average_Distance_by_kilometres_grouping_for_trip_purpose[#Headers],0),0)</f>
        <v>1</v>
      </c>
      <c r="J1168" s="89">
        <f t="shared" si="93"/>
        <v>1</v>
      </c>
      <c r="K1168" s="89">
        <f t="shared" si="94"/>
        <v>1.763046544428773E-2</v>
      </c>
      <c r="L1168" s="89">
        <v>1</v>
      </c>
      <c r="M1168" s="13">
        <f t="shared" si="95"/>
        <v>5638401.5199927026</v>
      </c>
      <c r="N1168" s="11">
        <f t="shared" si="91"/>
        <v>9.7438783332914468E-5</v>
      </c>
    </row>
    <row r="1169" spans="1:14" x14ac:dyDescent="0.25">
      <c r="A1169" s="79" t="s">
        <v>34</v>
      </c>
      <c r="B1169" s="89" t="s">
        <v>6</v>
      </c>
      <c r="C1169" s="89" t="s">
        <v>50</v>
      </c>
      <c r="D1169" s="13" t="s">
        <v>181</v>
      </c>
      <c r="E1169" s="35">
        <f>VLOOKUP(B1169, Passenger_Kilometre_by_mode_type[#All],MATCH(A1169, Passenger_Kilometre_by_mode_type[#Headers],0),0)</f>
        <v>6799367587.5175657</v>
      </c>
      <c r="F1169" s="89">
        <f>VLOOKUP(C1169, Reason_for_car_journeys_by_percentage[#All],MATCH(A1169, Reason_for_car_journeys_by_percentage[#Headers],0),0)/100</f>
        <v>4.7035276457343012E-2</v>
      </c>
      <c r="G1169" s="13">
        <f t="shared" si="92"/>
        <v>319810134.2139861</v>
      </c>
      <c r="H1169" s="89">
        <f>VLOOKUP(D1169,Average_Distance_by_kilometre_grouping_for_mode_type[#All],MATCH(A1169,Average_Distance_by_kilometre_grouping_for_mode_type[#Headers],0),0)</f>
        <v>3</v>
      </c>
      <c r="I1169" s="89">
        <f>VLOOKUP(D1169,Average_Distance_by_kilometres_grouping_for_trip_purpose[#All],MATCH(A1169,Average_Distance_by_kilometres_grouping_for_trip_purpose[#Headers],0),0)</f>
        <v>3</v>
      </c>
      <c r="J1169" s="89">
        <f t="shared" si="93"/>
        <v>3</v>
      </c>
      <c r="K1169" s="89">
        <f t="shared" si="94"/>
        <v>5.2891396332863189E-2</v>
      </c>
      <c r="L1169" s="89">
        <v>1</v>
      </c>
      <c r="M1169" s="13">
        <f t="shared" si="95"/>
        <v>16915204.559978109</v>
      </c>
      <c r="N1169" s="11">
        <f t="shared" si="91"/>
        <v>2.923163499987434E-4</v>
      </c>
    </row>
    <row r="1170" spans="1:14" x14ac:dyDescent="0.25">
      <c r="A1170" s="79" t="s">
        <v>34</v>
      </c>
      <c r="B1170" s="89" t="s">
        <v>6</v>
      </c>
      <c r="C1170" s="89" t="s">
        <v>50</v>
      </c>
      <c r="D1170" s="13" t="s">
        <v>180</v>
      </c>
      <c r="E1170" s="35">
        <f>VLOOKUP(B1170, Passenger_Kilometre_by_mode_type[#All],MATCH(A1170, Passenger_Kilometre_by_mode_type[#Headers],0),0)</f>
        <v>6799367587.5175657</v>
      </c>
      <c r="F1170" s="89">
        <f>VLOOKUP(C1170, Reason_for_car_journeys_by_percentage[#All],MATCH(A1170, Reason_for_car_journeys_by_percentage[#Headers],0),0)/100</f>
        <v>4.7035276457343012E-2</v>
      </c>
      <c r="G1170" s="13">
        <f t="shared" si="92"/>
        <v>319810134.2139861</v>
      </c>
      <c r="H1170" s="89">
        <f>VLOOKUP(D1170,Average_Distance_by_kilometre_grouping_for_mode_type[#All],MATCH(A1170,Average_Distance_by_kilometre_grouping_for_mode_type[#Headers],0),0)</f>
        <v>5</v>
      </c>
      <c r="I1170" s="89">
        <f>VLOOKUP(D1170,Average_Distance_by_kilometres_grouping_for_trip_purpose[#All],MATCH(A1170,Average_Distance_by_kilometres_grouping_for_trip_purpose[#Headers],0),0)</f>
        <v>5</v>
      </c>
      <c r="J1170" s="89">
        <f t="shared" si="93"/>
        <v>5</v>
      </c>
      <c r="K1170" s="89">
        <f t="shared" si="94"/>
        <v>8.8152327221438648E-2</v>
      </c>
      <c r="L1170" s="89">
        <v>1</v>
      </c>
      <c r="M1170" s="13">
        <f t="shared" si="95"/>
        <v>28192007.599963516</v>
      </c>
      <c r="N1170" s="11">
        <f t="shared" si="91"/>
        <v>4.871939166645724E-4</v>
      </c>
    </row>
    <row r="1171" spans="1:14" x14ac:dyDescent="0.25">
      <c r="A1171" s="79" t="s">
        <v>34</v>
      </c>
      <c r="B1171" s="89" t="s">
        <v>6</v>
      </c>
      <c r="C1171" s="89" t="s">
        <v>50</v>
      </c>
      <c r="D1171" s="13" t="s">
        <v>182</v>
      </c>
      <c r="E1171" s="35">
        <f>VLOOKUP(B1171, Passenger_Kilometre_by_mode_type[#All],MATCH(A1171, Passenger_Kilometre_by_mode_type[#Headers],0),0)</f>
        <v>6799367587.5175657</v>
      </c>
      <c r="F1171" s="89">
        <f>VLOOKUP(C1171, Reason_for_car_journeys_by_percentage[#All],MATCH(A1171, Reason_for_car_journeys_by_percentage[#Headers],0),0)/100</f>
        <v>4.7035276457343012E-2</v>
      </c>
      <c r="G1171" s="13">
        <f t="shared" si="92"/>
        <v>319810134.2139861</v>
      </c>
      <c r="H1171" s="89">
        <f>VLOOKUP(D1171,Average_Distance_by_kilometre_grouping_for_mode_type[#All],MATCH(A1171,Average_Distance_by_kilometre_grouping_for_mode_type[#Headers],0),0)</f>
        <v>7</v>
      </c>
      <c r="I1171" s="89">
        <f>VLOOKUP(D1171,Average_Distance_by_kilometres_grouping_for_trip_purpose[#All],MATCH(A1171,Average_Distance_by_kilometres_grouping_for_trip_purpose[#Headers],0),0)</f>
        <v>7</v>
      </c>
      <c r="J1171" s="89">
        <f t="shared" si="93"/>
        <v>7</v>
      </c>
      <c r="K1171" s="89">
        <f t="shared" si="94"/>
        <v>0.12341325811001411</v>
      </c>
      <c r="L1171" s="89">
        <v>1</v>
      </c>
      <c r="M1171" s="13">
        <f t="shared" si="95"/>
        <v>39468810.639948919</v>
      </c>
      <c r="N1171" s="11">
        <f t="shared" si="91"/>
        <v>6.8207148333040122E-4</v>
      </c>
    </row>
    <row r="1172" spans="1:14" x14ac:dyDescent="0.25">
      <c r="A1172" s="79" t="s">
        <v>34</v>
      </c>
      <c r="B1172" s="89" t="s">
        <v>6</v>
      </c>
      <c r="C1172" s="89" t="s">
        <v>50</v>
      </c>
      <c r="D1172" s="13" t="s">
        <v>1</v>
      </c>
      <c r="E1172" s="35">
        <f>VLOOKUP(B1172, Passenger_Kilometre_by_mode_type[#All],MATCH(A1172, Passenger_Kilometre_by_mode_type[#Headers],0),0)</f>
        <v>6799367587.5175657</v>
      </c>
      <c r="F1172" s="89">
        <f>VLOOKUP(C1172, Reason_for_car_journeys_by_percentage[#All],MATCH(A1172, Reason_for_car_journeys_by_percentage[#Headers],0),0)/100</f>
        <v>4.7035276457343012E-2</v>
      </c>
      <c r="G1172" s="13">
        <f t="shared" si="92"/>
        <v>319810134.2139861</v>
      </c>
      <c r="H1172" s="89">
        <f>VLOOKUP(D1172,Average_Distance_by_kilometre_grouping_for_mode_type[#All],MATCH(A1172,Average_Distance_by_kilometre_grouping_for_mode_type[#Headers],0),0)</f>
        <v>38.99</v>
      </c>
      <c r="I1172" s="89">
        <f>VLOOKUP(D1172,Average_Distance_by_kilometres_grouping_for_trip_purpose[#All],MATCH(A1172,Average_Distance_by_kilometres_grouping_for_trip_purpose[#Headers],0),0)</f>
        <v>42.45</v>
      </c>
      <c r="J1172" s="89">
        <f t="shared" si="93"/>
        <v>40.72</v>
      </c>
      <c r="K1172" s="89">
        <f t="shared" si="94"/>
        <v>0.71791255289139633</v>
      </c>
      <c r="L1172" s="89">
        <v>1</v>
      </c>
      <c r="M1172" s="13">
        <f t="shared" si="95"/>
        <v>229595709.89410284</v>
      </c>
      <c r="N1172" s="11">
        <f t="shared" si="91"/>
        <v>3.9677072573162768E-3</v>
      </c>
    </row>
    <row r="1173" spans="1:14" x14ac:dyDescent="0.25">
      <c r="A1173" s="79" t="s">
        <v>34</v>
      </c>
      <c r="B1173" s="89" t="s">
        <v>7</v>
      </c>
      <c r="C1173" s="89" t="s">
        <v>42</v>
      </c>
      <c r="D1173" s="13" t="s">
        <v>12</v>
      </c>
      <c r="E1173" s="35">
        <f>VLOOKUP(B1173, Passenger_Kilometre_by_mode_type[#All],MATCH(A1173, Passenger_Kilometre_by_mode_type[#Headers],0),0)</f>
        <v>198715758.57007572</v>
      </c>
      <c r="F1173" s="89">
        <f>VLOOKUP(C1173, Reason_for_walking_cycling_journeys_by_percentage[#All],MATCH(A1173, Reason_for_walking_cycling_journeys_by_percentage[#Headers],0),0)/100</f>
        <v>0.15625</v>
      </c>
      <c r="G1173" s="13">
        <f t="shared" si="92"/>
        <v>31049337.276574332</v>
      </c>
      <c r="H1173" s="89">
        <f>VLOOKUP(D1173,Average_Distance_by_kilometre_grouping_for_mode_type[#All],MATCH(A1173,Average_Distance_by_kilometre_grouping_for_mode_type[#Headers],0),0)</f>
        <v>1</v>
      </c>
      <c r="I1173" s="89">
        <f>VLOOKUP(D1173,Average_Distance_by_kilometres_grouping_for_trip_purpose[#All],MATCH(A1173,Average_Distance_by_kilometres_grouping_for_trip_purpose[#Headers],0),0)</f>
        <v>1</v>
      </c>
      <c r="J1173" s="89">
        <f t="shared" si="93"/>
        <v>1</v>
      </c>
      <c r="K1173" s="89">
        <f t="shared" si="94"/>
        <v>1.763046544428773E-2</v>
      </c>
      <c r="L1173" s="89">
        <v>1</v>
      </c>
      <c r="M1173" s="13">
        <f t="shared" si="95"/>
        <v>547414.26792267861</v>
      </c>
      <c r="N1173" s="11">
        <f t="shared" si="91"/>
        <v>9.46001806652693E-6</v>
      </c>
    </row>
    <row r="1174" spans="1:14" x14ac:dyDescent="0.25">
      <c r="A1174" s="79" t="s">
        <v>34</v>
      </c>
      <c r="B1174" s="89" t="s">
        <v>7</v>
      </c>
      <c r="C1174" s="89" t="s">
        <v>42</v>
      </c>
      <c r="D1174" s="13" t="s">
        <v>181</v>
      </c>
      <c r="E1174" s="35">
        <f>VLOOKUP(B1174, Passenger_Kilometre_by_mode_type[#All],MATCH(A1174, Passenger_Kilometre_by_mode_type[#Headers],0),0)</f>
        <v>198715758.57007572</v>
      </c>
      <c r="F1174" s="89">
        <f>VLOOKUP(C1174, Reason_for_walking_cycling_journeys_by_percentage[#All],MATCH(A1174, Reason_for_walking_cycling_journeys_by_percentage[#Headers],0),0)/100</f>
        <v>0.15625</v>
      </c>
      <c r="G1174" s="13">
        <f t="shared" si="92"/>
        <v>31049337.276574332</v>
      </c>
      <c r="H1174" s="89">
        <f>VLOOKUP(D1174,Average_Distance_by_kilometre_grouping_for_mode_type[#All],MATCH(A1174,Average_Distance_by_kilometre_grouping_for_mode_type[#Headers],0),0)</f>
        <v>3</v>
      </c>
      <c r="I1174" s="89">
        <f>VLOOKUP(D1174,Average_Distance_by_kilometres_grouping_for_trip_purpose[#All],MATCH(A1174,Average_Distance_by_kilometres_grouping_for_trip_purpose[#Headers],0),0)</f>
        <v>3</v>
      </c>
      <c r="J1174" s="89">
        <f t="shared" si="93"/>
        <v>3</v>
      </c>
      <c r="K1174" s="89">
        <f t="shared" si="94"/>
        <v>5.2891396332863189E-2</v>
      </c>
      <c r="L1174" s="89">
        <v>1</v>
      </c>
      <c r="M1174" s="13">
        <f t="shared" si="95"/>
        <v>1642242.803768036</v>
      </c>
      <c r="N1174" s="11">
        <f t="shared" si="91"/>
        <v>2.8380054199580794E-5</v>
      </c>
    </row>
    <row r="1175" spans="1:14" x14ac:dyDescent="0.25">
      <c r="A1175" s="79" t="s">
        <v>34</v>
      </c>
      <c r="B1175" s="89" t="s">
        <v>7</v>
      </c>
      <c r="C1175" s="89" t="s">
        <v>42</v>
      </c>
      <c r="D1175" s="13" t="s">
        <v>180</v>
      </c>
      <c r="E1175" s="35">
        <f>VLOOKUP(B1175, Passenger_Kilometre_by_mode_type[#All],MATCH(A1175, Passenger_Kilometre_by_mode_type[#Headers],0),0)</f>
        <v>198715758.57007572</v>
      </c>
      <c r="F1175" s="89">
        <f>VLOOKUP(C1175, Reason_for_walking_cycling_journeys_by_percentage[#All],MATCH(A1175, Reason_for_walking_cycling_journeys_by_percentage[#Headers],0),0)/100</f>
        <v>0.15625</v>
      </c>
      <c r="G1175" s="13">
        <f t="shared" si="92"/>
        <v>31049337.276574332</v>
      </c>
      <c r="H1175" s="89">
        <f>VLOOKUP(D1175,Average_Distance_by_kilometre_grouping_for_mode_type[#All],MATCH(A1175,Average_Distance_by_kilometre_grouping_for_mode_type[#Headers],0),0)</f>
        <v>5</v>
      </c>
      <c r="I1175" s="89">
        <f>VLOOKUP(D1175,Average_Distance_by_kilometres_grouping_for_trip_purpose[#All],MATCH(A1175,Average_Distance_by_kilometres_grouping_for_trip_purpose[#Headers],0),0)</f>
        <v>5</v>
      </c>
      <c r="J1175" s="89">
        <f t="shared" si="93"/>
        <v>5</v>
      </c>
      <c r="K1175" s="89">
        <f t="shared" si="94"/>
        <v>8.8152327221438648E-2</v>
      </c>
      <c r="L1175" s="89">
        <v>1</v>
      </c>
      <c r="M1175" s="13">
        <f t="shared" si="95"/>
        <v>2737071.3396133934</v>
      </c>
      <c r="N1175" s="11">
        <f t="shared" si="91"/>
        <v>4.7300090332634654E-5</v>
      </c>
    </row>
    <row r="1176" spans="1:14" x14ac:dyDescent="0.25">
      <c r="A1176" s="79" t="s">
        <v>34</v>
      </c>
      <c r="B1176" s="89" t="s">
        <v>7</v>
      </c>
      <c r="C1176" s="89" t="s">
        <v>42</v>
      </c>
      <c r="D1176" s="13" t="s">
        <v>182</v>
      </c>
      <c r="E1176" s="35">
        <f>VLOOKUP(B1176, Passenger_Kilometre_by_mode_type[#All],MATCH(A1176, Passenger_Kilometre_by_mode_type[#Headers],0),0)</f>
        <v>198715758.57007572</v>
      </c>
      <c r="F1176" s="89">
        <f>VLOOKUP(C1176, Reason_for_walking_cycling_journeys_by_percentage[#All],MATCH(A1176, Reason_for_walking_cycling_journeys_by_percentage[#Headers],0),0)/100</f>
        <v>0.15625</v>
      </c>
      <c r="G1176" s="13">
        <f t="shared" si="92"/>
        <v>31049337.276574332</v>
      </c>
      <c r="H1176" s="89">
        <f>VLOOKUP(D1176,Average_Distance_by_kilometre_grouping_for_mode_type[#All],MATCH(A1176,Average_Distance_by_kilometre_grouping_for_mode_type[#Headers],0),0)</f>
        <v>7</v>
      </c>
      <c r="I1176" s="89">
        <f>VLOOKUP(D1176,Average_Distance_by_kilometres_grouping_for_trip_purpose[#All],MATCH(A1176,Average_Distance_by_kilometres_grouping_for_trip_purpose[#Headers],0),0)</f>
        <v>7</v>
      </c>
      <c r="J1176" s="89">
        <f t="shared" si="93"/>
        <v>7</v>
      </c>
      <c r="K1176" s="89">
        <f t="shared" si="94"/>
        <v>0.12341325811001411</v>
      </c>
      <c r="L1176" s="89">
        <v>1</v>
      </c>
      <c r="M1176" s="13">
        <f t="shared" si="95"/>
        <v>3831899.8754587504</v>
      </c>
      <c r="N1176" s="11">
        <f t="shared" si="91"/>
        <v>6.6220126465688507E-5</v>
      </c>
    </row>
    <row r="1177" spans="1:14" x14ac:dyDescent="0.25">
      <c r="A1177" s="79" t="s">
        <v>34</v>
      </c>
      <c r="B1177" s="89" t="s">
        <v>7</v>
      </c>
      <c r="C1177" s="89" t="s">
        <v>42</v>
      </c>
      <c r="D1177" s="13" t="s">
        <v>1</v>
      </c>
      <c r="E1177" s="35">
        <f>VLOOKUP(B1177, Passenger_Kilometre_by_mode_type[#All],MATCH(A1177, Passenger_Kilometre_by_mode_type[#Headers],0),0)</f>
        <v>198715758.57007572</v>
      </c>
      <c r="F1177" s="89">
        <f>VLOOKUP(C1177, Reason_for_walking_cycling_journeys_by_percentage[#All],MATCH(A1177, Reason_for_walking_cycling_journeys_by_percentage[#Headers],0),0)/100</f>
        <v>0.15625</v>
      </c>
      <c r="G1177" s="13">
        <f t="shared" si="92"/>
        <v>31049337.276574332</v>
      </c>
      <c r="H1177" s="89">
        <f>VLOOKUP(D1177,Average_Distance_by_kilometre_grouping_for_mode_type[#All],MATCH(A1177,Average_Distance_by_kilometre_grouping_for_mode_type[#Headers],0),0)</f>
        <v>38.99</v>
      </c>
      <c r="I1177" s="89">
        <f>VLOOKUP(D1177,Average_Distance_by_kilometres_grouping_for_trip_purpose[#All],MATCH(A1177,Average_Distance_by_kilometres_grouping_for_trip_purpose[#Headers],0),0)</f>
        <v>42.45</v>
      </c>
      <c r="J1177" s="89">
        <f t="shared" si="93"/>
        <v>40.72</v>
      </c>
      <c r="K1177" s="89">
        <f t="shared" si="94"/>
        <v>0.71791255289139633</v>
      </c>
      <c r="L1177" s="89">
        <v>1</v>
      </c>
      <c r="M1177" s="13">
        <f t="shared" si="95"/>
        <v>22290708.989811473</v>
      </c>
      <c r="N1177" s="11">
        <f t="shared" si="91"/>
        <v>3.8521193566897659E-4</v>
      </c>
    </row>
    <row r="1178" spans="1:14" x14ac:dyDescent="0.25">
      <c r="A1178" s="79" t="s">
        <v>34</v>
      </c>
      <c r="B1178" s="89" t="s">
        <v>7</v>
      </c>
      <c r="C1178" s="89" t="s">
        <v>43</v>
      </c>
      <c r="D1178" s="13" t="s">
        <v>12</v>
      </c>
      <c r="E1178" s="35">
        <f>VLOOKUP(B1178, Passenger_Kilometre_by_mode_type[#All],MATCH(A1178, Passenger_Kilometre_by_mode_type[#Headers],0),0)</f>
        <v>198715758.57007572</v>
      </c>
      <c r="F1178" s="89">
        <f>VLOOKUP(C1178, Reason_for_walking_cycling_journeys_by_percentage[#All],MATCH(A1178, Reason_for_walking_cycling_journeys_by_percentage[#Headers],0),0)/100</f>
        <v>0.10225000000000001</v>
      </c>
      <c r="G1178" s="13">
        <f t="shared" si="92"/>
        <v>20318686.313790243</v>
      </c>
      <c r="H1178" s="89">
        <f>VLOOKUP(D1178,Average_Distance_by_kilometre_grouping_for_mode_type[#All],MATCH(A1178,Average_Distance_by_kilometre_grouping_for_mode_type[#Headers],0),0)</f>
        <v>1</v>
      </c>
      <c r="I1178" s="89">
        <f>VLOOKUP(D1178,Average_Distance_by_kilometres_grouping_for_trip_purpose[#All],MATCH(A1178,Average_Distance_by_kilometres_grouping_for_trip_purpose[#Headers],0),0)</f>
        <v>1</v>
      </c>
      <c r="J1178" s="89">
        <f t="shared" si="93"/>
        <v>1</v>
      </c>
      <c r="K1178" s="89">
        <f t="shared" si="94"/>
        <v>1.763046544428773E-2</v>
      </c>
      <c r="L1178" s="89">
        <v>1</v>
      </c>
      <c r="M1178" s="13">
        <f t="shared" si="95"/>
        <v>358227.89692860091</v>
      </c>
      <c r="N1178" s="11">
        <f t="shared" si="91"/>
        <v>6.1906358227352231E-6</v>
      </c>
    </row>
    <row r="1179" spans="1:14" x14ac:dyDescent="0.25">
      <c r="A1179" s="79" t="s">
        <v>34</v>
      </c>
      <c r="B1179" s="89" t="s">
        <v>7</v>
      </c>
      <c r="C1179" s="89" t="s">
        <v>43</v>
      </c>
      <c r="D1179" s="13" t="s">
        <v>181</v>
      </c>
      <c r="E1179" s="35">
        <f>VLOOKUP(B1179, Passenger_Kilometre_by_mode_type[#All],MATCH(A1179, Passenger_Kilometre_by_mode_type[#Headers],0),0)</f>
        <v>198715758.57007572</v>
      </c>
      <c r="F1179" s="89">
        <f>VLOOKUP(C1179, Reason_for_walking_cycling_journeys_by_percentage[#All],MATCH(A1179, Reason_for_walking_cycling_journeys_by_percentage[#Headers],0),0)/100</f>
        <v>0.10225000000000001</v>
      </c>
      <c r="G1179" s="13">
        <f t="shared" si="92"/>
        <v>20318686.313790243</v>
      </c>
      <c r="H1179" s="89">
        <f>VLOOKUP(D1179,Average_Distance_by_kilometre_grouping_for_mode_type[#All],MATCH(A1179,Average_Distance_by_kilometre_grouping_for_mode_type[#Headers],0),0)</f>
        <v>3</v>
      </c>
      <c r="I1179" s="89">
        <f>VLOOKUP(D1179,Average_Distance_by_kilometres_grouping_for_trip_purpose[#All],MATCH(A1179,Average_Distance_by_kilometres_grouping_for_trip_purpose[#Headers],0),0)</f>
        <v>3</v>
      </c>
      <c r="J1179" s="89">
        <f t="shared" si="93"/>
        <v>3</v>
      </c>
      <c r="K1179" s="89">
        <f t="shared" si="94"/>
        <v>5.2891396332863189E-2</v>
      </c>
      <c r="L1179" s="89">
        <v>1</v>
      </c>
      <c r="M1179" s="13">
        <f t="shared" si="95"/>
        <v>1074683.6907858027</v>
      </c>
      <c r="N1179" s="11">
        <f t="shared" si="91"/>
        <v>1.8571907468205668E-5</v>
      </c>
    </row>
    <row r="1180" spans="1:14" x14ac:dyDescent="0.25">
      <c r="A1180" s="79" t="s">
        <v>34</v>
      </c>
      <c r="B1180" s="89" t="s">
        <v>7</v>
      </c>
      <c r="C1180" s="89" t="s">
        <v>43</v>
      </c>
      <c r="D1180" s="13" t="s">
        <v>180</v>
      </c>
      <c r="E1180" s="35">
        <f>VLOOKUP(B1180, Passenger_Kilometre_by_mode_type[#All],MATCH(A1180, Passenger_Kilometre_by_mode_type[#Headers],0),0)</f>
        <v>198715758.57007572</v>
      </c>
      <c r="F1180" s="89">
        <f>VLOOKUP(C1180, Reason_for_walking_cycling_journeys_by_percentage[#All],MATCH(A1180, Reason_for_walking_cycling_journeys_by_percentage[#Headers],0),0)/100</f>
        <v>0.10225000000000001</v>
      </c>
      <c r="G1180" s="13">
        <f t="shared" si="92"/>
        <v>20318686.313790243</v>
      </c>
      <c r="H1180" s="89">
        <f>VLOOKUP(D1180,Average_Distance_by_kilometre_grouping_for_mode_type[#All],MATCH(A1180,Average_Distance_by_kilometre_grouping_for_mode_type[#Headers],0),0)</f>
        <v>5</v>
      </c>
      <c r="I1180" s="89">
        <f>VLOOKUP(D1180,Average_Distance_by_kilometres_grouping_for_trip_purpose[#All],MATCH(A1180,Average_Distance_by_kilometres_grouping_for_trip_purpose[#Headers],0),0)</f>
        <v>5</v>
      </c>
      <c r="J1180" s="89">
        <f t="shared" si="93"/>
        <v>5</v>
      </c>
      <c r="K1180" s="89">
        <f t="shared" si="94"/>
        <v>8.8152327221438648E-2</v>
      </c>
      <c r="L1180" s="89">
        <v>1</v>
      </c>
      <c r="M1180" s="13">
        <f t="shared" si="95"/>
        <v>1791139.4846430046</v>
      </c>
      <c r="N1180" s="11">
        <f t="shared" si="91"/>
        <v>3.0953179113676121E-5</v>
      </c>
    </row>
    <row r="1181" spans="1:14" x14ac:dyDescent="0.25">
      <c r="A1181" s="79" t="s">
        <v>34</v>
      </c>
      <c r="B1181" s="89" t="s">
        <v>7</v>
      </c>
      <c r="C1181" s="89" t="s">
        <v>43</v>
      </c>
      <c r="D1181" s="13" t="s">
        <v>182</v>
      </c>
      <c r="E1181" s="35">
        <f>VLOOKUP(B1181, Passenger_Kilometre_by_mode_type[#All],MATCH(A1181, Passenger_Kilometre_by_mode_type[#Headers],0),0)</f>
        <v>198715758.57007572</v>
      </c>
      <c r="F1181" s="89">
        <f>VLOOKUP(C1181, Reason_for_walking_cycling_journeys_by_percentage[#All],MATCH(A1181, Reason_for_walking_cycling_journeys_by_percentage[#Headers],0),0)/100</f>
        <v>0.10225000000000001</v>
      </c>
      <c r="G1181" s="13">
        <f t="shared" si="92"/>
        <v>20318686.313790243</v>
      </c>
      <c r="H1181" s="89">
        <f>VLOOKUP(D1181,Average_Distance_by_kilometre_grouping_for_mode_type[#All],MATCH(A1181,Average_Distance_by_kilometre_grouping_for_mode_type[#Headers],0),0)</f>
        <v>7</v>
      </c>
      <c r="I1181" s="89">
        <f>VLOOKUP(D1181,Average_Distance_by_kilometres_grouping_for_trip_purpose[#All],MATCH(A1181,Average_Distance_by_kilometres_grouping_for_trip_purpose[#Headers],0),0)</f>
        <v>7</v>
      </c>
      <c r="J1181" s="89">
        <f t="shared" si="93"/>
        <v>7</v>
      </c>
      <c r="K1181" s="89">
        <f t="shared" si="94"/>
        <v>0.12341325811001411</v>
      </c>
      <c r="L1181" s="89">
        <v>1</v>
      </c>
      <c r="M1181" s="13">
        <f t="shared" si="95"/>
        <v>2507595.2785002063</v>
      </c>
      <c r="N1181" s="11">
        <f t="shared" si="91"/>
        <v>4.3334450759146563E-5</v>
      </c>
    </row>
    <row r="1182" spans="1:14" x14ac:dyDescent="0.25">
      <c r="A1182" s="79" t="s">
        <v>34</v>
      </c>
      <c r="B1182" s="89" t="s">
        <v>7</v>
      </c>
      <c r="C1182" s="89" t="s">
        <v>43</v>
      </c>
      <c r="D1182" s="13" t="s">
        <v>1</v>
      </c>
      <c r="E1182" s="35">
        <f>VLOOKUP(B1182, Passenger_Kilometre_by_mode_type[#All],MATCH(A1182, Passenger_Kilometre_by_mode_type[#Headers],0),0)</f>
        <v>198715758.57007572</v>
      </c>
      <c r="F1182" s="89">
        <f>VLOOKUP(C1182, Reason_for_walking_cycling_journeys_by_percentage[#All],MATCH(A1182, Reason_for_walking_cycling_journeys_by_percentage[#Headers],0),0)/100</f>
        <v>0.10225000000000001</v>
      </c>
      <c r="G1182" s="13">
        <f t="shared" si="92"/>
        <v>20318686.313790243</v>
      </c>
      <c r="H1182" s="89">
        <f>VLOOKUP(D1182,Average_Distance_by_kilometre_grouping_for_mode_type[#All],MATCH(A1182,Average_Distance_by_kilometre_grouping_for_mode_type[#Headers],0),0)</f>
        <v>38.99</v>
      </c>
      <c r="I1182" s="89">
        <f>VLOOKUP(D1182,Average_Distance_by_kilometres_grouping_for_trip_purpose[#All],MATCH(A1182,Average_Distance_by_kilometres_grouping_for_trip_purpose[#Headers],0),0)</f>
        <v>42.45</v>
      </c>
      <c r="J1182" s="89">
        <f t="shared" si="93"/>
        <v>40.72</v>
      </c>
      <c r="K1182" s="89">
        <f t="shared" si="94"/>
        <v>0.71791255289139633</v>
      </c>
      <c r="L1182" s="89">
        <v>1</v>
      </c>
      <c r="M1182" s="13">
        <f t="shared" si="95"/>
        <v>14587039.96293263</v>
      </c>
      <c r="N1182" s="11">
        <f t="shared" si="91"/>
        <v>2.5208269070177831E-4</v>
      </c>
    </row>
    <row r="1183" spans="1:14" x14ac:dyDescent="0.25">
      <c r="A1183" s="79" t="s">
        <v>34</v>
      </c>
      <c r="B1183" s="89" t="s">
        <v>7</v>
      </c>
      <c r="C1183" s="89" t="s">
        <v>44</v>
      </c>
      <c r="D1183" s="13" t="s">
        <v>12</v>
      </c>
      <c r="E1183" s="35">
        <f>VLOOKUP(B1183, Passenger_Kilometre_by_mode_type[#All],MATCH(A1183, Passenger_Kilometre_by_mode_type[#Headers],0),0)</f>
        <v>198715758.57007572</v>
      </c>
      <c r="F1183" s="89">
        <f>VLOOKUP(C1183, Reason_for_walking_cycling_journeys_by_percentage[#All],MATCH(A1183, Reason_for_walking_cycling_journeys_by_percentage[#Headers],0),0)/100</f>
        <v>0.24750000000000003</v>
      </c>
      <c r="G1183" s="13">
        <f t="shared" si="92"/>
        <v>49182150.246093743</v>
      </c>
      <c r="H1183" s="89">
        <f>VLOOKUP(D1183,Average_Distance_by_kilometre_grouping_for_mode_type[#All],MATCH(A1183,Average_Distance_by_kilometre_grouping_for_mode_type[#Headers],0),0)</f>
        <v>1</v>
      </c>
      <c r="I1183" s="89">
        <f>VLOOKUP(D1183,Average_Distance_by_kilometres_grouping_for_trip_purpose[#All],MATCH(A1183,Average_Distance_by_kilometres_grouping_for_trip_purpose[#Headers],0),0)</f>
        <v>1</v>
      </c>
      <c r="J1183" s="89">
        <f t="shared" si="93"/>
        <v>1</v>
      </c>
      <c r="K1183" s="89">
        <f t="shared" si="94"/>
        <v>1.763046544428773E-2</v>
      </c>
      <c r="L1183" s="89">
        <v>1</v>
      </c>
      <c r="M1183" s="13">
        <f t="shared" si="95"/>
        <v>867104.20038952294</v>
      </c>
      <c r="N1183" s="11">
        <f t="shared" si="91"/>
        <v>1.4984668617378657E-5</v>
      </c>
    </row>
    <row r="1184" spans="1:14" x14ac:dyDescent="0.25">
      <c r="A1184" s="79" t="s">
        <v>34</v>
      </c>
      <c r="B1184" s="89" t="s">
        <v>7</v>
      </c>
      <c r="C1184" s="89" t="s">
        <v>44</v>
      </c>
      <c r="D1184" s="13" t="s">
        <v>181</v>
      </c>
      <c r="E1184" s="35">
        <f>VLOOKUP(B1184, Passenger_Kilometre_by_mode_type[#All],MATCH(A1184, Passenger_Kilometre_by_mode_type[#Headers],0),0)</f>
        <v>198715758.57007572</v>
      </c>
      <c r="F1184" s="89">
        <f>VLOOKUP(C1184, Reason_for_walking_cycling_journeys_by_percentage[#All],MATCH(A1184, Reason_for_walking_cycling_journeys_by_percentage[#Headers],0),0)/100</f>
        <v>0.24750000000000003</v>
      </c>
      <c r="G1184" s="13">
        <f t="shared" si="92"/>
        <v>49182150.246093743</v>
      </c>
      <c r="H1184" s="89">
        <f>VLOOKUP(D1184,Average_Distance_by_kilometre_grouping_for_mode_type[#All],MATCH(A1184,Average_Distance_by_kilometre_grouping_for_mode_type[#Headers],0),0)</f>
        <v>3</v>
      </c>
      <c r="I1184" s="89">
        <f>VLOOKUP(D1184,Average_Distance_by_kilometres_grouping_for_trip_purpose[#All],MATCH(A1184,Average_Distance_by_kilometres_grouping_for_trip_purpose[#Headers],0),0)</f>
        <v>3</v>
      </c>
      <c r="J1184" s="89">
        <f t="shared" si="93"/>
        <v>3</v>
      </c>
      <c r="K1184" s="89">
        <f t="shared" si="94"/>
        <v>5.2891396332863189E-2</v>
      </c>
      <c r="L1184" s="89">
        <v>1</v>
      </c>
      <c r="M1184" s="13">
        <f t="shared" si="95"/>
        <v>2601312.6011685692</v>
      </c>
      <c r="N1184" s="11">
        <f t="shared" si="91"/>
        <v>4.4954005852135979E-5</v>
      </c>
    </row>
    <row r="1185" spans="1:14" x14ac:dyDescent="0.25">
      <c r="A1185" s="79" t="s">
        <v>34</v>
      </c>
      <c r="B1185" s="89" t="s">
        <v>7</v>
      </c>
      <c r="C1185" s="89" t="s">
        <v>44</v>
      </c>
      <c r="D1185" s="13" t="s">
        <v>180</v>
      </c>
      <c r="E1185" s="35">
        <f>VLOOKUP(B1185, Passenger_Kilometre_by_mode_type[#All],MATCH(A1185, Passenger_Kilometre_by_mode_type[#Headers],0),0)</f>
        <v>198715758.57007572</v>
      </c>
      <c r="F1185" s="89">
        <f>VLOOKUP(C1185, Reason_for_walking_cycling_journeys_by_percentage[#All],MATCH(A1185, Reason_for_walking_cycling_journeys_by_percentage[#Headers],0),0)/100</f>
        <v>0.24750000000000003</v>
      </c>
      <c r="G1185" s="13">
        <f t="shared" si="92"/>
        <v>49182150.246093743</v>
      </c>
      <c r="H1185" s="89">
        <f>VLOOKUP(D1185,Average_Distance_by_kilometre_grouping_for_mode_type[#All],MATCH(A1185,Average_Distance_by_kilometre_grouping_for_mode_type[#Headers],0),0)</f>
        <v>5</v>
      </c>
      <c r="I1185" s="89">
        <f>VLOOKUP(D1185,Average_Distance_by_kilometres_grouping_for_trip_purpose[#All],MATCH(A1185,Average_Distance_by_kilometres_grouping_for_trip_purpose[#Headers],0),0)</f>
        <v>5</v>
      </c>
      <c r="J1185" s="89">
        <f t="shared" si="93"/>
        <v>5</v>
      </c>
      <c r="K1185" s="89">
        <f t="shared" si="94"/>
        <v>8.8152327221438648E-2</v>
      </c>
      <c r="L1185" s="89">
        <v>1</v>
      </c>
      <c r="M1185" s="13">
        <f t="shared" si="95"/>
        <v>4335521.0019476153</v>
      </c>
      <c r="N1185" s="11">
        <f t="shared" si="91"/>
        <v>7.4923343086893301E-5</v>
      </c>
    </row>
    <row r="1186" spans="1:14" x14ac:dyDescent="0.25">
      <c r="A1186" s="79" t="s">
        <v>34</v>
      </c>
      <c r="B1186" s="89" t="s">
        <v>7</v>
      </c>
      <c r="C1186" s="89" t="s">
        <v>44</v>
      </c>
      <c r="D1186" s="13" t="s">
        <v>182</v>
      </c>
      <c r="E1186" s="35">
        <f>VLOOKUP(B1186, Passenger_Kilometre_by_mode_type[#All],MATCH(A1186, Passenger_Kilometre_by_mode_type[#Headers],0),0)</f>
        <v>198715758.57007572</v>
      </c>
      <c r="F1186" s="89">
        <f>VLOOKUP(C1186, Reason_for_walking_cycling_journeys_by_percentage[#All],MATCH(A1186, Reason_for_walking_cycling_journeys_by_percentage[#Headers],0),0)/100</f>
        <v>0.24750000000000003</v>
      </c>
      <c r="G1186" s="13">
        <f t="shared" si="92"/>
        <v>49182150.246093743</v>
      </c>
      <c r="H1186" s="89">
        <f>VLOOKUP(D1186,Average_Distance_by_kilometre_grouping_for_mode_type[#All],MATCH(A1186,Average_Distance_by_kilometre_grouping_for_mode_type[#Headers],0),0)</f>
        <v>7</v>
      </c>
      <c r="I1186" s="89">
        <f>VLOOKUP(D1186,Average_Distance_by_kilometres_grouping_for_trip_purpose[#All],MATCH(A1186,Average_Distance_by_kilometres_grouping_for_trip_purpose[#Headers],0),0)</f>
        <v>7</v>
      </c>
      <c r="J1186" s="89">
        <f t="shared" si="93"/>
        <v>7</v>
      </c>
      <c r="K1186" s="89">
        <f t="shared" si="94"/>
        <v>0.12341325811001411</v>
      </c>
      <c r="L1186" s="89">
        <v>1</v>
      </c>
      <c r="M1186" s="13">
        <f t="shared" si="95"/>
        <v>6069729.4027266605</v>
      </c>
      <c r="N1186" s="11">
        <f t="shared" si="91"/>
        <v>1.048926803216506E-4</v>
      </c>
    </row>
    <row r="1187" spans="1:14" x14ac:dyDescent="0.25">
      <c r="A1187" s="79" t="s">
        <v>34</v>
      </c>
      <c r="B1187" s="89" t="s">
        <v>7</v>
      </c>
      <c r="C1187" s="89" t="s">
        <v>44</v>
      </c>
      <c r="D1187" s="13" t="s">
        <v>1</v>
      </c>
      <c r="E1187" s="35">
        <f>VLOOKUP(B1187, Passenger_Kilometre_by_mode_type[#All],MATCH(A1187, Passenger_Kilometre_by_mode_type[#Headers],0),0)</f>
        <v>198715758.57007572</v>
      </c>
      <c r="F1187" s="89">
        <f>VLOOKUP(C1187, Reason_for_walking_cycling_journeys_by_percentage[#All],MATCH(A1187, Reason_for_walking_cycling_journeys_by_percentage[#Headers],0),0)/100</f>
        <v>0.24750000000000003</v>
      </c>
      <c r="G1187" s="13">
        <f t="shared" si="92"/>
        <v>49182150.246093743</v>
      </c>
      <c r="H1187" s="89">
        <f>VLOOKUP(D1187,Average_Distance_by_kilometre_grouping_for_mode_type[#All],MATCH(A1187,Average_Distance_by_kilometre_grouping_for_mode_type[#Headers],0),0)</f>
        <v>38.99</v>
      </c>
      <c r="I1187" s="89">
        <f>VLOOKUP(D1187,Average_Distance_by_kilometres_grouping_for_trip_purpose[#All],MATCH(A1187,Average_Distance_by_kilometres_grouping_for_trip_purpose[#Headers],0),0)</f>
        <v>42.45</v>
      </c>
      <c r="J1187" s="89">
        <f t="shared" si="93"/>
        <v>40.72</v>
      </c>
      <c r="K1187" s="89">
        <f t="shared" si="94"/>
        <v>0.71791255289139633</v>
      </c>
      <c r="L1187" s="89">
        <v>1</v>
      </c>
      <c r="M1187" s="13">
        <f t="shared" si="95"/>
        <v>35308483.039861374</v>
      </c>
      <c r="N1187" s="11">
        <f t="shared" si="91"/>
        <v>6.101757060996589E-4</v>
      </c>
    </row>
    <row r="1188" spans="1:14" x14ac:dyDescent="0.25">
      <c r="A1188" s="79" t="s">
        <v>34</v>
      </c>
      <c r="B1188" s="89" t="s">
        <v>7</v>
      </c>
      <c r="C1188" s="89" t="s">
        <v>45</v>
      </c>
      <c r="D1188" s="13" t="s">
        <v>12</v>
      </c>
      <c r="E1188" s="35">
        <f>VLOOKUP(B1188, Passenger_Kilometre_by_mode_type[#All],MATCH(A1188, Passenger_Kilometre_by_mode_type[#Headers],0),0)</f>
        <v>198715758.57007572</v>
      </c>
      <c r="F1188" s="89">
        <f>VLOOKUP(C1188, Reason_for_walking_cycling_journeys_by_percentage[#All],MATCH(A1188, Reason_for_walking_cycling_journeys_by_percentage[#Headers],0),0)/100</f>
        <v>3.5000000000000003E-2</v>
      </c>
      <c r="G1188" s="13">
        <f t="shared" si="92"/>
        <v>6955051.5499526504</v>
      </c>
      <c r="H1188" s="89">
        <f>VLOOKUP(D1188,Average_Distance_by_kilometre_grouping_for_mode_type[#All],MATCH(A1188,Average_Distance_by_kilometre_grouping_for_mode_type[#Headers],0),0)</f>
        <v>1</v>
      </c>
      <c r="I1188" s="89">
        <f>VLOOKUP(D1188,Average_Distance_by_kilometres_grouping_for_trip_purpose[#All],MATCH(A1188,Average_Distance_by_kilometres_grouping_for_trip_purpose[#Headers],0),0)</f>
        <v>1</v>
      </c>
      <c r="J1188" s="89">
        <f t="shared" si="93"/>
        <v>1</v>
      </c>
      <c r="K1188" s="89">
        <f t="shared" si="94"/>
        <v>1.763046544428773E-2</v>
      </c>
      <c r="L1188" s="89">
        <v>1</v>
      </c>
      <c r="M1188" s="13">
        <f t="shared" si="95"/>
        <v>122620.79601468002</v>
      </c>
      <c r="N1188" s="11">
        <f t="shared" si="91"/>
        <v>2.1190440469020323E-6</v>
      </c>
    </row>
    <row r="1189" spans="1:14" x14ac:dyDescent="0.25">
      <c r="A1189" s="79" t="s">
        <v>34</v>
      </c>
      <c r="B1189" s="89" t="s">
        <v>7</v>
      </c>
      <c r="C1189" s="89" t="s">
        <v>45</v>
      </c>
      <c r="D1189" s="13" t="s">
        <v>181</v>
      </c>
      <c r="E1189" s="35">
        <f>VLOOKUP(B1189, Passenger_Kilometre_by_mode_type[#All],MATCH(A1189, Passenger_Kilometre_by_mode_type[#Headers],0),0)</f>
        <v>198715758.57007572</v>
      </c>
      <c r="F1189" s="89">
        <f>VLOOKUP(C1189, Reason_for_walking_cycling_journeys_by_percentage[#All],MATCH(A1189, Reason_for_walking_cycling_journeys_by_percentage[#Headers],0),0)/100</f>
        <v>3.5000000000000003E-2</v>
      </c>
      <c r="G1189" s="13">
        <f t="shared" si="92"/>
        <v>6955051.5499526504</v>
      </c>
      <c r="H1189" s="89">
        <f>VLOOKUP(D1189,Average_Distance_by_kilometre_grouping_for_mode_type[#All],MATCH(A1189,Average_Distance_by_kilometre_grouping_for_mode_type[#Headers],0),0)</f>
        <v>3</v>
      </c>
      <c r="I1189" s="89">
        <f>VLOOKUP(D1189,Average_Distance_by_kilometres_grouping_for_trip_purpose[#All],MATCH(A1189,Average_Distance_by_kilometres_grouping_for_trip_purpose[#Headers],0),0)</f>
        <v>3</v>
      </c>
      <c r="J1189" s="89">
        <f t="shared" si="93"/>
        <v>3</v>
      </c>
      <c r="K1189" s="89">
        <f t="shared" si="94"/>
        <v>5.2891396332863189E-2</v>
      </c>
      <c r="L1189" s="89">
        <v>1</v>
      </c>
      <c r="M1189" s="13">
        <f t="shared" si="95"/>
        <v>367862.38804404007</v>
      </c>
      <c r="N1189" s="11">
        <f t="shared" si="91"/>
        <v>6.3571321407060975E-6</v>
      </c>
    </row>
    <row r="1190" spans="1:14" x14ac:dyDescent="0.25">
      <c r="A1190" s="79" t="s">
        <v>34</v>
      </c>
      <c r="B1190" s="89" t="s">
        <v>7</v>
      </c>
      <c r="C1190" s="89" t="s">
        <v>45</v>
      </c>
      <c r="D1190" s="13" t="s">
        <v>180</v>
      </c>
      <c r="E1190" s="35">
        <f>VLOOKUP(B1190, Passenger_Kilometre_by_mode_type[#All],MATCH(A1190, Passenger_Kilometre_by_mode_type[#Headers],0),0)</f>
        <v>198715758.57007572</v>
      </c>
      <c r="F1190" s="89">
        <f>VLOOKUP(C1190, Reason_for_walking_cycling_journeys_by_percentage[#All],MATCH(A1190, Reason_for_walking_cycling_journeys_by_percentage[#Headers],0),0)/100</f>
        <v>3.5000000000000003E-2</v>
      </c>
      <c r="G1190" s="13">
        <f t="shared" si="92"/>
        <v>6955051.5499526504</v>
      </c>
      <c r="H1190" s="89">
        <f>VLOOKUP(D1190,Average_Distance_by_kilometre_grouping_for_mode_type[#All],MATCH(A1190,Average_Distance_by_kilometre_grouping_for_mode_type[#Headers],0),0)</f>
        <v>5</v>
      </c>
      <c r="I1190" s="89">
        <f>VLOOKUP(D1190,Average_Distance_by_kilometres_grouping_for_trip_purpose[#All],MATCH(A1190,Average_Distance_by_kilometres_grouping_for_trip_purpose[#Headers],0),0)</f>
        <v>5</v>
      </c>
      <c r="J1190" s="89">
        <f t="shared" si="93"/>
        <v>5</v>
      </c>
      <c r="K1190" s="89">
        <f t="shared" si="94"/>
        <v>8.8152327221438648E-2</v>
      </c>
      <c r="L1190" s="89">
        <v>1</v>
      </c>
      <c r="M1190" s="13">
        <f t="shared" si="95"/>
        <v>613103.98007340007</v>
      </c>
      <c r="N1190" s="11">
        <f t="shared" si="91"/>
        <v>1.0595220234510161E-5</v>
      </c>
    </row>
    <row r="1191" spans="1:14" x14ac:dyDescent="0.25">
      <c r="A1191" s="79" t="s">
        <v>34</v>
      </c>
      <c r="B1191" s="89" t="s">
        <v>7</v>
      </c>
      <c r="C1191" s="89" t="s">
        <v>45</v>
      </c>
      <c r="D1191" s="13" t="s">
        <v>182</v>
      </c>
      <c r="E1191" s="35">
        <f>VLOOKUP(B1191, Passenger_Kilometre_by_mode_type[#All],MATCH(A1191, Passenger_Kilometre_by_mode_type[#Headers],0),0)</f>
        <v>198715758.57007572</v>
      </c>
      <c r="F1191" s="89">
        <f>VLOOKUP(C1191, Reason_for_walking_cycling_journeys_by_percentage[#All],MATCH(A1191, Reason_for_walking_cycling_journeys_by_percentage[#Headers],0),0)/100</f>
        <v>3.5000000000000003E-2</v>
      </c>
      <c r="G1191" s="13">
        <f t="shared" si="92"/>
        <v>6955051.5499526504</v>
      </c>
      <c r="H1191" s="89">
        <f>VLOOKUP(D1191,Average_Distance_by_kilometre_grouping_for_mode_type[#All],MATCH(A1191,Average_Distance_by_kilometre_grouping_for_mode_type[#Headers],0),0)</f>
        <v>7</v>
      </c>
      <c r="I1191" s="89">
        <f>VLOOKUP(D1191,Average_Distance_by_kilometres_grouping_for_trip_purpose[#All],MATCH(A1191,Average_Distance_by_kilometres_grouping_for_trip_purpose[#Headers],0),0)</f>
        <v>7</v>
      </c>
      <c r="J1191" s="89">
        <f t="shared" si="93"/>
        <v>7</v>
      </c>
      <c r="K1191" s="89">
        <f t="shared" si="94"/>
        <v>0.12341325811001411</v>
      </c>
      <c r="L1191" s="89">
        <v>1</v>
      </c>
      <c r="M1191" s="13">
        <f t="shared" si="95"/>
        <v>858345.57210276008</v>
      </c>
      <c r="N1191" s="11">
        <f t="shared" si="91"/>
        <v>1.4833308328314227E-5</v>
      </c>
    </row>
    <row r="1192" spans="1:14" x14ac:dyDescent="0.25">
      <c r="A1192" s="79" t="s">
        <v>34</v>
      </c>
      <c r="B1192" s="89" t="s">
        <v>7</v>
      </c>
      <c r="C1192" s="89" t="s">
        <v>45</v>
      </c>
      <c r="D1192" s="13" t="s">
        <v>1</v>
      </c>
      <c r="E1192" s="35">
        <f>VLOOKUP(B1192, Passenger_Kilometre_by_mode_type[#All],MATCH(A1192, Passenger_Kilometre_by_mode_type[#Headers],0),0)</f>
        <v>198715758.57007572</v>
      </c>
      <c r="F1192" s="89">
        <f>VLOOKUP(C1192, Reason_for_walking_cycling_journeys_by_percentage[#All],MATCH(A1192, Reason_for_walking_cycling_journeys_by_percentage[#Headers],0),0)/100</f>
        <v>3.5000000000000003E-2</v>
      </c>
      <c r="G1192" s="13">
        <f t="shared" si="92"/>
        <v>6955051.5499526504</v>
      </c>
      <c r="H1192" s="89">
        <f>VLOOKUP(D1192,Average_Distance_by_kilometre_grouping_for_mode_type[#All],MATCH(A1192,Average_Distance_by_kilometre_grouping_for_mode_type[#Headers],0),0)</f>
        <v>38.99</v>
      </c>
      <c r="I1192" s="89">
        <f>VLOOKUP(D1192,Average_Distance_by_kilometres_grouping_for_trip_purpose[#All],MATCH(A1192,Average_Distance_by_kilometres_grouping_for_trip_purpose[#Headers],0),0)</f>
        <v>42.45</v>
      </c>
      <c r="J1192" s="89">
        <f t="shared" si="93"/>
        <v>40.72</v>
      </c>
      <c r="K1192" s="89">
        <f t="shared" si="94"/>
        <v>0.71791255289139633</v>
      </c>
      <c r="L1192" s="89">
        <v>1</v>
      </c>
      <c r="M1192" s="13">
        <f t="shared" si="95"/>
        <v>4993118.8137177704</v>
      </c>
      <c r="N1192" s="11">
        <f t="shared" si="91"/>
        <v>8.6287473589850762E-5</v>
      </c>
    </row>
    <row r="1193" spans="1:14" x14ac:dyDescent="0.25">
      <c r="A1193" s="79" t="s">
        <v>34</v>
      </c>
      <c r="B1193" s="89" t="s">
        <v>7</v>
      </c>
      <c r="C1193" s="89" t="s">
        <v>56</v>
      </c>
      <c r="D1193" s="13" t="s">
        <v>12</v>
      </c>
      <c r="E1193" s="35">
        <f>VLOOKUP(B1193, Passenger_Kilometre_by_mode_type[#All],MATCH(A1193, Passenger_Kilometre_by_mode_type[#Headers],0),0)</f>
        <v>198715758.57007572</v>
      </c>
      <c r="F1193" s="89">
        <f>VLOOKUP(C1193, Reason_for_walking_cycling_journeys_by_percentage[#All],MATCH(A1193, Reason_for_walking_cycling_journeys_by_percentage[#Headers],0),0)/100</f>
        <v>9.2499999999999999E-2</v>
      </c>
      <c r="G1193" s="13">
        <f t="shared" si="92"/>
        <v>18381207.667732004</v>
      </c>
      <c r="H1193" s="89">
        <f>VLOOKUP(D1193,Average_Distance_by_kilometre_grouping_for_mode_type[#All],MATCH(A1193,Average_Distance_by_kilometre_grouping_for_mode_type[#Headers],0),0)</f>
        <v>1</v>
      </c>
      <c r="I1193" s="89">
        <f>VLOOKUP(D1193,Average_Distance_by_kilometres_grouping_for_trip_purpose[#All],MATCH(A1193,Average_Distance_by_kilometres_grouping_for_trip_purpose[#Headers],0),0)</f>
        <v>1</v>
      </c>
      <c r="J1193" s="89">
        <f t="shared" si="93"/>
        <v>1</v>
      </c>
      <c r="K1193" s="89">
        <f t="shared" si="94"/>
        <v>1.763046544428773E-2</v>
      </c>
      <c r="L1193" s="89">
        <v>1</v>
      </c>
      <c r="M1193" s="13">
        <f t="shared" si="95"/>
        <v>324069.24661022576</v>
      </c>
      <c r="N1193" s="11">
        <f t="shared" si="91"/>
        <v>5.6003306953839427E-6</v>
      </c>
    </row>
    <row r="1194" spans="1:14" x14ac:dyDescent="0.25">
      <c r="A1194" s="79" t="s">
        <v>34</v>
      </c>
      <c r="B1194" s="89" t="s">
        <v>7</v>
      </c>
      <c r="C1194" s="89" t="s">
        <v>56</v>
      </c>
      <c r="D1194" s="13" t="s">
        <v>181</v>
      </c>
      <c r="E1194" s="35">
        <f>VLOOKUP(B1194, Passenger_Kilometre_by_mode_type[#All],MATCH(A1194, Passenger_Kilometre_by_mode_type[#Headers],0),0)</f>
        <v>198715758.57007572</v>
      </c>
      <c r="F1194" s="89">
        <f>VLOOKUP(C1194, Reason_for_walking_cycling_journeys_by_percentage[#All],MATCH(A1194, Reason_for_walking_cycling_journeys_by_percentage[#Headers],0),0)/100</f>
        <v>9.2499999999999999E-2</v>
      </c>
      <c r="G1194" s="13">
        <f t="shared" si="92"/>
        <v>18381207.667732004</v>
      </c>
      <c r="H1194" s="89">
        <f>VLOOKUP(D1194,Average_Distance_by_kilometre_grouping_for_mode_type[#All],MATCH(A1194,Average_Distance_by_kilometre_grouping_for_mode_type[#Headers],0),0)</f>
        <v>3</v>
      </c>
      <c r="I1194" s="89">
        <f>VLOOKUP(D1194,Average_Distance_by_kilometres_grouping_for_trip_purpose[#All],MATCH(A1194,Average_Distance_by_kilometres_grouping_for_trip_purpose[#Headers],0),0)</f>
        <v>3</v>
      </c>
      <c r="J1194" s="89">
        <f t="shared" si="93"/>
        <v>3</v>
      </c>
      <c r="K1194" s="89">
        <f t="shared" si="94"/>
        <v>5.2891396332863189E-2</v>
      </c>
      <c r="L1194" s="89">
        <v>1</v>
      </c>
      <c r="M1194" s="13">
        <f t="shared" si="95"/>
        <v>972207.73983067728</v>
      </c>
      <c r="N1194" s="11">
        <f t="shared" si="91"/>
        <v>1.6800992086151828E-5</v>
      </c>
    </row>
    <row r="1195" spans="1:14" x14ac:dyDescent="0.25">
      <c r="A1195" s="79" t="s">
        <v>34</v>
      </c>
      <c r="B1195" s="89" t="s">
        <v>7</v>
      </c>
      <c r="C1195" s="89" t="s">
        <v>56</v>
      </c>
      <c r="D1195" s="13" t="s">
        <v>180</v>
      </c>
      <c r="E1195" s="35">
        <f>VLOOKUP(B1195, Passenger_Kilometre_by_mode_type[#All],MATCH(A1195, Passenger_Kilometre_by_mode_type[#Headers],0),0)</f>
        <v>198715758.57007572</v>
      </c>
      <c r="F1195" s="89">
        <f>VLOOKUP(C1195, Reason_for_walking_cycling_journeys_by_percentage[#All],MATCH(A1195, Reason_for_walking_cycling_journeys_by_percentage[#Headers],0),0)/100</f>
        <v>9.2499999999999999E-2</v>
      </c>
      <c r="G1195" s="13">
        <f t="shared" si="92"/>
        <v>18381207.667732004</v>
      </c>
      <c r="H1195" s="89">
        <f>VLOOKUP(D1195,Average_Distance_by_kilometre_grouping_for_mode_type[#All],MATCH(A1195,Average_Distance_by_kilometre_grouping_for_mode_type[#Headers],0),0)</f>
        <v>5</v>
      </c>
      <c r="I1195" s="89">
        <f>VLOOKUP(D1195,Average_Distance_by_kilometres_grouping_for_trip_purpose[#All],MATCH(A1195,Average_Distance_by_kilometres_grouping_for_trip_purpose[#Headers],0),0)</f>
        <v>5</v>
      </c>
      <c r="J1195" s="89">
        <f t="shared" si="93"/>
        <v>5</v>
      </c>
      <c r="K1195" s="89">
        <f t="shared" si="94"/>
        <v>8.8152327221438648E-2</v>
      </c>
      <c r="L1195" s="89">
        <v>1</v>
      </c>
      <c r="M1195" s="13">
        <f t="shared" si="95"/>
        <v>1620346.2330511287</v>
      </c>
      <c r="N1195" s="11">
        <f t="shared" si="91"/>
        <v>2.8001653476919714E-5</v>
      </c>
    </row>
    <row r="1196" spans="1:14" x14ac:dyDescent="0.25">
      <c r="A1196" s="79" t="s">
        <v>34</v>
      </c>
      <c r="B1196" s="89" t="s">
        <v>7</v>
      </c>
      <c r="C1196" s="89" t="s">
        <v>56</v>
      </c>
      <c r="D1196" s="13" t="s">
        <v>182</v>
      </c>
      <c r="E1196" s="35">
        <f>VLOOKUP(B1196, Passenger_Kilometre_by_mode_type[#All],MATCH(A1196, Passenger_Kilometre_by_mode_type[#Headers],0),0)</f>
        <v>198715758.57007572</v>
      </c>
      <c r="F1196" s="89">
        <f>VLOOKUP(C1196, Reason_for_walking_cycling_journeys_by_percentage[#All],MATCH(A1196, Reason_for_walking_cycling_journeys_by_percentage[#Headers],0),0)/100</f>
        <v>9.2499999999999999E-2</v>
      </c>
      <c r="G1196" s="13">
        <f t="shared" si="92"/>
        <v>18381207.667732004</v>
      </c>
      <c r="H1196" s="89">
        <f>VLOOKUP(D1196,Average_Distance_by_kilometre_grouping_for_mode_type[#All],MATCH(A1196,Average_Distance_by_kilometre_grouping_for_mode_type[#Headers],0),0)</f>
        <v>7</v>
      </c>
      <c r="I1196" s="89">
        <f>VLOOKUP(D1196,Average_Distance_by_kilometres_grouping_for_trip_purpose[#All],MATCH(A1196,Average_Distance_by_kilometres_grouping_for_trip_purpose[#Headers],0),0)</f>
        <v>7</v>
      </c>
      <c r="J1196" s="89">
        <f t="shared" si="93"/>
        <v>7</v>
      </c>
      <c r="K1196" s="89">
        <f t="shared" si="94"/>
        <v>0.12341325811001411</v>
      </c>
      <c r="L1196" s="89">
        <v>1</v>
      </c>
      <c r="M1196" s="13">
        <f t="shared" si="95"/>
        <v>2268484.7262715804</v>
      </c>
      <c r="N1196" s="11">
        <f t="shared" si="91"/>
        <v>3.9202314867687602E-5</v>
      </c>
    </row>
    <row r="1197" spans="1:14" x14ac:dyDescent="0.25">
      <c r="A1197" s="79" t="s">
        <v>34</v>
      </c>
      <c r="B1197" s="89" t="s">
        <v>7</v>
      </c>
      <c r="C1197" s="89" t="s">
        <v>56</v>
      </c>
      <c r="D1197" s="13" t="s">
        <v>1</v>
      </c>
      <c r="E1197" s="35">
        <f>VLOOKUP(B1197, Passenger_Kilometre_by_mode_type[#All],MATCH(A1197, Passenger_Kilometre_by_mode_type[#Headers],0),0)</f>
        <v>198715758.57007572</v>
      </c>
      <c r="F1197" s="89">
        <f>VLOOKUP(C1197, Reason_for_walking_cycling_journeys_by_percentage[#All],MATCH(A1197, Reason_for_walking_cycling_journeys_by_percentage[#Headers],0),0)/100</f>
        <v>9.2499999999999999E-2</v>
      </c>
      <c r="G1197" s="13">
        <f t="shared" si="92"/>
        <v>18381207.667732004</v>
      </c>
      <c r="H1197" s="89">
        <f>VLOOKUP(D1197,Average_Distance_by_kilometre_grouping_for_mode_type[#All],MATCH(A1197,Average_Distance_by_kilometre_grouping_for_mode_type[#Headers],0),0)</f>
        <v>38.99</v>
      </c>
      <c r="I1197" s="89">
        <f>VLOOKUP(D1197,Average_Distance_by_kilometres_grouping_for_trip_purpose[#All],MATCH(A1197,Average_Distance_by_kilometres_grouping_for_trip_purpose[#Headers],0),0)</f>
        <v>42.45</v>
      </c>
      <c r="J1197" s="89">
        <f t="shared" si="93"/>
        <v>40.72</v>
      </c>
      <c r="K1197" s="89">
        <f t="shared" si="94"/>
        <v>0.71791255289139633</v>
      </c>
      <c r="L1197" s="89">
        <v>1</v>
      </c>
      <c r="M1197" s="13">
        <f t="shared" si="95"/>
        <v>13196099.721968392</v>
      </c>
      <c r="N1197" s="11">
        <f t="shared" si="91"/>
        <v>2.2804546591603415E-4</v>
      </c>
    </row>
    <row r="1198" spans="1:14" x14ac:dyDescent="0.25">
      <c r="A1198" s="79" t="s">
        <v>34</v>
      </c>
      <c r="B1198" s="89" t="s">
        <v>7</v>
      </c>
      <c r="C1198" s="89" t="s">
        <v>57</v>
      </c>
      <c r="D1198" s="13" t="s">
        <v>12</v>
      </c>
      <c r="E1198" s="35">
        <f>VLOOKUP(B1198, Passenger_Kilometre_by_mode_type[#All],MATCH(A1198, Passenger_Kilometre_by_mode_type[#Headers],0),0)</f>
        <v>198715758.57007572</v>
      </c>
      <c r="F1198" s="89">
        <f>VLOOKUP(C1198, Reason_for_walking_cycling_journeys_by_percentage[#All],MATCH(A1198, Reason_for_walking_cycling_journeys_by_percentage[#Headers],0),0)/100</f>
        <v>0.17100000000000001</v>
      </c>
      <c r="G1198" s="13">
        <f t="shared" si="92"/>
        <v>33980394.71548295</v>
      </c>
      <c r="H1198" s="89">
        <f>VLOOKUP(D1198,Average_Distance_by_kilometre_grouping_for_mode_type[#All],MATCH(A1198,Average_Distance_by_kilometre_grouping_for_mode_type[#Headers],0),0)</f>
        <v>1</v>
      </c>
      <c r="I1198" s="89">
        <f>VLOOKUP(D1198,Average_Distance_by_kilometres_grouping_for_trip_purpose[#All],MATCH(A1198,Average_Distance_by_kilometres_grouping_for_trip_purpose[#Headers],0),0)</f>
        <v>1</v>
      </c>
      <c r="J1198" s="89">
        <f t="shared" si="93"/>
        <v>1</v>
      </c>
      <c r="K1198" s="89">
        <f t="shared" si="94"/>
        <v>1.763046544428773E-2</v>
      </c>
      <c r="L1198" s="89">
        <v>1</v>
      </c>
      <c r="M1198" s="13">
        <f t="shared" si="95"/>
        <v>599090.17481457954</v>
      </c>
      <c r="N1198" s="11">
        <f t="shared" si="91"/>
        <v>1.0353043772007073E-5</v>
      </c>
    </row>
    <row r="1199" spans="1:14" x14ac:dyDescent="0.25">
      <c r="A1199" s="79" t="s">
        <v>34</v>
      </c>
      <c r="B1199" s="89" t="s">
        <v>7</v>
      </c>
      <c r="C1199" s="89" t="s">
        <v>57</v>
      </c>
      <c r="D1199" s="13" t="s">
        <v>181</v>
      </c>
      <c r="E1199" s="35">
        <f>VLOOKUP(B1199, Passenger_Kilometre_by_mode_type[#All],MATCH(A1199, Passenger_Kilometre_by_mode_type[#Headers],0),0)</f>
        <v>198715758.57007572</v>
      </c>
      <c r="F1199" s="89">
        <f>VLOOKUP(C1199, Reason_for_walking_cycling_journeys_by_percentage[#All],MATCH(A1199, Reason_for_walking_cycling_journeys_by_percentage[#Headers],0),0)/100</f>
        <v>0.17100000000000001</v>
      </c>
      <c r="G1199" s="13">
        <f t="shared" si="92"/>
        <v>33980394.71548295</v>
      </c>
      <c r="H1199" s="89">
        <f>VLOOKUP(D1199,Average_Distance_by_kilometre_grouping_for_mode_type[#All],MATCH(A1199,Average_Distance_by_kilometre_grouping_for_mode_type[#Headers],0),0)</f>
        <v>3</v>
      </c>
      <c r="I1199" s="89">
        <f>VLOOKUP(D1199,Average_Distance_by_kilometres_grouping_for_trip_purpose[#All],MATCH(A1199,Average_Distance_by_kilometres_grouping_for_trip_purpose[#Headers],0),0)</f>
        <v>3</v>
      </c>
      <c r="J1199" s="89">
        <f t="shared" si="93"/>
        <v>3</v>
      </c>
      <c r="K1199" s="89">
        <f t="shared" si="94"/>
        <v>5.2891396332863189E-2</v>
      </c>
      <c r="L1199" s="89">
        <v>1</v>
      </c>
      <c r="M1199" s="13">
        <f t="shared" si="95"/>
        <v>1797270.5244437386</v>
      </c>
      <c r="N1199" s="11">
        <f t="shared" si="91"/>
        <v>3.1059131316021223E-5</v>
      </c>
    </row>
    <row r="1200" spans="1:14" x14ac:dyDescent="0.25">
      <c r="A1200" s="79" t="s">
        <v>34</v>
      </c>
      <c r="B1200" s="89" t="s">
        <v>7</v>
      </c>
      <c r="C1200" s="89" t="s">
        <v>57</v>
      </c>
      <c r="D1200" s="13" t="s">
        <v>180</v>
      </c>
      <c r="E1200" s="35">
        <f>VLOOKUP(B1200, Passenger_Kilometre_by_mode_type[#All],MATCH(A1200, Passenger_Kilometre_by_mode_type[#Headers],0),0)</f>
        <v>198715758.57007572</v>
      </c>
      <c r="F1200" s="89">
        <f>VLOOKUP(C1200, Reason_for_walking_cycling_journeys_by_percentage[#All],MATCH(A1200, Reason_for_walking_cycling_journeys_by_percentage[#Headers],0),0)/100</f>
        <v>0.17100000000000001</v>
      </c>
      <c r="G1200" s="13">
        <f t="shared" si="92"/>
        <v>33980394.71548295</v>
      </c>
      <c r="H1200" s="89">
        <f>VLOOKUP(D1200,Average_Distance_by_kilometre_grouping_for_mode_type[#All],MATCH(A1200,Average_Distance_by_kilometre_grouping_for_mode_type[#Headers],0),0)</f>
        <v>5</v>
      </c>
      <c r="I1200" s="89">
        <f>VLOOKUP(D1200,Average_Distance_by_kilometres_grouping_for_trip_purpose[#All],MATCH(A1200,Average_Distance_by_kilometres_grouping_for_trip_purpose[#Headers],0),0)</f>
        <v>5</v>
      </c>
      <c r="J1200" s="89">
        <f t="shared" si="93"/>
        <v>5</v>
      </c>
      <c r="K1200" s="89">
        <f t="shared" si="94"/>
        <v>8.8152327221438648E-2</v>
      </c>
      <c r="L1200" s="89">
        <v>1</v>
      </c>
      <c r="M1200" s="13">
        <f t="shared" si="95"/>
        <v>2995450.8740728977</v>
      </c>
      <c r="N1200" s="11">
        <f t="shared" si="91"/>
        <v>5.176521886003537E-5</v>
      </c>
    </row>
    <row r="1201" spans="1:14" x14ac:dyDescent="0.25">
      <c r="A1201" s="79" t="s">
        <v>34</v>
      </c>
      <c r="B1201" s="89" t="s">
        <v>7</v>
      </c>
      <c r="C1201" s="89" t="s">
        <v>57</v>
      </c>
      <c r="D1201" s="13" t="s">
        <v>182</v>
      </c>
      <c r="E1201" s="35">
        <f>VLOOKUP(B1201, Passenger_Kilometre_by_mode_type[#All],MATCH(A1201, Passenger_Kilometre_by_mode_type[#Headers],0),0)</f>
        <v>198715758.57007572</v>
      </c>
      <c r="F1201" s="89">
        <f>VLOOKUP(C1201, Reason_for_walking_cycling_journeys_by_percentage[#All],MATCH(A1201, Reason_for_walking_cycling_journeys_by_percentage[#Headers],0),0)/100</f>
        <v>0.17100000000000001</v>
      </c>
      <c r="G1201" s="13">
        <f t="shared" si="92"/>
        <v>33980394.71548295</v>
      </c>
      <c r="H1201" s="89">
        <f>VLOOKUP(D1201,Average_Distance_by_kilometre_grouping_for_mode_type[#All],MATCH(A1201,Average_Distance_by_kilometre_grouping_for_mode_type[#Headers],0),0)</f>
        <v>7</v>
      </c>
      <c r="I1201" s="89">
        <f>VLOOKUP(D1201,Average_Distance_by_kilometres_grouping_for_trip_purpose[#All],MATCH(A1201,Average_Distance_by_kilometres_grouping_for_trip_purpose[#Headers],0),0)</f>
        <v>7</v>
      </c>
      <c r="J1201" s="89">
        <f t="shared" si="93"/>
        <v>7</v>
      </c>
      <c r="K1201" s="89">
        <f t="shared" si="94"/>
        <v>0.12341325811001411</v>
      </c>
      <c r="L1201" s="89">
        <v>1</v>
      </c>
      <c r="M1201" s="13">
        <f t="shared" si="95"/>
        <v>4193631.2237020568</v>
      </c>
      <c r="N1201" s="11">
        <f t="shared" si="91"/>
        <v>7.2471306404049517E-5</v>
      </c>
    </row>
    <row r="1202" spans="1:14" x14ac:dyDescent="0.25">
      <c r="A1202" s="79" t="s">
        <v>34</v>
      </c>
      <c r="B1202" s="89" t="s">
        <v>7</v>
      </c>
      <c r="C1202" s="89" t="s">
        <v>57</v>
      </c>
      <c r="D1202" s="13" t="s">
        <v>1</v>
      </c>
      <c r="E1202" s="35">
        <f>VLOOKUP(B1202, Passenger_Kilometre_by_mode_type[#All],MATCH(A1202, Passenger_Kilometre_by_mode_type[#Headers],0),0)</f>
        <v>198715758.57007572</v>
      </c>
      <c r="F1202" s="89">
        <f>VLOOKUP(C1202, Reason_for_walking_cycling_journeys_by_percentage[#All],MATCH(A1202, Reason_for_walking_cycling_journeys_by_percentage[#Headers],0),0)/100</f>
        <v>0.17100000000000001</v>
      </c>
      <c r="G1202" s="13">
        <f t="shared" si="92"/>
        <v>33980394.71548295</v>
      </c>
      <c r="H1202" s="89">
        <f>VLOOKUP(D1202,Average_Distance_by_kilometre_grouping_for_mode_type[#All],MATCH(A1202,Average_Distance_by_kilometre_grouping_for_mode_type[#Headers],0),0)</f>
        <v>38.99</v>
      </c>
      <c r="I1202" s="89">
        <f>VLOOKUP(D1202,Average_Distance_by_kilometres_grouping_for_trip_purpose[#All],MATCH(A1202,Average_Distance_by_kilometres_grouping_for_trip_purpose[#Headers],0),0)</f>
        <v>42.45</v>
      </c>
      <c r="J1202" s="89">
        <f t="shared" si="93"/>
        <v>40.72</v>
      </c>
      <c r="K1202" s="89">
        <f t="shared" si="94"/>
        <v>0.71791255289139633</v>
      </c>
      <c r="L1202" s="89">
        <v>1</v>
      </c>
      <c r="M1202" s="13">
        <f t="shared" si="95"/>
        <v>24394951.918449678</v>
      </c>
      <c r="N1202" s="11">
        <f t="shared" si="91"/>
        <v>4.2157594239612803E-4</v>
      </c>
    </row>
    <row r="1203" spans="1:14" x14ac:dyDescent="0.25">
      <c r="A1203" s="79" t="s">
        <v>34</v>
      </c>
      <c r="B1203" s="89" t="s">
        <v>7</v>
      </c>
      <c r="C1203" s="89" t="s">
        <v>93</v>
      </c>
      <c r="D1203" s="13" t="s">
        <v>12</v>
      </c>
      <c r="E1203" s="35">
        <f>VLOOKUP(B1203, Passenger_Kilometre_by_mode_type[#All],MATCH(A1203, Passenger_Kilometre_by_mode_type[#Headers],0),0)</f>
        <v>198715758.57007572</v>
      </c>
      <c r="F1203" s="89">
        <f>VLOOKUP(C1203, Reason_for_walking_cycling_journeys_by_percentage[#All],MATCH(A1203, Reason_for_walking_cycling_journeys_by_percentage[#Headers],0),0)/100</f>
        <v>3.6249999999999998E-2</v>
      </c>
      <c r="G1203" s="13">
        <f t="shared" si="92"/>
        <v>7203446.2481652442</v>
      </c>
      <c r="H1203" s="89">
        <f>VLOOKUP(D1203,Average_Distance_by_kilometre_grouping_for_mode_type[#All],MATCH(A1203,Average_Distance_by_kilometre_grouping_for_mode_type[#Headers],0),0)</f>
        <v>1</v>
      </c>
      <c r="I1203" s="89">
        <f>VLOOKUP(D1203,Average_Distance_by_kilometres_grouping_for_trip_purpose[#All],MATCH(A1203,Average_Distance_by_kilometres_grouping_for_trip_purpose[#Headers],0),0)</f>
        <v>1</v>
      </c>
      <c r="J1203" s="89">
        <f t="shared" si="93"/>
        <v>1</v>
      </c>
      <c r="K1203" s="89">
        <f t="shared" si="94"/>
        <v>1.763046544428773E-2</v>
      </c>
      <c r="L1203" s="89">
        <v>1</v>
      </c>
      <c r="M1203" s="13">
        <f t="shared" si="95"/>
        <v>127000.11015806143</v>
      </c>
      <c r="N1203" s="11">
        <f t="shared" si="91"/>
        <v>2.1947241914342477E-6</v>
      </c>
    </row>
    <row r="1204" spans="1:14" x14ac:dyDescent="0.25">
      <c r="A1204" s="79" t="s">
        <v>34</v>
      </c>
      <c r="B1204" s="89" t="s">
        <v>7</v>
      </c>
      <c r="C1204" s="89" t="s">
        <v>93</v>
      </c>
      <c r="D1204" s="13" t="s">
        <v>181</v>
      </c>
      <c r="E1204" s="35">
        <f>VLOOKUP(B1204, Passenger_Kilometre_by_mode_type[#All],MATCH(A1204, Passenger_Kilometre_by_mode_type[#Headers],0),0)</f>
        <v>198715758.57007572</v>
      </c>
      <c r="F1204" s="89">
        <f>VLOOKUP(C1204, Reason_for_walking_cycling_journeys_by_percentage[#All],MATCH(A1204, Reason_for_walking_cycling_journeys_by_percentage[#Headers],0),0)/100</f>
        <v>3.6249999999999998E-2</v>
      </c>
      <c r="G1204" s="13">
        <f t="shared" si="92"/>
        <v>7203446.2481652442</v>
      </c>
      <c r="H1204" s="89">
        <f>VLOOKUP(D1204,Average_Distance_by_kilometre_grouping_for_mode_type[#All],MATCH(A1204,Average_Distance_by_kilometre_grouping_for_mode_type[#Headers],0),0)</f>
        <v>3</v>
      </c>
      <c r="I1204" s="89">
        <f>VLOOKUP(D1204,Average_Distance_by_kilometres_grouping_for_trip_purpose[#All],MATCH(A1204,Average_Distance_by_kilometres_grouping_for_trip_purpose[#Headers],0),0)</f>
        <v>3</v>
      </c>
      <c r="J1204" s="89">
        <f t="shared" si="93"/>
        <v>3</v>
      </c>
      <c r="K1204" s="89">
        <f t="shared" si="94"/>
        <v>5.2891396332863189E-2</v>
      </c>
      <c r="L1204" s="89">
        <v>1</v>
      </c>
      <c r="M1204" s="13">
        <f t="shared" si="95"/>
        <v>381000.3304741843</v>
      </c>
      <c r="N1204" s="11">
        <f t="shared" si="91"/>
        <v>6.5841725743027434E-6</v>
      </c>
    </row>
    <row r="1205" spans="1:14" x14ac:dyDescent="0.25">
      <c r="A1205" s="79" t="s">
        <v>34</v>
      </c>
      <c r="B1205" s="89" t="s">
        <v>7</v>
      </c>
      <c r="C1205" s="89" t="s">
        <v>93</v>
      </c>
      <c r="D1205" s="13" t="s">
        <v>180</v>
      </c>
      <c r="E1205" s="35">
        <f>VLOOKUP(B1205, Passenger_Kilometre_by_mode_type[#All],MATCH(A1205, Passenger_Kilometre_by_mode_type[#Headers],0),0)</f>
        <v>198715758.57007572</v>
      </c>
      <c r="F1205" s="89">
        <f>VLOOKUP(C1205, Reason_for_walking_cycling_journeys_by_percentage[#All],MATCH(A1205, Reason_for_walking_cycling_journeys_by_percentage[#Headers],0),0)/100</f>
        <v>3.6249999999999998E-2</v>
      </c>
      <c r="G1205" s="13">
        <f t="shared" si="92"/>
        <v>7203446.2481652442</v>
      </c>
      <c r="H1205" s="89">
        <f>VLOOKUP(D1205,Average_Distance_by_kilometre_grouping_for_mode_type[#All],MATCH(A1205,Average_Distance_by_kilometre_grouping_for_mode_type[#Headers],0),0)</f>
        <v>5</v>
      </c>
      <c r="I1205" s="89">
        <f>VLOOKUP(D1205,Average_Distance_by_kilometres_grouping_for_trip_purpose[#All],MATCH(A1205,Average_Distance_by_kilometres_grouping_for_trip_purpose[#Headers],0),0)</f>
        <v>5</v>
      </c>
      <c r="J1205" s="89">
        <f t="shared" si="93"/>
        <v>5</v>
      </c>
      <c r="K1205" s="89">
        <f t="shared" si="94"/>
        <v>8.8152327221438648E-2</v>
      </c>
      <c r="L1205" s="89">
        <v>1</v>
      </c>
      <c r="M1205" s="13">
        <f t="shared" si="95"/>
        <v>635000.55079030711</v>
      </c>
      <c r="N1205" s="11">
        <f t="shared" si="91"/>
        <v>1.0973620957171238E-5</v>
      </c>
    </row>
    <row r="1206" spans="1:14" x14ac:dyDescent="0.25">
      <c r="A1206" s="79" t="s">
        <v>34</v>
      </c>
      <c r="B1206" s="89" t="s">
        <v>7</v>
      </c>
      <c r="C1206" s="89" t="s">
        <v>93</v>
      </c>
      <c r="D1206" s="13" t="s">
        <v>182</v>
      </c>
      <c r="E1206" s="35">
        <f>VLOOKUP(B1206, Passenger_Kilometre_by_mode_type[#All],MATCH(A1206, Passenger_Kilometre_by_mode_type[#Headers],0),0)</f>
        <v>198715758.57007572</v>
      </c>
      <c r="F1206" s="89">
        <f>VLOOKUP(C1206, Reason_for_walking_cycling_journeys_by_percentage[#All],MATCH(A1206, Reason_for_walking_cycling_journeys_by_percentage[#Headers],0),0)/100</f>
        <v>3.6249999999999998E-2</v>
      </c>
      <c r="G1206" s="13">
        <f t="shared" si="92"/>
        <v>7203446.2481652442</v>
      </c>
      <c r="H1206" s="89">
        <f>VLOOKUP(D1206,Average_Distance_by_kilometre_grouping_for_mode_type[#All],MATCH(A1206,Average_Distance_by_kilometre_grouping_for_mode_type[#Headers],0),0)</f>
        <v>7</v>
      </c>
      <c r="I1206" s="89">
        <f>VLOOKUP(D1206,Average_Distance_by_kilometres_grouping_for_trip_purpose[#All],MATCH(A1206,Average_Distance_by_kilometres_grouping_for_trip_purpose[#Headers],0),0)</f>
        <v>7</v>
      </c>
      <c r="J1206" s="89">
        <f t="shared" si="93"/>
        <v>7</v>
      </c>
      <c r="K1206" s="89">
        <f t="shared" si="94"/>
        <v>0.12341325811001411</v>
      </c>
      <c r="L1206" s="89">
        <v>1</v>
      </c>
      <c r="M1206" s="13">
        <f t="shared" si="95"/>
        <v>889000.77110642998</v>
      </c>
      <c r="N1206" s="11">
        <f t="shared" si="91"/>
        <v>1.5363069340039734E-5</v>
      </c>
    </row>
    <row r="1207" spans="1:14" x14ac:dyDescent="0.25">
      <c r="A1207" s="79" t="s">
        <v>34</v>
      </c>
      <c r="B1207" s="89" t="s">
        <v>7</v>
      </c>
      <c r="C1207" s="89" t="s">
        <v>93</v>
      </c>
      <c r="D1207" s="13" t="s">
        <v>1</v>
      </c>
      <c r="E1207" s="35">
        <f>VLOOKUP(B1207, Passenger_Kilometre_by_mode_type[#All],MATCH(A1207, Passenger_Kilometre_by_mode_type[#Headers],0),0)</f>
        <v>198715758.57007572</v>
      </c>
      <c r="F1207" s="89">
        <f>VLOOKUP(C1207, Reason_for_walking_cycling_journeys_by_percentage[#All],MATCH(A1207, Reason_for_walking_cycling_journeys_by_percentage[#Headers],0),0)/100</f>
        <v>3.6249999999999998E-2</v>
      </c>
      <c r="G1207" s="13">
        <f t="shared" si="92"/>
        <v>7203446.2481652442</v>
      </c>
      <c r="H1207" s="89">
        <f>VLOOKUP(D1207,Average_Distance_by_kilometre_grouping_for_mode_type[#All],MATCH(A1207,Average_Distance_by_kilometre_grouping_for_mode_type[#Headers],0),0)</f>
        <v>38.99</v>
      </c>
      <c r="I1207" s="89">
        <f>VLOOKUP(D1207,Average_Distance_by_kilometres_grouping_for_trip_purpose[#All],MATCH(A1207,Average_Distance_by_kilometres_grouping_for_trip_purpose[#Headers],0),0)</f>
        <v>42.45</v>
      </c>
      <c r="J1207" s="89">
        <f t="shared" si="93"/>
        <v>40.72</v>
      </c>
      <c r="K1207" s="89">
        <f t="shared" si="94"/>
        <v>0.71791255289139633</v>
      </c>
      <c r="L1207" s="89">
        <v>1</v>
      </c>
      <c r="M1207" s="13">
        <f t="shared" si="95"/>
        <v>5171444.4856362613</v>
      </c>
      <c r="N1207" s="11">
        <f t="shared" si="91"/>
        <v>8.936916907520256E-5</v>
      </c>
    </row>
    <row r="1208" spans="1:14" x14ac:dyDescent="0.25">
      <c r="A1208" s="79" t="s">
        <v>34</v>
      </c>
      <c r="B1208" s="89" t="s">
        <v>7</v>
      </c>
      <c r="C1208" s="89" t="s">
        <v>243</v>
      </c>
      <c r="D1208" s="13" t="s">
        <v>12</v>
      </c>
      <c r="E1208" s="35">
        <f>VLOOKUP(B1208, Passenger_Kilometre_by_mode_type[#All],MATCH(A1208, Passenger_Kilometre_by_mode_type[#Headers],0),0)</f>
        <v>198715758.57007572</v>
      </c>
      <c r="F1208" s="89">
        <f>VLOOKUP(C1208, Reason_for_walking_cycling_journeys_by_percentage[#All],MATCH(A1208, Reason_for_walking_cycling_journeys_by_percentage[#Headers],0),0)/100</f>
        <v>9.1249999999999998E-2</v>
      </c>
      <c r="G1208" s="13">
        <f t="shared" si="92"/>
        <v>18132812.96951941</v>
      </c>
      <c r="H1208" s="89">
        <f>VLOOKUP(D1208,Average_Distance_by_kilometre_grouping_for_mode_type[#All],MATCH(A1208,Average_Distance_by_kilometre_grouping_for_mode_type[#Headers],0),0)</f>
        <v>1</v>
      </c>
      <c r="I1208" s="89">
        <f>VLOOKUP(D1208,Average_Distance_by_kilometres_grouping_for_trip_purpose[#All],MATCH(A1208,Average_Distance_by_kilometres_grouping_for_trip_purpose[#Headers],0),0)</f>
        <v>1</v>
      </c>
      <c r="J1208" s="89">
        <f t="shared" si="93"/>
        <v>1</v>
      </c>
      <c r="K1208" s="89">
        <f t="shared" si="94"/>
        <v>1.763046544428773E-2</v>
      </c>
      <c r="L1208" s="89">
        <v>1</v>
      </c>
      <c r="M1208" s="13">
        <f t="shared" si="95"/>
        <v>319689.93246684433</v>
      </c>
      <c r="N1208" s="11">
        <f t="shared" si="91"/>
        <v>5.5246505508517274E-6</v>
      </c>
    </row>
    <row r="1209" spans="1:14" x14ac:dyDescent="0.25">
      <c r="A1209" s="79" t="s">
        <v>34</v>
      </c>
      <c r="B1209" s="89" t="s">
        <v>7</v>
      </c>
      <c r="C1209" s="89" t="s">
        <v>243</v>
      </c>
      <c r="D1209" s="13" t="s">
        <v>181</v>
      </c>
      <c r="E1209" s="35">
        <f>VLOOKUP(B1209, Passenger_Kilometre_by_mode_type[#All],MATCH(A1209, Passenger_Kilometre_by_mode_type[#Headers],0),0)</f>
        <v>198715758.57007572</v>
      </c>
      <c r="F1209" s="89">
        <f>VLOOKUP(C1209, Reason_for_walking_cycling_journeys_by_percentage[#All],MATCH(A1209, Reason_for_walking_cycling_journeys_by_percentage[#Headers],0),0)/100</f>
        <v>9.1249999999999998E-2</v>
      </c>
      <c r="G1209" s="13">
        <f t="shared" si="92"/>
        <v>18132812.96951941</v>
      </c>
      <c r="H1209" s="89">
        <f>VLOOKUP(D1209,Average_Distance_by_kilometre_grouping_for_mode_type[#All],MATCH(A1209,Average_Distance_by_kilometre_grouping_for_mode_type[#Headers],0),0)</f>
        <v>3</v>
      </c>
      <c r="I1209" s="89">
        <f>VLOOKUP(D1209,Average_Distance_by_kilometres_grouping_for_trip_purpose[#All],MATCH(A1209,Average_Distance_by_kilometres_grouping_for_trip_purpose[#Headers],0),0)</f>
        <v>3</v>
      </c>
      <c r="J1209" s="89">
        <f t="shared" si="93"/>
        <v>3</v>
      </c>
      <c r="K1209" s="89">
        <f t="shared" si="94"/>
        <v>5.2891396332863189E-2</v>
      </c>
      <c r="L1209" s="89">
        <v>1</v>
      </c>
      <c r="M1209" s="13">
        <f t="shared" si="95"/>
        <v>959069.79740053299</v>
      </c>
      <c r="N1209" s="11">
        <f t="shared" si="91"/>
        <v>1.6573951652555182E-5</v>
      </c>
    </row>
    <row r="1210" spans="1:14" x14ac:dyDescent="0.25">
      <c r="A1210" s="79" t="s">
        <v>34</v>
      </c>
      <c r="B1210" s="89" t="s">
        <v>7</v>
      </c>
      <c r="C1210" s="89" t="s">
        <v>243</v>
      </c>
      <c r="D1210" s="13" t="s">
        <v>180</v>
      </c>
      <c r="E1210" s="35">
        <f>VLOOKUP(B1210, Passenger_Kilometre_by_mode_type[#All],MATCH(A1210, Passenger_Kilometre_by_mode_type[#Headers],0),0)</f>
        <v>198715758.57007572</v>
      </c>
      <c r="F1210" s="89">
        <f>VLOOKUP(C1210, Reason_for_walking_cycling_journeys_by_percentage[#All],MATCH(A1210, Reason_for_walking_cycling_journeys_by_percentage[#Headers],0),0)/100</f>
        <v>9.1249999999999998E-2</v>
      </c>
      <c r="G1210" s="13">
        <f t="shared" si="92"/>
        <v>18132812.96951941</v>
      </c>
      <c r="H1210" s="89">
        <f>VLOOKUP(D1210,Average_Distance_by_kilometre_grouping_for_mode_type[#All],MATCH(A1210,Average_Distance_by_kilometre_grouping_for_mode_type[#Headers],0),0)</f>
        <v>5</v>
      </c>
      <c r="I1210" s="89">
        <f>VLOOKUP(D1210,Average_Distance_by_kilometres_grouping_for_trip_purpose[#All],MATCH(A1210,Average_Distance_by_kilometres_grouping_for_trip_purpose[#Headers],0),0)</f>
        <v>5</v>
      </c>
      <c r="J1210" s="89">
        <f t="shared" si="93"/>
        <v>5</v>
      </c>
      <c r="K1210" s="89">
        <f t="shared" si="94"/>
        <v>8.8152327221438648E-2</v>
      </c>
      <c r="L1210" s="89">
        <v>1</v>
      </c>
      <c r="M1210" s="13">
        <f t="shared" si="95"/>
        <v>1598449.6623342216</v>
      </c>
      <c r="N1210" s="11">
        <f t="shared" si="91"/>
        <v>2.7623252754258637E-5</v>
      </c>
    </row>
    <row r="1211" spans="1:14" x14ac:dyDescent="0.25">
      <c r="A1211" s="79" t="s">
        <v>34</v>
      </c>
      <c r="B1211" s="89" t="s">
        <v>7</v>
      </c>
      <c r="C1211" s="89" t="s">
        <v>243</v>
      </c>
      <c r="D1211" s="13" t="s">
        <v>182</v>
      </c>
      <c r="E1211" s="35">
        <f>VLOOKUP(B1211, Passenger_Kilometre_by_mode_type[#All],MATCH(A1211, Passenger_Kilometre_by_mode_type[#Headers],0),0)</f>
        <v>198715758.57007572</v>
      </c>
      <c r="F1211" s="89">
        <f>VLOOKUP(C1211, Reason_for_walking_cycling_journeys_by_percentage[#All],MATCH(A1211, Reason_for_walking_cycling_journeys_by_percentage[#Headers],0),0)/100</f>
        <v>9.1249999999999998E-2</v>
      </c>
      <c r="G1211" s="13">
        <f t="shared" si="92"/>
        <v>18132812.96951941</v>
      </c>
      <c r="H1211" s="89">
        <f>VLOOKUP(D1211,Average_Distance_by_kilometre_grouping_for_mode_type[#All],MATCH(A1211,Average_Distance_by_kilometre_grouping_for_mode_type[#Headers],0),0)</f>
        <v>7</v>
      </c>
      <c r="I1211" s="89">
        <f>VLOOKUP(D1211,Average_Distance_by_kilometres_grouping_for_trip_purpose[#All],MATCH(A1211,Average_Distance_by_kilometres_grouping_for_trip_purpose[#Headers],0),0)</f>
        <v>7</v>
      </c>
      <c r="J1211" s="89">
        <f t="shared" si="93"/>
        <v>7</v>
      </c>
      <c r="K1211" s="89">
        <f t="shared" si="94"/>
        <v>0.12341325811001411</v>
      </c>
      <c r="L1211" s="89">
        <v>1</v>
      </c>
      <c r="M1211" s="13">
        <f t="shared" si="95"/>
        <v>2237829.5272679105</v>
      </c>
      <c r="N1211" s="11">
        <f t="shared" si="91"/>
        <v>3.8672553855962095E-5</v>
      </c>
    </row>
    <row r="1212" spans="1:14" x14ac:dyDescent="0.25">
      <c r="A1212" s="79" t="s">
        <v>34</v>
      </c>
      <c r="B1212" s="89" t="s">
        <v>7</v>
      </c>
      <c r="C1212" s="89" t="s">
        <v>243</v>
      </c>
      <c r="D1212" s="13" t="s">
        <v>1</v>
      </c>
      <c r="E1212" s="35">
        <f>VLOOKUP(B1212, Passenger_Kilometre_by_mode_type[#All],MATCH(A1212, Passenger_Kilometre_by_mode_type[#Headers],0),0)</f>
        <v>198715758.57007572</v>
      </c>
      <c r="F1212" s="89">
        <f>VLOOKUP(C1212, Reason_for_walking_cycling_journeys_by_percentage[#All],MATCH(A1212, Reason_for_walking_cycling_journeys_by_percentage[#Headers],0),0)/100</f>
        <v>9.1249999999999998E-2</v>
      </c>
      <c r="G1212" s="13">
        <f t="shared" si="92"/>
        <v>18132812.96951941</v>
      </c>
      <c r="H1212" s="89">
        <f>VLOOKUP(D1212,Average_Distance_by_kilometre_grouping_for_mode_type[#All],MATCH(A1212,Average_Distance_by_kilometre_grouping_for_mode_type[#Headers],0),0)</f>
        <v>38.99</v>
      </c>
      <c r="I1212" s="89">
        <f>VLOOKUP(D1212,Average_Distance_by_kilometres_grouping_for_trip_purpose[#All],MATCH(A1212,Average_Distance_by_kilometres_grouping_for_trip_purpose[#Headers],0),0)</f>
        <v>42.45</v>
      </c>
      <c r="J1212" s="89">
        <f t="shared" si="93"/>
        <v>40.72</v>
      </c>
      <c r="K1212" s="89">
        <f t="shared" si="94"/>
        <v>0.71791255289139633</v>
      </c>
      <c r="L1212" s="89">
        <v>1</v>
      </c>
      <c r="M1212" s="13">
        <f t="shared" si="95"/>
        <v>13017774.050049901</v>
      </c>
      <c r="N1212" s="11">
        <f t="shared" ref="N1212:N1275" si="96">M1212/SUM($M$1083:$M$1442)</f>
        <v>2.2496377043068234E-4</v>
      </c>
    </row>
    <row r="1213" spans="1:14" x14ac:dyDescent="0.25">
      <c r="A1213" s="79" t="s">
        <v>34</v>
      </c>
      <c r="B1213" s="89" t="s">
        <v>7</v>
      </c>
      <c r="C1213" s="89" t="s">
        <v>50</v>
      </c>
      <c r="D1213" s="13" t="s">
        <v>12</v>
      </c>
      <c r="E1213" s="35">
        <f>VLOOKUP(B1213, Passenger_Kilometre_by_mode_type[#All],MATCH(A1213, Passenger_Kilometre_by_mode_type[#Headers],0),0)</f>
        <v>198715758.57007572</v>
      </c>
      <c r="F1213" s="89">
        <f>VLOOKUP(C1213, Reason_for_walking_cycling_journeys_by_percentage[#All],MATCH(A1213, Reason_for_walking_cycling_journeys_by_percentage[#Headers],0),0)/100</f>
        <v>6.8249999999999991E-2</v>
      </c>
      <c r="G1213" s="13">
        <f t="shared" si="92"/>
        <v>13562350.522407666</v>
      </c>
      <c r="H1213" s="89">
        <f>VLOOKUP(D1213,Average_Distance_by_kilometre_grouping_for_mode_type[#All],MATCH(A1213,Average_Distance_by_kilometre_grouping_for_mode_type[#Headers],0),0)</f>
        <v>1</v>
      </c>
      <c r="I1213" s="89">
        <f>VLOOKUP(D1213,Average_Distance_by_kilometres_grouping_for_trip_purpose[#All],MATCH(A1213,Average_Distance_by_kilometres_grouping_for_trip_purpose[#Headers],0),0)</f>
        <v>1</v>
      </c>
      <c r="J1213" s="89">
        <f t="shared" si="93"/>
        <v>1</v>
      </c>
      <c r="K1213" s="89">
        <f t="shared" si="94"/>
        <v>1.763046544428773E-2</v>
      </c>
      <c r="L1213" s="89">
        <v>1</v>
      </c>
      <c r="M1213" s="13">
        <f t="shared" si="95"/>
        <v>239110.55222862598</v>
      </c>
      <c r="N1213" s="11">
        <f t="shared" si="96"/>
        <v>4.1321358914589628E-6</v>
      </c>
    </row>
    <row r="1214" spans="1:14" x14ac:dyDescent="0.25">
      <c r="A1214" s="79" t="s">
        <v>34</v>
      </c>
      <c r="B1214" s="89" t="s">
        <v>7</v>
      </c>
      <c r="C1214" s="89" t="s">
        <v>50</v>
      </c>
      <c r="D1214" s="13" t="s">
        <v>181</v>
      </c>
      <c r="E1214" s="35">
        <f>VLOOKUP(B1214, Passenger_Kilometre_by_mode_type[#All],MATCH(A1214, Passenger_Kilometre_by_mode_type[#Headers],0),0)</f>
        <v>198715758.57007572</v>
      </c>
      <c r="F1214" s="89">
        <f>VLOOKUP(C1214, Reason_for_walking_cycling_journeys_by_percentage[#All],MATCH(A1214, Reason_for_walking_cycling_journeys_by_percentage[#Headers],0),0)/100</f>
        <v>6.8249999999999991E-2</v>
      </c>
      <c r="G1214" s="13">
        <f t="shared" si="92"/>
        <v>13562350.522407666</v>
      </c>
      <c r="H1214" s="89">
        <f>VLOOKUP(D1214,Average_Distance_by_kilometre_grouping_for_mode_type[#All],MATCH(A1214,Average_Distance_by_kilometre_grouping_for_mode_type[#Headers],0),0)</f>
        <v>3</v>
      </c>
      <c r="I1214" s="89">
        <f>VLOOKUP(D1214,Average_Distance_by_kilometres_grouping_for_trip_purpose[#All],MATCH(A1214,Average_Distance_by_kilometres_grouping_for_trip_purpose[#Headers],0),0)</f>
        <v>3</v>
      </c>
      <c r="J1214" s="89">
        <f t="shared" si="93"/>
        <v>3</v>
      </c>
      <c r="K1214" s="89">
        <f t="shared" si="94"/>
        <v>5.2891396332863189E-2</v>
      </c>
      <c r="L1214" s="89">
        <v>1</v>
      </c>
      <c r="M1214" s="13">
        <f t="shared" si="95"/>
        <v>717331.65668587794</v>
      </c>
      <c r="N1214" s="11">
        <f t="shared" si="96"/>
        <v>1.2396407674376887E-5</v>
      </c>
    </row>
    <row r="1215" spans="1:14" x14ac:dyDescent="0.25">
      <c r="A1215" s="79" t="s">
        <v>34</v>
      </c>
      <c r="B1215" s="89" t="s">
        <v>7</v>
      </c>
      <c r="C1215" s="89" t="s">
        <v>50</v>
      </c>
      <c r="D1215" s="13" t="s">
        <v>180</v>
      </c>
      <c r="E1215" s="35">
        <f>VLOOKUP(B1215, Passenger_Kilometre_by_mode_type[#All],MATCH(A1215, Passenger_Kilometre_by_mode_type[#Headers],0),0)</f>
        <v>198715758.57007572</v>
      </c>
      <c r="F1215" s="89">
        <f>VLOOKUP(C1215, Reason_for_walking_cycling_journeys_by_percentage[#All],MATCH(A1215, Reason_for_walking_cycling_journeys_by_percentage[#Headers],0),0)/100</f>
        <v>6.8249999999999991E-2</v>
      </c>
      <c r="G1215" s="13">
        <f t="shared" si="92"/>
        <v>13562350.522407666</v>
      </c>
      <c r="H1215" s="89">
        <f>VLOOKUP(D1215,Average_Distance_by_kilometre_grouping_for_mode_type[#All],MATCH(A1215,Average_Distance_by_kilometre_grouping_for_mode_type[#Headers],0),0)</f>
        <v>5</v>
      </c>
      <c r="I1215" s="89">
        <f>VLOOKUP(D1215,Average_Distance_by_kilometres_grouping_for_trip_purpose[#All],MATCH(A1215,Average_Distance_by_kilometres_grouping_for_trip_purpose[#Headers],0),0)</f>
        <v>5</v>
      </c>
      <c r="J1215" s="89">
        <f t="shared" si="93"/>
        <v>5</v>
      </c>
      <c r="K1215" s="89">
        <f t="shared" si="94"/>
        <v>8.8152327221438648E-2</v>
      </c>
      <c r="L1215" s="89">
        <v>1</v>
      </c>
      <c r="M1215" s="13">
        <f t="shared" si="95"/>
        <v>1195552.76114313</v>
      </c>
      <c r="N1215" s="11">
        <f t="shared" si="96"/>
        <v>2.0660679457294815E-5</v>
      </c>
    </row>
    <row r="1216" spans="1:14" x14ac:dyDescent="0.25">
      <c r="A1216" s="79" t="s">
        <v>34</v>
      </c>
      <c r="B1216" s="89" t="s">
        <v>7</v>
      </c>
      <c r="C1216" s="89" t="s">
        <v>50</v>
      </c>
      <c r="D1216" s="13" t="s">
        <v>182</v>
      </c>
      <c r="E1216" s="35">
        <f>VLOOKUP(B1216, Passenger_Kilometre_by_mode_type[#All],MATCH(A1216, Passenger_Kilometre_by_mode_type[#Headers],0),0)</f>
        <v>198715758.57007572</v>
      </c>
      <c r="F1216" s="89">
        <f>VLOOKUP(C1216, Reason_for_walking_cycling_journeys_by_percentage[#All],MATCH(A1216, Reason_for_walking_cycling_journeys_by_percentage[#Headers],0),0)/100</f>
        <v>6.8249999999999991E-2</v>
      </c>
      <c r="G1216" s="13">
        <f t="shared" si="92"/>
        <v>13562350.522407666</v>
      </c>
      <c r="H1216" s="89">
        <f>VLOOKUP(D1216,Average_Distance_by_kilometre_grouping_for_mode_type[#All],MATCH(A1216,Average_Distance_by_kilometre_grouping_for_mode_type[#Headers],0),0)</f>
        <v>7</v>
      </c>
      <c r="I1216" s="89">
        <f>VLOOKUP(D1216,Average_Distance_by_kilometres_grouping_for_trip_purpose[#All],MATCH(A1216,Average_Distance_by_kilometres_grouping_for_trip_purpose[#Headers],0),0)</f>
        <v>7</v>
      </c>
      <c r="J1216" s="89">
        <f t="shared" si="93"/>
        <v>7</v>
      </c>
      <c r="K1216" s="89">
        <f t="shared" si="94"/>
        <v>0.12341325811001411</v>
      </c>
      <c r="L1216" s="89">
        <v>1</v>
      </c>
      <c r="M1216" s="13">
        <f t="shared" si="95"/>
        <v>1673773.865600382</v>
      </c>
      <c r="N1216" s="11">
        <f t="shared" si="96"/>
        <v>2.8924951240212738E-5</v>
      </c>
    </row>
    <row r="1217" spans="1:14" x14ac:dyDescent="0.25">
      <c r="A1217" s="79" t="s">
        <v>34</v>
      </c>
      <c r="B1217" s="89" t="s">
        <v>7</v>
      </c>
      <c r="C1217" s="89" t="s">
        <v>50</v>
      </c>
      <c r="D1217" s="13" t="s">
        <v>1</v>
      </c>
      <c r="E1217" s="35">
        <f>VLOOKUP(B1217, Passenger_Kilometre_by_mode_type[#All],MATCH(A1217, Passenger_Kilometre_by_mode_type[#Headers],0),0)</f>
        <v>198715758.57007572</v>
      </c>
      <c r="F1217" s="89">
        <f>VLOOKUP(C1217, Reason_for_walking_cycling_journeys_by_percentage[#All],MATCH(A1217, Reason_for_walking_cycling_journeys_by_percentage[#Headers],0),0)/100</f>
        <v>6.8249999999999991E-2</v>
      </c>
      <c r="G1217" s="13">
        <f t="shared" si="92"/>
        <v>13562350.522407666</v>
      </c>
      <c r="H1217" s="89">
        <f>VLOOKUP(D1217,Average_Distance_by_kilometre_grouping_for_mode_type[#All],MATCH(A1217,Average_Distance_by_kilometre_grouping_for_mode_type[#Headers],0),0)</f>
        <v>38.99</v>
      </c>
      <c r="I1217" s="89">
        <f>VLOOKUP(D1217,Average_Distance_by_kilometres_grouping_for_trip_purpose[#All],MATCH(A1217,Average_Distance_by_kilometres_grouping_for_trip_purpose[#Headers],0),0)</f>
        <v>42.45</v>
      </c>
      <c r="J1217" s="89">
        <f t="shared" si="93"/>
        <v>40.72</v>
      </c>
      <c r="K1217" s="89">
        <f t="shared" si="94"/>
        <v>0.71791255289139633</v>
      </c>
      <c r="L1217" s="89">
        <v>1</v>
      </c>
      <c r="M1217" s="13">
        <f t="shared" si="95"/>
        <v>9736581.6867496502</v>
      </c>
      <c r="N1217" s="11">
        <f t="shared" si="96"/>
        <v>1.6826057350020896E-4</v>
      </c>
    </row>
    <row r="1218" spans="1:14" x14ac:dyDescent="0.25">
      <c r="A1218" s="79" t="s">
        <v>34</v>
      </c>
      <c r="B1218" s="89" t="s">
        <v>8</v>
      </c>
      <c r="C1218" s="89" t="s">
        <v>42</v>
      </c>
      <c r="D1218" s="13" t="s">
        <v>12</v>
      </c>
      <c r="E1218" s="35">
        <f>VLOOKUP(B1218, Passenger_Kilometre_by_mode_type[#All],MATCH(A1218, Passenger_Kilometre_by_mode_type[#Headers],0),0)</f>
        <v>3059690963.0623112</v>
      </c>
      <c r="F1218" s="89">
        <f>VLOOKUP(C1218, Reason_for_public_transport_journeys_by_percentage[#All],MATCH(A1218, Reason_for_public_transport_journeys_by_percentage[#Headers],0),0)/100</f>
        <v>0.2525</v>
      </c>
      <c r="G1218" s="13">
        <f t="shared" si="92"/>
        <v>772571968.17323363</v>
      </c>
      <c r="H1218" s="89">
        <f>VLOOKUP(D1218,Average_Distance_by_kilometre_grouping_for_mode_type[#All],MATCH(A1218,Average_Distance_by_kilometre_grouping_for_mode_type[#Headers],0),0)</f>
        <v>1</v>
      </c>
      <c r="I1218" s="89">
        <f>VLOOKUP(D1218,Average_Distance_by_kilometres_grouping_for_trip_purpose[#All],MATCH(A1218,Average_Distance_by_kilometres_grouping_for_trip_purpose[#Headers],0),0)</f>
        <v>1</v>
      </c>
      <c r="J1218" s="89">
        <f t="shared" si="93"/>
        <v>1</v>
      </c>
      <c r="K1218" s="89">
        <f t="shared" si="94"/>
        <v>1.763046544428773E-2</v>
      </c>
      <c r="L1218" s="89">
        <v>1</v>
      </c>
      <c r="M1218" s="13">
        <f t="shared" si="95"/>
        <v>13620803.388103556</v>
      </c>
      <c r="N1218" s="11">
        <f t="shared" si="96"/>
        <v>2.3538488797714558E-4</v>
      </c>
    </row>
    <row r="1219" spans="1:14" x14ac:dyDescent="0.25">
      <c r="A1219" s="79" t="s">
        <v>34</v>
      </c>
      <c r="B1219" s="89" t="s">
        <v>8</v>
      </c>
      <c r="C1219" s="89" t="s">
        <v>42</v>
      </c>
      <c r="D1219" s="13" t="s">
        <v>181</v>
      </c>
      <c r="E1219" s="35">
        <f>VLOOKUP(B1219, Passenger_Kilometre_by_mode_type[#All],MATCH(A1219, Passenger_Kilometre_by_mode_type[#Headers],0),0)</f>
        <v>3059690963.0623112</v>
      </c>
      <c r="F1219" s="89">
        <f>VLOOKUP(C1219, Reason_for_public_transport_journeys_by_percentage[#All],MATCH(A1219, Reason_for_public_transport_journeys_by_percentage[#Headers],0),0)/100</f>
        <v>0.2525</v>
      </c>
      <c r="G1219" s="13">
        <f t="shared" si="92"/>
        <v>772571968.17323363</v>
      </c>
      <c r="H1219" s="89">
        <f>VLOOKUP(D1219,Average_Distance_by_kilometre_grouping_for_mode_type[#All],MATCH(A1219,Average_Distance_by_kilometre_grouping_for_mode_type[#Headers],0),0)</f>
        <v>3</v>
      </c>
      <c r="I1219" s="89">
        <f>VLOOKUP(D1219,Average_Distance_by_kilometres_grouping_for_trip_purpose[#All],MATCH(A1219,Average_Distance_by_kilometres_grouping_for_trip_purpose[#Headers],0),0)</f>
        <v>3</v>
      </c>
      <c r="J1219" s="89">
        <f t="shared" si="93"/>
        <v>3</v>
      </c>
      <c r="K1219" s="89">
        <f t="shared" si="94"/>
        <v>5.2891396332863189E-2</v>
      </c>
      <c r="L1219" s="89">
        <v>1</v>
      </c>
      <c r="M1219" s="13">
        <f t="shared" si="95"/>
        <v>40862410.164310664</v>
      </c>
      <c r="N1219" s="11">
        <f t="shared" si="96"/>
        <v>7.061546639314367E-4</v>
      </c>
    </row>
    <row r="1220" spans="1:14" x14ac:dyDescent="0.25">
      <c r="A1220" s="79" t="s">
        <v>34</v>
      </c>
      <c r="B1220" s="89" t="s">
        <v>8</v>
      </c>
      <c r="C1220" s="89" t="s">
        <v>42</v>
      </c>
      <c r="D1220" s="13" t="s">
        <v>180</v>
      </c>
      <c r="E1220" s="35">
        <f>VLOOKUP(B1220, Passenger_Kilometre_by_mode_type[#All],MATCH(A1220, Passenger_Kilometre_by_mode_type[#Headers],0),0)</f>
        <v>3059690963.0623112</v>
      </c>
      <c r="F1220" s="89">
        <f>VLOOKUP(C1220, Reason_for_public_transport_journeys_by_percentage[#All],MATCH(A1220, Reason_for_public_transport_journeys_by_percentage[#Headers],0),0)/100</f>
        <v>0.2525</v>
      </c>
      <c r="G1220" s="13">
        <f t="shared" ref="G1220:G1283" si="97">E1220*F1220</f>
        <v>772571968.17323363</v>
      </c>
      <c r="H1220" s="89">
        <f>VLOOKUP(D1220,Average_Distance_by_kilometre_grouping_for_mode_type[#All],MATCH(A1220,Average_Distance_by_kilometre_grouping_for_mode_type[#Headers],0),0)</f>
        <v>5</v>
      </c>
      <c r="I1220" s="89">
        <f>VLOOKUP(D1220,Average_Distance_by_kilometres_grouping_for_trip_purpose[#All],MATCH(A1220,Average_Distance_by_kilometres_grouping_for_trip_purpose[#Headers],0),0)</f>
        <v>5</v>
      </c>
      <c r="J1220" s="89">
        <f t="shared" ref="J1220:J1283" si="98">AVERAGE(H1220:I1220)</f>
        <v>5</v>
      </c>
      <c r="K1220" s="89">
        <f t="shared" ref="K1220:K1283" si="99">J1220/SUM(J1220:J1224)</f>
        <v>8.8152327221438648E-2</v>
      </c>
      <c r="L1220" s="89">
        <v>1</v>
      </c>
      <c r="M1220" s="13">
        <f t="shared" ref="M1220:M1283" si="100">G1220*K1220*L1220</f>
        <v>68104016.940517768</v>
      </c>
      <c r="N1220" s="11">
        <f t="shared" si="96"/>
        <v>1.1769244398857277E-3</v>
      </c>
    </row>
    <row r="1221" spans="1:14" x14ac:dyDescent="0.25">
      <c r="A1221" s="79" t="s">
        <v>34</v>
      </c>
      <c r="B1221" s="89" t="s">
        <v>8</v>
      </c>
      <c r="C1221" s="89" t="s">
        <v>42</v>
      </c>
      <c r="D1221" s="13" t="s">
        <v>182</v>
      </c>
      <c r="E1221" s="35">
        <f>VLOOKUP(B1221, Passenger_Kilometre_by_mode_type[#All],MATCH(A1221, Passenger_Kilometre_by_mode_type[#Headers],0),0)</f>
        <v>3059690963.0623112</v>
      </c>
      <c r="F1221" s="89">
        <f>VLOOKUP(C1221, Reason_for_public_transport_journeys_by_percentage[#All],MATCH(A1221, Reason_for_public_transport_journeys_by_percentage[#Headers],0),0)/100</f>
        <v>0.2525</v>
      </c>
      <c r="G1221" s="13">
        <f t="shared" si="97"/>
        <v>772571968.17323363</v>
      </c>
      <c r="H1221" s="89">
        <f>VLOOKUP(D1221,Average_Distance_by_kilometre_grouping_for_mode_type[#All],MATCH(A1221,Average_Distance_by_kilometre_grouping_for_mode_type[#Headers],0),0)</f>
        <v>7</v>
      </c>
      <c r="I1221" s="89">
        <f>VLOOKUP(D1221,Average_Distance_by_kilometres_grouping_for_trip_purpose[#All],MATCH(A1221,Average_Distance_by_kilometres_grouping_for_trip_purpose[#Headers],0),0)</f>
        <v>7</v>
      </c>
      <c r="J1221" s="89">
        <f t="shared" si="98"/>
        <v>7</v>
      </c>
      <c r="K1221" s="89">
        <f t="shared" si="99"/>
        <v>0.12341325811001411</v>
      </c>
      <c r="L1221" s="89">
        <v>1</v>
      </c>
      <c r="M1221" s="13">
        <f t="shared" si="100"/>
        <v>95345623.716724887</v>
      </c>
      <c r="N1221" s="11">
        <f t="shared" si="96"/>
        <v>1.6476942158400189E-3</v>
      </c>
    </row>
    <row r="1222" spans="1:14" x14ac:dyDescent="0.25">
      <c r="A1222" s="79" t="s">
        <v>34</v>
      </c>
      <c r="B1222" s="89" t="s">
        <v>8</v>
      </c>
      <c r="C1222" s="89" t="s">
        <v>42</v>
      </c>
      <c r="D1222" s="13" t="s">
        <v>1</v>
      </c>
      <c r="E1222" s="35">
        <f>VLOOKUP(B1222, Passenger_Kilometre_by_mode_type[#All],MATCH(A1222, Passenger_Kilometre_by_mode_type[#Headers],0),0)</f>
        <v>3059690963.0623112</v>
      </c>
      <c r="F1222" s="89">
        <f>VLOOKUP(C1222, Reason_for_public_transport_journeys_by_percentage[#All],MATCH(A1222, Reason_for_public_transport_journeys_by_percentage[#Headers],0),0)/100</f>
        <v>0.2525</v>
      </c>
      <c r="G1222" s="13">
        <f t="shared" si="97"/>
        <v>772571968.17323363</v>
      </c>
      <c r="H1222" s="89">
        <f>VLOOKUP(D1222,Average_Distance_by_kilometre_grouping_for_mode_type[#All],MATCH(A1222,Average_Distance_by_kilometre_grouping_for_mode_type[#Headers],0),0)</f>
        <v>38.99</v>
      </c>
      <c r="I1222" s="89">
        <f>VLOOKUP(D1222,Average_Distance_by_kilometres_grouping_for_trip_purpose[#All],MATCH(A1222,Average_Distance_by_kilometres_grouping_for_trip_purpose[#Headers],0),0)</f>
        <v>42.45</v>
      </c>
      <c r="J1222" s="89">
        <f t="shared" si="98"/>
        <v>40.72</v>
      </c>
      <c r="K1222" s="89">
        <f t="shared" si="99"/>
        <v>0.71791255289139633</v>
      </c>
      <c r="L1222" s="89">
        <v>1</v>
      </c>
      <c r="M1222" s="13">
        <f t="shared" si="100"/>
        <v>554639113.96357679</v>
      </c>
      <c r="N1222" s="11">
        <f t="shared" si="96"/>
        <v>9.5848726384293679E-3</v>
      </c>
    </row>
    <row r="1223" spans="1:14" x14ac:dyDescent="0.25">
      <c r="A1223" s="79" t="s">
        <v>34</v>
      </c>
      <c r="B1223" s="89" t="s">
        <v>8</v>
      </c>
      <c r="C1223" s="89" t="s">
        <v>43</v>
      </c>
      <c r="D1223" s="13" t="s">
        <v>12</v>
      </c>
      <c r="E1223" s="35">
        <f>VLOOKUP(B1223, Passenger_Kilometre_by_mode_type[#All],MATCH(A1223, Passenger_Kilometre_by_mode_type[#Headers],0),0)</f>
        <v>3059690963.0623112</v>
      </c>
      <c r="F1223" s="89">
        <f>VLOOKUP(C1223, Reason_for_public_transport_journeys_by_percentage[#All],MATCH(A1223, Reason_for_public_transport_journeys_by_percentage[#Headers],0),0)/100</f>
        <v>0.11775000000000002</v>
      </c>
      <c r="G1223" s="13">
        <f t="shared" si="97"/>
        <v>360278610.9005872</v>
      </c>
      <c r="H1223" s="89">
        <f>VLOOKUP(D1223,Average_Distance_by_kilometre_grouping_for_mode_type[#All],MATCH(A1223,Average_Distance_by_kilometre_grouping_for_mode_type[#Headers],0),0)</f>
        <v>1</v>
      </c>
      <c r="I1223" s="89">
        <f>VLOOKUP(D1223,Average_Distance_by_kilometres_grouping_for_trip_purpose[#All],MATCH(A1223,Average_Distance_by_kilometres_grouping_for_trip_purpose[#Headers],0),0)</f>
        <v>1</v>
      </c>
      <c r="J1223" s="89">
        <f t="shared" si="98"/>
        <v>1</v>
      </c>
      <c r="K1223" s="89">
        <f t="shared" si="99"/>
        <v>1.763046544428773E-2</v>
      </c>
      <c r="L1223" s="89">
        <v>1</v>
      </c>
      <c r="M1223" s="13">
        <f t="shared" si="100"/>
        <v>6351879.5997987874</v>
      </c>
      <c r="N1223" s="11">
        <f t="shared" si="96"/>
        <v>1.0976859627449066E-4</v>
      </c>
    </row>
    <row r="1224" spans="1:14" x14ac:dyDescent="0.25">
      <c r="A1224" s="79" t="s">
        <v>34</v>
      </c>
      <c r="B1224" s="89" t="s">
        <v>8</v>
      </c>
      <c r="C1224" s="89" t="s">
        <v>43</v>
      </c>
      <c r="D1224" s="13" t="s">
        <v>181</v>
      </c>
      <c r="E1224" s="35">
        <f>VLOOKUP(B1224, Passenger_Kilometre_by_mode_type[#All],MATCH(A1224, Passenger_Kilometre_by_mode_type[#Headers],0),0)</f>
        <v>3059690963.0623112</v>
      </c>
      <c r="F1224" s="89">
        <f>VLOOKUP(C1224, Reason_for_public_transport_journeys_by_percentage[#All],MATCH(A1224, Reason_for_public_transport_journeys_by_percentage[#Headers],0),0)/100</f>
        <v>0.11775000000000002</v>
      </c>
      <c r="G1224" s="13">
        <f t="shared" si="97"/>
        <v>360278610.9005872</v>
      </c>
      <c r="H1224" s="89">
        <f>VLOOKUP(D1224,Average_Distance_by_kilometre_grouping_for_mode_type[#All],MATCH(A1224,Average_Distance_by_kilometre_grouping_for_mode_type[#Headers],0),0)</f>
        <v>3</v>
      </c>
      <c r="I1224" s="89">
        <f>VLOOKUP(D1224,Average_Distance_by_kilometres_grouping_for_trip_purpose[#All],MATCH(A1224,Average_Distance_by_kilometres_grouping_for_trip_purpose[#Headers],0),0)</f>
        <v>3</v>
      </c>
      <c r="J1224" s="89">
        <f t="shared" si="98"/>
        <v>3</v>
      </c>
      <c r="K1224" s="89">
        <f t="shared" si="99"/>
        <v>5.2891396332863189E-2</v>
      </c>
      <c r="L1224" s="89">
        <v>1</v>
      </c>
      <c r="M1224" s="13">
        <f t="shared" si="100"/>
        <v>19055638.799396362</v>
      </c>
      <c r="N1224" s="11">
        <f t="shared" si="96"/>
        <v>3.2930578882347199E-4</v>
      </c>
    </row>
    <row r="1225" spans="1:14" x14ac:dyDescent="0.25">
      <c r="A1225" s="79" t="s">
        <v>34</v>
      </c>
      <c r="B1225" s="89" t="s">
        <v>8</v>
      </c>
      <c r="C1225" s="89" t="s">
        <v>43</v>
      </c>
      <c r="D1225" s="13" t="s">
        <v>180</v>
      </c>
      <c r="E1225" s="35">
        <f>VLOOKUP(B1225, Passenger_Kilometre_by_mode_type[#All],MATCH(A1225, Passenger_Kilometre_by_mode_type[#Headers],0),0)</f>
        <v>3059690963.0623112</v>
      </c>
      <c r="F1225" s="89">
        <f>VLOOKUP(C1225, Reason_for_public_transport_journeys_by_percentage[#All],MATCH(A1225, Reason_for_public_transport_journeys_by_percentage[#Headers],0),0)/100</f>
        <v>0.11775000000000002</v>
      </c>
      <c r="G1225" s="13">
        <f t="shared" si="97"/>
        <v>360278610.9005872</v>
      </c>
      <c r="H1225" s="89">
        <f>VLOOKUP(D1225,Average_Distance_by_kilometre_grouping_for_mode_type[#All],MATCH(A1225,Average_Distance_by_kilometre_grouping_for_mode_type[#Headers],0),0)</f>
        <v>5</v>
      </c>
      <c r="I1225" s="89">
        <f>VLOOKUP(D1225,Average_Distance_by_kilometres_grouping_for_trip_purpose[#All],MATCH(A1225,Average_Distance_by_kilometres_grouping_for_trip_purpose[#Headers],0),0)</f>
        <v>5</v>
      </c>
      <c r="J1225" s="89">
        <f t="shared" si="98"/>
        <v>5</v>
      </c>
      <c r="K1225" s="89">
        <f t="shared" si="99"/>
        <v>8.8152327221438648E-2</v>
      </c>
      <c r="L1225" s="89">
        <v>1</v>
      </c>
      <c r="M1225" s="13">
        <f t="shared" si="100"/>
        <v>31759397.998993937</v>
      </c>
      <c r="N1225" s="11">
        <f t="shared" si="96"/>
        <v>5.4884298137245337E-4</v>
      </c>
    </row>
    <row r="1226" spans="1:14" x14ac:dyDescent="0.25">
      <c r="A1226" s="79" t="s">
        <v>34</v>
      </c>
      <c r="B1226" s="89" t="s">
        <v>8</v>
      </c>
      <c r="C1226" s="89" t="s">
        <v>43</v>
      </c>
      <c r="D1226" s="13" t="s">
        <v>182</v>
      </c>
      <c r="E1226" s="35">
        <f>VLOOKUP(B1226, Passenger_Kilometre_by_mode_type[#All],MATCH(A1226, Passenger_Kilometre_by_mode_type[#Headers],0),0)</f>
        <v>3059690963.0623112</v>
      </c>
      <c r="F1226" s="89">
        <f>VLOOKUP(C1226, Reason_for_public_transport_journeys_by_percentage[#All],MATCH(A1226, Reason_for_public_transport_journeys_by_percentage[#Headers],0),0)/100</f>
        <v>0.11775000000000002</v>
      </c>
      <c r="G1226" s="13">
        <f t="shared" si="97"/>
        <v>360278610.9005872</v>
      </c>
      <c r="H1226" s="89">
        <f>VLOOKUP(D1226,Average_Distance_by_kilometre_grouping_for_mode_type[#All],MATCH(A1226,Average_Distance_by_kilometre_grouping_for_mode_type[#Headers],0),0)</f>
        <v>7</v>
      </c>
      <c r="I1226" s="89">
        <f>VLOOKUP(D1226,Average_Distance_by_kilometres_grouping_for_trip_purpose[#All],MATCH(A1226,Average_Distance_by_kilometres_grouping_for_trip_purpose[#Headers],0),0)</f>
        <v>7</v>
      </c>
      <c r="J1226" s="89">
        <f t="shared" si="98"/>
        <v>7</v>
      </c>
      <c r="K1226" s="89">
        <f t="shared" si="99"/>
        <v>0.12341325811001411</v>
      </c>
      <c r="L1226" s="89">
        <v>1</v>
      </c>
      <c r="M1226" s="13">
        <f t="shared" si="100"/>
        <v>44463157.198591508</v>
      </c>
      <c r="N1226" s="11">
        <f t="shared" si="96"/>
        <v>7.6838017392143459E-4</v>
      </c>
    </row>
    <row r="1227" spans="1:14" x14ac:dyDescent="0.25">
      <c r="A1227" s="79" t="s">
        <v>34</v>
      </c>
      <c r="B1227" s="89" t="s">
        <v>8</v>
      </c>
      <c r="C1227" s="89" t="s">
        <v>43</v>
      </c>
      <c r="D1227" s="13" t="s">
        <v>1</v>
      </c>
      <c r="E1227" s="35">
        <f>VLOOKUP(B1227, Passenger_Kilometre_by_mode_type[#All],MATCH(A1227, Passenger_Kilometre_by_mode_type[#Headers],0),0)</f>
        <v>3059690963.0623112</v>
      </c>
      <c r="F1227" s="89">
        <f>VLOOKUP(C1227, Reason_for_public_transport_journeys_by_percentage[#All],MATCH(A1227, Reason_for_public_transport_journeys_by_percentage[#Headers],0),0)/100</f>
        <v>0.11775000000000002</v>
      </c>
      <c r="G1227" s="13">
        <f t="shared" si="97"/>
        <v>360278610.9005872</v>
      </c>
      <c r="H1227" s="89">
        <f>VLOOKUP(D1227,Average_Distance_by_kilometre_grouping_for_mode_type[#All],MATCH(A1227,Average_Distance_by_kilometre_grouping_for_mode_type[#Headers],0),0)</f>
        <v>38.99</v>
      </c>
      <c r="I1227" s="89">
        <f>VLOOKUP(D1227,Average_Distance_by_kilometres_grouping_for_trip_purpose[#All],MATCH(A1227,Average_Distance_by_kilometres_grouping_for_trip_purpose[#Headers],0),0)</f>
        <v>42.45</v>
      </c>
      <c r="J1227" s="89">
        <f t="shared" si="98"/>
        <v>40.72</v>
      </c>
      <c r="K1227" s="89">
        <f t="shared" si="99"/>
        <v>0.71791255289139633</v>
      </c>
      <c r="L1227" s="89">
        <v>1</v>
      </c>
      <c r="M1227" s="13">
        <f t="shared" si="100"/>
        <v>258648537.3038066</v>
      </c>
      <c r="N1227" s="11">
        <f t="shared" si="96"/>
        <v>4.4697772402972598E-3</v>
      </c>
    </row>
    <row r="1228" spans="1:14" x14ac:dyDescent="0.25">
      <c r="A1228" s="79" t="s">
        <v>34</v>
      </c>
      <c r="B1228" s="89" t="s">
        <v>8</v>
      </c>
      <c r="C1228" s="89" t="s">
        <v>44</v>
      </c>
      <c r="D1228" s="13" t="s">
        <v>12</v>
      </c>
      <c r="E1228" s="35">
        <f>VLOOKUP(B1228, Passenger_Kilometre_by_mode_type[#All],MATCH(A1228, Passenger_Kilometre_by_mode_type[#Headers],0),0)</f>
        <v>3059690963.0623112</v>
      </c>
      <c r="F1228" s="89">
        <f>VLOOKUP(C1228, Reason_for_public_transport_journeys_by_percentage[#All],MATCH(A1228, Reason_for_public_transport_journeys_by_percentage[#Headers],0),0)/100</f>
        <v>0.25125000000000003</v>
      </c>
      <c r="G1228" s="13">
        <f t="shared" si="97"/>
        <v>768747354.46940577</v>
      </c>
      <c r="H1228" s="89">
        <f>VLOOKUP(D1228,Average_Distance_by_kilometre_grouping_for_mode_type[#All],MATCH(A1228,Average_Distance_by_kilometre_grouping_for_mode_type[#Headers],0),0)</f>
        <v>1</v>
      </c>
      <c r="I1228" s="89">
        <f>VLOOKUP(D1228,Average_Distance_by_kilometres_grouping_for_trip_purpose[#All],MATCH(A1228,Average_Distance_by_kilometres_grouping_for_trip_purpose[#Headers],0),0)</f>
        <v>1</v>
      </c>
      <c r="J1228" s="89">
        <f t="shared" si="98"/>
        <v>1</v>
      </c>
      <c r="K1228" s="89">
        <f t="shared" si="99"/>
        <v>1.763046544428773E-2</v>
      </c>
      <c r="L1228" s="89">
        <v>1</v>
      </c>
      <c r="M1228" s="13">
        <f t="shared" si="100"/>
        <v>13553373.668360468</v>
      </c>
      <c r="N1228" s="11">
        <f t="shared" si="96"/>
        <v>2.3421961625448641E-4</v>
      </c>
    </row>
    <row r="1229" spans="1:14" x14ac:dyDescent="0.25">
      <c r="A1229" s="79" t="s">
        <v>34</v>
      </c>
      <c r="B1229" s="89" t="s">
        <v>8</v>
      </c>
      <c r="C1229" s="89" t="s">
        <v>44</v>
      </c>
      <c r="D1229" s="13" t="s">
        <v>181</v>
      </c>
      <c r="E1229" s="35">
        <f>VLOOKUP(B1229, Passenger_Kilometre_by_mode_type[#All],MATCH(A1229, Passenger_Kilometre_by_mode_type[#Headers],0),0)</f>
        <v>3059690963.0623112</v>
      </c>
      <c r="F1229" s="89">
        <f>VLOOKUP(C1229, Reason_for_public_transport_journeys_by_percentage[#All],MATCH(A1229, Reason_for_public_transport_journeys_by_percentage[#Headers],0),0)/100</f>
        <v>0.25125000000000003</v>
      </c>
      <c r="G1229" s="13">
        <f t="shared" si="97"/>
        <v>768747354.46940577</v>
      </c>
      <c r="H1229" s="89">
        <f>VLOOKUP(D1229,Average_Distance_by_kilometre_grouping_for_mode_type[#All],MATCH(A1229,Average_Distance_by_kilometre_grouping_for_mode_type[#Headers],0),0)</f>
        <v>3</v>
      </c>
      <c r="I1229" s="89">
        <f>VLOOKUP(D1229,Average_Distance_by_kilometres_grouping_for_trip_purpose[#All],MATCH(A1229,Average_Distance_by_kilometres_grouping_for_trip_purpose[#Headers],0),0)</f>
        <v>3</v>
      </c>
      <c r="J1229" s="89">
        <f t="shared" si="98"/>
        <v>3</v>
      </c>
      <c r="K1229" s="89">
        <f t="shared" si="99"/>
        <v>5.2891396332863189E-2</v>
      </c>
      <c r="L1229" s="89">
        <v>1</v>
      </c>
      <c r="M1229" s="13">
        <f t="shared" si="100"/>
        <v>40660121.005081408</v>
      </c>
      <c r="N1229" s="11">
        <f t="shared" si="96"/>
        <v>7.0265884876345936E-4</v>
      </c>
    </row>
    <row r="1230" spans="1:14" x14ac:dyDescent="0.25">
      <c r="A1230" s="79" t="s">
        <v>34</v>
      </c>
      <c r="B1230" s="89" t="s">
        <v>8</v>
      </c>
      <c r="C1230" s="89" t="s">
        <v>44</v>
      </c>
      <c r="D1230" s="13" t="s">
        <v>180</v>
      </c>
      <c r="E1230" s="35">
        <f>VLOOKUP(B1230, Passenger_Kilometre_by_mode_type[#All],MATCH(A1230, Passenger_Kilometre_by_mode_type[#Headers],0),0)</f>
        <v>3059690963.0623112</v>
      </c>
      <c r="F1230" s="89">
        <f>VLOOKUP(C1230, Reason_for_public_transport_journeys_by_percentage[#All],MATCH(A1230, Reason_for_public_transport_journeys_by_percentage[#Headers],0),0)/100</f>
        <v>0.25125000000000003</v>
      </c>
      <c r="G1230" s="13">
        <f t="shared" si="97"/>
        <v>768747354.46940577</v>
      </c>
      <c r="H1230" s="89">
        <f>VLOOKUP(D1230,Average_Distance_by_kilometre_grouping_for_mode_type[#All],MATCH(A1230,Average_Distance_by_kilometre_grouping_for_mode_type[#Headers],0),0)</f>
        <v>5</v>
      </c>
      <c r="I1230" s="89">
        <f>VLOOKUP(D1230,Average_Distance_by_kilometres_grouping_for_trip_purpose[#All],MATCH(A1230,Average_Distance_by_kilometres_grouping_for_trip_purpose[#Headers],0),0)</f>
        <v>5</v>
      </c>
      <c r="J1230" s="89">
        <f t="shared" si="98"/>
        <v>5</v>
      </c>
      <c r="K1230" s="89">
        <f t="shared" si="99"/>
        <v>8.8152327221438648E-2</v>
      </c>
      <c r="L1230" s="89">
        <v>1</v>
      </c>
      <c r="M1230" s="13">
        <f t="shared" si="100"/>
        <v>67766868.341802344</v>
      </c>
      <c r="N1230" s="11">
        <f t="shared" si="96"/>
        <v>1.1710980812724321E-3</v>
      </c>
    </row>
    <row r="1231" spans="1:14" x14ac:dyDescent="0.25">
      <c r="A1231" s="79" t="s">
        <v>34</v>
      </c>
      <c r="B1231" s="89" t="s">
        <v>8</v>
      </c>
      <c r="C1231" s="89" t="s">
        <v>44</v>
      </c>
      <c r="D1231" s="13" t="s">
        <v>182</v>
      </c>
      <c r="E1231" s="35">
        <f>VLOOKUP(B1231, Passenger_Kilometre_by_mode_type[#All],MATCH(A1231, Passenger_Kilometre_by_mode_type[#Headers],0),0)</f>
        <v>3059690963.0623112</v>
      </c>
      <c r="F1231" s="89">
        <f>VLOOKUP(C1231, Reason_for_public_transport_journeys_by_percentage[#All],MATCH(A1231, Reason_for_public_transport_journeys_by_percentage[#Headers],0),0)/100</f>
        <v>0.25125000000000003</v>
      </c>
      <c r="G1231" s="13">
        <f t="shared" si="97"/>
        <v>768747354.46940577</v>
      </c>
      <c r="H1231" s="89">
        <f>VLOOKUP(D1231,Average_Distance_by_kilometre_grouping_for_mode_type[#All],MATCH(A1231,Average_Distance_by_kilometre_grouping_for_mode_type[#Headers],0),0)</f>
        <v>7</v>
      </c>
      <c r="I1231" s="89">
        <f>VLOOKUP(D1231,Average_Distance_by_kilometres_grouping_for_trip_purpose[#All],MATCH(A1231,Average_Distance_by_kilometres_grouping_for_trip_purpose[#Headers],0),0)</f>
        <v>7</v>
      </c>
      <c r="J1231" s="89">
        <f t="shared" si="98"/>
        <v>7</v>
      </c>
      <c r="K1231" s="89">
        <f t="shared" si="99"/>
        <v>0.12341325811001411</v>
      </c>
      <c r="L1231" s="89">
        <v>1</v>
      </c>
      <c r="M1231" s="13">
        <f t="shared" si="100"/>
        <v>94873615.678523287</v>
      </c>
      <c r="N1231" s="11">
        <f t="shared" si="96"/>
        <v>1.6395373137814051E-3</v>
      </c>
    </row>
    <row r="1232" spans="1:14" x14ac:dyDescent="0.25">
      <c r="A1232" s="79" t="s">
        <v>34</v>
      </c>
      <c r="B1232" s="89" t="s">
        <v>8</v>
      </c>
      <c r="C1232" s="89" t="s">
        <v>44</v>
      </c>
      <c r="D1232" s="13" t="s">
        <v>1</v>
      </c>
      <c r="E1232" s="35">
        <f>VLOOKUP(B1232, Passenger_Kilometre_by_mode_type[#All],MATCH(A1232, Passenger_Kilometre_by_mode_type[#Headers],0),0)</f>
        <v>3059690963.0623112</v>
      </c>
      <c r="F1232" s="89">
        <f>VLOOKUP(C1232, Reason_for_public_transport_journeys_by_percentage[#All],MATCH(A1232, Reason_for_public_transport_journeys_by_percentage[#Headers],0),0)/100</f>
        <v>0.25125000000000003</v>
      </c>
      <c r="G1232" s="13">
        <f t="shared" si="97"/>
        <v>768747354.46940577</v>
      </c>
      <c r="H1232" s="89">
        <f>VLOOKUP(D1232,Average_Distance_by_kilometre_grouping_for_mode_type[#All],MATCH(A1232,Average_Distance_by_kilometre_grouping_for_mode_type[#Headers],0),0)</f>
        <v>38.99</v>
      </c>
      <c r="I1232" s="89">
        <f>VLOOKUP(D1232,Average_Distance_by_kilometres_grouping_for_trip_purpose[#All],MATCH(A1232,Average_Distance_by_kilometres_grouping_for_trip_purpose[#Headers],0),0)</f>
        <v>42.45</v>
      </c>
      <c r="J1232" s="89">
        <f t="shared" si="98"/>
        <v>40.72</v>
      </c>
      <c r="K1232" s="89">
        <f t="shared" si="99"/>
        <v>0.71791255289139633</v>
      </c>
      <c r="L1232" s="89">
        <v>1</v>
      </c>
      <c r="M1232" s="13">
        <f t="shared" si="100"/>
        <v>551893375.77563822</v>
      </c>
      <c r="N1232" s="11">
        <f t="shared" si="96"/>
        <v>9.5374227738826856E-3</v>
      </c>
    </row>
    <row r="1233" spans="1:14" x14ac:dyDescent="0.25">
      <c r="A1233" s="79" t="s">
        <v>34</v>
      </c>
      <c r="B1233" s="89" t="s">
        <v>8</v>
      </c>
      <c r="C1233" s="89" t="s">
        <v>45</v>
      </c>
      <c r="D1233" s="13" t="s">
        <v>12</v>
      </c>
      <c r="E1233" s="35">
        <f>VLOOKUP(B1233, Passenger_Kilometre_by_mode_type[#All],MATCH(A1233, Passenger_Kilometre_by_mode_type[#Headers],0),0)</f>
        <v>3059690963.0623112</v>
      </c>
      <c r="F1233" s="89">
        <f>VLOOKUP(C1233, Reason_for_public_transport_journeys_by_percentage[#All],MATCH(A1233, Reason_for_public_transport_journeys_by_percentage[#Headers],0),0)/100</f>
        <v>2.3250000000000003E-2</v>
      </c>
      <c r="G1233" s="13">
        <f t="shared" si="97"/>
        <v>71137814.891198739</v>
      </c>
      <c r="H1233" s="89">
        <f>VLOOKUP(D1233,Average_Distance_by_kilometre_grouping_for_mode_type[#All],MATCH(A1233,Average_Distance_by_kilometre_grouping_for_mode_type[#Headers],0),0)</f>
        <v>1</v>
      </c>
      <c r="I1233" s="89">
        <f>VLOOKUP(D1233,Average_Distance_by_kilometres_grouping_for_trip_purpose[#All],MATCH(A1233,Average_Distance_by_kilometres_grouping_for_trip_purpose[#Headers],0),0)</f>
        <v>1</v>
      </c>
      <c r="J1233" s="89">
        <f t="shared" si="98"/>
        <v>1</v>
      </c>
      <c r="K1233" s="89">
        <f t="shared" si="99"/>
        <v>1.763046544428773E-2</v>
      </c>
      <c r="L1233" s="89">
        <v>1</v>
      </c>
      <c r="M1233" s="13">
        <f t="shared" si="100"/>
        <v>1254192.7872214164</v>
      </c>
      <c r="N1233" s="11">
        <f t="shared" si="96"/>
        <v>2.1674054041459936E-5</v>
      </c>
    </row>
    <row r="1234" spans="1:14" x14ac:dyDescent="0.25">
      <c r="A1234" s="79" t="s">
        <v>34</v>
      </c>
      <c r="B1234" s="89" t="s">
        <v>8</v>
      </c>
      <c r="C1234" s="89" t="s">
        <v>45</v>
      </c>
      <c r="D1234" s="13" t="s">
        <v>181</v>
      </c>
      <c r="E1234" s="35">
        <f>VLOOKUP(B1234, Passenger_Kilometre_by_mode_type[#All],MATCH(A1234, Passenger_Kilometre_by_mode_type[#Headers],0),0)</f>
        <v>3059690963.0623112</v>
      </c>
      <c r="F1234" s="89">
        <f>VLOOKUP(C1234, Reason_for_public_transport_journeys_by_percentage[#All],MATCH(A1234, Reason_for_public_transport_journeys_by_percentage[#Headers],0),0)/100</f>
        <v>2.3250000000000003E-2</v>
      </c>
      <c r="G1234" s="13">
        <f t="shared" si="97"/>
        <v>71137814.891198739</v>
      </c>
      <c r="H1234" s="89">
        <f>VLOOKUP(D1234,Average_Distance_by_kilometre_grouping_for_mode_type[#All],MATCH(A1234,Average_Distance_by_kilometre_grouping_for_mode_type[#Headers],0),0)</f>
        <v>3</v>
      </c>
      <c r="I1234" s="89">
        <f>VLOOKUP(D1234,Average_Distance_by_kilometres_grouping_for_trip_purpose[#All],MATCH(A1234,Average_Distance_by_kilometres_grouping_for_trip_purpose[#Headers],0),0)</f>
        <v>3</v>
      </c>
      <c r="J1234" s="89">
        <f t="shared" si="98"/>
        <v>3</v>
      </c>
      <c r="K1234" s="89">
        <f t="shared" si="99"/>
        <v>5.2891396332863189E-2</v>
      </c>
      <c r="L1234" s="89">
        <v>1</v>
      </c>
      <c r="M1234" s="13">
        <f t="shared" si="100"/>
        <v>3762578.3616642496</v>
      </c>
      <c r="N1234" s="11">
        <f t="shared" si="96"/>
        <v>6.5022162124379814E-5</v>
      </c>
    </row>
    <row r="1235" spans="1:14" x14ac:dyDescent="0.25">
      <c r="A1235" s="79" t="s">
        <v>34</v>
      </c>
      <c r="B1235" s="89" t="s">
        <v>8</v>
      </c>
      <c r="C1235" s="89" t="s">
        <v>45</v>
      </c>
      <c r="D1235" s="13" t="s">
        <v>180</v>
      </c>
      <c r="E1235" s="35">
        <f>VLOOKUP(B1235, Passenger_Kilometre_by_mode_type[#All],MATCH(A1235, Passenger_Kilometre_by_mode_type[#Headers],0),0)</f>
        <v>3059690963.0623112</v>
      </c>
      <c r="F1235" s="89">
        <f>VLOOKUP(C1235, Reason_for_public_transport_journeys_by_percentage[#All],MATCH(A1235, Reason_for_public_transport_journeys_by_percentage[#Headers],0),0)/100</f>
        <v>2.3250000000000003E-2</v>
      </c>
      <c r="G1235" s="13">
        <f t="shared" si="97"/>
        <v>71137814.891198739</v>
      </c>
      <c r="H1235" s="89">
        <f>VLOOKUP(D1235,Average_Distance_by_kilometre_grouping_for_mode_type[#All],MATCH(A1235,Average_Distance_by_kilometre_grouping_for_mode_type[#Headers],0),0)</f>
        <v>5</v>
      </c>
      <c r="I1235" s="89">
        <f>VLOOKUP(D1235,Average_Distance_by_kilometres_grouping_for_trip_purpose[#All],MATCH(A1235,Average_Distance_by_kilometres_grouping_for_trip_purpose[#Headers],0),0)</f>
        <v>5</v>
      </c>
      <c r="J1235" s="89">
        <f t="shared" si="98"/>
        <v>5</v>
      </c>
      <c r="K1235" s="89">
        <f t="shared" si="99"/>
        <v>8.8152327221438648E-2</v>
      </c>
      <c r="L1235" s="89">
        <v>1</v>
      </c>
      <c r="M1235" s="13">
        <f t="shared" si="100"/>
        <v>6270963.9361070823</v>
      </c>
      <c r="N1235" s="11">
        <f t="shared" si="96"/>
        <v>1.0837027020729969E-4</v>
      </c>
    </row>
    <row r="1236" spans="1:14" x14ac:dyDescent="0.25">
      <c r="A1236" s="79" t="s">
        <v>34</v>
      </c>
      <c r="B1236" s="89" t="s">
        <v>8</v>
      </c>
      <c r="C1236" s="89" t="s">
        <v>45</v>
      </c>
      <c r="D1236" s="13" t="s">
        <v>182</v>
      </c>
      <c r="E1236" s="35">
        <f>VLOOKUP(B1236, Passenger_Kilometre_by_mode_type[#All],MATCH(A1236, Passenger_Kilometre_by_mode_type[#Headers],0),0)</f>
        <v>3059690963.0623112</v>
      </c>
      <c r="F1236" s="89">
        <f>VLOOKUP(C1236, Reason_for_public_transport_journeys_by_percentage[#All],MATCH(A1236, Reason_for_public_transport_journeys_by_percentage[#Headers],0),0)/100</f>
        <v>2.3250000000000003E-2</v>
      </c>
      <c r="G1236" s="13">
        <f t="shared" si="97"/>
        <v>71137814.891198739</v>
      </c>
      <c r="H1236" s="89">
        <f>VLOOKUP(D1236,Average_Distance_by_kilometre_grouping_for_mode_type[#All],MATCH(A1236,Average_Distance_by_kilometre_grouping_for_mode_type[#Headers],0),0)</f>
        <v>7</v>
      </c>
      <c r="I1236" s="89">
        <f>VLOOKUP(D1236,Average_Distance_by_kilometres_grouping_for_trip_purpose[#All],MATCH(A1236,Average_Distance_by_kilometres_grouping_for_trip_purpose[#Headers],0),0)</f>
        <v>7</v>
      </c>
      <c r="J1236" s="89">
        <f t="shared" si="98"/>
        <v>7</v>
      </c>
      <c r="K1236" s="89">
        <f t="shared" si="99"/>
        <v>0.12341325811001411</v>
      </c>
      <c r="L1236" s="89">
        <v>1</v>
      </c>
      <c r="M1236" s="13">
        <f t="shared" si="100"/>
        <v>8779349.510549916</v>
      </c>
      <c r="N1236" s="11">
        <f t="shared" si="96"/>
        <v>1.5171837829021958E-4</v>
      </c>
    </row>
    <row r="1237" spans="1:14" x14ac:dyDescent="0.25">
      <c r="A1237" s="79" t="s">
        <v>34</v>
      </c>
      <c r="B1237" s="89" t="s">
        <v>8</v>
      </c>
      <c r="C1237" s="89" t="s">
        <v>45</v>
      </c>
      <c r="D1237" s="13" t="s">
        <v>1</v>
      </c>
      <c r="E1237" s="35">
        <f>VLOOKUP(B1237, Passenger_Kilometre_by_mode_type[#All],MATCH(A1237, Passenger_Kilometre_by_mode_type[#Headers],0),0)</f>
        <v>3059690963.0623112</v>
      </c>
      <c r="F1237" s="89">
        <f>VLOOKUP(C1237, Reason_for_public_transport_journeys_by_percentage[#All],MATCH(A1237, Reason_for_public_transport_journeys_by_percentage[#Headers],0),0)/100</f>
        <v>2.3250000000000003E-2</v>
      </c>
      <c r="G1237" s="13">
        <f t="shared" si="97"/>
        <v>71137814.891198739</v>
      </c>
      <c r="H1237" s="89">
        <f>VLOOKUP(D1237,Average_Distance_by_kilometre_grouping_for_mode_type[#All],MATCH(A1237,Average_Distance_by_kilometre_grouping_for_mode_type[#Headers],0),0)</f>
        <v>38.99</v>
      </c>
      <c r="I1237" s="89">
        <f>VLOOKUP(D1237,Average_Distance_by_kilometres_grouping_for_trip_purpose[#All],MATCH(A1237,Average_Distance_by_kilometres_grouping_for_trip_purpose[#Headers],0),0)</f>
        <v>42.45</v>
      </c>
      <c r="J1237" s="89">
        <f t="shared" si="98"/>
        <v>40.72</v>
      </c>
      <c r="K1237" s="89">
        <f t="shared" si="99"/>
        <v>0.71791255289139633</v>
      </c>
      <c r="L1237" s="89">
        <v>1</v>
      </c>
      <c r="M1237" s="13">
        <f t="shared" si="100"/>
        <v>51070730.295656078</v>
      </c>
      <c r="N1237" s="11">
        <f t="shared" si="96"/>
        <v>8.8256748056824862E-4</v>
      </c>
    </row>
    <row r="1238" spans="1:14" x14ac:dyDescent="0.25">
      <c r="A1238" s="79" t="s">
        <v>34</v>
      </c>
      <c r="B1238" s="89" t="s">
        <v>8</v>
      </c>
      <c r="C1238" s="89" t="s">
        <v>56</v>
      </c>
      <c r="D1238" s="13" t="s">
        <v>12</v>
      </c>
      <c r="E1238" s="35">
        <f>VLOOKUP(B1238, Passenger_Kilometre_by_mode_type[#All],MATCH(A1238, Passenger_Kilometre_by_mode_type[#Headers],0),0)</f>
        <v>3059690963.0623112</v>
      </c>
      <c r="F1238" s="89">
        <f>VLOOKUP(C1238, Reason_for_public_transport_journeys_by_percentage[#All],MATCH(A1238, Reason_for_public_transport_journeys_by_percentage[#Headers],0),0)/100</f>
        <v>0.11150000000000002</v>
      </c>
      <c r="G1238" s="13">
        <f t="shared" si="97"/>
        <v>341155542.38144773</v>
      </c>
      <c r="H1238" s="89">
        <f>VLOOKUP(D1238,Average_Distance_by_kilometre_grouping_for_mode_type[#All],MATCH(A1238,Average_Distance_by_kilometre_grouping_for_mode_type[#Headers],0),0)</f>
        <v>1</v>
      </c>
      <c r="I1238" s="89">
        <f>VLOOKUP(D1238,Average_Distance_by_kilometres_grouping_for_trip_purpose[#All],MATCH(A1238,Average_Distance_by_kilometres_grouping_for_trip_purpose[#Headers],0),0)</f>
        <v>1</v>
      </c>
      <c r="J1238" s="89">
        <f t="shared" si="98"/>
        <v>1</v>
      </c>
      <c r="K1238" s="89">
        <f t="shared" si="99"/>
        <v>1.763046544428773E-2</v>
      </c>
      <c r="L1238" s="89">
        <v>1</v>
      </c>
      <c r="M1238" s="13">
        <f t="shared" si="100"/>
        <v>6014731.0010833526</v>
      </c>
      <c r="N1238" s="11">
        <f t="shared" si="96"/>
        <v>1.0394223766119498E-4</v>
      </c>
    </row>
    <row r="1239" spans="1:14" x14ac:dyDescent="0.25">
      <c r="A1239" s="79" t="s">
        <v>34</v>
      </c>
      <c r="B1239" s="89" t="s">
        <v>8</v>
      </c>
      <c r="C1239" s="89" t="s">
        <v>56</v>
      </c>
      <c r="D1239" s="13" t="s">
        <v>181</v>
      </c>
      <c r="E1239" s="35">
        <f>VLOOKUP(B1239, Passenger_Kilometre_by_mode_type[#All],MATCH(A1239, Passenger_Kilometre_by_mode_type[#Headers],0),0)</f>
        <v>3059690963.0623112</v>
      </c>
      <c r="F1239" s="89">
        <f>VLOOKUP(C1239, Reason_for_public_transport_journeys_by_percentage[#All],MATCH(A1239, Reason_for_public_transport_journeys_by_percentage[#Headers],0),0)/100</f>
        <v>0.11150000000000002</v>
      </c>
      <c r="G1239" s="13">
        <f t="shared" si="97"/>
        <v>341155542.38144773</v>
      </c>
      <c r="H1239" s="89">
        <f>VLOOKUP(D1239,Average_Distance_by_kilometre_grouping_for_mode_type[#All],MATCH(A1239,Average_Distance_by_kilometre_grouping_for_mode_type[#Headers],0),0)</f>
        <v>3</v>
      </c>
      <c r="I1239" s="89">
        <f>VLOOKUP(D1239,Average_Distance_by_kilometres_grouping_for_trip_purpose[#All],MATCH(A1239,Average_Distance_by_kilometres_grouping_for_trip_purpose[#Headers],0),0)</f>
        <v>3</v>
      </c>
      <c r="J1239" s="89">
        <f t="shared" si="98"/>
        <v>3</v>
      </c>
      <c r="K1239" s="89">
        <f t="shared" si="99"/>
        <v>5.2891396332863189E-2</v>
      </c>
      <c r="L1239" s="89">
        <v>1</v>
      </c>
      <c r="M1239" s="13">
        <f t="shared" si="100"/>
        <v>18044193.003250055</v>
      </c>
      <c r="N1239" s="11">
        <f t="shared" si="96"/>
        <v>3.118267129835849E-4</v>
      </c>
    </row>
    <row r="1240" spans="1:14" x14ac:dyDescent="0.25">
      <c r="A1240" s="79" t="s">
        <v>34</v>
      </c>
      <c r="B1240" s="89" t="s">
        <v>8</v>
      </c>
      <c r="C1240" s="89" t="s">
        <v>56</v>
      </c>
      <c r="D1240" s="13" t="s">
        <v>180</v>
      </c>
      <c r="E1240" s="35">
        <f>VLOOKUP(B1240, Passenger_Kilometre_by_mode_type[#All],MATCH(A1240, Passenger_Kilometre_by_mode_type[#Headers],0),0)</f>
        <v>3059690963.0623112</v>
      </c>
      <c r="F1240" s="89">
        <f>VLOOKUP(C1240, Reason_for_public_transport_journeys_by_percentage[#All],MATCH(A1240, Reason_for_public_transport_journeys_by_percentage[#Headers],0),0)/100</f>
        <v>0.11150000000000002</v>
      </c>
      <c r="G1240" s="13">
        <f t="shared" si="97"/>
        <v>341155542.38144773</v>
      </c>
      <c r="H1240" s="89">
        <f>VLOOKUP(D1240,Average_Distance_by_kilometre_grouping_for_mode_type[#All],MATCH(A1240,Average_Distance_by_kilometre_grouping_for_mode_type[#Headers],0),0)</f>
        <v>5</v>
      </c>
      <c r="I1240" s="89">
        <f>VLOOKUP(D1240,Average_Distance_by_kilometres_grouping_for_trip_purpose[#All],MATCH(A1240,Average_Distance_by_kilometres_grouping_for_trip_purpose[#Headers],0),0)</f>
        <v>5</v>
      </c>
      <c r="J1240" s="89">
        <f t="shared" si="98"/>
        <v>5</v>
      </c>
      <c r="K1240" s="89">
        <f t="shared" si="99"/>
        <v>8.8152327221438648E-2</v>
      </c>
      <c r="L1240" s="89">
        <v>1</v>
      </c>
      <c r="M1240" s="13">
        <f t="shared" si="100"/>
        <v>30073655.005416762</v>
      </c>
      <c r="N1240" s="11">
        <f t="shared" si="96"/>
        <v>5.1971118830597483E-4</v>
      </c>
    </row>
    <row r="1241" spans="1:14" x14ac:dyDescent="0.25">
      <c r="A1241" s="79" t="s">
        <v>34</v>
      </c>
      <c r="B1241" s="89" t="s">
        <v>8</v>
      </c>
      <c r="C1241" s="89" t="s">
        <v>56</v>
      </c>
      <c r="D1241" s="13" t="s">
        <v>182</v>
      </c>
      <c r="E1241" s="35">
        <f>VLOOKUP(B1241, Passenger_Kilometre_by_mode_type[#All],MATCH(A1241, Passenger_Kilometre_by_mode_type[#Headers],0),0)</f>
        <v>3059690963.0623112</v>
      </c>
      <c r="F1241" s="89">
        <f>VLOOKUP(C1241, Reason_for_public_transport_journeys_by_percentage[#All],MATCH(A1241, Reason_for_public_transport_journeys_by_percentage[#Headers],0),0)/100</f>
        <v>0.11150000000000002</v>
      </c>
      <c r="G1241" s="13">
        <f t="shared" si="97"/>
        <v>341155542.38144773</v>
      </c>
      <c r="H1241" s="89">
        <f>VLOOKUP(D1241,Average_Distance_by_kilometre_grouping_for_mode_type[#All],MATCH(A1241,Average_Distance_by_kilometre_grouping_for_mode_type[#Headers],0),0)</f>
        <v>7</v>
      </c>
      <c r="I1241" s="89">
        <f>VLOOKUP(D1241,Average_Distance_by_kilometres_grouping_for_trip_purpose[#All],MATCH(A1241,Average_Distance_by_kilometres_grouping_for_trip_purpose[#Headers],0),0)</f>
        <v>7</v>
      </c>
      <c r="J1241" s="89">
        <f t="shared" si="98"/>
        <v>7</v>
      </c>
      <c r="K1241" s="89">
        <f t="shared" si="99"/>
        <v>0.12341325811001411</v>
      </c>
      <c r="L1241" s="89">
        <v>1</v>
      </c>
      <c r="M1241" s="13">
        <f t="shared" si="100"/>
        <v>42103117.007583469</v>
      </c>
      <c r="N1241" s="11">
        <f t="shared" si="96"/>
        <v>7.2759566362836487E-4</v>
      </c>
    </row>
    <row r="1242" spans="1:14" x14ac:dyDescent="0.25">
      <c r="A1242" s="79" t="s">
        <v>34</v>
      </c>
      <c r="B1242" s="89" t="s">
        <v>8</v>
      </c>
      <c r="C1242" s="89" t="s">
        <v>56</v>
      </c>
      <c r="D1242" s="13" t="s">
        <v>1</v>
      </c>
      <c r="E1242" s="35">
        <f>VLOOKUP(B1242, Passenger_Kilometre_by_mode_type[#All],MATCH(A1242, Passenger_Kilometre_by_mode_type[#Headers],0),0)</f>
        <v>3059690963.0623112</v>
      </c>
      <c r="F1242" s="89">
        <f>VLOOKUP(C1242, Reason_for_public_transport_journeys_by_percentage[#All],MATCH(A1242, Reason_for_public_transport_journeys_by_percentage[#Headers],0),0)/100</f>
        <v>0.11150000000000002</v>
      </c>
      <c r="G1242" s="13">
        <f t="shared" si="97"/>
        <v>341155542.38144773</v>
      </c>
      <c r="H1242" s="89">
        <f>VLOOKUP(D1242,Average_Distance_by_kilometre_grouping_for_mode_type[#All],MATCH(A1242,Average_Distance_by_kilometre_grouping_for_mode_type[#Headers],0),0)</f>
        <v>38.99</v>
      </c>
      <c r="I1242" s="89">
        <f>VLOOKUP(D1242,Average_Distance_by_kilometres_grouping_for_trip_purpose[#All],MATCH(A1242,Average_Distance_by_kilometres_grouping_for_trip_purpose[#Headers],0),0)</f>
        <v>42.45</v>
      </c>
      <c r="J1242" s="89">
        <f t="shared" si="98"/>
        <v>40.72</v>
      </c>
      <c r="K1242" s="89">
        <f t="shared" si="99"/>
        <v>0.71791255289139633</v>
      </c>
      <c r="L1242" s="89">
        <v>1</v>
      </c>
      <c r="M1242" s="13">
        <f t="shared" si="100"/>
        <v>244919846.36411411</v>
      </c>
      <c r="N1242" s="11">
        <f t="shared" si="96"/>
        <v>4.2325279175638589E-3</v>
      </c>
    </row>
    <row r="1243" spans="1:14" x14ac:dyDescent="0.25">
      <c r="A1243" s="79" t="s">
        <v>34</v>
      </c>
      <c r="B1243" s="89" t="s">
        <v>8</v>
      </c>
      <c r="C1243" s="89" t="s">
        <v>57</v>
      </c>
      <c r="D1243" s="13" t="s">
        <v>12</v>
      </c>
      <c r="E1243" s="35">
        <f>VLOOKUP(B1243, Passenger_Kilometre_by_mode_type[#All],MATCH(A1243, Passenger_Kilometre_by_mode_type[#Headers],0),0)</f>
        <v>3059690963.0623112</v>
      </c>
      <c r="F1243" s="89">
        <f>VLOOKUP(C1243, Reason_for_public_transport_journeys_by_percentage[#All],MATCH(A1243, Reason_for_public_transport_journeys_by_percentage[#Headers],0),0)/100</f>
        <v>7.5249999999999997E-2</v>
      </c>
      <c r="G1243" s="13">
        <f t="shared" si="97"/>
        <v>230241744.9704389</v>
      </c>
      <c r="H1243" s="89">
        <f>VLOOKUP(D1243,Average_Distance_by_kilometre_grouping_for_mode_type[#All],MATCH(A1243,Average_Distance_by_kilometre_grouping_for_mode_type[#Headers],0),0)</f>
        <v>1</v>
      </c>
      <c r="I1243" s="89">
        <f>VLOOKUP(D1243,Average_Distance_by_kilometres_grouping_for_trip_purpose[#All],MATCH(A1243,Average_Distance_by_kilometres_grouping_for_trip_purpose[#Headers],0),0)</f>
        <v>1</v>
      </c>
      <c r="J1243" s="89">
        <f t="shared" si="98"/>
        <v>1</v>
      </c>
      <c r="K1243" s="89">
        <f t="shared" si="99"/>
        <v>1.763046544428773E-2</v>
      </c>
      <c r="L1243" s="89">
        <v>1</v>
      </c>
      <c r="M1243" s="13">
        <f t="shared" si="100"/>
        <v>4059269.1285338313</v>
      </c>
      <c r="N1243" s="11">
        <f t="shared" si="96"/>
        <v>7.0149357704080002E-5</v>
      </c>
    </row>
    <row r="1244" spans="1:14" x14ac:dyDescent="0.25">
      <c r="A1244" s="79" t="s">
        <v>34</v>
      </c>
      <c r="B1244" s="89" t="s">
        <v>8</v>
      </c>
      <c r="C1244" s="89" t="s">
        <v>57</v>
      </c>
      <c r="D1244" s="13" t="s">
        <v>181</v>
      </c>
      <c r="E1244" s="35">
        <f>VLOOKUP(B1244, Passenger_Kilometre_by_mode_type[#All],MATCH(A1244, Passenger_Kilometre_by_mode_type[#Headers],0),0)</f>
        <v>3059690963.0623112</v>
      </c>
      <c r="F1244" s="89">
        <f>VLOOKUP(C1244, Reason_for_public_transport_journeys_by_percentage[#All],MATCH(A1244, Reason_for_public_transport_journeys_by_percentage[#Headers],0),0)/100</f>
        <v>7.5249999999999997E-2</v>
      </c>
      <c r="G1244" s="13">
        <f t="shared" si="97"/>
        <v>230241744.9704389</v>
      </c>
      <c r="H1244" s="89">
        <f>VLOOKUP(D1244,Average_Distance_by_kilometre_grouping_for_mode_type[#All],MATCH(A1244,Average_Distance_by_kilometre_grouping_for_mode_type[#Headers],0),0)</f>
        <v>3</v>
      </c>
      <c r="I1244" s="89">
        <f>VLOOKUP(D1244,Average_Distance_by_kilometres_grouping_for_trip_purpose[#All],MATCH(A1244,Average_Distance_by_kilometres_grouping_for_trip_purpose[#Headers],0),0)</f>
        <v>3</v>
      </c>
      <c r="J1244" s="89">
        <f t="shared" si="98"/>
        <v>3</v>
      </c>
      <c r="K1244" s="89">
        <f t="shared" si="99"/>
        <v>5.2891396332863189E-2</v>
      </c>
      <c r="L1244" s="89">
        <v>1</v>
      </c>
      <c r="M1244" s="13">
        <f t="shared" si="100"/>
        <v>12177807.385601493</v>
      </c>
      <c r="N1244" s="11">
        <f t="shared" si="96"/>
        <v>2.1044807311223999E-4</v>
      </c>
    </row>
    <row r="1245" spans="1:14" x14ac:dyDescent="0.25">
      <c r="A1245" s="79" t="s">
        <v>34</v>
      </c>
      <c r="B1245" s="89" t="s">
        <v>8</v>
      </c>
      <c r="C1245" s="89" t="s">
        <v>57</v>
      </c>
      <c r="D1245" s="13" t="s">
        <v>180</v>
      </c>
      <c r="E1245" s="35">
        <f>VLOOKUP(B1245, Passenger_Kilometre_by_mode_type[#All],MATCH(A1245, Passenger_Kilometre_by_mode_type[#Headers],0),0)</f>
        <v>3059690963.0623112</v>
      </c>
      <c r="F1245" s="89">
        <f>VLOOKUP(C1245, Reason_for_public_transport_journeys_by_percentage[#All],MATCH(A1245, Reason_for_public_transport_journeys_by_percentage[#Headers],0),0)/100</f>
        <v>7.5249999999999997E-2</v>
      </c>
      <c r="G1245" s="13">
        <f t="shared" si="97"/>
        <v>230241744.9704389</v>
      </c>
      <c r="H1245" s="89">
        <f>VLOOKUP(D1245,Average_Distance_by_kilometre_grouping_for_mode_type[#All],MATCH(A1245,Average_Distance_by_kilometre_grouping_for_mode_type[#Headers],0),0)</f>
        <v>5</v>
      </c>
      <c r="I1245" s="89">
        <f>VLOOKUP(D1245,Average_Distance_by_kilometres_grouping_for_trip_purpose[#All],MATCH(A1245,Average_Distance_by_kilometres_grouping_for_trip_purpose[#Headers],0),0)</f>
        <v>5</v>
      </c>
      <c r="J1245" s="89">
        <f t="shared" si="98"/>
        <v>5</v>
      </c>
      <c r="K1245" s="89">
        <f t="shared" si="99"/>
        <v>8.8152327221438648E-2</v>
      </c>
      <c r="L1245" s="89">
        <v>1</v>
      </c>
      <c r="M1245" s="13">
        <f t="shared" si="100"/>
        <v>20296345.642669156</v>
      </c>
      <c r="N1245" s="11">
        <f t="shared" si="96"/>
        <v>3.507467885204E-4</v>
      </c>
    </row>
    <row r="1246" spans="1:14" x14ac:dyDescent="0.25">
      <c r="A1246" s="79" t="s">
        <v>34</v>
      </c>
      <c r="B1246" s="89" t="s">
        <v>8</v>
      </c>
      <c r="C1246" s="89" t="s">
        <v>57</v>
      </c>
      <c r="D1246" s="13" t="s">
        <v>182</v>
      </c>
      <c r="E1246" s="35">
        <f>VLOOKUP(B1246, Passenger_Kilometre_by_mode_type[#All],MATCH(A1246, Passenger_Kilometre_by_mode_type[#Headers],0),0)</f>
        <v>3059690963.0623112</v>
      </c>
      <c r="F1246" s="89">
        <f>VLOOKUP(C1246, Reason_for_public_transport_journeys_by_percentage[#All],MATCH(A1246, Reason_for_public_transport_journeys_by_percentage[#Headers],0),0)/100</f>
        <v>7.5249999999999997E-2</v>
      </c>
      <c r="G1246" s="13">
        <f t="shared" si="97"/>
        <v>230241744.9704389</v>
      </c>
      <c r="H1246" s="89">
        <f>VLOOKUP(D1246,Average_Distance_by_kilometre_grouping_for_mode_type[#All],MATCH(A1246,Average_Distance_by_kilometre_grouping_for_mode_type[#Headers],0),0)</f>
        <v>7</v>
      </c>
      <c r="I1246" s="89">
        <f>VLOOKUP(D1246,Average_Distance_by_kilometres_grouping_for_trip_purpose[#All],MATCH(A1246,Average_Distance_by_kilometres_grouping_for_trip_purpose[#Headers],0),0)</f>
        <v>7</v>
      </c>
      <c r="J1246" s="89">
        <f t="shared" si="98"/>
        <v>7</v>
      </c>
      <c r="K1246" s="89">
        <f t="shared" si="99"/>
        <v>0.12341325811001411</v>
      </c>
      <c r="L1246" s="89">
        <v>1</v>
      </c>
      <c r="M1246" s="13">
        <f t="shared" si="100"/>
        <v>28414883.899736818</v>
      </c>
      <c r="N1246" s="11">
        <f t="shared" si="96"/>
        <v>4.9104550392855997E-4</v>
      </c>
    </row>
    <row r="1247" spans="1:14" x14ac:dyDescent="0.25">
      <c r="A1247" s="79" t="s">
        <v>34</v>
      </c>
      <c r="B1247" s="89" t="s">
        <v>8</v>
      </c>
      <c r="C1247" s="89" t="s">
        <v>57</v>
      </c>
      <c r="D1247" s="13" t="s">
        <v>1</v>
      </c>
      <c r="E1247" s="35">
        <f>VLOOKUP(B1247, Passenger_Kilometre_by_mode_type[#All],MATCH(A1247, Passenger_Kilometre_by_mode_type[#Headers],0),0)</f>
        <v>3059690963.0623112</v>
      </c>
      <c r="F1247" s="89">
        <f>VLOOKUP(C1247, Reason_for_public_transport_journeys_by_percentage[#All],MATCH(A1247, Reason_for_public_transport_journeys_by_percentage[#Headers],0),0)/100</f>
        <v>7.5249999999999997E-2</v>
      </c>
      <c r="G1247" s="13">
        <f t="shared" si="97"/>
        <v>230241744.9704389</v>
      </c>
      <c r="H1247" s="89">
        <f>VLOOKUP(D1247,Average_Distance_by_kilometre_grouping_for_mode_type[#All],MATCH(A1247,Average_Distance_by_kilometre_grouping_for_mode_type[#Headers],0),0)</f>
        <v>38.99</v>
      </c>
      <c r="I1247" s="89">
        <f>VLOOKUP(D1247,Average_Distance_by_kilometres_grouping_for_trip_purpose[#All],MATCH(A1247,Average_Distance_by_kilometres_grouping_for_trip_purpose[#Headers],0),0)</f>
        <v>42.45</v>
      </c>
      <c r="J1247" s="89">
        <f t="shared" si="98"/>
        <v>40.72</v>
      </c>
      <c r="K1247" s="89">
        <f t="shared" si="99"/>
        <v>0.71791255289139633</v>
      </c>
      <c r="L1247" s="89">
        <v>1</v>
      </c>
      <c r="M1247" s="13">
        <f t="shared" si="100"/>
        <v>165293438.9138976</v>
      </c>
      <c r="N1247" s="11">
        <f t="shared" si="96"/>
        <v>2.8564818457101379E-3</v>
      </c>
    </row>
    <row r="1248" spans="1:14" x14ac:dyDescent="0.25">
      <c r="A1248" s="79" t="s">
        <v>34</v>
      </c>
      <c r="B1248" s="89" t="s">
        <v>8</v>
      </c>
      <c r="C1248" s="89" t="s">
        <v>93</v>
      </c>
      <c r="D1248" s="13" t="s">
        <v>12</v>
      </c>
      <c r="E1248" s="35">
        <f>VLOOKUP(B1248, Passenger_Kilometre_by_mode_type[#All],MATCH(A1248, Passenger_Kilometre_by_mode_type[#Headers],0),0)</f>
        <v>3059690963.0623112</v>
      </c>
      <c r="F1248" s="89">
        <f>VLOOKUP(C1248, Reason_for_public_transport_journeys_by_percentage[#All],MATCH(A1248, Reason_for_public_transport_journeys_by_percentage[#Headers],0),0)/100</f>
        <v>8.0749999999999988E-2</v>
      </c>
      <c r="G1248" s="13">
        <f t="shared" si="97"/>
        <v>247070045.26728159</v>
      </c>
      <c r="H1248" s="89">
        <f>VLOOKUP(D1248,Average_Distance_by_kilometre_grouping_for_mode_type[#All],MATCH(A1248,Average_Distance_by_kilometre_grouping_for_mode_type[#Headers],0),0)</f>
        <v>1</v>
      </c>
      <c r="I1248" s="89">
        <f>VLOOKUP(D1248,Average_Distance_by_kilometres_grouping_for_trip_purpose[#All],MATCH(A1248,Average_Distance_by_kilometres_grouping_for_trip_purpose[#Headers],0),0)</f>
        <v>1</v>
      </c>
      <c r="J1248" s="89">
        <f t="shared" si="98"/>
        <v>1</v>
      </c>
      <c r="K1248" s="89">
        <f t="shared" si="99"/>
        <v>1.763046544428773E-2</v>
      </c>
      <c r="L1248" s="89">
        <v>1</v>
      </c>
      <c r="M1248" s="13">
        <f t="shared" si="100"/>
        <v>4355959.8954034131</v>
      </c>
      <c r="N1248" s="11">
        <f t="shared" si="96"/>
        <v>7.527655328378019E-5</v>
      </c>
    </row>
    <row r="1249" spans="1:14" x14ac:dyDescent="0.25">
      <c r="A1249" s="79" t="s">
        <v>34</v>
      </c>
      <c r="B1249" s="89" t="s">
        <v>8</v>
      </c>
      <c r="C1249" s="89" t="s">
        <v>93</v>
      </c>
      <c r="D1249" s="13" t="s">
        <v>181</v>
      </c>
      <c r="E1249" s="35">
        <f>VLOOKUP(B1249, Passenger_Kilometre_by_mode_type[#All],MATCH(A1249, Passenger_Kilometre_by_mode_type[#Headers],0),0)</f>
        <v>3059690963.0623112</v>
      </c>
      <c r="F1249" s="89">
        <f>VLOOKUP(C1249, Reason_for_public_transport_journeys_by_percentage[#All],MATCH(A1249, Reason_for_public_transport_journeys_by_percentage[#Headers],0),0)/100</f>
        <v>8.0749999999999988E-2</v>
      </c>
      <c r="G1249" s="13">
        <f t="shared" si="97"/>
        <v>247070045.26728159</v>
      </c>
      <c r="H1249" s="89">
        <f>VLOOKUP(D1249,Average_Distance_by_kilometre_grouping_for_mode_type[#All],MATCH(A1249,Average_Distance_by_kilometre_grouping_for_mode_type[#Headers],0),0)</f>
        <v>3</v>
      </c>
      <c r="I1249" s="89">
        <f>VLOOKUP(D1249,Average_Distance_by_kilometres_grouping_for_trip_purpose[#All],MATCH(A1249,Average_Distance_by_kilometres_grouping_for_trip_purpose[#Headers],0),0)</f>
        <v>3</v>
      </c>
      <c r="J1249" s="89">
        <f t="shared" si="98"/>
        <v>3</v>
      </c>
      <c r="K1249" s="89">
        <f t="shared" si="99"/>
        <v>5.2891396332863189E-2</v>
      </c>
      <c r="L1249" s="89">
        <v>1</v>
      </c>
      <c r="M1249" s="13">
        <f t="shared" si="100"/>
        <v>13067879.686210239</v>
      </c>
      <c r="N1249" s="11">
        <f t="shared" si="96"/>
        <v>2.258296598513406E-4</v>
      </c>
    </row>
    <row r="1250" spans="1:14" x14ac:dyDescent="0.25">
      <c r="A1250" s="79" t="s">
        <v>34</v>
      </c>
      <c r="B1250" s="89" t="s">
        <v>8</v>
      </c>
      <c r="C1250" s="89" t="s">
        <v>93</v>
      </c>
      <c r="D1250" s="13" t="s">
        <v>180</v>
      </c>
      <c r="E1250" s="35">
        <f>VLOOKUP(B1250, Passenger_Kilometre_by_mode_type[#All],MATCH(A1250, Passenger_Kilometre_by_mode_type[#Headers],0),0)</f>
        <v>3059690963.0623112</v>
      </c>
      <c r="F1250" s="89">
        <f>VLOOKUP(C1250, Reason_for_public_transport_journeys_by_percentage[#All],MATCH(A1250, Reason_for_public_transport_journeys_by_percentage[#Headers],0),0)/100</f>
        <v>8.0749999999999988E-2</v>
      </c>
      <c r="G1250" s="13">
        <f t="shared" si="97"/>
        <v>247070045.26728159</v>
      </c>
      <c r="H1250" s="89">
        <f>VLOOKUP(D1250,Average_Distance_by_kilometre_grouping_for_mode_type[#All],MATCH(A1250,Average_Distance_by_kilometre_grouping_for_mode_type[#Headers],0),0)</f>
        <v>5</v>
      </c>
      <c r="I1250" s="89">
        <f>VLOOKUP(D1250,Average_Distance_by_kilometres_grouping_for_trip_purpose[#All],MATCH(A1250,Average_Distance_by_kilometres_grouping_for_trip_purpose[#Headers],0),0)</f>
        <v>5</v>
      </c>
      <c r="J1250" s="89">
        <f t="shared" si="98"/>
        <v>5</v>
      </c>
      <c r="K1250" s="89">
        <f t="shared" si="99"/>
        <v>8.8152327221438648E-2</v>
      </c>
      <c r="L1250" s="89">
        <v>1</v>
      </c>
      <c r="M1250" s="13">
        <f t="shared" si="100"/>
        <v>21779799.477017067</v>
      </c>
      <c r="N1250" s="11">
        <f t="shared" si="96"/>
        <v>3.7638276641890103E-4</v>
      </c>
    </row>
    <row r="1251" spans="1:14" x14ac:dyDescent="0.25">
      <c r="A1251" s="79" t="s">
        <v>34</v>
      </c>
      <c r="B1251" s="89" t="s">
        <v>8</v>
      </c>
      <c r="C1251" s="89" t="s">
        <v>93</v>
      </c>
      <c r="D1251" s="13" t="s">
        <v>182</v>
      </c>
      <c r="E1251" s="35">
        <f>VLOOKUP(B1251, Passenger_Kilometre_by_mode_type[#All],MATCH(A1251, Passenger_Kilometre_by_mode_type[#Headers],0),0)</f>
        <v>3059690963.0623112</v>
      </c>
      <c r="F1251" s="89">
        <f>VLOOKUP(C1251, Reason_for_public_transport_journeys_by_percentage[#All],MATCH(A1251, Reason_for_public_transport_journeys_by_percentage[#Headers],0),0)/100</f>
        <v>8.0749999999999988E-2</v>
      </c>
      <c r="G1251" s="13">
        <f t="shared" si="97"/>
        <v>247070045.26728159</v>
      </c>
      <c r="H1251" s="89">
        <f>VLOOKUP(D1251,Average_Distance_by_kilometre_grouping_for_mode_type[#All],MATCH(A1251,Average_Distance_by_kilometre_grouping_for_mode_type[#Headers],0),0)</f>
        <v>7</v>
      </c>
      <c r="I1251" s="89">
        <f>VLOOKUP(D1251,Average_Distance_by_kilometres_grouping_for_trip_purpose[#All],MATCH(A1251,Average_Distance_by_kilometres_grouping_for_trip_purpose[#Headers],0),0)</f>
        <v>7</v>
      </c>
      <c r="J1251" s="89">
        <f t="shared" si="98"/>
        <v>7</v>
      </c>
      <c r="K1251" s="89">
        <f t="shared" si="99"/>
        <v>0.12341325811001411</v>
      </c>
      <c r="L1251" s="89">
        <v>1</v>
      </c>
      <c r="M1251" s="13">
        <f t="shared" si="100"/>
        <v>30491719.267823894</v>
      </c>
      <c r="N1251" s="11">
        <f t="shared" si="96"/>
        <v>5.2693587298646141E-4</v>
      </c>
    </row>
    <row r="1252" spans="1:14" x14ac:dyDescent="0.25">
      <c r="A1252" s="79" t="s">
        <v>34</v>
      </c>
      <c r="B1252" s="89" t="s">
        <v>8</v>
      </c>
      <c r="C1252" s="89" t="s">
        <v>93</v>
      </c>
      <c r="D1252" s="13" t="s">
        <v>1</v>
      </c>
      <c r="E1252" s="35">
        <f>VLOOKUP(B1252, Passenger_Kilometre_by_mode_type[#All],MATCH(A1252, Passenger_Kilometre_by_mode_type[#Headers],0),0)</f>
        <v>3059690963.0623112</v>
      </c>
      <c r="F1252" s="89">
        <f>VLOOKUP(C1252, Reason_for_public_transport_journeys_by_percentage[#All],MATCH(A1252, Reason_for_public_transport_journeys_by_percentage[#Headers],0),0)/100</f>
        <v>8.0749999999999988E-2</v>
      </c>
      <c r="G1252" s="13">
        <f t="shared" si="97"/>
        <v>247070045.26728159</v>
      </c>
      <c r="H1252" s="89">
        <f>VLOOKUP(D1252,Average_Distance_by_kilometre_grouping_for_mode_type[#All],MATCH(A1252,Average_Distance_by_kilometre_grouping_for_mode_type[#Headers],0),0)</f>
        <v>38.99</v>
      </c>
      <c r="I1252" s="89">
        <f>VLOOKUP(D1252,Average_Distance_by_kilometres_grouping_for_trip_purpose[#All],MATCH(A1252,Average_Distance_by_kilometres_grouping_for_trip_purpose[#Headers],0),0)</f>
        <v>42.45</v>
      </c>
      <c r="J1252" s="89">
        <f t="shared" si="98"/>
        <v>40.72</v>
      </c>
      <c r="K1252" s="89">
        <f t="shared" si="99"/>
        <v>0.71791255289139633</v>
      </c>
      <c r="L1252" s="89">
        <v>1</v>
      </c>
      <c r="M1252" s="13">
        <f t="shared" si="100"/>
        <v>177374686.94082698</v>
      </c>
      <c r="N1252" s="11">
        <f t="shared" si="96"/>
        <v>3.0652612497155296E-3</v>
      </c>
    </row>
    <row r="1253" spans="1:14" x14ac:dyDescent="0.25">
      <c r="A1253" s="79" t="s">
        <v>34</v>
      </c>
      <c r="B1253" s="89" t="s">
        <v>8</v>
      </c>
      <c r="C1253" s="89" t="s">
        <v>243</v>
      </c>
      <c r="D1253" s="13" t="s">
        <v>12</v>
      </c>
      <c r="E1253" s="35">
        <f>VLOOKUP(B1253, Passenger_Kilometre_by_mode_type[#All],MATCH(A1253, Passenger_Kilometre_by_mode_type[#Headers],0),0)</f>
        <v>3059690963.0623112</v>
      </c>
      <c r="F1253" s="89">
        <f>VLOOKUP(C1253, Reason_for_public_transport_journeys_by_percentage[#All],MATCH(A1253, Reason_for_public_transport_journeys_by_percentage[#Headers],0),0)/100</f>
        <v>3.0250000000000003E-2</v>
      </c>
      <c r="G1253" s="13">
        <f t="shared" si="97"/>
        <v>92555651.632634923</v>
      </c>
      <c r="H1253" s="89">
        <f>VLOOKUP(D1253,Average_Distance_by_kilometre_grouping_for_mode_type[#All],MATCH(A1253,Average_Distance_by_kilometre_grouping_for_mode_type[#Headers],0),0)</f>
        <v>1</v>
      </c>
      <c r="I1253" s="89">
        <f>VLOOKUP(D1253,Average_Distance_by_kilometres_grouping_for_trip_purpose[#All],MATCH(A1253,Average_Distance_by_kilometres_grouping_for_trip_purpose[#Headers],0),0)</f>
        <v>1</v>
      </c>
      <c r="J1253" s="89">
        <f t="shared" si="98"/>
        <v>1</v>
      </c>
      <c r="K1253" s="89">
        <f t="shared" si="99"/>
        <v>1.763046544428773E-2</v>
      </c>
      <c r="L1253" s="89">
        <v>1</v>
      </c>
      <c r="M1253" s="13">
        <f t="shared" si="100"/>
        <v>1631799.2177827032</v>
      </c>
      <c r="N1253" s="11">
        <f t="shared" si="96"/>
        <v>2.8199575688351105E-5</v>
      </c>
    </row>
    <row r="1254" spans="1:14" x14ac:dyDescent="0.25">
      <c r="A1254" s="79" t="s">
        <v>34</v>
      </c>
      <c r="B1254" s="89" t="s">
        <v>8</v>
      </c>
      <c r="C1254" s="89" t="s">
        <v>243</v>
      </c>
      <c r="D1254" s="13" t="s">
        <v>181</v>
      </c>
      <c r="E1254" s="35">
        <f>VLOOKUP(B1254, Passenger_Kilometre_by_mode_type[#All],MATCH(A1254, Passenger_Kilometre_by_mode_type[#Headers],0),0)</f>
        <v>3059690963.0623112</v>
      </c>
      <c r="F1254" s="89">
        <f>VLOOKUP(C1254, Reason_for_public_transport_journeys_by_percentage[#All],MATCH(A1254, Reason_for_public_transport_journeys_by_percentage[#Headers],0),0)/100</f>
        <v>3.0250000000000003E-2</v>
      </c>
      <c r="G1254" s="13">
        <f t="shared" si="97"/>
        <v>92555651.632634923</v>
      </c>
      <c r="H1254" s="89">
        <f>VLOOKUP(D1254,Average_Distance_by_kilometre_grouping_for_mode_type[#All],MATCH(A1254,Average_Distance_by_kilometre_grouping_for_mode_type[#Headers],0),0)</f>
        <v>3</v>
      </c>
      <c r="I1254" s="89">
        <f>VLOOKUP(D1254,Average_Distance_by_kilometres_grouping_for_trip_purpose[#All],MATCH(A1254,Average_Distance_by_kilometres_grouping_for_trip_purpose[#Headers],0),0)</f>
        <v>3</v>
      </c>
      <c r="J1254" s="89">
        <f t="shared" si="98"/>
        <v>3</v>
      </c>
      <c r="K1254" s="89">
        <f t="shared" si="99"/>
        <v>5.2891396332863189E-2</v>
      </c>
      <c r="L1254" s="89">
        <v>1</v>
      </c>
      <c r="M1254" s="13">
        <f t="shared" si="100"/>
        <v>4895397.6533481097</v>
      </c>
      <c r="N1254" s="11">
        <f t="shared" si="96"/>
        <v>8.459872706505331E-5</v>
      </c>
    </row>
    <row r="1255" spans="1:14" x14ac:dyDescent="0.25">
      <c r="A1255" s="79" t="s">
        <v>34</v>
      </c>
      <c r="B1255" s="89" t="s">
        <v>8</v>
      </c>
      <c r="C1255" s="89" t="s">
        <v>243</v>
      </c>
      <c r="D1255" s="13" t="s">
        <v>180</v>
      </c>
      <c r="E1255" s="35">
        <f>VLOOKUP(B1255, Passenger_Kilometre_by_mode_type[#All],MATCH(A1255, Passenger_Kilometre_by_mode_type[#Headers],0),0)</f>
        <v>3059690963.0623112</v>
      </c>
      <c r="F1255" s="89">
        <f>VLOOKUP(C1255, Reason_for_public_transport_journeys_by_percentage[#All],MATCH(A1255, Reason_for_public_transport_journeys_by_percentage[#Headers],0),0)/100</f>
        <v>3.0250000000000003E-2</v>
      </c>
      <c r="G1255" s="13">
        <f t="shared" si="97"/>
        <v>92555651.632634923</v>
      </c>
      <c r="H1255" s="89">
        <f>VLOOKUP(D1255,Average_Distance_by_kilometre_grouping_for_mode_type[#All],MATCH(A1255,Average_Distance_by_kilometre_grouping_for_mode_type[#Headers],0),0)</f>
        <v>5</v>
      </c>
      <c r="I1255" s="89">
        <f>VLOOKUP(D1255,Average_Distance_by_kilometres_grouping_for_trip_purpose[#All],MATCH(A1255,Average_Distance_by_kilometres_grouping_for_trip_purpose[#Headers],0),0)</f>
        <v>5</v>
      </c>
      <c r="J1255" s="89">
        <f t="shared" si="98"/>
        <v>5</v>
      </c>
      <c r="K1255" s="89">
        <f t="shared" si="99"/>
        <v>8.8152327221438648E-2</v>
      </c>
      <c r="L1255" s="89">
        <v>1</v>
      </c>
      <c r="M1255" s="13">
        <f t="shared" si="100"/>
        <v>8158996.0889135161</v>
      </c>
      <c r="N1255" s="11">
        <f t="shared" si="96"/>
        <v>1.4099787844175553E-4</v>
      </c>
    </row>
    <row r="1256" spans="1:14" x14ac:dyDescent="0.25">
      <c r="A1256" s="79" t="s">
        <v>34</v>
      </c>
      <c r="B1256" s="89" t="s">
        <v>8</v>
      </c>
      <c r="C1256" s="89" t="s">
        <v>243</v>
      </c>
      <c r="D1256" s="13" t="s">
        <v>182</v>
      </c>
      <c r="E1256" s="35">
        <f>VLOOKUP(B1256, Passenger_Kilometre_by_mode_type[#All],MATCH(A1256, Passenger_Kilometre_by_mode_type[#Headers],0),0)</f>
        <v>3059690963.0623112</v>
      </c>
      <c r="F1256" s="89">
        <f>VLOOKUP(C1256, Reason_for_public_transport_journeys_by_percentage[#All],MATCH(A1256, Reason_for_public_transport_journeys_by_percentage[#Headers],0),0)/100</f>
        <v>3.0250000000000003E-2</v>
      </c>
      <c r="G1256" s="13">
        <f t="shared" si="97"/>
        <v>92555651.632634923</v>
      </c>
      <c r="H1256" s="89">
        <f>VLOOKUP(D1256,Average_Distance_by_kilometre_grouping_for_mode_type[#All],MATCH(A1256,Average_Distance_by_kilometre_grouping_for_mode_type[#Headers],0),0)</f>
        <v>7</v>
      </c>
      <c r="I1256" s="89">
        <f>VLOOKUP(D1256,Average_Distance_by_kilometres_grouping_for_trip_purpose[#All],MATCH(A1256,Average_Distance_by_kilometres_grouping_for_trip_purpose[#Headers],0),0)</f>
        <v>7</v>
      </c>
      <c r="J1256" s="89">
        <f t="shared" si="98"/>
        <v>7</v>
      </c>
      <c r="K1256" s="89">
        <f t="shared" si="99"/>
        <v>0.12341325811001411</v>
      </c>
      <c r="L1256" s="89">
        <v>1</v>
      </c>
      <c r="M1256" s="13">
        <f t="shared" si="100"/>
        <v>11422594.524478922</v>
      </c>
      <c r="N1256" s="11">
        <f t="shared" si="96"/>
        <v>1.9739702981845771E-4</v>
      </c>
    </row>
    <row r="1257" spans="1:14" x14ac:dyDescent="0.25">
      <c r="A1257" s="79" t="s">
        <v>34</v>
      </c>
      <c r="B1257" s="89" t="s">
        <v>8</v>
      </c>
      <c r="C1257" s="89" t="s">
        <v>243</v>
      </c>
      <c r="D1257" s="13" t="s">
        <v>1</v>
      </c>
      <c r="E1257" s="35">
        <f>VLOOKUP(B1257, Passenger_Kilometre_by_mode_type[#All],MATCH(A1257, Passenger_Kilometre_by_mode_type[#Headers],0),0)</f>
        <v>3059690963.0623112</v>
      </c>
      <c r="F1257" s="89">
        <f>VLOOKUP(C1257, Reason_for_public_transport_journeys_by_percentage[#All],MATCH(A1257, Reason_for_public_transport_journeys_by_percentage[#Headers],0),0)/100</f>
        <v>3.0250000000000003E-2</v>
      </c>
      <c r="G1257" s="13">
        <f t="shared" si="97"/>
        <v>92555651.632634923</v>
      </c>
      <c r="H1257" s="89">
        <f>VLOOKUP(D1257,Average_Distance_by_kilometre_grouping_for_mode_type[#All],MATCH(A1257,Average_Distance_by_kilometre_grouping_for_mode_type[#Headers],0),0)</f>
        <v>38.99</v>
      </c>
      <c r="I1257" s="89">
        <f>VLOOKUP(D1257,Average_Distance_by_kilometres_grouping_for_trip_purpose[#All],MATCH(A1257,Average_Distance_by_kilometres_grouping_for_trip_purpose[#Headers],0),0)</f>
        <v>42.45</v>
      </c>
      <c r="J1257" s="89">
        <f t="shared" si="98"/>
        <v>40.72</v>
      </c>
      <c r="K1257" s="89">
        <f t="shared" si="99"/>
        <v>0.71791255289139633</v>
      </c>
      <c r="L1257" s="89">
        <v>1</v>
      </c>
      <c r="M1257" s="13">
        <f t="shared" si="100"/>
        <v>66446864.148111671</v>
      </c>
      <c r="N1257" s="11">
        <f t="shared" si="96"/>
        <v>1.1482867220296569E-3</v>
      </c>
    </row>
    <row r="1258" spans="1:14" x14ac:dyDescent="0.25">
      <c r="A1258" s="79" t="s">
        <v>34</v>
      </c>
      <c r="B1258" s="89" t="s">
        <v>8</v>
      </c>
      <c r="C1258" s="89" t="s">
        <v>50</v>
      </c>
      <c r="D1258" s="13" t="s">
        <v>12</v>
      </c>
      <c r="E1258" s="35">
        <f>VLOOKUP(B1258, Passenger_Kilometre_by_mode_type[#All],MATCH(A1258, Passenger_Kilometre_by_mode_type[#Headers],0),0)</f>
        <v>3059690963.0623112</v>
      </c>
      <c r="F1258" s="89">
        <f>VLOOKUP(C1258, Reason_for_public_transport_journeys_by_percentage[#All],MATCH(A1258, Reason_for_public_transport_journeys_by_percentage[#Headers],0),0)/100</f>
        <v>5.7500000000000009E-2</v>
      </c>
      <c r="G1258" s="13">
        <f t="shared" si="97"/>
        <v>175932230.37608293</v>
      </c>
      <c r="H1258" s="89">
        <f>VLOOKUP(D1258,Average_Distance_by_kilometre_grouping_for_mode_type[#All],MATCH(A1258,Average_Distance_by_kilometre_grouping_for_mode_type[#Headers],0),0)</f>
        <v>1</v>
      </c>
      <c r="I1258" s="89">
        <f>VLOOKUP(D1258,Average_Distance_by_kilometres_grouping_for_trip_purpose[#All],MATCH(A1258,Average_Distance_by_kilometres_grouping_for_trip_purpose[#Headers],0),0)</f>
        <v>1</v>
      </c>
      <c r="J1258" s="89">
        <f t="shared" si="98"/>
        <v>1</v>
      </c>
      <c r="K1258" s="89">
        <f t="shared" si="99"/>
        <v>1.763046544428773E-2</v>
      </c>
      <c r="L1258" s="89">
        <v>1</v>
      </c>
      <c r="M1258" s="13">
        <f t="shared" si="100"/>
        <v>3101767.1081819981</v>
      </c>
      <c r="N1258" s="11">
        <f t="shared" si="96"/>
        <v>5.3602499242320281E-5</v>
      </c>
    </row>
    <row r="1259" spans="1:14" x14ac:dyDescent="0.25">
      <c r="A1259" s="79" t="s">
        <v>34</v>
      </c>
      <c r="B1259" s="89" t="s">
        <v>8</v>
      </c>
      <c r="C1259" s="89" t="s">
        <v>50</v>
      </c>
      <c r="D1259" s="13" t="s">
        <v>181</v>
      </c>
      <c r="E1259" s="35">
        <f>VLOOKUP(B1259, Passenger_Kilometre_by_mode_type[#All],MATCH(A1259, Passenger_Kilometre_by_mode_type[#Headers],0),0)</f>
        <v>3059690963.0623112</v>
      </c>
      <c r="F1259" s="89">
        <f>VLOOKUP(C1259, Reason_for_public_transport_journeys_by_percentage[#All],MATCH(A1259, Reason_for_public_transport_journeys_by_percentage[#Headers],0),0)/100</f>
        <v>5.7500000000000009E-2</v>
      </c>
      <c r="G1259" s="13">
        <f t="shared" si="97"/>
        <v>175932230.37608293</v>
      </c>
      <c r="H1259" s="89">
        <f>VLOOKUP(D1259,Average_Distance_by_kilometre_grouping_for_mode_type[#All],MATCH(A1259,Average_Distance_by_kilometre_grouping_for_mode_type[#Headers],0),0)</f>
        <v>3</v>
      </c>
      <c r="I1259" s="89">
        <f>VLOOKUP(D1259,Average_Distance_by_kilometres_grouping_for_trip_purpose[#All],MATCH(A1259,Average_Distance_by_kilometres_grouping_for_trip_purpose[#Headers],0),0)</f>
        <v>3</v>
      </c>
      <c r="J1259" s="89">
        <f t="shared" si="98"/>
        <v>3</v>
      </c>
      <c r="K1259" s="89">
        <f t="shared" si="99"/>
        <v>5.2891396332863189E-2</v>
      </c>
      <c r="L1259" s="89">
        <v>1</v>
      </c>
      <c r="M1259" s="13">
        <f t="shared" si="100"/>
        <v>9305301.3245459944</v>
      </c>
      <c r="N1259" s="11">
        <f t="shared" si="96"/>
        <v>1.6080749772696086E-4</v>
      </c>
    </row>
    <row r="1260" spans="1:14" x14ac:dyDescent="0.25">
      <c r="A1260" s="79" t="s">
        <v>34</v>
      </c>
      <c r="B1260" s="89" t="s">
        <v>8</v>
      </c>
      <c r="C1260" s="89" t="s">
        <v>50</v>
      </c>
      <c r="D1260" s="13" t="s">
        <v>180</v>
      </c>
      <c r="E1260" s="35">
        <f>VLOOKUP(B1260, Passenger_Kilometre_by_mode_type[#All],MATCH(A1260, Passenger_Kilometre_by_mode_type[#Headers],0),0)</f>
        <v>3059690963.0623112</v>
      </c>
      <c r="F1260" s="89">
        <f>VLOOKUP(C1260, Reason_for_public_transport_journeys_by_percentage[#All],MATCH(A1260, Reason_for_public_transport_journeys_by_percentage[#Headers],0),0)/100</f>
        <v>5.7500000000000009E-2</v>
      </c>
      <c r="G1260" s="13">
        <f t="shared" si="97"/>
        <v>175932230.37608293</v>
      </c>
      <c r="H1260" s="89">
        <f>VLOOKUP(D1260,Average_Distance_by_kilometre_grouping_for_mode_type[#All],MATCH(A1260,Average_Distance_by_kilometre_grouping_for_mode_type[#Headers],0),0)</f>
        <v>5</v>
      </c>
      <c r="I1260" s="89">
        <f>VLOOKUP(D1260,Average_Distance_by_kilometres_grouping_for_trip_purpose[#All],MATCH(A1260,Average_Distance_by_kilometres_grouping_for_trip_purpose[#Headers],0),0)</f>
        <v>5</v>
      </c>
      <c r="J1260" s="89">
        <f t="shared" si="98"/>
        <v>5</v>
      </c>
      <c r="K1260" s="89">
        <f t="shared" si="99"/>
        <v>8.8152327221438648E-2</v>
      </c>
      <c r="L1260" s="89">
        <v>1</v>
      </c>
      <c r="M1260" s="13">
        <f t="shared" si="100"/>
        <v>15508835.540909991</v>
      </c>
      <c r="N1260" s="11">
        <f t="shared" si="96"/>
        <v>2.6801249621160141E-4</v>
      </c>
    </row>
    <row r="1261" spans="1:14" x14ac:dyDescent="0.25">
      <c r="A1261" s="79" t="s">
        <v>34</v>
      </c>
      <c r="B1261" s="89" t="s">
        <v>8</v>
      </c>
      <c r="C1261" s="89" t="s">
        <v>50</v>
      </c>
      <c r="D1261" s="13" t="s">
        <v>182</v>
      </c>
      <c r="E1261" s="35">
        <f>VLOOKUP(B1261, Passenger_Kilometre_by_mode_type[#All],MATCH(A1261, Passenger_Kilometre_by_mode_type[#Headers],0),0)</f>
        <v>3059690963.0623112</v>
      </c>
      <c r="F1261" s="89">
        <f>VLOOKUP(C1261, Reason_for_public_transport_journeys_by_percentage[#All],MATCH(A1261, Reason_for_public_transport_journeys_by_percentage[#Headers],0),0)/100</f>
        <v>5.7500000000000009E-2</v>
      </c>
      <c r="G1261" s="13">
        <f t="shared" si="97"/>
        <v>175932230.37608293</v>
      </c>
      <c r="H1261" s="89">
        <f>VLOOKUP(D1261,Average_Distance_by_kilometre_grouping_for_mode_type[#All],MATCH(A1261,Average_Distance_by_kilometre_grouping_for_mode_type[#Headers],0),0)</f>
        <v>7</v>
      </c>
      <c r="I1261" s="89">
        <f>VLOOKUP(D1261,Average_Distance_by_kilometres_grouping_for_trip_purpose[#All],MATCH(A1261,Average_Distance_by_kilometres_grouping_for_trip_purpose[#Headers],0),0)</f>
        <v>7</v>
      </c>
      <c r="J1261" s="89">
        <f t="shared" si="98"/>
        <v>7</v>
      </c>
      <c r="K1261" s="89">
        <f t="shared" si="99"/>
        <v>0.12341325811001411</v>
      </c>
      <c r="L1261" s="89">
        <v>1</v>
      </c>
      <c r="M1261" s="13">
        <f t="shared" si="100"/>
        <v>21712369.757273987</v>
      </c>
      <c r="N1261" s="11">
        <f t="shared" si="96"/>
        <v>3.7521749469624199E-4</v>
      </c>
    </row>
    <row r="1262" spans="1:14" x14ac:dyDescent="0.25">
      <c r="A1262" s="79" t="s">
        <v>34</v>
      </c>
      <c r="B1262" s="89" t="s">
        <v>8</v>
      </c>
      <c r="C1262" s="89" t="s">
        <v>50</v>
      </c>
      <c r="D1262" s="13" t="s">
        <v>1</v>
      </c>
      <c r="E1262" s="35">
        <f>VLOOKUP(B1262, Passenger_Kilometre_by_mode_type[#All],MATCH(A1262, Passenger_Kilometre_by_mode_type[#Headers],0),0)</f>
        <v>3059690963.0623112</v>
      </c>
      <c r="F1262" s="89">
        <f>VLOOKUP(C1262, Reason_for_public_transport_journeys_by_percentage[#All],MATCH(A1262, Reason_for_public_transport_journeys_by_percentage[#Headers],0),0)/100</f>
        <v>5.7500000000000009E-2</v>
      </c>
      <c r="G1262" s="13">
        <f t="shared" si="97"/>
        <v>175932230.37608293</v>
      </c>
      <c r="H1262" s="89">
        <f>VLOOKUP(D1262,Average_Distance_by_kilometre_grouping_for_mode_type[#All],MATCH(A1262,Average_Distance_by_kilometre_grouping_for_mode_type[#Headers],0),0)</f>
        <v>38.99</v>
      </c>
      <c r="I1262" s="89">
        <f>VLOOKUP(D1262,Average_Distance_by_kilometres_grouping_for_trip_purpose[#All],MATCH(A1262,Average_Distance_by_kilometres_grouping_for_trip_purpose[#Headers],0),0)</f>
        <v>42.45</v>
      </c>
      <c r="J1262" s="89">
        <f t="shared" si="98"/>
        <v>40.72</v>
      </c>
      <c r="K1262" s="89">
        <f t="shared" si="99"/>
        <v>0.71791255289139633</v>
      </c>
      <c r="L1262" s="89">
        <v>1</v>
      </c>
      <c r="M1262" s="13">
        <f t="shared" si="100"/>
        <v>126303956.64517096</v>
      </c>
      <c r="N1262" s="11">
        <f t="shared" si="96"/>
        <v>2.1826937691472818E-3</v>
      </c>
    </row>
    <row r="1263" spans="1:14" x14ac:dyDescent="0.25">
      <c r="A1263" s="79" t="s">
        <v>34</v>
      </c>
      <c r="B1263" s="89" t="s">
        <v>9</v>
      </c>
      <c r="C1263" s="89" t="s">
        <v>42</v>
      </c>
      <c r="D1263" s="13" t="s">
        <v>12</v>
      </c>
      <c r="E1263" s="35">
        <f>VLOOKUP(B1263, Passenger_Kilometre_by_mode_type[#All],MATCH(A1263, Passenger_Kilometre_by_mode_type[#Headers],0),0)</f>
        <v>199728407.91332668</v>
      </c>
      <c r="F1263" s="89">
        <f>VLOOKUP(C1263, Reason_for_walking_cycling_journeys_by_percentage[#All],MATCH(A1263, Reason_for_walking_cycling_journeys_by_percentage[#Headers],0),0)/100</f>
        <v>0.15625</v>
      </c>
      <c r="G1263" s="13">
        <f t="shared" si="97"/>
        <v>31207563.736457296</v>
      </c>
      <c r="H1263" s="89">
        <f>VLOOKUP(D1263,Average_Distance_by_kilometre_grouping_for_mode_type[#All],MATCH(A1263,Average_Distance_by_kilometre_grouping_for_mode_type[#Headers],0),0)</f>
        <v>1</v>
      </c>
      <c r="I1263" s="89">
        <f>VLOOKUP(D1263,Average_Distance_by_kilometres_grouping_for_trip_purpose[#All],MATCH(A1263,Average_Distance_by_kilometres_grouping_for_trip_purpose[#Headers],0),0)</f>
        <v>1</v>
      </c>
      <c r="J1263" s="89">
        <f t="shared" si="98"/>
        <v>1</v>
      </c>
      <c r="K1263" s="89">
        <f t="shared" si="99"/>
        <v>1.763046544428773E-2</v>
      </c>
      <c r="L1263" s="89">
        <v>1</v>
      </c>
      <c r="M1263" s="13">
        <f t="shared" si="100"/>
        <v>550203.87405601726</v>
      </c>
      <c r="N1263" s="11">
        <f t="shared" si="96"/>
        <v>9.5082260252270596E-6</v>
      </c>
    </row>
    <row r="1264" spans="1:14" x14ac:dyDescent="0.25">
      <c r="A1264" s="79" t="s">
        <v>34</v>
      </c>
      <c r="B1264" s="89" t="s">
        <v>9</v>
      </c>
      <c r="C1264" s="89" t="s">
        <v>42</v>
      </c>
      <c r="D1264" s="13" t="s">
        <v>181</v>
      </c>
      <c r="E1264" s="35">
        <f>VLOOKUP(B1264, Passenger_Kilometre_by_mode_type[#All],MATCH(A1264, Passenger_Kilometre_by_mode_type[#Headers],0),0)</f>
        <v>199728407.91332668</v>
      </c>
      <c r="F1264" s="89">
        <f>VLOOKUP(C1264, Reason_for_walking_cycling_journeys_by_percentage[#All],MATCH(A1264, Reason_for_walking_cycling_journeys_by_percentage[#Headers],0),0)/100</f>
        <v>0.15625</v>
      </c>
      <c r="G1264" s="13">
        <f t="shared" si="97"/>
        <v>31207563.736457296</v>
      </c>
      <c r="H1264" s="89">
        <f>VLOOKUP(D1264,Average_Distance_by_kilometre_grouping_for_mode_type[#All],MATCH(A1264,Average_Distance_by_kilometre_grouping_for_mode_type[#Headers],0),0)</f>
        <v>3</v>
      </c>
      <c r="I1264" s="89">
        <f>VLOOKUP(D1264,Average_Distance_by_kilometres_grouping_for_trip_purpose[#All],MATCH(A1264,Average_Distance_by_kilometres_grouping_for_trip_purpose[#Headers],0),0)</f>
        <v>3</v>
      </c>
      <c r="J1264" s="89">
        <f t="shared" si="98"/>
        <v>3</v>
      </c>
      <c r="K1264" s="89">
        <f t="shared" si="99"/>
        <v>5.2891396332863189E-2</v>
      </c>
      <c r="L1264" s="89">
        <v>1</v>
      </c>
      <c r="M1264" s="13">
        <f t="shared" si="100"/>
        <v>1650611.6221680515</v>
      </c>
      <c r="N1264" s="11">
        <f t="shared" si="96"/>
        <v>2.8524678075681172E-5</v>
      </c>
    </row>
    <row r="1265" spans="1:14" x14ac:dyDescent="0.25">
      <c r="A1265" s="79" t="s">
        <v>34</v>
      </c>
      <c r="B1265" s="89" t="s">
        <v>9</v>
      </c>
      <c r="C1265" s="89" t="s">
        <v>42</v>
      </c>
      <c r="D1265" s="13" t="s">
        <v>180</v>
      </c>
      <c r="E1265" s="35">
        <f>VLOOKUP(B1265, Passenger_Kilometre_by_mode_type[#All],MATCH(A1265, Passenger_Kilometre_by_mode_type[#Headers],0),0)</f>
        <v>199728407.91332668</v>
      </c>
      <c r="F1265" s="89">
        <f>VLOOKUP(C1265, Reason_for_walking_cycling_journeys_by_percentage[#All],MATCH(A1265, Reason_for_walking_cycling_journeys_by_percentage[#Headers],0),0)/100</f>
        <v>0.15625</v>
      </c>
      <c r="G1265" s="13">
        <f t="shared" si="97"/>
        <v>31207563.736457296</v>
      </c>
      <c r="H1265" s="89">
        <f>VLOOKUP(D1265,Average_Distance_by_kilometre_grouping_for_mode_type[#All],MATCH(A1265,Average_Distance_by_kilometre_grouping_for_mode_type[#Headers],0),0)</f>
        <v>5</v>
      </c>
      <c r="I1265" s="89">
        <f>VLOOKUP(D1265,Average_Distance_by_kilometres_grouping_for_trip_purpose[#All],MATCH(A1265,Average_Distance_by_kilometres_grouping_for_trip_purpose[#Headers],0),0)</f>
        <v>5</v>
      </c>
      <c r="J1265" s="89">
        <f t="shared" si="98"/>
        <v>5</v>
      </c>
      <c r="K1265" s="89">
        <f t="shared" si="99"/>
        <v>8.8152327221438648E-2</v>
      </c>
      <c r="L1265" s="89">
        <v>1</v>
      </c>
      <c r="M1265" s="13">
        <f t="shared" si="100"/>
        <v>2751019.3702800861</v>
      </c>
      <c r="N1265" s="11">
        <f t="shared" si="96"/>
        <v>4.7541130126135295E-5</v>
      </c>
    </row>
    <row r="1266" spans="1:14" x14ac:dyDescent="0.25">
      <c r="A1266" s="79" t="s">
        <v>34</v>
      </c>
      <c r="B1266" s="89" t="s">
        <v>9</v>
      </c>
      <c r="C1266" s="89" t="s">
        <v>42</v>
      </c>
      <c r="D1266" s="13" t="s">
        <v>182</v>
      </c>
      <c r="E1266" s="35">
        <f>VLOOKUP(B1266, Passenger_Kilometre_by_mode_type[#All],MATCH(A1266, Passenger_Kilometre_by_mode_type[#Headers],0),0)</f>
        <v>199728407.91332668</v>
      </c>
      <c r="F1266" s="89">
        <f>VLOOKUP(C1266, Reason_for_walking_cycling_journeys_by_percentage[#All],MATCH(A1266, Reason_for_walking_cycling_journeys_by_percentage[#Headers],0),0)/100</f>
        <v>0.15625</v>
      </c>
      <c r="G1266" s="13">
        <f t="shared" si="97"/>
        <v>31207563.736457296</v>
      </c>
      <c r="H1266" s="89">
        <f>VLOOKUP(D1266,Average_Distance_by_kilometre_grouping_for_mode_type[#All],MATCH(A1266,Average_Distance_by_kilometre_grouping_for_mode_type[#Headers],0),0)</f>
        <v>7</v>
      </c>
      <c r="I1266" s="89">
        <f>VLOOKUP(D1266,Average_Distance_by_kilometres_grouping_for_trip_purpose[#All],MATCH(A1266,Average_Distance_by_kilometres_grouping_for_trip_purpose[#Headers],0),0)</f>
        <v>7</v>
      </c>
      <c r="J1266" s="89">
        <f t="shared" si="98"/>
        <v>7</v>
      </c>
      <c r="K1266" s="89">
        <f t="shared" si="99"/>
        <v>0.12341325811001411</v>
      </c>
      <c r="L1266" s="89">
        <v>1</v>
      </c>
      <c r="M1266" s="13">
        <f t="shared" si="100"/>
        <v>3851427.1183921206</v>
      </c>
      <c r="N1266" s="11">
        <f t="shared" si="96"/>
        <v>6.6557582176589414E-5</v>
      </c>
    </row>
    <row r="1267" spans="1:14" x14ac:dyDescent="0.25">
      <c r="A1267" s="79" t="s">
        <v>34</v>
      </c>
      <c r="B1267" s="89" t="s">
        <v>9</v>
      </c>
      <c r="C1267" s="89" t="s">
        <v>42</v>
      </c>
      <c r="D1267" s="13" t="s">
        <v>1</v>
      </c>
      <c r="E1267" s="35">
        <f>VLOOKUP(B1267, Passenger_Kilometre_by_mode_type[#All],MATCH(A1267, Passenger_Kilometre_by_mode_type[#Headers],0),0)</f>
        <v>199728407.91332668</v>
      </c>
      <c r="F1267" s="89">
        <f>VLOOKUP(C1267, Reason_for_walking_cycling_journeys_by_percentage[#All],MATCH(A1267, Reason_for_walking_cycling_journeys_by_percentage[#Headers],0),0)/100</f>
        <v>0.15625</v>
      </c>
      <c r="G1267" s="13">
        <f t="shared" si="97"/>
        <v>31207563.736457296</v>
      </c>
      <c r="H1267" s="89">
        <f>VLOOKUP(D1267,Average_Distance_by_kilometre_grouping_for_mode_type[#All],MATCH(A1267,Average_Distance_by_kilometre_grouping_for_mode_type[#Headers],0),0)</f>
        <v>38.99</v>
      </c>
      <c r="I1267" s="89">
        <f>VLOOKUP(D1267,Average_Distance_by_kilometres_grouping_for_trip_purpose[#All],MATCH(A1267,Average_Distance_by_kilometres_grouping_for_trip_purpose[#Headers],0),0)</f>
        <v>42.45</v>
      </c>
      <c r="J1267" s="89">
        <f t="shared" si="98"/>
        <v>40.72</v>
      </c>
      <c r="K1267" s="89">
        <f t="shared" si="99"/>
        <v>0.71791255289139633</v>
      </c>
      <c r="L1267" s="89">
        <v>1</v>
      </c>
      <c r="M1267" s="13">
        <f t="shared" si="100"/>
        <v>22404301.75156102</v>
      </c>
      <c r="N1267" s="11">
        <f t="shared" si="96"/>
        <v>3.871749637472458E-4</v>
      </c>
    </row>
    <row r="1268" spans="1:14" x14ac:dyDescent="0.25">
      <c r="A1268" s="79" t="s">
        <v>34</v>
      </c>
      <c r="B1268" s="89" t="s">
        <v>9</v>
      </c>
      <c r="C1268" s="89" t="s">
        <v>43</v>
      </c>
      <c r="D1268" s="13" t="s">
        <v>12</v>
      </c>
      <c r="E1268" s="35">
        <f>VLOOKUP(B1268, Passenger_Kilometre_by_mode_type[#All],MATCH(A1268, Passenger_Kilometre_by_mode_type[#Headers],0),0)</f>
        <v>199728407.91332668</v>
      </c>
      <c r="F1268" s="89">
        <f>VLOOKUP(C1268, Reason_for_walking_cycling_journeys_by_percentage[#All],MATCH(A1268, Reason_for_walking_cycling_journeys_by_percentage[#Headers],0),0)/100</f>
        <v>0.10225000000000001</v>
      </c>
      <c r="G1268" s="13">
        <f t="shared" si="97"/>
        <v>20422229.709137656</v>
      </c>
      <c r="H1268" s="89">
        <f>VLOOKUP(D1268,Average_Distance_by_kilometre_grouping_for_mode_type[#All],MATCH(A1268,Average_Distance_by_kilometre_grouping_for_mode_type[#Headers],0),0)</f>
        <v>1</v>
      </c>
      <c r="I1268" s="89">
        <f>VLOOKUP(D1268,Average_Distance_by_kilometres_grouping_for_trip_purpose[#All],MATCH(A1268,Average_Distance_by_kilometres_grouping_for_trip_purpose[#Headers],0),0)</f>
        <v>1</v>
      </c>
      <c r="J1268" s="89">
        <f t="shared" si="98"/>
        <v>1</v>
      </c>
      <c r="K1268" s="89">
        <f t="shared" si="99"/>
        <v>1.763046544428773E-2</v>
      </c>
      <c r="L1268" s="89">
        <v>1</v>
      </c>
      <c r="M1268" s="13">
        <f t="shared" si="100"/>
        <v>360053.41518225771</v>
      </c>
      <c r="N1268" s="11">
        <f t="shared" si="96"/>
        <v>6.2221831109085879E-6</v>
      </c>
    </row>
    <row r="1269" spans="1:14" x14ac:dyDescent="0.25">
      <c r="A1269" s="79" t="s">
        <v>34</v>
      </c>
      <c r="B1269" s="89" t="s">
        <v>9</v>
      </c>
      <c r="C1269" s="89" t="s">
        <v>43</v>
      </c>
      <c r="D1269" s="13" t="s">
        <v>181</v>
      </c>
      <c r="E1269" s="35">
        <f>VLOOKUP(B1269, Passenger_Kilometre_by_mode_type[#All],MATCH(A1269, Passenger_Kilometre_by_mode_type[#Headers],0),0)</f>
        <v>199728407.91332668</v>
      </c>
      <c r="F1269" s="89">
        <f>VLOOKUP(C1269, Reason_for_walking_cycling_journeys_by_percentage[#All],MATCH(A1269, Reason_for_walking_cycling_journeys_by_percentage[#Headers],0),0)/100</f>
        <v>0.10225000000000001</v>
      </c>
      <c r="G1269" s="13">
        <f t="shared" si="97"/>
        <v>20422229.709137656</v>
      </c>
      <c r="H1269" s="89">
        <f>VLOOKUP(D1269,Average_Distance_by_kilometre_grouping_for_mode_type[#All],MATCH(A1269,Average_Distance_by_kilometre_grouping_for_mode_type[#Headers],0),0)</f>
        <v>3</v>
      </c>
      <c r="I1269" s="89">
        <f>VLOOKUP(D1269,Average_Distance_by_kilometres_grouping_for_trip_purpose[#All],MATCH(A1269,Average_Distance_by_kilometres_grouping_for_trip_purpose[#Headers],0),0)</f>
        <v>3</v>
      </c>
      <c r="J1269" s="89">
        <f t="shared" si="98"/>
        <v>3</v>
      </c>
      <c r="K1269" s="89">
        <f t="shared" si="99"/>
        <v>5.2891396332863189E-2</v>
      </c>
      <c r="L1269" s="89">
        <v>1</v>
      </c>
      <c r="M1269" s="13">
        <f t="shared" si="100"/>
        <v>1080160.2455467731</v>
      </c>
      <c r="N1269" s="11">
        <f t="shared" si="96"/>
        <v>1.8666549332725762E-5</v>
      </c>
    </row>
    <row r="1270" spans="1:14" x14ac:dyDescent="0.25">
      <c r="A1270" s="79" t="s">
        <v>34</v>
      </c>
      <c r="B1270" s="89" t="s">
        <v>9</v>
      </c>
      <c r="C1270" s="89" t="s">
        <v>43</v>
      </c>
      <c r="D1270" s="13" t="s">
        <v>180</v>
      </c>
      <c r="E1270" s="35">
        <f>VLOOKUP(B1270, Passenger_Kilometre_by_mode_type[#All],MATCH(A1270, Passenger_Kilometre_by_mode_type[#Headers],0),0)</f>
        <v>199728407.91332668</v>
      </c>
      <c r="F1270" s="89">
        <f>VLOOKUP(C1270, Reason_for_walking_cycling_journeys_by_percentage[#All],MATCH(A1270, Reason_for_walking_cycling_journeys_by_percentage[#Headers],0),0)/100</f>
        <v>0.10225000000000001</v>
      </c>
      <c r="G1270" s="13">
        <f t="shared" si="97"/>
        <v>20422229.709137656</v>
      </c>
      <c r="H1270" s="89">
        <f>VLOOKUP(D1270,Average_Distance_by_kilometre_grouping_for_mode_type[#All],MATCH(A1270,Average_Distance_by_kilometre_grouping_for_mode_type[#Headers],0),0)</f>
        <v>5</v>
      </c>
      <c r="I1270" s="89">
        <f>VLOOKUP(D1270,Average_Distance_by_kilometres_grouping_for_trip_purpose[#All],MATCH(A1270,Average_Distance_by_kilometres_grouping_for_trip_purpose[#Headers],0),0)</f>
        <v>5</v>
      </c>
      <c r="J1270" s="89">
        <f t="shared" si="98"/>
        <v>5</v>
      </c>
      <c r="K1270" s="89">
        <f t="shared" si="99"/>
        <v>8.8152327221438648E-2</v>
      </c>
      <c r="L1270" s="89">
        <v>1</v>
      </c>
      <c r="M1270" s="13">
        <f t="shared" si="100"/>
        <v>1800267.0759112884</v>
      </c>
      <c r="N1270" s="11">
        <f t="shared" si="96"/>
        <v>3.1110915554542938E-5</v>
      </c>
    </row>
    <row r="1271" spans="1:14" x14ac:dyDescent="0.25">
      <c r="A1271" s="79" t="s">
        <v>34</v>
      </c>
      <c r="B1271" s="89" t="s">
        <v>9</v>
      </c>
      <c r="C1271" s="89" t="s">
        <v>43</v>
      </c>
      <c r="D1271" s="13" t="s">
        <v>182</v>
      </c>
      <c r="E1271" s="35">
        <f>VLOOKUP(B1271, Passenger_Kilometre_by_mode_type[#All],MATCH(A1271, Passenger_Kilometre_by_mode_type[#Headers],0),0)</f>
        <v>199728407.91332668</v>
      </c>
      <c r="F1271" s="89">
        <f>VLOOKUP(C1271, Reason_for_walking_cycling_journeys_by_percentage[#All],MATCH(A1271, Reason_for_walking_cycling_journeys_by_percentage[#Headers],0),0)/100</f>
        <v>0.10225000000000001</v>
      </c>
      <c r="G1271" s="13">
        <f t="shared" si="97"/>
        <v>20422229.709137656</v>
      </c>
      <c r="H1271" s="89">
        <f>VLOOKUP(D1271,Average_Distance_by_kilometre_grouping_for_mode_type[#All],MATCH(A1271,Average_Distance_by_kilometre_grouping_for_mode_type[#Headers],0),0)</f>
        <v>7</v>
      </c>
      <c r="I1271" s="89">
        <f>VLOOKUP(D1271,Average_Distance_by_kilometres_grouping_for_trip_purpose[#All],MATCH(A1271,Average_Distance_by_kilometres_grouping_for_trip_purpose[#Headers],0),0)</f>
        <v>7</v>
      </c>
      <c r="J1271" s="89">
        <f t="shared" si="98"/>
        <v>7</v>
      </c>
      <c r="K1271" s="89">
        <f t="shared" si="99"/>
        <v>0.12341325811001411</v>
      </c>
      <c r="L1271" s="89">
        <v>1</v>
      </c>
      <c r="M1271" s="13">
        <f t="shared" si="100"/>
        <v>2520373.9062758037</v>
      </c>
      <c r="N1271" s="11">
        <f t="shared" si="96"/>
        <v>4.355528177636011E-5</v>
      </c>
    </row>
    <row r="1272" spans="1:14" x14ac:dyDescent="0.25">
      <c r="A1272" s="79" t="s">
        <v>34</v>
      </c>
      <c r="B1272" s="89" t="s">
        <v>9</v>
      </c>
      <c r="C1272" s="89" t="s">
        <v>43</v>
      </c>
      <c r="D1272" s="13" t="s">
        <v>1</v>
      </c>
      <c r="E1272" s="35">
        <f>VLOOKUP(B1272, Passenger_Kilometre_by_mode_type[#All],MATCH(A1272, Passenger_Kilometre_by_mode_type[#Headers],0),0)</f>
        <v>199728407.91332668</v>
      </c>
      <c r="F1272" s="89">
        <f>VLOOKUP(C1272, Reason_for_walking_cycling_journeys_by_percentage[#All],MATCH(A1272, Reason_for_walking_cycling_journeys_by_percentage[#Headers],0),0)/100</f>
        <v>0.10225000000000001</v>
      </c>
      <c r="G1272" s="13">
        <f t="shared" si="97"/>
        <v>20422229.709137656</v>
      </c>
      <c r="H1272" s="89">
        <f>VLOOKUP(D1272,Average_Distance_by_kilometre_grouping_for_mode_type[#All],MATCH(A1272,Average_Distance_by_kilometre_grouping_for_mode_type[#Headers],0),0)</f>
        <v>38.99</v>
      </c>
      <c r="I1272" s="89">
        <f>VLOOKUP(D1272,Average_Distance_by_kilometres_grouping_for_trip_purpose[#All],MATCH(A1272,Average_Distance_by_kilometres_grouping_for_trip_purpose[#Headers],0),0)</f>
        <v>42.45</v>
      </c>
      <c r="J1272" s="89">
        <f t="shared" si="98"/>
        <v>40.72</v>
      </c>
      <c r="K1272" s="89">
        <f t="shared" si="99"/>
        <v>0.71791255289139633</v>
      </c>
      <c r="L1272" s="89">
        <v>1</v>
      </c>
      <c r="M1272" s="13">
        <f t="shared" si="100"/>
        <v>14661375.066221533</v>
      </c>
      <c r="N1272" s="11">
        <f t="shared" si="96"/>
        <v>2.533672962761977E-4</v>
      </c>
    </row>
    <row r="1273" spans="1:14" x14ac:dyDescent="0.25">
      <c r="A1273" s="79" t="s">
        <v>34</v>
      </c>
      <c r="B1273" s="89" t="s">
        <v>9</v>
      </c>
      <c r="C1273" s="89" t="s">
        <v>44</v>
      </c>
      <c r="D1273" s="13" t="s">
        <v>12</v>
      </c>
      <c r="E1273" s="35">
        <f>VLOOKUP(B1273, Passenger_Kilometre_by_mode_type[#All],MATCH(A1273, Passenger_Kilometre_by_mode_type[#Headers],0),0)</f>
        <v>199728407.91332668</v>
      </c>
      <c r="F1273" s="89">
        <f>VLOOKUP(C1273, Reason_for_walking_cycling_journeys_by_percentage[#All],MATCH(A1273, Reason_for_walking_cycling_journeys_by_percentage[#Headers],0),0)/100</f>
        <v>0.24750000000000003</v>
      </c>
      <c r="G1273" s="13">
        <f t="shared" si="97"/>
        <v>49432780.95854836</v>
      </c>
      <c r="H1273" s="89">
        <f>VLOOKUP(D1273,Average_Distance_by_kilometre_grouping_for_mode_type[#All],MATCH(A1273,Average_Distance_by_kilometre_grouping_for_mode_type[#Headers],0),0)</f>
        <v>1</v>
      </c>
      <c r="I1273" s="89">
        <f>VLOOKUP(D1273,Average_Distance_by_kilometres_grouping_for_trip_purpose[#All],MATCH(A1273,Average_Distance_by_kilometres_grouping_for_trip_purpose[#Headers],0),0)</f>
        <v>1</v>
      </c>
      <c r="J1273" s="89">
        <f t="shared" si="98"/>
        <v>1</v>
      </c>
      <c r="K1273" s="89">
        <f t="shared" si="99"/>
        <v>1.763046544428773E-2</v>
      </c>
      <c r="L1273" s="89">
        <v>1</v>
      </c>
      <c r="M1273" s="13">
        <f t="shared" si="100"/>
        <v>871522.9365047313</v>
      </c>
      <c r="N1273" s="11">
        <f t="shared" si="96"/>
        <v>1.5061030023959661E-5</v>
      </c>
    </row>
    <row r="1274" spans="1:14" x14ac:dyDescent="0.25">
      <c r="A1274" s="79" t="s">
        <v>34</v>
      </c>
      <c r="B1274" s="89" t="s">
        <v>9</v>
      </c>
      <c r="C1274" s="89" t="s">
        <v>44</v>
      </c>
      <c r="D1274" s="13" t="s">
        <v>181</v>
      </c>
      <c r="E1274" s="35">
        <f>VLOOKUP(B1274, Passenger_Kilometre_by_mode_type[#All],MATCH(A1274, Passenger_Kilometre_by_mode_type[#Headers],0),0)</f>
        <v>199728407.91332668</v>
      </c>
      <c r="F1274" s="89">
        <f>VLOOKUP(C1274, Reason_for_walking_cycling_journeys_by_percentage[#All],MATCH(A1274, Reason_for_walking_cycling_journeys_by_percentage[#Headers],0),0)/100</f>
        <v>0.24750000000000003</v>
      </c>
      <c r="G1274" s="13">
        <f t="shared" si="97"/>
        <v>49432780.95854836</v>
      </c>
      <c r="H1274" s="89">
        <f>VLOOKUP(D1274,Average_Distance_by_kilometre_grouping_for_mode_type[#All],MATCH(A1274,Average_Distance_by_kilometre_grouping_for_mode_type[#Headers],0),0)</f>
        <v>3</v>
      </c>
      <c r="I1274" s="89">
        <f>VLOOKUP(D1274,Average_Distance_by_kilometres_grouping_for_trip_purpose[#All],MATCH(A1274,Average_Distance_by_kilometres_grouping_for_trip_purpose[#Headers],0),0)</f>
        <v>3</v>
      </c>
      <c r="J1274" s="89">
        <f t="shared" si="98"/>
        <v>3</v>
      </c>
      <c r="K1274" s="89">
        <f t="shared" si="99"/>
        <v>5.2891396332863189E-2</v>
      </c>
      <c r="L1274" s="89">
        <v>1</v>
      </c>
      <c r="M1274" s="13">
        <f t="shared" si="100"/>
        <v>2614568.8095141938</v>
      </c>
      <c r="N1274" s="11">
        <f t="shared" si="96"/>
        <v>4.5183090071878983E-5</v>
      </c>
    </row>
    <row r="1275" spans="1:14" x14ac:dyDescent="0.25">
      <c r="A1275" s="79" t="s">
        <v>34</v>
      </c>
      <c r="B1275" s="89" t="s">
        <v>9</v>
      </c>
      <c r="C1275" s="89" t="s">
        <v>44</v>
      </c>
      <c r="D1275" s="13" t="s">
        <v>180</v>
      </c>
      <c r="E1275" s="35">
        <f>VLOOKUP(B1275, Passenger_Kilometre_by_mode_type[#All],MATCH(A1275, Passenger_Kilometre_by_mode_type[#Headers],0),0)</f>
        <v>199728407.91332668</v>
      </c>
      <c r="F1275" s="89">
        <f>VLOOKUP(C1275, Reason_for_walking_cycling_journeys_by_percentage[#All],MATCH(A1275, Reason_for_walking_cycling_journeys_by_percentage[#Headers],0),0)/100</f>
        <v>0.24750000000000003</v>
      </c>
      <c r="G1275" s="13">
        <f t="shared" si="97"/>
        <v>49432780.95854836</v>
      </c>
      <c r="H1275" s="89">
        <f>VLOOKUP(D1275,Average_Distance_by_kilometre_grouping_for_mode_type[#All],MATCH(A1275,Average_Distance_by_kilometre_grouping_for_mode_type[#Headers],0),0)</f>
        <v>5</v>
      </c>
      <c r="I1275" s="89">
        <f>VLOOKUP(D1275,Average_Distance_by_kilometres_grouping_for_trip_purpose[#All],MATCH(A1275,Average_Distance_by_kilometres_grouping_for_trip_purpose[#Headers],0),0)</f>
        <v>5</v>
      </c>
      <c r="J1275" s="89">
        <f t="shared" si="98"/>
        <v>5</v>
      </c>
      <c r="K1275" s="89">
        <f t="shared" si="99"/>
        <v>8.8152327221438648E-2</v>
      </c>
      <c r="L1275" s="89">
        <v>1</v>
      </c>
      <c r="M1275" s="13">
        <f t="shared" si="100"/>
        <v>4357614.6825236566</v>
      </c>
      <c r="N1275" s="11">
        <f t="shared" si="96"/>
        <v>7.5305150119798304E-5</v>
      </c>
    </row>
    <row r="1276" spans="1:14" x14ac:dyDescent="0.25">
      <c r="A1276" s="79" t="s">
        <v>34</v>
      </c>
      <c r="B1276" s="89" t="s">
        <v>9</v>
      </c>
      <c r="C1276" s="89" t="s">
        <v>44</v>
      </c>
      <c r="D1276" s="13" t="s">
        <v>182</v>
      </c>
      <c r="E1276" s="35">
        <f>VLOOKUP(B1276, Passenger_Kilometre_by_mode_type[#All],MATCH(A1276, Passenger_Kilometre_by_mode_type[#Headers],0),0)</f>
        <v>199728407.91332668</v>
      </c>
      <c r="F1276" s="89">
        <f>VLOOKUP(C1276, Reason_for_walking_cycling_journeys_by_percentage[#All],MATCH(A1276, Reason_for_walking_cycling_journeys_by_percentage[#Headers],0),0)/100</f>
        <v>0.24750000000000003</v>
      </c>
      <c r="G1276" s="13">
        <f t="shared" si="97"/>
        <v>49432780.95854836</v>
      </c>
      <c r="H1276" s="89">
        <f>VLOOKUP(D1276,Average_Distance_by_kilometre_grouping_for_mode_type[#All],MATCH(A1276,Average_Distance_by_kilometre_grouping_for_mode_type[#Headers],0),0)</f>
        <v>7</v>
      </c>
      <c r="I1276" s="89">
        <f>VLOOKUP(D1276,Average_Distance_by_kilometres_grouping_for_trip_purpose[#All],MATCH(A1276,Average_Distance_by_kilometres_grouping_for_trip_purpose[#Headers],0),0)</f>
        <v>7</v>
      </c>
      <c r="J1276" s="89">
        <f t="shared" si="98"/>
        <v>7</v>
      </c>
      <c r="K1276" s="89">
        <f t="shared" si="99"/>
        <v>0.12341325811001411</v>
      </c>
      <c r="L1276" s="89">
        <v>1</v>
      </c>
      <c r="M1276" s="13">
        <f t="shared" si="100"/>
        <v>6100660.5555331195</v>
      </c>
      <c r="N1276" s="11">
        <f t="shared" ref="N1276:N1339" si="101">M1276/SUM($M$1083:$M$1442)</f>
        <v>1.0542721016771764E-4</v>
      </c>
    </row>
    <row r="1277" spans="1:14" x14ac:dyDescent="0.25">
      <c r="A1277" s="79" t="s">
        <v>34</v>
      </c>
      <c r="B1277" s="89" t="s">
        <v>9</v>
      </c>
      <c r="C1277" s="89" t="s">
        <v>44</v>
      </c>
      <c r="D1277" s="13" t="s">
        <v>1</v>
      </c>
      <c r="E1277" s="35">
        <f>VLOOKUP(B1277, Passenger_Kilometre_by_mode_type[#All],MATCH(A1277, Passenger_Kilometre_by_mode_type[#Headers],0),0)</f>
        <v>199728407.91332668</v>
      </c>
      <c r="F1277" s="89">
        <f>VLOOKUP(C1277, Reason_for_walking_cycling_journeys_by_percentage[#All],MATCH(A1277, Reason_for_walking_cycling_journeys_by_percentage[#Headers],0),0)/100</f>
        <v>0.24750000000000003</v>
      </c>
      <c r="G1277" s="13">
        <f t="shared" si="97"/>
        <v>49432780.95854836</v>
      </c>
      <c r="H1277" s="89">
        <f>VLOOKUP(D1277,Average_Distance_by_kilometre_grouping_for_mode_type[#All],MATCH(A1277,Average_Distance_by_kilometre_grouping_for_mode_type[#Headers],0),0)</f>
        <v>38.99</v>
      </c>
      <c r="I1277" s="89">
        <f>VLOOKUP(D1277,Average_Distance_by_kilometres_grouping_for_trip_purpose[#All],MATCH(A1277,Average_Distance_by_kilometres_grouping_for_trip_purpose[#Headers],0),0)</f>
        <v>42.45</v>
      </c>
      <c r="J1277" s="89">
        <f t="shared" si="98"/>
        <v>40.72</v>
      </c>
      <c r="K1277" s="89">
        <f t="shared" si="99"/>
        <v>0.71791255289139633</v>
      </c>
      <c r="L1277" s="89">
        <v>1</v>
      </c>
      <c r="M1277" s="13">
        <f t="shared" si="100"/>
        <v>35488413.974472657</v>
      </c>
      <c r="N1277" s="11">
        <f t="shared" si="101"/>
        <v>6.1328514257563737E-4</v>
      </c>
    </row>
    <row r="1278" spans="1:14" x14ac:dyDescent="0.25">
      <c r="A1278" s="79" t="s">
        <v>34</v>
      </c>
      <c r="B1278" s="89" t="s">
        <v>9</v>
      </c>
      <c r="C1278" s="89" t="s">
        <v>45</v>
      </c>
      <c r="D1278" s="13" t="s">
        <v>12</v>
      </c>
      <c r="E1278" s="35">
        <f>VLOOKUP(B1278, Passenger_Kilometre_by_mode_type[#All],MATCH(A1278, Passenger_Kilometre_by_mode_type[#Headers],0),0)</f>
        <v>199728407.91332668</v>
      </c>
      <c r="F1278" s="89">
        <f>VLOOKUP(C1278, Reason_for_walking_cycling_journeys_by_percentage[#All],MATCH(A1278, Reason_for_walking_cycling_journeys_by_percentage[#Headers],0),0)/100</f>
        <v>3.5000000000000003E-2</v>
      </c>
      <c r="G1278" s="13">
        <f t="shared" si="97"/>
        <v>6990494.2769664349</v>
      </c>
      <c r="H1278" s="89">
        <f>VLOOKUP(D1278,Average_Distance_by_kilometre_grouping_for_mode_type[#All],MATCH(A1278,Average_Distance_by_kilometre_grouping_for_mode_type[#Headers],0),0)</f>
        <v>1</v>
      </c>
      <c r="I1278" s="89">
        <f>VLOOKUP(D1278,Average_Distance_by_kilometres_grouping_for_trip_purpose[#All],MATCH(A1278,Average_Distance_by_kilometres_grouping_for_trip_purpose[#Headers],0),0)</f>
        <v>1</v>
      </c>
      <c r="J1278" s="89">
        <f t="shared" si="98"/>
        <v>1</v>
      </c>
      <c r="K1278" s="89">
        <f t="shared" si="99"/>
        <v>1.763046544428773E-2</v>
      </c>
      <c r="L1278" s="89">
        <v>1</v>
      </c>
      <c r="M1278" s="13">
        <f t="shared" si="100"/>
        <v>123245.66778854787</v>
      </c>
      <c r="N1278" s="11">
        <f t="shared" si="101"/>
        <v>2.1298426296508613E-6</v>
      </c>
    </row>
    <row r="1279" spans="1:14" x14ac:dyDescent="0.25">
      <c r="A1279" s="79" t="s">
        <v>34</v>
      </c>
      <c r="B1279" s="89" t="s">
        <v>9</v>
      </c>
      <c r="C1279" s="89" t="s">
        <v>45</v>
      </c>
      <c r="D1279" s="13" t="s">
        <v>181</v>
      </c>
      <c r="E1279" s="35">
        <f>VLOOKUP(B1279, Passenger_Kilometre_by_mode_type[#All],MATCH(A1279, Passenger_Kilometre_by_mode_type[#Headers],0),0)</f>
        <v>199728407.91332668</v>
      </c>
      <c r="F1279" s="89">
        <f>VLOOKUP(C1279, Reason_for_walking_cycling_journeys_by_percentage[#All],MATCH(A1279, Reason_for_walking_cycling_journeys_by_percentage[#Headers],0),0)/100</f>
        <v>3.5000000000000003E-2</v>
      </c>
      <c r="G1279" s="13">
        <f t="shared" si="97"/>
        <v>6990494.2769664349</v>
      </c>
      <c r="H1279" s="89">
        <f>VLOOKUP(D1279,Average_Distance_by_kilometre_grouping_for_mode_type[#All],MATCH(A1279,Average_Distance_by_kilometre_grouping_for_mode_type[#Headers],0),0)</f>
        <v>3</v>
      </c>
      <c r="I1279" s="89">
        <f>VLOOKUP(D1279,Average_Distance_by_kilometres_grouping_for_trip_purpose[#All],MATCH(A1279,Average_Distance_by_kilometres_grouping_for_trip_purpose[#Headers],0),0)</f>
        <v>3</v>
      </c>
      <c r="J1279" s="89">
        <f t="shared" si="98"/>
        <v>3</v>
      </c>
      <c r="K1279" s="89">
        <f t="shared" si="99"/>
        <v>5.2891396332863189E-2</v>
      </c>
      <c r="L1279" s="89">
        <v>1</v>
      </c>
      <c r="M1279" s="13">
        <f t="shared" si="100"/>
        <v>369737.00336564361</v>
      </c>
      <c r="N1279" s="11">
        <f t="shared" si="101"/>
        <v>6.3895278889525842E-6</v>
      </c>
    </row>
    <row r="1280" spans="1:14" x14ac:dyDescent="0.25">
      <c r="A1280" s="79" t="s">
        <v>34</v>
      </c>
      <c r="B1280" s="89" t="s">
        <v>9</v>
      </c>
      <c r="C1280" s="89" t="s">
        <v>45</v>
      </c>
      <c r="D1280" s="13" t="s">
        <v>180</v>
      </c>
      <c r="E1280" s="35">
        <f>VLOOKUP(B1280, Passenger_Kilometre_by_mode_type[#All],MATCH(A1280, Passenger_Kilometre_by_mode_type[#Headers],0),0)</f>
        <v>199728407.91332668</v>
      </c>
      <c r="F1280" s="89">
        <f>VLOOKUP(C1280, Reason_for_walking_cycling_journeys_by_percentage[#All],MATCH(A1280, Reason_for_walking_cycling_journeys_by_percentage[#Headers],0),0)/100</f>
        <v>3.5000000000000003E-2</v>
      </c>
      <c r="G1280" s="13">
        <f t="shared" si="97"/>
        <v>6990494.2769664349</v>
      </c>
      <c r="H1280" s="89">
        <f>VLOOKUP(D1280,Average_Distance_by_kilometre_grouping_for_mode_type[#All],MATCH(A1280,Average_Distance_by_kilometre_grouping_for_mode_type[#Headers],0),0)</f>
        <v>5</v>
      </c>
      <c r="I1280" s="89">
        <f>VLOOKUP(D1280,Average_Distance_by_kilometres_grouping_for_trip_purpose[#All],MATCH(A1280,Average_Distance_by_kilometres_grouping_for_trip_purpose[#Headers],0),0)</f>
        <v>5</v>
      </c>
      <c r="J1280" s="89">
        <f t="shared" si="98"/>
        <v>5</v>
      </c>
      <c r="K1280" s="89">
        <f t="shared" si="99"/>
        <v>8.8152327221438648E-2</v>
      </c>
      <c r="L1280" s="89">
        <v>1</v>
      </c>
      <c r="M1280" s="13">
        <f t="shared" si="100"/>
        <v>616228.3389427393</v>
      </c>
      <c r="N1280" s="11">
        <f t="shared" si="101"/>
        <v>1.0649213148254305E-5</v>
      </c>
    </row>
    <row r="1281" spans="1:14" x14ac:dyDescent="0.25">
      <c r="A1281" s="79" t="s">
        <v>34</v>
      </c>
      <c r="B1281" s="89" t="s">
        <v>9</v>
      </c>
      <c r="C1281" s="89" t="s">
        <v>45</v>
      </c>
      <c r="D1281" s="13" t="s">
        <v>182</v>
      </c>
      <c r="E1281" s="35">
        <f>VLOOKUP(B1281, Passenger_Kilometre_by_mode_type[#All],MATCH(A1281, Passenger_Kilometre_by_mode_type[#Headers],0),0)</f>
        <v>199728407.91332668</v>
      </c>
      <c r="F1281" s="89">
        <f>VLOOKUP(C1281, Reason_for_walking_cycling_journeys_by_percentage[#All],MATCH(A1281, Reason_for_walking_cycling_journeys_by_percentage[#Headers],0),0)/100</f>
        <v>3.5000000000000003E-2</v>
      </c>
      <c r="G1281" s="13">
        <f t="shared" si="97"/>
        <v>6990494.2769664349</v>
      </c>
      <c r="H1281" s="89">
        <f>VLOOKUP(D1281,Average_Distance_by_kilometre_grouping_for_mode_type[#All],MATCH(A1281,Average_Distance_by_kilometre_grouping_for_mode_type[#Headers],0),0)</f>
        <v>7</v>
      </c>
      <c r="I1281" s="89">
        <f>VLOOKUP(D1281,Average_Distance_by_kilometres_grouping_for_trip_purpose[#All],MATCH(A1281,Average_Distance_by_kilometres_grouping_for_trip_purpose[#Headers],0),0)</f>
        <v>7</v>
      </c>
      <c r="J1281" s="89">
        <f t="shared" si="98"/>
        <v>7</v>
      </c>
      <c r="K1281" s="89">
        <f t="shared" si="99"/>
        <v>0.12341325811001411</v>
      </c>
      <c r="L1281" s="89">
        <v>1</v>
      </c>
      <c r="M1281" s="13">
        <f t="shared" si="100"/>
        <v>862719.67451983504</v>
      </c>
      <c r="N1281" s="11">
        <f t="shared" si="101"/>
        <v>1.4908898407556028E-5</v>
      </c>
    </row>
    <row r="1282" spans="1:14" x14ac:dyDescent="0.25">
      <c r="A1282" s="79" t="s">
        <v>34</v>
      </c>
      <c r="B1282" s="89" t="s">
        <v>9</v>
      </c>
      <c r="C1282" s="89" t="s">
        <v>45</v>
      </c>
      <c r="D1282" s="13" t="s">
        <v>1</v>
      </c>
      <c r="E1282" s="35">
        <f>VLOOKUP(B1282, Passenger_Kilometre_by_mode_type[#All],MATCH(A1282, Passenger_Kilometre_by_mode_type[#Headers],0),0)</f>
        <v>199728407.91332668</v>
      </c>
      <c r="F1282" s="89">
        <f>VLOOKUP(C1282, Reason_for_walking_cycling_journeys_by_percentage[#All],MATCH(A1282, Reason_for_walking_cycling_journeys_by_percentage[#Headers],0),0)/100</f>
        <v>3.5000000000000003E-2</v>
      </c>
      <c r="G1282" s="13">
        <f t="shared" si="97"/>
        <v>6990494.2769664349</v>
      </c>
      <c r="H1282" s="89">
        <f>VLOOKUP(D1282,Average_Distance_by_kilometre_grouping_for_mode_type[#All],MATCH(A1282,Average_Distance_by_kilometre_grouping_for_mode_type[#Headers],0),0)</f>
        <v>38.99</v>
      </c>
      <c r="I1282" s="89">
        <f>VLOOKUP(D1282,Average_Distance_by_kilometres_grouping_for_trip_purpose[#All],MATCH(A1282,Average_Distance_by_kilometres_grouping_for_trip_purpose[#Headers],0),0)</f>
        <v>42.45</v>
      </c>
      <c r="J1282" s="89">
        <f t="shared" si="98"/>
        <v>40.72</v>
      </c>
      <c r="K1282" s="89">
        <f t="shared" si="99"/>
        <v>0.71791255289139633</v>
      </c>
      <c r="L1282" s="89">
        <v>1</v>
      </c>
      <c r="M1282" s="13">
        <f t="shared" si="100"/>
        <v>5018563.592349669</v>
      </c>
      <c r="N1282" s="11">
        <f t="shared" si="101"/>
        <v>8.6727191879383067E-5</v>
      </c>
    </row>
    <row r="1283" spans="1:14" x14ac:dyDescent="0.25">
      <c r="A1283" s="79" t="s">
        <v>34</v>
      </c>
      <c r="B1283" s="89" t="s">
        <v>9</v>
      </c>
      <c r="C1283" s="89" t="s">
        <v>56</v>
      </c>
      <c r="D1283" s="13" t="s">
        <v>12</v>
      </c>
      <c r="E1283" s="35">
        <f>VLOOKUP(B1283, Passenger_Kilometre_by_mode_type[#All],MATCH(A1283, Passenger_Kilometre_by_mode_type[#Headers],0),0)</f>
        <v>199728407.91332668</v>
      </c>
      <c r="F1283" s="89">
        <f>VLOOKUP(C1283, Reason_for_walking_cycling_journeys_by_percentage[#All],MATCH(A1283, Reason_for_walking_cycling_journeys_by_percentage[#Headers],0),0)/100</f>
        <v>9.2499999999999999E-2</v>
      </c>
      <c r="G1283" s="13">
        <f t="shared" si="97"/>
        <v>18474877.731982719</v>
      </c>
      <c r="H1283" s="89">
        <f>VLOOKUP(D1283,Average_Distance_by_kilometre_grouping_for_mode_type[#All],MATCH(A1283,Average_Distance_by_kilometre_grouping_for_mode_type[#Headers],0),0)</f>
        <v>1</v>
      </c>
      <c r="I1283" s="89">
        <f>VLOOKUP(D1283,Average_Distance_by_kilometres_grouping_for_trip_purpose[#All],MATCH(A1283,Average_Distance_by_kilometres_grouping_for_trip_purpose[#Headers],0),0)</f>
        <v>1</v>
      </c>
      <c r="J1283" s="89">
        <f t="shared" si="98"/>
        <v>1</v>
      </c>
      <c r="K1283" s="89">
        <f t="shared" si="99"/>
        <v>1.763046544428773E-2</v>
      </c>
      <c r="L1283" s="89">
        <v>1</v>
      </c>
      <c r="M1283" s="13">
        <f t="shared" si="100"/>
        <v>325720.69344116218</v>
      </c>
      <c r="N1283" s="11">
        <f t="shared" si="101"/>
        <v>5.6288698069344183E-6</v>
      </c>
    </row>
    <row r="1284" spans="1:14" x14ac:dyDescent="0.25">
      <c r="A1284" s="79" t="s">
        <v>34</v>
      </c>
      <c r="B1284" s="89" t="s">
        <v>9</v>
      </c>
      <c r="C1284" s="89" t="s">
        <v>56</v>
      </c>
      <c r="D1284" s="13" t="s">
        <v>181</v>
      </c>
      <c r="E1284" s="35">
        <f>VLOOKUP(B1284, Passenger_Kilometre_by_mode_type[#All],MATCH(A1284, Passenger_Kilometre_by_mode_type[#Headers],0),0)</f>
        <v>199728407.91332668</v>
      </c>
      <c r="F1284" s="89">
        <f>VLOOKUP(C1284, Reason_for_walking_cycling_journeys_by_percentage[#All],MATCH(A1284, Reason_for_walking_cycling_journeys_by_percentage[#Headers],0),0)/100</f>
        <v>9.2499999999999999E-2</v>
      </c>
      <c r="G1284" s="13">
        <f t="shared" ref="G1284:G1347" si="102">E1284*F1284</f>
        <v>18474877.731982719</v>
      </c>
      <c r="H1284" s="89">
        <f>VLOOKUP(D1284,Average_Distance_by_kilometre_grouping_for_mode_type[#All],MATCH(A1284,Average_Distance_by_kilometre_grouping_for_mode_type[#Headers],0),0)</f>
        <v>3</v>
      </c>
      <c r="I1284" s="89">
        <f>VLOOKUP(D1284,Average_Distance_by_kilometres_grouping_for_trip_purpose[#All],MATCH(A1284,Average_Distance_by_kilometres_grouping_for_trip_purpose[#Headers],0),0)</f>
        <v>3</v>
      </c>
      <c r="J1284" s="89">
        <f t="shared" ref="J1284:J1347" si="103">AVERAGE(H1284:I1284)</f>
        <v>3</v>
      </c>
      <c r="K1284" s="89">
        <f t="shared" ref="K1284:K1347" si="104">J1284/SUM(J1284:J1288)</f>
        <v>5.2891396332863189E-2</v>
      </c>
      <c r="L1284" s="89">
        <v>1</v>
      </c>
      <c r="M1284" s="13">
        <f t="shared" ref="M1284:M1347" si="105">G1284*K1284*L1284</f>
        <v>977162.08032348659</v>
      </c>
      <c r="N1284" s="11">
        <f t="shared" si="101"/>
        <v>1.6886609420803258E-5</v>
      </c>
    </row>
    <row r="1285" spans="1:14" x14ac:dyDescent="0.25">
      <c r="A1285" s="79" t="s">
        <v>34</v>
      </c>
      <c r="B1285" s="89" t="s">
        <v>9</v>
      </c>
      <c r="C1285" s="89" t="s">
        <v>56</v>
      </c>
      <c r="D1285" s="13" t="s">
        <v>180</v>
      </c>
      <c r="E1285" s="35">
        <f>VLOOKUP(B1285, Passenger_Kilometre_by_mode_type[#All],MATCH(A1285, Passenger_Kilometre_by_mode_type[#Headers],0),0)</f>
        <v>199728407.91332668</v>
      </c>
      <c r="F1285" s="89">
        <f>VLOOKUP(C1285, Reason_for_walking_cycling_journeys_by_percentage[#All],MATCH(A1285, Reason_for_walking_cycling_journeys_by_percentage[#Headers],0),0)/100</f>
        <v>9.2499999999999999E-2</v>
      </c>
      <c r="G1285" s="13">
        <f t="shared" si="102"/>
        <v>18474877.731982719</v>
      </c>
      <c r="H1285" s="89">
        <f>VLOOKUP(D1285,Average_Distance_by_kilometre_grouping_for_mode_type[#All],MATCH(A1285,Average_Distance_by_kilometre_grouping_for_mode_type[#Headers],0),0)</f>
        <v>5</v>
      </c>
      <c r="I1285" s="89">
        <f>VLOOKUP(D1285,Average_Distance_by_kilometres_grouping_for_trip_purpose[#All],MATCH(A1285,Average_Distance_by_kilometres_grouping_for_trip_purpose[#Headers],0),0)</f>
        <v>5</v>
      </c>
      <c r="J1285" s="89">
        <f t="shared" si="103"/>
        <v>5</v>
      </c>
      <c r="K1285" s="89">
        <f t="shared" si="104"/>
        <v>8.8152327221438648E-2</v>
      </c>
      <c r="L1285" s="89">
        <v>1</v>
      </c>
      <c r="M1285" s="13">
        <f t="shared" si="105"/>
        <v>1628603.4672058111</v>
      </c>
      <c r="N1285" s="11">
        <f t="shared" si="101"/>
        <v>2.8144349034672096E-5</v>
      </c>
    </row>
    <row r="1286" spans="1:14" x14ac:dyDescent="0.25">
      <c r="A1286" s="79" t="s">
        <v>34</v>
      </c>
      <c r="B1286" s="89" t="s">
        <v>9</v>
      </c>
      <c r="C1286" s="89" t="s">
        <v>56</v>
      </c>
      <c r="D1286" s="13" t="s">
        <v>182</v>
      </c>
      <c r="E1286" s="35">
        <f>VLOOKUP(B1286, Passenger_Kilometre_by_mode_type[#All],MATCH(A1286, Passenger_Kilometre_by_mode_type[#Headers],0),0)</f>
        <v>199728407.91332668</v>
      </c>
      <c r="F1286" s="89">
        <f>VLOOKUP(C1286, Reason_for_walking_cycling_journeys_by_percentage[#All],MATCH(A1286, Reason_for_walking_cycling_journeys_by_percentage[#Headers],0),0)/100</f>
        <v>9.2499999999999999E-2</v>
      </c>
      <c r="G1286" s="13">
        <f t="shared" si="102"/>
        <v>18474877.731982719</v>
      </c>
      <c r="H1286" s="89">
        <f>VLOOKUP(D1286,Average_Distance_by_kilometre_grouping_for_mode_type[#All],MATCH(A1286,Average_Distance_by_kilometre_grouping_for_mode_type[#Headers],0),0)</f>
        <v>7</v>
      </c>
      <c r="I1286" s="89">
        <f>VLOOKUP(D1286,Average_Distance_by_kilometres_grouping_for_trip_purpose[#All],MATCH(A1286,Average_Distance_by_kilometres_grouping_for_trip_purpose[#Headers],0),0)</f>
        <v>7</v>
      </c>
      <c r="J1286" s="89">
        <f t="shared" si="103"/>
        <v>7</v>
      </c>
      <c r="K1286" s="89">
        <f t="shared" si="104"/>
        <v>0.12341325811001411</v>
      </c>
      <c r="L1286" s="89">
        <v>1</v>
      </c>
      <c r="M1286" s="13">
        <f t="shared" si="105"/>
        <v>2280044.8540881355</v>
      </c>
      <c r="N1286" s="11">
        <f t="shared" si="101"/>
        <v>3.9402088648540934E-5</v>
      </c>
    </row>
    <row r="1287" spans="1:14" x14ac:dyDescent="0.25">
      <c r="A1287" s="79" t="s">
        <v>34</v>
      </c>
      <c r="B1287" s="89" t="s">
        <v>9</v>
      </c>
      <c r="C1287" s="89" t="s">
        <v>56</v>
      </c>
      <c r="D1287" s="13" t="s">
        <v>1</v>
      </c>
      <c r="E1287" s="35">
        <f>VLOOKUP(B1287, Passenger_Kilometre_by_mode_type[#All],MATCH(A1287, Passenger_Kilometre_by_mode_type[#Headers],0),0)</f>
        <v>199728407.91332668</v>
      </c>
      <c r="F1287" s="89">
        <f>VLOOKUP(C1287, Reason_for_walking_cycling_journeys_by_percentage[#All],MATCH(A1287, Reason_for_walking_cycling_journeys_by_percentage[#Headers],0),0)/100</f>
        <v>9.2499999999999999E-2</v>
      </c>
      <c r="G1287" s="13">
        <f t="shared" si="102"/>
        <v>18474877.731982719</v>
      </c>
      <c r="H1287" s="89">
        <f>VLOOKUP(D1287,Average_Distance_by_kilometre_grouping_for_mode_type[#All],MATCH(A1287,Average_Distance_by_kilometre_grouping_for_mode_type[#Headers],0),0)</f>
        <v>38.99</v>
      </c>
      <c r="I1287" s="89">
        <f>VLOOKUP(D1287,Average_Distance_by_kilometres_grouping_for_trip_purpose[#All],MATCH(A1287,Average_Distance_by_kilometres_grouping_for_trip_purpose[#Headers],0),0)</f>
        <v>42.45</v>
      </c>
      <c r="J1287" s="89">
        <f t="shared" si="103"/>
        <v>40.72</v>
      </c>
      <c r="K1287" s="89">
        <f t="shared" si="104"/>
        <v>0.71791255289139633</v>
      </c>
      <c r="L1287" s="89">
        <v>1</v>
      </c>
      <c r="M1287" s="13">
        <f t="shared" si="105"/>
        <v>13263346.636924123</v>
      </c>
      <c r="N1287" s="11">
        <f t="shared" si="101"/>
        <v>2.2920757853836952E-4</v>
      </c>
    </row>
    <row r="1288" spans="1:14" x14ac:dyDescent="0.25">
      <c r="A1288" s="79" t="s">
        <v>34</v>
      </c>
      <c r="B1288" s="89" t="s">
        <v>9</v>
      </c>
      <c r="C1288" s="89" t="s">
        <v>57</v>
      </c>
      <c r="D1288" s="13" t="s">
        <v>12</v>
      </c>
      <c r="E1288" s="35">
        <f>VLOOKUP(B1288, Passenger_Kilometre_by_mode_type[#All],MATCH(A1288, Passenger_Kilometre_by_mode_type[#Headers],0),0)</f>
        <v>199728407.91332668</v>
      </c>
      <c r="F1288" s="89">
        <f>VLOOKUP(C1288, Reason_for_walking_cycling_journeys_by_percentage[#All],MATCH(A1288, Reason_for_walking_cycling_journeys_by_percentage[#Headers],0),0)/100</f>
        <v>0.17100000000000001</v>
      </c>
      <c r="G1288" s="13">
        <f t="shared" si="102"/>
        <v>34153557.753178865</v>
      </c>
      <c r="H1288" s="89">
        <f>VLOOKUP(D1288,Average_Distance_by_kilometre_grouping_for_mode_type[#All],MATCH(A1288,Average_Distance_by_kilometre_grouping_for_mode_type[#Headers],0),0)</f>
        <v>1</v>
      </c>
      <c r="I1288" s="89">
        <f>VLOOKUP(D1288,Average_Distance_by_kilometres_grouping_for_trip_purpose[#All],MATCH(A1288,Average_Distance_by_kilometres_grouping_for_trip_purpose[#Headers],0),0)</f>
        <v>1</v>
      </c>
      <c r="J1288" s="89">
        <f t="shared" si="103"/>
        <v>1</v>
      </c>
      <c r="K1288" s="89">
        <f t="shared" si="104"/>
        <v>1.763046544428773E-2</v>
      </c>
      <c r="L1288" s="89">
        <v>1</v>
      </c>
      <c r="M1288" s="13">
        <f t="shared" si="105"/>
        <v>602143.11976690521</v>
      </c>
      <c r="N1288" s="11">
        <f t="shared" si="101"/>
        <v>1.0405802562008492E-5</v>
      </c>
    </row>
    <row r="1289" spans="1:14" x14ac:dyDescent="0.25">
      <c r="A1289" s="79" t="s">
        <v>34</v>
      </c>
      <c r="B1289" s="89" t="s">
        <v>9</v>
      </c>
      <c r="C1289" s="89" t="s">
        <v>57</v>
      </c>
      <c r="D1289" s="13" t="s">
        <v>181</v>
      </c>
      <c r="E1289" s="35">
        <f>VLOOKUP(B1289, Passenger_Kilometre_by_mode_type[#All],MATCH(A1289, Passenger_Kilometre_by_mode_type[#Headers],0),0)</f>
        <v>199728407.91332668</v>
      </c>
      <c r="F1289" s="89">
        <f>VLOOKUP(C1289, Reason_for_walking_cycling_journeys_by_percentage[#All],MATCH(A1289, Reason_for_walking_cycling_journeys_by_percentage[#Headers],0),0)/100</f>
        <v>0.17100000000000001</v>
      </c>
      <c r="G1289" s="13">
        <f t="shared" si="102"/>
        <v>34153557.753178865</v>
      </c>
      <c r="H1289" s="89">
        <f>VLOOKUP(D1289,Average_Distance_by_kilometre_grouping_for_mode_type[#All],MATCH(A1289,Average_Distance_by_kilometre_grouping_for_mode_type[#Headers],0),0)</f>
        <v>3</v>
      </c>
      <c r="I1289" s="89">
        <f>VLOOKUP(D1289,Average_Distance_by_kilometres_grouping_for_trip_purpose[#All],MATCH(A1289,Average_Distance_by_kilometres_grouping_for_trip_purpose[#Headers],0),0)</f>
        <v>3</v>
      </c>
      <c r="J1289" s="89">
        <f t="shared" si="103"/>
        <v>3</v>
      </c>
      <c r="K1289" s="89">
        <f t="shared" si="104"/>
        <v>5.2891396332863189E-2</v>
      </c>
      <c r="L1289" s="89">
        <v>1</v>
      </c>
      <c r="M1289" s="13">
        <f t="shared" si="105"/>
        <v>1806429.3593007156</v>
      </c>
      <c r="N1289" s="11">
        <f t="shared" si="101"/>
        <v>3.1217407686025478E-5</v>
      </c>
    </row>
    <row r="1290" spans="1:14" x14ac:dyDescent="0.25">
      <c r="A1290" s="79" t="s">
        <v>34</v>
      </c>
      <c r="B1290" s="89" t="s">
        <v>9</v>
      </c>
      <c r="C1290" s="89" t="s">
        <v>57</v>
      </c>
      <c r="D1290" s="13" t="s">
        <v>180</v>
      </c>
      <c r="E1290" s="35">
        <f>VLOOKUP(B1290, Passenger_Kilometre_by_mode_type[#All],MATCH(A1290, Passenger_Kilometre_by_mode_type[#Headers],0),0)</f>
        <v>199728407.91332668</v>
      </c>
      <c r="F1290" s="89">
        <f>VLOOKUP(C1290, Reason_for_walking_cycling_journeys_by_percentage[#All],MATCH(A1290, Reason_for_walking_cycling_journeys_by_percentage[#Headers],0),0)/100</f>
        <v>0.17100000000000001</v>
      </c>
      <c r="G1290" s="13">
        <f t="shared" si="102"/>
        <v>34153557.753178865</v>
      </c>
      <c r="H1290" s="89">
        <f>VLOOKUP(D1290,Average_Distance_by_kilometre_grouping_for_mode_type[#All],MATCH(A1290,Average_Distance_by_kilometre_grouping_for_mode_type[#Headers],0),0)</f>
        <v>5</v>
      </c>
      <c r="I1290" s="89">
        <f>VLOOKUP(D1290,Average_Distance_by_kilometres_grouping_for_trip_purpose[#All],MATCH(A1290,Average_Distance_by_kilometres_grouping_for_trip_purpose[#Headers],0),0)</f>
        <v>5</v>
      </c>
      <c r="J1290" s="89">
        <f t="shared" si="103"/>
        <v>5</v>
      </c>
      <c r="K1290" s="89">
        <f t="shared" si="104"/>
        <v>8.8152327221438648E-2</v>
      </c>
      <c r="L1290" s="89">
        <v>1</v>
      </c>
      <c r="M1290" s="13">
        <f t="shared" si="105"/>
        <v>3010715.5988345263</v>
      </c>
      <c r="N1290" s="11">
        <f t="shared" si="101"/>
        <v>5.2029012810042462E-5</v>
      </c>
    </row>
    <row r="1291" spans="1:14" x14ac:dyDescent="0.25">
      <c r="A1291" s="79" t="s">
        <v>34</v>
      </c>
      <c r="B1291" s="89" t="s">
        <v>9</v>
      </c>
      <c r="C1291" s="89" t="s">
        <v>57</v>
      </c>
      <c r="D1291" s="13" t="s">
        <v>182</v>
      </c>
      <c r="E1291" s="35">
        <f>VLOOKUP(B1291, Passenger_Kilometre_by_mode_type[#All],MATCH(A1291, Passenger_Kilometre_by_mode_type[#Headers],0),0)</f>
        <v>199728407.91332668</v>
      </c>
      <c r="F1291" s="89">
        <f>VLOOKUP(C1291, Reason_for_walking_cycling_journeys_by_percentage[#All],MATCH(A1291, Reason_for_walking_cycling_journeys_by_percentage[#Headers],0),0)/100</f>
        <v>0.17100000000000001</v>
      </c>
      <c r="G1291" s="13">
        <f t="shared" si="102"/>
        <v>34153557.753178865</v>
      </c>
      <c r="H1291" s="89">
        <f>VLOOKUP(D1291,Average_Distance_by_kilometre_grouping_for_mode_type[#All],MATCH(A1291,Average_Distance_by_kilometre_grouping_for_mode_type[#Headers],0),0)</f>
        <v>7</v>
      </c>
      <c r="I1291" s="89">
        <f>VLOOKUP(D1291,Average_Distance_by_kilometres_grouping_for_trip_purpose[#All],MATCH(A1291,Average_Distance_by_kilometres_grouping_for_trip_purpose[#Headers],0),0)</f>
        <v>7</v>
      </c>
      <c r="J1291" s="89">
        <f t="shared" si="103"/>
        <v>7</v>
      </c>
      <c r="K1291" s="89">
        <f t="shared" si="104"/>
        <v>0.12341325811001411</v>
      </c>
      <c r="L1291" s="89">
        <v>1</v>
      </c>
      <c r="M1291" s="13">
        <f t="shared" si="105"/>
        <v>4215001.8383683367</v>
      </c>
      <c r="N1291" s="11">
        <f t="shared" si="101"/>
        <v>7.2840617934059445E-5</v>
      </c>
    </row>
    <row r="1292" spans="1:14" x14ac:dyDescent="0.25">
      <c r="A1292" s="79" t="s">
        <v>34</v>
      </c>
      <c r="B1292" s="89" t="s">
        <v>9</v>
      </c>
      <c r="C1292" s="89" t="s">
        <v>57</v>
      </c>
      <c r="D1292" s="13" t="s">
        <v>1</v>
      </c>
      <c r="E1292" s="35">
        <f>VLOOKUP(B1292, Passenger_Kilometre_by_mode_type[#All],MATCH(A1292, Passenger_Kilometre_by_mode_type[#Headers],0),0)</f>
        <v>199728407.91332668</v>
      </c>
      <c r="F1292" s="89">
        <f>VLOOKUP(C1292, Reason_for_walking_cycling_journeys_by_percentage[#All],MATCH(A1292, Reason_for_walking_cycling_journeys_by_percentage[#Headers],0),0)/100</f>
        <v>0.17100000000000001</v>
      </c>
      <c r="G1292" s="13">
        <f t="shared" si="102"/>
        <v>34153557.753178865</v>
      </c>
      <c r="H1292" s="89">
        <f>VLOOKUP(D1292,Average_Distance_by_kilometre_grouping_for_mode_type[#All],MATCH(A1292,Average_Distance_by_kilometre_grouping_for_mode_type[#Headers],0),0)</f>
        <v>38.99</v>
      </c>
      <c r="I1292" s="89">
        <f>VLOOKUP(D1292,Average_Distance_by_kilometres_grouping_for_trip_purpose[#All],MATCH(A1292,Average_Distance_by_kilometres_grouping_for_trip_purpose[#Headers],0),0)</f>
        <v>42.45</v>
      </c>
      <c r="J1292" s="89">
        <f t="shared" si="103"/>
        <v>40.72</v>
      </c>
      <c r="K1292" s="89">
        <f t="shared" si="104"/>
        <v>0.71791255289139633</v>
      </c>
      <c r="L1292" s="89">
        <v>1</v>
      </c>
      <c r="M1292" s="13">
        <f t="shared" si="105"/>
        <v>24519267.836908381</v>
      </c>
      <c r="N1292" s="11">
        <f t="shared" si="101"/>
        <v>4.2372428032498582E-4</v>
      </c>
    </row>
    <row r="1293" spans="1:14" x14ac:dyDescent="0.25">
      <c r="A1293" s="79" t="s">
        <v>34</v>
      </c>
      <c r="B1293" s="89" t="s">
        <v>9</v>
      </c>
      <c r="C1293" s="89" t="s">
        <v>93</v>
      </c>
      <c r="D1293" s="13" t="s">
        <v>12</v>
      </c>
      <c r="E1293" s="35">
        <f>VLOOKUP(B1293, Passenger_Kilometre_by_mode_type[#All],MATCH(A1293, Passenger_Kilometre_by_mode_type[#Headers],0),0)</f>
        <v>199728407.91332668</v>
      </c>
      <c r="F1293" s="89">
        <f>VLOOKUP(C1293, Reason_for_walking_cycling_journeys_by_percentage[#All],MATCH(A1293, Reason_for_walking_cycling_journeys_by_percentage[#Headers],0),0)/100</f>
        <v>3.6249999999999998E-2</v>
      </c>
      <c r="G1293" s="13">
        <f t="shared" si="102"/>
        <v>7240154.7868580921</v>
      </c>
      <c r="H1293" s="89">
        <f>VLOOKUP(D1293,Average_Distance_by_kilometre_grouping_for_mode_type[#All],MATCH(A1293,Average_Distance_by_kilometre_grouping_for_mode_type[#Headers],0),0)</f>
        <v>1</v>
      </c>
      <c r="I1293" s="89">
        <f>VLOOKUP(D1293,Average_Distance_by_kilometres_grouping_for_trip_purpose[#All],MATCH(A1293,Average_Distance_by_kilometres_grouping_for_trip_purpose[#Headers],0),0)</f>
        <v>1</v>
      </c>
      <c r="J1293" s="89">
        <f t="shared" si="103"/>
        <v>1</v>
      </c>
      <c r="K1293" s="89">
        <f t="shared" si="104"/>
        <v>1.763046544428773E-2</v>
      </c>
      <c r="L1293" s="89">
        <v>1</v>
      </c>
      <c r="M1293" s="13">
        <f t="shared" si="105"/>
        <v>127647.29878099599</v>
      </c>
      <c r="N1293" s="11">
        <f t="shared" si="101"/>
        <v>2.2059084378526775E-6</v>
      </c>
    </row>
    <row r="1294" spans="1:14" x14ac:dyDescent="0.25">
      <c r="A1294" s="79" t="s">
        <v>34</v>
      </c>
      <c r="B1294" s="89" t="s">
        <v>9</v>
      </c>
      <c r="C1294" s="89" t="s">
        <v>93</v>
      </c>
      <c r="D1294" s="13" t="s">
        <v>181</v>
      </c>
      <c r="E1294" s="35">
        <f>VLOOKUP(B1294, Passenger_Kilometre_by_mode_type[#All],MATCH(A1294, Passenger_Kilometre_by_mode_type[#Headers],0),0)</f>
        <v>199728407.91332668</v>
      </c>
      <c r="F1294" s="89">
        <f>VLOOKUP(C1294, Reason_for_walking_cycling_journeys_by_percentage[#All],MATCH(A1294, Reason_for_walking_cycling_journeys_by_percentage[#Headers],0),0)/100</f>
        <v>3.6249999999999998E-2</v>
      </c>
      <c r="G1294" s="13">
        <f t="shared" si="102"/>
        <v>7240154.7868580921</v>
      </c>
      <c r="H1294" s="89">
        <f>VLOOKUP(D1294,Average_Distance_by_kilometre_grouping_for_mode_type[#All],MATCH(A1294,Average_Distance_by_kilometre_grouping_for_mode_type[#Headers],0),0)</f>
        <v>3</v>
      </c>
      <c r="I1294" s="89">
        <f>VLOOKUP(D1294,Average_Distance_by_kilometres_grouping_for_trip_purpose[#All],MATCH(A1294,Average_Distance_by_kilometres_grouping_for_trip_purpose[#Headers],0),0)</f>
        <v>3</v>
      </c>
      <c r="J1294" s="89">
        <f t="shared" si="103"/>
        <v>3</v>
      </c>
      <c r="K1294" s="89">
        <f t="shared" si="104"/>
        <v>5.2891396332863189E-2</v>
      </c>
      <c r="L1294" s="89">
        <v>1</v>
      </c>
      <c r="M1294" s="13">
        <f t="shared" si="105"/>
        <v>382941.89634298795</v>
      </c>
      <c r="N1294" s="11">
        <f t="shared" si="101"/>
        <v>6.6177253135580321E-6</v>
      </c>
    </row>
    <row r="1295" spans="1:14" x14ac:dyDescent="0.25">
      <c r="A1295" s="79" t="s">
        <v>34</v>
      </c>
      <c r="B1295" s="89" t="s">
        <v>9</v>
      </c>
      <c r="C1295" s="89" t="s">
        <v>93</v>
      </c>
      <c r="D1295" s="13" t="s">
        <v>180</v>
      </c>
      <c r="E1295" s="35">
        <f>VLOOKUP(B1295, Passenger_Kilometre_by_mode_type[#All],MATCH(A1295, Passenger_Kilometre_by_mode_type[#Headers],0),0)</f>
        <v>199728407.91332668</v>
      </c>
      <c r="F1295" s="89">
        <f>VLOOKUP(C1295, Reason_for_walking_cycling_journeys_by_percentage[#All],MATCH(A1295, Reason_for_walking_cycling_journeys_by_percentage[#Headers],0),0)/100</f>
        <v>3.6249999999999998E-2</v>
      </c>
      <c r="G1295" s="13">
        <f t="shared" si="102"/>
        <v>7240154.7868580921</v>
      </c>
      <c r="H1295" s="89">
        <f>VLOOKUP(D1295,Average_Distance_by_kilometre_grouping_for_mode_type[#All],MATCH(A1295,Average_Distance_by_kilometre_grouping_for_mode_type[#Headers],0),0)</f>
        <v>5</v>
      </c>
      <c r="I1295" s="89">
        <f>VLOOKUP(D1295,Average_Distance_by_kilometres_grouping_for_trip_purpose[#All],MATCH(A1295,Average_Distance_by_kilometres_grouping_for_trip_purpose[#Headers],0),0)</f>
        <v>5</v>
      </c>
      <c r="J1295" s="89">
        <f t="shared" si="103"/>
        <v>5</v>
      </c>
      <c r="K1295" s="89">
        <f t="shared" si="104"/>
        <v>8.8152327221438648E-2</v>
      </c>
      <c r="L1295" s="89">
        <v>1</v>
      </c>
      <c r="M1295" s="13">
        <f t="shared" si="105"/>
        <v>638236.4939049799</v>
      </c>
      <c r="N1295" s="11">
        <f t="shared" si="101"/>
        <v>1.1029542189263386E-5</v>
      </c>
    </row>
    <row r="1296" spans="1:14" x14ac:dyDescent="0.25">
      <c r="A1296" s="79" t="s">
        <v>34</v>
      </c>
      <c r="B1296" s="89" t="s">
        <v>9</v>
      </c>
      <c r="C1296" s="89" t="s">
        <v>93</v>
      </c>
      <c r="D1296" s="13" t="s">
        <v>182</v>
      </c>
      <c r="E1296" s="35">
        <f>VLOOKUP(B1296, Passenger_Kilometre_by_mode_type[#All],MATCH(A1296, Passenger_Kilometre_by_mode_type[#Headers],0),0)</f>
        <v>199728407.91332668</v>
      </c>
      <c r="F1296" s="89">
        <f>VLOOKUP(C1296, Reason_for_walking_cycling_journeys_by_percentage[#All],MATCH(A1296, Reason_for_walking_cycling_journeys_by_percentage[#Headers],0),0)/100</f>
        <v>3.6249999999999998E-2</v>
      </c>
      <c r="G1296" s="13">
        <f t="shared" si="102"/>
        <v>7240154.7868580921</v>
      </c>
      <c r="H1296" s="89">
        <f>VLOOKUP(D1296,Average_Distance_by_kilometre_grouping_for_mode_type[#All],MATCH(A1296,Average_Distance_by_kilometre_grouping_for_mode_type[#Headers],0),0)</f>
        <v>7</v>
      </c>
      <c r="I1296" s="89">
        <f>VLOOKUP(D1296,Average_Distance_by_kilometres_grouping_for_trip_purpose[#All],MATCH(A1296,Average_Distance_by_kilometres_grouping_for_trip_purpose[#Headers],0),0)</f>
        <v>7</v>
      </c>
      <c r="J1296" s="89">
        <f t="shared" si="103"/>
        <v>7</v>
      </c>
      <c r="K1296" s="89">
        <f t="shared" si="104"/>
        <v>0.12341325811001411</v>
      </c>
      <c r="L1296" s="89">
        <v>1</v>
      </c>
      <c r="M1296" s="13">
        <f t="shared" si="105"/>
        <v>893531.09146697191</v>
      </c>
      <c r="N1296" s="11">
        <f t="shared" si="101"/>
        <v>1.544135906496874E-5</v>
      </c>
    </row>
    <row r="1297" spans="1:14" x14ac:dyDescent="0.25">
      <c r="A1297" s="79" t="s">
        <v>34</v>
      </c>
      <c r="B1297" s="89" t="s">
        <v>9</v>
      </c>
      <c r="C1297" s="89" t="s">
        <v>93</v>
      </c>
      <c r="D1297" s="13" t="s">
        <v>1</v>
      </c>
      <c r="E1297" s="35">
        <f>VLOOKUP(B1297, Passenger_Kilometre_by_mode_type[#All],MATCH(A1297, Passenger_Kilometre_by_mode_type[#Headers],0),0)</f>
        <v>199728407.91332668</v>
      </c>
      <c r="F1297" s="89">
        <f>VLOOKUP(C1297, Reason_for_walking_cycling_journeys_by_percentage[#All],MATCH(A1297, Reason_for_walking_cycling_journeys_by_percentage[#Headers],0),0)/100</f>
        <v>3.6249999999999998E-2</v>
      </c>
      <c r="G1297" s="13">
        <f t="shared" si="102"/>
        <v>7240154.7868580921</v>
      </c>
      <c r="H1297" s="89">
        <f>VLOOKUP(D1297,Average_Distance_by_kilometre_grouping_for_mode_type[#All],MATCH(A1297,Average_Distance_by_kilometre_grouping_for_mode_type[#Headers],0),0)</f>
        <v>38.99</v>
      </c>
      <c r="I1297" s="89">
        <f>VLOOKUP(D1297,Average_Distance_by_kilometres_grouping_for_trip_purpose[#All],MATCH(A1297,Average_Distance_by_kilometres_grouping_for_trip_purpose[#Headers],0),0)</f>
        <v>42.45</v>
      </c>
      <c r="J1297" s="89">
        <f t="shared" si="103"/>
        <v>40.72</v>
      </c>
      <c r="K1297" s="89">
        <f t="shared" si="104"/>
        <v>0.71791255289139633</v>
      </c>
      <c r="L1297" s="89">
        <v>1</v>
      </c>
      <c r="M1297" s="13">
        <f t="shared" si="105"/>
        <v>5197798.006362156</v>
      </c>
      <c r="N1297" s="11">
        <f t="shared" si="101"/>
        <v>8.9824591589361021E-5</v>
      </c>
    </row>
    <row r="1298" spans="1:14" x14ac:dyDescent="0.25">
      <c r="A1298" s="79" t="s">
        <v>34</v>
      </c>
      <c r="B1298" s="89" t="s">
        <v>9</v>
      </c>
      <c r="C1298" s="89" t="s">
        <v>243</v>
      </c>
      <c r="D1298" s="13" t="s">
        <v>12</v>
      </c>
      <c r="E1298" s="35">
        <f>VLOOKUP(B1298, Passenger_Kilometre_by_mode_type[#All],MATCH(A1298, Passenger_Kilometre_by_mode_type[#Headers],0),0)</f>
        <v>199728407.91332668</v>
      </c>
      <c r="F1298" s="89">
        <f>VLOOKUP(C1298, Reason_for_walking_cycling_journeys_by_percentage[#All],MATCH(A1298, Reason_for_walking_cycling_journeys_by_percentage[#Headers],0),0)/100</f>
        <v>9.1249999999999998E-2</v>
      </c>
      <c r="G1298" s="13">
        <f t="shared" si="102"/>
        <v>18225217.22209106</v>
      </c>
      <c r="H1298" s="89">
        <f>VLOOKUP(D1298,Average_Distance_by_kilometre_grouping_for_mode_type[#All],MATCH(A1298,Average_Distance_by_kilometre_grouping_for_mode_type[#Headers],0),0)</f>
        <v>1</v>
      </c>
      <c r="I1298" s="89">
        <f>VLOOKUP(D1298,Average_Distance_by_kilometres_grouping_for_trip_purpose[#All],MATCH(A1298,Average_Distance_by_kilometres_grouping_for_trip_purpose[#Headers],0),0)</f>
        <v>1</v>
      </c>
      <c r="J1298" s="89">
        <f t="shared" si="103"/>
        <v>1</v>
      </c>
      <c r="K1298" s="89">
        <f t="shared" si="104"/>
        <v>1.763046544428773E-2</v>
      </c>
      <c r="L1298" s="89">
        <v>1</v>
      </c>
      <c r="M1298" s="13">
        <f t="shared" si="105"/>
        <v>321319.06244871404</v>
      </c>
      <c r="N1298" s="11">
        <f t="shared" si="101"/>
        <v>5.5528039987326021E-6</v>
      </c>
    </row>
    <row r="1299" spans="1:14" x14ac:dyDescent="0.25">
      <c r="A1299" s="79" t="s">
        <v>34</v>
      </c>
      <c r="B1299" s="89" t="s">
        <v>9</v>
      </c>
      <c r="C1299" s="89" t="s">
        <v>243</v>
      </c>
      <c r="D1299" s="13" t="s">
        <v>181</v>
      </c>
      <c r="E1299" s="35">
        <f>VLOOKUP(B1299, Passenger_Kilometre_by_mode_type[#All],MATCH(A1299, Passenger_Kilometre_by_mode_type[#Headers],0),0)</f>
        <v>199728407.91332668</v>
      </c>
      <c r="F1299" s="89">
        <f>VLOOKUP(C1299, Reason_for_walking_cycling_journeys_by_percentage[#All],MATCH(A1299, Reason_for_walking_cycling_journeys_by_percentage[#Headers],0),0)/100</f>
        <v>9.1249999999999998E-2</v>
      </c>
      <c r="G1299" s="13">
        <f t="shared" si="102"/>
        <v>18225217.22209106</v>
      </c>
      <c r="H1299" s="89">
        <f>VLOOKUP(D1299,Average_Distance_by_kilometre_grouping_for_mode_type[#All],MATCH(A1299,Average_Distance_by_kilometre_grouping_for_mode_type[#Headers],0),0)</f>
        <v>3</v>
      </c>
      <c r="I1299" s="89">
        <f>VLOOKUP(D1299,Average_Distance_by_kilometres_grouping_for_trip_purpose[#All],MATCH(A1299,Average_Distance_by_kilometres_grouping_for_trip_purpose[#Headers],0),0)</f>
        <v>3</v>
      </c>
      <c r="J1299" s="89">
        <f t="shared" si="103"/>
        <v>3</v>
      </c>
      <c r="K1299" s="89">
        <f t="shared" si="104"/>
        <v>5.2891396332863189E-2</v>
      </c>
      <c r="L1299" s="89">
        <v>1</v>
      </c>
      <c r="M1299" s="13">
        <f t="shared" si="105"/>
        <v>963957.18734614213</v>
      </c>
      <c r="N1299" s="11">
        <f t="shared" si="101"/>
        <v>1.6658411996197807E-5</v>
      </c>
    </row>
    <row r="1300" spans="1:14" x14ac:dyDescent="0.25">
      <c r="A1300" s="79" t="s">
        <v>34</v>
      </c>
      <c r="B1300" s="89" t="s">
        <v>9</v>
      </c>
      <c r="C1300" s="89" t="s">
        <v>243</v>
      </c>
      <c r="D1300" s="13" t="s">
        <v>180</v>
      </c>
      <c r="E1300" s="35">
        <f>VLOOKUP(B1300, Passenger_Kilometre_by_mode_type[#All],MATCH(A1300, Passenger_Kilometre_by_mode_type[#Headers],0),0)</f>
        <v>199728407.91332668</v>
      </c>
      <c r="F1300" s="89">
        <f>VLOOKUP(C1300, Reason_for_walking_cycling_journeys_by_percentage[#All],MATCH(A1300, Reason_for_walking_cycling_journeys_by_percentage[#Headers],0),0)/100</f>
        <v>9.1249999999999998E-2</v>
      </c>
      <c r="G1300" s="13">
        <f t="shared" si="102"/>
        <v>18225217.22209106</v>
      </c>
      <c r="H1300" s="89">
        <f>VLOOKUP(D1300,Average_Distance_by_kilometre_grouping_for_mode_type[#All],MATCH(A1300,Average_Distance_by_kilometre_grouping_for_mode_type[#Headers],0),0)</f>
        <v>5</v>
      </c>
      <c r="I1300" s="89">
        <f>VLOOKUP(D1300,Average_Distance_by_kilometres_grouping_for_trip_purpose[#All],MATCH(A1300,Average_Distance_by_kilometres_grouping_for_trip_purpose[#Headers],0),0)</f>
        <v>5</v>
      </c>
      <c r="J1300" s="89">
        <f t="shared" si="103"/>
        <v>5</v>
      </c>
      <c r="K1300" s="89">
        <f t="shared" si="104"/>
        <v>8.8152327221438648E-2</v>
      </c>
      <c r="L1300" s="89">
        <v>1</v>
      </c>
      <c r="M1300" s="13">
        <f t="shared" si="105"/>
        <v>1606595.3122435701</v>
      </c>
      <c r="N1300" s="11">
        <f t="shared" si="101"/>
        <v>2.7764019993663006E-5</v>
      </c>
    </row>
    <row r="1301" spans="1:14" x14ac:dyDescent="0.25">
      <c r="A1301" s="79" t="s">
        <v>34</v>
      </c>
      <c r="B1301" s="89" t="s">
        <v>9</v>
      </c>
      <c r="C1301" s="89" t="s">
        <v>243</v>
      </c>
      <c r="D1301" s="13" t="s">
        <v>182</v>
      </c>
      <c r="E1301" s="35">
        <f>VLOOKUP(B1301, Passenger_Kilometre_by_mode_type[#All],MATCH(A1301, Passenger_Kilometre_by_mode_type[#Headers],0),0)</f>
        <v>199728407.91332668</v>
      </c>
      <c r="F1301" s="89">
        <f>VLOOKUP(C1301, Reason_for_walking_cycling_journeys_by_percentage[#All],MATCH(A1301, Reason_for_walking_cycling_journeys_by_percentage[#Headers],0),0)/100</f>
        <v>9.1249999999999998E-2</v>
      </c>
      <c r="G1301" s="13">
        <f t="shared" si="102"/>
        <v>18225217.22209106</v>
      </c>
      <c r="H1301" s="89">
        <f>VLOOKUP(D1301,Average_Distance_by_kilometre_grouping_for_mode_type[#All],MATCH(A1301,Average_Distance_by_kilometre_grouping_for_mode_type[#Headers],0),0)</f>
        <v>7</v>
      </c>
      <c r="I1301" s="89">
        <f>VLOOKUP(D1301,Average_Distance_by_kilometres_grouping_for_trip_purpose[#All],MATCH(A1301,Average_Distance_by_kilometres_grouping_for_trip_purpose[#Headers],0),0)</f>
        <v>7</v>
      </c>
      <c r="J1301" s="89">
        <f t="shared" si="103"/>
        <v>7</v>
      </c>
      <c r="K1301" s="89">
        <f t="shared" si="104"/>
        <v>0.12341325811001411</v>
      </c>
      <c r="L1301" s="89">
        <v>1</v>
      </c>
      <c r="M1301" s="13">
        <f t="shared" si="105"/>
        <v>2249233.4371409984</v>
      </c>
      <c r="N1301" s="11">
        <f t="shared" si="101"/>
        <v>3.8869627991128219E-5</v>
      </c>
    </row>
    <row r="1302" spans="1:14" x14ac:dyDescent="0.25">
      <c r="A1302" s="79" t="s">
        <v>34</v>
      </c>
      <c r="B1302" s="89" t="s">
        <v>9</v>
      </c>
      <c r="C1302" s="89" t="s">
        <v>243</v>
      </c>
      <c r="D1302" s="13" t="s">
        <v>1</v>
      </c>
      <c r="E1302" s="35">
        <f>VLOOKUP(B1302, Passenger_Kilometre_by_mode_type[#All],MATCH(A1302, Passenger_Kilometre_by_mode_type[#Headers],0),0)</f>
        <v>199728407.91332668</v>
      </c>
      <c r="F1302" s="89">
        <f>VLOOKUP(C1302, Reason_for_walking_cycling_journeys_by_percentage[#All],MATCH(A1302, Reason_for_walking_cycling_journeys_by_percentage[#Headers],0),0)/100</f>
        <v>9.1249999999999998E-2</v>
      </c>
      <c r="G1302" s="13">
        <f t="shared" si="102"/>
        <v>18225217.22209106</v>
      </c>
      <c r="H1302" s="89">
        <f>VLOOKUP(D1302,Average_Distance_by_kilometre_grouping_for_mode_type[#All],MATCH(A1302,Average_Distance_by_kilometre_grouping_for_mode_type[#Headers],0),0)</f>
        <v>38.99</v>
      </c>
      <c r="I1302" s="89">
        <f>VLOOKUP(D1302,Average_Distance_by_kilometres_grouping_for_trip_purpose[#All],MATCH(A1302,Average_Distance_by_kilometres_grouping_for_trip_purpose[#Headers],0),0)</f>
        <v>42.45</v>
      </c>
      <c r="J1302" s="89">
        <f t="shared" si="103"/>
        <v>40.72</v>
      </c>
      <c r="K1302" s="89">
        <f t="shared" si="104"/>
        <v>0.71791255289139633</v>
      </c>
      <c r="L1302" s="89">
        <v>1</v>
      </c>
      <c r="M1302" s="13">
        <f t="shared" si="105"/>
        <v>13084112.222911635</v>
      </c>
      <c r="N1302" s="11">
        <f t="shared" si="101"/>
        <v>2.2611017882839154E-4</v>
      </c>
    </row>
    <row r="1303" spans="1:14" x14ac:dyDescent="0.25">
      <c r="A1303" s="79" t="s">
        <v>34</v>
      </c>
      <c r="B1303" s="89" t="s">
        <v>9</v>
      </c>
      <c r="C1303" s="89" t="s">
        <v>50</v>
      </c>
      <c r="D1303" s="13" t="s">
        <v>12</v>
      </c>
      <c r="E1303" s="35">
        <f>VLOOKUP(B1303, Passenger_Kilometre_by_mode_type[#All],MATCH(A1303, Passenger_Kilometre_by_mode_type[#Headers],0),0)</f>
        <v>199728407.91332668</v>
      </c>
      <c r="F1303" s="89">
        <f>VLOOKUP(C1303, Reason_for_walking_cycling_journeys_by_percentage[#All],MATCH(A1303, Reason_for_walking_cycling_journeys_by_percentage[#Headers],0),0)/100</f>
        <v>6.8249999999999991E-2</v>
      </c>
      <c r="G1303" s="13">
        <f t="shared" si="102"/>
        <v>13631463.840084543</v>
      </c>
      <c r="H1303" s="89">
        <f>VLOOKUP(D1303,Average_Distance_by_kilometre_grouping_for_mode_type[#All],MATCH(A1303,Average_Distance_by_kilometre_grouping_for_mode_type[#Headers],0),0)</f>
        <v>1</v>
      </c>
      <c r="I1303" s="89">
        <f>VLOOKUP(D1303,Average_Distance_by_kilometres_grouping_for_trip_purpose[#All],MATCH(A1303,Average_Distance_by_kilometres_grouping_for_trip_purpose[#Headers],0),0)</f>
        <v>1</v>
      </c>
      <c r="J1303" s="89">
        <f t="shared" si="103"/>
        <v>1</v>
      </c>
      <c r="K1303" s="89">
        <f t="shared" si="104"/>
        <v>1.763046544428773E-2</v>
      </c>
      <c r="L1303" s="89">
        <v>1</v>
      </c>
      <c r="M1303" s="13">
        <f t="shared" si="105"/>
        <v>240329.05218766825</v>
      </c>
      <c r="N1303" s="11">
        <f t="shared" si="101"/>
        <v>4.1531931278191779E-6</v>
      </c>
    </row>
    <row r="1304" spans="1:14" x14ac:dyDescent="0.25">
      <c r="A1304" s="79" t="s">
        <v>34</v>
      </c>
      <c r="B1304" s="89" t="s">
        <v>9</v>
      </c>
      <c r="C1304" s="89" t="s">
        <v>50</v>
      </c>
      <c r="D1304" s="13" t="s">
        <v>181</v>
      </c>
      <c r="E1304" s="35">
        <f>VLOOKUP(B1304, Passenger_Kilometre_by_mode_type[#All],MATCH(A1304, Passenger_Kilometre_by_mode_type[#Headers],0),0)</f>
        <v>199728407.91332668</v>
      </c>
      <c r="F1304" s="89">
        <f>VLOOKUP(C1304, Reason_for_walking_cycling_journeys_by_percentage[#All],MATCH(A1304, Reason_for_walking_cycling_journeys_by_percentage[#Headers],0),0)/100</f>
        <v>6.8249999999999991E-2</v>
      </c>
      <c r="G1304" s="13">
        <f t="shared" si="102"/>
        <v>13631463.840084543</v>
      </c>
      <c r="H1304" s="89">
        <f>VLOOKUP(D1304,Average_Distance_by_kilometre_grouping_for_mode_type[#All],MATCH(A1304,Average_Distance_by_kilometre_grouping_for_mode_type[#Headers],0),0)</f>
        <v>3</v>
      </c>
      <c r="I1304" s="89">
        <f>VLOOKUP(D1304,Average_Distance_by_kilometres_grouping_for_trip_purpose[#All],MATCH(A1304,Average_Distance_by_kilometres_grouping_for_trip_purpose[#Headers],0),0)</f>
        <v>3</v>
      </c>
      <c r="J1304" s="89">
        <f t="shared" si="103"/>
        <v>3</v>
      </c>
      <c r="K1304" s="89">
        <f t="shared" si="104"/>
        <v>5.2891396332863189E-2</v>
      </c>
      <c r="L1304" s="89">
        <v>1</v>
      </c>
      <c r="M1304" s="13">
        <f t="shared" si="105"/>
        <v>720987.15656300483</v>
      </c>
      <c r="N1304" s="11">
        <f t="shared" si="101"/>
        <v>1.2459579383457535E-5</v>
      </c>
    </row>
    <row r="1305" spans="1:14" x14ac:dyDescent="0.25">
      <c r="A1305" s="79" t="s">
        <v>34</v>
      </c>
      <c r="B1305" s="89" t="s">
        <v>9</v>
      </c>
      <c r="C1305" s="89" t="s">
        <v>50</v>
      </c>
      <c r="D1305" s="13" t="s">
        <v>180</v>
      </c>
      <c r="E1305" s="35">
        <f>VLOOKUP(B1305, Passenger_Kilometre_by_mode_type[#All],MATCH(A1305, Passenger_Kilometre_by_mode_type[#Headers],0),0)</f>
        <v>199728407.91332668</v>
      </c>
      <c r="F1305" s="89">
        <f>VLOOKUP(C1305, Reason_for_walking_cycling_journeys_by_percentage[#All],MATCH(A1305, Reason_for_walking_cycling_journeys_by_percentage[#Headers],0),0)/100</f>
        <v>6.8249999999999991E-2</v>
      </c>
      <c r="G1305" s="13">
        <f t="shared" si="102"/>
        <v>13631463.840084543</v>
      </c>
      <c r="H1305" s="89">
        <f>VLOOKUP(D1305,Average_Distance_by_kilometre_grouping_for_mode_type[#All],MATCH(A1305,Average_Distance_by_kilometre_grouping_for_mode_type[#Headers],0),0)</f>
        <v>5</v>
      </c>
      <c r="I1305" s="89">
        <f>VLOOKUP(D1305,Average_Distance_by_kilometres_grouping_for_trip_purpose[#All],MATCH(A1305,Average_Distance_by_kilometres_grouping_for_trip_purpose[#Headers],0),0)</f>
        <v>5</v>
      </c>
      <c r="J1305" s="89">
        <f t="shared" si="103"/>
        <v>5</v>
      </c>
      <c r="K1305" s="89">
        <f t="shared" si="104"/>
        <v>8.8152327221438648E-2</v>
      </c>
      <c r="L1305" s="89">
        <v>1</v>
      </c>
      <c r="M1305" s="13">
        <f t="shared" si="105"/>
        <v>1201645.2609383413</v>
      </c>
      <c r="N1305" s="11">
        <f t="shared" si="101"/>
        <v>2.0765965639095891E-5</v>
      </c>
    </row>
    <row r="1306" spans="1:14" x14ac:dyDescent="0.25">
      <c r="A1306" s="79" t="s">
        <v>34</v>
      </c>
      <c r="B1306" s="89" t="s">
        <v>9</v>
      </c>
      <c r="C1306" s="89" t="s">
        <v>50</v>
      </c>
      <c r="D1306" s="13" t="s">
        <v>182</v>
      </c>
      <c r="E1306" s="35">
        <f>VLOOKUP(B1306, Passenger_Kilometre_by_mode_type[#All],MATCH(A1306, Passenger_Kilometre_by_mode_type[#Headers],0),0)</f>
        <v>199728407.91332668</v>
      </c>
      <c r="F1306" s="89">
        <f>VLOOKUP(C1306, Reason_for_walking_cycling_journeys_by_percentage[#All],MATCH(A1306, Reason_for_walking_cycling_journeys_by_percentage[#Headers],0),0)/100</f>
        <v>6.8249999999999991E-2</v>
      </c>
      <c r="G1306" s="13">
        <f t="shared" si="102"/>
        <v>13631463.840084543</v>
      </c>
      <c r="H1306" s="89">
        <f>VLOOKUP(D1306,Average_Distance_by_kilometre_grouping_for_mode_type[#All],MATCH(A1306,Average_Distance_by_kilometre_grouping_for_mode_type[#Headers],0),0)</f>
        <v>7</v>
      </c>
      <c r="I1306" s="89">
        <f>VLOOKUP(D1306,Average_Distance_by_kilometres_grouping_for_trip_purpose[#All],MATCH(A1306,Average_Distance_by_kilometres_grouping_for_trip_purpose[#Headers],0),0)</f>
        <v>7</v>
      </c>
      <c r="J1306" s="89">
        <f t="shared" si="103"/>
        <v>7</v>
      </c>
      <c r="K1306" s="89">
        <f t="shared" si="104"/>
        <v>0.12341325811001411</v>
      </c>
      <c r="L1306" s="89">
        <v>1</v>
      </c>
      <c r="M1306" s="13">
        <f t="shared" si="105"/>
        <v>1682303.3653136778</v>
      </c>
      <c r="N1306" s="11">
        <f t="shared" si="101"/>
        <v>2.9072351894734247E-5</v>
      </c>
    </row>
    <row r="1307" spans="1:14" x14ac:dyDescent="0.25">
      <c r="A1307" s="79" t="s">
        <v>34</v>
      </c>
      <c r="B1307" s="89" t="s">
        <v>9</v>
      </c>
      <c r="C1307" s="89" t="s">
        <v>50</v>
      </c>
      <c r="D1307" s="13" t="s">
        <v>1</v>
      </c>
      <c r="E1307" s="35">
        <f>VLOOKUP(B1307, Passenger_Kilometre_by_mode_type[#All],MATCH(A1307, Passenger_Kilometre_by_mode_type[#Headers],0),0)</f>
        <v>199728407.91332668</v>
      </c>
      <c r="F1307" s="89">
        <f>VLOOKUP(C1307, Reason_for_walking_cycling_journeys_by_percentage[#All],MATCH(A1307, Reason_for_walking_cycling_journeys_by_percentage[#Headers],0),0)/100</f>
        <v>6.8249999999999991E-2</v>
      </c>
      <c r="G1307" s="13">
        <f t="shared" si="102"/>
        <v>13631463.840084543</v>
      </c>
      <c r="H1307" s="89">
        <f>VLOOKUP(D1307,Average_Distance_by_kilometre_grouping_for_mode_type[#All],MATCH(A1307,Average_Distance_by_kilometre_grouping_for_mode_type[#Headers],0),0)</f>
        <v>38.99</v>
      </c>
      <c r="I1307" s="89">
        <f>VLOOKUP(D1307,Average_Distance_by_kilometres_grouping_for_trip_purpose[#All],MATCH(A1307,Average_Distance_by_kilometres_grouping_for_trip_purpose[#Headers],0),0)</f>
        <v>42.45</v>
      </c>
      <c r="J1307" s="89">
        <f t="shared" si="103"/>
        <v>40.72</v>
      </c>
      <c r="K1307" s="89">
        <f t="shared" si="104"/>
        <v>0.71791255289139633</v>
      </c>
      <c r="L1307" s="89">
        <v>1</v>
      </c>
      <c r="M1307" s="13">
        <f t="shared" si="105"/>
        <v>9786199.005081851</v>
      </c>
      <c r="N1307" s="11">
        <f t="shared" si="101"/>
        <v>1.6911802416479693E-4</v>
      </c>
    </row>
    <row r="1308" spans="1:14" x14ac:dyDescent="0.25">
      <c r="A1308" s="79" t="s">
        <v>34</v>
      </c>
      <c r="B1308" s="89" t="s">
        <v>10</v>
      </c>
      <c r="C1308" s="89" t="s">
        <v>42</v>
      </c>
      <c r="D1308" s="13" t="s">
        <v>12</v>
      </c>
      <c r="E1308" s="35">
        <f>VLOOKUP(B1308, Passenger_Kilometre_by_mode_type[#All],MATCH(A1308, Passenger_Kilometre_by_mode_type[#Headers],0),0)</f>
        <v>2709659549.1139545</v>
      </c>
      <c r="F1308" s="89">
        <f>VLOOKUP(C1308, Reason_for_public_transport_journeys_by_percentage[#All],MATCH(A1308, Reason_for_public_transport_journeys_by_percentage[#Headers],0),0)/100</f>
        <v>0.2525</v>
      </c>
      <c r="G1308" s="13">
        <f t="shared" si="102"/>
        <v>684189036.15127349</v>
      </c>
      <c r="H1308" s="89">
        <f>VLOOKUP(D1308,Average_Distance_by_kilometre_grouping_for_mode_type[#All],MATCH(A1308,Average_Distance_by_kilometre_grouping_for_mode_type[#Headers],0),0)</f>
        <v>1</v>
      </c>
      <c r="I1308" s="89">
        <f>VLOOKUP(D1308,Average_Distance_by_kilometres_grouping_for_trip_purpose[#All],MATCH(A1308,Average_Distance_by_kilometres_grouping_for_trip_purpose[#Headers],0),0)</f>
        <v>1</v>
      </c>
      <c r="J1308" s="89">
        <f t="shared" si="103"/>
        <v>1</v>
      </c>
      <c r="K1308" s="89">
        <f t="shared" si="104"/>
        <v>1.763046544428773E-2</v>
      </c>
      <c r="L1308" s="89">
        <v>1</v>
      </c>
      <c r="M1308" s="13">
        <f t="shared" si="105"/>
        <v>12062571.159225555</v>
      </c>
      <c r="N1308" s="11">
        <f t="shared" si="101"/>
        <v>2.0845664386511496E-4</v>
      </c>
    </row>
    <row r="1309" spans="1:14" x14ac:dyDescent="0.25">
      <c r="A1309" s="79" t="s">
        <v>34</v>
      </c>
      <c r="B1309" s="89" t="s">
        <v>10</v>
      </c>
      <c r="C1309" s="89" t="s">
        <v>42</v>
      </c>
      <c r="D1309" s="13" t="s">
        <v>181</v>
      </c>
      <c r="E1309" s="35">
        <f>VLOOKUP(B1309, Passenger_Kilometre_by_mode_type[#All],MATCH(A1309, Passenger_Kilometre_by_mode_type[#Headers],0),0)</f>
        <v>2709659549.1139545</v>
      </c>
      <c r="F1309" s="89">
        <f>VLOOKUP(C1309, Reason_for_public_transport_journeys_by_percentage[#All],MATCH(A1309, Reason_for_public_transport_journeys_by_percentage[#Headers],0),0)/100</f>
        <v>0.2525</v>
      </c>
      <c r="G1309" s="13">
        <f t="shared" si="102"/>
        <v>684189036.15127349</v>
      </c>
      <c r="H1309" s="89">
        <f>VLOOKUP(D1309,Average_Distance_by_kilometre_grouping_for_mode_type[#All],MATCH(A1309,Average_Distance_by_kilometre_grouping_for_mode_type[#Headers],0),0)</f>
        <v>3</v>
      </c>
      <c r="I1309" s="89">
        <f>VLOOKUP(D1309,Average_Distance_by_kilometres_grouping_for_trip_purpose[#All],MATCH(A1309,Average_Distance_by_kilometres_grouping_for_trip_purpose[#Headers],0),0)</f>
        <v>3</v>
      </c>
      <c r="J1309" s="89">
        <f t="shared" si="103"/>
        <v>3</v>
      </c>
      <c r="K1309" s="89">
        <f t="shared" si="104"/>
        <v>5.2891396332863189E-2</v>
      </c>
      <c r="L1309" s="89">
        <v>1</v>
      </c>
      <c r="M1309" s="13">
        <f t="shared" si="105"/>
        <v>36187713.477676667</v>
      </c>
      <c r="N1309" s="11">
        <f t="shared" si="101"/>
        <v>6.2536993159534489E-4</v>
      </c>
    </row>
    <row r="1310" spans="1:14" x14ac:dyDescent="0.25">
      <c r="A1310" s="79" t="s">
        <v>34</v>
      </c>
      <c r="B1310" s="89" t="s">
        <v>10</v>
      </c>
      <c r="C1310" s="89" t="s">
        <v>42</v>
      </c>
      <c r="D1310" s="13" t="s">
        <v>180</v>
      </c>
      <c r="E1310" s="35">
        <f>VLOOKUP(B1310, Passenger_Kilometre_by_mode_type[#All],MATCH(A1310, Passenger_Kilometre_by_mode_type[#Headers],0),0)</f>
        <v>2709659549.1139545</v>
      </c>
      <c r="F1310" s="89">
        <f>VLOOKUP(C1310, Reason_for_public_transport_journeys_by_percentage[#All],MATCH(A1310, Reason_for_public_transport_journeys_by_percentage[#Headers],0),0)/100</f>
        <v>0.2525</v>
      </c>
      <c r="G1310" s="13">
        <f t="shared" si="102"/>
        <v>684189036.15127349</v>
      </c>
      <c r="H1310" s="89">
        <f>VLOOKUP(D1310,Average_Distance_by_kilometre_grouping_for_mode_type[#All],MATCH(A1310,Average_Distance_by_kilometre_grouping_for_mode_type[#Headers],0),0)</f>
        <v>5</v>
      </c>
      <c r="I1310" s="89">
        <f>VLOOKUP(D1310,Average_Distance_by_kilometres_grouping_for_trip_purpose[#All],MATCH(A1310,Average_Distance_by_kilometres_grouping_for_trip_purpose[#Headers],0),0)</f>
        <v>5</v>
      </c>
      <c r="J1310" s="89">
        <f t="shared" si="103"/>
        <v>5</v>
      </c>
      <c r="K1310" s="89">
        <f t="shared" si="104"/>
        <v>8.8152327221438648E-2</v>
      </c>
      <c r="L1310" s="89">
        <v>1</v>
      </c>
      <c r="M1310" s="13">
        <f t="shared" si="105"/>
        <v>60312855.796127774</v>
      </c>
      <c r="N1310" s="11">
        <f t="shared" si="101"/>
        <v>1.0422832193255748E-3</v>
      </c>
    </row>
    <row r="1311" spans="1:14" x14ac:dyDescent="0.25">
      <c r="A1311" s="79" t="s">
        <v>34</v>
      </c>
      <c r="B1311" s="89" t="s">
        <v>10</v>
      </c>
      <c r="C1311" s="89" t="s">
        <v>42</v>
      </c>
      <c r="D1311" s="13" t="s">
        <v>182</v>
      </c>
      <c r="E1311" s="35">
        <f>VLOOKUP(B1311, Passenger_Kilometre_by_mode_type[#All],MATCH(A1311, Passenger_Kilometre_by_mode_type[#Headers],0),0)</f>
        <v>2709659549.1139545</v>
      </c>
      <c r="F1311" s="89">
        <f>VLOOKUP(C1311, Reason_for_public_transport_journeys_by_percentage[#All],MATCH(A1311, Reason_for_public_transport_journeys_by_percentage[#Headers],0),0)/100</f>
        <v>0.2525</v>
      </c>
      <c r="G1311" s="13">
        <f t="shared" si="102"/>
        <v>684189036.15127349</v>
      </c>
      <c r="H1311" s="89">
        <f>VLOOKUP(D1311,Average_Distance_by_kilometre_grouping_for_mode_type[#All],MATCH(A1311,Average_Distance_by_kilometre_grouping_for_mode_type[#Headers],0),0)</f>
        <v>7</v>
      </c>
      <c r="I1311" s="89">
        <f>VLOOKUP(D1311,Average_Distance_by_kilometres_grouping_for_trip_purpose[#All],MATCH(A1311,Average_Distance_by_kilometres_grouping_for_trip_purpose[#Headers],0),0)</f>
        <v>7</v>
      </c>
      <c r="J1311" s="89">
        <f t="shared" si="103"/>
        <v>7</v>
      </c>
      <c r="K1311" s="89">
        <f t="shared" si="104"/>
        <v>0.12341325811001411</v>
      </c>
      <c r="L1311" s="89">
        <v>1</v>
      </c>
      <c r="M1311" s="13">
        <f t="shared" si="105"/>
        <v>84437998.114578888</v>
      </c>
      <c r="N1311" s="11">
        <f t="shared" si="101"/>
        <v>1.4591965070558047E-3</v>
      </c>
    </row>
    <row r="1312" spans="1:14" x14ac:dyDescent="0.25">
      <c r="A1312" s="79" t="s">
        <v>34</v>
      </c>
      <c r="B1312" s="89" t="s">
        <v>10</v>
      </c>
      <c r="C1312" s="89" t="s">
        <v>42</v>
      </c>
      <c r="D1312" s="13" t="s">
        <v>1</v>
      </c>
      <c r="E1312" s="35">
        <f>VLOOKUP(B1312, Passenger_Kilometre_by_mode_type[#All],MATCH(A1312, Passenger_Kilometre_by_mode_type[#Headers],0),0)</f>
        <v>2709659549.1139545</v>
      </c>
      <c r="F1312" s="89">
        <f>VLOOKUP(C1312, Reason_for_public_transport_journeys_by_percentage[#All],MATCH(A1312, Reason_for_public_transport_journeys_by_percentage[#Headers],0),0)/100</f>
        <v>0.2525</v>
      </c>
      <c r="G1312" s="13">
        <f t="shared" si="102"/>
        <v>684189036.15127349</v>
      </c>
      <c r="H1312" s="89">
        <f>VLOOKUP(D1312,Average_Distance_by_kilometre_grouping_for_mode_type[#All],MATCH(A1312,Average_Distance_by_kilometre_grouping_for_mode_type[#Headers],0),0)</f>
        <v>38.99</v>
      </c>
      <c r="I1312" s="89">
        <f>VLOOKUP(D1312,Average_Distance_by_kilometres_grouping_for_trip_purpose[#All],MATCH(A1312,Average_Distance_by_kilometres_grouping_for_trip_purpose[#Headers],0),0)</f>
        <v>42.45</v>
      </c>
      <c r="J1312" s="89">
        <f t="shared" si="103"/>
        <v>40.72</v>
      </c>
      <c r="K1312" s="89">
        <f t="shared" si="104"/>
        <v>0.71791255289139633</v>
      </c>
      <c r="L1312" s="89">
        <v>1</v>
      </c>
      <c r="M1312" s="13">
        <f t="shared" si="105"/>
        <v>491187897.60366458</v>
      </c>
      <c r="N1312" s="11">
        <f t="shared" si="101"/>
        <v>8.4883545381874807E-3</v>
      </c>
    </row>
    <row r="1313" spans="1:14" x14ac:dyDescent="0.25">
      <c r="A1313" s="79" t="s">
        <v>34</v>
      </c>
      <c r="B1313" s="89" t="s">
        <v>10</v>
      </c>
      <c r="C1313" s="89" t="s">
        <v>43</v>
      </c>
      <c r="D1313" s="13" t="s">
        <v>12</v>
      </c>
      <c r="E1313" s="35">
        <f>VLOOKUP(B1313, Passenger_Kilometre_by_mode_type[#All],MATCH(A1313, Passenger_Kilometre_by_mode_type[#Headers],0),0)</f>
        <v>2709659549.1139545</v>
      </c>
      <c r="F1313" s="89">
        <f>VLOOKUP(C1313, Reason_for_public_transport_journeys_by_percentage[#All],MATCH(A1313, Reason_for_public_transport_journeys_by_percentage[#Headers],0),0)/100</f>
        <v>0.11775000000000002</v>
      </c>
      <c r="G1313" s="13">
        <f t="shared" si="102"/>
        <v>319062411.9081682</v>
      </c>
      <c r="H1313" s="89">
        <f>VLOOKUP(D1313,Average_Distance_by_kilometre_grouping_for_mode_type[#All],MATCH(A1313,Average_Distance_by_kilometre_grouping_for_mode_type[#Headers],0),0)</f>
        <v>1</v>
      </c>
      <c r="I1313" s="89">
        <f>VLOOKUP(D1313,Average_Distance_by_kilometres_grouping_for_trip_purpose[#All],MATCH(A1313,Average_Distance_by_kilometres_grouping_for_trip_purpose[#Headers],0),0)</f>
        <v>1</v>
      </c>
      <c r="J1313" s="89">
        <f t="shared" si="103"/>
        <v>1</v>
      </c>
      <c r="K1313" s="89">
        <f t="shared" si="104"/>
        <v>1.763046544428773E-2</v>
      </c>
      <c r="L1313" s="89">
        <v>1</v>
      </c>
      <c r="M1313" s="13">
        <f t="shared" si="105"/>
        <v>5625218.8277180567</v>
      </c>
      <c r="N1313" s="11">
        <f t="shared" si="101"/>
        <v>9.7210969564820953E-5</v>
      </c>
    </row>
    <row r="1314" spans="1:14" x14ac:dyDescent="0.25">
      <c r="A1314" s="79" t="s">
        <v>34</v>
      </c>
      <c r="B1314" s="89" t="s">
        <v>10</v>
      </c>
      <c r="C1314" s="89" t="s">
        <v>43</v>
      </c>
      <c r="D1314" s="13" t="s">
        <v>181</v>
      </c>
      <c r="E1314" s="35">
        <f>VLOOKUP(B1314, Passenger_Kilometre_by_mode_type[#All],MATCH(A1314, Passenger_Kilometre_by_mode_type[#Headers],0),0)</f>
        <v>2709659549.1139545</v>
      </c>
      <c r="F1314" s="89">
        <f>VLOOKUP(C1314, Reason_for_public_transport_journeys_by_percentage[#All],MATCH(A1314, Reason_for_public_transport_journeys_by_percentage[#Headers],0),0)/100</f>
        <v>0.11775000000000002</v>
      </c>
      <c r="G1314" s="13">
        <f t="shared" si="102"/>
        <v>319062411.9081682</v>
      </c>
      <c r="H1314" s="89">
        <f>VLOOKUP(D1314,Average_Distance_by_kilometre_grouping_for_mode_type[#All],MATCH(A1314,Average_Distance_by_kilometre_grouping_for_mode_type[#Headers],0),0)</f>
        <v>3</v>
      </c>
      <c r="I1314" s="89">
        <f>VLOOKUP(D1314,Average_Distance_by_kilometres_grouping_for_trip_purpose[#All],MATCH(A1314,Average_Distance_by_kilometres_grouping_for_trip_purpose[#Headers],0),0)</f>
        <v>3</v>
      </c>
      <c r="J1314" s="89">
        <f t="shared" si="103"/>
        <v>3</v>
      </c>
      <c r="K1314" s="89">
        <f t="shared" si="104"/>
        <v>5.2891396332863189E-2</v>
      </c>
      <c r="L1314" s="89">
        <v>1</v>
      </c>
      <c r="M1314" s="13">
        <f t="shared" si="105"/>
        <v>16875656.48315417</v>
      </c>
      <c r="N1314" s="11">
        <f t="shared" si="101"/>
        <v>2.9163290869446289E-4</v>
      </c>
    </row>
    <row r="1315" spans="1:14" x14ac:dyDescent="0.25">
      <c r="A1315" s="79" t="s">
        <v>34</v>
      </c>
      <c r="B1315" s="89" t="s">
        <v>10</v>
      </c>
      <c r="C1315" s="89" t="s">
        <v>43</v>
      </c>
      <c r="D1315" s="13" t="s">
        <v>180</v>
      </c>
      <c r="E1315" s="35">
        <f>VLOOKUP(B1315, Passenger_Kilometre_by_mode_type[#All],MATCH(A1315, Passenger_Kilometre_by_mode_type[#Headers],0),0)</f>
        <v>2709659549.1139545</v>
      </c>
      <c r="F1315" s="89">
        <f>VLOOKUP(C1315, Reason_for_public_transport_journeys_by_percentage[#All],MATCH(A1315, Reason_for_public_transport_journeys_by_percentage[#Headers],0),0)/100</f>
        <v>0.11775000000000002</v>
      </c>
      <c r="G1315" s="13">
        <f t="shared" si="102"/>
        <v>319062411.9081682</v>
      </c>
      <c r="H1315" s="89">
        <f>VLOOKUP(D1315,Average_Distance_by_kilometre_grouping_for_mode_type[#All],MATCH(A1315,Average_Distance_by_kilometre_grouping_for_mode_type[#Headers],0),0)</f>
        <v>5</v>
      </c>
      <c r="I1315" s="89">
        <f>VLOOKUP(D1315,Average_Distance_by_kilometres_grouping_for_trip_purpose[#All],MATCH(A1315,Average_Distance_by_kilometres_grouping_for_trip_purpose[#Headers],0),0)</f>
        <v>5</v>
      </c>
      <c r="J1315" s="89">
        <f t="shared" si="103"/>
        <v>5</v>
      </c>
      <c r="K1315" s="89">
        <f t="shared" si="104"/>
        <v>8.8152327221438648E-2</v>
      </c>
      <c r="L1315" s="89">
        <v>1</v>
      </c>
      <c r="M1315" s="13">
        <f t="shared" si="105"/>
        <v>28126094.138590287</v>
      </c>
      <c r="N1315" s="11">
        <f t="shared" si="101"/>
        <v>4.8605484782410485E-4</v>
      </c>
    </row>
    <row r="1316" spans="1:14" x14ac:dyDescent="0.25">
      <c r="A1316" s="79" t="s">
        <v>34</v>
      </c>
      <c r="B1316" s="89" t="s">
        <v>10</v>
      </c>
      <c r="C1316" s="89" t="s">
        <v>43</v>
      </c>
      <c r="D1316" s="13" t="s">
        <v>182</v>
      </c>
      <c r="E1316" s="35">
        <f>VLOOKUP(B1316, Passenger_Kilometre_by_mode_type[#All],MATCH(A1316, Passenger_Kilometre_by_mode_type[#Headers],0),0)</f>
        <v>2709659549.1139545</v>
      </c>
      <c r="F1316" s="89">
        <f>VLOOKUP(C1316, Reason_for_public_transport_journeys_by_percentage[#All],MATCH(A1316, Reason_for_public_transport_journeys_by_percentage[#Headers],0),0)/100</f>
        <v>0.11775000000000002</v>
      </c>
      <c r="G1316" s="13">
        <f t="shared" si="102"/>
        <v>319062411.9081682</v>
      </c>
      <c r="H1316" s="89">
        <f>VLOOKUP(D1316,Average_Distance_by_kilometre_grouping_for_mode_type[#All],MATCH(A1316,Average_Distance_by_kilometre_grouping_for_mode_type[#Headers],0),0)</f>
        <v>7</v>
      </c>
      <c r="I1316" s="89">
        <f>VLOOKUP(D1316,Average_Distance_by_kilometres_grouping_for_trip_purpose[#All],MATCH(A1316,Average_Distance_by_kilometres_grouping_for_trip_purpose[#Headers],0),0)</f>
        <v>7</v>
      </c>
      <c r="J1316" s="89">
        <f t="shared" si="103"/>
        <v>7</v>
      </c>
      <c r="K1316" s="89">
        <f t="shared" si="104"/>
        <v>0.12341325811001411</v>
      </c>
      <c r="L1316" s="89">
        <v>1</v>
      </c>
      <c r="M1316" s="13">
        <f t="shared" si="105"/>
        <v>39376531.794026397</v>
      </c>
      <c r="N1316" s="11">
        <f t="shared" si="101"/>
        <v>6.804767869537467E-4</v>
      </c>
    </row>
    <row r="1317" spans="1:14" x14ac:dyDescent="0.25">
      <c r="A1317" s="79" t="s">
        <v>34</v>
      </c>
      <c r="B1317" s="89" t="s">
        <v>10</v>
      </c>
      <c r="C1317" s="89" t="s">
        <v>43</v>
      </c>
      <c r="D1317" s="13" t="s">
        <v>1</v>
      </c>
      <c r="E1317" s="35">
        <f>VLOOKUP(B1317, Passenger_Kilometre_by_mode_type[#All],MATCH(A1317, Passenger_Kilometre_by_mode_type[#Headers],0),0)</f>
        <v>2709659549.1139545</v>
      </c>
      <c r="F1317" s="89">
        <f>VLOOKUP(C1317, Reason_for_public_transport_journeys_by_percentage[#All],MATCH(A1317, Reason_for_public_transport_journeys_by_percentage[#Headers],0),0)/100</f>
        <v>0.11775000000000002</v>
      </c>
      <c r="G1317" s="13">
        <f t="shared" si="102"/>
        <v>319062411.9081682</v>
      </c>
      <c r="H1317" s="89">
        <f>VLOOKUP(D1317,Average_Distance_by_kilometre_grouping_for_mode_type[#All],MATCH(A1317,Average_Distance_by_kilometre_grouping_for_mode_type[#Headers],0),0)</f>
        <v>38.99</v>
      </c>
      <c r="I1317" s="89">
        <f>VLOOKUP(D1317,Average_Distance_by_kilometres_grouping_for_trip_purpose[#All],MATCH(A1317,Average_Distance_by_kilometres_grouping_for_trip_purpose[#Headers],0),0)</f>
        <v>42.45</v>
      </c>
      <c r="J1317" s="89">
        <f t="shared" si="103"/>
        <v>40.72</v>
      </c>
      <c r="K1317" s="89">
        <f t="shared" si="104"/>
        <v>0.71791255289139633</v>
      </c>
      <c r="L1317" s="89">
        <v>1</v>
      </c>
      <c r="M1317" s="13">
        <f t="shared" si="105"/>
        <v>229058910.66467929</v>
      </c>
      <c r="N1317" s="11">
        <f t="shared" si="101"/>
        <v>3.9584306806795099E-3</v>
      </c>
    </row>
    <row r="1318" spans="1:14" x14ac:dyDescent="0.25">
      <c r="A1318" s="79" t="s">
        <v>34</v>
      </c>
      <c r="B1318" s="89" t="s">
        <v>10</v>
      </c>
      <c r="C1318" s="89" t="s">
        <v>44</v>
      </c>
      <c r="D1318" s="13" t="s">
        <v>12</v>
      </c>
      <c r="E1318" s="35">
        <f>VLOOKUP(B1318, Passenger_Kilometre_by_mode_type[#All],MATCH(A1318, Passenger_Kilometre_by_mode_type[#Headers],0),0)</f>
        <v>2709659549.1139545</v>
      </c>
      <c r="F1318" s="89">
        <f>VLOOKUP(C1318, Reason_for_public_transport_journeys_by_percentage[#All],MATCH(A1318, Reason_for_public_transport_journeys_by_percentage[#Headers],0),0)/100</f>
        <v>0.25125000000000003</v>
      </c>
      <c r="G1318" s="13">
        <f t="shared" si="102"/>
        <v>680801961.71488118</v>
      </c>
      <c r="H1318" s="89">
        <f>VLOOKUP(D1318,Average_Distance_by_kilometre_grouping_for_mode_type[#All],MATCH(A1318,Average_Distance_by_kilometre_grouping_for_mode_type[#Headers],0),0)</f>
        <v>1</v>
      </c>
      <c r="I1318" s="89">
        <f>VLOOKUP(D1318,Average_Distance_by_kilometres_grouping_for_trip_purpose[#All],MATCH(A1318,Average_Distance_by_kilometres_grouping_for_trip_purpose[#Headers],0),0)</f>
        <v>1</v>
      </c>
      <c r="J1318" s="89">
        <f t="shared" si="103"/>
        <v>1</v>
      </c>
      <c r="K1318" s="89">
        <f t="shared" si="104"/>
        <v>1.763046544428773E-2</v>
      </c>
      <c r="L1318" s="89">
        <v>1</v>
      </c>
      <c r="M1318" s="13">
        <f t="shared" si="105"/>
        <v>12002855.460417511</v>
      </c>
      <c r="N1318" s="11">
        <f t="shared" si="101"/>
        <v>2.0742468028162435E-4</v>
      </c>
    </row>
    <row r="1319" spans="1:14" x14ac:dyDescent="0.25">
      <c r="A1319" s="79" t="s">
        <v>34</v>
      </c>
      <c r="B1319" s="89" t="s">
        <v>10</v>
      </c>
      <c r="C1319" s="89" t="s">
        <v>44</v>
      </c>
      <c r="D1319" s="13" t="s">
        <v>181</v>
      </c>
      <c r="E1319" s="35">
        <f>VLOOKUP(B1319, Passenger_Kilometre_by_mode_type[#All],MATCH(A1319, Passenger_Kilometre_by_mode_type[#Headers],0),0)</f>
        <v>2709659549.1139545</v>
      </c>
      <c r="F1319" s="89">
        <f>VLOOKUP(C1319, Reason_for_public_transport_journeys_by_percentage[#All],MATCH(A1319, Reason_for_public_transport_journeys_by_percentage[#Headers],0),0)/100</f>
        <v>0.25125000000000003</v>
      </c>
      <c r="G1319" s="13">
        <f t="shared" si="102"/>
        <v>680801961.71488118</v>
      </c>
      <c r="H1319" s="89">
        <f>VLOOKUP(D1319,Average_Distance_by_kilometre_grouping_for_mode_type[#All],MATCH(A1319,Average_Distance_by_kilometre_grouping_for_mode_type[#Headers],0),0)</f>
        <v>3</v>
      </c>
      <c r="I1319" s="89">
        <f>VLOOKUP(D1319,Average_Distance_by_kilometres_grouping_for_trip_purpose[#All],MATCH(A1319,Average_Distance_by_kilometres_grouping_for_trip_purpose[#Headers],0),0)</f>
        <v>3</v>
      </c>
      <c r="J1319" s="89">
        <f t="shared" si="103"/>
        <v>3</v>
      </c>
      <c r="K1319" s="89">
        <f t="shared" si="104"/>
        <v>5.2891396332863189E-2</v>
      </c>
      <c r="L1319" s="89">
        <v>1</v>
      </c>
      <c r="M1319" s="13">
        <f t="shared" si="105"/>
        <v>36008566.381252535</v>
      </c>
      <c r="N1319" s="11">
        <f t="shared" si="101"/>
        <v>6.2227404084487308E-4</v>
      </c>
    </row>
    <row r="1320" spans="1:14" x14ac:dyDescent="0.25">
      <c r="A1320" s="79" t="s">
        <v>34</v>
      </c>
      <c r="B1320" s="89" t="s">
        <v>10</v>
      </c>
      <c r="C1320" s="89" t="s">
        <v>44</v>
      </c>
      <c r="D1320" s="13" t="s">
        <v>180</v>
      </c>
      <c r="E1320" s="35">
        <f>VLOOKUP(B1320, Passenger_Kilometre_by_mode_type[#All],MATCH(A1320, Passenger_Kilometre_by_mode_type[#Headers],0),0)</f>
        <v>2709659549.1139545</v>
      </c>
      <c r="F1320" s="89">
        <f>VLOOKUP(C1320, Reason_for_public_transport_journeys_by_percentage[#All],MATCH(A1320, Reason_for_public_transport_journeys_by_percentage[#Headers],0),0)/100</f>
        <v>0.25125000000000003</v>
      </c>
      <c r="G1320" s="13">
        <f t="shared" si="102"/>
        <v>680801961.71488118</v>
      </c>
      <c r="H1320" s="89">
        <f>VLOOKUP(D1320,Average_Distance_by_kilometre_grouping_for_mode_type[#All],MATCH(A1320,Average_Distance_by_kilometre_grouping_for_mode_type[#Headers],0),0)</f>
        <v>5</v>
      </c>
      <c r="I1320" s="89">
        <f>VLOOKUP(D1320,Average_Distance_by_kilometres_grouping_for_trip_purpose[#All],MATCH(A1320,Average_Distance_by_kilometres_grouping_for_trip_purpose[#Headers],0),0)</f>
        <v>5</v>
      </c>
      <c r="J1320" s="89">
        <f t="shared" si="103"/>
        <v>5</v>
      </c>
      <c r="K1320" s="89">
        <f t="shared" si="104"/>
        <v>8.8152327221438648E-2</v>
      </c>
      <c r="L1320" s="89">
        <v>1</v>
      </c>
      <c r="M1320" s="13">
        <f t="shared" si="105"/>
        <v>60014277.302087553</v>
      </c>
      <c r="N1320" s="11">
        <f t="shared" si="101"/>
        <v>1.0371234014081218E-3</v>
      </c>
    </row>
    <row r="1321" spans="1:14" x14ac:dyDescent="0.25">
      <c r="A1321" s="79" t="s">
        <v>34</v>
      </c>
      <c r="B1321" s="89" t="s">
        <v>10</v>
      </c>
      <c r="C1321" s="89" t="s">
        <v>44</v>
      </c>
      <c r="D1321" s="13" t="s">
        <v>182</v>
      </c>
      <c r="E1321" s="35">
        <f>VLOOKUP(B1321, Passenger_Kilometre_by_mode_type[#All],MATCH(A1321, Passenger_Kilometre_by_mode_type[#Headers],0),0)</f>
        <v>2709659549.1139545</v>
      </c>
      <c r="F1321" s="89">
        <f>VLOOKUP(C1321, Reason_for_public_transport_journeys_by_percentage[#All],MATCH(A1321, Reason_for_public_transport_journeys_by_percentage[#Headers],0),0)/100</f>
        <v>0.25125000000000003</v>
      </c>
      <c r="G1321" s="13">
        <f t="shared" si="102"/>
        <v>680801961.71488118</v>
      </c>
      <c r="H1321" s="89">
        <f>VLOOKUP(D1321,Average_Distance_by_kilometre_grouping_for_mode_type[#All],MATCH(A1321,Average_Distance_by_kilometre_grouping_for_mode_type[#Headers],0),0)</f>
        <v>7</v>
      </c>
      <c r="I1321" s="89">
        <f>VLOOKUP(D1321,Average_Distance_by_kilometres_grouping_for_trip_purpose[#All],MATCH(A1321,Average_Distance_by_kilometres_grouping_for_trip_purpose[#Headers],0),0)</f>
        <v>7</v>
      </c>
      <c r="J1321" s="89">
        <f t="shared" si="103"/>
        <v>7</v>
      </c>
      <c r="K1321" s="89">
        <f t="shared" si="104"/>
        <v>0.12341325811001411</v>
      </c>
      <c r="L1321" s="89">
        <v>1</v>
      </c>
      <c r="M1321" s="13">
        <f t="shared" si="105"/>
        <v>84019988.222922578</v>
      </c>
      <c r="N1321" s="11">
        <f t="shared" si="101"/>
        <v>1.4519727619713705E-3</v>
      </c>
    </row>
    <row r="1322" spans="1:14" x14ac:dyDescent="0.25">
      <c r="A1322" s="79" t="s">
        <v>34</v>
      </c>
      <c r="B1322" s="89" t="s">
        <v>10</v>
      </c>
      <c r="C1322" s="89" t="s">
        <v>44</v>
      </c>
      <c r="D1322" s="13" t="s">
        <v>1</v>
      </c>
      <c r="E1322" s="35">
        <f>VLOOKUP(B1322, Passenger_Kilometre_by_mode_type[#All],MATCH(A1322, Passenger_Kilometre_by_mode_type[#Headers],0),0)</f>
        <v>2709659549.1139545</v>
      </c>
      <c r="F1322" s="89">
        <f>VLOOKUP(C1322, Reason_for_public_transport_journeys_by_percentage[#All],MATCH(A1322, Reason_for_public_transport_journeys_by_percentage[#Headers],0),0)/100</f>
        <v>0.25125000000000003</v>
      </c>
      <c r="G1322" s="13">
        <f t="shared" si="102"/>
        <v>680801961.71488118</v>
      </c>
      <c r="H1322" s="89">
        <f>VLOOKUP(D1322,Average_Distance_by_kilometre_grouping_for_mode_type[#All],MATCH(A1322,Average_Distance_by_kilometre_grouping_for_mode_type[#Headers],0),0)</f>
        <v>38.99</v>
      </c>
      <c r="I1322" s="89">
        <f>VLOOKUP(D1322,Average_Distance_by_kilometres_grouping_for_trip_purpose[#All],MATCH(A1322,Average_Distance_by_kilometres_grouping_for_trip_purpose[#Headers],0),0)</f>
        <v>42.45</v>
      </c>
      <c r="J1322" s="89">
        <f t="shared" si="103"/>
        <v>40.72</v>
      </c>
      <c r="K1322" s="89">
        <f t="shared" si="104"/>
        <v>0.71791255289139633</v>
      </c>
      <c r="L1322" s="89">
        <v>1</v>
      </c>
      <c r="M1322" s="13">
        <f t="shared" si="105"/>
        <v>488756274.34820104</v>
      </c>
      <c r="N1322" s="11">
        <f t="shared" si="101"/>
        <v>8.4463329810677435E-3</v>
      </c>
    </row>
    <row r="1323" spans="1:14" x14ac:dyDescent="0.25">
      <c r="A1323" s="79" t="s">
        <v>34</v>
      </c>
      <c r="B1323" s="89" t="s">
        <v>10</v>
      </c>
      <c r="C1323" s="89" t="s">
        <v>45</v>
      </c>
      <c r="D1323" s="13" t="s">
        <v>12</v>
      </c>
      <c r="E1323" s="35">
        <f>VLOOKUP(B1323, Passenger_Kilometre_by_mode_type[#All],MATCH(A1323, Passenger_Kilometre_by_mode_type[#Headers],0),0)</f>
        <v>2709659549.1139545</v>
      </c>
      <c r="F1323" s="89">
        <f>VLOOKUP(C1323, Reason_for_public_transport_journeys_by_percentage[#All],MATCH(A1323, Reason_for_public_transport_journeys_by_percentage[#Headers],0),0)/100</f>
        <v>2.3250000000000003E-2</v>
      </c>
      <c r="G1323" s="13">
        <f t="shared" si="102"/>
        <v>62999584.516899452</v>
      </c>
      <c r="H1323" s="89">
        <f>VLOOKUP(D1323,Average_Distance_by_kilometre_grouping_for_mode_type[#All],MATCH(A1323,Average_Distance_by_kilometre_grouping_for_mode_type[#Headers],0),0)</f>
        <v>1</v>
      </c>
      <c r="I1323" s="89">
        <f>VLOOKUP(D1323,Average_Distance_by_kilometres_grouping_for_trip_purpose[#All],MATCH(A1323,Average_Distance_by_kilometres_grouping_for_trip_purpose[#Headers],0),0)</f>
        <v>1</v>
      </c>
      <c r="J1323" s="89">
        <f t="shared" si="103"/>
        <v>1</v>
      </c>
      <c r="K1323" s="89">
        <f t="shared" si="104"/>
        <v>1.763046544428773E-2</v>
      </c>
      <c r="L1323" s="89">
        <v>1</v>
      </c>
      <c r="M1323" s="13">
        <f t="shared" si="105"/>
        <v>1110711.9978296801</v>
      </c>
      <c r="N1323" s="11">
        <f t="shared" si="101"/>
        <v>1.9194522652926434E-5</v>
      </c>
    </row>
    <row r="1324" spans="1:14" x14ac:dyDescent="0.25">
      <c r="A1324" s="79" t="s">
        <v>34</v>
      </c>
      <c r="B1324" s="89" t="s">
        <v>10</v>
      </c>
      <c r="C1324" s="89" t="s">
        <v>45</v>
      </c>
      <c r="D1324" s="13" t="s">
        <v>181</v>
      </c>
      <c r="E1324" s="35">
        <f>VLOOKUP(B1324, Passenger_Kilometre_by_mode_type[#All],MATCH(A1324, Passenger_Kilometre_by_mode_type[#Headers],0),0)</f>
        <v>2709659549.1139545</v>
      </c>
      <c r="F1324" s="89">
        <f>VLOOKUP(C1324, Reason_for_public_transport_journeys_by_percentage[#All],MATCH(A1324, Reason_for_public_transport_journeys_by_percentage[#Headers],0),0)/100</f>
        <v>2.3250000000000003E-2</v>
      </c>
      <c r="G1324" s="13">
        <f t="shared" si="102"/>
        <v>62999584.516899452</v>
      </c>
      <c r="H1324" s="89">
        <f>VLOOKUP(D1324,Average_Distance_by_kilometre_grouping_for_mode_type[#All],MATCH(A1324,Average_Distance_by_kilometre_grouping_for_mode_type[#Headers],0),0)</f>
        <v>3</v>
      </c>
      <c r="I1324" s="89">
        <f>VLOOKUP(D1324,Average_Distance_by_kilometres_grouping_for_trip_purpose[#All],MATCH(A1324,Average_Distance_by_kilometres_grouping_for_trip_purpose[#Headers],0),0)</f>
        <v>3</v>
      </c>
      <c r="J1324" s="89">
        <f t="shared" si="103"/>
        <v>3</v>
      </c>
      <c r="K1324" s="89">
        <f t="shared" si="104"/>
        <v>5.2891396332863189E-2</v>
      </c>
      <c r="L1324" s="89">
        <v>1</v>
      </c>
      <c r="M1324" s="13">
        <f t="shared" si="105"/>
        <v>3332135.9934890401</v>
      </c>
      <c r="N1324" s="11">
        <f t="shared" si="101"/>
        <v>5.7583567958779292E-5</v>
      </c>
    </row>
    <row r="1325" spans="1:14" x14ac:dyDescent="0.25">
      <c r="A1325" s="79" t="s">
        <v>34</v>
      </c>
      <c r="B1325" s="89" t="s">
        <v>10</v>
      </c>
      <c r="C1325" s="89" t="s">
        <v>45</v>
      </c>
      <c r="D1325" s="13" t="s">
        <v>180</v>
      </c>
      <c r="E1325" s="35">
        <f>VLOOKUP(B1325, Passenger_Kilometre_by_mode_type[#All],MATCH(A1325, Passenger_Kilometre_by_mode_type[#Headers],0),0)</f>
        <v>2709659549.1139545</v>
      </c>
      <c r="F1325" s="89">
        <f>VLOOKUP(C1325, Reason_for_public_transport_journeys_by_percentage[#All],MATCH(A1325, Reason_for_public_transport_journeys_by_percentage[#Headers],0),0)/100</f>
        <v>2.3250000000000003E-2</v>
      </c>
      <c r="G1325" s="13">
        <f t="shared" si="102"/>
        <v>62999584.516899452</v>
      </c>
      <c r="H1325" s="89">
        <f>VLOOKUP(D1325,Average_Distance_by_kilometre_grouping_for_mode_type[#All],MATCH(A1325,Average_Distance_by_kilometre_grouping_for_mode_type[#Headers],0),0)</f>
        <v>5</v>
      </c>
      <c r="I1325" s="89">
        <f>VLOOKUP(D1325,Average_Distance_by_kilometres_grouping_for_trip_purpose[#All],MATCH(A1325,Average_Distance_by_kilometres_grouping_for_trip_purpose[#Headers],0),0)</f>
        <v>5</v>
      </c>
      <c r="J1325" s="89">
        <f t="shared" si="103"/>
        <v>5</v>
      </c>
      <c r="K1325" s="89">
        <f t="shared" si="104"/>
        <v>8.8152327221438648E-2</v>
      </c>
      <c r="L1325" s="89">
        <v>1</v>
      </c>
      <c r="M1325" s="13">
        <f t="shared" si="105"/>
        <v>5553559.9891484007</v>
      </c>
      <c r="N1325" s="11">
        <f t="shared" si="101"/>
        <v>9.5972613264632174E-5</v>
      </c>
    </row>
    <row r="1326" spans="1:14" x14ac:dyDescent="0.25">
      <c r="A1326" s="79" t="s">
        <v>34</v>
      </c>
      <c r="B1326" s="89" t="s">
        <v>10</v>
      </c>
      <c r="C1326" s="89" t="s">
        <v>45</v>
      </c>
      <c r="D1326" s="13" t="s">
        <v>182</v>
      </c>
      <c r="E1326" s="35">
        <f>VLOOKUP(B1326, Passenger_Kilometre_by_mode_type[#All],MATCH(A1326, Passenger_Kilometre_by_mode_type[#Headers],0),0)</f>
        <v>2709659549.1139545</v>
      </c>
      <c r="F1326" s="89">
        <f>VLOOKUP(C1326, Reason_for_public_transport_journeys_by_percentage[#All],MATCH(A1326, Reason_for_public_transport_journeys_by_percentage[#Headers],0),0)/100</f>
        <v>2.3250000000000003E-2</v>
      </c>
      <c r="G1326" s="13">
        <f t="shared" si="102"/>
        <v>62999584.516899452</v>
      </c>
      <c r="H1326" s="89">
        <f>VLOOKUP(D1326,Average_Distance_by_kilometre_grouping_for_mode_type[#All],MATCH(A1326,Average_Distance_by_kilometre_grouping_for_mode_type[#Headers],0),0)</f>
        <v>7</v>
      </c>
      <c r="I1326" s="89">
        <f>VLOOKUP(D1326,Average_Distance_by_kilometres_grouping_for_trip_purpose[#All],MATCH(A1326,Average_Distance_by_kilometres_grouping_for_trip_purpose[#Headers],0),0)</f>
        <v>7</v>
      </c>
      <c r="J1326" s="89">
        <f t="shared" si="103"/>
        <v>7</v>
      </c>
      <c r="K1326" s="89">
        <f t="shared" si="104"/>
        <v>0.12341325811001411</v>
      </c>
      <c r="L1326" s="89">
        <v>1</v>
      </c>
      <c r="M1326" s="13">
        <f t="shared" si="105"/>
        <v>7774983.9848077605</v>
      </c>
      <c r="N1326" s="11">
        <f t="shared" si="101"/>
        <v>1.3436165857048503E-4</v>
      </c>
    </row>
    <row r="1327" spans="1:14" x14ac:dyDescent="0.25">
      <c r="A1327" s="79" t="s">
        <v>34</v>
      </c>
      <c r="B1327" s="89" t="s">
        <v>10</v>
      </c>
      <c r="C1327" s="89" t="s">
        <v>45</v>
      </c>
      <c r="D1327" s="13" t="s">
        <v>1</v>
      </c>
      <c r="E1327" s="35">
        <f>VLOOKUP(B1327, Passenger_Kilometre_by_mode_type[#All],MATCH(A1327, Passenger_Kilometre_by_mode_type[#Headers],0),0)</f>
        <v>2709659549.1139545</v>
      </c>
      <c r="F1327" s="89">
        <f>VLOOKUP(C1327, Reason_for_public_transport_journeys_by_percentage[#All],MATCH(A1327, Reason_for_public_transport_journeys_by_percentage[#Headers],0),0)/100</f>
        <v>2.3250000000000003E-2</v>
      </c>
      <c r="G1327" s="13">
        <f t="shared" si="102"/>
        <v>62999584.516899452</v>
      </c>
      <c r="H1327" s="89">
        <f>VLOOKUP(D1327,Average_Distance_by_kilometre_grouping_for_mode_type[#All],MATCH(A1327,Average_Distance_by_kilometre_grouping_for_mode_type[#Headers],0),0)</f>
        <v>38.99</v>
      </c>
      <c r="I1327" s="89">
        <f>VLOOKUP(D1327,Average_Distance_by_kilometres_grouping_for_trip_purpose[#All],MATCH(A1327,Average_Distance_by_kilometres_grouping_for_trip_purpose[#Headers],0),0)</f>
        <v>42.45</v>
      </c>
      <c r="J1327" s="89">
        <f t="shared" si="103"/>
        <v>40.72</v>
      </c>
      <c r="K1327" s="89">
        <f t="shared" si="104"/>
        <v>0.71791255289139633</v>
      </c>
      <c r="L1327" s="89">
        <v>1</v>
      </c>
      <c r="M1327" s="13">
        <f t="shared" si="105"/>
        <v>45228192.551624574</v>
      </c>
      <c r="N1327" s="11">
        <f t="shared" si="101"/>
        <v>7.8160096242716436E-4</v>
      </c>
    </row>
    <row r="1328" spans="1:14" x14ac:dyDescent="0.25">
      <c r="A1328" s="79" t="s">
        <v>34</v>
      </c>
      <c r="B1328" s="89" t="s">
        <v>10</v>
      </c>
      <c r="C1328" s="89" t="s">
        <v>56</v>
      </c>
      <c r="D1328" s="13" t="s">
        <v>12</v>
      </c>
      <c r="E1328" s="35">
        <f>VLOOKUP(B1328, Passenger_Kilometre_by_mode_type[#All],MATCH(A1328, Passenger_Kilometre_by_mode_type[#Headers],0),0)</f>
        <v>2709659549.1139545</v>
      </c>
      <c r="F1328" s="89">
        <f>VLOOKUP(C1328, Reason_for_public_transport_journeys_by_percentage[#All],MATCH(A1328, Reason_for_public_transport_journeys_by_percentage[#Headers],0),0)/100</f>
        <v>0.11150000000000002</v>
      </c>
      <c r="G1328" s="13">
        <f t="shared" si="102"/>
        <v>302127039.72620595</v>
      </c>
      <c r="H1328" s="89">
        <f>VLOOKUP(D1328,Average_Distance_by_kilometre_grouping_for_mode_type[#All],MATCH(A1328,Average_Distance_by_kilometre_grouping_for_mode_type[#Headers],0),0)</f>
        <v>1</v>
      </c>
      <c r="I1328" s="89">
        <f>VLOOKUP(D1328,Average_Distance_by_kilometres_grouping_for_trip_purpose[#All],MATCH(A1328,Average_Distance_by_kilometres_grouping_for_trip_purpose[#Headers],0),0)</f>
        <v>1</v>
      </c>
      <c r="J1328" s="89">
        <f t="shared" si="103"/>
        <v>1</v>
      </c>
      <c r="K1328" s="89">
        <f t="shared" si="104"/>
        <v>1.763046544428773E-2</v>
      </c>
      <c r="L1328" s="89">
        <v>1</v>
      </c>
      <c r="M1328" s="13">
        <f t="shared" si="105"/>
        <v>5326640.3336778199</v>
      </c>
      <c r="N1328" s="11">
        <f t="shared" si="101"/>
        <v>9.2051151647367613E-5</v>
      </c>
    </row>
    <row r="1329" spans="1:14" x14ac:dyDescent="0.25">
      <c r="A1329" s="79" t="s">
        <v>34</v>
      </c>
      <c r="B1329" s="89" t="s">
        <v>10</v>
      </c>
      <c r="C1329" s="89" t="s">
        <v>56</v>
      </c>
      <c r="D1329" s="13" t="s">
        <v>181</v>
      </c>
      <c r="E1329" s="35">
        <f>VLOOKUP(B1329, Passenger_Kilometre_by_mode_type[#All],MATCH(A1329, Passenger_Kilometre_by_mode_type[#Headers],0),0)</f>
        <v>2709659549.1139545</v>
      </c>
      <c r="F1329" s="89">
        <f>VLOOKUP(C1329, Reason_for_public_transport_journeys_by_percentage[#All],MATCH(A1329, Reason_for_public_transport_journeys_by_percentage[#Headers],0),0)/100</f>
        <v>0.11150000000000002</v>
      </c>
      <c r="G1329" s="13">
        <f t="shared" si="102"/>
        <v>302127039.72620595</v>
      </c>
      <c r="H1329" s="89">
        <f>VLOOKUP(D1329,Average_Distance_by_kilometre_grouping_for_mode_type[#All],MATCH(A1329,Average_Distance_by_kilometre_grouping_for_mode_type[#Headers],0),0)</f>
        <v>3</v>
      </c>
      <c r="I1329" s="89">
        <f>VLOOKUP(D1329,Average_Distance_by_kilometres_grouping_for_trip_purpose[#All],MATCH(A1329,Average_Distance_by_kilometres_grouping_for_trip_purpose[#Headers],0),0)</f>
        <v>3</v>
      </c>
      <c r="J1329" s="89">
        <f t="shared" si="103"/>
        <v>3</v>
      </c>
      <c r="K1329" s="89">
        <f t="shared" si="104"/>
        <v>5.2891396332863189E-2</v>
      </c>
      <c r="L1329" s="89">
        <v>1</v>
      </c>
      <c r="M1329" s="13">
        <f t="shared" si="105"/>
        <v>15979921.001033461</v>
      </c>
      <c r="N1329" s="11">
        <f t="shared" si="101"/>
        <v>2.7615345494210283E-4</v>
      </c>
    </row>
    <row r="1330" spans="1:14" x14ac:dyDescent="0.25">
      <c r="A1330" s="79" t="s">
        <v>34</v>
      </c>
      <c r="B1330" s="89" t="s">
        <v>10</v>
      </c>
      <c r="C1330" s="89" t="s">
        <v>56</v>
      </c>
      <c r="D1330" s="13" t="s">
        <v>180</v>
      </c>
      <c r="E1330" s="35">
        <f>VLOOKUP(B1330, Passenger_Kilometre_by_mode_type[#All],MATCH(A1330, Passenger_Kilometre_by_mode_type[#Headers],0),0)</f>
        <v>2709659549.1139545</v>
      </c>
      <c r="F1330" s="89">
        <f>VLOOKUP(C1330, Reason_for_public_transport_journeys_by_percentage[#All],MATCH(A1330, Reason_for_public_transport_journeys_by_percentage[#Headers],0),0)/100</f>
        <v>0.11150000000000002</v>
      </c>
      <c r="G1330" s="13">
        <f t="shared" si="102"/>
        <v>302127039.72620595</v>
      </c>
      <c r="H1330" s="89">
        <f>VLOOKUP(D1330,Average_Distance_by_kilometre_grouping_for_mode_type[#All],MATCH(A1330,Average_Distance_by_kilometre_grouping_for_mode_type[#Headers],0),0)</f>
        <v>5</v>
      </c>
      <c r="I1330" s="89">
        <f>VLOOKUP(D1330,Average_Distance_by_kilometres_grouping_for_trip_purpose[#All],MATCH(A1330,Average_Distance_by_kilometres_grouping_for_trip_purpose[#Headers],0),0)</f>
        <v>5</v>
      </c>
      <c r="J1330" s="89">
        <f t="shared" si="103"/>
        <v>5</v>
      </c>
      <c r="K1330" s="89">
        <f t="shared" si="104"/>
        <v>8.8152327221438648E-2</v>
      </c>
      <c r="L1330" s="89">
        <v>1</v>
      </c>
      <c r="M1330" s="13">
        <f t="shared" si="105"/>
        <v>26633201.668389101</v>
      </c>
      <c r="N1330" s="11">
        <f t="shared" si="101"/>
        <v>4.6025575823683808E-4</v>
      </c>
    </row>
    <row r="1331" spans="1:14" x14ac:dyDescent="0.25">
      <c r="A1331" s="79" t="s">
        <v>34</v>
      </c>
      <c r="B1331" s="89" t="s">
        <v>10</v>
      </c>
      <c r="C1331" s="89" t="s">
        <v>56</v>
      </c>
      <c r="D1331" s="13" t="s">
        <v>182</v>
      </c>
      <c r="E1331" s="35">
        <f>VLOOKUP(B1331, Passenger_Kilometre_by_mode_type[#All],MATCH(A1331, Passenger_Kilometre_by_mode_type[#Headers],0),0)</f>
        <v>2709659549.1139545</v>
      </c>
      <c r="F1331" s="89">
        <f>VLOOKUP(C1331, Reason_for_public_transport_journeys_by_percentage[#All],MATCH(A1331, Reason_for_public_transport_journeys_by_percentage[#Headers],0),0)/100</f>
        <v>0.11150000000000002</v>
      </c>
      <c r="G1331" s="13">
        <f t="shared" si="102"/>
        <v>302127039.72620595</v>
      </c>
      <c r="H1331" s="89">
        <f>VLOOKUP(D1331,Average_Distance_by_kilometre_grouping_for_mode_type[#All],MATCH(A1331,Average_Distance_by_kilometre_grouping_for_mode_type[#Headers],0),0)</f>
        <v>7</v>
      </c>
      <c r="I1331" s="89">
        <f>VLOOKUP(D1331,Average_Distance_by_kilometres_grouping_for_trip_purpose[#All],MATCH(A1331,Average_Distance_by_kilometres_grouping_for_trip_purpose[#Headers],0),0)</f>
        <v>7</v>
      </c>
      <c r="J1331" s="89">
        <f t="shared" si="103"/>
        <v>7</v>
      </c>
      <c r="K1331" s="89">
        <f t="shared" si="104"/>
        <v>0.12341325811001411</v>
      </c>
      <c r="L1331" s="89">
        <v>1</v>
      </c>
      <c r="M1331" s="13">
        <f t="shared" si="105"/>
        <v>37286482.335744739</v>
      </c>
      <c r="N1331" s="11">
        <f t="shared" si="101"/>
        <v>6.4435806153157328E-4</v>
      </c>
    </row>
    <row r="1332" spans="1:14" x14ac:dyDescent="0.25">
      <c r="A1332" s="79" t="s">
        <v>34</v>
      </c>
      <c r="B1332" s="89" t="s">
        <v>10</v>
      </c>
      <c r="C1332" s="89" t="s">
        <v>56</v>
      </c>
      <c r="D1332" s="13" t="s">
        <v>1</v>
      </c>
      <c r="E1332" s="35">
        <f>VLOOKUP(B1332, Passenger_Kilometre_by_mode_type[#All],MATCH(A1332, Passenger_Kilometre_by_mode_type[#Headers],0),0)</f>
        <v>2709659549.1139545</v>
      </c>
      <c r="F1332" s="89">
        <f>VLOOKUP(C1332, Reason_for_public_transport_journeys_by_percentage[#All],MATCH(A1332, Reason_for_public_transport_journeys_by_percentage[#Headers],0),0)/100</f>
        <v>0.11150000000000002</v>
      </c>
      <c r="G1332" s="13">
        <f t="shared" si="102"/>
        <v>302127039.72620595</v>
      </c>
      <c r="H1332" s="89">
        <f>VLOOKUP(D1332,Average_Distance_by_kilometre_grouping_for_mode_type[#All],MATCH(A1332,Average_Distance_by_kilometre_grouping_for_mode_type[#Headers],0),0)</f>
        <v>38.99</v>
      </c>
      <c r="I1332" s="89">
        <f>VLOOKUP(D1332,Average_Distance_by_kilometres_grouping_for_trip_purpose[#All],MATCH(A1332,Average_Distance_by_kilometres_grouping_for_trip_purpose[#Headers],0),0)</f>
        <v>42.45</v>
      </c>
      <c r="J1332" s="89">
        <f t="shared" si="103"/>
        <v>40.72</v>
      </c>
      <c r="K1332" s="89">
        <f t="shared" si="104"/>
        <v>0.71791255289139633</v>
      </c>
      <c r="L1332" s="89">
        <v>1</v>
      </c>
      <c r="M1332" s="13">
        <f t="shared" si="105"/>
        <v>216900794.38736081</v>
      </c>
      <c r="N1332" s="11">
        <f t="shared" si="101"/>
        <v>3.7483228950808086E-3</v>
      </c>
    </row>
    <row r="1333" spans="1:14" x14ac:dyDescent="0.25">
      <c r="A1333" s="79" t="s">
        <v>34</v>
      </c>
      <c r="B1333" s="89" t="s">
        <v>10</v>
      </c>
      <c r="C1333" s="89" t="s">
        <v>57</v>
      </c>
      <c r="D1333" s="13" t="s">
        <v>12</v>
      </c>
      <c r="E1333" s="35">
        <f>VLOOKUP(B1333, Passenger_Kilometre_by_mode_type[#All],MATCH(A1333, Passenger_Kilometre_by_mode_type[#Headers],0),0)</f>
        <v>2709659549.1139545</v>
      </c>
      <c r="F1333" s="89">
        <f>VLOOKUP(C1333, Reason_for_public_transport_journeys_by_percentage[#All],MATCH(A1333, Reason_for_public_transport_journeys_by_percentage[#Headers],0),0)/100</f>
        <v>7.5249999999999997E-2</v>
      </c>
      <c r="G1333" s="13">
        <f t="shared" si="102"/>
        <v>203901881.07082507</v>
      </c>
      <c r="H1333" s="89">
        <f>VLOOKUP(D1333,Average_Distance_by_kilometre_grouping_for_mode_type[#All],MATCH(A1333,Average_Distance_by_kilometre_grouping_for_mode_type[#Headers],0),0)</f>
        <v>1</v>
      </c>
      <c r="I1333" s="89">
        <f>VLOOKUP(D1333,Average_Distance_by_kilometres_grouping_for_trip_purpose[#All],MATCH(A1333,Average_Distance_by_kilometres_grouping_for_trip_purpose[#Headers],0),0)</f>
        <v>1</v>
      </c>
      <c r="J1333" s="89">
        <f t="shared" si="103"/>
        <v>1</v>
      </c>
      <c r="K1333" s="89">
        <f t="shared" si="104"/>
        <v>1.763046544428773E-2</v>
      </c>
      <c r="L1333" s="89">
        <v>1</v>
      </c>
      <c r="M1333" s="13">
        <f t="shared" si="105"/>
        <v>3594885.0682444479</v>
      </c>
      <c r="N1333" s="11">
        <f t="shared" si="101"/>
        <v>6.2124207726138228E-5</v>
      </c>
    </row>
    <row r="1334" spans="1:14" x14ac:dyDescent="0.25">
      <c r="A1334" s="79" t="s">
        <v>34</v>
      </c>
      <c r="B1334" s="89" t="s">
        <v>10</v>
      </c>
      <c r="C1334" s="89" t="s">
        <v>57</v>
      </c>
      <c r="D1334" s="13" t="s">
        <v>181</v>
      </c>
      <c r="E1334" s="35">
        <f>VLOOKUP(B1334, Passenger_Kilometre_by_mode_type[#All],MATCH(A1334, Passenger_Kilometre_by_mode_type[#Headers],0),0)</f>
        <v>2709659549.1139545</v>
      </c>
      <c r="F1334" s="89">
        <f>VLOOKUP(C1334, Reason_for_public_transport_journeys_by_percentage[#All],MATCH(A1334, Reason_for_public_transport_journeys_by_percentage[#Headers],0),0)/100</f>
        <v>7.5249999999999997E-2</v>
      </c>
      <c r="G1334" s="13">
        <f t="shared" si="102"/>
        <v>203901881.07082507</v>
      </c>
      <c r="H1334" s="89">
        <f>VLOOKUP(D1334,Average_Distance_by_kilometre_grouping_for_mode_type[#All],MATCH(A1334,Average_Distance_by_kilometre_grouping_for_mode_type[#Headers],0),0)</f>
        <v>3</v>
      </c>
      <c r="I1334" s="89">
        <f>VLOOKUP(D1334,Average_Distance_by_kilometres_grouping_for_trip_purpose[#All],MATCH(A1334,Average_Distance_by_kilometres_grouping_for_trip_purpose[#Headers],0),0)</f>
        <v>3</v>
      </c>
      <c r="J1334" s="89">
        <f t="shared" si="103"/>
        <v>3</v>
      </c>
      <c r="K1334" s="89">
        <f t="shared" si="104"/>
        <v>5.2891396332863189E-2</v>
      </c>
      <c r="L1334" s="89">
        <v>1</v>
      </c>
      <c r="M1334" s="13">
        <f t="shared" si="105"/>
        <v>10784655.204733344</v>
      </c>
      <c r="N1334" s="11">
        <f t="shared" si="101"/>
        <v>1.8637262317841468E-4</v>
      </c>
    </row>
    <row r="1335" spans="1:14" x14ac:dyDescent="0.25">
      <c r="A1335" s="79" t="s">
        <v>34</v>
      </c>
      <c r="B1335" s="89" t="s">
        <v>10</v>
      </c>
      <c r="C1335" s="89" t="s">
        <v>57</v>
      </c>
      <c r="D1335" s="13" t="s">
        <v>180</v>
      </c>
      <c r="E1335" s="35">
        <f>VLOOKUP(B1335, Passenger_Kilometre_by_mode_type[#All],MATCH(A1335, Passenger_Kilometre_by_mode_type[#Headers],0),0)</f>
        <v>2709659549.1139545</v>
      </c>
      <c r="F1335" s="89">
        <f>VLOOKUP(C1335, Reason_for_public_transport_journeys_by_percentage[#All],MATCH(A1335, Reason_for_public_transport_journeys_by_percentage[#Headers],0),0)/100</f>
        <v>7.5249999999999997E-2</v>
      </c>
      <c r="G1335" s="13">
        <f t="shared" si="102"/>
        <v>203901881.07082507</v>
      </c>
      <c r="H1335" s="89">
        <f>VLOOKUP(D1335,Average_Distance_by_kilometre_grouping_for_mode_type[#All],MATCH(A1335,Average_Distance_by_kilometre_grouping_for_mode_type[#Headers],0),0)</f>
        <v>5</v>
      </c>
      <c r="I1335" s="89">
        <f>VLOOKUP(D1335,Average_Distance_by_kilometres_grouping_for_trip_purpose[#All],MATCH(A1335,Average_Distance_by_kilometres_grouping_for_trip_purpose[#Headers],0),0)</f>
        <v>5</v>
      </c>
      <c r="J1335" s="89">
        <f t="shared" si="103"/>
        <v>5</v>
      </c>
      <c r="K1335" s="89">
        <f t="shared" si="104"/>
        <v>8.8152327221438648E-2</v>
      </c>
      <c r="L1335" s="89">
        <v>1</v>
      </c>
      <c r="M1335" s="13">
        <f t="shared" si="105"/>
        <v>17974425.341222238</v>
      </c>
      <c r="N1335" s="11">
        <f t="shared" si="101"/>
        <v>3.1062103863069111E-4</v>
      </c>
    </row>
    <row r="1336" spans="1:14" x14ac:dyDescent="0.25">
      <c r="A1336" s="79" t="s">
        <v>34</v>
      </c>
      <c r="B1336" s="89" t="s">
        <v>10</v>
      </c>
      <c r="C1336" s="89" t="s">
        <v>57</v>
      </c>
      <c r="D1336" s="13" t="s">
        <v>182</v>
      </c>
      <c r="E1336" s="35">
        <f>VLOOKUP(B1336, Passenger_Kilometre_by_mode_type[#All],MATCH(A1336, Passenger_Kilometre_by_mode_type[#Headers],0),0)</f>
        <v>2709659549.1139545</v>
      </c>
      <c r="F1336" s="89">
        <f>VLOOKUP(C1336, Reason_for_public_transport_journeys_by_percentage[#All],MATCH(A1336, Reason_for_public_transport_journeys_by_percentage[#Headers],0),0)/100</f>
        <v>7.5249999999999997E-2</v>
      </c>
      <c r="G1336" s="13">
        <f t="shared" si="102"/>
        <v>203901881.07082507</v>
      </c>
      <c r="H1336" s="89">
        <f>VLOOKUP(D1336,Average_Distance_by_kilometre_grouping_for_mode_type[#All],MATCH(A1336,Average_Distance_by_kilometre_grouping_for_mode_type[#Headers],0),0)</f>
        <v>7</v>
      </c>
      <c r="I1336" s="89">
        <f>VLOOKUP(D1336,Average_Distance_by_kilometres_grouping_for_trip_purpose[#All],MATCH(A1336,Average_Distance_by_kilometres_grouping_for_trip_purpose[#Headers],0),0)</f>
        <v>7</v>
      </c>
      <c r="J1336" s="89">
        <f t="shared" si="103"/>
        <v>7</v>
      </c>
      <c r="K1336" s="89">
        <f t="shared" si="104"/>
        <v>0.12341325811001411</v>
      </c>
      <c r="L1336" s="89">
        <v>1</v>
      </c>
      <c r="M1336" s="13">
        <f t="shared" si="105"/>
        <v>25164195.477711134</v>
      </c>
      <c r="N1336" s="11">
        <f t="shared" si="101"/>
        <v>4.3486945408296757E-4</v>
      </c>
    </row>
    <row r="1337" spans="1:14" x14ac:dyDescent="0.25">
      <c r="A1337" s="79" t="s">
        <v>34</v>
      </c>
      <c r="B1337" s="89" t="s">
        <v>10</v>
      </c>
      <c r="C1337" s="89" t="s">
        <v>57</v>
      </c>
      <c r="D1337" s="13" t="s">
        <v>1</v>
      </c>
      <c r="E1337" s="35">
        <f>VLOOKUP(B1337, Passenger_Kilometre_by_mode_type[#All],MATCH(A1337, Passenger_Kilometre_by_mode_type[#Headers],0),0)</f>
        <v>2709659549.1139545</v>
      </c>
      <c r="F1337" s="89">
        <f>VLOOKUP(C1337, Reason_for_public_transport_journeys_by_percentage[#All],MATCH(A1337, Reason_for_public_transport_journeys_by_percentage[#Headers],0),0)/100</f>
        <v>7.5249999999999997E-2</v>
      </c>
      <c r="G1337" s="13">
        <f t="shared" si="102"/>
        <v>203901881.07082507</v>
      </c>
      <c r="H1337" s="89">
        <f>VLOOKUP(D1337,Average_Distance_by_kilometre_grouping_for_mode_type[#All],MATCH(A1337,Average_Distance_by_kilometre_grouping_for_mode_type[#Headers],0),0)</f>
        <v>38.99</v>
      </c>
      <c r="I1337" s="89">
        <f>VLOOKUP(D1337,Average_Distance_by_kilometres_grouping_for_trip_purpose[#All],MATCH(A1337,Average_Distance_by_kilometres_grouping_for_trip_purpose[#Headers],0),0)</f>
        <v>42.45</v>
      </c>
      <c r="J1337" s="89">
        <f t="shared" si="103"/>
        <v>40.72</v>
      </c>
      <c r="K1337" s="89">
        <f t="shared" si="104"/>
        <v>0.71791255289139633</v>
      </c>
      <c r="L1337" s="89">
        <v>1</v>
      </c>
      <c r="M1337" s="13">
        <f t="shared" si="105"/>
        <v>146383719.9789139</v>
      </c>
      <c r="N1337" s="11">
        <f t="shared" si="101"/>
        <v>2.5296977386083485E-3</v>
      </c>
    </row>
    <row r="1338" spans="1:14" x14ac:dyDescent="0.25">
      <c r="A1338" s="79" t="s">
        <v>34</v>
      </c>
      <c r="B1338" s="89" t="s">
        <v>10</v>
      </c>
      <c r="C1338" s="89" t="s">
        <v>93</v>
      </c>
      <c r="D1338" s="13" t="s">
        <v>12</v>
      </c>
      <c r="E1338" s="35">
        <f>VLOOKUP(B1338, Passenger_Kilometre_by_mode_type[#All],MATCH(A1338, Passenger_Kilometre_by_mode_type[#Headers],0),0)</f>
        <v>2709659549.1139545</v>
      </c>
      <c r="F1338" s="89">
        <f>VLOOKUP(C1338, Reason_for_public_transport_journeys_by_percentage[#All],MATCH(A1338, Reason_for_public_transport_journeys_by_percentage[#Headers],0),0)/100</f>
        <v>8.0749999999999988E-2</v>
      </c>
      <c r="G1338" s="13">
        <f t="shared" si="102"/>
        <v>218805008.5909518</v>
      </c>
      <c r="H1338" s="89">
        <f>VLOOKUP(D1338,Average_Distance_by_kilometre_grouping_for_mode_type[#All],MATCH(A1338,Average_Distance_by_kilometre_grouping_for_mode_type[#Headers],0),0)</f>
        <v>1</v>
      </c>
      <c r="I1338" s="89">
        <f>VLOOKUP(D1338,Average_Distance_by_kilometres_grouping_for_trip_purpose[#All],MATCH(A1338,Average_Distance_by_kilometres_grouping_for_trip_purpose[#Headers],0),0)</f>
        <v>1</v>
      </c>
      <c r="J1338" s="89">
        <f t="shared" si="103"/>
        <v>1</v>
      </c>
      <c r="K1338" s="89">
        <f t="shared" si="104"/>
        <v>1.763046544428773E-2</v>
      </c>
      <c r="L1338" s="89">
        <v>1</v>
      </c>
      <c r="M1338" s="13">
        <f t="shared" si="105"/>
        <v>3857634.1429998553</v>
      </c>
      <c r="N1338" s="11">
        <f t="shared" si="101"/>
        <v>6.6664847493497158E-5</v>
      </c>
    </row>
    <row r="1339" spans="1:14" x14ac:dyDescent="0.25">
      <c r="A1339" s="79" t="s">
        <v>34</v>
      </c>
      <c r="B1339" s="89" t="s">
        <v>10</v>
      </c>
      <c r="C1339" s="89" t="s">
        <v>93</v>
      </c>
      <c r="D1339" s="13" t="s">
        <v>181</v>
      </c>
      <c r="E1339" s="35">
        <f>VLOOKUP(B1339, Passenger_Kilometre_by_mode_type[#All],MATCH(A1339, Passenger_Kilometre_by_mode_type[#Headers],0),0)</f>
        <v>2709659549.1139545</v>
      </c>
      <c r="F1339" s="89">
        <f>VLOOKUP(C1339, Reason_for_public_transport_journeys_by_percentage[#All],MATCH(A1339, Reason_for_public_transport_journeys_by_percentage[#Headers],0),0)/100</f>
        <v>8.0749999999999988E-2</v>
      </c>
      <c r="G1339" s="13">
        <f t="shared" si="102"/>
        <v>218805008.5909518</v>
      </c>
      <c r="H1339" s="89">
        <f>VLOOKUP(D1339,Average_Distance_by_kilometre_grouping_for_mode_type[#All],MATCH(A1339,Average_Distance_by_kilometre_grouping_for_mode_type[#Headers],0),0)</f>
        <v>3</v>
      </c>
      <c r="I1339" s="89">
        <f>VLOOKUP(D1339,Average_Distance_by_kilometres_grouping_for_trip_purpose[#All],MATCH(A1339,Average_Distance_by_kilometres_grouping_for_trip_purpose[#Headers],0),0)</f>
        <v>3</v>
      </c>
      <c r="J1339" s="89">
        <f t="shared" si="103"/>
        <v>3</v>
      </c>
      <c r="K1339" s="89">
        <f t="shared" si="104"/>
        <v>5.2891396332863189E-2</v>
      </c>
      <c r="L1339" s="89">
        <v>1</v>
      </c>
      <c r="M1339" s="13">
        <f t="shared" si="105"/>
        <v>11572902.428999567</v>
      </c>
      <c r="N1339" s="11">
        <f t="shared" si="101"/>
        <v>1.9999454248049149E-4</v>
      </c>
    </row>
    <row r="1340" spans="1:14" x14ac:dyDescent="0.25">
      <c r="A1340" s="79" t="s">
        <v>34</v>
      </c>
      <c r="B1340" s="89" t="s">
        <v>10</v>
      </c>
      <c r="C1340" s="89" t="s">
        <v>93</v>
      </c>
      <c r="D1340" s="13" t="s">
        <v>180</v>
      </c>
      <c r="E1340" s="35">
        <f>VLOOKUP(B1340, Passenger_Kilometre_by_mode_type[#All],MATCH(A1340, Passenger_Kilometre_by_mode_type[#Headers],0),0)</f>
        <v>2709659549.1139545</v>
      </c>
      <c r="F1340" s="89">
        <f>VLOOKUP(C1340, Reason_for_public_transport_journeys_by_percentage[#All],MATCH(A1340, Reason_for_public_transport_journeys_by_percentage[#Headers],0),0)/100</f>
        <v>8.0749999999999988E-2</v>
      </c>
      <c r="G1340" s="13">
        <f t="shared" si="102"/>
        <v>218805008.5909518</v>
      </c>
      <c r="H1340" s="89">
        <f>VLOOKUP(D1340,Average_Distance_by_kilometre_grouping_for_mode_type[#All],MATCH(A1340,Average_Distance_by_kilometre_grouping_for_mode_type[#Headers],0),0)</f>
        <v>5</v>
      </c>
      <c r="I1340" s="89">
        <f>VLOOKUP(D1340,Average_Distance_by_kilometres_grouping_for_trip_purpose[#All],MATCH(A1340,Average_Distance_by_kilometres_grouping_for_trip_purpose[#Headers],0),0)</f>
        <v>5</v>
      </c>
      <c r="J1340" s="89">
        <f t="shared" si="103"/>
        <v>5</v>
      </c>
      <c r="K1340" s="89">
        <f t="shared" si="104"/>
        <v>8.8152327221438648E-2</v>
      </c>
      <c r="L1340" s="89">
        <v>1</v>
      </c>
      <c r="M1340" s="13">
        <f t="shared" si="105"/>
        <v>19288170.714999277</v>
      </c>
      <c r="N1340" s="11">
        <f t="shared" ref="N1340:N1403" si="106">M1340/SUM($M$1083:$M$1442)</f>
        <v>3.333242374674858E-4</v>
      </c>
    </row>
    <row r="1341" spans="1:14" x14ac:dyDescent="0.25">
      <c r="A1341" s="79" t="s">
        <v>34</v>
      </c>
      <c r="B1341" s="89" t="s">
        <v>10</v>
      </c>
      <c r="C1341" s="89" t="s">
        <v>93</v>
      </c>
      <c r="D1341" s="13" t="s">
        <v>182</v>
      </c>
      <c r="E1341" s="35">
        <f>VLOOKUP(B1341, Passenger_Kilometre_by_mode_type[#All],MATCH(A1341, Passenger_Kilometre_by_mode_type[#Headers],0),0)</f>
        <v>2709659549.1139545</v>
      </c>
      <c r="F1341" s="89">
        <f>VLOOKUP(C1341, Reason_for_public_transport_journeys_by_percentage[#All],MATCH(A1341, Reason_for_public_transport_journeys_by_percentage[#Headers],0),0)/100</f>
        <v>8.0749999999999988E-2</v>
      </c>
      <c r="G1341" s="13">
        <f t="shared" si="102"/>
        <v>218805008.5909518</v>
      </c>
      <c r="H1341" s="89">
        <f>VLOOKUP(D1341,Average_Distance_by_kilometre_grouping_for_mode_type[#All],MATCH(A1341,Average_Distance_by_kilometre_grouping_for_mode_type[#Headers],0),0)</f>
        <v>7</v>
      </c>
      <c r="I1341" s="89">
        <f>VLOOKUP(D1341,Average_Distance_by_kilometres_grouping_for_trip_purpose[#All],MATCH(A1341,Average_Distance_by_kilometres_grouping_for_trip_purpose[#Headers],0),0)</f>
        <v>7</v>
      </c>
      <c r="J1341" s="89">
        <f t="shared" si="103"/>
        <v>7</v>
      </c>
      <c r="K1341" s="89">
        <f t="shared" si="104"/>
        <v>0.12341325811001411</v>
      </c>
      <c r="L1341" s="89">
        <v>1</v>
      </c>
      <c r="M1341" s="13">
        <f t="shared" si="105"/>
        <v>27003439.000998989</v>
      </c>
      <c r="N1341" s="11">
        <f t="shared" si="106"/>
        <v>4.6665393245448014E-4</v>
      </c>
    </row>
    <row r="1342" spans="1:14" x14ac:dyDescent="0.25">
      <c r="A1342" s="79" t="s">
        <v>34</v>
      </c>
      <c r="B1342" s="89" t="s">
        <v>10</v>
      </c>
      <c r="C1342" s="89" t="s">
        <v>93</v>
      </c>
      <c r="D1342" s="13" t="s">
        <v>1</v>
      </c>
      <c r="E1342" s="35">
        <f>VLOOKUP(B1342, Passenger_Kilometre_by_mode_type[#All],MATCH(A1342, Passenger_Kilometre_by_mode_type[#Headers],0),0)</f>
        <v>2709659549.1139545</v>
      </c>
      <c r="F1342" s="89">
        <f>VLOOKUP(C1342, Reason_for_public_transport_journeys_by_percentage[#All],MATCH(A1342, Reason_for_public_transport_journeys_by_percentage[#Headers],0),0)/100</f>
        <v>8.0749999999999988E-2</v>
      </c>
      <c r="G1342" s="13">
        <f t="shared" si="102"/>
        <v>218805008.5909518</v>
      </c>
      <c r="H1342" s="89">
        <f>VLOOKUP(D1342,Average_Distance_by_kilometre_grouping_for_mode_type[#All],MATCH(A1342,Average_Distance_by_kilometre_grouping_for_mode_type[#Headers],0),0)</f>
        <v>38.99</v>
      </c>
      <c r="I1342" s="89">
        <f>VLOOKUP(D1342,Average_Distance_by_kilometres_grouping_for_trip_purpose[#All],MATCH(A1342,Average_Distance_by_kilometres_grouping_for_trip_purpose[#Headers],0),0)</f>
        <v>42.45</v>
      </c>
      <c r="J1342" s="89">
        <f t="shared" si="103"/>
        <v>40.72</v>
      </c>
      <c r="K1342" s="89">
        <f t="shared" si="104"/>
        <v>0.71791255289139633</v>
      </c>
      <c r="L1342" s="89">
        <v>1</v>
      </c>
      <c r="M1342" s="13">
        <f t="shared" si="105"/>
        <v>157082862.30295411</v>
      </c>
      <c r="N1342" s="11">
        <f t="shared" si="106"/>
        <v>2.714592589935204E-3</v>
      </c>
    </row>
    <row r="1343" spans="1:14" x14ac:dyDescent="0.25">
      <c r="A1343" s="79" t="s">
        <v>34</v>
      </c>
      <c r="B1343" s="89" t="s">
        <v>10</v>
      </c>
      <c r="C1343" s="89" t="s">
        <v>243</v>
      </c>
      <c r="D1343" s="13" t="s">
        <v>12</v>
      </c>
      <c r="E1343" s="35">
        <f>VLOOKUP(B1343, Passenger_Kilometre_by_mode_type[#All],MATCH(A1343, Passenger_Kilometre_by_mode_type[#Headers],0),0)</f>
        <v>2709659549.1139545</v>
      </c>
      <c r="F1343" s="89">
        <f>VLOOKUP(C1343, Reason_for_public_transport_journeys_by_percentage[#All],MATCH(A1343, Reason_for_public_transport_journeys_by_percentage[#Headers],0),0)/100</f>
        <v>3.0250000000000003E-2</v>
      </c>
      <c r="G1343" s="13">
        <f t="shared" si="102"/>
        <v>81967201.360697135</v>
      </c>
      <c r="H1343" s="89">
        <f>VLOOKUP(D1343,Average_Distance_by_kilometre_grouping_for_mode_type[#All],MATCH(A1343,Average_Distance_by_kilometre_grouping_for_mode_type[#Headers],0),0)</f>
        <v>1</v>
      </c>
      <c r="I1343" s="89">
        <f>VLOOKUP(D1343,Average_Distance_by_kilometres_grouping_for_trip_purpose[#All],MATCH(A1343,Average_Distance_by_kilometres_grouping_for_trip_purpose[#Headers],0),0)</f>
        <v>1</v>
      </c>
      <c r="J1343" s="89">
        <f t="shared" si="103"/>
        <v>1</v>
      </c>
      <c r="K1343" s="89">
        <f t="shared" si="104"/>
        <v>1.763046544428773E-2</v>
      </c>
      <c r="L1343" s="89">
        <v>1</v>
      </c>
      <c r="M1343" s="13">
        <f t="shared" si="105"/>
        <v>1445119.9111547449</v>
      </c>
      <c r="N1343" s="11">
        <f t="shared" si="106"/>
        <v>2.4973518720474173E-5</v>
      </c>
    </row>
    <row r="1344" spans="1:14" x14ac:dyDescent="0.25">
      <c r="A1344" s="79" t="s">
        <v>34</v>
      </c>
      <c r="B1344" s="89" t="s">
        <v>10</v>
      </c>
      <c r="C1344" s="89" t="s">
        <v>243</v>
      </c>
      <c r="D1344" s="13" t="s">
        <v>181</v>
      </c>
      <c r="E1344" s="35">
        <f>VLOOKUP(B1344, Passenger_Kilometre_by_mode_type[#All],MATCH(A1344, Passenger_Kilometre_by_mode_type[#Headers],0),0)</f>
        <v>2709659549.1139545</v>
      </c>
      <c r="F1344" s="89">
        <f>VLOOKUP(C1344, Reason_for_public_transport_journeys_by_percentage[#All],MATCH(A1344, Reason_for_public_transport_journeys_by_percentage[#Headers],0),0)/100</f>
        <v>3.0250000000000003E-2</v>
      </c>
      <c r="G1344" s="13">
        <f t="shared" si="102"/>
        <v>81967201.360697135</v>
      </c>
      <c r="H1344" s="89">
        <f>VLOOKUP(D1344,Average_Distance_by_kilometre_grouping_for_mode_type[#All],MATCH(A1344,Average_Distance_by_kilometre_grouping_for_mode_type[#Headers],0),0)</f>
        <v>3</v>
      </c>
      <c r="I1344" s="89">
        <f>VLOOKUP(D1344,Average_Distance_by_kilometres_grouping_for_trip_purpose[#All],MATCH(A1344,Average_Distance_by_kilometres_grouping_for_trip_purpose[#Headers],0),0)</f>
        <v>3</v>
      </c>
      <c r="J1344" s="89">
        <f t="shared" si="103"/>
        <v>3</v>
      </c>
      <c r="K1344" s="89">
        <f t="shared" si="104"/>
        <v>5.2891396332863189E-2</v>
      </c>
      <c r="L1344" s="89">
        <v>1</v>
      </c>
      <c r="M1344" s="13">
        <f t="shared" si="105"/>
        <v>4335359.7334642354</v>
      </c>
      <c r="N1344" s="11">
        <f t="shared" si="106"/>
        <v>7.4920556161422533E-5</v>
      </c>
    </row>
    <row r="1345" spans="1:14" x14ac:dyDescent="0.25">
      <c r="A1345" s="79" t="s">
        <v>34</v>
      </c>
      <c r="B1345" s="89" t="s">
        <v>10</v>
      </c>
      <c r="C1345" s="89" t="s">
        <v>243</v>
      </c>
      <c r="D1345" s="13" t="s">
        <v>180</v>
      </c>
      <c r="E1345" s="35">
        <f>VLOOKUP(B1345, Passenger_Kilometre_by_mode_type[#All],MATCH(A1345, Passenger_Kilometre_by_mode_type[#Headers],0),0)</f>
        <v>2709659549.1139545</v>
      </c>
      <c r="F1345" s="89">
        <f>VLOOKUP(C1345, Reason_for_public_transport_journeys_by_percentage[#All],MATCH(A1345, Reason_for_public_transport_journeys_by_percentage[#Headers],0),0)/100</f>
        <v>3.0250000000000003E-2</v>
      </c>
      <c r="G1345" s="13">
        <f t="shared" si="102"/>
        <v>81967201.360697135</v>
      </c>
      <c r="H1345" s="89">
        <f>VLOOKUP(D1345,Average_Distance_by_kilometre_grouping_for_mode_type[#All],MATCH(A1345,Average_Distance_by_kilometre_grouping_for_mode_type[#Headers],0),0)</f>
        <v>5</v>
      </c>
      <c r="I1345" s="89">
        <f>VLOOKUP(D1345,Average_Distance_by_kilometres_grouping_for_trip_purpose[#All],MATCH(A1345,Average_Distance_by_kilometres_grouping_for_trip_purpose[#Headers],0),0)</f>
        <v>5</v>
      </c>
      <c r="J1345" s="89">
        <f t="shared" si="103"/>
        <v>5</v>
      </c>
      <c r="K1345" s="89">
        <f t="shared" si="104"/>
        <v>8.8152327221438648E-2</v>
      </c>
      <c r="L1345" s="89">
        <v>1</v>
      </c>
      <c r="M1345" s="13">
        <f t="shared" si="105"/>
        <v>7225599.5557737248</v>
      </c>
      <c r="N1345" s="11">
        <f t="shared" si="106"/>
        <v>1.2486759360237087E-4</v>
      </c>
    </row>
    <row r="1346" spans="1:14" x14ac:dyDescent="0.25">
      <c r="A1346" s="79" t="s">
        <v>34</v>
      </c>
      <c r="B1346" s="89" t="s">
        <v>10</v>
      </c>
      <c r="C1346" s="89" t="s">
        <v>243</v>
      </c>
      <c r="D1346" s="13" t="s">
        <v>182</v>
      </c>
      <c r="E1346" s="35">
        <f>VLOOKUP(B1346, Passenger_Kilometre_by_mode_type[#All],MATCH(A1346, Passenger_Kilometre_by_mode_type[#Headers],0),0)</f>
        <v>2709659549.1139545</v>
      </c>
      <c r="F1346" s="89">
        <f>VLOOKUP(C1346, Reason_for_public_transport_journeys_by_percentage[#All],MATCH(A1346, Reason_for_public_transport_journeys_by_percentage[#Headers],0),0)/100</f>
        <v>3.0250000000000003E-2</v>
      </c>
      <c r="G1346" s="13">
        <f t="shared" si="102"/>
        <v>81967201.360697135</v>
      </c>
      <c r="H1346" s="89">
        <f>VLOOKUP(D1346,Average_Distance_by_kilometre_grouping_for_mode_type[#All],MATCH(A1346,Average_Distance_by_kilometre_grouping_for_mode_type[#Headers],0),0)</f>
        <v>7</v>
      </c>
      <c r="I1346" s="89">
        <f>VLOOKUP(D1346,Average_Distance_by_kilometres_grouping_for_trip_purpose[#All],MATCH(A1346,Average_Distance_by_kilometres_grouping_for_trip_purpose[#Headers],0),0)</f>
        <v>7</v>
      </c>
      <c r="J1346" s="89">
        <f t="shared" si="103"/>
        <v>7</v>
      </c>
      <c r="K1346" s="89">
        <f t="shared" si="104"/>
        <v>0.12341325811001411</v>
      </c>
      <c r="L1346" s="89">
        <v>1</v>
      </c>
      <c r="M1346" s="13">
        <f t="shared" si="105"/>
        <v>10115839.378083214</v>
      </c>
      <c r="N1346" s="11">
        <f t="shared" si="106"/>
        <v>1.7481463104331921E-4</v>
      </c>
    </row>
    <row r="1347" spans="1:14" x14ac:dyDescent="0.25">
      <c r="A1347" s="79" t="s">
        <v>34</v>
      </c>
      <c r="B1347" s="89" t="s">
        <v>10</v>
      </c>
      <c r="C1347" s="89" t="s">
        <v>243</v>
      </c>
      <c r="D1347" s="13" t="s">
        <v>1</v>
      </c>
      <c r="E1347" s="35">
        <f>VLOOKUP(B1347, Passenger_Kilometre_by_mode_type[#All],MATCH(A1347, Passenger_Kilometre_by_mode_type[#Headers],0),0)</f>
        <v>2709659549.1139545</v>
      </c>
      <c r="F1347" s="89">
        <f>VLOOKUP(C1347, Reason_for_public_transport_journeys_by_percentage[#All],MATCH(A1347, Reason_for_public_transport_journeys_by_percentage[#Headers],0),0)/100</f>
        <v>3.0250000000000003E-2</v>
      </c>
      <c r="G1347" s="13">
        <f t="shared" si="102"/>
        <v>81967201.360697135</v>
      </c>
      <c r="H1347" s="89">
        <f>VLOOKUP(D1347,Average_Distance_by_kilometre_grouping_for_mode_type[#All],MATCH(A1347,Average_Distance_by_kilometre_grouping_for_mode_type[#Headers],0),0)</f>
        <v>38.99</v>
      </c>
      <c r="I1347" s="89">
        <f>VLOOKUP(D1347,Average_Distance_by_kilometres_grouping_for_trip_purpose[#All],MATCH(A1347,Average_Distance_by_kilometres_grouping_for_trip_purpose[#Headers],0),0)</f>
        <v>42.45</v>
      </c>
      <c r="J1347" s="89">
        <f t="shared" si="103"/>
        <v>40.72</v>
      </c>
      <c r="K1347" s="89">
        <f t="shared" si="104"/>
        <v>0.71791255289139633</v>
      </c>
      <c r="L1347" s="89">
        <v>1</v>
      </c>
      <c r="M1347" s="13">
        <f t="shared" si="105"/>
        <v>58845282.782221213</v>
      </c>
      <c r="N1347" s="11">
        <f t="shared" si="106"/>
        <v>1.0169216822977084E-3</v>
      </c>
    </row>
    <row r="1348" spans="1:14" x14ac:dyDescent="0.25">
      <c r="A1348" s="79" t="s">
        <v>34</v>
      </c>
      <c r="B1348" s="89" t="s">
        <v>10</v>
      </c>
      <c r="C1348" s="89" t="s">
        <v>50</v>
      </c>
      <c r="D1348" s="13" t="s">
        <v>12</v>
      </c>
      <c r="E1348" s="35">
        <f>VLOOKUP(B1348, Passenger_Kilometre_by_mode_type[#All],MATCH(A1348, Passenger_Kilometre_by_mode_type[#Headers],0),0)</f>
        <v>2709659549.1139545</v>
      </c>
      <c r="F1348" s="89">
        <f>VLOOKUP(C1348, Reason_for_public_transport_journeys_by_percentage[#All],MATCH(A1348, Reason_for_public_transport_journeys_by_percentage[#Headers],0),0)/100</f>
        <v>5.7500000000000009E-2</v>
      </c>
      <c r="G1348" s="13">
        <f t="shared" ref="G1348:G1411" si="107">E1348*F1348</f>
        <v>155805424.07405242</v>
      </c>
      <c r="H1348" s="89">
        <f>VLOOKUP(D1348,Average_Distance_by_kilometre_grouping_for_mode_type[#All],MATCH(A1348,Average_Distance_by_kilometre_grouping_for_mode_type[#Headers],0),0)</f>
        <v>1</v>
      </c>
      <c r="I1348" s="89">
        <f>VLOOKUP(D1348,Average_Distance_by_kilometres_grouping_for_trip_purpose[#All],MATCH(A1348,Average_Distance_by_kilometres_grouping_for_trip_purpose[#Headers],0),0)</f>
        <v>1</v>
      </c>
      <c r="J1348" s="89">
        <f t="shared" ref="J1348:J1411" si="108">AVERAGE(H1348:I1348)</f>
        <v>1</v>
      </c>
      <c r="K1348" s="89">
        <f t="shared" ref="K1348:K1411" si="109">J1348/SUM(J1348:J1352)</f>
        <v>1.763046544428773E-2</v>
      </c>
      <c r="L1348" s="89">
        <v>1</v>
      </c>
      <c r="M1348" s="13">
        <f t="shared" ref="M1348:M1411" si="110">G1348*K1348*L1348</f>
        <v>2746922.1451701769</v>
      </c>
      <c r="N1348" s="11">
        <f t="shared" si="106"/>
        <v>4.7470324840570754E-5</v>
      </c>
    </row>
    <row r="1349" spans="1:14" x14ac:dyDescent="0.25">
      <c r="A1349" s="79" t="s">
        <v>34</v>
      </c>
      <c r="B1349" s="89" t="s">
        <v>10</v>
      </c>
      <c r="C1349" s="89" t="s">
        <v>50</v>
      </c>
      <c r="D1349" s="13" t="s">
        <v>181</v>
      </c>
      <c r="E1349" s="35">
        <f>VLOOKUP(B1349, Passenger_Kilometre_by_mode_type[#All],MATCH(A1349, Passenger_Kilometre_by_mode_type[#Headers],0),0)</f>
        <v>2709659549.1139545</v>
      </c>
      <c r="F1349" s="89">
        <f>VLOOKUP(C1349, Reason_for_public_transport_journeys_by_percentage[#All],MATCH(A1349, Reason_for_public_transport_journeys_by_percentage[#Headers],0),0)/100</f>
        <v>5.7500000000000009E-2</v>
      </c>
      <c r="G1349" s="13">
        <f t="shared" si="107"/>
        <v>155805424.07405242</v>
      </c>
      <c r="H1349" s="89">
        <f>VLOOKUP(D1349,Average_Distance_by_kilometre_grouping_for_mode_type[#All],MATCH(A1349,Average_Distance_by_kilometre_grouping_for_mode_type[#Headers],0),0)</f>
        <v>3</v>
      </c>
      <c r="I1349" s="89">
        <f>VLOOKUP(D1349,Average_Distance_by_kilometres_grouping_for_trip_purpose[#All],MATCH(A1349,Average_Distance_by_kilometres_grouping_for_trip_purpose[#Headers],0),0)</f>
        <v>3</v>
      </c>
      <c r="J1349" s="89">
        <f t="shared" si="108"/>
        <v>3</v>
      </c>
      <c r="K1349" s="89">
        <f t="shared" si="109"/>
        <v>5.2891396332863189E-2</v>
      </c>
      <c r="L1349" s="89">
        <v>1</v>
      </c>
      <c r="M1349" s="13">
        <f t="shared" si="110"/>
        <v>8240766.4355105301</v>
      </c>
      <c r="N1349" s="11">
        <f t="shared" si="106"/>
        <v>1.4241097452171226E-4</v>
      </c>
    </row>
    <row r="1350" spans="1:14" x14ac:dyDescent="0.25">
      <c r="A1350" s="79" t="s">
        <v>34</v>
      </c>
      <c r="B1350" s="89" t="s">
        <v>10</v>
      </c>
      <c r="C1350" s="89" t="s">
        <v>50</v>
      </c>
      <c r="D1350" s="13" t="s">
        <v>180</v>
      </c>
      <c r="E1350" s="35">
        <f>VLOOKUP(B1350, Passenger_Kilometre_by_mode_type[#All],MATCH(A1350, Passenger_Kilometre_by_mode_type[#Headers],0),0)</f>
        <v>2709659549.1139545</v>
      </c>
      <c r="F1350" s="89">
        <f>VLOOKUP(C1350, Reason_for_public_transport_journeys_by_percentage[#All],MATCH(A1350, Reason_for_public_transport_journeys_by_percentage[#Headers],0),0)/100</f>
        <v>5.7500000000000009E-2</v>
      </c>
      <c r="G1350" s="13">
        <f t="shared" si="107"/>
        <v>155805424.07405242</v>
      </c>
      <c r="H1350" s="89">
        <f>VLOOKUP(D1350,Average_Distance_by_kilometre_grouping_for_mode_type[#All],MATCH(A1350,Average_Distance_by_kilometre_grouping_for_mode_type[#Headers],0),0)</f>
        <v>5</v>
      </c>
      <c r="I1350" s="89">
        <f>VLOOKUP(D1350,Average_Distance_by_kilometres_grouping_for_trip_purpose[#All],MATCH(A1350,Average_Distance_by_kilometres_grouping_for_trip_purpose[#Headers],0),0)</f>
        <v>5</v>
      </c>
      <c r="J1350" s="89">
        <f t="shared" si="108"/>
        <v>5</v>
      </c>
      <c r="K1350" s="89">
        <f t="shared" si="109"/>
        <v>8.8152327221438648E-2</v>
      </c>
      <c r="L1350" s="89">
        <v>1</v>
      </c>
      <c r="M1350" s="13">
        <f t="shared" si="110"/>
        <v>13734610.725850884</v>
      </c>
      <c r="N1350" s="11">
        <f t="shared" si="106"/>
        <v>2.3735162420285375E-4</v>
      </c>
    </row>
    <row r="1351" spans="1:14" x14ac:dyDescent="0.25">
      <c r="A1351" s="79" t="s">
        <v>34</v>
      </c>
      <c r="B1351" s="89" t="s">
        <v>10</v>
      </c>
      <c r="C1351" s="89" t="s">
        <v>50</v>
      </c>
      <c r="D1351" s="13" t="s">
        <v>182</v>
      </c>
      <c r="E1351" s="35">
        <f>VLOOKUP(B1351, Passenger_Kilometre_by_mode_type[#All],MATCH(A1351, Passenger_Kilometre_by_mode_type[#Headers],0),0)</f>
        <v>2709659549.1139545</v>
      </c>
      <c r="F1351" s="89">
        <f>VLOOKUP(C1351, Reason_for_public_transport_journeys_by_percentage[#All],MATCH(A1351, Reason_for_public_transport_journeys_by_percentage[#Headers],0),0)/100</f>
        <v>5.7500000000000009E-2</v>
      </c>
      <c r="G1351" s="13">
        <f t="shared" si="107"/>
        <v>155805424.07405242</v>
      </c>
      <c r="H1351" s="89">
        <f>VLOOKUP(D1351,Average_Distance_by_kilometre_grouping_for_mode_type[#All],MATCH(A1351,Average_Distance_by_kilometre_grouping_for_mode_type[#Headers],0),0)</f>
        <v>7</v>
      </c>
      <c r="I1351" s="89">
        <f>VLOOKUP(D1351,Average_Distance_by_kilometres_grouping_for_trip_purpose[#All],MATCH(A1351,Average_Distance_by_kilometres_grouping_for_trip_purpose[#Headers],0),0)</f>
        <v>7</v>
      </c>
      <c r="J1351" s="89">
        <f t="shared" si="108"/>
        <v>7</v>
      </c>
      <c r="K1351" s="89">
        <f t="shared" si="109"/>
        <v>0.12341325811001411</v>
      </c>
      <c r="L1351" s="89">
        <v>1</v>
      </c>
      <c r="M1351" s="13">
        <f t="shared" si="110"/>
        <v>19228455.016191237</v>
      </c>
      <c r="N1351" s="11">
        <f t="shared" si="106"/>
        <v>3.3229227388399522E-4</v>
      </c>
    </row>
    <row r="1352" spans="1:14" x14ac:dyDescent="0.25">
      <c r="A1352" s="79" t="s">
        <v>34</v>
      </c>
      <c r="B1352" s="89" t="s">
        <v>10</v>
      </c>
      <c r="C1352" s="89" t="s">
        <v>50</v>
      </c>
      <c r="D1352" s="13" t="s">
        <v>1</v>
      </c>
      <c r="E1352" s="35">
        <f>VLOOKUP(B1352, Passenger_Kilometre_by_mode_type[#All],MATCH(A1352, Passenger_Kilometre_by_mode_type[#Headers],0),0)</f>
        <v>2709659549.1139545</v>
      </c>
      <c r="F1352" s="89">
        <f>VLOOKUP(C1352, Reason_for_public_transport_journeys_by_percentage[#All],MATCH(A1352, Reason_for_public_transport_journeys_by_percentage[#Headers],0),0)/100</f>
        <v>5.7500000000000009E-2</v>
      </c>
      <c r="G1352" s="13">
        <f t="shared" si="107"/>
        <v>155805424.07405242</v>
      </c>
      <c r="H1352" s="89">
        <f>VLOOKUP(D1352,Average_Distance_by_kilometre_grouping_for_mode_type[#All],MATCH(A1352,Average_Distance_by_kilometre_grouping_for_mode_type[#Headers],0),0)</f>
        <v>38.99</v>
      </c>
      <c r="I1352" s="89">
        <f>VLOOKUP(D1352,Average_Distance_by_kilometres_grouping_for_trip_purpose[#All],MATCH(A1352,Average_Distance_by_kilometres_grouping_for_trip_purpose[#Headers],0),0)</f>
        <v>42.45</v>
      </c>
      <c r="J1352" s="89">
        <f t="shared" si="108"/>
        <v>40.72</v>
      </c>
      <c r="K1352" s="89">
        <f t="shared" si="109"/>
        <v>0.71791255289139633</v>
      </c>
      <c r="L1352" s="89">
        <v>1</v>
      </c>
      <c r="M1352" s="13">
        <f t="shared" si="110"/>
        <v>111854669.7513296</v>
      </c>
      <c r="N1352" s="11">
        <f t="shared" si="106"/>
        <v>1.932991627508041E-3</v>
      </c>
    </row>
    <row r="1353" spans="1:14" x14ac:dyDescent="0.25">
      <c r="A1353" s="79" t="s">
        <v>34</v>
      </c>
      <c r="B1353" s="89" t="s">
        <v>11</v>
      </c>
      <c r="C1353" s="89" t="s">
        <v>42</v>
      </c>
      <c r="D1353" s="13" t="s">
        <v>12</v>
      </c>
      <c r="E1353" s="35">
        <f>VLOOKUP(B1353, Passenger_Kilometre_by_mode_type[#All],MATCH(A1353, Passenger_Kilometre_by_mode_type[#Headers],0),0)</f>
        <v>179885559.24640933</v>
      </c>
      <c r="F1353" s="89">
        <f>VLOOKUP(C1353, Reason_for_public_transport_journeys_by_percentage[#All],MATCH(A1353, Reason_for_public_transport_journeys_by_percentage[#Headers],0),0)/100</f>
        <v>0.2525</v>
      </c>
      <c r="G1353" s="13">
        <f t="shared" si="107"/>
        <v>45421103.709718354</v>
      </c>
      <c r="H1353" s="89">
        <f>VLOOKUP(D1353,Average_Distance_by_kilometre_grouping_for_mode_type[#All],MATCH(A1353,Average_Distance_by_kilometre_grouping_for_mode_type[#Headers],0),0)</f>
        <v>1</v>
      </c>
      <c r="I1353" s="89">
        <f>VLOOKUP(D1353,Average_Distance_by_kilometres_grouping_for_trip_purpose[#All],MATCH(A1353,Average_Distance_by_kilometres_grouping_for_trip_purpose[#Headers],0),0)</f>
        <v>1</v>
      </c>
      <c r="J1353" s="89">
        <f t="shared" si="108"/>
        <v>1</v>
      </c>
      <c r="K1353" s="89">
        <f t="shared" si="109"/>
        <v>1.763046544428773E-2</v>
      </c>
      <c r="L1353" s="89">
        <v>1</v>
      </c>
      <c r="M1353" s="13">
        <f t="shared" si="110"/>
        <v>800795.19939559861</v>
      </c>
      <c r="N1353" s="11">
        <f t="shared" si="106"/>
        <v>1.3838764346822672E-5</v>
      </c>
    </row>
    <row r="1354" spans="1:14" x14ac:dyDescent="0.25">
      <c r="A1354" s="79" t="s">
        <v>34</v>
      </c>
      <c r="B1354" s="89" t="s">
        <v>11</v>
      </c>
      <c r="C1354" s="89" t="s">
        <v>42</v>
      </c>
      <c r="D1354" s="13" t="s">
        <v>181</v>
      </c>
      <c r="E1354" s="35">
        <f>VLOOKUP(B1354, Passenger_Kilometre_by_mode_type[#All],MATCH(A1354, Passenger_Kilometre_by_mode_type[#Headers],0),0)</f>
        <v>179885559.24640933</v>
      </c>
      <c r="F1354" s="89">
        <f>VLOOKUP(C1354, Reason_for_public_transport_journeys_by_percentage[#All],MATCH(A1354, Reason_for_public_transport_journeys_by_percentage[#Headers],0),0)/100</f>
        <v>0.2525</v>
      </c>
      <c r="G1354" s="13">
        <f t="shared" si="107"/>
        <v>45421103.709718354</v>
      </c>
      <c r="H1354" s="89">
        <f>VLOOKUP(D1354,Average_Distance_by_kilometre_grouping_for_mode_type[#All],MATCH(A1354,Average_Distance_by_kilometre_grouping_for_mode_type[#Headers],0),0)</f>
        <v>3</v>
      </c>
      <c r="I1354" s="89">
        <f>VLOOKUP(D1354,Average_Distance_by_kilometres_grouping_for_trip_purpose[#All],MATCH(A1354,Average_Distance_by_kilometres_grouping_for_trip_purpose[#Headers],0),0)</f>
        <v>3</v>
      </c>
      <c r="J1354" s="89">
        <f t="shared" si="108"/>
        <v>3</v>
      </c>
      <c r="K1354" s="89">
        <f t="shared" si="109"/>
        <v>5.2891396332863189E-2</v>
      </c>
      <c r="L1354" s="89">
        <v>1</v>
      </c>
      <c r="M1354" s="13">
        <f t="shared" si="110"/>
        <v>2402385.5981867961</v>
      </c>
      <c r="N1354" s="11">
        <f t="shared" si="106"/>
        <v>4.1516293040468017E-5</v>
      </c>
    </row>
    <row r="1355" spans="1:14" x14ac:dyDescent="0.25">
      <c r="A1355" s="79" t="s">
        <v>34</v>
      </c>
      <c r="B1355" s="89" t="s">
        <v>11</v>
      </c>
      <c r="C1355" s="89" t="s">
        <v>42</v>
      </c>
      <c r="D1355" s="13" t="s">
        <v>180</v>
      </c>
      <c r="E1355" s="35">
        <f>VLOOKUP(B1355, Passenger_Kilometre_by_mode_type[#All],MATCH(A1355, Passenger_Kilometre_by_mode_type[#Headers],0),0)</f>
        <v>179885559.24640933</v>
      </c>
      <c r="F1355" s="89">
        <f>VLOOKUP(C1355, Reason_for_public_transport_journeys_by_percentage[#All],MATCH(A1355, Reason_for_public_transport_journeys_by_percentage[#Headers],0),0)/100</f>
        <v>0.2525</v>
      </c>
      <c r="G1355" s="13">
        <f t="shared" si="107"/>
        <v>45421103.709718354</v>
      </c>
      <c r="H1355" s="89">
        <f>VLOOKUP(D1355,Average_Distance_by_kilometre_grouping_for_mode_type[#All],MATCH(A1355,Average_Distance_by_kilometre_grouping_for_mode_type[#Headers],0),0)</f>
        <v>5</v>
      </c>
      <c r="I1355" s="89">
        <f>VLOOKUP(D1355,Average_Distance_by_kilometres_grouping_for_trip_purpose[#All],MATCH(A1355,Average_Distance_by_kilometres_grouping_for_trip_purpose[#Headers],0),0)</f>
        <v>5</v>
      </c>
      <c r="J1355" s="89">
        <f t="shared" si="108"/>
        <v>5</v>
      </c>
      <c r="K1355" s="89">
        <f t="shared" si="109"/>
        <v>8.8152327221438648E-2</v>
      </c>
      <c r="L1355" s="89">
        <v>1</v>
      </c>
      <c r="M1355" s="13">
        <f t="shared" si="110"/>
        <v>4003975.9969779933</v>
      </c>
      <c r="N1355" s="11">
        <f t="shared" si="106"/>
        <v>6.9193821734113358E-5</v>
      </c>
    </row>
    <row r="1356" spans="1:14" x14ac:dyDescent="0.25">
      <c r="A1356" s="79" t="s">
        <v>34</v>
      </c>
      <c r="B1356" s="89" t="s">
        <v>11</v>
      </c>
      <c r="C1356" s="89" t="s">
        <v>42</v>
      </c>
      <c r="D1356" s="13" t="s">
        <v>182</v>
      </c>
      <c r="E1356" s="35">
        <f>VLOOKUP(B1356, Passenger_Kilometre_by_mode_type[#All],MATCH(A1356, Passenger_Kilometre_by_mode_type[#Headers],0),0)</f>
        <v>179885559.24640933</v>
      </c>
      <c r="F1356" s="89">
        <f>VLOOKUP(C1356, Reason_for_public_transport_journeys_by_percentage[#All],MATCH(A1356, Reason_for_public_transport_journeys_by_percentage[#Headers],0),0)/100</f>
        <v>0.2525</v>
      </c>
      <c r="G1356" s="13">
        <f t="shared" si="107"/>
        <v>45421103.709718354</v>
      </c>
      <c r="H1356" s="89">
        <f>VLOOKUP(D1356,Average_Distance_by_kilometre_grouping_for_mode_type[#All],MATCH(A1356,Average_Distance_by_kilometre_grouping_for_mode_type[#Headers],0),0)</f>
        <v>7</v>
      </c>
      <c r="I1356" s="89">
        <f>VLOOKUP(D1356,Average_Distance_by_kilometres_grouping_for_trip_purpose[#All],MATCH(A1356,Average_Distance_by_kilometres_grouping_for_trip_purpose[#Headers],0),0)</f>
        <v>7</v>
      </c>
      <c r="J1356" s="89">
        <f t="shared" si="108"/>
        <v>7</v>
      </c>
      <c r="K1356" s="89">
        <f t="shared" si="109"/>
        <v>0.12341325811001411</v>
      </c>
      <c r="L1356" s="89">
        <v>1</v>
      </c>
      <c r="M1356" s="13">
        <f t="shared" si="110"/>
        <v>5605566.39576919</v>
      </c>
      <c r="N1356" s="11">
        <f t="shared" si="106"/>
        <v>9.6871350427758698E-5</v>
      </c>
    </row>
    <row r="1357" spans="1:14" x14ac:dyDescent="0.25">
      <c r="A1357" s="79" t="s">
        <v>34</v>
      </c>
      <c r="B1357" s="89" t="s">
        <v>11</v>
      </c>
      <c r="C1357" s="89" t="s">
        <v>42</v>
      </c>
      <c r="D1357" s="13" t="s">
        <v>1</v>
      </c>
      <c r="E1357" s="35">
        <f>VLOOKUP(B1357, Passenger_Kilometre_by_mode_type[#All],MATCH(A1357, Passenger_Kilometre_by_mode_type[#Headers],0),0)</f>
        <v>179885559.24640933</v>
      </c>
      <c r="F1357" s="89">
        <f>VLOOKUP(C1357, Reason_for_public_transport_journeys_by_percentage[#All],MATCH(A1357, Reason_for_public_transport_journeys_by_percentage[#Headers],0),0)/100</f>
        <v>0.2525</v>
      </c>
      <c r="G1357" s="13">
        <f t="shared" si="107"/>
        <v>45421103.709718354</v>
      </c>
      <c r="H1357" s="89">
        <f>VLOOKUP(D1357,Average_Distance_by_kilometre_grouping_for_mode_type[#All],MATCH(A1357,Average_Distance_by_kilometre_grouping_for_mode_type[#Headers],0),0)</f>
        <v>38.99</v>
      </c>
      <c r="I1357" s="89">
        <f>VLOOKUP(D1357,Average_Distance_by_kilometres_grouping_for_trip_purpose[#All],MATCH(A1357,Average_Distance_by_kilometres_grouping_for_trip_purpose[#Headers],0),0)</f>
        <v>42.45</v>
      </c>
      <c r="J1357" s="89">
        <f t="shared" si="108"/>
        <v>40.72</v>
      </c>
      <c r="K1357" s="89">
        <f t="shared" si="109"/>
        <v>0.71791255289139633</v>
      </c>
      <c r="L1357" s="89">
        <v>1</v>
      </c>
      <c r="M1357" s="13">
        <f t="shared" si="110"/>
        <v>32608380.519388776</v>
      </c>
      <c r="N1357" s="11">
        <f t="shared" si="106"/>
        <v>5.6351448420261917E-4</v>
      </c>
    </row>
    <row r="1358" spans="1:14" x14ac:dyDescent="0.25">
      <c r="A1358" s="79" t="s">
        <v>34</v>
      </c>
      <c r="B1358" s="89" t="s">
        <v>11</v>
      </c>
      <c r="C1358" s="89" t="s">
        <v>43</v>
      </c>
      <c r="D1358" s="13" t="s">
        <v>12</v>
      </c>
      <c r="E1358" s="35">
        <f>VLOOKUP(B1358, Passenger_Kilometre_by_mode_type[#All],MATCH(A1358, Passenger_Kilometre_by_mode_type[#Headers],0),0)</f>
        <v>179885559.24640933</v>
      </c>
      <c r="F1358" s="89">
        <f>VLOOKUP(C1358, Reason_for_public_transport_journeys_by_percentage[#All],MATCH(A1358, Reason_for_public_transport_journeys_by_percentage[#Headers],0),0)/100</f>
        <v>0.11775000000000002</v>
      </c>
      <c r="G1358" s="13">
        <f t="shared" si="107"/>
        <v>21181524.6012647</v>
      </c>
      <c r="H1358" s="89">
        <f>VLOOKUP(D1358,Average_Distance_by_kilometre_grouping_for_mode_type[#All],MATCH(A1358,Average_Distance_by_kilometre_grouping_for_mode_type[#Headers],0),0)</f>
        <v>1</v>
      </c>
      <c r="I1358" s="89">
        <f>VLOOKUP(D1358,Average_Distance_by_kilometres_grouping_for_trip_purpose[#All],MATCH(A1358,Average_Distance_by_kilometres_grouping_for_trip_purpose[#Headers],0),0)</f>
        <v>1</v>
      </c>
      <c r="J1358" s="89">
        <f t="shared" si="108"/>
        <v>1</v>
      </c>
      <c r="K1358" s="89">
        <f t="shared" si="109"/>
        <v>1.763046544428773E-2</v>
      </c>
      <c r="L1358" s="89">
        <v>1</v>
      </c>
      <c r="M1358" s="13">
        <f t="shared" si="110"/>
        <v>373440.13753992773</v>
      </c>
      <c r="N1358" s="11">
        <f t="shared" si="106"/>
        <v>6.4535227795578998E-6</v>
      </c>
    </row>
    <row r="1359" spans="1:14" x14ac:dyDescent="0.25">
      <c r="A1359" s="79" t="s">
        <v>34</v>
      </c>
      <c r="B1359" s="89" t="s">
        <v>11</v>
      </c>
      <c r="C1359" s="89" t="s">
        <v>43</v>
      </c>
      <c r="D1359" s="13" t="s">
        <v>181</v>
      </c>
      <c r="E1359" s="35">
        <f>VLOOKUP(B1359, Passenger_Kilometre_by_mode_type[#All],MATCH(A1359, Passenger_Kilometre_by_mode_type[#Headers],0),0)</f>
        <v>179885559.24640933</v>
      </c>
      <c r="F1359" s="89">
        <f>VLOOKUP(C1359, Reason_for_public_transport_journeys_by_percentage[#All],MATCH(A1359, Reason_for_public_transport_journeys_by_percentage[#Headers],0),0)/100</f>
        <v>0.11775000000000002</v>
      </c>
      <c r="G1359" s="13">
        <f t="shared" si="107"/>
        <v>21181524.6012647</v>
      </c>
      <c r="H1359" s="89">
        <f>VLOOKUP(D1359,Average_Distance_by_kilometre_grouping_for_mode_type[#All],MATCH(A1359,Average_Distance_by_kilometre_grouping_for_mode_type[#Headers],0),0)</f>
        <v>3</v>
      </c>
      <c r="I1359" s="89">
        <f>VLOOKUP(D1359,Average_Distance_by_kilometres_grouping_for_trip_purpose[#All],MATCH(A1359,Average_Distance_by_kilometres_grouping_for_trip_purpose[#Headers],0),0)</f>
        <v>3</v>
      </c>
      <c r="J1359" s="89">
        <f t="shared" si="108"/>
        <v>3</v>
      </c>
      <c r="K1359" s="89">
        <f t="shared" si="109"/>
        <v>5.2891396332863189E-2</v>
      </c>
      <c r="L1359" s="89">
        <v>1</v>
      </c>
      <c r="M1359" s="13">
        <f t="shared" si="110"/>
        <v>1120320.4126197831</v>
      </c>
      <c r="N1359" s="11">
        <f t="shared" si="106"/>
        <v>1.9360568338673698E-5</v>
      </c>
    </row>
    <row r="1360" spans="1:14" x14ac:dyDescent="0.25">
      <c r="A1360" s="79" t="s">
        <v>34</v>
      </c>
      <c r="B1360" s="89" t="s">
        <v>11</v>
      </c>
      <c r="C1360" s="89" t="s">
        <v>43</v>
      </c>
      <c r="D1360" s="13" t="s">
        <v>180</v>
      </c>
      <c r="E1360" s="35">
        <f>VLOOKUP(B1360, Passenger_Kilometre_by_mode_type[#All],MATCH(A1360, Passenger_Kilometre_by_mode_type[#Headers],0),0)</f>
        <v>179885559.24640933</v>
      </c>
      <c r="F1360" s="89">
        <f>VLOOKUP(C1360, Reason_for_public_transport_journeys_by_percentage[#All],MATCH(A1360, Reason_for_public_transport_journeys_by_percentage[#Headers],0),0)/100</f>
        <v>0.11775000000000002</v>
      </c>
      <c r="G1360" s="13">
        <f t="shared" si="107"/>
        <v>21181524.6012647</v>
      </c>
      <c r="H1360" s="89">
        <f>VLOOKUP(D1360,Average_Distance_by_kilometre_grouping_for_mode_type[#All],MATCH(A1360,Average_Distance_by_kilometre_grouping_for_mode_type[#Headers],0),0)</f>
        <v>5</v>
      </c>
      <c r="I1360" s="89">
        <f>VLOOKUP(D1360,Average_Distance_by_kilometres_grouping_for_trip_purpose[#All],MATCH(A1360,Average_Distance_by_kilometres_grouping_for_trip_purpose[#Headers],0),0)</f>
        <v>5</v>
      </c>
      <c r="J1360" s="89">
        <f t="shared" si="108"/>
        <v>5</v>
      </c>
      <c r="K1360" s="89">
        <f t="shared" si="109"/>
        <v>8.8152327221438648E-2</v>
      </c>
      <c r="L1360" s="89">
        <v>1</v>
      </c>
      <c r="M1360" s="13">
        <f t="shared" si="110"/>
        <v>1867200.6876996385</v>
      </c>
      <c r="N1360" s="11">
        <f t="shared" si="106"/>
        <v>3.2267613897789497E-5</v>
      </c>
    </row>
    <row r="1361" spans="1:14" x14ac:dyDescent="0.25">
      <c r="A1361" s="79" t="s">
        <v>34</v>
      </c>
      <c r="B1361" s="89" t="s">
        <v>11</v>
      </c>
      <c r="C1361" s="89" t="s">
        <v>43</v>
      </c>
      <c r="D1361" s="13" t="s">
        <v>182</v>
      </c>
      <c r="E1361" s="35">
        <f>VLOOKUP(B1361, Passenger_Kilometre_by_mode_type[#All],MATCH(A1361, Passenger_Kilometre_by_mode_type[#Headers],0),0)</f>
        <v>179885559.24640933</v>
      </c>
      <c r="F1361" s="89">
        <f>VLOOKUP(C1361, Reason_for_public_transport_journeys_by_percentage[#All],MATCH(A1361, Reason_for_public_transport_journeys_by_percentage[#Headers],0),0)/100</f>
        <v>0.11775000000000002</v>
      </c>
      <c r="G1361" s="13">
        <f t="shared" si="107"/>
        <v>21181524.6012647</v>
      </c>
      <c r="H1361" s="89">
        <f>VLOOKUP(D1361,Average_Distance_by_kilometre_grouping_for_mode_type[#All],MATCH(A1361,Average_Distance_by_kilometre_grouping_for_mode_type[#Headers],0),0)</f>
        <v>7</v>
      </c>
      <c r="I1361" s="89">
        <f>VLOOKUP(D1361,Average_Distance_by_kilometres_grouping_for_trip_purpose[#All],MATCH(A1361,Average_Distance_by_kilometres_grouping_for_trip_purpose[#Headers],0),0)</f>
        <v>7</v>
      </c>
      <c r="J1361" s="89">
        <f t="shared" si="108"/>
        <v>7</v>
      </c>
      <c r="K1361" s="89">
        <f t="shared" si="109"/>
        <v>0.12341325811001411</v>
      </c>
      <c r="L1361" s="89">
        <v>1</v>
      </c>
      <c r="M1361" s="13">
        <f t="shared" si="110"/>
        <v>2614080.962779494</v>
      </c>
      <c r="N1361" s="11">
        <f t="shared" si="106"/>
        <v>4.51746594569053E-5</v>
      </c>
    </row>
    <row r="1362" spans="1:14" x14ac:dyDescent="0.25">
      <c r="A1362" s="79" t="s">
        <v>34</v>
      </c>
      <c r="B1362" s="89" t="s">
        <v>11</v>
      </c>
      <c r="C1362" s="89" t="s">
        <v>43</v>
      </c>
      <c r="D1362" s="13" t="s">
        <v>1</v>
      </c>
      <c r="E1362" s="35">
        <f>VLOOKUP(B1362, Passenger_Kilometre_by_mode_type[#All],MATCH(A1362, Passenger_Kilometre_by_mode_type[#Headers],0),0)</f>
        <v>179885559.24640933</v>
      </c>
      <c r="F1362" s="89">
        <f>VLOOKUP(C1362, Reason_for_public_transport_journeys_by_percentage[#All],MATCH(A1362, Reason_for_public_transport_journeys_by_percentage[#Headers],0),0)/100</f>
        <v>0.11775000000000002</v>
      </c>
      <c r="G1362" s="13">
        <f t="shared" si="107"/>
        <v>21181524.6012647</v>
      </c>
      <c r="H1362" s="89">
        <f>VLOOKUP(D1362,Average_Distance_by_kilometre_grouping_for_mode_type[#All],MATCH(A1362,Average_Distance_by_kilometre_grouping_for_mode_type[#Headers],0),0)</f>
        <v>38.99</v>
      </c>
      <c r="I1362" s="89">
        <f>VLOOKUP(D1362,Average_Distance_by_kilometres_grouping_for_trip_purpose[#All],MATCH(A1362,Average_Distance_by_kilometres_grouping_for_trip_purpose[#Headers],0),0)</f>
        <v>42.45</v>
      </c>
      <c r="J1362" s="89">
        <f t="shared" si="108"/>
        <v>40.72</v>
      </c>
      <c r="K1362" s="89">
        <f t="shared" si="109"/>
        <v>0.71791255289139633</v>
      </c>
      <c r="L1362" s="89">
        <v>1</v>
      </c>
      <c r="M1362" s="13">
        <f t="shared" si="110"/>
        <v>15206482.400625857</v>
      </c>
      <c r="N1362" s="11">
        <f t="shared" si="106"/>
        <v>2.6278744758359768E-4</v>
      </c>
    </row>
    <row r="1363" spans="1:14" x14ac:dyDescent="0.25">
      <c r="A1363" s="79" t="s">
        <v>34</v>
      </c>
      <c r="B1363" s="89" t="s">
        <v>11</v>
      </c>
      <c r="C1363" s="89" t="s">
        <v>44</v>
      </c>
      <c r="D1363" s="13" t="s">
        <v>12</v>
      </c>
      <c r="E1363" s="35">
        <f>VLOOKUP(B1363, Passenger_Kilometre_by_mode_type[#All],MATCH(A1363, Passenger_Kilometre_by_mode_type[#Headers],0),0)</f>
        <v>179885559.24640933</v>
      </c>
      <c r="F1363" s="89">
        <f>VLOOKUP(C1363, Reason_for_public_transport_journeys_by_percentage[#All],MATCH(A1363, Reason_for_public_transport_journeys_by_percentage[#Headers],0),0)/100</f>
        <v>0.25125000000000003</v>
      </c>
      <c r="G1363" s="13">
        <f t="shared" si="107"/>
        <v>45196246.76066035</v>
      </c>
      <c r="H1363" s="89">
        <f>VLOOKUP(D1363,Average_Distance_by_kilometre_grouping_for_mode_type[#All],MATCH(A1363,Average_Distance_by_kilometre_grouping_for_mode_type[#Headers],0),0)</f>
        <v>1</v>
      </c>
      <c r="I1363" s="89">
        <f>VLOOKUP(D1363,Average_Distance_by_kilometres_grouping_for_trip_purpose[#All],MATCH(A1363,Average_Distance_by_kilometres_grouping_for_trip_purpose[#Headers],0),0)</f>
        <v>1</v>
      </c>
      <c r="J1363" s="89">
        <f t="shared" si="108"/>
        <v>1</v>
      </c>
      <c r="K1363" s="89">
        <f t="shared" si="109"/>
        <v>1.763046544428773E-2</v>
      </c>
      <c r="L1363" s="89">
        <v>1</v>
      </c>
      <c r="M1363" s="13">
        <f t="shared" si="110"/>
        <v>796830.86672532349</v>
      </c>
      <c r="N1363" s="11">
        <f t="shared" si="106"/>
        <v>1.3770255612432462E-5</v>
      </c>
    </row>
    <row r="1364" spans="1:14" x14ac:dyDescent="0.25">
      <c r="A1364" s="79" t="s">
        <v>34</v>
      </c>
      <c r="B1364" s="89" t="s">
        <v>11</v>
      </c>
      <c r="C1364" s="89" t="s">
        <v>44</v>
      </c>
      <c r="D1364" s="13" t="s">
        <v>181</v>
      </c>
      <c r="E1364" s="35">
        <f>VLOOKUP(B1364, Passenger_Kilometre_by_mode_type[#All],MATCH(A1364, Passenger_Kilometre_by_mode_type[#Headers],0),0)</f>
        <v>179885559.24640933</v>
      </c>
      <c r="F1364" s="89">
        <f>VLOOKUP(C1364, Reason_for_public_transport_journeys_by_percentage[#All],MATCH(A1364, Reason_for_public_transport_journeys_by_percentage[#Headers],0),0)/100</f>
        <v>0.25125000000000003</v>
      </c>
      <c r="G1364" s="13">
        <f t="shared" si="107"/>
        <v>45196246.76066035</v>
      </c>
      <c r="H1364" s="89">
        <f>VLOOKUP(D1364,Average_Distance_by_kilometre_grouping_for_mode_type[#All],MATCH(A1364,Average_Distance_by_kilometre_grouping_for_mode_type[#Headers],0),0)</f>
        <v>3</v>
      </c>
      <c r="I1364" s="89">
        <f>VLOOKUP(D1364,Average_Distance_by_kilometres_grouping_for_trip_purpose[#All],MATCH(A1364,Average_Distance_by_kilometres_grouping_for_trip_purpose[#Headers],0),0)</f>
        <v>3</v>
      </c>
      <c r="J1364" s="89">
        <f t="shared" si="108"/>
        <v>3</v>
      </c>
      <c r="K1364" s="89">
        <f t="shared" si="109"/>
        <v>5.2891396332863189E-2</v>
      </c>
      <c r="L1364" s="89">
        <v>1</v>
      </c>
      <c r="M1364" s="13">
        <f t="shared" si="110"/>
        <v>2390492.6001759707</v>
      </c>
      <c r="N1364" s="11">
        <f t="shared" si="106"/>
        <v>4.1310766837297392E-5</v>
      </c>
    </row>
    <row r="1365" spans="1:14" x14ac:dyDescent="0.25">
      <c r="A1365" s="79" t="s">
        <v>34</v>
      </c>
      <c r="B1365" s="89" t="s">
        <v>11</v>
      </c>
      <c r="C1365" s="89" t="s">
        <v>44</v>
      </c>
      <c r="D1365" s="13" t="s">
        <v>180</v>
      </c>
      <c r="E1365" s="35">
        <f>VLOOKUP(B1365, Passenger_Kilometre_by_mode_type[#All],MATCH(A1365, Passenger_Kilometre_by_mode_type[#Headers],0),0)</f>
        <v>179885559.24640933</v>
      </c>
      <c r="F1365" s="89">
        <f>VLOOKUP(C1365, Reason_for_public_transport_journeys_by_percentage[#All],MATCH(A1365, Reason_for_public_transport_journeys_by_percentage[#Headers],0),0)/100</f>
        <v>0.25125000000000003</v>
      </c>
      <c r="G1365" s="13">
        <f t="shared" si="107"/>
        <v>45196246.76066035</v>
      </c>
      <c r="H1365" s="89">
        <f>VLOOKUP(D1365,Average_Distance_by_kilometre_grouping_for_mode_type[#All],MATCH(A1365,Average_Distance_by_kilometre_grouping_for_mode_type[#Headers],0),0)</f>
        <v>5</v>
      </c>
      <c r="I1365" s="89">
        <f>VLOOKUP(D1365,Average_Distance_by_kilometres_grouping_for_trip_purpose[#All],MATCH(A1365,Average_Distance_by_kilometres_grouping_for_trip_purpose[#Headers],0),0)</f>
        <v>5</v>
      </c>
      <c r="J1365" s="89">
        <f t="shared" si="108"/>
        <v>5</v>
      </c>
      <c r="K1365" s="89">
        <f t="shared" si="109"/>
        <v>8.8152327221438648E-2</v>
      </c>
      <c r="L1365" s="89">
        <v>1</v>
      </c>
      <c r="M1365" s="13">
        <f t="shared" si="110"/>
        <v>3984154.3336266177</v>
      </c>
      <c r="N1365" s="11">
        <f t="shared" si="106"/>
        <v>6.8851278062162307E-5</v>
      </c>
    </row>
    <row r="1366" spans="1:14" x14ac:dyDescent="0.25">
      <c r="A1366" s="79" t="s">
        <v>34</v>
      </c>
      <c r="B1366" s="89" t="s">
        <v>11</v>
      </c>
      <c r="C1366" s="89" t="s">
        <v>44</v>
      </c>
      <c r="D1366" s="13" t="s">
        <v>182</v>
      </c>
      <c r="E1366" s="35">
        <f>VLOOKUP(B1366, Passenger_Kilometre_by_mode_type[#All],MATCH(A1366, Passenger_Kilometre_by_mode_type[#Headers],0),0)</f>
        <v>179885559.24640933</v>
      </c>
      <c r="F1366" s="89">
        <f>VLOOKUP(C1366, Reason_for_public_transport_journeys_by_percentage[#All],MATCH(A1366, Reason_for_public_transport_journeys_by_percentage[#Headers],0),0)/100</f>
        <v>0.25125000000000003</v>
      </c>
      <c r="G1366" s="13">
        <f t="shared" si="107"/>
        <v>45196246.76066035</v>
      </c>
      <c r="H1366" s="89">
        <f>VLOOKUP(D1366,Average_Distance_by_kilometre_grouping_for_mode_type[#All],MATCH(A1366,Average_Distance_by_kilometre_grouping_for_mode_type[#Headers],0),0)</f>
        <v>7</v>
      </c>
      <c r="I1366" s="89">
        <f>VLOOKUP(D1366,Average_Distance_by_kilometres_grouping_for_trip_purpose[#All],MATCH(A1366,Average_Distance_by_kilometres_grouping_for_trip_purpose[#Headers],0),0)</f>
        <v>7</v>
      </c>
      <c r="J1366" s="89">
        <f t="shared" si="108"/>
        <v>7</v>
      </c>
      <c r="K1366" s="89">
        <f t="shared" si="109"/>
        <v>0.12341325811001411</v>
      </c>
      <c r="L1366" s="89">
        <v>1</v>
      </c>
      <c r="M1366" s="13">
        <f t="shared" si="110"/>
        <v>5577816.0670772651</v>
      </c>
      <c r="N1366" s="11">
        <f t="shared" si="106"/>
        <v>9.6391789287027249E-5</v>
      </c>
    </row>
    <row r="1367" spans="1:14" x14ac:dyDescent="0.25">
      <c r="A1367" s="79" t="s">
        <v>34</v>
      </c>
      <c r="B1367" s="89" t="s">
        <v>11</v>
      </c>
      <c r="C1367" s="89" t="s">
        <v>44</v>
      </c>
      <c r="D1367" s="13" t="s">
        <v>1</v>
      </c>
      <c r="E1367" s="35">
        <f>VLOOKUP(B1367, Passenger_Kilometre_by_mode_type[#All],MATCH(A1367, Passenger_Kilometre_by_mode_type[#Headers],0),0)</f>
        <v>179885559.24640933</v>
      </c>
      <c r="F1367" s="89">
        <f>VLOOKUP(C1367, Reason_for_public_transport_journeys_by_percentage[#All],MATCH(A1367, Reason_for_public_transport_journeys_by_percentage[#Headers],0),0)/100</f>
        <v>0.25125000000000003</v>
      </c>
      <c r="G1367" s="13">
        <f t="shared" si="107"/>
        <v>45196246.76066035</v>
      </c>
      <c r="H1367" s="89">
        <f>VLOOKUP(D1367,Average_Distance_by_kilometre_grouping_for_mode_type[#All],MATCH(A1367,Average_Distance_by_kilometre_grouping_for_mode_type[#Headers],0),0)</f>
        <v>38.99</v>
      </c>
      <c r="I1367" s="89">
        <f>VLOOKUP(D1367,Average_Distance_by_kilometres_grouping_for_trip_purpose[#All],MATCH(A1367,Average_Distance_by_kilometres_grouping_for_trip_purpose[#Headers],0),0)</f>
        <v>42.45</v>
      </c>
      <c r="J1367" s="89">
        <f t="shared" si="108"/>
        <v>40.72</v>
      </c>
      <c r="K1367" s="89">
        <f t="shared" si="109"/>
        <v>0.71791255289139633</v>
      </c>
      <c r="L1367" s="89">
        <v>1</v>
      </c>
      <c r="M1367" s="13">
        <f t="shared" si="110"/>
        <v>32446952.893055174</v>
      </c>
      <c r="N1367" s="11">
        <f t="shared" si="106"/>
        <v>5.6072480853824988E-4</v>
      </c>
    </row>
    <row r="1368" spans="1:14" x14ac:dyDescent="0.25">
      <c r="A1368" s="79" t="s">
        <v>34</v>
      </c>
      <c r="B1368" s="89" t="s">
        <v>11</v>
      </c>
      <c r="C1368" s="89" t="s">
        <v>45</v>
      </c>
      <c r="D1368" s="13" t="s">
        <v>12</v>
      </c>
      <c r="E1368" s="35">
        <f>VLOOKUP(B1368, Passenger_Kilometre_by_mode_type[#All],MATCH(A1368, Passenger_Kilometre_by_mode_type[#Headers],0),0)</f>
        <v>179885559.24640933</v>
      </c>
      <c r="F1368" s="89">
        <f>VLOOKUP(C1368, Reason_for_public_transport_journeys_by_percentage[#All],MATCH(A1368, Reason_for_public_transport_journeys_by_percentage[#Headers],0),0)/100</f>
        <v>2.3250000000000003E-2</v>
      </c>
      <c r="G1368" s="13">
        <f t="shared" si="107"/>
        <v>4182339.2524790172</v>
      </c>
      <c r="H1368" s="89">
        <f>VLOOKUP(D1368,Average_Distance_by_kilometre_grouping_for_mode_type[#All],MATCH(A1368,Average_Distance_by_kilometre_grouping_for_mode_type[#Headers],0),0)</f>
        <v>1</v>
      </c>
      <c r="I1368" s="89">
        <f>VLOOKUP(D1368,Average_Distance_by_kilometres_grouping_for_trip_purpose[#All],MATCH(A1368,Average_Distance_by_kilometres_grouping_for_trip_purpose[#Headers],0),0)</f>
        <v>1</v>
      </c>
      <c r="J1368" s="89">
        <f t="shared" si="108"/>
        <v>1</v>
      </c>
      <c r="K1368" s="89">
        <f t="shared" si="109"/>
        <v>1.763046544428773E-2</v>
      </c>
      <c r="L1368" s="89">
        <v>1</v>
      </c>
      <c r="M1368" s="13">
        <f t="shared" si="110"/>
        <v>73736.587667119486</v>
      </c>
      <c r="N1368" s="11">
        <f t="shared" si="106"/>
        <v>1.2742624596579294E-6</v>
      </c>
    </row>
    <row r="1369" spans="1:14" x14ac:dyDescent="0.25">
      <c r="A1369" s="79" t="s">
        <v>34</v>
      </c>
      <c r="B1369" s="89" t="s">
        <v>11</v>
      </c>
      <c r="C1369" s="89" t="s">
        <v>45</v>
      </c>
      <c r="D1369" s="13" t="s">
        <v>181</v>
      </c>
      <c r="E1369" s="35">
        <f>VLOOKUP(B1369, Passenger_Kilometre_by_mode_type[#All],MATCH(A1369, Passenger_Kilometre_by_mode_type[#Headers],0),0)</f>
        <v>179885559.24640933</v>
      </c>
      <c r="F1369" s="89">
        <f>VLOOKUP(C1369, Reason_for_public_transport_journeys_by_percentage[#All],MATCH(A1369, Reason_for_public_transport_journeys_by_percentage[#Headers],0),0)/100</f>
        <v>2.3250000000000003E-2</v>
      </c>
      <c r="G1369" s="13">
        <f t="shared" si="107"/>
        <v>4182339.2524790172</v>
      </c>
      <c r="H1369" s="89">
        <f>VLOOKUP(D1369,Average_Distance_by_kilometre_grouping_for_mode_type[#All],MATCH(A1369,Average_Distance_by_kilometre_grouping_for_mode_type[#Headers],0),0)</f>
        <v>3</v>
      </c>
      <c r="I1369" s="89">
        <f>VLOOKUP(D1369,Average_Distance_by_kilometres_grouping_for_trip_purpose[#All],MATCH(A1369,Average_Distance_by_kilometres_grouping_for_trip_purpose[#Headers],0),0)</f>
        <v>3</v>
      </c>
      <c r="J1369" s="89">
        <f t="shared" si="108"/>
        <v>3</v>
      </c>
      <c r="K1369" s="89">
        <f t="shared" si="109"/>
        <v>5.2891396332863189E-2</v>
      </c>
      <c r="L1369" s="89">
        <v>1</v>
      </c>
      <c r="M1369" s="13">
        <f t="shared" si="110"/>
        <v>221209.76300135846</v>
      </c>
      <c r="N1369" s="11">
        <f t="shared" si="106"/>
        <v>3.8227873789737878E-6</v>
      </c>
    </row>
    <row r="1370" spans="1:14" x14ac:dyDescent="0.25">
      <c r="A1370" s="79" t="s">
        <v>34</v>
      </c>
      <c r="B1370" s="89" t="s">
        <v>11</v>
      </c>
      <c r="C1370" s="89" t="s">
        <v>45</v>
      </c>
      <c r="D1370" s="13" t="s">
        <v>180</v>
      </c>
      <c r="E1370" s="35">
        <f>VLOOKUP(B1370, Passenger_Kilometre_by_mode_type[#All],MATCH(A1370, Passenger_Kilometre_by_mode_type[#Headers],0),0)</f>
        <v>179885559.24640933</v>
      </c>
      <c r="F1370" s="89">
        <f>VLOOKUP(C1370, Reason_for_public_transport_journeys_by_percentage[#All],MATCH(A1370, Reason_for_public_transport_journeys_by_percentage[#Headers],0),0)/100</f>
        <v>2.3250000000000003E-2</v>
      </c>
      <c r="G1370" s="13">
        <f t="shared" si="107"/>
        <v>4182339.2524790172</v>
      </c>
      <c r="H1370" s="89">
        <f>VLOOKUP(D1370,Average_Distance_by_kilometre_grouping_for_mode_type[#All],MATCH(A1370,Average_Distance_by_kilometre_grouping_for_mode_type[#Headers],0),0)</f>
        <v>5</v>
      </c>
      <c r="I1370" s="89">
        <f>VLOOKUP(D1370,Average_Distance_by_kilometres_grouping_for_trip_purpose[#All],MATCH(A1370,Average_Distance_by_kilometres_grouping_for_trip_purpose[#Headers],0),0)</f>
        <v>5</v>
      </c>
      <c r="J1370" s="89">
        <f t="shared" si="108"/>
        <v>5</v>
      </c>
      <c r="K1370" s="89">
        <f t="shared" si="109"/>
        <v>8.8152327221438648E-2</v>
      </c>
      <c r="L1370" s="89">
        <v>1</v>
      </c>
      <c r="M1370" s="13">
        <f t="shared" si="110"/>
        <v>368682.93833559746</v>
      </c>
      <c r="N1370" s="11">
        <f t="shared" si="106"/>
        <v>6.371312298289647E-6</v>
      </c>
    </row>
    <row r="1371" spans="1:14" x14ac:dyDescent="0.25">
      <c r="A1371" s="79" t="s">
        <v>34</v>
      </c>
      <c r="B1371" s="89" t="s">
        <v>11</v>
      </c>
      <c r="C1371" s="89" t="s">
        <v>45</v>
      </c>
      <c r="D1371" s="13" t="s">
        <v>182</v>
      </c>
      <c r="E1371" s="35">
        <f>VLOOKUP(B1371, Passenger_Kilometre_by_mode_type[#All],MATCH(A1371, Passenger_Kilometre_by_mode_type[#Headers],0),0)</f>
        <v>179885559.24640933</v>
      </c>
      <c r="F1371" s="89">
        <f>VLOOKUP(C1371, Reason_for_public_transport_journeys_by_percentage[#All],MATCH(A1371, Reason_for_public_transport_journeys_by_percentage[#Headers],0),0)/100</f>
        <v>2.3250000000000003E-2</v>
      </c>
      <c r="G1371" s="13">
        <f t="shared" si="107"/>
        <v>4182339.2524790172</v>
      </c>
      <c r="H1371" s="89">
        <f>VLOOKUP(D1371,Average_Distance_by_kilometre_grouping_for_mode_type[#All],MATCH(A1371,Average_Distance_by_kilometre_grouping_for_mode_type[#Headers],0),0)</f>
        <v>7</v>
      </c>
      <c r="I1371" s="89">
        <f>VLOOKUP(D1371,Average_Distance_by_kilometres_grouping_for_trip_purpose[#All],MATCH(A1371,Average_Distance_by_kilometres_grouping_for_trip_purpose[#Headers],0),0)</f>
        <v>7</v>
      </c>
      <c r="J1371" s="89">
        <f t="shared" si="108"/>
        <v>7</v>
      </c>
      <c r="K1371" s="89">
        <f t="shared" si="109"/>
        <v>0.12341325811001411</v>
      </c>
      <c r="L1371" s="89">
        <v>1</v>
      </c>
      <c r="M1371" s="13">
        <f t="shared" si="110"/>
        <v>516156.11366983643</v>
      </c>
      <c r="N1371" s="11">
        <f t="shared" si="106"/>
        <v>8.9198372176055052E-6</v>
      </c>
    </row>
    <row r="1372" spans="1:14" x14ac:dyDescent="0.25">
      <c r="A1372" s="79" t="s">
        <v>34</v>
      </c>
      <c r="B1372" s="89" t="s">
        <v>11</v>
      </c>
      <c r="C1372" s="89" t="s">
        <v>45</v>
      </c>
      <c r="D1372" s="13" t="s">
        <v>1</v>
      </c>
      <c r="E1372" s="35">
        <f>VLOOKUP(B1372, Passenger_Kilometre_by_mode_type[#All],MATCH(A1372, Passenger_Kilometre_by_mode_type[#Headers],0),0)</f>
        <v>179885559.24640933</v>
      </c>
      <c r="F1372" s="89">
        <f>VLOOKUP(C1372, Reason_for_public_transport_journeys_by_percentage[#All],MATCH(A1372, Reason_for_public_transport_journeys_by_percentage[#Headers],0),0)/100</f>
        <v>2.3250000000000003E-2</v>
      </c>
      <c r="G1372" s="13">
        <f t="shared" si="107"/>
        <v>4182339.2524790172</v>
      </c>
      <c r="H1372" s="89">
        <f>VLOOKUP(D1372,Average_Distance_by_kilometre_grouping_for_mode_type[#All],MATCH(A1372,Average_Distance_by_kilometre_grouping_for_mode_type[#Headers],0),0)</f>
        <v>38.99</v>
      </c>
      <c r="I1372" s="89">
        <f>VLOOKUP(D1372,Average_Distance_by_kilometres_grouping_for_trip_purpose[#All],MATCH(A1372,Average_Distance_by_kilometres_grouping_for_trip_purpose[#Headers],0),0)</f>
        <v>42.45</v>
      </c>
      <c r="J1372" s="89">
        <f t="shared" si="108"/>
        <v>40.72</v>
      </c>
      <c r="K1372" s="89">
        <f t="shared" si="109"/>
        <v>0.71791255289139633</v>
      </c>
      <c r="L1372" s="89">
        <v>1</v>
      </c>
      <c r="M1372" s="13">
        <f t="shared" si="110"/>
        <v>3002553.8498051055</v>
      </c>
      <c r="N1372" s="11">
        <f t="shared" si="106"/>
        <v>5.1887967357270879E-5</v>
      </c>
    </row>
    <row r="1373" spans="1:14" x14ac:dyDescent="0.25">
      <c r="A1373" s="79" t="s">
        <v>34</v>
      </c>
      <c r="B1373" s="89" t="s">
        <v>11</v>
      </c>
      <c r="C1373" s="89" t="s">
        <v>56</v>
      </c>
      <c r="D1373" s="13" t="s">
        <v>12</v>
      </c>
      <c r="E1373" s="35">
        <f>VLOOKUP(B1373, Passenger_Kilometre_by_mode_type[#All],MATCH(A1373, Passenger_Kilometre_by_mode_type[#Headers],0),0)</f>
        <v>179885559.24640933</v>
      </c>
      <c r="F1373" s="89">
        <f>VLOOKUP(C1373, Reason_for_public_transport_journeys_by_percentage[#All],MATCH(A1373, Reason_for_public_transport_journeys_by_percentage[#Headers],0),0)/100</f>
        <v>0.11150000000000002</v>
      </c>
      <c r="G1373" s="13">
        <f t="shared" si="107"/>
        <v>20057239.855974644</v>
      </c>
      <c r="H1373" s="89">
        <f>VLOOKUP(D1373,Average_Distance_by_kilometre_grouping_for_mode_type[#All],MATCH(A1373,Average_Distance_by_kilometre_grouping_for_mode_type[#Headers],0),0)</f>
        <v>1</v>
      </c>
      <c r="I1373" s="89">
        <f>VLOOKUP(D1373,Average_Distance_by_kilometres_grouping_for_trip_purpose[#All],MATCH(A1373,Average_Distance_by_kilometres_grouping_for_trip_purpose[#Headers],0),0)</f>
        <v>1</v>
      </c>
      <c r="J1373" s="89">
        <f t="shared" si="108"/>
        <v>1</v>
      </c>
      <c r="K1373" s="89">
        <f t="shared" si="109"/>
        <v>1.763046544428773E-2</v>
      </c>
      <c r="L1373" s="89">
        <v>1</v>
      </c>
      <c r="M1373" s="13">
        <f t="shared" si="110"/>
        <v>353618.47418855154</v>
      </c>
      <c r="N1373" s="11">
        <f t="shared" si="106"/>
        <v>6.1109791076068442E-6</v>
      </c>
    </row>
    <row r="1374" spans="1:14" x14ac:dyDescent="0.25">
      <c r="A1374" s="79" t="s">
        <v>34</v>
      </c>
      <c r="B1374" s="89" t="s">
        <v>11</v>
      </c>
      <c r="C1374" s="89" t="s">
        <v>56</v>
      </c>
      <c r="D1374" s="13" t="s">
        <v>181</v>
      </c>
      <c r="E1374" s="35">
        <f>VLOOKUP(B1374, Passenger_Kilometre_by_mode_type[#All],MATCH(A1374, Passenger_Kilometre_by_mode_type[#Headers],0),0)</f>
        <v>179885559.24640933</v>
      </c>
      <c r="F1374" s="89">
        <f>VLOOKUP(C1374, Reason_for_public_transport_journeys_by_percentage[#All],MATCH(A1374, Reason_for_public_transport_journeys_by_percentage[#Headers],0),0)/100</f>
        <v>0.11150000000000002</v>
      </c>
      <c r="G1374" s="13">
        <f t="shared" si="107"/>
        <v>20057239.855974644</v>
      </c>
      <c r="H1374" s="89">
        <f>VLOOKUP(D1374,Average_Distance_by_kilometre_grouping_for_mode_type[#All],MATCH(A1374,Average_Distance_by_kilometre_grouping_for_mode_type[#Headers],0),0)</f>
        <v>3</v>
      </c>
      <c r="I1374" s="89">
        <f>VLOOKUP(D1374,Average_Distance_by_kilometres_grouping_for_trip_purpose[#All],MATCH(A1374,Average_Distance_by_kilometres_grouping_for_trip_purpose[#Headers],0),0)</f>
        <v>3</v>
      </c>
      <c r="J1374" s="89">
        <f t="shared" si="108"/>
        <v>3</v>
      </c>
      <c r="K1374" s="89">
        <f t="shared" si="109"/>
        <v>5.2891396332863189E-2</v>
      </c>
      <c r="L1374" s="89">
        <v>1</v>
      </c>
      <c r="M1374" s="13">
        <f t="shared" si="110"/>
        <v>1060855.4225656546</v>
      </c>
      <c r="N1374" s="11">
        <f t="shared" si="106"/>
        <v>1.8332937322820533E-5</v>
      </c>
    </row>
    <row r="1375" spans="1:14" x14ac:dyDescent="0.25">
      <c r="A1375" s="79" t="s">
        <v>34</v>
      </c>
      <c r="B1375" s="89" t="s">
        <v>11</v>
      </c>
      <c r="C1375" s="89" t="s">
        <v>56</v>
      </c>
      <c r="D1375" s="13" t="s">
        <v>180</v>
      </c>
      <c r="E1375" s="35">
        <f>VLOOKUP(B1375, Passenger_Kilometre_by_mode_type[#All],MATCH(A1375, Passenger_Kilometre_by_mode_type[#Headers],0),0)</f>
        <v>179885559.24640933</v>
      </c>
      <c r="F1375" s="89">
        <f>VLOOKUP(C1375, Reason_for_public_transport_journeys_by_percentage[#All],MATCH(A1375, Reason_for_public_transport_journeys_by_percentage[#Headers],0),0)/100</f>
        <v>0.11150000000000002</v>
      </c>
      <c r="G1375" s="13">
        <f t="shared" si="107"/>
        <v>20057239.855974644</v>
      </c>
      <c r="H1375" s="89">
        <f>VLOOKUP(D1375,Average_Distance_by_kilometre_grouping_for_mode_type[#All],MATCH(A1375,Average_Distance_by_kilometre_grouping_for_mode_type[#Headers],0),0)</f>
        <v>5</v>
      </c>
      <c r="I1375" s="89">
        <f>VLOOKUP(D1375,Average_Distance_by_kilometres_grouping_for_trip_purpose[#All],MATCH(A1375,Average_Distance_by_kilometres_grouping_for_trip_purpose[#Headers],0),0)</f>
        <v>5</v>
      </c>
      <c r="J1375" s="89">
        <f t="shared" si="108"/>
        <v>5</v>
      </c>
      <c r="K1375" s="89">
        <f t="shared" si="109"/>
        <v>8.8152327221438648E-2</v>
      </c>
      <c r="L1375" s="89">
        <v>1</v>
      </c>
      <c r="M1375" s="13">
        <f t="shared" si="110"/>
        <v>1768092.3709427579</v>
      </c>
      <c r="N1375" s="11">
        <f t="shared" si="106"/>
        <v>3.0554895538034224E-5</v>
      </c>
    </row>
    <row r="1376" spans="1:14" x14ac:dyDescent="0.25">
      <c r="A1376" s="79" t="s">
        <v>34</v>
      </c>
      <c r="B1376" s="89" t="s">
        <v>11</v>
      </c>
      <c r="C1376" s="89" t="s">
        <v>56</v>
      </c>
      <c r="D1376" s="13" t="s">
        <v>182</v>
      </c>
      <c r="E1376" s="35">
        <f>VLOOKUP(B1376, Passenger_Kilometre_by_mode_type[#All],MATCH(A1376, Passenger_Kilometre_by_mode_type[#Headers],0),0)</f>
        <v>179885559.24640933</v>
      </c>
      <c r="F1376" s="89">
        <f>VLOOKUP(C1376, Reason_for_public_transport_journeys_by_percentage[#All],MATCH(A1376, Reason_for_public_transport_journeys_by_percentage[#Headers],0),0)/100</f>
        <v>0.11150000000000002</v>
      </c>
      <c r="G1376" s="13">
        <f t="shared" si="107"/>
        <v>20057239.855974644</v>
      </c>
      <c r="H1376" s="89">
        <f>VLOOKUP(D1376,Average_Distance_by_kilometre_grouping_for_mode_type[#All],MATCH(A1376,Average_Distance_by_kilometre_grouping_for_mode_type[#Headers],0),0)</f>
        <v>7</v>
      </c>
      <c r="I1376" s="89">
        <f>VLOOKUP(D1376,Average_Distance_by_kilometres_grouping_for_trip_purpose[#All],MATCH(A1376,Average_Distance_by_kilometres_grouping_for_trip_purpose[#Headers],0),0)</f>
        <v>7</v>
      </c>
      <c r="J1376" s="89">
        <f t="shared" si="108"/>
        <v>7</v>
      </c>
      <c r="K1376" s="89">
        <f t="shared" si="109"/>
        <v>0.12341325811001411</v>
      </c>
      <c r="L1376" s="89">
        <v>1</v>
      </c>
      <c r="M1376" s="13">
        <f t="shared" si="110"/>
        <v>2475329.319319861</v>
      </c>
      <c r="N1376" s="11">
        <f t="shared" si="106"/>
        <v>4.2776853753247913E-5</v>
      </c>
    </row>
    <row r="1377" spans="1:14" x14ac:dyDescent="0.25">
      <c r="A1377" s="79" t="s">
        <v>34</v>
      </c>
      <c r="B1377" s="89" t="s">
        <v>11</v>
      </c>
      <c r="C1377" s="89" t="s">
        <v>56</v>
      </c>
      <c r="D1377" s="13" t="s">
        <v>1</v>
      </c>
      <c r="E1377" s="35">
        <f>VLOOKUP(B1377, Passenger_Kilometre_by_mode_type[#All],MATCH(A1377, Passenger_Kilometre_by_mode_type[#Headers],0),0)</f>
        <v>179885559.24640933</v>
      </c>
      <c r="F1377" s="89">
        <f>VLOOKUP(C1377, Reason_for_public_transport_journeys_by_percentage[#All],MATCH(A1377, Reason_for_public_transport_journeys_by_percentage[#Headers],0),0)/100</f>
        <v>0.11150000000000002</v>
      </c>
      <c r="G1377" s="13">
        <f t="shared" si="107"/>
        <v>20057239.855974644</v>
      </c>
      <c r="H1377" s="89">
        <f>VLOOKUP(D1377,Average_Distance_by_kilometre_grouping_for_mode_type[#All],MATCH(A1377,Average_Distance_by_kilometre_grouping_for_mode_type[#Headers],0),0)</f>
        <v>38.99</v>
      </c>
      <c r="I1377" s="89">
        <f>VLOOKUP(D1377,Average_Distance_by_kilometres_grouping_for_trip_purpose[#All],MATCH(A1377,Average_Distance_by_kilometres_grouping_for_trip_purpose[#Headers],0),0)</f>
        <v>42.45</v>
      </c>
      <c r="J1377" s="89">
        <f t="shared" si="108"/>
        <v>40.72</v>
      </c>
      <c r="K1377" s="89">
        <f t="shared" si="109"/>
        <v>0.71791255289139633</v>
      </c>
      <c r="L1377" s="89">
        <v>1</v>
      </c>
      <c r="M1377" s="13">
        <f t="shared" si="110"/>
        <v>14399344.26895782</v>
      </c>
      <c r="N1377" s="11">
        <f t="shared" si="106"/>
        <v>2.4883906926175073E-4</v>
      </c>
    </row>
    <row r="1378" spans="1:14" x14ac:dyDescent="0.25">
      <c r="A1378" s="79" t="s">
        <v>34</v>
      </c>
      <c r="B1378" s="89" t="s">
        <v>11</v>
      </c>
      <c r="C1378" s="89" t="s">
        <v>57</v>
      </c>
      <c r="D1378" s="13" t="s">
        <v>12</v>
      </c>
      <c r="E1378" s="35">
        <f>VLOOKUP(B1378, Passenger_Kilometre_by_mode_type[#All],MATCH(A1378, Passenger_Kilometre_by_mode_type[#Headers],0),0)</f>
        <v>179885559.24640933</v>
      </c>
      <c r="F1378" s="89">
        <f>VLOOKUP(C1378, Reason_for_public_transport_journeys_by_percentage[#All],MATCH(A1378, Reason_for_public_transport_journeys_by_percentage[#Headers],0),0)/100</f>
        <v>7.5249999999999997E-2</v>
      </c>
      <c r="G1378" s="13">
        <f t="shared" si="107"/>
        <v>13536388.333292302</v>
      </c>
      <c r="H1378" s="89">
        <f>VLOOKUP(D1378,Average_Distance_by_kilometre_grouping_for_mode_type[#All],MATCH(A1378,Average_Distance_by_kilometre_grouping_for_mode_type[#Headers],0),0)</f>
        <v>1</v>
      </c>
      <c r="I1378" s="89">
        <f>VLOOKUP(D1378,Average_Distance_by_kilometres_grouping_for_trip_purpose[#All],MATCH(A1378,Average_Distance_by_kilometres_grouping_for_trip_purpose[#Headers],0),0)</f>
        <v>1</v>
      </c>
      <c r="J1378" s="89">
        <f t="shared" si="108"/>
        <v>1</v>
      </c>
      <c r="K1378" s="89">
        <f t="shared" si="109"/>
        <v>1.763046544428773E-2</v>
      </c>
      <c r="L1378" s="89">
        <v>1</v>
      </c>
      <c r="M1378" s="13">
        <f t="shared" si="110"/>
        <v>238652.82675056951</v>
      </c>
      <c r="N1378" s="11">
        <f t="shared" si="106"/>
        <v>4.1242258102907175E-6</v>
      </c>
    </row>
    <row r="1379" spans="1:14" x14ac:dyDescent="0.25">
      <c r="A1379" s="79" t="s">
        <v>34</v>
      </c>
      <c r="B1379" s="89" t="s">
        <v>11</v>
      </c>
      <c r="C1379" s="89" t="s">
        <v>57</v>
      </c>
      <c r="D1379" s="13" t="s">
        <v>181</v>
      </c>
      <c r="E1379" s="35">
        <f>VLOOKUP(B1379, Passenger_Kilometre_by_mode_type[#All],MATCH(A1379, Passenger_Kilometre_by_mode_type[#Headers],0),0)</f>
        <v>179885559.24640933</v>
      </c>
      <c r="F1379" s="89">
        <f>VLOOKUP(C1379, Reason_for_public_transport_journeys_by_percentage[#All],MATCH(A1379, Reason_for_public_transport_journeys_by_percentage[#Headers],0),0)/100</f>
        <v>7.5249999999999997E-2</v>
      </c>
      <c r="G1379" s="13">
        <f t="shared" si="107"/>
        <v>13536388.333292302</v>
      </c>
      <c r="H1379" s="89">
        <f>VLOOKUP(D1379,Average_Distance_by_kilometre_grouping_for_mode_type[#All],MATCH(A1379,Average_Distance_by_kilometre_grouping_for_mode_type[#Headers],0),0)</f>
        <v>3</v>
      </c>
      <c r="I1379" s="89">
        <f>VLOOKUP(D1379,Average_Distance_by_kilometres_grouping_for_trip_purpose[#All],MATCH(A1379,Average_Distance_by_kilometres_grouping_for_trip_purpose[#Headers],0),0)</f>
        <v>3</v>
      </c>
      <c r="J1379" s="89">
        <f t="shared" si="108"/>
        <v>3</v>
      </c>
      <c r="K1379" s="89">
        <f t="shared" si="109"/>
        <v>5.2891396332863189E-2</v>
      </c>
      <c r="L1379" s="89">
        <v>1</v>
      </c>
      <c r="M1379" s="13">
        <f t="shared" si="110"/>
        <v>715958.48025170853</v>
      </c>
      <c r="N1379" s="11">
        <f t="shared" si="106"/>
        <v>1.2372677430872152E-5</v>
      </c>
    </row>
    <row r="1380" spans="1:14" x14ac:dyDescent="0.25">
      <c r="A1380" s="79" t="s">
        <v>34</v>
      </c>
      <c r="B1380" s="89" t="s">
        <v>11</v>
      </c>
      <c r="C1380" s="89" t="s">
        <v>57</v>
      </c>
      <c r="D1380" s="13" t="s">
        <v>180</v>
      </c>
      <c r="E1380" s="35">
        <f>VLOOKUP(B1380, Passenger_Kilometre_by_mode_type[#All],MATCH(A1380, Passenger_Kilometre_by_mode_type[#Headers],0),0)</f>
        <v>179885559.24640933</v>
      </c>
      <c r="F1380" s="89">
        <f>VLOOKUP(C1380, Reason_for_public_transport_journeys_by_percentage[#All],MATCH(A1380, Reason_for_public_transport_journeys_by_percentage[#Headers],0),0)/100</f>
        <v>7.5249999999999997E-2</v>
      </c>
      <c r="G1380" s="13">
        <f t="shared" si="107"/>
        <v>13536388.333292302</v>
      </c>
      <c r="H1380" s="89">
        <f>VLOOKUP(D1380,Average_Distance_by_kilometre_grouping_for_mode_type[#All],MATCH(A1380,Average_Distance_by_kilometre_grouping_for_mode_type[#Headers],0),0)</f>
        <v>5</v>
      </c>
      <c r="I1380" s="89">
        <f>VLOOKUP(D1380,Average_Distance_by_kilometres_grouping_for_trip_purpose[#All],MATCH(A1380,Average_Distance_by_kilometres_grouping_for_trip_purpose[#Headers],0),0)</f>
        <v>5</v>
      </c>
      <c r="J1380" s="89">
        <f t="shared" si="108"/>
        <v>5</v>
      </c>
      <c r="K1380" s="89">
        <f t="shared" si="109"/>
        <v>8.8152327221438648E-2</v>
      </c>
      <c r="L1380" s="89">
        <v>1</v>
      </c>
      <c r="M1380" s="13">
        <f t="shared" si="110"/>
        <v>1193264.1337528476</v>
      </c>
      <c r="N1380" s="11">
        <f t="shared" si="106"/>
        <v>2.0621129051453586E-5</v>
      </c>
    </row>
    <row r="1381" spans="1:14" x14ac:dyDescent="0.25">
      <c r="A1381" s="79" t="s">
        <v>34</v>
      </c>
      <c r="B1381" s="89" t="s">
        <v>11</v>
      </c>
      <c r="C1381" s="89" t="s">
        <v>57</v>
      </c>
      <c r="D1381" s="13" t="s">
        <v>182</v>
      </c>
      <c r="E1381" s="35">
        <f>VLOOKUP(B1381, Passenger_Kilometre_by_mode_type[#All],MATCH(A1381, Passenger_Kilometre_by_mode_type[#Headers],0),0)</f>
        <v>179885559.24640933</v>
      </c>
      <c r="F1381" s="89">
        <f>VLOOKUP(C1381, Reason_for_public_transport_journeys_by_percentage[#All],MATCH(A1381, Reason_for_public_transport_journeys_by_percentage[#Headers],0),0)/100</f>
        <v>7.5249999999999997E-2</v>
      </c>
      <c r="G1381" s="13">
        <f t="shared" si="107"/>
        <v>13536388.333292302</v>
      </c>
      <c r="H1381" s="89">
        <f>VLOOKUP(D1381,Average_Distance_by_kilometre_grouping_for_mode_type[#All],MATCH(A1381,Average_Distance_by_kilometre_grouping_for_mode_type[#Headers],0),0)</f>
        <v>7</v>
      </c>
      <c r="I1381" s="89">
        <f>VLOOKUP(D1381,Average_Distance_by_kilometres_grouping_for_trip_purpose[#All],MATCH(A1381,Average_Distance_by_kilometres_grouping_for_trip_purpose[#Headers],0),0)</f>
        <v>7</v>
      </c>
      <c r="J1381" s="89">
        <f t="shared" si="108"/>
        <v>7</v>
      </c>
      <c r="K1381" s="89">
        <f t="shared" si="109"/>
        <v>0.12341325811001411</v>
      </c>
      <c r="L1381" s="89">
        <v>1</v>
      </c>
      <c r="M1381" s="13">
        <f t="shared" si="110"/>
        <v>1670569.7872539866</v>
      </c>
      <c r="N1381" s="11">
        <f t="shared" si="106"/>
        <v>2.886958067203502E-5</v>
      </c>
    </row>
    <row r="1382" spans="1:14" x14ac:dyDescent="0.25">
      <c r="A1382" s="79" t="s">
        <v>34</v>
      </c>
      <c r="B1382" s="89" t="s">
        <v>11</v>
      </c>
      <c r="C1382" s="89" t="s">
        <v>57</v>
      </c>
      <c r="D1382" s="13" t="s">
        <v>1</v>
      </c>
      <c r="E1382" s="35">
        <f>VLOOKUP(B1382, Passenger_Kilometre_by_mode_type[#All],MATCH(A1382, Passenger_Kilometre_by_mode_type[#Headers],0),0)</f>
        <v>179885559.24640933</v>
      </c>
      <c r="F1382" s="89">
        <f>VLOOKUP(C1382, Reason_for_public_transport_journeys_by_percentage[#All],MATCH(A1382, Reason_for_public_transport_journeys_by_percentage[#Headers],0),0)/100</f>
        <v>7.5249999999999997E-2</v>
      </c>
      <c r="G1382" s="13">
        <f t="shared" si="107"/>
        <v>13536388.333292302</v>
      </c>
      <c r="H1382" s="89">
        <f>VLOOKUP(D1382,Average_Distance_by_kilometre_grouping_for_mode_type[#All],MATCH(A1382,Average_Distance_by_kilometre_grouping_for_mode_type[#Headers],0),0)</f>
        <v>38.99</v>
      </c>
      <c r="I1382" s="89">
        <f>VLOOKUP(D1382,Average_Distance_by_kilometres_grouping_for_trip_purpose[#All],MATCH(A1382,Average_Distance_by_kilometres_grouping_for_trip_purpose[#Headers],0),0)</f>
        <v>42.45</v>
      </c>
      <c r="J1382" s="89">
        <f t="shared" si="108"/>
        <v>40.72</v>
      </c>
      <c r="K1382" s="89">
        <f t="shared" si="109"/>
        <v>0.71791255289139633</v>
      </c>
      <c r="L1382" s="89">
        <v>1</v>
      </c>
      <c r="M1382" s="13">
        <f t="shared" si="110"/>
        <v>9717943.1052831896</v>
      </c>
      <c r="N1382" s="11">
        <f t="shared" si="106"/>
        <v>1.67938474995038E-4</v>
      </c>
    </row>
    <row r="1383" spans="1:14" x14ac:dyDescent="0.25">
      <c r="A1383" s="79" t="s">
        <v>34</v>
      </c>
      <c r="B1383" s="89" t="s">
        <v>11</v>
      </c>
      <c r="C1383" s="89" t="s">
        <v>93</v>
      </c>
      <c r="D1383" s="13" t="s">
        <v>12</v>
      </c>
      <c r="E1383" s="35">
        <f>VLOOKUP(B1383, Passenger_Kilometre_by_mode_type[#All],MATCH(A1383, Passenger_Kilometre_by_mode_type[#Headers],0),0)</f>
        <v>179885559.24640933</v>
      </c>
      <c r="F1383" s="89">
        <f>VLOOKUP(C1383, Reason_for_public_transport_journeys_by_percentage[#All],MATCH(A1383, Reason_for_public_transport_journeys_by_percentage[#Headers],0),0)/100</f>
        <v>8.0749999999999988E-2</v>
      </c>
      <c r="G1383" s="13">
        <f t="shared" si="107"/>
        <v>14525758.909147551</v>
      </c>
      <c r="H1383" s="89">
        <f>VLOOKUP(D1383,Average_Distance_by_kilometre_grouping_for_mode_type[#All],MATCH(A1383,Average_Distance_by_kilometre_grouping_for_mode_type[#Headers],0),0)</f>
        <v>1</v>
      </c>
      <c r="I1383" s="89">
        <f>VLOOKUP(D1383,Average_Distance_by_kilometres_grouping_for_trip_purpose[#All],MATCH(A1383,Average_Distance_by_kilometres_grouping_for_trip_purpose[#Headers],0),0)</f>
        <v>1</v>
      </c>
      <c r="J1383" s="89">
        <f t="shared" si="108"/>
        <v>1</v>
      </c>
      <c r="K1383" s="89">
        <f t="shared" si="109"/>
        <v>1.763046544428773E-2</v>
      </c>
      <c r="L1383" s="89">
        <v>1</v>
      </c>
      <c r="M1383" s="13">
        <f t="shared" si="110"/>
        <v>256095.89049978054</v>
      </c>
      <c r="N1383" s="11">
        <f t="shared" si="106"/>
        <v>4.4256642416076462E-6</v>
      </c>
    </row>
    <row r="1384" spans="1:14" x14ac:dyDescent="0.25">
      <c r="A1384" s="79" t="s">
        <v>34</v>
      </c>
      <c r="B1384" s="89" t="s">
        <v>11</v>
      </c>
      <c r="C1384" s="89" t="s">
        <v>93</v>
      </c>
      <c r="D1384" s="13" t="s">
        <v>181</v>
      </c>
      <c r="E1384" s="35">
        <f>VLOOKUP(B1384, Passenger_Kilometre_by_mode_type[#All],MATCH(A1384, Passenger_Kilometre_by_mode_type[#Headers],0),0)</f>
        <v>179885559.24640933</v>
      </c>
      <c r="F1384" s="89">
        <f>VLOOKUP(C1384, Reason_for_public_transport_journeys_by_percentage[#All],MATCH(A1384, Reason_for_public_transport_journeys_by_percentage[#Headers],0),0)/100</f>
        <v>8.0749999999999988E-2</v>
      </c>
      <c r="G1384" s="13">
        <f t="shared" si="107"/>
        <v>14525758.909147551</v>
      </c>
      <c r="H1384" s="89">
        <f>VLOOKUP(D1384,Average_Distance_by_kilometre_grouping_for_mode_type[#All],MATCH(A1384,Average_Distance_by_kilometre_grouping_for_mode_type[#Headers],0),0)</f>
        <v>3</v>
      </c>
      <c r="I1384" s="89">
        <f>VLOOKUP(D1384,Average_Distance_by_kilometres_grouping_for_trip_purpose[#All],MATCH(A1384,Average_Distance_by_kilometres_grouping_for_trip_purpose[#Headers],0),0)</f>
        <v>3</v>
      </c>
      <c r="J1384" s="89">
        <f t="shared" si="108"/>
        <v>3</v>
      </c>
      <c r="K1384" s="89">
        <f t="shared" si="109"/>
        <v>5.2891396332863189E-2</v>
      </c>
      <c r="L1384" s="89">
        <v>1</v>
      </c>
      <c r="M1384" s="13">
        <f t="shared" si="110"/>
        <v>768287.67149934161</v>
      </c>
      <c r="N1384" s="11">
        <f t="shared" si="106"/>
        <v>1.3276992724822939E-5</v>
      </c>
    </row>
    <row r="1385" spans="1:14" x14ac:dyDescent="0.25">
      <c r="A1385" s="79" t="s">
        <v>34</v>
      </c>
      <c r="B1385" s="89" t="s">
        <v>11</v>
      </c>
      <c r="C1385" s="89" t="s">
        <v>93</v>
      </c>
      <c r="D1385" s="13" t="s">
        <v>180</v>
      </c>
      <c r="E1385" s="35">
        <f>VLOOKUP(B1385, Passenger_Kilometre_by_mode_type[#All],MATCH(A1385, Passenger_Kilometre_by_mode_type[#Headers],0),0)</f>
        <v>179885559.24640933</v>
      </c>
      <c r="F1385" s="89">
        <f>VLOOKUP(C1385, Reason_for_public_transport_journeys_by_percentage[#All],MATCH(A1385, Reason_for_public_transport_journeys_by_percentage[#Headers],0),0)/100</f>
        <v>8.0749999999999988E-2</v>
      </c>
      <c r="G1385" s="13">
        <f t="shared" si="107"/>
        <v>14525758.909147551</v>
      </c>
      <c r="H1385" s="89">
        <f>VLOOKUP(D1385,Average_Distance_by_kilometre_grouping_for_mode_type[#All],MATCH(A1385,Average_Distance_by_kilometre_grouping_for_mode_type[#Headers],0),0)</f>
        <v>5</v>
      </c>
      <c r="I1385" s="89">
        <f>VLOOKUP(D1385,Average_Distance_by_kilometres_grouping_for_trip_purpose[#All],MATCH(A1385,Average_Distance_by_kilometres_grouping_for_trip_purpose[#Headers],0),0)</f>
        <v>5</v>
      </c>
      <c r="J1385" s="89">
        <f t="shared" si="108"/>
        <v>5</v>
      </c>
      <c r="K1385" s="89">
        <f t="shared" si="109"/>
        <v>8.8152327221438648E-2</v>
      </c>
      <c r="L1385" s="89">
        <v>1</v>
      </c>
      <c r="M1385" s="13">
        <f t="shared" si="110"/>
        <v>1280479.4524989026</v>
      </c>
      <c r="N1385" s="11">
        <f t="shared" si="106"/>
        <v>2.2128321208038228E-5</v>
      </c>
    </row>
    <row r="1386" spans="1:14" x14ac:dyDescent="0.25">
      <c r="A1386" s="79" t="s">
        <v>34</v>
      </c>
      <c r="B1386" s="89" t="s">
        <v>11</v>
      </c>
      <c r="C1386" s="89" t="s">
        <v>93</v>
      </c>
      <c r="D1386" s="13" t="s">
        <v>182</v>
      </c>
      <c r="E1386" s="35">
        <f>VLOOKUP(B1386, Passenger_Kilometre_by_mode_type[#All],MATCH(A1386, Passenger_Kilometre_by_mode_type[#Headers],0),0)</f>
        <v>179885559.24640933</v>
      </c>
      <c r="F1386" s="89">
        <f>VLOOKUP(C1386, Reason_for_public_transport_journeys_by_percentage[#All],MATCH(A1386, Reason_for_public_transport_journeys_by_percentage[#Headers],0),0)/100</f>
        <v>8.0749999999999988E-2</v>
      </c>
      <c r="G1386" s="13">
        <f t="shared" si="107"/>
        <v>14525758.909147551</v>
      </c>
      <c r="H1386" s="89">
        <f>VLOOKUP(D1386,Average_Distance_by_kilometre_grouping_for_mode_type[#All],MATCH(A1386,Average_Distance_by_kilometre_grouping_for_mode_type[#Headers],0),0)</f>
        <v>7</v>
      </c>
      <c r="I1386" s="89">
        <f>VLOOKUP(D1386,Average_Distance_by_kilometres_grouping_for_trip_purpose[#All],MATCH(A1386,Average_Distance_by_kilometres_grouping_for_trip_purpose[#Headers],0),0)</f>
        <v>7</v>
      </c>
      <c r="J1386" s="89">
        <f t="shared" si="108"/>
        <v>7</v>
      </c>
      <c r="K1386" s="89">
        <f t="shared" si="109"/>
        <v>0.12341325811001411</v>
      </c>
      <c r="L1386" s="89">
        <v>1</v>
      </c>
      <c r="M1386" s="13">
        <f t="shared" si="110"/>
        <v>1792671.2334984636</v>
      </c>
      <c r="N1386" s="11">
        <f t="shared" si="106"/>
        <v>3.0979649691253523E-5</v>
      </c>
    </row>
    <row r="1387" spans="1:14" x14ac:dyDescent="0.25">
      <c r="A1387" s="79" t="s">
        <v>34</v>
      </c>
      <c r="B1387" s="89" t="s">
        <v>11</v>
      </c>
      <c r="C1387" s="89" t="s">
        <v>93</v>
      </c>
      <c r="D1387" s="13" t="s">
        <v>1</v>
      </c>
      <c r="E1387" s="35">
        <f>VLOOKUP(B1387, Passenger_Kilometre_by_mode_type[#All],MATCH(A1387, Passenger_Kilometre_by_mode_type[#Headers],0),0)</f>
        <v>179885559.24640933</v>
      </c>
      <c r="F1387" s="89">
        <f>VLOOKUP(C1387, Reason_for_public_transport_journeys_by_percentage[#All],MATCH(A1387, Reason_for_public_transport_journeys_by_percentage[#Headers],0),0)/100</f>
        <v>8.0749999999999988E-2</v>
      </c>
      <c r="G1387" s="13">
        <f t="shared" si="107"/>
        <v>14525758.909147551</v>
      </c>
      <c r="H1387" s="89">
        <f>VLOOKUP(D1387,Average_Distance_by_kilometre_grouping_for_mode_type[#All],MATCH(A1387,Average_Distance_by_kilometre_grouping_for_mode_type[#Headers],0),0)</f>
        <v>38.99</v>
      </c>
      <c r="I1387" s="89">
        <f>VLOOKUP(D1387,Average_Distance_by_kilometres_grouping_for_trip_purpose[#All],MATCH(A1387,Average_Distance_by_kilometres_grouping_for_trip_purpose[#Headers],0),0)</f>
        <v>42.45</v>
      </c>
      <c r="J1387" s="89">
        <f t="shared" si="108"/>
        <v>40.72</v>
      </c>
      <c r="K1387" s="89">
        <f t="shared" si="109"/>
        <v>0.71791255289139633</v>
      </c>
      <c r="L1387" s="89">
        <v>1</v>
      </c>
      <c r="M1387" s="13">
        <f t="shared" si="110"/>
        <v>10428224.661151063</v>
      </c>
      <c r="N1387" s="11">
        <f t="shared" si="106"/>
        <v>1.8021304791826333E-4</v>
      </c>
    </row>
    <row r="1388" spans="1:14" x14ac:dyDescent="0.25">
      <c r="A1388" s="79" t="s">
        <v>34</v>
      </c>
      <c r="B1388" s="89" t="s">
        <v>11</v>
      </c>
      <c r="C1388" s="89" t="s">
        <v>243</v>
      </c>
      <c r="D1388" s="13" t="s">
        <v>12</v>
      </c>
      <c r="E1388" s="35">
        <f>VLOOKUP(B1388, Passenger_Kilometre_by_mode_type[#All],MATCH(A1388, Passenger_Kilometre_by_mode_type[#Headers],0),0)</f>
        <v>179885559.24640933</v>
      </c>
      <c r="F1388" s="89">
        <f>VLOOKUP(C1388, Reason_for_public_transport_journeys_by_percentage[#All],MATCH(A1388, Reason_for_public_transport_journeys_by_percentage[#Headers],0),0)/100</f>
        <v>3.0250000000000003E-2</v>
      </c>
      <c r="G1388" s="13">
        <f t="shared" si="107"/>
        <v>5441538.1672038827</v>
      </c>
      <c r="H1388" s="89">
        <f>VLOOKUP(D1388,Average_Distance_by_kilometre_grouping_for_mode_type[#All],MATCH(A1388,Average_Distance_by_kilometre_grouping_for_mode_type[#Headers],0),0)</f>
        <v>1</v>
      </c>
      <c r="I1388" s="89">
        <f>VLOOKUP(D1388,Average_Distance_by_kilometres_grouping_for_trip_purpose[#All],MATCH(A1388,Average_Distance_by_kilometres_grouping_for_trip_purpose[#Headers],0),0)</f>
        <v>1</v>
      </c>
      <c r="J1388" s="89">
        <f t="shared" si="108"/>
        <v>1</v>
      </c>
      <c r="K1388" s="89">
        <f t="shared" si="109"/>
        <v>1.763046544428773E-2</v>
      </c>
      <c r="L1388" s="89">
        <v>1</v>
      </c>
      <c r="M1388" s="13">
        <f t="shared" si="110"/>
        <v>95936.850620660844</v>
      </c>
      <c r="N1388" s="11">
        <f t="shared" si="106"/>
        <v>1.6579113722431124E-6</v>
      </c>
    </row>
    <row r="1389" spans="1:14" x14ac:dyDescent="0.25">
      <c r="A1389" s="79" t="s">
        <v>34</v>
      </c>
      <c r="B1389" s="89" t="s">
        <v>11</v>
      </c>
      <c r="C1389" s="89" t="s">
        <v>243</v>
      </c>
      <c r="D1389" s="13" t="s">
        <v>181</v>
      </c>
      <c r="E1389" s="35">
        <f>VLOOKUP(B1389, Passenger_Kilometre_by_mode_type[#All],MATCH(A1389, Passenger_Kilometre_by_mode_type[#Headers],0),0)</f>
        <v>179885559.24640933</v>
      </c>
      <c r="F1389" s="89">
        <f>VLOOKUP(C1389, Reason_for_public_transport_journeys_by_percentage[#All],MATCH(A1389, Reason_for_public_transport_journeys_by_percentage[#Headers],0),0)/100</f>
        <v>3.0250000000000003E-2</v>
      </c>
      <c r="G1389" s="13">
        <f t="shared" si="107"/>
        <v>5441538.1672038827</v>
      </c>
      <c r="H1389" s="89">
        <f>VLOOKUP(D1389,Average_Distance_by_kilometre_grouping_for_mode_type[#All],MATCH(A1389,Average_Distance_by_kilometre_grouping_for_mode_type[#Headers],0),0)</f>
        <v>3</v>
      </c>
      <c r="I1389" s="89">
        <f>VLOOKUP(D1389,Average_Distance_by_kilometres_grouping_for_trip_purpose[#All],MATCH(A1389,Average_Distance_by_kilometres_grouping_for_trip_purpose[#Headers],0),0)</f>
        <v>3</v>
      </c>
      <c r="J1389" s="89">
        <f t="shared" si="108"/>
        <v>3</v>
      </c>
      <c r="K1389" s="89">
        <f t="shared" si="109"/>
        <v>5.2891396332863189E-2</v>
      </c>
      <c r="L1389" s="89">
        <v>1</v>
      </c>
      <c r="M1389" s="13">
        <f t="shared" si="110"/>
        <v>287810.5518619825</v>
      </c>
      <c r="N1389" s="11">
        <f t="shared" si="106"/>
        <v>4.9737341167293369E-6</v>
      </c>
    </row>
    <row r="1390" spans="1:14" x14ac:dyDescent="0.25">
      <c r="A1390" s="79" t="s">
        <v>34</v>
      </c>
      <c r="B1390" s="89" t="s">
        <v>11</v>
      </c>
      <c r="C1390" s="89" t="s">
        <v>243</v>
      </c>
      <c r="D1390" s="13" t="s">
        <v>180</v>
      </c>
      <c r="E1390" s="35">
        <f>VLOOKUP(B1390, Passenger_Kilometre_by_mode_type[#All],MATCH(A1390, Passenger_Kilometre_by_mode_type[#Headers],0),0)</f>
        <v>179885559.24640933</v>
      </c>
      <c r="F1390" s="89">
        <f>VLOOKUP(C1390, Reason_for_public_transport_journeys_by_percentage[#All],MATCH(A1390, Reason_for_public_transport_journeys_by_percentage[#Headers],0),0)/100</f>
        <v>3.0250000000000003E-2</v>
      </c>
      <c r="G1390" s="13">
        <f t="shared" si="107"/>
        <v>5441538.1672038827</v>
      </c>
      <c r="H1390" s="89">
        <f>VLOOKUP(D1390,Average_Distance_by_kilometre_grouping_for_mode_type[#All],MATCH(A1390,Average_Distance_by_kilometre_grouping_for_mode_type[#Headers],0),0)</f>
        <v>5</v>
      </c>
      <c r="I1390" s="89">
        <f>VLOOKUP(D1390,Average_Distance_by_kilometres_grouping_for_trip_purpose[#All],MATCH(A1390,Average_Distance_by_kilometres_grouping_for_trip_purpose[#Headers],0),0)</f>
        <v>5</v>
      </c>
      <c r="J1390" s="89">
        <f t="shared" si="108"/>
        <v>5</v>
      </c>
      <c r="K1390" s="89">
        <f t="shared" si="109"/>
        <v>8.8152327221438648E-2</v>
      </c>
      <c r="L1390" s="89">
        <v>1</v>
      </c>
      <c r="M1390" s="13">
        <f t="shared" si="110"/>
        <v>479684.25310330419</v>
      </c>
      <c r="N1390" s="11">
        <f t="shared" si="106"/>
        <v>8.2895568612155609E-6</v>
      </c>
    </row>
    <row r="1391" spans="1:14" x14ac:dyDescent="0.25">
      <c r="A1391" s="79" t="s">
        <v>34</v>
      </c>
      <c r="B1391" s="89" t="s">
        <v>11</v>
      </c>
      <c r="C1391" s="89" t="s">
        <v>243</v>
      </c>
      <c r="D1391" s="13" t="s">
        <v>182</v>
      </c>
      <c r="E1391" s="35">
        <f>VLOOKUP(B1391, Passenger_Kilometre_by_mode_type[#All],MATCH(A1391, Passenger_Kilometre_by_mode_type[#Headers],0),0)</f>
        <v>179885559.24640933</v>
      </c>
      <c r="F1391" s="89">
        <f>VLOOKUP(C1391, Reason_for_public_transport_journeys_by_percentage[#All],MATCH(A1391, Reason_for_public_transport_journeys_by_percentage[#Headers],0),0)/100</f>
        <v>3.0250000000000003E-2</v>
      </c>
      <c r="G1391" s="13">
        <f t="shared" si="107"/>
        <v>5441538.1672038827</v>
      </c>
      <c r="H1391" s="89">
        <f>VLOOKUP(D1391,Average_Distance_by_kilometre_grouping_for_mode_type[#All],MATCH(A1391,Average_Distance_by_kilometre_grouping_for_mode_type[#Headers],0),0)</f>
        <v>7</v>
      </c>
      <c r="I1391" s="89">
        <f>VLOOKUP(D1391,Average_Distance_by_kilometres_grouping_for_trip_purpose[#All],MATCH(A1391,Average_Distance_by_kilometres_grouping_for_trip_purpose[#Headers],0),0)</f>
        <v>7</v>
      </c>
      <c r="J1391" s="89">
        <f t="shared" si="108"/>
        <v>7</v>
      </c>
      <c r="K1391" s="89">
        <f t="shared" si="109"/>
        <v>0.12341325811001411</v>
      </c>
      <c r="L1391" s="89">
        <v>1</v>
      </c>
      <c r="M1391" s="13">
        <f t="shared" si="110"/>
        <v>671557.95434462593</v>
      </c>
      <c r="N1391" s="11">
        <f t="shared" si="106"/>
        <v>1.1605379605701788E-5</v>
      </c>
    </row>
    <row r="1392" spans="1:14" x14ac:dyDescent="0.25">
      <c r="A1392" s="79" t="s">
        <v>34</v>
      </c>
      <c r="B1392" s="89" t="s">
        <v>11</v>
      </c>
      <c r="C1392" s="89" t="s">
        <v>243</v>
      </c>
      <c r="D1392" s="13" t="s">
        <v>1</v>
      </c>
      <c r="E1392" s="35">
        <f>VLOOKUP(B1392, Passenger_Kilometre_by_mode_type[#All],MATCH(A1392, Passenger_Kilometre_by_mode_type[#Headers],0),0)</f>
        <v>179885559.24640933</v>
      </c>
      <c r="F1392" s="89">
        <f>VLOOKUP(C1392, Reason_for_public_transport_journeys_by_percentage[#All],MATCH(A1392, Reason_for_public_transport_journeys_by_percentage[#Headers],0),0)/100</f>
        <v>3.0250000000000003E-2</v>
      </c>
      <c r="G1392" s="13">
        <f t="shared" si="107"/>
        <v>5441538.1672038827</v>
      </c>
      <c r="H1392" s="89">
        <f>VLOOKUP(D1392,Average_Distance_by_kilometre_grouping_for_mode_type[#All],MATCH(A1392,Average_Distance_by_kilometre_grouping_for_mode_type[#Headers],0),0)</f>
        <v>38.99</v>
      </c>
      <c r="I1392" s="89">
        <f>VLOOKUP(D1392,Average_Distance_by_kilometres_grouping_for_trip_purpose[#All],MATCH(A1392,Average_Distance_by_kilometres_grouping_for_trip_purpose[#Headers],0),0)</f>
        <v>42.45</v>
      </c>
      <c r="J1392" s="89">
        <f t="shared" si="108"/>
        <v>40.72</v>
      </c>
      <c r="K1392" s="89">
        <f t="shared" si="109"/>
        <v>0.71791255289139633</v>
      </c>
      <c r="L1392" s="89">
        <v>1</v>
      </c>
      <c r="M1392" s="13">
        <f t="shared" si="110"/>
        <v>3906548.5572733092</v>
      </c>
      <c r="N1392" s="11">
        <f t="shared" si="106"/>
        <v>6.7510151077739534E-5</v>
      </c>
    </row>
    <row r="1393" spans="1:14" x14ac:dyDescent="0.25">
      <c r="A1393" s="79" t="s">
        <v>34</v>
      </c>
      <c r="B1393" s="89" t="s">
        <v>11</v>
      </c>
      <c r="C1393" s="89" t="s">
        <v>50</v>
      </c>
      <c r="D1393" s="13" t="s">
        <v>12</v>
      </c>
      <c r="E1393" s="35">
        <f>VLOOKUP(B1393, Passenger_Kilometre_by_mode_type[#All],MATCH(A1393, Passenger_Kilometre_by_mode_type[#Headers],0),0)</f>
        <v>179885559.24640933</v>
      </c>
      <c r="F1393" s="89">
        <f>VLOOKUP(C1393, Reason_for_public_transport_journeys_by_percentage[#All],MATCH(A1393, Reason_for_public_transport_journeys_by_percentage[#Headers],0),0)/100</f>
        <v>5.7500000000000009E-2</v>
      </c>
      <c r="G1393" s="13">
        <f t="shared" si="107"/>
        <v>10343419.656668538</v>
      </c>
      <c r="H1393" s="89">
        <f>VLOOKUP(D1393,Average_Distance_by_kilometre_grouping_for_mode_type[#All],MATCH(A1393,Average_Distance_by_kilometre_grouping_for_mode_type[#Headers],0),0)</f>
        <v>1</v>
      </c>
      <c r="I1393" s="89">
        <f>VLOOKUP(D1393,Average_Distance_by_kilometres_grouping_for_trip_purpose[#All],MATCH(A1393,Average_Distance_by_kilometres_grouping_for_trip_purpose[#Headers],0),0)</f>
        <v>1</v>
      </c>
      <c r="J1393" s="89">
        <f t="shared" si="108"/>
        <v>1</v>
      </c>
      <c r="K1393" s="89">
        <f t="shared" si="109"/>
        <v>1.763046544428773E-2</v>
      </c>
      <c r="L1393" s="89">
        <v>1</v>
      </c>
      <c r="M1393" s="13">
        <f t="shared" si="110"/>
        <v>182359.30283266111</v>
      </c>
      <c r="N1393" s="11">
        <f t="shared" si="106"/>
        <v>3.1514017819497179E-6</v>
      </c>
    </row>
    <row r="1394" spans="1:14" x14ac:dyDescent="0.25">
      <c r="A1394" s="79" t="s">
        <v>34</v>
      </c>
      <c r="B1394" s="89" t="s">
        <v>11</v>
      </c>
      <c r="C1394" s="89" t="s">
        <v>50</v>
      </c>
      <c r="D1394" s="13" t="s">
        <v>181</v>
      </c>
      <c r="E1394" s="35">
        <f>VLOOKUP(B1394, Passenger_Kilometre_by_mode_type[#All],MATCH(A1394, Passenger_Kilometre_by_mode_type[#Headers],0),0)</f>
        <v>179885559.24640933</v>
      </c>
      <c r="F1394" s="89">
        <f>VLOOKUP(C1394, Reason_for_public_transport_journeys_by_percentage[#All],MATCH(A1394, Reason_for_public_transport_journeys_by_percentage[#Headers],0),0)/100</f>
        <v>5.7500000000000009E-2</v>
      </c>
      <c r="G1394" s="13">
        <f t="shared" si="107"/>
        <v>10343419.656668538</v>
      </c>
      <c r="H1394" s="89">
        <f>VLOOKUP(D1394,Average_Distance_by_kilometre_grouping_for_mode_type[#All],MATCH(A1394,Average_Distance_by_kilometre_grouping_for_mode_type[#Headers],0),0)</f>
        <v>3</v>
      </c>
      <c r="I1394" s="89">
        <f>VLOOKUP(D1394,Average_Distance_by_kilometres_grouping_for_trip_purpose[#All],MATCH(A1394,Average_Distance_by_kilometres_grouping_for_trip_purpose[#Headers],0),0)</f>
        <v>3</v>
      </c>
      <c r="J1394" s="89">
        <f t="shared" si="108"/>
        <v>3</v>
      </c>
      <c r="K1394" s="89">
        <f t="shared" si="109"/>
        <v>5.2891396332863189E-2</v>
      </c>
      <c r="L1394" s="89">
        <v>1</v>
      </c>
      <c r="M1394" s="13">
        <f t="shared" si="110"/>
        <v>547077.90849798336</v>
      </c>
      <c r="N1394" s="11">
        <f t="shared" si="106"/>
        <v>9.4542053458491533E-6</v>
      </c>
    </row>
    <row r="1395" spans="1:14" x14ac:dyDescent="0.25">
      <c r="A1395" s="79" t="s">
        <v>34</v>
      </c>
      <c r="B1395" s="89" t="s">
        <v>11</v>
      </c>
      <c r="C1395" s="89" t="s">
        <v>50</v>
      </c>
      <c r="D1395" s="13" t="s">
        <v>180</v>
      </c>
      <c r="E1395" s="35">
        <f>VLOOKUP(B1395, Passenger_Kilometre_by_mode_type[#All],MATCH(A1395, Passenger_Kilometre_by_mode_type[#Headers],0),0)</f>
        <v>179885559.24640933</v>
      </c>
      <c r="F1395" s="89">
        <f>VLOOKUP(C1395, Reason_for_public_transport_journeys_by_percentage[#All],MATCH(A1395, Reason_for_public_transport_journeys_by_percentage[#Headers],0),0)/100</f>
        <v>5.7500000000000009E-2</v>
      </c>
      <c r="G1395" s="13">
        <f t="shared" si="107"/>
        <v>10343419.656668538</v>
      </c>
      <c r="H1395" s="89">
        <f>VLOOKUP(D1395,Average_Distance_by_kilometre_grouping_for_mode_type[#All],MATCH(A1395,Average_Distance_by_kilometre_grouping_for_mode_type[#Headers],0),0)</f>
        <v>5</v>
      </c>
      <c r="I1395" s="89">
        <f>VLOOKUP(D1395,Average_Distance_by_kilometres_grouping_for_trip_purpose[#All],MATCH(A1395,Average_Distance_by_kilometres_grouping_for_trip_purpose[#Headers],0),0)</f>
        <v>5</v>
      </c>
      <c r="J1395" s="89">
        <f t="shared" si="108"/>
        <v>5</v>
      </c>
      <c r="K1395" s="89">
        <f t="shared" si="109"/>
        <v>8.8152327221438648E-2</v>
      </c>
      <c r="L1395" s="89">
        <v>1</v>
      </c>
      <c r="M1395" s="13">
        <f t="shared" si="110"/>
        <v>911796.51416330552</v>
      </c>
      <c r="N1395" s="11">
        <f t="shared" si="106"/>
        <v>1.5757008909748588E-5</v>
      </c>
    </row>
    <row r="1396" spans="1:14" x14ac:dyDescent="0.25">
      <c r="A1396" s="79" t="s">
        <v>34</v>
      </c>
      <c r="B1396" s="89" t="s">
        <v>11</v>
      </c>
      <c r="C1396" s="89" t="s">
        <v>50</v>
      </c>
      <c r="D1396" s="13" t="s">
        <v>182</v>
      </c>
      <c r="E1396" s="35">
        <f>VLOOKUP(B1396, Passenger_Kilometre_by_mode_type[#All],MATCH(A1396, Passenger_Kilometre_by_mode_type[#Headers],0),0)</f>
        <v>179885559.24640933</v>
      </c>
      <c r="F1396" s="89">
        <f>VLOOKUP(C1396, Reason_for_public_transport_journeys_by_percentage[#All],MATCH(A1396, Reason_for_public_transport_journeys_by_percentage[#Headers],0),0)/100</f>
        <v>5.7500000000000009E-2</v>
      </c>
      <c r="G1396" s="13">
        <f t="shared" si="107"/>
        <v>10343419.656668538</v>
      </c>
      <c r="H1396" s="89">
        <f>VLOOKUP(D1396,Average_Distance_by_kilometre_grouping_for_mode_type[#All],MATCH(A1396,Average_Distance_by_kilometre_grouping_for_mode_type[#Headers],0),0)</f>
        <v>7</v>
      </c>
      <c r="I1396" s="89">
        <f>VLOOKUP(D1396,Average_Distance_by_kilometres_grouping_for_trip_purpose[#All],MATCH(A1396,Average_Distance_by_kilometres_grouping_for_trip_purpose[#Headers],0),0)</f>
        <v>7</v>
      </c>
      <c r="J1396" s="89">
        <f t="shared" si="108"/>
        <v>7</v>
      </c>
      <c r="K1396" s="89">
        <f t="shared" si="109"/>
        <v>0.12341325811001411</v>
      </c>
      <c r="L1396" s="89">
        <v>1</v>
      </c>
      <c r="M1396" s="13">
        <f t="shared" si="110"/>
        <v>1276515.1198286279</v>
      </c>
      <c r="N1396" s="11">
        <f t="shared" si="106"/>
        <v>2.2059812473648028E-5</v>
      </c>
    </row>
    <row r="1397" spans="1:14" x14ac:dyDescent="0.25">
      <c r="A1397" s="79" t="s">
        <v>34</v>
      </c>
      <c r="B1397" s="89" t="s">
        <v>11</v>
      </c>
      <c r="C1397" s="89" t="s">
        <v>50</v>
      </c>
      <c r="D1397" s="13" t="s">
        <v>1</v>
      </c>
      <c r="E1397" s="35">
        <f>VLOOKUP(B1397, Passenger_Kilometre_by_mode_type[#All],MATCH(A1397, Passenger_Kilometre_by_mode_type[#Headers],0),0)</f>
        <v>179885559.24640933</v>
      </c>
      <c r="F1397" s="89">
        <f>VLOOKUP(C1397, Reason_for_public_transport_journeys_by_percentage[#All],MATCH(A1397, Reason_for_public_transport_journeys_by_percentage[#Headers],0),0)/100</f>
        <v>5.7500000000000009E-2</v>
      </c>
      <c r="G1397" s="13">
        <f t="shared" si="107"/>
        <v>10343419.656668538</v>
      </c>
      <c r="H1397" s="89">
        <f>VLOOKUP(D1397,Average_Distance_by_kilometre_grouping_for_mode_type[#All],MATCH(A1397,Average_Distance_by_kilometre_grouping_for_mode_type[#Headers],0),0)</f>
        <v>38.99</v>
      </c>
      <c r="I1397" s="89">
        <f>VLOOKUP(D1397,Average_Distance_by_kilometres_grouping_for_trip_purpose[#All],MATCH(A1397,Average_Distance_by_kilometres_grouping_for_trip_purpose[#Headers],0),0)</f>
        <v>42.45</v>
      </c>
      <c r="J1397" s="89">
        <f t="shared" si="108"/>
        <v>40.72</v>
      </c>
      <c r="K1397" s="89">
        <f t="shared" si="109"/>
        <v>0.71791255289139633</v>
      </c>
      <c r="L1397" s="89">
        <v>1</v>
      </c>
      <c r="M1397" s="13">
        <f t="shared" si="110"/>
        <v>7425670.81134596</v>
      </c>
      <c r="N1397" s="11">
        <f t="shared" si="106"/>
        <v>1.2832508056099252E-4</v>
      </c>
    </row>
    <row r="1398" spans="1:14" x14ac:dyDescent="0.25">
      <c r="A1398" s="79" t="s">
        <v>34</v>
      </c>
      <c r="B1398" s="89" t="s">
        <v>90</v>
      </c>
      <c r="C1398" s="89" t="s">
        <v>42</v>
      </c>
      <c r="D1398" s="13" t="s">
        <v>12</v>
      </c>
      <c r="E1398" s="35">
        <f>VLOOKUP(B1398, Passenger_Kilometre_by_mode_type[#All],MATCH(A1398, Passenger_Kilometre_by_mode_type[#Headers],0),0)</f>
        <v>3334832249.6264081</v>
      </c>
      <c r="F1398" s="89">
        <f>VLOOKUP(C1398, Reason_for_lorry_motorcycle_other_journeys_by_percentage[#All],MATCH(A1398, Reason_for_lorry_motorcycle_other_journeys_by_percentage[#Headers],0),0)/100</f>
        <v>0.50875000000000004</v>
      </c>
      <c r="G1398" s="13">
        <f t="shared" si="107"/>
        <v>1696595906.9974353</v>
      </c>
      <c r="H1398" s="89">
        <f>VLOOKUP(D1398,Average_Distance_by_kilometre_grouping_for_mode_type[#All],MATCH(A1398,Average_Distance_by_kilometre_grouping_for_mode_type[#Headers],0),0)</f>
        <v>1</v>
      </c>
      <c r="I1398" s="89">
        <f>VLOOKUP(D1398,Average_Distance_by_kilometres_grouping_for_trip_purpose[#All],MATCH(A1398,Average_Distance_by_kilometres_grouping_for_trip_purpose[#Headers],0),0)</f>
        <v>1</v>
      </c>
      <c r="J1398" s="89">
        <f t="shared" si="108"/>
        <v>1</v>
      </c>
      <c r="K1398" s="89">
        <f t="shared" si="109"/>
        <v>1.763046544428773E-2</v>
      </c>
      <c r="L1398" s="89">
        <v>1</v>
      </c>
      <c r="M1398" s="13">
        <f t="shared" si="110"/>
        <v>29911775.511238281</v>
      </c>
      <c r="N1398" s="11">
        <f t="shared" si="106"/>
        <v>5.1691370378782384E-4</v>
      </c>
    </row>
    <row r="1399" spans="1:14" x14ac:dyDescent="0.25">
      <c r="A1399" s="79" t="s">
        <v>34</v>
      </c>
      <c r="B1399" s="89" t="s">
        <v>90</v>
      </c>
      <c r="C1399" s="89" t="s">
        <v>42</v>
      </c>
      <c r="D1399" s="13" t="s">
        <v>181</v>
      </c>
      <c r="E1399" s="35">
        <f>VLOOKUP(B1399, Passenger_Kilometre_by_mode_type[#All],MATCH(A1399, Passenger_Kilometre_by_mode_type[#Headers],0),0)</f>
        <v>3334832249.6264081</v>
      </c>
      <c r="F1399" s="89">
        <f>VLOOKUP(C1399, Reason_for_lorry_motorcycle_other_journeys_by_percentage[#All],MATCH(A1399, Reason_for_lorry_motorcycle_other_journeys_by_percentage[#Headers],0),0)/100</f>
        <v>0.50875000000000004</v>
      </c>
      <c r="G1399" s="13">
        <f t="shared" si="107"/>
        <v>1696595906.9974353</v>
      </c>
      <c r="H1399" s="89">
        <f>VLOOKUP(D1399,Average_Distance_by_kilometre_grouping_for_mode_type[#All],MATCH(A1399,Average_Distance_by_kilometre_grouping_for_mode_type[#Headers],0),0)</f>
        <v>3</v>
      </c>
      <c r="I1399" s="89">
        <f>VLOOKUP(D1399,Average_Distance_by_kilometres_grouping_for_trip_purpose[#All],MATCH(A1399,Average_Distance_by_kilometres_grouping_for_trip_purpose[#Headers],0),0)</f>
        <v>3</v>
      </c>
      <c r="J1399" s="89">
        <f t="shared" si="108"/>
        <v>3</v>
      </c>
      <c r="K1399" s="89">
        <f t="shared" si="109"/>
        <v>5.2891396332863189E-2</v>
      </c>
      <c r="L1399" s="89">
        <v>1</v>
      </c>
      <c r="M1399" s="13">
        <f t="shared" si="110"/>
        <v>89735326.533714846</v>
      </c>
      <c r="N1399" s="11">
        <f t="shared" si="106"/>
        <v>1.5507411113634716E-3</v>
      </c>
    </row>
    <row r="1400" spans="1:14" x14ac:dyDescent="0.25">
      <c r="A1400" s="79" t="s">
        <v>34</v>
      </c>
      <c r="B1400" s="89" t="s">
        <v>90</v>
      </c>
      <c r="C1400" s="89" t="s">
        <v>42</v>
      </c>
      <c r="D1400" s="13" t="s">
        <v>180</v>
      </c>
      <c r="E1400" s="35">
        <f>VLOOKUP(B1400, Passenger_Kilometre_by_mode_type[#All],MATCH(A1400, Passenger_Kilometre_by_mode_type[#Headers],0),0)</f>
        <v>3334832249.6264081</v>
      </c>
      <c r="F1400" s="89">
        <f>VLOOKUP(C1400, Reason_for_lorry_motorcycle_other_journeys_by_percentage[#All],MATCH(A1400, Reason_for_lorry_motorcycle_other_journeys_by_percentage[#Headers],0),0)/100</f>
        <v>0.50875000000000004</v>
      </c>
      <c r="G1400" s="13">
        <f t="shared" si="107"/>
        <v>1696595906.9974353</v>
      </c>
      <c r="H1400" s="89">
        <f>VLOOKUP(D1400,Average_Distance_by_kilometre_grouping_for_mode_type[#All],MATCH(A1400,Average_Distance_by_kilometre_grouping_for_mode_type[#Headers],0),0)</f>
        <v>5</v>
      </c>
      <c r="I1400" s="89">
        <f>VLOOKUP(D1400,Average_Distance_by_kilometres_grouping_for_trip_purpose[#All],MATCH(A1400,Average_Distance_by_kilometres_grouping_for_trip_purpose[#Headers],0),0)</f>
        <v>5</v>
      </c>
      <c r="J1400" s="89">
        <f t="shared" si="108"/>
        <v>5</v>
      </c>
      <c r="K1400" s="89">
        <f t="shared" si="109"/>
        <v>8.8152327221438648E-2</v>
      </c>
      <c r="L1400" s="89">
        <v>1</v>
      </c>
      <c r="M1400" s="13">
        <f t="shared" si="110"/>
        <v>149558877.55619141</v>
      </c>
      <c r="N1400" s="11">
        <f t="shared" si="106"/>
        <v>2.5845685189391193E-3</v>
      </c>
    </row>
    <row r="1401" spans="1:14" x14ac:dyDescent="0.25">
      <c r="A1401" s="79" t="s">
        <v>34</v>
      </c>
      <c r="B1401" s="89" t="s">
        <v>90</v>
      </c>
      <c r="C1401" s="89" t="s">
        <v>42</v>
      </c>
      <c r="D1401" s="13" t="s">
        <v>182</v>
      </c>
      <c r="E1401" s="35">
        <f>VLOOKUP(B1401, Passenger_Kilometre_by_mode_type[#All],MATCH(A1401, Passenger_Kilometre_by_mode_type[#Headers],0),0)</f>
        <v>3334832249.6264081</v>
      </c>
      <c r="F1401" s="89">
        <f>VLOOKUP(C1401, Reason_for_lorry_motorcycle_other_journeys_by_percentage[#All],MATCH(A1401, Reason_for_lorry_motorcycle_other_journeys_by_percentage[#Headers],0),0)/100</f>
        <v>0.50875000000000004</v>
      </c>
      <c r="G1401" s="13">
        <f t="shared" si="107"/>
        <v>1696595906.9974353</v>
      </c>
      <c r="H1401" s="89">
        <f>VLOOKUP(D1401,Average_Distance_by_kilometre_grouping_for_mode_type[#All],MATCH(A1401,Average_Distance_by_kilometre_grouping_for_mode_type[#Headers],0),0)</f>
        <v>7</v>
      </c>
      <c r="I1401" s="89">
        <f>VLOOKUP(D1401,Average_Distance_by_kilometres_grouping_for_trip_purpose[#All],MATCH(A1401,Average_Distance_by_kilometres_grouping_for_trip_purpose[#Headers],0),0)</f>
        <v>7</v>
      </c>
      <c r="J1401" s="89">
        <f t="shared" si="108"/>
        <v>7</v>
      </c>
      <c r="K1401" s="89">
        <f t="shared" si="109"/>
        <v>0.12341325811001411</v>
      </c>
      <c r="L1401" s="89">
        <v>1</v>
      </c>
      <c r="M1401" s="13">
        <f t="shared" si="110"/>
        <v>209382428.57866797</v>
      </c>
      <c r="N1401" s="11">
        <f t="shared" si="106"/>
        <v>3.6183959265147672E-3</v>
      </c>
    </row>
    <row r="1402" spans="1:14" x14ac:dyDescent="0.25">
      <c r="A1402" s="79" t="s">
        <v>34</v>
      </c>
      <c r="B1402" s="89" t="s">
        <v>90</v>
      </c>
      <c r="C1402" s="89" t="s">
        <v>42</v>
      </c>
      <c r="D1402" s="13" t="s">
        <v>1</v>
      </c>
      <c r="E1402" s="35">
        <f>VLOOKUP(B1402, Passenger_Kilometre_by_mode_type[#All],MATCH(A1402, Passenger_Kilometre_by_mode_type[#Headers],0),0)</f>
        <v>3334832249.6264081</v>
      </c>
      <c r="F1402" s="89">
        <f>VLOOKUP(C1402, Reason_for_lorry_motorcycle_other_journeys_by_percentage[#All],MATCH(A1402, Reason_for_lorry_motorcycle_other_journeys_by_percentage[#Headers],0),0)/100</f>
        <v>0.50875000000000004</v>
      </c>
      <c r="G1402" s="13">
        <f t="shared" si="107"/>
        <v>1696595906.9974353</v>
      </c>
      <c r="H1402" s="89">
        <f>VLOOKUP(D1402,Average_Distance_by_kilometre_grouping_for_mode_type[#All],MATCH(A1402,Average_Distance_by_kilometre_grouping_for_mode_type[#Headers],0),0)</f>
        <v>38.99</v>
      </c>
      <c r="I1402" s="89">
        <f>VLOOKUP(D1402,Average_Distance_by_kilometres_grouping_for_trip_purpose[#All],MATCH(A1402,Average_Distance_by_kilometres_grouping_for_trip_purpose[#Headers],0),0)</f>
        <v>42.45</v>
      </c>
      <c r="J1402" s="89">
        <f t="shared" si="108"/>
        <v>40.72</v>
      </c>
      <c r="K1402" s="89">
        <f t="shared" si="109"/>
        <v>0.71791255289139633</v>
      </c>
      <c r="L1402" s="89">
        <v>1</v>
      </c>
      <c r="M1402" s="13">
        <f t="shared" si="110"/>
        <v>1218007498.8176229</v>
      </c>
      <c r="N1402" s="11">
        <f t="shared" si="106"/>
        <v>2.1048726018240187E-2</v>
      </c>
    </row>
    <row r="1403" spans="1:14" x14ac:dyDescent="0.25">
      <c r="A1403" s="79" t="s">
        <v>34</v>
      </c>
      <c r="B1403" s="89" t="s">
        <v>90</v>
      </c>
      <c r="C1403" s="89" t="s">
        <v>43</v>
      </c>
      <c r="D1403" s="13" t="s">
        <v>12</v>
      </c>
      <c r="E1403" s="35">
        <f>VLOOKUP(B1403, Passenger_Kilometre_by_mode_type[#All],MATCH(A1403, Passenger_Kilometre_by_mode_type[#Headers],0),0)</f>
        <v>3334832249.6264081</v>
      </c>
      <c r="F1403" s="89">
        <f>VLOOKUP(C1403, Reason_for_lorry_motorcycle_other_journeys_by_percentage[#All],MATCH(A1403, Reason_for_lorry_motorcycle_other_journeys_by_percentage[#Headers],0),0)/100</f>
        <v>3.7499999999999999E-3</v>
      </c>
      <c r="G1403" s="13">
        <f t="shared" si="107"/>
        <v>12505620.93609903</v>
      </c>
      <c r="H1403" s="89">
        <f>VLOOKUP(D1403,Average_Distance_by_kilometre_grouping_for_mode_type[#All],MATCH(A1403,Average_Distance_by_kilometre_grouping_for_mode_type[#Headers],0),0)</f>
        <v>1</v>
      </c>
      <c r="I1403" s="89">
        <f>VLOOKUP(D1403,Average_Distance_by_kilometres_grouping_for_trip_purpose[#All],MATCH(A1403,Average_Distance_by_kilometres_grouping_for_trip_purpose[#Headers],0),0)</f>
        <v>1</v>
      </c>
      <c r="J1403" s="89">
        <f t="shared" si="108"/>
        <v>1</v>
      </c>
      <c r="K1403" s="89">
        <f t="shared" si="109"/>
        <v>1.763046544428773E-2</v>
      </c>
      <c r="L1403" s="89">
        <v>1</v>
      </c>
      <c r="M1403" s="13">
        <f t="shared" si="110"/>
        <v>220479.91777325512</v>
      </c>
      <c r="N1403" s="11">
        <f t="shared" si="106"/>
        <v>3.8101747207947699E-6</v>
      </c>
    </row>
    <row r="1404" spans="1:14" x14ac:dyDescent="0.25">
      <c r="A1404" s="79" t="s">
        <v>34</v>
      </c>
      <c r="B1404" s="89" t="s">
        <v>90</v>
      </c>
      <c r="C1404" s="89" t="s">
        <v>43</v>
      </c>
      <c r="D1404" s="13" t="s">
        <v>181</v>
      </c>
      <c r="E1404" s="35">
        <f>VLOOKUP(B1404, Passenger_Kilometre_by_mode_type[#All],MATCH(A1404, Passenger_Kilometre_by_mode_type[#Headers],0),0)</f>
        <v>3334832249.6264081</v>
      </c>
      <c r="F1404" s="89">
        <f>VLOOKUP(C1404, Reason_for_lorry_motorcycle_other_journeys_by_percentage[#All],MATCH(A1404, Reason_for_lorry_motorcycle_other_journeys_by_percentage[#Headers],0),0)/100</f>
        <v>3.7499999999999999E-3</v>
      </c>
      <c r="G1404" s="13">
        <f t="shared" si="107"/>
        <v>12505620.93609903</v>
      </c>
      <c r="H1404" s="89">
        <f>VLOOKUP(D1404,Average_Distance_by_kilometre_grouping_for_mode_type[#All],MATCH(A1404,Average_Distance_by_kilometre_grouping_for_mode_type[#Headers],0),0)</f>
        <v>3</v>
      </c>
      <c r="I1404" s="89">
        <f>VLOOKUP(D1404,Average_Distance_by_kilometres_grouping_for_trip_purpose[#All],MATCH(A1404,Average_Distance_by_kilometres_grouping_for_trip_purpose[#Headers],0),0)</f>
        <v>3</v>
      </c>
      <c r="J1404" s="89">
        <f t="shared" si="108"/>
        <v>3</v>
      </c>
      <c r="K1404" s="89">
        <f t="shared" si="109"/>
        <v>5.2891396332863189E-2</v>
      </c>
      <c r="L1404" s="89">
        <v>1</v>
      </c>
      <c r="M1404" s="13">
        <f t="shared" si="110"/>
        <v>661439.75331976532</v>
      </c>
      <c r="N1404" s="11">
        <f t="shared" ref="N1404:N1442" si="111">M1404/SUM($M$1083:$M$1442)</f>
        <v>1.1430524162384309E-5</v>
      </c>
    </row>
    <row r="1405" spans="1:14" x14ac:dyDescent="0.25">
      <c r="A1405" s="79" t="s">
        <v>34</v>
      </c>
      <c r="B1405" s="89" t="s">
        <v>90</v>
      </c>
      <c r="C1405" s="89" t="s">
        <v>43</v>
      </c>
      <c r="D1405" s="13" t="s">
        <v>180</v>
      </c>
      <c r="E1405" s="35">
        <f>VLOOKUP(B1405, Passenger_Kilometre_by_mode_type[#All],MATCH(A1405, Passenger_Kilometre_by_mode_type[#Headers],0),0)</f>
        <v>3334832249.6264081</v>
      </c>
      <c r="F1405" s="89">
        <f>VLOOKUP(C1405, Reason_for_lorry_motorcycle_other_journeys_by_percentage[#All],MATCH(A1405, Reason_for_lorry_motorcycle_other_journeys_by_percentage[#Headers],0),0)/100</f>
        <v>3.7499999999999999E-3</v>
      </c>
      <c r="G1405" s="13">
        <f t="shared" si="107"/>
        <v>12505620.93609903</v>
      </c>
      <c r="H1405" s="89">
        <f>VLOOKUP(D1405,Average_Distance_by_kilometre_grouping_for_mode_type[#All],MATCH(A1405,Average_Distance_by_kilometre_grouping_for_mode_type[#Headers],0),0)</f>
        <v>5</v>
      </c>
      <c r="I1405" s="89">
        <f>VLOOKUP(D1405,Average_Distance_by_kilometres_grouping_for_trip_purpose[#All],MATCH(A1405,Average_Distance_by_kilometres_grouping_for_trip_purpose[#Headers],0),0)</f>
        <v>5</v>
      </c>
      <c r="J1405" s="89">
        <f t="shared" si="108"/>
        <v>5</v>
      </c>
      <c r="K1405" s="89">
        <f t="shared" si="109"/>
        <v>8.8152327221438648E-2</v>
      </c>
      <c r="L1405" s="89">
        <v>1</v>
      </c>
      <c r="M1405" s="13">
        <f t="shared" si="110"/>
        <v>1102399.5888662755</v>
      </c>
      <c r="N1405" s="11">
        <f t="shared" si="111"/>
        <v>1.9050873603973848E-5</v>
      </c>
    </row>
    <row r="1406" spans="1:14" x14ac:dyDescent="0.25">
      <c r="A1406" s="79" t="s">
        <v>34</v>
      </c>
      <c r="B1406" s="89" t="s">
        <v>90</v>
      </c>
      <c r="C1406" s="89" t="s">
        <v>43</v>
      </c>
      <c r="D1406" s="13" t="s">
        <v>182</v>
      </c>
      <c r="E1406" s="35">
        <f>VLOOKUP(B1406, Passenger_Kilometre_by_mode_type[#All],MATCH(A1406, Passenger_Kilometre_by_mode_type[#Headers],0),0)</f>
        <v>3334832249.6264081</v>
      </c>
      <c r="F1406" s="89">
        <f>VLOOKUP(C1406, Reason_for_lorry_motorcycle_other_journeys_by_percentage[#All],MATCH(A1406, Reason_for_lorry_motorcycle_other_journeys_by_percentage[#Headers],0),0)/100</f>
        <v>3.7499999999999999E-3</v>
      </c>
      <c r="G1406" s="13">
        <f t="shared" si="107"/>
        <v>12505620.93609903</v>
      </c>
      <c r="H1406" s="89">
        <f>VLOOKUP(D1406,Average_Distance_by_kilometre_grouping_for_mode_type[#All],MATCH(A1406,Average_Distance_by_kilometre_grouping_for_mode_type[#Headers],0),0)</f>
        <v>7</v>
      </c>
      <c r="I1406" s="89">
        <f>VLOOKUP(D1406,Average_Distance_by_kilometres_grouping_for_trip_purpose[#All],MATCH(A1406,Average_Distance_by_kilometres_grouping_for_trip_purpose[#Headers],0),0)</f>
        <v>7</v>
      </c>
      <c r="J1406" s="89">
        <f t="shared" si="108"/>
        <v>7</v>
      </c>
      <c r="K1406" s="89">
        <f t="shared" si="109"/>
        <v>0.12341325811001411</v>
      </c>
      <c r="L1406" s="89">
        <v>1</v>
      </c>
      <c r="M1406" s="13">
        <f t="shared" si="110"/>
        <v>1543359.4244127858</v>
      </c>
      <c r="N1406" s="11">
        <f t="shared" si="111"/>
        <v>2.6671223045563389E-5</v>
      </c>
    </row>
    <row r="1407" spans="1:14" x14ac:dyDescent="0.25">
      <c r="A1407" s="79" t="s">
        <v>34</v>
      </c>
      <c r="B1407" s="89" t="s">
        <v>90</v>
      </c>
      <c r="C1407" s="89" t="s">
        <v>43</v>
      </c>
      <c r="D1407" s="13" t="s">
        <v>1</v>
      </c>
      <c r="E1407" s="35">
        <f>VLOOKUP(B1407, Passenger_Kilometre_by_mode_type[#All],MATCH(A1407, Passenger_Kilometre_by_mode_type[#Headers],0),0)</f>
        <v>3334832249.6264081</v>
      </c>
      <c r="F1407" s="89">
        <f>VLOOKUP(C1407, Reason_for_lorry_motorcycle_other_journeys_by_percentage[#All],MATCH(A1407, Reason_for_lorry_motorcycle_other_journeys_by_percentage[#Headers],0),0)/100</f>
        <v>3.7499999999999999E-3</v>
      </c>
      <c r="G1407" s="13">
        <f t="shared" si="107"/>
        <v>12505620.93609903</v>
      </c>
      <c r="H1407" s="89">
        <f>VLOOKUP(D1407,Average_Distance_by_kilometre_grouping_for_mode_type[#All],MATCH(A1407,Average_Distance_by_kilometre_grouping_for_mode_type[#Headers],0),0)</f>
        <v>38.99</v>
      </c>
      <c r="I1407" s="89">
        <f>VLOOKUP(D1407,Average_Distance_by_kilometres_grouping_for_trip_purpose[#All],MATCH(A1407,Average_Distance_by_kilometres_grouping_for_trip_purpose[#Headers],0),0)</f>
        <v>42.45</v>
      </c>
      <c r="J1407" s="89">
        <f t="shared" si="108"/>
        <v>40.72</v>
      </c>
      <c r="K1407" s="89">
        <f t="shared" si="109"/>
        <v>0.71791255289139633</v>
      </c>
      <c r="L1407" s="89">
        <v>1</v>
      </c>
      <c r="M1407" s="13">
        <f t="shared" si="110"/>
        <v>8977942.2517269477</v>
      </c>
      <c r="N1407" s="11">
        <f t="shared" si="111"/>
        <v>1.5515031463076302E-4</v>
      </c>
    </row>
    <row r="1408" spans="1:14" x14ac:dyDescent="0.25">
      <c r="A1408" s="79" t="s">
        <v>34</v>
      </c>
      <c r="B1408" s="89" t="s">
        <v>90</v>
      </c>
      <c r="C1408" s="89" t="s">
        <v>44</v>
      </c>
      <c r="D1408" s="13" t="s">
        <v>12</v>
      </c>
      <c r="E1408" s="35">
        <f>VLOOKUP(B1408, Passenger_Kilometre_by_mode_type[#All],MATCH(A1408, Passenger_Kilometre_by_mode_type[#Headers],0),0)</f>
        <v>3334832249.6264081</v>
      </c>
      <c r="F1408" s="89">
        <f>VLOOKUP(C1408, Reason_for_lorry_motorcycle_other_journeys_by_percentage[#All],MATCH(A1408, Reason_for_lorry_motorcycle_other_journeys_by_percentage[#Headers],0),0)/100</f>
        <v>0.11475000000000002</v>
      </c>
      <c r="G1408" s="13">
        <f t="shared" si="107"/>
        <v>382672000.64463037</v>
      </c>
      <c r="H1408" s="89">
        <f>VLOOKUP(D1408,Average_Distance_by_kilometre_grouping_for_mode_type[#All],MATCH(A1408,Average_Distance_by_kilometre_grouping_for_mode_type[#Headers],0),0)</f>
        <v>1</v>
      </c>
      <c r="I1408" s="89">
        <f>VLOOKUP(D1408,Average_Distance_by_kilometres_grouping_for_trip_purpose[#All],MATCH(A1408,Average_Distance_by_kilometres_grouping_for_trip_purpose[#Headers],0),0)</f>
        <v>1</v>
      </c>
      <c r="J1408" s="89">
        <f t="shared" si="108"/>
        <v>1</v>
      </c>
      <c r="K1408" s="89">
        <f t="shared" si="109"/>
        <v>1.763046544428773E-2</v>
      </c>
      <c r="L1408" s="89">
        <v>1</v>
      </c>
      <c r="M1408" s="13">
        <f t="shared" si="110"/>
        <v>6746685.4838616075</v>
      </c>
      <c r="N1408" s="11">
        <f t="shared" si="111"/>
        <v>1.1659134645631998E-4</v>
      </c>
    </row>
    <row r="1409" spans="1:14" x14ac:dyDescent="0.25">
      <c r="A1409" s="79" t="s">
        <v>34</v>
      </c>
      <c r="B1409" s="89" t="s">
        <v>90</v>
      </c>
      <c r="C1409" s="89" t="s">
        <v>44</v>
      </c>
      <c r="D1409" s="13" t="s">
        <v>181</v>
      </c>
      <c r="E1409" s="35">
        <f>VLOOKUP(B1409, Passenger_Kilometre_by_mode_type[#All],MATCH(A1409, Passenger_Kilometre_by_mode_type[#Headers],0),0)</f>
        <v>3334832249.6264081</v>
      </c>
      <c r="F1409" s="89">
        <f>VLOOKUP(C1409, Reason_for_lorry_motorcycle_other_journeys_by_percentage[#All],MATCH(A1409, Reason_for_lorry_motorcycle_other_journeys_by_percentage[#Headers],0),0)/100</f>
        <v>0.11475000000000002</v>
      </c>
      <c r="G1409" s="13">
        <f t="shared" si="107"/>
        <v>382672000.64463037</v>
      </c>
      <c r="H1409" s="89">
        <f>VLOOKUP(D1409,Average_Distance_by_kilometre_grouping_for_mode_type[#All],MATCH(A1409,Average_Distance_by_kilometre_grouping_for_mode_type[#Headers],0),0)</f>
        <v>3</v>
      </c>
      <c r="I1409" s="89">
        <f>VLOOKUP(D1409,Average_Distance_by_kilometres_grouping_for_trip_purpose[#All],MATCH(A1409,Average_Distance_by_kilometres_grouping_for_trip_purpose[#Headers],0),0)</f>
        <v>3</v>
      </c>
      <c r="J1409" s="89">
        <f t="shared" si="108"/>
        <v>3</v>
      </c>
      <c r="K1409" s="89">
        <f t="shared" si="109"/>
        <v>5.2891396332863189E-2</v>
      </c>
      <c r="L1409" s="89">
        <v>1</v>
      </c>
      <c r="M1409" s="13">
        <f t="shared" si="110"/>
        <v>20240056.451584823</v>
      </c>
      <c r="N1409" s="11">
        <f t="shared" si="111"/>
        <v>3.4977403936895993E-4</v>
      </c>
    </row>
    <row r="1410" spans="1:14" x14ac:dyDescent="0.25">
      <c r="A1410" s="79" t="s">
        <v>34</v>
      </c>
      <c r="B1410" s="89" t="s">
        <v>90</v>
      </c>
      <c r="C1410" s="89" t="s">
        <v>44</v>
      </c>
      <c r="D1410" s="13" t="s">
        <v>180</v>
      </c>
      <c r="E1410" s="35">
        <f>VLOOKUP(B1410, Passenger_Kilometre_by_mode_type[#All],MATCH(A1410, Passenger_Kilometre_by_mode_type[#Headers],0),0)</f>
        <v>3334832249.6264081</v>
      </c>
      <c r="F1410" s="89">
        <f>VLOOKUP(C1410, Reason_for_lorry_motorcycle_other_journeys_by_percentage[#All],MATCH(A1410, Reason_for_lorry_motorcycle_other_journeys_by_percentage[#Headers],0),0)/100</f>
        <v>0.11475000000000002</v>
      </c>
      <c r="G1410" s="13">
        <f t="shared" si="107"/>
        <v>382672000.64463037</v>
      </c>
      <c r="H1410" s="89">
        <f>VLOOKUP(D1410,Average_Distance_by_kilometre_grouping_for_mode_type[#All],MATCH(A1410,Average_Distance_by_kilometre_grouping_for_mode_type[#Headers],0),0)</f>
        <v>5</v>
      </c>
      <c r="I1410" s="89">
        <f>VLOOKUP(D1410,Average_Distance_by_kilometres_grouping_for_trip_purpose[#All],MATCH(A1410,Average_Distance_by_kilometres_grouping_for_trip_purpose[#Headers],0),0)</f>
        <v>5</v>
      </c>
      <c r="J1410" s="89">
        <f t="shared" si="108"/>
        <v>5</v>
      </c>
      <c r="K1410" s="89">
        <f t="shared" si="109"/>
        <v>8.8152327221438648E-2</v>
      </c>
      <c r="L1410" s="89">
        <v>1</v>
      </c>
      <c r="M1410" s="13">
        <f t="shared" si="110"/>
        <v>33733427.419308037</v>
      </c>
      <c r="N1410" s="11">
        <f>M1410/SUM($M$1083:$M$1442)</f>
        <v>5.8295673228159987E-4</v>
      </c>
    </row>
    <row r="1411" spans="1:14" x14ac:dyDescent="0.25">
      <c r="A1411" s="79" t="s">
        <v>34</v>
      </c>
      <c r="B1411" s="89" t="s">
        <v>90</v>
      </c>
      <c r="C1411" s="89" t="s">
        <v>44</v>
      </c>
      <c r="D1411" s="13" t="s">
        <v>182</v>
      </c>
      <c r="E1411" s="35">
        <f>VLOOKUP(B1411, Passenger_Kilometre_by_mode_type[#All],MATCH(A1411, Passenger_Kilometre_by_mode_type[#Headers],0),0)</f>
        <v>3334832249.6264081</v>
      </c>
      <c r="F1411" s="89">
        <f>VLOOKUP(C1411, Reason_for_lorry_motorcycle_other_journeys_by_percentage[#All],MATCH(A1411, Reason_for_lorry_motorcycle_other_journeys_by_percentage[#Headers],0),0)/100</f>
        <v>0.11475000000000002</v>
      </c>
      <c r="G1411" s="13">
        <f t="shared" si="107"/>
        <v>382672000.64463037</v>
      </c>
      <c r="H1411" s="89">
        <f>VLOOKUP(D1411,Average_Distance_by_kilometre_grouping_for_mode_type[#All],MATCH(A1411,Average_Distance_by_kilometre_grouping_for_mode_type[#Headers],0),0)</f>
        <v>7</v>
      </c>
      <c r="I1411" s="89">
        <f>VLOOKUP(D1411,Average_Distance_by_kilometres_grouping_for_trip_purpose[#All],MATCH(A1411,Average_Distance_by_kilometres_grouping_for_trip_purpose[#Headers],0),0)</f>
        <v>7</v>
      </c>
      <c r="J1411" s="89">
        <f t="shared" si="108"/>
        <v>7</v>
      </c>
      <c r="K1411" s="89">
        <f t="shared" si="109"/>
        <v>0.12341325811001411</v>
      </c>
      <c r="L1411" s="89">
        <v>1</v>
      </c>
      <c r="M1411" s="13">
        <f t="shared" si="110"/>
        <v>47226798.38703125</v>
      </c>
      <c r="N1411" s="11">
        <f t="shared" si="111"/>
        <v>8.1613942519423975E-4</v>
      </c>
    </row>
    <row r="1412" spans="1:14" x14ac:dyDescent="0.25">
      <c r="A1412" s="79" t="s">
        <v>34</v>
      </c>
      <c r="B1412" s="89" t="s">
        <v>90</v>
      </c>
      <c r="C1412" s="89" t="s">
        <v>44</v>
      </c>
      <c r="D1412" s="13" t="s">
        <v>1</v>
      </c>
      <c r="E1412" s="35">
        <f>VLOOKUP(B1412, Passenger_Kilometre_by_mode_type[#All],MATCH(A1412, Passenger_Kilometre_by_mode_type[#Headers],0),0)</f>
        <v>3334832249.6264081</v>
      </c>
      <c r="F1412" s="89">
        <f>VLOOKUP(C1412, Reason_for_lorry_motorcycle_other_journeys_by_percentage[#All],MATCH(A1412, Reason_for_lorry_motorcycle_other_journeys_by_percentage[#Headers],0),0)/100</f>
        <v>0.11475000000000002</v>
      </c>
      <c r="G1412" s="13">
        <f t="shared" ref="G1412:G1475" si="112">E1412*F1412</f>
        <v>382672000.64463037</v>
      </c>
      <c r="H1412" s="89">
        <f>VLOOKUP(D1412,Average_Distance_by_kilometre_grouping_for_mode_type[#All],MATCH(A1412,Average_Distance_by_kilometre_grouping_for_mode_type[#Headers],0),0)</f>
        <v>38.99</v>
      </c>
      <c r="I1412" s="89">
        <f>VLOOKUP(D1412,Average_Distance_by_kilometres_grouping_for_trip_purpose[#All],MATCH(A1412,Average_Distance_by_kilometres_grouping_for_trip_purpose[#Headers],0),0)</f>
        <v>42.45</v>
      </c>
      <c r="J1412" s="89">
        <f t="shared" ref="J1412:J1475" si="113">AVERAGE(H1412:I1412)</f>
        <v>40.72</v>
      </c>
      <c r="K1412" s="89">
        <f t="shared" ref="K1412:K1475" si="114">J1412/SUM(J1412:J1416)</f>
        <v>0.71791255289139633</v>
      </c>
      <c r="L1412" s="89">
        <v>1</v>
      </c>
      <c r="M1412" s="13">
        <f t="shared" ref="M1412:M1475" si="115">G1412*K1412*L1412</f>
        <v>274725032.90284467</v>
      </c>
      <c r="N1412" s="11">
        <f t="shared" si="111"/>
        <v>4.74759962770135E-3</v>
      </c>
    </row>
    <row r="1413" spans="1:14" x14ac:dyDescent="0.25">
      <c r="A1413" s="79" t="s">
        <v>34</v>
      </c>
      <c r="B1413" s="89" t="s">
        <v>90</v>
      </c>
      <c r="C1413" s="89" t="s">
        <v>45</v>
      </c>
      <c r="D1413" s="13" t="s">
        <v>12</v>
      </c>
      <c r="E1413" s="35">
        <f>VLOOKUP(B1413, Passenger_Kilometre_by_mode_type[#All],MATCH(A1413, Passenger_Kilometre_by_mode_type[#Headers],0),0)</f>
        <v>3334832249.6264081</v>
      </c>
      <c r="F1413" s="89">
        <f>VLOOKUP(C1413, Reason_for_lorry_motorcycle_other_journeys_by_percentage[#All],MATCH(A1413, Reason_for_lorry_motorcycle_other_journeys_by_percentage[#Headers],0),0)/100</f>
        <v>3.8249999999999999E-2</v>
      </c>
      <c r="G1413" s="13">
        <f t="shared" si="112"/>
        <v>127557333.54821011</v>
      </c>
      <c r="H1413" s="89">
        <f>VLOOKUP(D1413,Average_Distance_by_kilometre_grouping_for_mode_type[#All],MATCH(A1413,Average_Distance_by_kilometre_grouping_for_mode_type[#Headers],0),0)</f>
        <v>1</v>
      </c>
      <c r="I1413" s="89">
        <f>VLOOKUP(D1413,Average_Distance_by_kilometres_grouping_for_trip_purpose[#All],MATCH(A1413,Average_Distance_by_kilometres_grouping_for_trip_purpose[#Headers],0),0)</f>
        <v>1</v>
      </c>
      <c r="J1413" s="89">
        <f t="shared" si="113"/>
        <v>1</v>
      </c>
      <c r="K1413" s="89">
        <f t="shared" si="114"/>
        <v>1.763046544428773E-2</v>
      </c>
      <c r="L1413" s="89">
        <v>1</v>
      </c>
      <c r="M1413" s="13">
        <f t="shared" si="115"/>
        <v>2248895.1612872025</v>
      </c>
      <c r="N1413" s="11">
        <f t="shared" si="111"/>
        <v>3.8863782152106656E-5</v>
      </c>
    </row>
    <row r="1414" spans="1:14" x14ac:dyDescent="0.25">
      <c r="A1414" s="79" t="s">
        <v>34</v>
      </c>
      <c r="B1414" s="89" t="s">
        <v>90</v>
      </c>
      <c r="C1414" s="89" t="s">
        <v>45</v>
      </c>
      <c r="D1414" s="13" t="s">
        <v>181</v>
      </c>
      <c r="E1414" s="35">
        <f>VLOOKUP(B1414, Passenger_Kilometre_by_mode_type[#All],MATCH(A1414, Passenger_Kilometre_by_mode_type[#Headers],0),0)</f>
        <v>3334832249.6264081</v>
      </c>
      <c r="F1414" s="89">
        <f>VLOOKUP(C1414, Reason_for_lorry_motorcycle_other_journeys_by_percentage[#All],MATCH(A1414, Reason_for_lorry_motorcycle_other_journeys_by_percentage[#Headers],0),0)/100</f>
        <v>3.8249999999999999E-2</v>
      </c>
      <c r="G1414" s="13">
        <f t="shared" si="112"/>
        <v>127557333.54821011</v>
      </c>
      <c r="H1414" s="89">
        <f>VLOOKUP(D1414,Average_Distance_by_kilometre_grouping_for_mode_type[#All],MATCH(A1414,Average_Distance_by_kilometre_grouping_for_mode_type[#Headers],0),0)</f>
        <v>3</v>
      </c>
      <c r="I1414" s="89">
        <f>VLOOKUP(D1414,Average_Distance_by_kilometres_grouping_for_trip_purpose[#All],MATCH(A1414,Average_Distance_by_kilometres_grouping_for_trip_purpose[#Headers],0),0)</f>
        <v>3</v>
      </c>
      <c r="J1414" s="89">
        <f t="shared" si="113"/>
        <v>3</v>
      </c>
      <c r="K1414" s="89">
        <f t="shared" si="114"/>
        <v>5.2891396332863189E-2</v>
      </c>
      <c r="L1414" s="89">
        <v>1</v>
      </c>
      <c r="M1414" s="13">
        <f t="shared" si="115"/>
        <v>6746685.4838616066</v>
      </c>
      <c r="N1414" s="11">
        <f t="shared" si="111"/>
        <v>1.1659134645631995E-4</v>
      </c>
    </row>
    <row r="1415" spans="1:14" x14ac:dyDescent="0.25">
      <c r="A1415" s="79" t="s">
        <v>34</v>
      </c>
      <c r="B1415" s="89" t="s">
        <v>90</v>
      </c>
      <c r="C1415" s="89" t="s">
        <v>45</v>
      </c>
      <c r="D1415" s="13" t="s">
        <v>180</v>
      </c>
      <c r="E1415" s="35">
        <f>VLOOKUP(B1415, Passenger_Kilometre_by_mode_type[#All],MATCH(A1415, Passenger_Kilometre_by_mode_type[#Headers],0),0)</f>
        <v>3334832249.6264081</v>
      </c>
      <c r="F1415" s="89">
        <f>VLOOKUP(C1415, Reason_for_lorry_motorcycle_other_journeys_by_percentage[#All],MATCH(A1415, Reason_for_lorry_motorcycle_other_journeys_by_percentage[#Headers],0),0)/100</f>
        <v>3.8249999999999999E-2</v>
      </c>
      <c r="G1415" s="13">
        <f t="shared" si="112"/>
        <v>127557333.54821011</v>
      </c>
      <c r="H1415" s="89">
        <f>VLOOKUP(D1415,Average_Distance_by_kilometre_grouping_for_mode_type[#All],MATCH(A1415,Average_Distance_by_kilometre_grouping_for_mode_type[#Headers],0),0)</f>
        <v>5</v>
      </c>
      <c r="I1415" s="89">
        <f>VLOOKUP(D1415,Average_Distance_by_kilometres_grouping_for_trip_purpose[#All],MATCH(A1415,Average_Distance_by_kilometres_grouping_for_trip_purpose[#Headers],0),0)</f>
        <v>5</v>
      </c>
      <c r="J1415" s="89">
        <f t="shared" si="113"/>
        <v>5</v>
      </c>
      <c r="K1415" s="89">
        <f t="shared" si="114"/>
        <v>8.8152327221438648E-2</v>
      </c>
      <c r="L1415" s="89">
        <v>1</v>
      </c>
      <c r="M1415" s="13">
        <f t="shared" si="115"/>
        <v>11244475.806436012</v>
      </c>
      <c r="N1415" s="11">
        <f t="shared" si="111"/>
        <v>1.9431891076053328E-4</v>
      </c>
    </row>
    <row r="1416" spans="1:14" x14ac:dyDescent="0.25">
      <c r="A1416" s="79" t="s">
        <v>34</v>
      </c>
      <c r="B1416" s="89" t="s">
        <v>90</v>
      </c>
      <c r="C1416" s="89" t="s">
        <v>45</v>
      </c>
      <c r="D1416" s="13" t="s">
        <v>182</v>
      </c>
      <c r="E1416" s="35">
        <f>VLOOKUP(B1416, Passenger_Kilometre_by_mode_type[#All],MATCH(A1416, Passenger_Kilometre_by_mode_type[#Headers],0),0)</f>
        <v>3334832249.6264081</v>
      </c>
      <c r="F1416" s="89">
        <f>VLOOKUP(C1416, Reason_for_lorry_motorcycle_other_journeys_by_percentage[#All],MATCH(A1416, Reason_for_lorry_motorcycle_other_journeys_by_percentage[#Headers],0),0)/100</f>
        <v>3.8249999999999999E-2</v>
      </c>
      <c r="G1416" s="13">
        <f t="shared" si="112"/>
        <v>127557333.54821011</v>
      </c>
      <c r="H1416" s="89">
        <f>VLOOKUP(D1416,Average_Distance_by_kilometre_grouping_for_mode_type[#All],MATCH(A1416,Average_Distance_by_kilometre_grouping_for_mode_type[#Headers],0),0)</f>
        <v>7</v>
      </c>
      <c r="I1416" s="89">
        <f>VLOOKUP(D1416,Average_Distance_by_kilometres_grouping_for_trip_purpose[#All],MATCH(A1416,Average_Distance_by_kilometres_grouping_for_trip_purpose[#Headers],0),0)</f>
        <v>7</v>
      </c>
      <c r="J1416" s="89">
        <f t="shared" si="113"/>
        <v>7</v>
      </c>
      <c r="K1416" s="89">
        <f t="shared" si="114"/>
        <v>0.12341325811001411</v>
      </c>
      <c r="L1416" s="89">
        <v>1</v>
      </c>
      <c r="M1416" s="13">
        <f t="shared" si="115"/>
        <v>15742266.129010417</v>
      </c>
      <c r="N1416" s="11">
        <f t="shared" si="111"/>
        <v>2.7204647506474662E-4</v>
      </c>
    </row>
    <row r="1417" spans="1:14" x14ac:dyDescent="0.25">
      <c r="A1417" s="79" t="s">
        <v>34</v>
      </c>
      <c r="B1417" s="89" t="s">
        <v>90</v>
      </c>
      <c r="C1417" s="89" t="s">
        <v>45</v>
      </c>
      <c r="D1417" s="13" t="s">
        <v>1</v>
      </c>
      <c r="E1417" s="35">
        <f>VLOOKUP(B1417, Passenger_Kilometre_by_mode_type[#All],MATCH(A1417, Passenger_Kilometre_by_mode_type[#Headers],0),0)</f>
        <v>3334832249.6264081</v>
      </c>
      <c r="F1417" s="89">
        <f>VLOOKUP(C1417, Reason_for_lorry_motorcycle_other_journeys_by_percentage[#All],MATCH(A1417, Reason_for_lorry_motorcycle_other_journeys_by_percentage[#Headers],0),0)/100</f>
        <v>3.8249999999999999E-2</v>
      </c>
      <c r="G1417" s="13">
        <f t="shared" si="112"/>
        <v>127557333.54821011</v>
      </c>
      <c r="H1417" s="89">
        <f>VLOOKUP(D1417,Average_Distance_by_kilometre_grouping_for_mode_type[#All],MATCH(A1417,Average_Distance_by_kilometre_grouping_for_mode_type[#Headers],0),0)</f>
        <v>38.99</v>
      </c>
      <c r="I1417" s="89">
        <f>VLOOKUP(D1417,Average_Distance_by_kilometres_grouping_for_trip_purpose[#All],MATCH(A1417,Average_Distance_by_kilometres_grouping_for_trip_purpose[#Headers],0),0)</f>
        <v>42.45</v>
      </c>
      <c r="J1417" s="89">
        <f t="shared" si="113"/>
        <v>40.72</v>
      </c>
      <c r="K1417" s="89">
        <f t="shared" si="114"/>
        <v>0.71791255289139633</v>
      </c>
      <c r="L1417" s="89">
        <v>1</v>
      </c>
      <c r="M1417" s="13">
        <f t="shared" si="115"/>
        <v>91575010.967614874</v>
      </c>
      <c r="N1417" s="11">
        <f t="shared" si="111"/>
        <v>1.582533209233783E-3</v>
      </c>
    </row>
    <row r="1418" spans="1:14" x14ac:dyDescent="0.25">
      <c r="A1418" s="79" t="s">
        <v>34</v>
      </c>
      <c r="B1418" s="89" t="s">
        <v>90</v>
      </c>
      <c r="C1418" s="89" t="s">
        <v>56</v>
      </c>
      <c r="D1418" s="13" t="s">
        <v>12</v>
      </c>
      <c r="E1418" s="35">
        <f>VLOOKUP(B1418, Passenger_Kilometre_by_mode_type[#All],MATCH(A1418, Passenger_Kilometre_by_mode_type[#Headers],0),0)</f>
        <v>3334832249.6264081</v>
      </c>
      <c r="F1418" s="89">
        <f>VLOOKUP(C1418, Reason_for_lorry_motorcycle_other_journeys_by_percentage[#All],MATCH(A1418, Reason_for_lorry_motorcycle_other_journeys_by_percentage[#Headers],0),0)/100</f>
        <v>7.3249999999999996E-2</v>
      </c>
      <c r="G1418" s="13">
        <f t="shared" si="112"/>
        <v>244276462.28513438</v>
      </c>
      <c r="H1418" s="89">
        <f>VLOOKUP(D1418,Average_Distance_by_kilometre_grouping_for_mode_type[#All],MATCH(A1418,Average_Distance_by_kilometre_grouping_for_mode_type[#Headers],0),0)</f>
        <v>1</v>
      </c>
      <c r="I1418" s="89">
        <f>VLOOKUP(D1418,Average_Distance_by_kilometres_grouping_for_trip_purpose[#All],MATCH(A1418,Average_Distance_by_kilometres_grouping_for_trip_purpose[#Headers],0),0)</f>
        <v>1</v>
      </c>
      <c r="J1418" s="89">
        <f t="shared" si="113"/>
        <v>1</v>
      </c>
      <c r="K1418" s="89">
        <f t="shared" si="114"/>
        <v>1.763046544428773E-2</v>
      </c>
      <c r="L1418" s="89">
        <v>1</v>
      </c>
      <c r="M1418" s="13">
        <f t="shared" si="115"/>
        <v>4306707.7271709163</v>
      </c>
      <c r="N1418" s="11">
        <f t="shared" si="111"/>
        <v>7.4425412879524494E-5</v>
      </c>
    </row>
    <row r="1419" spans="1:14" x14ac:dyDescent="0.25">
      <c r="A1419" s="79" t="s">
        <v>34</v>
      </c>
      <c r="B1419" s="89" t="s">
        <v>90</v>
      </c>
      <c r="C1419" s="89" t="s">
        <v>56</v>
      </c>
      <c r="D1419" s="13" t="s">
        <v>181</v>
      </c>
      <c r="E1419" s="35">
        <f>VLOOKUP(B1419, Passenger_Kilometre_by_mode_type[#All],MATCH(A1419, Passenger_Kilometre_by_mode_type[#Headers],0),0)</f>
        <v>3334832249.6264081</v>
      </c>
      <c r="F1419" s="89">
        <f>VLOOKUP(C1419, Reason_for_lorry_motorcycle_other_journeys_by_percentage[#All],MATCH(A1419, Reason_for_lorry_motorcycle_other_journeys_by_percentage[#Headers],0),0)/100</f>
        <v>7.3249999999999996E-2</v>
      </c>
      <c r="G1419" s="13">
        <f t="shared" si="112"/>
        <v>244276462.28513438</v>
      </c>
      <c r="H1419" s="89">
        <f>VLOOKUP(D1419,Average_Distance_by_kilometre_grouping_for_mode_type[#All],MATCH(A1419,Average_Distance_by_kilometre_grouping_for_mode_type[#Headers],0),0)</f>
        <v>3</v>
      </c>
      <c r="I1419" s="89">
        <f>VLOOKUP(D1419,Average_Distance_by_kilometres_grouping_for_trip_purpose[#All],MATCH(A1419,Average_Distance_by_kilometres_grouping_for_trip_purpose[#Headers],0),0)</f>
        <v>3</v>
      </c>
      <c r="J1419" s="89">
        <f t="shared" si="113"/>
        <v>3</v>
      </c>
      <c r="K1419" s="89">
        <f t="shared" si="114"/>
        <v>5.2891396332863189E-2</v>
      </c>
      <c r="L1419" s="89">
        <v>1</v>
      </c>
      <c r="M1419" s="13">
        <f t="shared" si="115"/>
        <v>12920123.181512749</v>
      </c>
      <c r="N1419" s="11">
        <f t="shared" si="111"/>
        <v>2.2327623863857351E-4</v>
      </c>
    </row>
    <row r="1420" spans="1:14" x14ac:dyDescent="0.25">
      <c r="A1420" s="79" t="s">
        <v>34</v>
      </c>
      <c r="B1420" s="89" t="s">
        <v>90</v>
      </c>
      <c r="C1420" s="89" t="s">
        <v>56</v>
      </c>
      <c r="D1420" s="13" t="s">
        <v>180</v>
      </c>
      <c r="E1420" s="35">
        <f>VLOOKUP(B1420, Passenger_Kilometre_by_mode_type[#All],MATCH(A1420, Passenger_Kilometre_by_mode_type[#Headers],0),0)</f>
        <v>3334832249.6264081</v>
      </c>
      <c r="F1420" s="89">
        <f>VLOOKUP(C1420, Reason_for_lorry_motorcycle_other_journeys_by_percentage[#All],MATCH(A1420, Reason_for_lorry_motorcycle_other_journeys_by_percentage[#Headers],0),0)/100</f>
        <v>7.3249999999999996E-2</v>
      </c>
      <c r="G1420" s="13">
        <f t="shared" si="112"/>
        <v>244276462.28513438</v>
      </c>
      <c r="H1420" s="89">
        <f>VLOOKUP(D1420,Average_Distance_by_kilometre_grouping_for_mode_type[#All],MATCH(A1420,Average_Distance_by_kilometre_grouping_for_mode_type[#Headers],0),0)</f>
        <v>5</v>
      </c>
      <c r="I1420" s="89">
        <f>VLOOKUP(D1420,Average_Distance_by_kilometres_grouping_for_trip_purpose[#All],MATCH(A1420,Average_Distance_by_kilometres_grouping_for_trip_purpose[#Headers],0),0)</f>
        <v>5</v>
      </c>
      <c r="J1420" s="89">
        <f t="shared" si="113"/>
        <v>5</v>
      </c>
      <c r="K1420" s="89">
        <f t="shared" si="114"/>
        <v>8.8152327221438648E-2</v>
      </c>
      <c r="L1420" s="89">
        <v>1</v>
      </c>
      <c r="M1420" s="13">
        <f t="shared" si="115"/>
        <v>21533538.635854583</v>
      </c>
      <c r="N1420" s="11">
        <f t="shared" si="111"/>
        <v>3.7212706439762253E-4</v>
      </c>
    </row>
    <row r="1421" spans="1:14" x14ac:dyDescent="0.25">
      <c r="A1421" s="79" t="s">
        <v>34</v>
      </c>
      <c r="B1421" s="89" t="s">
        <v>90</v>
      </c>
      <c r="C1421" s="89" t="s">
        <v>56</v>
      </c>
      <c r="D1421" s="13" t="s">
        <v>182</v>
      </c>
      <c r="E1421" s="35">
        <f>VLOOKUP(B1421, Passenger_Kilometre_by_mode_type[#All],MATCH(A1421, Passenger_Kilometre_by_mode_type[#Headers],0),0)</f>
        <v>3334832249.6264081</v>
      </c>
      <c r="F1421" s="89">
        <f>VLOOKUP(C1421, Reason_for_lorry_motorcycle_other_journeys_by_percentage[#All],MATCH(A1421, Reason_for_lorry_motorcycle_other_journeys_by_percentage[#Headers],0),0)/100</f>
        <v>7.3249999999999996E-2</v>
      </c>
      <c r="G1421" s="13">
        <f t="shared" si="112"/>
        <v>244276462.28513438</v>
      </c>
      <c r="H1421" s="89">
        <f>VLOOKUP(D1421,Average_Distance_by_kilometre_grouping_for_mode_type[#All],MATCH(A1421,Average_Distance_by_kilometre_grouping_for_mode_type[#Headers],0),0)</f>
        <v>7</v>
      </c>
      <c r="I1421" s="89">
        <f>VLOOKUP(D1421,Average_Distance_by_kilometres_grouping_for_trip_purpose[#All],MATCH(A1421,Average_Distance_by_kilometres_grouping_for_trip_purpose[#Headers],0),0)</f>
        <v>7</v>
      </c>
      <c r="J1421" s="89">
        <f t="shared" si="113"/>
        <v>7</v>
      </c>
      <c r="K1421" s="89">
        <f t="shared" si="114"/>
        <v>0.12341325811001411</v>
      </c>
      <c r="L1421" s="89">
        <v>1</v>
      </c>
      <c r="M1421" s="13">
        <f t="shared" si="115"/>
        <v>30146954.090196416</v>
      </c>
      <c r="N1421" s="11">
        <f t="shared" si="111"/>
        <v>5.2097789015667151E-4</v>
      </c>
    </row>
    <row r="1422" spans="1:14" x14ac:dyDescent="0.25">
      <c r="A1422" s="79" t="s">
        <v>34</v>
      </c>
      <c r="B1422" s="89" t="s">
        <v>90</v>
      </c>
      <c r="C1422" s="89" t="s">
        <v>56</v>
      </c>
      <c r="D1422" s="13" t="s">
        <v>1</v>
      </c>
      <c r="E1422" s="35">
        <f>VLOOKUP(B1422, Passenger_Kilometre_by_mode_type[#All],MATCH(A1422, Passenger_Kilometre_by_mode_type[#Headers],0),0)</f>
        <v>3334832249.6264081</v>
      </c>
      <c r="F1422" s="89">
        <f>VLOOKUP(C1422, Reason_for_lorry_motorcycle_other_journeys_by_percentage[#All],MATCH(A1422, Reason_for_lorry_motorcycle_other_journeys_by_percentage[#Headers],0),0)/100</f>
        <v>7.3249999999999996E-2</v>
      </c>
      <c r="G1422" s="13">
        <f t="shared" si="112"/>
        <v>244276462.28513438</v>
      </c>
      <c r="H1422" s="89">
        <f>VLOOKUP(D1422,Average_Distance_by_kilometre_grouping_for_mode_type[#All],MATCH(A1422,Average_Distance_by_kilometre_grouping_for_mode_type[#Headers],0),0)</f>
        <v>38.99</v>
      </c>
      <c r="I1422" s="89">
        <f>VLOOKUP(D1422,Average_Distance_by_kilometres_grouping_for_trip_purpose[#All],MATCH(A1422,Average_Distance_by_kilometres_grouping_for_trip_purpose[#Headers],0),0)</f>
        <v>42.45</v>
      </c>
      <c r="J1422" s="89">
        <f t="shared" si="113"/>
        <v>40.72</v>
      </c>
      <c r="K1422" s="89">
        <f t="shared" si="114"/>
        <v>0.71791255289139633</v>
      </c>
      <c r="L1422" s="89">
        <v>1</v>
      </c>
      <c r="M1422" s="13">
        <f t="shared" si="115"/>
        <v>175369138.65039971</v>
      </c>
      <c r="N1422" s="11">
        <f t="shared" si="111"/>
        <v>3.0306028124542379E-3</v>
      </c>
    </row>
    <row r="1423" spans="1:14" x14ac:dyDescent="0.25">
      <c r="A1423" s="79" t="s">
        <v>34</v>
      </c>
      <c r="B1423" s="89" t="s">
        <v>90</v>
      </c>
      <c r="C1423" s="89" t="s">
        <v>57</v>
      </c>
      <c r="D1423" s="13" t="s">
        <v>12</v>
      </c>
      <c r="E1423" s="35">
        <f>VLOOKUP(B1423, Passenger_Kilometre_by_mode_type[#All],MATCH(A1423, Passenger_Kilometre_by_mode_type[#Headers],0),0)</f>
        <v>3334832249.6264081</v>
      </c>
      <c r="F1423" s="89">
        <f>VLOOKUP(C1423, Reason_for_lorry_motorcycle_other_journeys_by_percentage[#All],MATCH(A1423, Reason_for_lorry_motorcycle_other_journeys_by_percentage[#Headers],0),0)/100</f>
        <v>0.10125000000000001</v>
      </c>
      <c r="G1423" s="13">
        <f t="shared" si="112"/>
        <v>337651765.27467382</v>
      </c>
      <c r="H1423" s="89">
        <f>VLOOKUP(D1423,Average_Distance_by_kilometre_grouping_for_mode_type[#All],MATCH(A1423,Average_Distance_by_kilometre_grouping_for_mode_type[#Headers],0),0)</f>
        <v>1</v>
      </c>
      <c r="I1423" s="89">
        <f>VLOOKUP(D1423,Average_Distance_by_kilometres_grouping_for_trip_purpose[#All],MATCH(A1423,Average_Distance_by_kilometres_grouping_for_trip_purpose[#Headers],0),0)</f>
        <v>1</v>
      </c>
      <c r="J1423" s="89">
        <f t="shared" si="113"/>
        <v>1</v>
      </c>
      <c r="K1423" s="89">
        <f t="shared" si="114"/>
        <v>1.763046544428773E-2</v>
      </c>
      <c r="L1423" s="89">
        <v>1</v>
      </c>
      <c r="M1423" s="13">
        <f t="shared" si="115"/>
        <v>5952957.779877888</v>
      </c>
      <c r="N1423" s="11">
        <f t="shared" si="111"/>
        <v>1.0287471746145879E-4</v>
      </c>
    </row>
    <row r="1424" spans="1:14" x14ac:dyDescent="0.25">
      <c r="A1424" s="79" t="s">
        <v>34</v>
      </c>
      <c r="B1424" s="89" t="s">
        <v>90</v>
      </c>
      <c r="C1424" s="89" t="s">
        <v>57</v>
      </c>
      <c r="D1424" s="13" t="s">
        <v>181</v>
      </c>
      <c r="E1424" s="35">
        <f>VLOOKUP(B1424, Passenger_Kilometre_by_mode_type[#All],MATCH(A1424, Passenger_Kilometre_by_mode_type[#Headers],0),0)</f>
        <v>3334832249.6264081</v>
      </c>
      <c r="F1424" s="89">
        <f>VLOOKUP(C1424, Reason_for_lorry_motorcycle_other_journeys_by_percentage[#All],MATCH(A1424, Reason_for_lorry_motorcycle_other_journeys_by_percentage[#Headers],0),0)/100</f>
        <v>0.10125000000000001</v>
      </c>
      <c r="G1424" s="13">
        <f t="shared" si="112"/>
        <v>337651765.27467382</v>
      </c>
      <c r="H1424" s="89">
        <f>VLOOKUP(D1424,Average_Distance_by_kilometre_grouping_for_mode_type[#All],MATCH(A1424,Average_Distance_by_kilometre_grouping_for_mode_type[#Headers],0),0)</f>
        <v>3</v>
      </c>
      <c r="I1424" s="89">
        <f>VLOOKUP(D1424,Average_Distance_by_kilometres_grouping_for_trip_purpose[#All],MATCH(A1424,Average_Distance_by_kilometres_grouping_for_trip_purpose[#Headers],0),0)</f>
        <v>3</v>
      </c>
      <c r="J1424" s="89">
        <f t="shared" si="113"/>
        <v>3</v>
      </c>
      <c r="K1424" s="89">
        <f t="shared" si="114"/>
        <v>5.2891396332863189E-2</v>
      </c>
      <c r="L1424" s="89">
        <v>1</v>
      </c>
      <c r="M1424" s="13">
        <f t="shared" si="115"/>
        <v>17858873.339633666</v>
      </c>
      <c r="N1424" s="11">
        <f t="shared" si="111"/>
        <v>3.086241523843764E-4</v>
      </c>
    </row>
    <row r="1425" spans="1:14" x14ac:dyDescent="0.25">
      <c r="A1425" s="79" t="s">
        <v>34</v>
      </c>
      <c r="B1425" s="89" t="s">
        <v>90</v>
      </c>
      <c r="C1425" s="89" t="s">
        <v>57</v>
      </c>
      <c r="D1425" s="13" t="s">
        <v>180</v>
      </c>
      <c r="E1425" s="35">
        <f>VLOOKUP(B1425, Passenger_Kilometre_by_mode_type[#All],MATCH(A1425, Passenger_Kilometre_by_mode_type[#Headers],0),0)</f>
        <v>3334832249.6264081</v>
      </c>
      <c r="F1425" s="89">
        <f>VLOOKUP(C1425, Reason_for_lorry_motorcycle_other_journeys_by_percentage[#All],MATCH(A1425, Reason_for_lorry_motorcycle_other_journeys_by_percentage[#Headers],0),0)/100</f>
        <v>0.10125000000000001</v>
      </c>
      <c r="G1425" s="13">
        <f t="shared" si="112"/>
        <v>337651765.27467382</v>
      </c>
      <c r="H1425" s="89">
        <f>VLOOKUP(D1425,Average_Distance_by_kilometre_grouping_for_mode_type[#All],MATCH(A1425,Average_Distance_by_kilometre_grouping_for_mode_type[#Headers],0),0)</f>
        <v>5</v>
      </c>
      <c r="I1425" s="89">
        <f>VLOOKUP(D1425,Average_Distance_by_kilometres_grouping_for_trip_purpose[#All],MATCH(A1425,Average_Distance_by_kilometres_grouping_for_trip_purpose[#Headers],0),0)</f>
        <v>5</v>
      </c>
      <c r="J1425" s="89">
        <f t="shared" si="113"/>
        <v>5</v>
      </c>
      <c r="K1425" s="89">
        <f t="shared" si="114"/>
        <v>8.8152327221438648E-2</v>
      </c>
      <c r="L1425" s="89">
        <v>1</v>
      </c>
      <c r="M1425" s="13">
        <f t="shared" si="115"/>
        <v>29764788.899389442</v>
      </c>
      <c r="N1425" s="11">
        <f t="shared" si="111"/>
        <v>5.1437358730729399E-4</v>
      </c>
    </row>
    <row r="1426" spans="1:14" x14ac:dyDescent="0.25">
      <c r="A1426" s="79" t="s">
        <v>34</v>
      </c>
      <c r="B1426" s="89" t="s">
        <v>90</v>
      </c>
      <c r="C1426" s="89" t="s">
        <v>57</v>
      </c>
      <c r="D1426" s="13" t="s">
        <v>182</v>
      </c>
      <c r="E1426" s="35">
        <f>VLOOKUP(B1426, Passenger_Kilometre_by_mode_type[#All],MATCH(A1426, Passenger_Kilometre_by_mode_type[#Headers],0),0)</f>
        <v>3334832249.6264081</v>
      </c>
      <c r="F1426" s="89">
        <f>VLOOKUP(C1426, Reason_for_lorry_motorcycle_other_journeys_by_percentage[#All],MATCH(A1426, Reason_for_lorry_motorcycle_other_journeys_by_percentage[#Headers],0),0)/100</f>
        <v>0.10125000000000001</v>
      </c>
      <c r="G1426" s="13">
        <f t="shared" si="112"/>
        <v>337651765.27467382</v>
      </c>
      <c r="H1426" s="89">
        <f>VLOOKUP(D1426,Average_Distance_by_kilometre_grouping_for_mode_type[#All],MATCH(A1426,Average_Distance_by_kilometre_grouping_for_mode_type[#Headers],0),0)</f>
        <v>7</v>
      </c>
      <c r="I1426" s="89">
        <f>VLOOKUP(D1426,Average_Distance_by_kilometres_grouping_for_trip_purpose[#All],MATCH(A1426,Average_Distance_by_kilometres_grouping_for_trip_purpose[#Headers],0),0)</f>
        <v>7</v>
      </c>
      <c r="J1426" s="89">
        <f t="shared" si="113"/>
        <v>7</v>
      </c>
      <c r="K1426" s="89">
        <f t="shared" si="114"/>
        <v>0.12341325811001411</v>
      </c>
      <c r="L1426" s="89">
        <v>1</v>
      </c>
      <c r="M1426" s="13">
        <f t="shared" si="115"/>
        <v>41670704.459145218</v>
      </c>
      <c r="N1426" s="11">
        <f t="shared" si="111"/>
        <v>7.2012302223021152E-4</v>
      </c>
    </row>
    <row r="1427" spans="1:14" x14ac:dyDescent="0.25">
      <c r="A1427" s="79" t="s">
        <v>34</v>
      </c>
      <c r="B1427" s="89" t="s">
        <v>90</v>
      </c>
      <c r="C1427" s="89" t="s">
        <v>57</v>
      </c>
      <c r="D1427" s="13" t="s">
        <v>1</v>
      </c>
      <c r="E1427" s="35">
        <f>VLOOKUP(B1427, Passenger_Kilometre_by_mode_type[#All],MATCH(A1427, Passenger_Kilometre_by_mode_type[#Headers],0),0)</f>
        <v>3334832249.6264081</v>
      </c>
      <c r="F1427" s="89">
        <f>VLOOKUP(C1427, Reason_for_lorry_motorcycle_other_journeys_by_percentage[#All],MATCH(A1427, Reason_for_lorry_motorcycle_other_journeys_by_percentage[#Headers],0),0)/100</f>
        <v>0.10125000000000001</v>
      </c>
      <c r="G1427" s="13">
        <f t="shared" si="112"/>
        <v>337651765.27467382</v>
      </c>
      <c r="H1427" s="89">
        <f>VLOOKUP(D1427,Average_Distance_by_kilometre_grouping_for_mode_type[#All],MATCH(A1427,Average_Distance_by_kilometre_grouping_for_mode_type[#Headers],0),0)</f>
        <v>38.99</v>
      </c>
      <c r="I1427" s="89">
        <f>VLOOKUP(D1427,Average_Distance_by_kilometres_grouping_for_trip_purpose[#All],MATCH(A1427,Average_Distance_by_kilometres_grouping_for_trip_purpose[#Headers],0),0)</f>
        <v>42.45</v>
      </c>
      <c r="J1427" s="89">
        <f t="shared" si="113"/>
        <v>40.72</v>
      </c>
      <c r="K1427" s="89">
        <f t="shared" si="114"/>
        <v>0.71791255289139633</v>
      </c>
      <c r="L1427" s="89">
        <v>1</v>
      </c>
      <c r="M1427" s="13">
        <f t="shared" si="115"/>
        <v>242404440.79662761</v>
      </c>
      <c r="N1427" s="11">
        <f t="shared" si="111"/>
        <v>4.1890584950306023E-3</v>
      </c>
    </row>
    <row r="1428" spans="1:14" x14ac:dyDescent="0.25">
      <c r="A1428" s="79" t="s">
        <v>34</v>
      </c>
      <c r="B1428" s="89" t="s">
        <v>90</v>
      </c>
      <c r="C1428" s="89" t="s">
        <v>93</v>
      </c>
      <c r="D1428" s="13" t="s">
        <v>12</v>
      </c>
      <c r="E1428" s="35">
        <f>VLOOKUP(B1428, Passenger_Kilometre_by_mode_type[#All],MATCH(A1428, Passenger_Kilometre_by_mode_type[#Headers],0),0)</f>
        <v>3334832249.6264081</v>
      </c>
      <c r="F1428" s="89">
        <f>VLOOKUP(C1428, Reason_for_lorry_motorcycle_other_journeys_by_percentage[#All],MATCH(A1428, Reason_for_lorry_motorcycle_other_journeys_by_percentage[#Headers],0),0)/100</f>
        <v>5.9249999999999997E-2</v>
      </c>
      <c r="G1428" s="13">
        <f t="shared" si="112"/>
        <v>197588810.79036468</v>
      </c>
      <c r="H1428" s="89">
        <f>VLOOKUP(D1428,Average_Distance_by_kilometre_grouping_for_mode_type[#All],MATCH(A1428,Average_Distance_by_kilometre_grouping_for_mode_type[#Headers],0),0)</f>
        <v>1</v>
      </c>
      <c r="I1428" s="89">
        <f>VLOOKUP(D1428,Average_Distance_by_kilometres_grouping_for_trip_purpose[#All],MATCH(A1428,Average_Distance_by_kilometres_grouping_for_trip_purpose[#Headers],0),0)</f>
        <v>1</v>
      </c>
      <c r="J1428" s="89">
        <f t="shared" si="113"/>
        <v>1</v>
      </c>
      <c r="K1428" s="89">
        <f t="shared" si="114"/>
        <v>1.763046544428773E-2</v>
      </c>
      <c r="L1428" s="89">
        <v>1</v>
      </c>
      <c r="M1428" s="13">
        <f t="shared" si="115"/>
        <v>3483582.7008174309</v>
      </c>
      <c r="N1428" s="11">
        <f t="shared" si="111"/>
        <v>6.0200760588557366E-5</v>
      </c>
    </row>
    <row r="1429" spans="1:14" x14ac:dyDescent="0.25">
      <c r="A1429" s="79" t="s">
        <v>34</v>
      </c>
      <c r="B1429" s="89" t="s">
        <v>90</v>
      </c>
      <c r="C1429" s="89" t="s">
        <v>93</v>
      </c>
      <c r="D1429" s="13" t="s">
        <v>181</v>
      </c>
      <c r="E1429" s="35">
        <f>VLOOKUP(B1429, Passenger_Kilometre_by_mode_type[#All],MATCH(A1429, Passenger_Kilometre_by_mode_type[#Headers],0),0)</f>
        <v>3334832249.6264081</v>
      </c>
      <c r="F1429" s="89">
        <f>VLOOKUP(C1429, Reason_for_lorry_motorcycle_other_journeys_by_percentage[#All],MATCH(A1429, Reason_for_lorry_motorcycle_other_journeys_by_percentage[#Headers],0),0)/100</f>
        <v>5.9249999999999997E-2</v>
      </c>
      <c r="G1429" s="13">
        <f t="shared" si="112"/>
        <v>197588810.79036468</v>
      </c>
      <c r="H1429" s="89">
        <f>VLOOKUP(D1429,Average_Distance_by_kilometre_grouping_for_mode_type[#All],MATCH(A1429,Average_Distance_by_kilometre_grouping_for_mode_type[#Headers],0),0)</f>
        <v>3</v>
      </c>
      <c r="I1429" s="89">
        <f>VLOOKUP(D1429,Average_Distance_by_kilometres_grouping_for_trip_purpose[#All],MATCH(A1429,Average_Distance_by_kilometres_grouping_for_trip_purpose[#Headers],0),0)</f>
        <v>3</v>
      </c>
      <c r="J1429" s="89">
        <f t="shared" si="113"/>
        <v>3</v>
      </c>
      <c r="K1429" s="89">
        <f t="shared" si="114"/>
        <v>5.2891396332863189E-2</v>
      </c>
      <c r="L1429" s="89">
        <v>1</v>
      </c>
      <c r="M1429" s="13">
        <f t="shared" si="115"/>
        <v>10450748.102452293</v>
      </c>
      <c r="N1429" s="11">
        <f t="shared" si="111"/>
        <v>1.806022817656721E-4</v>
      </c>
    </row>
    <row r="1430" spans="1:14" x14ac:dyDescent="0.25">
      <c r="A1430" s="79" t="s">
        <v>34</v>
      </c>
      <c r="B1430" s="89" t="s">
        <v>90</v>
      </c>
      <c r="C1430" s="89" t="s">
        <v>93</v>
      </c>
      <c r="D1430" s="13" t="s">
        <v>180</v>
      </c>
      <c r="E1430" s="35">
        <f>VLOOKUP(B1430, Passenger_Kilometre_by_mode_type[#All],MATCH(A1430, Passenger_Kilometre_by_mode_type[#Headers],0),0)</f>
        <v>3334832249.6264081</v>
      </c>
      <c r="F1430" s="89">
        <f>VLOOKUP(C1430, Reason_for_lorry_motorcycle_other_journeys_by_percentage[#All],MATCH(A1430, Reason_for_lorry_motorcycle_other_journeys_by_percentage[#Headers],0),0)/100</f>
        <v>5.9249999999999997E-2</v>
      </c>
      <c r="G1430" s="13">
        <f t="shared" si="112"/>
        <v>197588810.79036468</v>
      </c>
      <c r="H1430" s="89">
        <f>VLOOKUP(D1430,Average_Distance_by_kilometre_grouping_for_mode_type[#All],MATCH(A1430,Average_Distance_by_kilometre_grouping_for_mode_type[#Headers],0),0)</f>
        <v>5</v>
      </c>
      <c r="I1430" s="89">
        <f>VLOOKUP(D1430,Average_Distance_by_kilometres_grouping_for_trip_purpose[#All],MATCH(A1430,Average_Distance_by_kilometres_grouping_for_trip_purpose[#Headers],0),0)</f>
        <v>5</v>
      </c>
      <c r="J1430" s="89">
        <f t="shared" si="113"/>
        <v>5</v>
      </c>
      <c r="K1430" s="89">
        <f t="shared" si="114"/>
        <v>8.8152327221438648E-2</v>
      </c>
      <c r="L1430" s="89">
        <v>1</v>
      </c>
      <c r="M1430" s="13">
        <f t="shared" si="115"/>
        <v>17417913.504087154</v>
      </c>
      <c r="N1430" s="11">
        <f t="shared" si="111"/>
        <v>3.0100380294278679E-4</v>
      </c>
    </row>
    <row r="1431" spans="1:14" x14ac:dyDescent="0.25">
      <c r="A1431" s="79" t="s">
        <v>34</v>
      </c>
      <c r="B1431" s="89" t="s">
        <v>90</v>
      </c>
      <c r="C1431" s="89" t="s">
        <v>93</v>
      </c>
      <c r="D1431" s="13" t="s">
        <v>182</v>
      </c>
      <c r="E1431" s="35">
        <f>VLOOKUP(B1431, Passenger_Kilometre_by_mode_type[#All],MATCH(A1431, Passenger_Kilometre_by_mode_type[#Headers],0),0)</f>
        <v>3334832249.6264081</v>
      </c>
      <c r="F1431" s="89">
        <f>VLOOKUP(C1431, Reason_for_lorry_motorcycle_other_journeys_by_percentage[#All],MATCH(A1431, Reason_for_lorry_motorcycle_other_journeys_by_percentage[#Headers],0),0)/100</f>
        <v>5.9249999999999997E-2</v>
      </c>
      <c r="G1431" s="13">
        <f t="shared" si="112"/>
        <v>197588810.79036468</v>
      </c>
      <c r="H1431" s="89">
        <f>VLOOKUP(D1431,Average_Distance_by_kilometre_grouping_for_mode_type[#All],MATCH(A1431,Average_Distance_by_kilometre_grouping_for_mode_type[#Headers],0),0)</f>
        <v>7</v>
      </c>
      <c r="I1431" s="89">
        <f>VLOOKUP(D1431,Average_Distance_by_kilometres_grouping_for_trip_purpose[#All],MATCH(A1431,Average_Distance_by_kilometres_grouping_for_trip_purpose[#Headers],0),0)</f>
        <v>7</v>
      </c>
      <c r="J1431" s="89">
        <f t="shared" si="113"/>
        <v>7</v>
      </c>
      <c r="K1431" s="89">
        <f t="shared" si="114"/>
        <v>0.12341325811001411</v>
      </c>
      <c r="L1431" s="89">
        <v>1</v>
      </c>
      <c r="M1431" s="13">
        <f t="shared" si="115"/>
        <v>24385078.905722018</v>
      </c>
      <c r="N1431" s="11">
        <f t="shared" si="111"/>
        <v>4.2140532411990162E-4</v>
      </c>
    </row>
    <row r="1432" spans="1:14" x14ac:dyDescent="0.25">
      <c r="A1432" s="79" t="s">
        <v>34</v>
      </c>
      <c r="B1432" s="89" t="s">
        <v>90</v>
      </c>
      <c r="C1432" s="89" t="s">
        <v>93</v>
      </c>
      <c r="D1432" s="13" t="s">
        <v>1</v>
      </c>
      <c r="E1432" s="35">
        <f>VLOOKUP(B1432, Passenger_Kilometre_by_mode_type[#All],MATCH(A1432, Passenger_Kilometre_by_mode_type[#Headers],0),0)</f>
        <v>3334832249.6264081</v>
      </c>
      <c r="F1432" s="89">
        <f>VLOOKUP(C1432, Reason_for_lorry_motorcycle_other_journeys_by_percentage[#All],MATCH(A1432, Reason_for_lorry_motorcycle_other_journeys_by_percentage[#Headers],0),0)/100</f>
        <v>5.9249999999999997E-2</v>
      </c>
      <c r="G1432" s="13">
        <f t="shared" si="112"/>
        <v>197588810.79036468</v>
      </c>
      <c r="H1432" s="89">
        <f>VLOOKUP(D1432,Average_Distance_by_kilometre_grouping_for_mode_type[#All],MATCH(A1432,Average_Distance_by_kilometre_grouping_for_mode_type[#Headers],0),0)</f>
        <v>38.99</v>
      </c>
      <c r="I1432" s="89">
        <f>VLOOKUP(D1432,Average_Distance_by_kilometres_grouping_for_trip_purpose[#All],MATCH(A1432,Average_Distance_by_kilometres_grouping_for_trip_purpose[#Headers],0),0)</f>
        <v>42.45</v>
      </c>
      <c r="J1432" s="89">
        <f t="shared" si="113"/>
        <v>40.72</v>
      </c>
      <c r="K1432" s="89">
        <f t="shared" si="114"/>
        <v>0.71791255289139633</v>
      </c>
      <c r="L1432" s="89">
        <v>1</v>
      </c>
      <c r="M1432" s="13">
        <f t="shared" si="115"/>
        <v>141851487.5772858</v>
      </c>
      <c r="N1432" s="11">
        <f t="shared" si="111"/>
        <v>2.4513749711660561E-3</v>
      </c>
    </row>
    <row r="1433" spans="1:14" x14ac:dyDescent="0.25">
      <c r="A1433" s="79" t="s">
        <v>34</v>
      </c>
      <c r="B1433" s="89" t="s">
        <v>90</v>
      </c>
      <c r="C1433" s="89" t="s">
        <v>243</v>
      </c>
      <c r="D1433" s="13" t="s">
        <v>12</v>
      </c>
      <c r="E1433" s="35">
        <f>VLOOKUP(B1433, Passenger_Kilometre_by_mode_type[#All],MATCH(A1433, Passenger_Kilometre_by_mode_type[#Headers],0),0)</f>
        <v>3334832249.6264081</v>
      </c>
      <c r="F1433" s="89">
        <f>VLOOKUP(C1433, Reason_for_lorry_motorcycle_other_journeys_by_percentage[#All],MATCH(A1433, Reason_for_lorry_motorcycle_other_journeys_by_percentage[#Headers],0),0)/100</f>
        <v>4.9500000000000002E-2</v>
      </c>
      <c r="G1433" s="13">
        <f t="shared" si="112"/>
        <v>165074196.35650721</v>
      </c>
      <c r="H1433" s="89">
        <f>VLOOKUP(D1433,Average_Distance_by_kilometre_grouping_for_mode_type[#All],MATCH(A1433,Average_Distance_by_kilometre_grouping_for_mode_type[#Headers],0),0)</f>
        <v>1</v>
      </c>
      <c r="I1433" s="89">
        <f>VLOOKUP(D1433,Average_Distance_by_kilometres_grouping_for_trip_purpose[#All],MATCH(A1433,Average_Distance_by_kilometres_grouping_for_trip_purpose[#Headers],0),0)</f>
        <v>1</v>
      </c>
      <c r="J1433" s="89">
        <f t="shared" si="113"/>
        <v>1</v>
      </c>
      <c r="K1433" s="89">
        <f t="shared" si="114"/>
        <v>1.763046544428773E-2</v>
      </c>
      <c r="L1433" s="89">
        <v>1</v>
      </c>
      <c r="M1433" s="13">
        <f t="shared" si="115"/>
        <v>2910334.9146069679</v>
      </c>
      <c r="N1433" s="11">
        <f t="shared" si="111"/>
        <v>5.0294306314490974E-5</v>
      </c>
    </row>
    <row r="1434" spans="1:14" x14ac:dyDescent="0.25">
      <c r="A1434" s="79" t="s">
        <v>34</v>
      </c>
      <c r="B1434" s="89" t="s">
        <v>90</v>
      </c>
      <c r="C1434" s="89" t="s">
        <v>243</v>
      </c>
      <c r="D1434" s="13" t="s">
        <v>181</v>
      </c>
      <c r="E1434" s="35">
        <f>VLOOKUP(B1434, Passenger_Kilometre_by_mode_type[#All],MATCH(A1434, Passenger_Kilometre_by_mode_type[#Headers],0),0)</f>
        <v>3334832249.6264081</v>
      </c>
      <c r="F1434" s="89">
        <f>VLOOKUP(C1434, Reason_for_lorry_motorcycle_other_journeys_by_percentage[#All],MATCH(A1434, Reason_for_lorry_motorcycle_other_journeys_by_percentage[#Headers],0),0)/100</f>
        <v>4.9500000000000002E-2</v>
      </c>
      <c r="G1434" s="13">
        <f t="shared" si="112"/>
        <v>165074196.35650721</v>
      </c>
      <c r="H1434" s="89">
        <f>VLOOKUP(D1434,Average_Distance_by_kilometre_grouping_for_mode_type[#All],MATCH(A1434,Average_Distance_by_kilometre_grouping_for_mode_type[#Headers],0),0)</f>
        <v>3</v>
      </c>
      <c r="I1434" s="89">
        <f>VLOOKUP(D1434,Average_Distance_by_kilometres_grouping_for_trip_purpose[#All],MATCH(A1434,Average_Distance_by_kilometres_grouping_for_trip_purpose[#Headers],0),0)</f>
        <v>3</v>
      </c>
      <c r="J1434" s="89">
        <f t="shared" si="113"/>
        <v>3</v>
      </c>
      <c r="K1434" s="89">
        <f t="shared" si="114"/>
        <v>5.2891396332863189E-2</v>
      </c>
      <c r="L1434" s="89">
        <v>1</v>
      </c>
      <c r="M1434" s="13">
        <f t="shared" si="115"/>
        <v>8731004.7438209038</v>
      </c>
      <c r="N1434" s="11">
        <f t="shared" si="111"/>
        <v>1.5088291894347291E-4</v>
      </c>
    </row>
    <row r="1435" spans="1:14" x14ac:dyDescent="0.25">
      <c r="A1435" s="79" t="s">
        <v>34</v>
      </c>
      <c r="B1435" s="89" t="s">
        <v>90</v>
      </c>
      <c r="C1435" s="89" t="s">
        <v>243</v>
      </c>
      <c r="D1435" s="13" t="s">
        <v>180</v>
      </c>
      <c r="E1435" s="35">
        <f>VLOOKUP(B1435, Passenger_Kilometre_by_mode_type[#All],MATCH(A1435, Passenger_Kilometre_by_mode_type[#Headers],0),0)</f>
        <v>3334832249.6264081</v>
      </c>
      <c r="F1435" s="89">
        <f>VLOOKUP(C1435, Reason_for_lorry_motorcycle_other_journeys_by_percentage[#All],MATCH(A1435, Reason_for_lorry_motorcycle_other_journeys_by_percentage[#Headers],0),0)/100</f>
        <v>4.9500000000000002E-2</v>
      </c>
      <c r="G1435" s="13">
        <f t="shared" si="112"/>
        <v>165074196.35650721</v>
      </c>
      <c r="H1435" s="89">
        <f>VLOOKUP(D1435,Average_Distance_by_kilometre_grouping_for_mode_type[#All],MATCH(A1435,Average_Distance_by_kilometre_grouping_for_mode_type[#Headers],0),0)</f>
        <v>5</v>
      </c>
      <c r="I1435" s="89">
        <f>VLOOKUP(D1435,Average_Distance_by_kilometres_grouping_for_trip_purpose[#All],MATCH(A1435,Average_Distance_by_kilometres_grouping_for_trip_purpose[#Headers],0),0)</f>
        <v>5</v>
      </c>
      <c r="J1435" s="89">
        <f t="shared" si="113"/>
        <v>5</v>
      </c>
      <c r="K1435" s="89">
        <f t="shared" si="114"/>
        <v>8.8152327221438648E-2</v>
      </c>
      <c r="L1435" s="89">
        <v>1</v>
      </c>
      <c r="M1435" s="13">
        <f t="shared" si="115"/>
        <v>14551674.57303484</v>
      </c>
      <c r="N1435" s="11">
        <f t="shared" si="111"/>
        <v>2.5147153157245486E-4</v>
      </c>
    </row>
    <row r="1436" spans="1:14" x14ac:dyDescent="0.25">
      <c r="A1436" s="79" t="s">
        <v>34</v>
      </c>
      <c r="B1436" s="89" t="s">
        <v>90</v>
      </c>
      <c r="C1436" s="89" t="s">
        <v>243</v>
      </c>
      <c r="D1436" s="13" t="s">
        <v>182</v>
      </c>
      <c r="E1436" s="35">
        <f>VLOOKUP(B1436, Passenger_Kilometre_by_mode_type[#All],MATCH(A1436, Passenger_Kilometre_by_mode_type[#Headers],0),0)</f>
        <v>3334832249.6264081</v>
      </c>
      <c r="F1436" s="89">
        <f>VLOOKUP(C1436, Reason_for_lorry_motorcycle_other_journeys_by_percentage[#All],MATCH(A1436, Reason_for_lorry_motorcycle_other_journeys_by_percentage[#Headers],0),0)/100</f>
        <v>4.9500000000000002E-2</v>
      </c>
      <c r="G1436" s="13">
        <f t="shared" si="112"/>
        <v>165074196.35650721</v>
      </c>
      <c r="H1436" s="89">
        <f>VLOOKUP(D1436,Average_Distance_by_kilometre_grouping_for_mode_type[#All],MATCH(A1436,Average_Distance_by_kilometre_grouping_for_mode_type[#Headers],0),0)</f>
        <v>7</v>
      </c>
      <c r="I1436" s="89">
        <f>VLOOKUP(D1436,Average_Distance_by_kilometres_grouping_for_trip_purpose[#All],MATCH(A1436,Average_Distance_by_kilometres_grouping_for_trip_purpose[#Headers],0),0)</f>
        <v>7</v>
      </c>
      <c r="J1436" s="89">
        <f t="shared" si="113"/>
        <v>7</v>
      </c>
      <c r="K1436" s="89">
        <f t="shared" si="114"/>
        <v>0.12341325811001411</v>
      </c>
      <c r="L1436" s="89">
        <v>1</v>
      </c>
      <c r="M1436" s="13">
        <f t="shared" si="115"/>
        <v>20372344.402248774</v>
      </c>
      <c r="N1436" s="11">
        <f t="shared" si="111"/>
        <v>3.5206014420143678E-4</v>
      </c>
    </row>
    <row r="1437" spans="1:14" x14ac:dyDescent="0.25">
      <c r="A1437" s="79" t="s">
        <v>34</v>
      </c>
      <c r="B1437" s="89" t="s">
        <v>90</v>
      </c>
      <c r="C1437" s="89" t="s">
        <v>243</v>
      </c>
      <c r="D1437" s="13" t="s">
        <v>1</v>
      </c>
      <c r="E1437" s="35">
        <f>VLOOKUP(B1437, Passenger_Kilometre_by_mode_type[#All],MATCH(A1437, Passenger_Kilometre_by_mode_type[#Headers],0),0)</f>
        <v>3334832249.6264081</v>
      </c>
      <c r="F1437" s="89">
        <f>VLOOKUP(C1437, Reason_for_lorry_motorcycle_other_journeys_by_percentage[#All],MATCH(A1437, Reason_for_lorry_motorcycle_other_journeys_by_percentage[#Headers],0),0)/100</f>
        <v>4.9500000000000002E-2</v>
      </c>
      <c r="G1437" s="13">
        <f t="shared" si="112"/>
        <v>165074196.35650721</v>
      </c>
      <c r="H1437" s="89">
        <f>VLOOKUP(D1437,Average_Distance_by_kilometre_grouping_for_mode_type[#All],MATCH(A1437,Average_Distance_by_kilometre_grouping_for_mode_type[#Headers],0),0)</f>
        <v>38.99</v>
      </c>
      <c r="I1437" s="89">
        <f>VLOOKUP(D1437,Average_Distance_by_kilometres_grouping_for_trip_purpose[#All],MATCH(A1437,Average_Distance_by_kilometres_grouping_for_trip_purpose[#Headers],0),0)</f>
        <v>42.45</v>
      </c>
      <c r="J1437" s="89">
        <f t="shared" si="113"/>
        <v>40.72</v>
      </c>
      <c r="K1437" s="89">
        <f t="shared" si="114"/>
        <v>0.71791255289139633</v>
      </c>
      <c r="L1437" s="89">
        <v>1</v>
      </c>
      <c r="M1437" s="13">
        <f t="shared" si="115"/>
        <v>118508837.72279572</v>
      </c>
      <c r="N1437" s="11">
        <f t="shared" si="111"/>
        <v>2.0479841531260722E-3</v>
      </c>
    </row>
    <row r="1438" spans="1:14" x14ac:dyDescent="0.25">
      <c r="A1438" s="79" t="s">
        <v>34</v>
      </c>
      <c r="B1438" s="89" t="s">
        <v>90</v>
      </c>
      <c r="C1438" s="89" t="s">
        <v>50</v>
      </c>
      <c r="D1438" s="13" t="s">
        <v>12</v>
      </c>
      <c r="E1438" s="35">
        <f>VLOOKUP(B1438, Passenger_Kilometre_by_mode_type[#All],MATCH(A1438, Passenger_Kilometre_by_mode_type[#Headers],0),0)</f>
        <v>3334832249.6264081</v>
      </c>
      <c r="F1438" s="89">
        <f>VLOOKUP(C1438, Reason_for_lorry_motorcycle_other_journeys_by_percentage[#All],MATCH(A1438, Reason_for_lorry_motorcycle_other_journeys_by_percentage[#Headers],0),0)/100</f>
        <v>5.2499999999999991E-2</v>
      </c>
      <c r="G1438" s="13">
        <f t="shared" si="112"/>
        <v>175078693.10538641</v>
      </c>
      <c r="H1438" s="89">
        <f>VLOOKUP(D1438,Average_Distance_by_kilometre_grouping_for_mode_type[#All],MATCH(A1438,Average_Distance_by_kilometre_grouping_for_mode_type[#Headers],0),0)</f>
        <v>1</v>
      </c>
      <c r="I1438" s="89">
        <f>VLOOKUP(D1438,Average_Distance_by_kilometres_grouping_for_trip_purpose[#All],MATCH(A1438,Average_Distance_by_kilometres_grouping_for_trip_purpose[#Headers],0),0)</f>
        <v>1</v>
      </c>
      <c r="J1438" s="89">
        <f t="shared" si="113"/>
        <v>1</v>
      </c>
      <c r="K1438" s="89">
        <f t="shared" si="114"/>
        <v>1.763046544428773E-2</v>
      </c>
      <c r="L1438" s="89">
        <v>1</v>
      </c>
      <c r="M1438" s="13">
        <f t="shared" si="115"/>
        <v>3086718.8488255716</v>
      </c>
      <c r="N1438" s="11">
        <f t="shared" si="111"/>
        <v>5.3342446091126778E-5</v>
      </c>
    </row>
    <row r="1439" spans="1:14" x14ac:dyDescent="0.25">
      <c r="A1439" s="79" t="s">
        <v>34</v>
      </c>
      <c r="B1439" s="89" t="s">
        <v>90</v>
      </c>
      <c r="C1439" s="89" t="s">
        <v>50</v>
      </c>
      <c r="D1439" s="13" t="s">
        <v>181</v>
      </c>
      <c r="E1439" s="35">
        <f>VLOOKUP(B1439, Passenger_Kilometre_by_mode_type[#All],MATCH(A1439, Passenger_Kilometre_by_mode_type[#Headers],0),0)</f>
        <v>3334832249.6264081</v>
      </c>
      <c r="F1439" s="89">
        <f>VLOOKUP(C1439, Reason_for_lorry_motorcycle_other_journeys_by_percentage[#All],MATCH(A1439, Reason_for_lorry_motorcycle_other_journeys_by_percentage[#Headers],0),0)/100</f>
        <v>5.2499999999999991E-2</v>
      </c>
      <c r="G1439" s="13">
        <f t="shared" si="112"/>
        <v>175078693.10538641</v>
      </c>
      <c r="H1439" s="89">
        <f>VLOOKUP(D1439,Average_Distance_by_kilometre_grouping_for_mode_type[#All],MATCH(A1439,Average_Distance_by_kilometre_grouping_for_mode_type[#Headers],0),0)</f>
        <v>3</v>
      </c>
      <c r="I1439" s="89">
        <f>VLOOKUP(D1439,Average_Distance_by_kilometres_grouping_for_trip_purpose[#All],MATCH(A1439,Average_Distance_by_kilometres_grouping_for_trip_purpose[#Headers],0),0)</f>
        <v>3</v>
      </c>
      <c r="J1439" s="89">
        <f t="shared" si="113"/>
        <v>3</v>
      </c>
      <c r="K1439" s="89">
        <f t="shared" si="114"/>
        <v>5.2891396332863189E-2</v>
      </c>
      <c r="L1439" s="89">
        <v>1</v>
      </c>
      <c r="M1439" s="13">
        <f t="shared" si="115"/>
        <v>9260156.5464767143</v>
      </c>
      <c r="N1439" s="11">
        <f t="shared" si="111"/>
        <v>1.6002733827338034E-4</v>
      </c>
    </row>
    <row r="1440" spans="1:14" x14ac:dyDescent="0.25">
      <c r="A1440" s="79" t="s">
        <v>34</v>
      </c>
      <c r="B1440" s="89" t="s">
        <v>90</v>
      </c>
      <c r="C1440" s="89" t="s">
        <v>50</v>
      </c>
      <c r="D1440" s="13" t="s">
        <v>180</v>
      </c>
      <c r="E1440" s="35">
        <f>VLOOKUP(B1440, Passenger_Kilometre_by_mode_type[#All],MATCH(A1440, Passenger_Kilometre_by_mode_type[#Headers],0),0)</f>
        <v>3334832249.6264081</v>
      </c>
      <c r="F1440" s="89">
        <f>VLOOKUP(C1440, Reason_for_lorry_motorcycle_other_journeys_by_percentage[#All],MATCH(A1440, Reason_for_lorry_motorcycle_other_journeys_by_percentage[#Headers],0),0)/100</f>
        <v>5.2499999999999991E-2</v>
      </c>
      <c r="G1440" s="13">
        <f t="shared" si="112"/>
        <v>175078693.10538641</v>
      </c>
      <c r="H1440" s="89">
        <f>VLOOKUP(D1440,Average_Distance_by_kilometre_grouping_for_mode_type[#All],MATCH(A1440,Average_Distance_by_kilometre_grouping_for_mode_type[#Headers],0),0)</f>
        <v>5</v>
      </c>
      <c r="I1440" s="89">
        <f>VLOOKUP(D1440,Average_Distance_by_kilometres_grouping_for_trip_purpose[#All],MATCH(A1440,Average_Distance_by_kilometres_grouping_for_trip_purpose[#Headers],0),0)</f>
        <v>5</v>
      </c>
      <c r="J1440" s="89">
        <f t="shared" si="113"/>
        <v>5</v>
      </c>
      <c r="K1440" s="89">
        <f t="shared" si="114"/>
        <v>8.8152327221438648E-2</v>
      </c>
      <c r="L1440" s="89">
        <v>1</v>
      </c>
      <c r="M1440" s="13">
        <f t="shared" si="115"/>
        <v>15433594.244127857</v>
      </c>
      <c r="N1440" s="11">
        <f t="shared" si="111"/>
        <v>2.6671223045563386E-4</v>
      </c>
    </row>
    <row r="1441" spans="1:14" x14ac:dyDescent="0.25">
      <c r="A1441" s="79" t="s">
        <v>34</v>
      </c>
      <c r="B1441" s="89" t="s">
        <v>90</v>
      </c>
      <c r="C1441" s="89" t="s">
        <v>50</v>
      </c>
      <c r="D1441" s="13" t="s">
        <v>182</v>
      </c>
      <c r="E1441" s="35">
        <f>VLOOKUP(B1441, Passenger_Kilometre_by_mode_type[#All],MATCH(A1441, Passenger_Kilometre_by_mode_type[#Headers],0),0)</f>
        <v>3334832249.6264081</v>
      </c>
      <c r="F1441" s="89">
        <f>VLOOKUP(C1441, Reason_for_lorry_motorcycle_other_journeys_by_percentage[#All],MATCH(A1441, Reason_for_lorry_motorcycle_other_journeys_by_percentage[#Headers],0),0)/100</f>
        <v>5.2499999999999991E-2</v>
      </c>
      <c r="G1441" s="13">
        <f t="shared" si="112"/>
        <v>175078693.10538641</v>
      </c>
      <c r="H1441" s="89">
        <f>VLOOKUP(D1441,Average_Distance_by_kilometre_grouping_for_mode_type[#All],MATCH(A1441,Average_Distance_by_kilometre_grouping_for_mode_type[#Headers],0),0)</f>
        <v>7</v>
      </c>
      <c r="I1441" s="89">
        <f>VLOOKUP(D1441,Average_Distance_by_kilometres_grouping_for_trip_purpose[#All],MATCH(A1441,Average_Distance_by_kilometres_grouping_for_trip_purpose[#Headers],0),0)</f>
        <v>7</v>
      </c>
      <c r="J1441" s="89">
        <f t="shared" si="113"/>
        <v>7</v>
      </c>
      <c r="K1441" s="89">
        <f t="shared" si="114"/>
        <v>0.12341325811001411</v>
      </c>
      <c r="L1441" s="89">
        <v>1</v>
      </c>
      <c r="M1441" s="13">
        <f t="shared" si="115"/>
        <v>21607031.941778999</v>
      </c>
      <c r="N1441" s="11">
        <f t="shared" si="111"/>
        <v>3.733971226378874E-4</v>
      </c>
    </row>
    <row r="1442" spans="1:14" x14ac:dyDescent="0.25">
      <c r="A1442" s="79" t="s">
        <v>34</v>
      </c>
      <c r="B1442" s="89" t="s">
        <v>90</v>
      </c>
      <c r="C1442" s="89" t="s">
        <v>50</v>
      </c>
      <c r="D1442" s="13" t="s">
        <v>1</v>
      </c>
      <c r="E1442" s="35">
        <f>VLOOKUP(B1442, Passenger_Kilometre_by_mode_type[#All],MATCH(A1442, Passenger_Kilometre_by_mode_type[#Headers],0),0)</f>
        <v>3334832249.6264081</v>
      </c>
      <c r="F1442" s="89">
        <f>VLOOKUP(C1442, Reason_for_lorry_motorcycle_other_journeys_by_percentage[#All],MATCH(A1442, Reason_for_lorry_motorcycle_other_journeys_by_percentage[#Headers],0),0)/100</f>
        <v>5.2499999999999991E-2</v>
      </c>
      <c r="G1442" s="13">
        <f t="shared" si="112"/>
        <v>175078693.10538641</v>
      </c>
      <c r="H1442" s="89">
        <f>VLOOKUP(D1442,Average_Distance_by_kilometre_grouping_for_mode_type[#All],MATCH(A1442,Average_Distance_by_kilometre_grouping_for_mode_type[#Headers],0),0)</f>
        <v>38.99</v>
      </c>
      <c r="I1442" s="89">
        <f>VLOOKUP(D1442,Average_Distance_by_kilometres_grouping_for_trip_purpose[#All],MATCH(A1442,Average_Distance_by_kilometres_grouping_for_trip_purpose[#Headers],0),0)</f>
        <v>42.45</v>
      </c>
      <c r="J1442" s="89">
        <f t="shared" si="113"/>
        <v>40.72</v>
      </c>
      <c r="K1442" s="89">
        <f t="shared" si="114"/>
        <v>0.71791255289139633</v>
      </c>
      <c r="L1442" s="89">
        <v>1</v>
      </c>
      <c r="M1442" s="13">
        <f t="shared" si="115"/>
        <v>125691191.52417727</v>
      </c>
      <c r="N1442" s="11">
        <f t="shared" si="111"/>
        <v>2.1721044048306822E-3</v>
      </c>
    </row>
    <row r="1443" spans="1:14" s="169" customFormat="1" x14ac:dyDescent="0.25">
      <c r="A1443" s="168" t="s">
        <v>36</v>
      </c>
      <c r="B1443" s="169" t="s">
        <v>5</v>
      </c>
      <c r="C1443" s="169" t="s">
        <v>42</v>
      </c>
      <c r="D1443" s="170" t="s">
        <v>12</v>
      </c>
      <c r="E1443" s="171">
        <f>VLOOKUP(B1443, Passenger_Kilometre_by_mode_type[#All],MATCH(A1443, Passenger_Kilometre_by_mode_type[#Headers],0),0)</f>
        <v>47547076180.316536</v>
      </c>
      <c r="F1443" s="169">
        <f>VLOOKUP(C1443, Reason_for_car_journeys_by_percentage[#All],MATCH(A1443, Reason_for_car_journeys_by_percentage[#Headers],0),0)/100</f>
        <v>0.28750000000000003</v>
      </c>
      <c r="G1443" s="170">
        <f t="shared" si="112"/>
        <v>13669784401.841005</v>
      </c>
      <c r="H1443" s="169">
        <f>VLOOKUP(D1443,Average_Distance_by_kilometre_grouping_for_mode_type[#All],MATCH(A1443,Average_Distance_by_kilometre_grouping_for_mode_type[#Headers],0),0)</f>
        <v>1</v>
      </c>
      <c r="I1443" s="169">
        <f>VLOOKUP(D1443,Average_Distance_by_kilometres_grouping_for_trip_purpose[#All],MATCH(A1443,Average_Distance_by_kilometres_grouping_for_trip_purpose[#Headers],0),0)</f>
        <v>1</v>
      </c>
      <c r="J1443" s="169">
        <f t="shared" si="113"/>
        <v>1</v>
      </c>
      <c r="K1443" s="169">
        <f t="shared" si="114"/>
        <v>1.7176228100309172E-2</v>
      </c>
      <c r="L1443" s="169">
        <v>1</v>
      </c>
      <c r="M1443" s="170">
        <f t="shared" si="115"/>
        <v>234795334.96806949</v>
      </c>
      <c r="N1443" s="169">
        <f>M1443/SUM($M$1443:$M$1803)</f>
        <v>3.7258047677442702E-3</v>
      </c>
    </row>
    <row r="1444" spans="1:14" x14ac:dyDescent="0.25">
      <c r="A1444" s="79" t="s">
        <v>36</v>
      </c>
      <c r="B1444" s="89" t="s">
        <v>5</v>
      </c>
      <c r="C1444" s="89" t="s">
        <v>42</v>
      </c>
      <c r="D1444" s="13" t="s">
        <v>181</v>
      </c>
      <c r="E1444" s="35">
        <f>VLOOKUP(B1444, Passenger_Kilometre_by_mode_type[#All],MATCH(A1444, Passenger_Kilometre_by_mode_type[#Headers],0),0)</f>
        <v>47547076180.316536</v>
      </c>
      <c r="F1444" s="89">
        <f>VLOOKUP(C1444, Reason_for_car_journeys_by_percentage[#All],MATCH(A1444, Reason_for_car_journeys_by_percentage[#Headers],0),0)/100</f>
        <v>0.28750000000000003</v>
      </c>
      <c r="G1444" s="13">
        <f t="shared" si="112"/>
        <v>13669784401.841005</v>
      </c>
      <c r="H1444" s="89">
        <f>VLOOKUP(D1444,Average_Distance_by_kilometre_grouping_for_mode_type[#All],MATCH(A1444,Average_Distance_by_kilometre_grouping_for_mode_type[#Headers],0),0)</f>
        <v>3</v>
      </c>
      <c r="I1444" s="89">
        <f>VLOOKUP(D1444,Average_Distance_by_kilometres_grouping_for_trip_purpose[#All],MATCH(A1444,Average_Distance_by_kilometres_grouping_for_trip_purpose[#Headers],0),0)</f>
        <v>3</v>
      </c>
      <c r="J1444" s="89">
        <f t="shared" si="113"/>
        <v>3</v>
      </c>
      <c r="K1444" s="89">
        <f t="shared" si="114"/>
        <v>5.1528684300927517E-2</v>
      </c>
      <c r="L1444" s="89">
        <v>1</v>
      </c>
      <c r="M1444" s="13">
        <f t="shared" si="115"/>
        <v>704386004.90420842</v>
      </c>
      <c r="N1444" s="11">
        <f t="shared" ref="N1444:N1507" si="116">M1444/SUM($M$1443:$M$1803)</f>
        <v>1.117741430323281E-2</v>
      </c>
    </row>
    <row r="1445" spans="1:14" x14ac:dyDescent="0.25">
      <c r="A1445" s="79" t="s">
        <v>36</v>
      </c>
      <c r="B1445" s="89" t="s">
        <v>5</v>
      </c>
      <c r="C1445" s="89" t="s">
        <v>42</v>
      </c>
      <c r="D1445" s="13" t="s">
        <v>180</v>
      </c>
      <c r="E1445" s="35">
        <f>VLOOKUP(B1445, Passenger_Kilometre_by_mode_type[#All],MATCH(A1445, Passenger_Kilometre_by_mode_type[#Headers],0),0)</f>
        <v>47547076180.316536</v>
      </c>
      <c r="F1445" s="89">
        <f>VLOOKUP(C1445, Reason_for_car_journeys_by_percentage[#All],MATCH(A1445, Reason_for_car_journeys_by_percentage[#Headers],0),0)/100</f>
        <v>0.28750000000000003</v>
      </c>
      <c r="G1445" s="13">
        <f t="shared" si="112"/>
        <v>13669784401.841005</v>
      </c>
      <c r="H1445" s="89">
        <f>VLOOKUP(D1445,Average_Distance_by_kilometre_grouping_for_mode_type[#All],MATCH(A1445,Average_Distance_by_kilometre_grouping_for_mode_type[#Headers],0),0)</f>
        <v>5</v>
      </c>
      <c r="I1445" s="89">
        <f>VLOOKUP(D1445,Average_Distance_by_kilometres_grouping_for_trip_purpose[#All],MATCH(A1445,Average_Distance_by_kilometres_grouping_for_trip_purpose[#Headers],0),0)</f>
        <v>5</v>
      </c>
      <c r="J1445" s="89">
        <f t="shared" si="113"/>
        <v>5</v>
      </c>
      <c r="K1445" s="89">
        <f t="shared" si="114"/>
        <v>8.5881140501545869E-2</v>
      </c>
      <c r="L1445" s="89">
        <v>1</v>
      </c>
      <c r="M1445" s="13">
        <f t="shared" si="115"/>
        <v>1173976674.8403475</v>
      </c>
      <c r="N1445" s="11">
        <f t="shared" si="116"/>
        <v>1.8629023838721354E-2</v>
      </c>
    </row>
    <row r="1446" spans="1:14" x14ac:dyDescent="0.25">
      <c r="A1446" s="79" t="s">
        <v>36</v>
      </c>
      <c r="B1446" s="89" t="s">
        <v>5</v>
      </c>
      <c r="C1446" s="89" t="s">
        <v>42</v>
      </c>
      <c r="D1446" s="13" t="s">
        <v>182</v>
      </c>
      <c r="E1446" s="35">
        <f>VLOOKUP(B1446, Passenger_Kilometre_by_mode_type[#All],MATCH(A1446, Passenger_Kilometre_by_mode_type[#Headers],0),0)</f>
        <v>47547076180.316536</v>
      </c>
      <c r="F1446" s="89">
        <f>VLOOKUP(C1446, Reason_for_car_journeys_by_percentage[#All],MATCH(A1446, Reason_for_car_journeys_by_percentage[#Headers],0),0)/100</f>
        <v>0.28750000000000003</v>
      </c>
      <c r="G1446" s="13">
        <f t="shared" si="112"/>
        <v>13669784401.841005</v>
      </c>
      <c r="H1446" s="89">
        <f>VLOOKUP(D1446,Average_Distance_by_kilometre_grouping_for_mode_type[#All],MATCH(A1446,Average_Distance_by_kilometre_grouping_for_mode_type[#Headers],0),0)</f>
        <v>7</v>
      </c>
      <c r="I1446" s="89">
        <f>VLOOKUP(D1446,Average_Distance_by_kilometres_grouping_for_trip_purpose[#All],MATCH(A1446,Average_Distance_by_kilometres_grouping_for_trip_purpose[#Headers],0),0)</f>
        <v>7</v>
      </c>
      <c r="J1446" s="89">
        <f t="shared" si="113"/>
        <v>7</v>
      </c>
      <c r="K1446" s="89">
        <f t="shared" si="114"/>
        <v>0.12023359670216421</v>
      </c>
      <c r="L1446" s="89">
        <v>1</v>
      </c>
      <c r="M1446" s="13">
        <f t="shared" si="115"/>
        <v>1643567344.7764864</v>
      </c>
      <c r="N1446" s="11">
        <f t="shared" si="116"/>
        <v>2.6080633374209891E-2</v>
      </c>
    </row>
    <row r="1447" spans="1:14" x14ac:dyDescent="0.25">
      <c r="A1447" s="79" t="s">
        <v>36</v>
      </c>
      <c r="B1447" s="89" t="s">
        <v>5</v>
      </c>
      <c r="C1447" s="89" t="s">
        <v>42</v>
      </c>
      <c r="D1447" s="13" t="s">
        <v>1</v>
      </c>
      <c r="E1447" s="35">
        <f>VLOOKUP(B1447, Passenger_Kilometre_by_mode_type[#All],MATCH(A1447, Passenger_Kilometre_by_mode_type[#Headers],0),0)</f>
        <v>47547076180.316536</v>
      </c>
      <c r="F1447" s="89">
        <f>VLOOKUP(C1447, Reason_for_car_journeys_by_percentage[#All],MATCH(A1447, Reason_for_car_journeys_by_percentage[#Headers],0),0)/100</f>
        <v>0.28750000000000003</v>
      </c>
      <c r="G1447" s="13">
        <f t="shared" si="112"/>
        <v>13669784401.841005</v>
      </c>
      <c r="H1447" s="89">
        <f>VLOOKUP(D1447,Average_Distance_by_kilometre_grouping_for_mode_type[#All],MATCH(A1447,Average_Distance_by_kilometre_grouping_for_mode_type[#Headers],0),0)</f>
        <v>41.2</v>
      </c>
      <c r="I1447" s="89">
        <f>VLOOKUP(D1447,Average_Distance_by_kilometres_grouping_for_trip_purpose[#All],MATCH(A1447,Average_Distance_by_kilometres_grouping_for_trip_purpose[#Headers],0),0)</f>
        <v>43.24</v>
      </c>
      <c r="J1447" s="89">
        <f t="shared" si="113"/>
        <v>42.22</v>
      </c>
      <c r="K1447" s="89">
        <f t="shared" si="114"/>
        <v>0.72518035039505324</v>
      </c>
      <c r="L1447" s="89">
        <v>1</v>
      </c>
      <c r="M1447" s="13">
        <f t="shared" si="115"/>
        <v>9913059042.3518944</v>
      </c>
      <c r="N1447" s="11">
        <f t="shared" si="116"/>
        <v>0.15730347729416311</v>
      </c>
    </row>
    <row r="1448" spans="1:14" x14ac:dyDescent="0.25">
      <c r="A1448" s="79" t="s">
        <v>36</v>
      </c>
      <c r="B1448" s="89" t="s">
        <v>5</v>
      </c>
      <c r="C1448" s="89" t="s">
        <v>43</v>
      </c>
      <c r="D1448" s="13" t="s">
        <v>12</v>
      </c>
      <c r="E1448" s="35">
        <f>VLOOKUP(B1448, Passenger_Kilometre_by_mode_type[#All],MATCH(A1448, Passenger_Kilometre_by_mode_type[#Headers],0),0)</f>
        <v>47547076180.316536</v>
      </c>
      <c r="F1448" s="89">
        <f>VLOOKUP(C1448, Reason_for_car_journeys_by_percentage[#All],MATCH(A1448, Reason_for_car_journeys_by_percentage[#Headers],0),0)/100</f>
        <v>2.6000000000000002E-2</v>
      </c>
      <c r="G1448" s="13">
        <f t="shared" si="112"/>
        <v>1236223980.68823</v>
      </c>
      <c r="H1448" s="89">
        <f>VLOOKUP(D1448,Average_Distance_by_kilometre_grouping_for_mode_type[#All],MATCH(A1448,Average_Distance_by_kilometre_grouping_for_mode_type[#Headers],0),0)</f>
        <v>1</v>
      </c>
      <c r="I1448" s="89">
        <f>VLOOKUP(D1448,Average_Distance_by_kilometres_grouping_for_trip_purpose[#All],MATCH(A1448,Average_Distance_by_kilometres_grouping_for_trip_purpose[#Headers],0),0)</f>
        <v>1</v>
      </c>
      <c r="J1448" s="89">
        <f t="shared" si="113"/>
        <v>1</v>
      </c>
      <c r="K1448" s="89">
        <f t="shared" si="114"/>
        <v>1.7176228100309172E-2</v>
      </c>
      <c r="L1448" s="89">
        <v>1</v>
      </c>
      <c r="M1448" s="13">
        <f t="shared" si="115"/>
        <v>21233665.07537324</v>
      </c>
      <c r="N1448" s="11">
        <f t="shared" si="116"/>
        <v>3.3694234421339489E-4</v>
      </c>
    </row>
    <row r="1449" spans="1:14" x14ac:dyDescent="0.25">
      <c r="A1449" s="79" t="s">
        <v>36</v>
      </c>
      <c r="B1449" s="89" t="s">
        <v>5</v>
      </c>
      <c r="C1449" s="89" t="s">
        <v>43</v>
      </c>
      <c r="D1449" s="13" t="s">
        <v>181</v>
      </c>
      <c r="E1449" s="35">
        <f>VLOOKUP(B1449, Passenger_Kilometre_by_mode_type[#All],MATCH(A1449, Passenger_Kilometre_by_mode_type[#Headers],0),0)</f>
        <v>47547076180.316536</v>
      </c>
      <c r="F1449" s="89">
        <f>VLOOKUP(C1449, Reason_for_car_journeys_by_percentage[#All],MATCH(A1449, Reason_for_car_journeys_by_percentage[#Headers],0),0)/100</f>
        <v>2.6000000000000002E-2</v>
      </c>
      <c r="G1449" s="13">
        <f t="shared" si="112"/>
        <v>1236223980.68823</v>
      </c>
      <c r="H1449" s="89">
        <f>VLOOKUP(D1449,Average_Distance_by_kilometre_grouping_for_mode_type[#All],MATCH(A1449,Average_Distance_by_kilometre_grouping_for_mode_type[#Headers],0),0)</f>
        <v>3</v>
      </c>
      <c r="I1449" s="89">
        <f>VLOOKUP(D1449,Average_Distance_by_kilometres_grouping_for_trip_purpose[#All],MATCH(A1449,Average_Distance_by_kilometres_grouping_for_trip_purpose[#Headers],0),0)</f>
        <v>3</v>
      </c>
      <c r="J1449" s="89">
        <f t="shared" si="113"/>
        <v>3</v>
      </c>
      <c r="K1449" s="89">
        <f t="shared" si="114"/>
        <v>5.1528684300927517E-2</v>
      </c>
      <c r="L1449" s="89">
        <v>1</v>
      </c>
      <c r="M1449" s="13">
        <f t="shared" si="115"/>
        <v>63700995.226119719</v>
      </c>
      <c r="N1449" s="11">
        <f t="shared" si="116"/>
        <v>1.0108270326401846E-3</v>
      </c>
    </row>
    <row r="1450" spans="1:14" x14ac:dyDescent="0.25">
      <c r="A1450" s="79" t="s">
        <v>36</v>
      </c>
      <c r="B1450" s="89" t="s">
        <v>5</v>
      </c>
      <c r="C1450" s="89" t="s">
        <v>43</v>
      </c>
      <c r="D1450" s="13" t="s">
        <v>180</v>
      </c>
      <c r="E1450" s="35">
        <f>VLOOKUP(B1450, Passenger_Kilometre_by_mode_type[#All],MATCH(A1450, Passenger_Kilometre_by_mode_type[#Headers],0),0)</f>
        <v>47547076180.316536</v>
      </c>
      <c r="F1450" s="89">
        <f>VLOOKUP(C1450, Reason_for_car_journeys_by_percentage[#All],MATCH(A1450, Reason_for_car_journeys_by_percentage[#Headers],0),0)/100</f>
        <v>2.6000000000000002E-2</v>
      </c>
      <c r="G1450" s="13">
        <f t="shared" si="112"/>
        <v>1236223980.68823</v>
      </c>
      <c r="H1450" s="89">
        <f>VLOOKUP(D1450,Average_Distance_by_kilometre_grouping_for_mode_type[#All],MATCH(A1450,Average_Distance_by_kilometre_grouping_for_mode_type[#Headers],0),0)</f>
        <v>5</v>
      </c>
      <c r="I1450" s="89">
        <f>VLOOKUP(D1450,Average_Distance_by_kilometres_grouping_for_trip_purpose[#All],MATCH(A1450,Average_Distance_by_kilometres_grouping_for_trip_purpose[#Headers],0),0)</f>
        <v>5</v>
      </c>
      <c r="J1450" s="89">
        <f t="shared" si="113"/>
        <v>5</v>
      </c>
      <c r="K1450" s="89">
        <f t="shared" si="114"/>
        <v>8.5881140501545869E-2</v>
      </c>
      <c r="L1450" s="89">
        <v>1</v>
      </c>
      <c r="M1450" s="13">
        <f t="shared" si="115"/>
        <v>106168325.37686621</v>
      </c>
      <c r="N1450" s="11">
        <f t="shared" si="116"/>
        <v>1.6847117210669743E-3</v>
      </c>
    </row>
    <row r="1451" spans="1:14" x14ac:dyDescent="0.25">
      <c r="A1451" s="79" t="s">
        <v>36</v>
      </c>
      <c r="B1451" s="89" t="s">
        <v>5</v>
      </c>
      <c r="C1451" s="89" t="s">
        <v>43</v>
      </c>
      <c r="D1451" s="13" t="s">
        <v>182</v>
      </c>
      <c r="E1451" s="35">
        <f>VLOOKUP(B1451, Passenger_Kilometre_by_mode_type[#All],MATCH(A1451, Passenger_Kilometre_by_mode_type[#Headers],0),0)</f>
        <v>47547076180.316536</v>
      </c>
      <c r="F1451" s="89">
        <f>VLOOKUP(C1451, Reason_for_car_journeys_by_percentage[#All],MATCH(A1451, Reason_for_car_journeys_by_percentage[#Headers],0),0)/100</f>
        <v>2.6000000000000002E-2</v>
      </c>
      <c r="G1451" s="13">
        <f t="shared" si="112"/>
        <v>1236223980.68823</v>
      </c>
      <c r="H1451" s="89">
        <f>VLOOKUP(D1451,Average_Distance_by_kilometre_grouping_for_mode_type[#All],MATCH(A1451,Average_Distance_by_kilometre_grouping_for_mode_type[#Headers],0),0)</f>
        <v>7</v>
      </c>
      <c r="I1451" s="89">
        <f>VLOOKUP(D1451,Average_Distance_by_kilometres_grouping_for_trip_purpose[#All],MATCH(A1451,Average_Distance_by_kilometres_grouping_for_trip_purpose[#Headers],0),0)</f>
        <v>7</v>
      </c>
      <c r="J1451" s="89">
        <f t="shared" si="113"/>
        <v>7</v>
      </c>
      <c r="K1451" s="89">
        <f t="shared" si="114"/>
        <v>0.12023359670216421</v>
      </c>
      <c r="L1451" s="89">
        <v>1</v>
      </c>
      <c r="M1451" s="13">
        <f t="shared" si="115"/>
        <v>148635655.52761269</v>
      </c>
      <c r="N1451" s="11">
        <f t="shared" si="116"/>
        <v>2.3585964094937641E-3</v>
      </c>
    </row>
    <row r="1452" spans="1:14" x14ac:dyDescent="0.25">
      <c r="A1452" s="79" t="s">
        <v>36</v>
      </c>
      <c r="B1452" s="89" t="s">
        <v>5</v>
      </c>
      <c r="C1452" s="89" t="s">
        <v>43</v>
      </c>
      <c r="D1452" s="13" t="s">
        <v>1</v>
      </c>
      <c r="E1452" s="35">
        <f>VLOOKUP(B1452, Passenger_Kilometre_by_mode_type[#All],MATCH(A1452, Passenger_Kilometre_by_mode_type[#Headers],0),0)</f>
        <v>47547076180.316536</v>
      </c>
      <c r="F1452" s="89">
        <f>VLOOKUP(C1452, Reason_for_car_journeys_by_percentage[#All],MATCH(A1452, Reason_for_car_journeys_by_percentage[#Headers],0),0)/100</f>
        <v>2.6000000000000002E-2</v>
      </c>
      <c r="G1452" s="13">
        <f t="shared" si="112"/>
        <v>1236223980.68823</v>
      </c>
      <c r="H1452" s="89">
        <f>VLOOKUP(D1452,Average_Distance_by_kilometre_grouping_for_mode_type[#All],MATCH(A1452,Average_Distance_by_kilometre_grouping_for_mode_type[#Headers],0),0)</f>
        <v>41.2</v>
      </c>
      <c r="I1452" s="89">
        <f>VLOOKUP(D1452,Average_Distance_by_kilometres_grouping_for_trip_purpose[#All],MATCH(A1452,Average_Distance_by_kilometres_grouping_for_trip_purpose[#Headers],0),0)</f>
        <v>43.24</v>
      </c>
      <c r="J1452" s="89">
        <f t="shared" si="113"/>
        <v>42.22</v>
      </c>
      <c r="K1452" s="89">
        <f t="shared" si="114"/>
        <v>0.72518035039505324</v>
      </c>
      <c r="L1452" s="89">
        <v>1</v>
      </c>
      <c r="M1452" s="13">
        <f t="shared" si="115"/>
        <v>896485339.4822582</v>
      </c>
      <c r="N1452" s="11">
        <f t="shared" si="116"/>
        <v>1.4225705772689532E-2</v>
      </c>
    </row>
    <row r="1453" spans="1:14" x14ac:dyDescent="0.25">
      <c r="A1453" s="79" t="s">
        <v>36</v>
      </c>
      <c r="B1453" s="89" t="s">
        <v>5</v>
      </c>
      <c r="C1453" s="89" t="s">
        <v>44</v>
      </c>
      <c r="D1453" s="13" t="s">
        <v>12</v>
      </c>
      <c r="E1453" s="35">
        <f>VLOOKUP(B1453, Passenger_Kilometre_by_mode_type[#All],MATCH(A1453, Passenger_Kilometre_by_mode_type[#Headers],0),0)</f>
        <v>47547076180.316536</v>
      </c>
      <c r="F1453" s="89">
        <f>VLOOKUP(C1453, Reason_for_car_journeys_by_percentage[#All],MATCH(A1453, Reason_for_car_journeys_by_percentage[#Headers],0),0)/100</f>
        <v>0.2235</v>
      </c>
      <c r="G1453" s="13">
        <f t="shared" si="112"/>
        <v>10626771526.300747</v>
      </c>
      <c r="H1453" s="89">
        <f>VLOOKUP(D1453,Average_Distance_by_kilometre_grouping_for_mode_type[#All],MATCH(A1453,Average_Distance_by_kilometre_grouping_for_mode_type[#Headers],0),0)</f>
        <v>1</v>
      </c>
      <c r="I1453" s="89">
        <f>VLOOKUP(D1453,Average_Distance_by_kilometres_grouping_for_trip_purpose[#All],MATCH(A1453,Average_Distance_by_kilometres_grouping_for_trip_purpose[#Headers],0),0)</f>
        <v>1</v>
      </c>
      <c r="J1453" s="89">
        <f t="shared" si="113"/>
        <v>1</v>
      </c>
      <c r="K1453" s="89">
        <f t="shared" si="114"/>
        <v>1.7176228100309172E-2</v>
      </c>
      <c r="L1453" s="89">
        <v>1</v>
      </c>
      <c r="M1453" s="13">
        <f t="shared" si="115"/>
        <v>182527851.70561227</v>
      </c>
      <c r="N1453" s="11">
        <f t="shared" si="116"/>
        <v>2.8964082281420674E-3</v>
      </c>
    </row>
    <row r="1454" spans="1:14" x14ac:dyDescent="0.25">
      <c r="A1454" s="79" t="s">
        <v>36</v>
      </c>
      <c r="B1454" s="89" t="s">
        <v>5</v>
      </c>
      <c r="C1454" s="89" t="s">
        <v>44</v>
      </c>
      <c r="D1454" s="13" t="s">
        <v>181</v>
      </c>
      <c r="E1454" s="35">
        <f>VLOOKUP(B1454, Passenger_Kilometre_by_mode_type[#All],MATCH(A1454, Passenger_Kilometre_by_mode_type[#Headers],0),0)</f>
        <v>47547076180.316536</v>
      </c>
      <c r="F1454" s="89">
        <f>VLOOKUP(C1454, Reason_for_car_journeys_by_percentage[#All],MATCH(A1454, Reason_for_car_journeys_by_percentage[#Headers],0),0)/100</f>
        <v>0.2235</v>
      </c>
      <c r="G1454" s="13">
        <f t="shared" si="112"/>
        <v>10626771526.300747</v>
      </c>
      <c r="H1454" s="89">
        <f>VLOOKUP(D1454,Average_Distance_by_kilometre_grouping_for_mode_type[#All],MATCH(A1454,Average_Distance_by_kilometre_grouping_for_mode_type[#Headers],0),0)</f>
        <v>3</v>
      </c>
      <c r="I1454" s="89">
        <f>VLOOKUP(D1454,Average_Distance_by_kilometres_grouping_for_trip_purpose[#All],MATCH(A1454,Average_Distance_by_kilometres_grouping_for_trip_purpose[#Headers],0),0)</f>
        <v>3</v>
      </c>
      <c r="J1454" s="89">
        <f t="shared" si="113"/>
        <v>3</v>
      </c>
      <c r="K1454" s="89">
        <f t="shared" si="114"/>
        <v>5.1528684300927517E-2</v>
      </c>
      <c r="L1454" s="89">
        <v>1</v>
      </c>
      <c r="M1454" s="13">
        <f t="shared" si="115"/>
        <v>547583555.11683691</v>
      </c>
      <c r="N1454" s="11">
        <f t="shared" si="116"/>
        <v>8.6892246844262038E-3</v>
      </c>
    </row>
    <row r="1455" spans="1:14" x14ac:dyDescent="0.25">
      <c r="A1455" s="79" t="s">
        <v>36</v>
      </c>
      <c r="B1455" s="89" t="s">
        <v>5</v>
      </c>
      <c r="C1455" s="89" t="s">
        <v>44</v>
      </c>
      <c r="D1455" s="13" t="s">
        <v>180</v>
      </c>
      <c r="E1455" s="35">
        <f>VLOOKUP(B1455, Passenger_Kilometre_by_mode_type[#All],MATCH(A1455, Passenger_Kilometre_by_mode_type[#Headers],0),0)</f>
        <v>47547076180.316536</v>
      </c>
      <c r="F1455" s="89">
        <f>VLOOKUP(C1455, Reason_for_car_journeys_by_percentage[#All],MATCH(A1455, Reason_for_car_journeys_by_percentage[#Headers],0),0)/100</f>
        <v>0.2235</v>
      </c>
      <c r="G1455" s="13">
        <f t="shared" si="112"/>
        <v>10626771526.300747</v>
      </c>
      <c r="H1455" s="89">
        <f>VLOOKUP(D1455,Average_Distance_by_kilometre_grouping_for_mode_type[#All],MATCH(A1455,Average_Distance_by_kilometre_grouping_for_mode_type[#Headers],0),0)</f>
        <v>5</v>
      </c>
      <c r="I1455" s="89">
        <f>VLOOKUP(D1455,Average_Distance_by_kilometres_grouping_for_trip_purpose[#All],MATCH(A1455,Average_Distance_by_kilometres_grouping_for_trip_purpose[#Headers],0),0)</f>
        <v>5</v>
      </c>
      <c r="J1455" s="89">
        <f t="shared" si="113"/>
        <v>5</v>
      </c>
      <c r="K1455" s="89">
        <f t="shared" si="114"/>
        <v>8.5881140501545869E-2</v>
      </c>
      <c r="L1455" s="89">
        <v>1</v>
      </c>
      <c r="M1455" s="13">
        <f t="shared" si="115"/>
        <v>912639258.52806151</v>
      </c>
      <c r="N1455" s="11">
        <f t="shared" si="116"/>
        <v>1.4482041140710339E-2</v>
      </c>
    </row>
    <row r="1456" spans="1:14" x14ac:dyDescent="0.25">
      <c r="A1456" s="79" t="s">
        <v>36</v>
      </c>
      <c r="B1456" s="89" t="s">
        <v>5</v>
      </c>
      <c r="C1456" s="89" t="s">
        <v>44</v>
      </c>
      <c r="D1456" s="13" t="s">
        <v>182</v>
      </c>
      <c r="E1456" s="35">
        <f>VLOOKUP(B1456, Passenger_Kilometre_by_mode_type[#All],MATCH(A1456, Passenger_Kilometre_by_mode_type[#Headers],0),0)</f>
        <v>47547076180.316536</v>
      </c>
      <c r="F1456" s="89">
        <f>VLOOKUP(C1456, Reason_for_car_journeys_by_percentage[#All],MATCH(A1456, Reason_for_car_journeys_by_percentage[#Headers],0),0)/100</f>
        <v>0.2235</v>
      </c>
      <c r="G1456" s="13">
        <f t="shared" si="112"/>
        <v>10626771526.300747</v>
      </c>
      <c r="H1456" s="89">
        <f>VLOOKUP(D1456,Average_Distance_by_kilometre_grouping_for_mode_type[#All],MATCH(A1456,Average_Distance_by_kilometre_grouping_for_mode_type[#Headers],0),0)</f>
        <v>7</v>
      </c>
      <c r="I1456" s="89">
        <f>VLOOKUP(D1456,Average_Distance_by_kilometres_grouping_for_trip_purpose[#All],MATCH(A1456,Average_Distance_by_kilometres_grouping_for_trip_purpose[#Headers],0),0)</f>
        <v>7</v>
      </c>
      <c r="J1456" s="89">
        <f t="shared" si="113"/>
        <v>7</v>
      </c>
      <c r="K1456" s="89">
        <f t="shared" si="114"/>
        <v>0.12023359670216421</v>
      </c>
      <c r="L1456" s="89">
        <v>1</v>
      </c>
      <c r="M1456" s="13">
        <f t="shared" si="115"/>
        <v>1277694961.939286</v>
      </c>
      <c r="N1456" s="11">
        <f t="shared" si="116"/>
        <v>2.0274857596994472E-2</v>
      </c>
    </row>
    <row r="1457" spans="1:14" x14ac:dyDescent="0.25">
      <c r="A1457" s="79" t="s">
        <v>36</v>
      </c>
      <c r="B1457" s="89" t="s">
        <v>5</v>
      </c>
      <c r="C1457" s="89" t="s">
        <v>44</v>
      </c>
      <c r="D1457" s="13" t="s">
        <v>1</v>
      </c>
      <c r="E1457" s="35">
        <f>VLOOKUP(B1457, Passenger_Kilometre_by_mode_type[#All],MATCH(A1457, Passenger_Kilometre_by_mode_type[#Headers],0),0)</f>
        <v>47547076180.316536</v>
      </c>
      <c r="F1457" s="89">
        <f>VLOOKUP(C1457, Reason_for_car_journeys_by_percentage[#All],MATCH(A1457, Reason_for_car_journeys_by_percentage[#Headers],0),0)/100</f>
        <v>0.2235</v>
      </c>
      <c r="G1457" s="13">
        <f t="shared" si="112"/>
        <v>10626771526.300747</v>
      </c>
      <c r="H1457" s="89">
        <f>VLOOKUP(D1457,Average_Distance_by_kilometre_grouping_for_mode_type[#All],MATCH(A1457,Average_Distance_by_kilometre_grouping_for_mode_type[#Headers],0),0)</f>
        <v>41.2</v>
      </c>
      <c r="I1457" s="89">
        <f>VLOOKUP(D1457,Average_Distance_by_kilometres_grouping_for_trip_purpose[#All],MATCH(A1457,Average_Distance_by_kilometres_grouping_for_trip_purpose[#Headers],0),0)</f>
        <v>43.24</v>
      </c>
      <c r="J1457" s="89">
        <f t="shared" si="113"/>
        <v>42.22</v>
      </c>
      <c r="K1457" s="89">
        <f t="shared" si="114"/>
        <v>0.72518035039505324</v>
      </c>
      <c r="L1457" s="89">
        <v>1</v>
      </c>
      <c r="M1457" s="13">
        <f t="shared" si="115"/>
        <v>7706325899.0109501</v>
      </c>
      <c r="N1457" s="11">
        <f t="shared" si="116"/>
        <v>0.12228635539215808</v>
      </c>
    </row>
    <row r="1458" spans="1:14" x14ac:dyDescent="0.25">
      <c r="A1458" s="79" t="s">
        <v>36</v>
      </c>
      <c r="B1458" s="89" t="s">
        <v>5</v>
      </c>
      <c r="C1458" s="89" t="s">
        <v>45</v>
      </c>
      <c r="D1458" s="13" t="s">
        <v>12</v>
      </c>
      <c r="E1458" s="35">
        <f>VLOOKUP(B1458, Passenger_Kilometre_by_mode_type[#All],MATCH(A1458, Passenger_Kilometre_by_mode_type[#Headers],0),0)</f>
        <v>47547076180.316536</v>
      </c>
      <c r="F1458" s="89">
        <f>VLOOKUP(C1458, Reason_for_car_journeys_by_percentage[#All],MATCH(A1458, Reason_for_car_journeys_by_percentage[#Headers],0),0)/100</f>
        <v>1.7000000000000001E-2</v>
      </c>
      <c r="G1458" s="13">
        <f t="shared" si="112"/>
        <v>808300295.06538117</v>
      </c>
      <c r="H1458" s="89">
        <f>VLOOKUP(D1458,Average_Distance_by_kilometre_grouping_for_mode_type[#All],MATCH(A1458,Average_Distance_by_kilometre_grouping_for_mode_type[#Headers],0),0)</f>
        <v>1</v>
      </c>
      <c r="I1458" s="89">
        <f>VLOOKUP(D1458,Average_Distance_by_kilometres_grouping_for_trip_purpose[#All],MATCH(A1458,Average_Distance_by_kilometres_grouping_for_trip_purpose[#Headers],0),0)</f>
        <v>1</v>
      </c>
      <c r="J1458" s="89">
        <f t="shared" si="113"/>
        <v>1</v>
      </c>
      <c r="K1458" s="89">
        <f t="shared" si="114"/>
        <v>1.7176228100309172E-2</v>
      </c>
      <c r="L1458" s="89">
        <v>1</v>
      </c>
      <c r="M1458" s="13">
        <f t="shared" si="115"/>
        <v>13883550.241590196</v>
      </c>
      <c r="N1458" s="11">
        <f t="shared" si="116"/>
        <v>2.2030845583183512E-4</v>
      </c>
    </row>
    <row r="1459" spans="1:14" x14ac:dyDescent="0.25">
      <c r="A1459" s="79" t="s">
        <v>36</v>
      </c>
      <c r="B1459" s="89" t="s">
        <v>5</v>
      </c>
      <c r="C1459" s="89" t="s">
        <v>45</v>
      </c>
      <c r="D1459" s="13" t="s">
        <v>181</v>
      </c>
      <c r="E1459" s="35">
        <f>VLOOKUP(B1459, Passenger_Kilometre_by_mode_type[#All],MATCH(A1459, Passenger_Kilometre_by_mode_type[#Headers],0),0)</f>
        <v>47547076180.316536</v>
      </c>
      <c r="F1459" s="89">
        <f>VLOOKUP(C1459, Reason_for_car_journeys_by_percentage[#All],MATCH(A1459, Reason_for_car_journeys_by_percentage[#Headers],0),0)/100</f>
        <v>1.7000000000000001E-2</v>
      </c>
      <c r="G1459" s="13">
        <f t="shared" si="112"/>
        <v>808300295.06538117</v>
      </c>
      <c r="H1459" s="89">
        <f>VLOOKUP(D1459,Average_Distance_by_kilometre_grouping_for_mode_type[#All],MATCH(A1459,Average_Distance_by_kilometre_grouping_for_mode_type[#Headers],0),0)</f>
        <v>3</v>
      </c>
      <c r="I1459" s="89">
        <f>VLOOKUP(D1459,Average_Distance_by_kilometres_grouping_for_trip_purpose[#All],MATCH(A1459,Average_Distance_by_kilometres_grouping_for_trip_purpose[#Headers],0),0)</f>
        <v>3</v>
      </c>
      <c r="J1459" s="89">
        <f t="shared" si="113"/>
        <v>3</v>
      </c>
      <c r="K1459" s="89">
        <f t="shared" si="114"/>
        <v>5.1528684300927517E-2</v>
      </c>
      <c r="L1459" s="89">
        <v>1</v>
      </c>
      <c r="M1459" s="13">
        <f t="shared" si="115"/>
        <v>41650650.724770583</v>
      </c>
      <c r="N1459" s="11">
        <f t="shared" si="116"/>
        <v>6.609253674955053E-4</v>
      </c>
    </row>
    <row r="1460" spans="1:14" x14ac:dyDescent="0.25">
      <c r="A1460" s="79" t="s">
        <v>36</v>
      </c>
      <c r="B1460" s="89" t="s">
        <v>5</v>
      </c>
      <c r="C1460" s="89" t="s">
        <v>45</v>
      </c>
      <c r="D1460" s="13" t="s">
        <v>180</v>
      </c>
      <c r="E1460" s="35">
        <f>VLOOKUP(B1460, Passenger_Kilometre_by_mode_type[#All],MATCH(A1460, Passenger_Kilometre_by_mode_type[#Headers],0),0)</f>
        <v>47547076180.316536</v>
      </c>
      <c r="F1460" s="89">
        <f>VLOOKUP(C1460, Reason_for_car_journeys_by_percentage[#All],MATCH(A1460, Reason_for_car_journeys_by_percentage[#Headers],0),0)/100</f>
        <v>1.7000000000000001E-2</v>
      </c>
      <c r="G1460" s="13">
        <f t="shared" si="112"/>
        <v>808300295.06538117</v>
      </c>
      <c r="H1460" s="89">
        <f>VLOOKUP(D1460,Average_Distance_by_kilometre_grouping_for_mode_type[#All],MATCH(A1460,Average_Distance_by_kilometre_grouping_for_mode_type[#Headers],0),0)</f>
        <v>5</v>
      </c>
      <c r="I1460" s="89">
        <f>VLOOKUP(D1460,Average_Distance_by_kilometres_grouping_for_trip_purpose[#All],MATCH(A1460,Average_Distance_by_kilometres_grouping_for_trip_purpose[#Headers],0),0)</f>
        <v>5</v>
      </c>
      <c r="J1460" s="89">
        <f t="shared" si="113"/>
        <v>5</v>
      </c>
      <c r="K1460" s="89">
        <f t="shared" si="114"/>
        <v>8.5881140501545869E-2</v>
      </c>
      <c r="L1460" s="89">
        <v>1</v>
      </c>
      <c r="M1460" s="13">
        <f t="shared" si="115"/>
        <v>69417751.207950979</v>
      </c>
      <c r="N1460" s="11">
        <f t="shared" si="116"/>
        <v>1.1015422791591757E-3</v>
      </c>
    </row>
    <row r="1461" spans="1:14" x14ac:dyDescent="0.25">
      <c r="A1461" s="79" t="s">
        <v>36</v>
      </c>
      <c r="B1461" s="89" t="s">
        <v>5</v>
      </c>
      <c r="C1461" s="89" t="s">
        <v>45</v>
      </c>
      <c r="D1461" s="13" t="s">
        <v>182</v>
      </c>
      <c r="E1461" s="35">
        <f>VLOOKUP(B1461, Passenger_Kilometre_by_mode_type[#All],MATCH(A1461, Passenger_Kilometre_by_mode_type[#Headers],0),0)</f>
        <v>47547076180.316536</v>
      </c>
      <c r="F1461" s="89">
        <f>VLOOKUP(C1461, Reason_for_car_journeys_by_percentage[#All],MATCH(A1461, Reason_for_car_journeys_by_percentage[#Headers],0),0)/100</f>
        <v>1.7000000000000001E-2</v>
      </c>
      <c r="G1461" s="13">
        <f t="shared" si="112"/>
        <v>808300295.06538117</v>
      </c>
      <c r="H1461" s="89">
        <f>VLOOKUP(D1461,Average_Distance_by_kilometre_grouping_for_mode_type[#All],MATCH(A1461,Average_Distance_by_kilometre_grouping_for_mode_type[#Headers],0),0)</f>
        <v>7</v>
      </c>
      <c r="I1461" s="89">
        <f>VLOOKUP(D1461,Average_Distance_by_kilometres_grouping_for_trip_purpose[#All],MATCH(A1461,Average_Distance_by_kilometres_grouping_for_trip_purpose[#Headers],0),0)</f>
        <v>7</v>
      </c>
      <c r="J1461" s="89">
        <f t="shared" si="113"/>
        <v>7</v>
      </c>
      <c r="K1461" s="89">
        <f t="shared" si="114"/>
        <v>0.12023359670216421</v>
      </c>
      <c r="L1461" s="89">
        <v>1</v>
      </c>
      <c r="M1461" s="13">
        <f t="shared" si="115"/>
        <v>97184851.691131368</v>
      </c>
      <c r="N1461" s="11">
        <f t="shared" si="116"/>
        <v>1.5421591908228458E-3</v>
      </c>
    </row>
    <row r="1462" spans="1:14" x14ac:dyDescent="0.25">
      <c r="A1462" s="79" t="s">
        <v>36</v>
      </c>
      <c r="B1462" s="89" t="s">
        <v>5</v>
      </c>
      <c r="C1462" s="89" t="s">
        <v>45</v>
      </c>
      <c r="D1462" s="13" t="s">
        <v>1</v>
      </c>
      <c r="E1462" s="35">
        <f>VLOOKUP(B1462, Passenger_Kilometre_by_mode_type[#All],MATCH(A1462, Passenger_Kilometre_by_mode_type[#Headers],0),0)</f>
        <v>47547076180.316536</v>
      </c>
      <c r="F1462" s="89">
        <f>VLOOKUP(C1462, Reason_for_car_journeys_by_percentage[#All],MATCH(A1462, Reason_for_car_journeys_by_percentage[#Headers],0),0)/100</f>
        <v>1.7000000000000001E-2</v>
      </c>
      <c r="G1462" s="13">
        <f t="shared" si="112"/>
        <v>808300295.06538117</v>
      </c>
      <c r="H1462" s="89">
        <f>VLOOKUP(D1462,Average_Distance_by_kilometre_grouping_for_mode_type[#All],MATCH(A1462,Average_Distance_by_kilometre_grouping_for_mode_type[#Headers],0),0)</f>
        <v>41.2</v>
      </c>
      <c r="I1462" s="89">
        <f>VLOOKUP(D1462,Average_Distance_by_kilometres_grouping_for_trip_purpose[#All],MATCH(A1462,Average_Distance_by_kilometres_grouping_for_trip_purpose[#Headers],0),0)</f>
        <v>43.24</v>
      </c>
      <c r="J1462" s="89">
        <f t="shared" si="113"/>
        <v>42.22</v>
      </c>
      <c r="K1462" s="89">
        <f t="shared" si="114"/>
        <v>0.72518035039505324</v>
      </c>
      <c r="L1462" s="89">
        <v>1</v>
      </c>
      <c r="M1462" s="13">
        <f t="shared" si="115"/>
        <v>586163491.19993806</v>
      </c>
      <c r="N1462" s="11">
        <f t="shared" si="116"/>
        <v>9.3014230052200775E-3</v>
      </c>
    </row>
    <row r="1463" spans="1:14" x14ac:dyDescent="0.25">
      <c r="A1463" s="79" t="s">
        <v>36</v>
      </c>
      <c r="B1463" s="89" t="s">
        <v>5</v>
      </c>
      <c r="C1463" s="89" t="s">
        <v>56</v>
      </c>
      <c r="D1463" s="13" t="s">
        <v>12</v>
      </c>
      <c r="E1463" s="35">
        <f>VLOOKUP(B1463, Passenger_Kilometre_by_mode_type[#All],MATCH(A1463, Passenger_Kilometre_by_mode_type[#Headers],0),0)</f>
        <v>47547076180.316536</v>
      </c>
      <c r="F1463" s="89">
        <f>VLOOKUP(C1463, Reason_for_car_journeys_by_percentage[#All],MATCH(A1463, Reason_for_car_journeys_by_percentage[#Headers],0),0)/100</f>
        <v>9.425E-2</v>
      </c>
      <c r="G1463" s="13">
        <f t="shared" si="112"/>
        <v>4481311929.9948339</v>
      </c>
      <c r="H1463" s="89">
        <f>VLOOKUP(D1463,Average_Distance_by_kilometre_grouping_for_mode_type[#All],MATCH(A1463,Average_Distance_by_kilometre_grouping_for_mode_type[#Headers],0),0)</f>
        <v>1</v>
      </c>
      <c r="I1463" s="89">
        <f>VLOOKUP(D1463,Average_Distance_by_kilometres_grouping_for_trip_purpose[#All],MATCH(A1463,Average_Distance_by_kilometres_grouping_for_trip_purpose[#Headers],0),0)</f>
        <v>1</v>
      </c>
      <c r="J1463" s="89">
        <f t="shared" si="113"/>
        <v>1</v>
      </c>
      <c r="K1463" s="89">
        <f t="shared" si="114"/>
        <v>1.7176228100309172E-2</v>
      </c>
      <c r="L1463" s="89">
        <v>1</v>
      </c>
      <c r="M1463" s="13">
        <f t="shared" si="115"/>
        <v>76972035.898228005</v>
      </c>
      <c r="N1463" s="11">
        <f t="shared" si="116"/>
        <v>1.2214159977735565E-3</v>
      </c>
    </row>
    <row r="1464" spans="1:14" x14ac:dyDescent="0.25">
      <c r="A1464" s="79" t="s">
        <v>36</v>
      </c>
      <c r="B1464" s="89" t="s">
        <v>5</v>
      </c>
      <c r="C1464" s="89" t="s">
        <v>56</v>
      </c>
      <c r="D1464" s="13" t="s">
        <v>181</v>
      </c>
      <c r="E1464" s="35">
        <f>VLOOKUP(B1464, Passenger_Kilometre_by_mode_type[#All],MATCH(A1464, Passenger_Kilometre_by_mode_type[#Headers],0),0)</f>
        <v>47547076180.316536</v>
      </c>
      <c r="F1464" s="89">
        <f>VLOOKUP(C1464, Reason_for_car_journeys_by_percentage[#All],MATCH(A1464, Reason_for_car_journeys_by_percentage[#Headers],0),0)/100</f>
        <v>9.425E-2</v>
      </c>
      <c r="G1464" s="13">
        <f t="shared" si="112"/>
        <v>4481311929.9948339</v>
      </c>
      <c r="H1464" s="89">
        <f>VLOOKUP(D1464,Average_Distance_by_kilometre_grouping_for_mode_type[#All],MATCH(A1464,Average_Distance_by_kilometre_grouping_for_mode_type[#Headers],0),0)</f>
        <v>3</v>
      </c>
      <c r="I1464" s="89">
        <f>VLOOKUP(D1464,Average_Distance_by_kilometres_grouping_for_trip_purpose[#All],MATCH(A1464,Average_Distance_by_kilometres_grouping_for_trip_purpose[#Headers],0),0)</f>
        <v>3</v>
      </c>
      <c r="J1464" s="89">
        <f t="shared" si="113"/>
        <v>3</v>
      </c>
      <c r="K1464" s="89">
        <f t="shared" si="114"/>
        <v>5.1528684300927517E-2</v>
      </c>
      <c r="L1464" s="89">
        <v>1</v>
      </c>
      <c r="M1464" s="13">
        <f t="shared" si="115"/>
        <v>230916107.694684</v>
      </c>
      <c r="N1464" s="11">
        <f t="shared" si="116"/>
        <v>3.6642479933206695E-3</v>
      </c>
    </row>
    <row r="1465" spans="1:14" x14ac:dyDescent="0.25">
      <c r="A1465" s="79" t="s">
        <v>36</v>
      </c>
      <c r="B1465" s="89" t="s">
        <v>5</v>
      </c>
      <c r="C1465" s="89" t="s">
        <v>56</v>
      </c>
      <c r="D1465" s="13" t="s">
        <v>180</v>
      </c>
      <c r="E1465" s="35">
        <f>VLOOKUP(B1465, Passenger_Kilometre_by_mode_type[#All],MATCH(A1465, Passenger_Kilometre_by_mode_type[#Headers],0),0)</f>
        <v>47547076180.316536</v>
      </c>
      <c r="F1465" s="89">
        <f>VLOOKUP(C1465, Reason_for_car_journeys_by_percentage[#All],MATCH(A1465, Reason_for_car_journeys_by_percentage[#Headers],0),0)/100</f>
        <v>9.425E-2</v>
      </c>
      <c r="G1465" s="13">
        <f t="shared" si="112"/>
        <v>4481311929.9948339</v>
      </c>
      <c r="H1465" s="89">
        <f>VLOOKUP(D1465,Average_Distance_by_kilometre_grouping_for_mode_type[#All],MATCH(A1465,Average_Distance_by_kilometre_grouping_for_mode_type[#Headers],0),0)</f>
        <v>5</v>
      </c>
      <c r="I1465" s="89">
        <f>VLOOKUP(D1465,Average_Distance_by_kilometres_grouping_for_trip_purpose[#All],MATCH(A1465,Average_Distance_by_kilometres_grouping_for_trip_purpose[#Headers],0),0)</f>
        <v>5</v>
      </c>
      <c r="J1465" s="89">
        <f t="shared" si="113"/>
        <v>5</v>
      </c>
      <c r="K1465" s="89">
        <f t="shared" si="114"/>
        <v>8.5881140501545869E-2</v>
      </c>
      <c r="L1465" s="89">
        <v>1</v>
      </c>
      <c r="M1465" s="13">
        <f t="shared" si="115"/>
        <v>384860179.49114001</v>
      </c>
      <c r="N1465" s="11">
        <f t="shared" si="116"/>
        <v>6.1070799888677824E-3</v>
      </c>
    </row>
    <row r="1466" spans="1:14" x14ac:dyDescent="0.25">
      <c r="A1466" s="79" t="s">
        <v>36</v>
      </c>
      <c r="B1466" s="89" t="s">
        <v>5</v>
      </c>
      <c r="C1466" s="89" t="s">
        <v>56</v>
      </c>
      <c r="D1466" s="13" t="s">
        <v>182</v>
      </c>
      <c r="E1466" s="35">
        <f>VLOOKUP(B1466, Passenger_Kilometre_by_mode_type[#All],MATCH(A1466, Passenger_Kilometre_by_mode_type[#Headers],0),0)</f>
        <v>47547076180.316536</v>
      </c>
      <c r="F1466" s="89">
        <f>VLOOKUP(C1466, Reason_for_car_journeys_by_percentage[#All],MATCH(A1466, Reason_for_car_journeys_by_percentage[#Headers],0),0)/100</f>
        <v>9.425E-2</v>
      </c>
      <c r="G1466" s="13">
        <f t="shared" si="112"/>
        <v>4481311929.9948339</v>
      </c>
      <c r="H1466" s="89">
        <f>VLOOKUP(D1466,Average_Distance_by_kilometre_grouping_for_mode_type[#All],MATCH(A1466,Average_Distance_by_kilometre_grouping_for_mode_type[#Headers],0),0)</f>
        <v>7</v>
      </c>
      <c r="I1466" s="89">
        <f>VLOOKUP(D1466,Average_Distance_by_kilometres_grouping_for_trip_purpose[#All],MATCH(A1466,Average_Distance_by_kilometres_grouping_for_trip_purpose[#Headers],0),0)</f>
        <v>7</v>
      </c>
      <c r="J1466" s="89">
        <f t="shared" si="113"/>
        <v>7</v>
      </c>
      <c r="K1466" s="89">
        <f t="shared" si="114"/>
        <v>0.12023359670216421</v>
      </c>
      <c r="L1466" s="89">
        <v>1</v>
      </c>
      <c r="M1466" s="13">
        <f t="shared" si="115"/>
        <v>538804251.28759599</v>
      </c>
      <c r="N1466" s="11">
        <f t="shared" si="116"/>
        <v>8.5499119844148954E-3</v>
      </c>
    </row>
    <row r="1467" spans="1:14" x14ac:dyDescent="0.25">
      <c r="A1467" s="79" t="s">
        <v>36</v>
      </c>
      <c r="B1467" s="89" t="s">
        <v>5</v>
      </c>
      <c r="C1467" s="89" t="s">
        <v>56</v>
      </c>
      <c r="D1467" s="13" t="s">
        <v>1</v>
      </c>
      <c r="E1467" s="35">
        <f>VLOOKUP(B1467, Passenger_Kilometre_by_mode_type[#All],MATCH(A1467, Passenger_Kilometre_by_mode_type[#Headers],0),0)</f>
        <v>47547076180.316536</v>
      </c>
      <c r="F1467" s="89">
        <f>VLOOKUP(C1467, Reason_for_car_journeys_by_percentage[#All],MATCH(A1467, Reason_for_car_journeys_by_percentage[#Headers],0),0)/100</f>
        <v>9.425E-2</v>
      </c>
      <c r="G1467" s="13">
        <f t="shared" si="112"/>
        <v>4481311929.9948339</v>
      </c>
      <c r="H1467" s="89">
        <f>VLOOKUP(D1467,Average_Distance_by_kilometre_grouping_for_mode_type[#All],MATCH(A1467,Average_Distance_by_kilometre_grouping_for_mode_type[#Headers],0),0)</f>
        <v>41.2</v>
      </c>
      <c r="I1467" s="89">
        <f>VLOOKUP(D1467,Average_Distance_by_kilometres_grouping_for_trip_purpose[#All],MATCH(A1467,Average_Distance_by_kilometres_grouping_for_trip_purpose[#Headers],0),0)</f>
        <v>43.24</v>
      </c>
      <c r="J1467" s="89">
        <f t="shared" si="113"/>
        <v>42.22</v>
      </c>
      <c r="K1467" s="89">
        <f t="shared" si="114"/>
        <v>0.72518035039505324</v>
      </c>
      <c r="L1467" s="89">
        <v>1</v>
      </c>
      <c r="M1467" s="13">
        <f t="shared" si="115"/>
        <v>3249759355.6231861</v>
      </c>
      <c r="N1467" s="11">
        <f t="shared" si="116"/>
        <v>5.1568183425999552E-2</v>
      </c>
    </row>
    <row r="1468" spans="1:14" x14ac:dyDescent="0.25">
      <c r="A1468" s="79" t="s">
        <v>36</v>
      </c>
      <c r="B1468" s="89" t="s">
        <v>5</v>
      </c>
      <c r="C1468" s="89" t="s">
        <v>57</v>
      </c>
      <c r="D1468" s="13" t="s">
        <v>12</v>
      </c>
      <c r="E1468" s="35">
        <f>VLOOKUP(B1468, Passenger_Kilometre_by_mode_type[#All],MATCH(A1468, Passenger_Kilometre_by_mode_type[#Headers],0),0)</f>
        <v>47547076180.316536</v>
      </c>
      <c r="F1468" s="89">
        <f>VLOOKUP(C1468, Reason_for_car_journeys_by_percentage[#All],MATCH(A1468, Reason_for_car_journeys_by_percentage[#Headers],0),0)/100</f>
        <v>7.5000000000000011E-2</v>
      </c>
      <c r="G1468" s="13">
        <f t="shared" si="112"/>
        <v>3566030713.5237408</v>
      </c>
      <c r="H1468" s="89">
        <f>VLOOKUP(D1468,Average_Distance_by_kilometre_grouping_for_mode_type[#All],MATCH(A1468,Average_Distance_by_kilometre_grouping_for_mode_type[#Headers],0),0)</f>
        <v>1</v>
      </c>
      <c r="I1468" s="89">
        <f>VLOOKUP(D1468,Average_Distance_by_kilometres_grouping_for_trip_purpose[#All],MATCH(A1468,Average_Distance_by_kilometres_grouping_for_trip_purpose[#Headers],0),0)</f>
        <v>1</v>
      </c>
      <c r="J1468" s="89">
        <f t="shared" si="113"/>
        <v>1</v>
      </c>
      <c r="K1468" s="89">
        <f t="shared" si="114"/>
        <v>1.7176228100309172E-2</v>
      </c>
      <c r="L1468" s="89">
        <v>1</v>
      </c>
      <c r="M1468" s="13">
        <f t="shared" si="115"/>
        <v>61250956.948192045</v>
      </c>
      <c r="N1468" s="11">
        <f t="shared" si="116"/>
        <v>9.7194906984633146E-4</v>
      </c>
    </row>
    <row r="1469" spans="1:14" x14ac:dyDescent="0.25">
      <c r="A1469" s="79" t="s">
        <v>36</v>
      </c>
      <c r="B1469" s="89" t="s">
        <v>5</v>
      </c>
      <c r="C1469" s="89" t="s">
        <v>57</v>
      </c>
      <c r="D1469" s="13" t="s">
        <v>181</v>
      </c>
      <c r="E1469" s="35">
        <f>VLOOKUP(B1469, Passenger_Kilometre_by_mode_type[#All],MATCH(A1469, Passenger_Kilometre_by_mode_type[#Headers],0),0)</f>
        <v>47547076180.316536</v>
      </c>
      <c r="F1469" s="89">
        <f>VLOOKUP(C1469, Reason_for_car_journeys_by_percentage[#All],MATCH(A1469, Reason_for_car_journeys_by_percentage[#Headers],0),0)/100</f>
        <v>7.5000000000000011E-2</v>
      </c>
      <c r="G1469" s="13">
        <f t="shared" si="112"/>
        <v>3566030713.5237408</v>
      </c>
      <c r="H1469" s="89">
        <f>VLOOKUP(D1469,Average_Distance_by_kilometre_grouping_for_mode_type[#All],MATCH(A1469,Average_Distance_by_kilometre_grouping_for_mode_type[#Headers],0),0)</f>
        <v>3</v>
      </c>
      <c r="I1469" s="89">
        <f>VLOOKUP(D1469,Average_Distance_by_kilometres_grouping_for_trip_purpose[#All],MATCH(A1469,Average_Distance_by_kilometres_grouping_for_trip_purpose[#Headers],0),0)</f>
        <v>3</v>
      </c>
      <c r="J1469" s="89">
        <f t="shared" si="113"/>
        <v>3</v>
      </c>
      <c r="K1469" s="89">
        <f t="shared" si="114"/>
        <v>5.1528684300927517E-2</v>
      </c>
      <c r="L1469" s="89">
        <v>1</v>
      </c>
      <c r="M1469" s="13">
        <f t="shared" si="115"/>
        <v>183752870.84457612</v>
      </c>
      <c r="N1469" s="11">
        <f t="shared" si="116"/>
        <v>2.9158472095389943E-3</v>
      </c>
    </row>
    <row r="1470" spans="1:14" x14ac:dyDescent="0.25">
      <c r="A1470" s="79" t="s">
        <v>36</v>
      </c>
      <c r="B1470" s="89" t="s">
        <v>5</v>
      </c>
      <c r="C1470" s="89" t="s">
        <v>57</v>
      </c>
      <c r="D1470" s="13" t="s">
        <v>180</v>
      </c>
      <c r="E1470" s="35">
        <f>VLOOKUP(B1470, Passenger_Kilometre_by_mode_type[#All],MATCH(A1470, Passenger_Kilometre_by_mode_type[#Headers],0),0)</f>
        <v>47547076180.316536</v>
      </c>
      <c r="F1470" s="89">
        <f>VLOOKUP(C1470, Reason_for_car_journeys_by_percentage[#All],MATCH(A1470, Reason_for_car_journeys_by_percentage[#Headers],0),0)/100</f>
        <v>7.5000000000000011E-2</v>
      </c>
      <c r="G1470" s="13">
        <f t="shared" si="112"/>
        <v>3566030713.5237408</v>
      </c>
      <c r="H1470" s="89">
        <f>VLOOKUP(D1470,Average_Distance_by_kilometre_grouping_for_mode_type[#All],MATCH(A1470,Average_Distance_by_kilometre_grouping_for_mode_type[#Headers],0),0)</f>
        <v>5</v>
      </c>
      <c r="I1470" s="89">
        <f>VLOOKUP(D1470,Average_Distance_by_kilometres_grouping_for_trip_purpose[#All],MATCH(A1470,Average_Distance_by_kilometres_grouping_for_trip_purpose[#Headers],0),0)</f>
        <v>5</v>
      </c>
      <c r="J1470" s="89">
        <f t="shared" si="113"/>
        <v>5</v>
      </c>
      <c r="K1470" s="89">
        <f t="shared" si="114"/>
        <v>8.5881140501545869E-2</v>
      </c>
      <c r="L1470" s="89">
        <v>1</v>
      </c>
      <c r="M1470" s="13">
        <f t="shared" si="115"/>
        <v>306254784.74096024</v>
      </c>
      <c r="N1470" s="11">
        <f t="shared" si="116"/>
        <v>4.8597453492316579E-3</v>
      </c>
    </row>
    <row r="1471" spans="1:14" x14ac:dyDescent="0.25">
      <c r="A1471" s="79" t="s">
        <v>36</v>
      </c>
      <c r="B1471" s="89" t="s">
        <v>5</v>
      </c>
      <c r="C1471" s="89" t="s">
        <v>57</v>
      </c>
      <c r="D1471" s="13" t="s">
        <v>182</v>
      </c>
      <c r="E1471" s="35">
        <f>VLOOKUP(B1471, Passenger_Kilometre_by_mode_type[#All],MATCH(A1471, Passenger_Kilometre_by_mode_type[#Headers],0),0)</f>
        <v>47547076180.316536</v>
      </c>
      <c r="F1471" s="89">
        <f>VLOOKUP(C1471, Reason_for_car_journeys_by_percentage[#All],MATCH(A1471, Reason_for_car_journeys_by_percentage[#Headers],0),0)/100</f>
        <v>7.5000000000000011E-2</v>
      </c>
      <c r="G1471" s="13">
        <f t="shared" si="112"/>
        <v>3566030713.5237408</v>
      </c>
      <c r="H1471" s="89">
        <f>VLOOKUP(D1471,Average_Distance_by_kilometre_grouping_for_mode_type[#All],MATCH(A1471,Average_Distance_by_kilometre_grouping_for_mode_type[#Headers],0),0)</f>
        <v>7</v>
      </c>
      <c r="I1471" s="89">
        <f>VLOOKUP(D1471,Average_Distance_by_kilometres_grouping_for_trip_purpose[#All],MATCH(A1471,Average_Distance_by_kilometres_grouping_for_trip_purpose[#Headers],0),0)</f>
        <v>7</v>
      </c>
      <c r="J1471" s="89">
        <f t="shared" si="113"/>
        <v>7</v>
      </c>
      <c r="K1471" s="89">
        <f t="shared" si="114"/>
        <v>0.12023359670216421</v>
      </c>
      <c r="L1471" s="89">
        <v>1</v>
      </c>
      <c r="M1471" s="13">
        <f t="shared" si="115"/>
        <v>428756698.63734436</v>
      </c>
      <c r="N1471" s="11">
        <f t="shared" si="116"/>
        <v>6.803643488924321E-3</v>
      </c>
    </row>
    <row r="1472" spans="1:14" x14ac:dyDescent="0.25">
      <c r="A1472" s="79" t="s">
        <v>36</v>
      </c>
      <c r="B1472" s="89" t="s">
        <v>5</v>
      </c>
      <c r="C1472" s="89" t="s">
        <v>57</v>
      </c>
      <c r="D1472" s="13" t="s">
        <v>1</v>
      </c>
      <c r="E1472" s="35">
        <f>VLOOKUP(B1472, Passenger_Kilometre_by_mode_type[#All],MATCH(A1472, Passenger_Kilometre_by_mode_type[#Headers],0),0)</f>
        <v>47547076180.316536</v>
      </c>
      <c r="F1472" s="89">
        <f>VLOOKUP(C1472, Reason_for_car_journeys_by_percentage[#All],MATCH(A1472, Reason_for_car_journeys_by_percentage[#Headers],0),0)/100</f>
        <v>7.5000000000000011E-2</v>
      </c>
      <c r="G1472" s="13">
        <f t="shared" si="112"/>
        <v>3566030713.5237408</v>
      </c>
      <c r="H1472" s="89">
        <f>VLOOKUP(D1472,Average_Distance_by_kilometre_grouping_for_mode_type[#All],MATCH(A1472,Average_Distance_by_kilometre_grouping_for_mode_type[#Headers],0),0)</f>
        <v>41.2</v>
      </c>
      <c r="I1472" s="89">
        <f>VLOOKUP(D1472,Average_Distance_by_kilometres_grouping_for_trip_purpose[#All],MATCH(A1472,Average_Distance_by_kilometres_grouping_for_trip_purpose[#Headers],0),0)</f>
        <v>43.24</v>
      </c>
      <c r="J1472" s="89">
        <f t="shared" si="113"/>
        <v>42.22</v>
      </c>
      <c r="K1472" s="89">
        <f t="shared" si="114"/>
        <v>0.72518035039505324</v>
      </c>
      <c r="L1472" s="89">
        <v>1</v>
      </c>
      <c r="M1472" s="13">
        <f t="shared" si="115"/>
        <v>2586015402.3526683</v>
      </c>
      <c r="N1472" s="11">
        <f t="shared" si="116"/>
        <v>4.1035689728912118E-2</v>
      </c>
    </row>
    <row r="1473" spans="1:14" x14ac:dyDescent="0.25">
      <c r="A1473" s="79" t="s">
        <v>36</v>
      </c>
      <c r="B1473" s="89" t="s">
        <v>5</v>
      </c>
      <c r="C1473" s="89" t="s">
        <v>93</v>
      </c>
      <c r="D1473" s="13" t="s">
        <v>12</v>
      </c>
      <c r="E1473" s="35">
        <f>VLOOKUP(B1473, Passenger_Kilometre_by_mode_type[#All],MATCH(A1473, Passenger_Kilometre_by_mode_type[#Headers],0),0)</f>
        <v>47547076180.316536</v>
      </c>
      <c r="F1473" s="89">
        <f>VLOOKUP(C1473, Reason_for_car_journeys_by_percentage[#All],MATCH(A1473, Reason_for_car_journeys_by_percentage[#Headers],0),0)/100</f>
        <v>5.9249999999999997E-2</v>
      </c>
      <c r="G1473" s="13">
        <f t="shared" si="112"/>
        <v>2817164263.6837544</v>
      </c>
      <c r="H1473" s="89">
        <f>VLOOKUP(D1473,Average_Distance_by_kilometre_grouping_for_mode_type[#All],MATCH(A1473,Average_Distance_by_kilometre_grouping_for_mode_type[#Headers],0),0)</f>
        <v>1</v>
      </c>
      <c r="I1473" s="89">
        <f>VLOOKUP(D1473,Average_Distance_by_kilometres_grouping_for_trip_purpose[#All],MATCH(A1473,Average_Distance_by_kilometres_grouping_for_trip_purpose[#Headers],0),0)</f>
        <v>1</v>
      </c>
      <c r="J1473" s="89">
        <f t="shared" si="113"/>
        <v>1</v>
      </c>
      <c r="K1473" s="89">
        <f t="shared" si="114"/>
        <v>1.7176228100309172E-2</v>
      </c>
      <c r="L1473" s="89">
        <v>1</v>
      </c>
      <c r="M1473" s="13">
        <f t="shared" si="115"/>
        <v>48388255.989071704</v>
      </c>
      <c r="N1473" s="11">
        <f t="shared" si="116"/>
        <v>7.6783976517860167E-4</v>
      </c>
    </row>
    <row r="1474" spans="1:14" x14ac:dyDescent="0.25">
      <c r="A1474" s="79" t="s">
        <v>36</v>
      </c>
      <c r="B1474" s="89" t="s">
        <v>5</v>
      </c>
      <c r="C1474" s="89" t="s">
        <v>93</v>
      </c>
      <c r="D1474" s="13" t="s">
        <v>181</v>
      </c>
      <c r="E1474" s="35">
        <f>VLOOKUP(B1474, Passenger_Kilometre_by_mode_type[#All],MATCH(A1474, Passenger_Kilometre_by_mode_type[#Headers],0),0)</f>
        <v>47547076180.316536</v>
      </c>
      <c r="F1474" s="89">
        <f>VLOOKUP(C1474, Reason_for_car_journeys_by_percentage[#All],MATCH(A1474, Reason_for_car_journeys_by_percentage[#Headers],0),0)/100</f>
        <v>5.9249999999999997E-2</v>
      </c>
      <c r="G1474" s="13">
        <f t="shared" si="112"/>
        <v>2817164263.6837544</v>
      </c>
      <c r="H1474" s="89">
        <f>VLOOKUP(D1474,Average_Distance_by_kilometre_grouping_for_mode_type[#All],MATCH(A1474,Average_Distance_by_kilometre_grouping_for_mode_type[#Headers],0),0)</f>
        <v>3</v>
      </c>
      <c r="I1474" s="89">
        <f>VLOOKUP(D1474,Average_Distance_by_kilometres_grouping_for_trip_purpose[#All],MATCH(A1474,Average_Distance_by_kilometres_grouping_for_trip_purpose[#Headers],0),0)</f>
        <v>3</v>
      </c>
      <c r="J1474" s="89">
        <f t="shared" si="113"/>
        <v>3</v>
      </c>
      <c r="K1474" s="89">
        <f t="shared" si="114"/>
        <v>5.1528684300927517E-2</v>
      </c>
      <c r="L1474" s="89">
        <v>1</v>
      </c>
      <c r="M1474" s="13">
        <f t="shared" si="115"/>
        <v>145164767.96721512</v>
      </c>
      <c r="N1474" s="11">
        <f t="shared" si="116"/>
        <v>2.303519295535805E-3</v>
      </c>
    </row>
    <row r="1475" spans="1:14" x14ac:dyDescent="0.25">
      <c r="A1475" s="79" t="s">
        <v>36</v>
      </c>
      <c r="B1475" s="89" t="s">
        <v>5</v>
      </c>
      <c r="C1475" s="89" t="s">
        <v>93</v>
      </c>
      <c r="D1475" s="13" t="s">
        <v>180</v>
      </c>
      <c r="E1475" s="35">
        <f>VLOOKUP(B1475, Passenger_Kilometre_by_mode_type[#All],MATCH(A1475, Passenger_Kilometre_by_mode_type[#Headers],0),0)</f>
        <v>47547076180.316536</v>
      </c>
      <c r="F1475" s="89">
        <f>VLOOKUP(C1475, Reason_for_car_journeys_by_percentage[#All],MATCH(A1475, Reason_for_car_journeys_by_percentage[#Headers],0),0)/100</f>
        <v>5.9249999999999997E-2</v>
      </c>
      <c r="G1475" s="13">
        <f t="shared" si="112"/>
        <v>2817164263.6837544</v>
      </c>
      <c r="H1475" s="89">
        <f>VLOOKUP(D1475,Average_Distance_by_kilometre_grouping_for_mode_type[#All],MATCH(A1475,Average_Distance_by_kilometre_grouping_for_mode_type[#Headers],0),0)</f>
        <v>5</v>
      </c>
      <c r="I1475" s="89">
        <f>VLOOKUP(D1475,Average_Distance_by_kilometres_grouping_for_trip_purpose[#All],MATCH(A1475,Average_Distance_by_kilometres_grouping_for_trip_purpose[#Headers],0),0)</f>
        <v>5</v>
      </c>
      <c r="J1475" s="89">
        <f t="shared" si="113"/>
        <v>5</v>
      </c>
      <c r="K1475" s="89">
        <f t="shared" si="114"/>
        <v>8.5881140501545869E-2</v>
      </c>
      <c r="L1475" s="89">
        <v>1</v>
      </c>
      <c r="M1475" s="13">
        <f t="shared" si="115"/>
        <v>241941279.94535854</v>
      </c>
      <c r="N1475" s="11">
        <f t="shared" si="116"/>
        <v>3.8391988258930088E-3</v>
      </c>
    </row>
    <row r="1476" spans="1:14" x14ac:dyDescent="0.25">
      <c r="A1476" s="79" t="s">
        <v>36</v>
      </c>
      <c r="B1476" s="89" t="s">
        <v>5</v>
      </c>
      <c r="C1476" s="89" t="s">
        <v>93</v>
      </c>
      <c r="D1476" s="13" t="s">
        <v>182</v>
      </c>
      <c r="E1476" s="35">
        <f>VLOOKUP(B1476, Passenger_Kilometre_by_mode_type[#All],MATCH(A1476, Passenger_Kilometre_by_mode_type[#Headers],0),0)</f>
        <v>47547076180.316536</v>
      </c>
      <c r="F1476" s="89">
        <f>VLOOKUP(C1476, Reason_for_car_journeys_by_percentage[#All],MATCH(A1476, Reason_for_car_journeys_by_percentage[#Headers],0),0)/100</f>
        <v>5.9249999999999997E-2</v>
      </c>
      <c r="G1476" s="13">
        <f t="shared" ref="G1476:G1539" si="117">E1476*F1476</f>
        <v>2817164263.6837544</v>
      </c>
      <c r="H1476" s="89">
        <f>VLOOKUP(D1476,Average_Distance_by_kilometre_grouping_for_mode_type[#All],MATCH(A1476,Average_Distance_by_kilometre_grouping_for_mode_type[#Headers],0),0)</f>
        <v>7</v>
      </c>
      <c r="I1476" s="89">
        <f>VLOOKUP(D1476,Average_Distance_by_kilometres_grouping_for_trip_purpose[#All],MATCH(A1476,Average_Distance_by_kilometres_grouping_for_trip_purpose[#Headers],0),0)</f>
        <v>7</v>
      </c>
      <c r="J1476" s="89">
        <f t="shared" ref="J1476:J1539" si="118">AVERAGE(H1476:I1476)</f>
        <v>7</v>
      </c>
      <c r="K1476" s="89">
        <f t="shared" ref="K1476:K1539" si="119">J1476/SUM(J1476:J1480)</f>
        <v>0.12023359670216421</v>
      </c>
      <c r="L1476" s="89">
        <v>1</v>
      </c>
      <c r="M1476" s="13">
        <f t="shared" ref="M1476:M1539" si="120">G1476*K1476*L1476</f>
        <v>338717791.92350191</v>
      </c>
      <c r="N1476" s="11">
        <f t="shared" si="116"/>
        <v>5.3748783562502112E-3</v>
      </c>
    </row>
    <row r="1477" spans="1:14" x14ac:dyDescent="0.25">
      <c r="A1477" s="79" t="s">
        <v>36</v>
      </c>
      <c r="B1477" s="89" t="s">
        <v>5</v>
      </c>
      <c r="C1477" s="89" t="s">
        <v>93</v>
      </c>
      <c r="D1477" s="13" t="s">
        <v>1</v>
      </c>
      <c r="E1477" s="35">
        <f>VLOOKUP(B1477, Passenger_Kilometre_by_mode_type[#All],MATCH(A1477, Passenger_Kilometre_by_mode_type[#Headers],0),0)</f>
        <v>47547076180.316536</v>
      </c>
      <c r="F1477" s="89">
        <f>VLOOKUP(C1477, Reason_for_car_journeys_by_percentage[#All],MATCH(A1477, Reason_for_car_journeys_by_percentage[#Headers],0),0)/100</f>
        <v>5.9249999999999997E-2</v>
      </c>
      <c r="G1477" s="13">
        <f t="shared" si="117"/>
        <v>2817164263.6837544</v>
      </c>
      <c r="H1477" s="89">
        <f>VLOOKUP(D1477,Average_Distance_by_kilometre_grouping_for_mode_type[#All],MATCH(A1477,Average_Distance_by_kilometre_grouping_for_mode_type[#Headers],0),0)</f>
        <v>41.2</v>
      </c>
      <c r="I1477" s="89">
        <f>VLOOKUP(D1477,Average_Distance_by_kilometres_grouping_for_trip_purpose[#All],MATCH(A1477,Average_Distance_by_kilometres_grouping_for_trip_purpose[#Headers],0),0)</f>
        <v>43.24</v>
      </c>
      <c r="J1477" s="89">
        <f t="shared" si="118"/>
        <v>42.22</v>
      </c>
      <c r="K1477" s="89">
        <f t="shared" si="119"/>
        <v>0.72518035039505324</v>
      </c>
      <c r="L1477" s="89">
        <v>1</v>
      </c>
      <c r="M1477" s="13">
        <f t="shared" si="120"/>
        <v>2042952167.8586073</v>
      </c>
      <c r="N1477" s="11">
        <f t="shared" si="116"/>
        <v>3.2418194885840558E-2</v>
      </c>
    </row>
    <row r="1478" spans="1:14" x14ac:dyDescent="0.25">
      <c r="A1478" s="79" t="s">
        <v>36</v>
      </c>
      <c r="B1478" s="89" t="s">
        <v>5</v>
      </c>
      <c r="C1478" s="89" t="s">
        <v>243</v>
      </c>
      <c r="D1478" s="13" t="s">
        <v>12</v>
      </c>
      <c r="E1478" s="35">
        <f>VLOOKUP(B1478, Passenger_Kilometre_by_mode_type[#All],MATCH(A1478, Passenger_Kilometre_by_mode_type[#Headers],0),0)</f>
        <v>47547076180.316536</v>
      </c>
      <c r="F1478" s="89">
        <f>VLOOKUP(C1478, Reason_for_car_journeys_by_percentage[#All],MATCH(A1478, Reason_for_car_journeys_by_percentage[#Headers],0),0)/100</f>
        <v>0.183</v>
      </c>
      <c r="G1478" s="13">
        <f t="shared" si="117"/>
        <v>8701114940.9979267</v>
      </c>
      <c r="H1478" s="89">
        <f>VLOOKUP(D1478,Average_Distance_by_kilometre_grouping_for_mode_type[#All],MATCH(A1478,Average_Distance_by_kilometre_grouping_for_mode_type[#Headers],0),0)</f>
        <v>1</v>
      </c>
      <c r="I1478" s="89">
        <f>VLOOKUP(D1478,Average_Distance_by_kilometres_grouping_for_trip_purpose[#All],MATCH(A1478,Average_Distance_by_kilometres_grouping_for_trip_purpose[#Headers],0),0)</f>
        <v>1</v>
      </c>
      <c r="J1478" s="89">
        <f t="shared" si="118"/>
        <v>1</v>
      </c>
      <c r="K1478" s="89">
        <f t="shared" si="119"/>
        <v>1.7176228100309172E-2</v>
      </c>
      <c r="L1478" s="89">
        <v>1</v>
      </c>
      <c r="M1478" s="13">
        <f t="shared" si="120"/>
        <v>149452334.95358858</v>
      </c>
      <c r="N1478" s="11">
        <f t="shared" si="116"/>
        <v>2.3715557304250486E-3</v>
      </c>
    </row>
    <row r="1479" spans="1:14" x14ac:dyDescent="0.25">
      <c r="A1479" s="79" t="s">
        <v>36</v>
      </c>
      <c r="B1479" s="89" t="s">
        <v>5</v>
      </c>
      <c r="C1479" s="89" t="s">
        <v>243</v>
      </c>
      <c r="D1479" s="13" t="s">
        <v>181</v>
      </c>
      <c r="E1479" s="35">
        <f>VLOOKUP(B1479, Passenger_Kilometre_by_mode_type[#All],MATCH(A1479, Passenger_Kilometre_by_mode_type[#Headers],0),0)</f>
        <v>47547076180.316536</v>
      </c>
      <c r="F1479" s="89">
        <f>VLOOKUP(C1479, Reason_for_car_journeys_by_percentage[#All],MATCH(A1479, Reason_for_car_journeys_by_percentage[#Headers],0),0)/100</f>
        <v>0.183</v>
      </c>
      <c r="G1479" s="13">
        <f t="shared" si="117"/>
        <v>8701114940.9979267</v>
      </c>
      <c r="H1479" s="89">
        <f>VLOOKUP(D1479,Average_Distance_by_kilometre_grouping_for_mode_type[#All],MATCH(A1479,Average_Distance_by_kilometre_grouping_for_mode_type[#Headers],0),0)</f>
        <v>3</v>
      </c>
      <c r="I1479" s="89">
        <f>VLOOKUP(D1479,Average_Distance_by_kilometres_grouping_for_trip_purpose[#All],MATCH(A1479,Average_Distance_by_kilometres_grouping_for_trip_purpose[#Headers],0),0)</f>
        <v>3</v>
      </c>
      <c r="J1479" s="89">
        <f t="shared" si="118"/>
        <v>3</v>
      </c>
      <c r="K1479" s="89">
        <f t="shared" si="119"/>
        <v>5.1528684300927517E-2</v>
      </c>
      <c r="L1479" s="89">
        <v>1</v>
      </c>
      <c r="M1479" s="13">
        <f t="shared" si="120"/>
        <v>448357004.86076576</v>
      </c>
      <c r="N1479" s="11">
        <f t="shared" si="116"/>
        <v>7.1146671912751458E-3</v>
      </c>
    </row>
    <row r="1480" spans="1:14" x14ac:dyDescent="0.25">
      <c r="A1480" s="79" t="s">
        <v>36</v>
      </c>
      <c r="B1480" s="89" t="s">
        <v>5</v>
      </c>
      <c r="C1480" s="89" t="s">
        <v>243</v>
      </c>
      <c r="D1480" s="13" t="s">
        <v>180</v>
      </c>
      <c r="E1480" s="35">
        <f>VLOOKUP(B1480, Passenger_Kilometre_by_mode_type[#All],MATCH(A1480, Passenger_Kilometre_by_mode_type[#Headers],0),0)</f>
        <v>47547076180.316536</v>
      </c>
      <c r="F1480" s="89">
        <f>VLOOKUP(C1480, Reason_for_car_journeys_by_percentage[#All],MATCH(A1480, Reason_for_car_journeys_by_percentage[#Headers],0),0)/100</f>
        <v>0.183</v>
      </c>
      <c r="G1480" s="13">
        <f t="shared" si="117"/>
        <v>8701114940.9979267</v>
      </c>
      <c r="H1480" s="89">
        <f>VLOOKUP(D1480,Average_Distance_by_kilometre_grouping_for_mode_type[#All],MATCH(A1480,Average_Distance_by_kilometre_grouping_for_mode_type[#Headers],0),0)</f>
        <v>5</v>
      </c>
      <c r="I1480" s="89">
        <f>VLOOKUP(D1480,Average_Distance_by_kilometres_grouping_for_trip_purpose[#All],MATCH(A1480,Average_Distance_by_kilometres_grouping_for_trip_purpose[#Headers],0),0)</f>
        <v>5</v>
      </c>
      <c r="J1480" s="89">
        <f t="shared" si="118"/>
        <v>5</v>
      </c>
      <c r="K1480" s="89">
        <f t="shared" si="119"/>
        <v>8.5881140501545869E-2</v>
      </c>
      <c r="L1480" s="89">
        <v>1</v>
      </c>
      <c r="M1480" s="13">
        <f t="shared" si="120"/>
        <v>747261674.76794291</v>
      </c>
      <c r="N1480" s="11">
        <f t="shared" si="116"/>
        <v>1.1857778652125244E-2</v>
      </c>
    </row>
    <row r="1481" spans="1:14" x14ac:dyDescent="0.25">
      <c r="A1481" s="79" t="s">
        <v>36</v>
      </c>
      <c r="B1481" s="89" t="s">
        <v>5</v>
      </c>
      <c r="C1481" s="89" t="s">
        <v>243</v>
      </c>
      <c r="D1481" s="13" t="s">
        <v>182</v>
      </c>
      <c r="E1481" s="35">
        <f>VLOOKUP(B1481, Passenger_Kilometre_by_mode_type[#All],MATCH(A1481, Passenger_Kilometre_by_mode_type[#Headers],0),0)</f>
        <v>47547076180.316536</v>
      </c>
      <c r="F1481" s="89">
        <f>VLOOKUP(C1481, Reason_for_car_journeys_by_percentage[#All],MATCH(A1481, Reason_for_car_journeys_by_percentage[#Headers],0),0)/100</f>
        <v>0.183</v>
      </c>
      <c r="G1481" s="13">
        <f t="shared" si="117"/>
        <v>8701114940.9979267</v>
      </c>
      <c r="H1481" s="89">
        <f>VLOOKUP(D1481,Average_Distance_by_kilometre_grouping_for_mode_type[#All],MATCH(A1481,Average_Distance_by_kilometre_grouping_for_mode_type[#Headers],0),0)</f>
        <v>7</v>
      </c>
      <c r="I1481" s="89">
        <f>VLOOKUP(D1481,Average_Distance_by_kilometres_grouping_for_trip_purpose[#All],MATCH(A1481,Average_Distance_by_kilometres_grouping_for_trip_purpose[#Headers],0),0)</f>
        <v>7</v>
      </c>
      <c r="J1481" s="89">
        <f t="shared" si="118"/>
        <v>7</v>
      </c>
      <c r="K1481" s="89">
        <f t="shared" si="119"/>
        <v>0.12023359670216421</v>
      </c>
      <c r="L1481" s="89">
        <v>1</v>
      </c>
      <c r="M1481" s="13">
        <f t="shared" si="120"/>
        <v>1046166344.6751201</v>
      </c>
      <c r="N1481" s="11">
        <f t="shared" si="116"/>
        <v>1.6600890112975341E-2</v>
      </c>
    </row>
    <row r="1482" spans="1:14" x14ac:dyDescent="0.25">
      <c r="A1482" s="79" t="s">
        <v>36</v>
      </c>
      <c r="B1482" s="89" t="s">
        <v>5</v>
      </c>
      <c r="C1482" s="89" t="s">
        <v>243</v>
      </c>
      <c r="D1482" s="13" t="s">
        <v>1</v>
      </c>
      <c r="E1482" s="35">
        <f>VLOOKUP(B1482, Passenger_Kilometre_by_mode_type[#All],MATCH(A1482, Passenger_Kilometre_by_mode_type[#Headers],0),0)</f>
        <v>47547076180.316536</v>
      </c>
      <c r="F1482" s="89">
        <f>VLOOKUP(C1482, Reason_for_car_journeys_by_percentage[#All],MATCH(A1482, Reason_for_car_journeys_by_percentage[#Headers],0),0)/100</f>
        <v>0.183</v>
      </c>
      <c r="G1482" s="13">
        <f t="shared" si="117"/>
        <v>8701114940.9979267</v>
      </c>
      <c r="H1482" s="89">
        <f>VLOOKUP(D1482,Average_Distance_by_kilometre_grouping_for_mode_type[#All],MATCH(A1482,Average_Distance_by_kilometre_grouping_for_mode_type[#Headers],0),0)</f>
        <v>41.2</v>
      </c>
      <c r="I1482" s="89">
        <f>VLOOKUP(D1482,Average_Distance_by_kilometres_grouping_for_trip_purpose[#All],MATCH(A1482,Average_Distance_by_kilometres_grouping_for_trip_purpose[#Headers],0),0)</f>
        <v>43.24</v>
      </c>
      <c r="J1482" s="89">
        <f t="shared" si="118"/>
        <v>42.22</v>
      </c>
      <c r="K1482" s="89">
        <f t="shared" si="119"/>
        <v>0.72518035039505324</v>
      </c>
      <c r="L1482" s="89">
        <v>1</v>
      </c>
      <c r="M1482" s="13">
        <f t="shared" si="120"/>
        <v>6309877581.740509</v>
      </c>
      <c r="N1482" s="11">
        <f t="shared" si="116"/>
        <v>0.10012708293854554</v>
      </c>
    </row>
    <row r="1483" spans="1:14" x14ac:dyDescent="0.25">
      <c r="A1483" s="79" t="s">
        <v>36</v>
      </c>
      <c r="B1483" s="89" t="s">
        <v>5</v>
      </c>
      <c r="C1483" s="89" t="s">
        <v>50</v>
      </c>
      <c r="D1483" s="13" t="s">
        <v>12</v>
      </c>
      <c r="E1483" s="35">
        <f>VLOOKUP(B1483, Passenger_Kilometre_by_mode_type[#All],MATCH(A1483, Passenger_Kilometre_by_mode_type[#Headers],0),0)</f>
        <v>47547076180.316536</v>
      </c>
      <c r="F1483" s="89">
        <f>VLOOKUP(C1483, Reason_for_car_journeys_by_percentage[#All],MATCH(A1483, Reason_for_car_journeys_by_percentage[#Headers],0),0)/100</f>
        <v>3.4500000000000003E-2</v>
      </c>
      <c r="G1483" s="13">
        <f t="shared" si="117"/>
        <v>1640374128.2209206</v>
      </c>
      <c r="H1483" s="89">
        <f>VLOOKUP(D1483,Average_Distance_by_kilometre_grouping_for_mode_type[#All],MATCH(A1483,Average_Distance_by_kilometre_grouping_for_mode_type[#Headers],0),0)</f>
        <v>1</v>
      </c>
      <c r="I1483" s="89">
        <f>VLOOKUP(D1483,Average_Distance_by_kilometres_grouping_for_trip_purpose[#All],MATCH(A1483,Average_Distance_by_kilometres_grouping_for_trip_purpose[#Headers],0),0)</f>
        <v>1</v>
      </c>
      <c r="J1483" s="89">
        <f t="shared" si="118"/>
        <v>1</v>
      </c>
      <c r="K1483" s="89">
        <f t="shared" si="119"/>
        <v>1.7176228100309172E-2</v>
      </c>
      <c r="L1483" s="89">
        <v>1</v>
      </c>
      <c r="M1483" s="13">
        <f t="shared" si="120"/>
        <v>28175440.196168337</v>
      </c>
      <c r="N1483" s="11">
        <f t="shared" si="116"/>
        <v>4.4709657212931242E-4</v>
      </c>
    </row>
    <row r="1484" spans="1:14" x14ac:dyDescent="0.25">
      <c r="A1484" s="79" t="s">
        <v>36</v>
      </c>
      <c r="B1484" s="89" t="s">
        <v>5</v>
      </c>
      <c r="C1484" s="89" t="s">
        <v>50</v>
      </c>
      <c r="D1484" s="13" t="s">
        <v>181</v>
      </c>
      <c r="E1484" s="35">
        <f>VLOOKUP(B1484, Passenger_Kilometre_by_mode_type[#All],MATCH(A1484, Passenger_Kilometre_by_mode_type[#Headers],0),0)</f>
        <v>47547076180.316536</v>
      </c>
      <c r="F1484" s="89">
        <f>VLOOKUP(C1484, Reason_for_car_journeys_by_percentage[#All],MATCH(A1484, Reason_for_car_journeys_by_percentage[#Headers],0),0)/100</f>
        <v>3.4500000000000003E-2</v>
      </c>
      <c r="G1484" s="13">
        <f t="shared" si="117"/>
        <v>1640374128.2209206</v>
      </c>
      <c r="H1484" s="89">
        <f>VLOOKUP(D1484,Average_Distance_by_kilometre_grouping_for_mode_type[#All],MATCH(A1484,Average_Distance_by_kilometre_grouping_for_mode_type[#Headers],0),0)</f>
        <v>3</v>
      </c>
      <c r="I1484" s="89">
        <f>VLOOKUP(D1484,Average_Distance_by_kilometres_grouping_for_trip_purpose[#All],MATCH(A1484,Average_Distance_by_kilometres_grouping_for_trip_purpose[#Headers],0),0)</f>
        <v>3</v>
      </c>
      <c r="J1484" s="89">
        <f t="shared" si="118"/>
        <v>3</v>
      </c>
      <c r="K1484" s="89">
        <f t="shared" si="119"/>
        <v>5.1528684300927517E-2</v>
      </c>
      <c r="L1484" s="89">
        <v>1</v>
      </c>
      <c r="M1484" s="13">
        <f t="shared" si="120"/>
        <v>84526320.588505015</v>
      </c>
      <c r="N1484" s="11">
        <f t="shared" si="116"/>
        <v>1.3412897163879373E-3</v>
      </c>
    </row>
    <row r="1485" spans="1:14" x14ac:dyDescent="0.25">
      <c r="A1485" s="79" t="s">
        <v>36</v>
      </c>
      <c r="B1485" s="89" t="s">
        <v>5</v>
      </c>
      <c r="C1485" s="89" t="s">
        <v>50</v>
      </c>
      <c r="D1485" s="13" t="s">
        <v>180</v>
      </c>
      <c r="E1485" s="35">
        <f>VLOOKUP(B1485, Passenger_Kilometre_by_mode_type[#All],MATCH(A1485, Passenger_Kilometre_by_mode_type[#Headers],0),0)</f>
        <v>47547076180.316536</v>
      </c>
      <c r="F1485" s="89">
        <f>VLOOKUP(C1485, Reason_for_car_journeys_by_percentage[#All],MATCH(A1485, Reason_for_car_journeys_by_percentage[#Headers],0),0)/100</f>
        <v>3.4500000000000003E-2</v>
      </c>
      <c r="G1485" s="13">
        <f t="shared" si="117"/>
        <v>1640374128.2209206</v>
      </c>
      <c r="H1485" s="89">
        <f>VLOOKUP(D1485,Average_Distance_by_kilometre_grouping_for_mode_type[#All],MATCH(A1485,Average_Distance_by_kilometre_grouping_for_mode_type[#Headers],0),0)</f>
        <v>5</v>
      </c>
      <c r="I1485" s="89">
        <f>VLOOKUP(D1485,Average_Distance_by_kilometres_grouping_for_trip_purpose[#All],MATCH(A1485,Average_Distance_by_kilometres_grouping_for_trip_purpose[#Headers],0),0)</f>
        <v>5</v>
      </c>
      <c r="J1485" s="89">
        <f t="shared" si="118"/>
        <v>5</v>
      </c>
      <c r="K1485" s="89">
        <f t="shared" si="119"/>
        <v>8.5881140501545869E-2</v>
      </c>
      <c r="L1485" s="89">
        <v>1</v>
      </c>
      <c r="M1485" s="13">
        <f t="shared" si="120"/>
        <v>140877200.9808417</v>
      </c>
      <c r="N1485" s="11">
        <f t="shared" si="116"/>
        <v>2.2354828606465623E-3</v>
      </c>
    </row>
    <row r="1486" spans="1:14" x14ac:dyDescent="0.25">
      <c r="A1486" s="79" t="s">
        <v>36</v>
      </c>
      <c r="B1486" s="89" t="s">
        <v>5</v>
      </c>
      <c r="C1486" s="89" t="s">
        <v>50</v>
      </c>
      <c r="D1486" s="13" t="s">
        <v>182</v>
      </c>
      <c r="E1486" s="35">
        <f>VLOOKUP(B1486, Passenger_Kilometre_by_mode_type[#All],MATCH(A1486, Passenger_Kilometre_by_mode_type[#Headers],0),0)</f>
        <v>47547076180.316536</v>
      </c>
      <c r="F1486" s="89">
        <f>VLOOKUP(C1486, Reason_for_car_journeys_by_percentage[#All],MATCH(A1486, Reason_for_car_journeys_by_percentage[#Headers],0),0)/100</f>
        <v>3.4500000000000003E-2</v>
      </c>
      <c r="G1486" s="13">
        <f t="shared" si="117"/>
        <v>1640374128.2209206</v>
      </c>
      <c r="H1486" s="89">
        <f>VLOOKUP(D1486,Average_Distance_by_kilometre_grouping_for_mode_type[#All],MATCH(A1486,Average_Distance_by_kilometre_grouping_for_mode_type[#Headers],0),0)</f>
        <v>7</v>
      </c>
      <c r="I1486" s="89">
        <f>VLOOKUP(D1486,Average_Distance_by_kilometres_grouping_for_trip_purpose[#All],MATCH(A1486,Average_Distance_by_kilometres_grouping_for_trip_purpose[#Headers],0),0)</f>
        <v>7</v>
      </c>
      <c r="J1486" s="89">
        <f t="shared" si="118"/>
        <v>7</v>
      </c>
      <c r="K1486" s="89">
        <f t="shared" si="119"/>
        <v>0.12023359670216421</v>
      </c>
      <c r="L1486" s="89">
        <v>1</v>
      </c>
      <c r="M1486" s="13">
        <f t="shared" si="120"/>
        <v>197228081.37317836</v>
      </c>
      <c r="N1486" s="11">
        <f t="shared" si="116"/>
        <v>3.129676004905187E-3</v>
      </c>
    </row>
    <row r="1487" spans="1:14" x14ac:dyDescent="0.25">
      <c r="A1487" s="79" t="s">
        <v>36</v>
      </c>
      <c r="B1487" s="89" t="s">
        <v>5</v>
      </c>
      <c r="C1487" s="89" t="s">
        <v>50</v>
      </c>
      <c r="D1487" s="13" t="s">
        <v>1</v>
      </c>
      <c r="E1487" s="35">
        <f>VLOOKUP(B1487, Passenger_Kilometre_by_mode_type[#All],MATCH(A1487, Passenger_Kilometre_by_mode_type[#Headers],0),0)</f>
        <v>47547076180.316536</v>
      </c>
      <c r="F1487" s="89">
        <f>VLOOKUP(C1487, Reason_for_car_journeys_by_percentage[#All],MATCH(A1487, Reason_for_car_journeys_by_percentage[#Headers],0),0)/100</f>
        <v>3.4500000000000003E-2</v>
      </c>
      <c r="G1487" s="13">
        <f t="shared" si="117"/>
        <v>1640374128.2209206</v>
      </c>
      <c r="H1487" s="89">
        <f>VLOOKUP(D1487,Average_Distance_by_kilometre_grouping_for_mode_type[#All],MATCH(A1487,Average_Distance_by_kilometre_grouping_for_mode_type[#Headers],0),0)</f>
        <v>41.2</v>
      </c>
      <c r="I1487" s="89">
        <f>VLOOKUP(D1487,Average_Distance_by_kilometres_grouping_for_trip_purpose[#All],MATCH(A1487,Average_Distance_by_kilometres_grouping_for_trip_purpose[#Headers],0),0)</f>
        <v>43.24</v>
      </c>
      <c r="J1487" s="89">
        <f t="shared" si="118"/>
        <v>42.22</v>
      </c>
      <c r="K1487" s="89">
        <f t="shared" si="119"/>
        <v>0.72518035039505324</v>
      </c>
      <c r="L1487" s="89">
        <v>1</v>
      </c>
      <c r="M1487" s="13">
        <f t="shared" si="120"/>
        <v>1189567085.0822272</v>
      </c>
      <c r="N1487" s="11">
        <f t="shared" si="116"/>
        <v>1.8876417275299571E-2</v>
      </c>
    </row>
    <row r="1488" spans="1:14" x14ac:dyDescent="0.25">
      <c r="A1488" s="79" t="s">
        <v>36</v>
      </c>
      <c r="B1488" s="89" t="s">
        <v>6</v>
      </c>
      <c r="C1488" s="89" t="s">
        <v>42</v>
      </c>
      <c r="D1488" s="13" t="s">
        <v>12</v>
      </c>
      <c r="E1488" s="35">
        <f>VLOOKUP(B1488, Passenger_Kilometre_by_mode_type[#All],MATCH(A1488, Passenger_Kilometre_by_mode_type[#Headers],0),0)</f>
        <v>6373422709.3424673</v>
      </c>
      <c r="F1488" s="89">
        <f>VLOOKUP(C1488, Reason_for_car_journeys_by_percentage[#All],MATCH(A1488, Reason_for_car_journeys_by_percentage[#Headers],0),0)/100</f>
        <v>0.28750000000000003</v>
      </c>
      <c r="G1488" s="13">
        <f t="shared" si="117"/>
        <v>1832359028.9359596</v>
      </c>
      <c r="H1488" s="89">
        <f>VLOOKUP(D1488,Average_Distance_by_kilometre_grouping_for_mode_type[#All],MATCH(A1488,Average_Distance_by_kilometre_grouping_for_mode_type[#Headers],0),0)</f>
        <v>1</v>
      </c>
      <c r="I1488" s="89">
        <f>VLOOKUP(D1488,Average_Distance_by_kilometres_grouping_for_trip_purpose[#All],MATCH(A1488,Average_Distance_by_kilometres_grouping_for_trip_purpose[#Headers],0),0)</f>
        <v>1</v>
      </c>
      <c r="J1488" s="89">
        <f t="shared" si="118"/>
        <v>1</v>
      </c>
      <c r="K1488" s="89">
        <f t="shared" si="119"/>
        <v>1.7176228100309172E-2</v>
      </c>
      <c r="L1488" s="89">
        <v>1</v>
      </c>
      <c r="M1488" s="13">
        <f t="shared" si="120"/>
        <v>31473016.642665058</v>
      </c>
      <c r="N1488" s="11">
        <f t="shared" si="116"/>
        <v>4.9942353189633474E-4</v>
      </c>
    </row>
    <row r="1489" spans="1:14" x14ac:dyDescent="0.25">
      <c r="A1489" s="79" t="s">
        <v>36</v>
      </c>
      <c r="B1489" s="89" t="s">
        <v>6</v>
      </c>
      <c r="C1489" s="89" t="s">
        <v>42</v>
      </c>
      <c r="D1489" s="13" t="s">
        <v>181</v>
      </c>
      <c r="E1489" s="35">
        <f>VLOOKUP(B1489, Passenger_Kilometre_by_mode_type[#All],MATCH(A1489, Passenger_Kilometre_by_mode_type[#Headers],0),0)</f>
        <v>6373422709.3424673</v>
      </c>
      <c r="F1489" s="89">
        <f>VLOOKUP(C1489, Reason_for_car_journeys_by_percentage[#All],MATCH(A1489, Reason_for_car_journeys_by_percentage[#Headers],0),0)/100</f>
        <v>0.28750000000000003</v>
      </c>
      <c r="G1489" s="13">
        <f t="shared" si="117"/>
        <v>1832359028.9359596</v>
      </c>
      <c r="H1489" s="89">
        <f>VLOOKUP(D1489,Average_Distance_by_kilometre_grouping_for_mode_type[#All],MATCH(A1489,Average_Distance_by_kilometre_grouping_for_mode_type[#Headers],0),0)</f>
        <v>3</v>
      </c>
      <c r="I1489" s="89">
        <f>VLOOKUP(D1489,Average_Distance_by_kilometres_grouping_for_trip_purpose[#All],MATCH(A1489,Average_Distance_by_kilometres_grouping_for_trip_purpose[#Headers],0),0)</f>
        <v>3</v>
      </c>
      <c r="J1489" s="89">
        <f t="shared" si="118"/>
        <v>3</v>
      </c>
      <c r="K1489" s="89">
        <f t="shared" si="119"/>
        <v>5.1528684300927517E-2</v>
      </c>
      <c r="L1489" s="89">
        <v>1</v>
      </c>
      <c r="M1489" s="13">
        <f t="shared" si="120"/>
        <v>94419049.927995175</v>
      </c>
      <c r="N1489" s="11">
        <f t="shared" si="116"/>
        <v>1.4982705956890041E-3</v>
      </c>
    </row>
    <row r="1490" spans="1:14" x14ac:dyDescent="0.25">
      <c r="A1490" s="79" t="s">
        <v>36</v>
      </c>
      <c r="B1490" s="89" t="s">
        <v>6</v>
      </c>
      <c r="C1490" s="89" t="s">
        <v>42</v>
      </c>
      <c r="D1490" s="13" t="s">
        <v>180</v>
      </c>
      <c r="E1490" s="35">
        <f>VLOOKUP(B1490, Passenger_Kilometre_by_mode_type[#All],MATCH(A1490, Passenger_Kilometre_by_mode_type[#Headers],0),0)</f>
        <v>6373422709.3424673</v>
      </c>
      <c r="F1490" s="89">
        <f>VLOOKUP(C1490, Reason_for_car_journeys_by_percentage[#All],MATCH(A1490, Reason_for_car_journeys_by_percentage[#Headers],0),0)/100</f>
        <v>0.28750000000000003</v>
      </c>
      <c r="G1490" s="13">
        <f t="shared" si="117"/>
        <v>1832359028.9359596</v>
      </c>
      <c r="H1490" s="89">
        <f>VLOOKUP(D1490,Average_Distance_by_kilometre_grouping_for_mode_type[#All],MATCH(A1490,Average_Distance_by_kilometre_grouping_for_mode_type[#Headers],0),0)</f>
        <v>5</v>
      </c>
      <c r="I1490" s="89">
        <f>VLOOKUP(D1490,Average_Distance_by_kilometres_grouping_for_trip_purpose[#All],MATCH(A1490,Average_Distance_by_kilometres_grouping_for_trip_purpose[#Headers],0),0)</f>
        <v>5</v>
      </c>
      <c r="J1490" s="89">
        <f t="shared" si="118"/>
        <v>5</v>
      </c>
      <c r="K1490" s="89">
        <f t="shared" si="119"/>
        <v>8.5881140501545869E-2</v>
      </c>
      <c r="L1490" s="89">
        <v>1</v>
      </c>
      <c r="M1490" s="13">
        <f t="shared" si="120"/>
        <v>157365083.21332529</v>
      </c>
      <c r="N1490" s="11">
        <f t="shared" si="116"/>
        <v>2.4971176594816734E-3</v>
      </c>
    </row>
    <row r="1491" spans="1:14" x14ac:dyDescent="0.25">
      <c r="A1491" s="79" t="s">
        <v>36</v>
      </c>
      <c r="B1491" s="89" t="s">
        <v>6</v>
      </c>
      <c r="C1491" s="89" t="s">
        <v>42</v>
      </c>
      <c r="D1491" s="13" t="s">
        <v>182</v>
      </c>
      <c r="E1491" s="35">
        <f>VLOOKUP(B1491, Passenger_Kilometre_by_mode_type[#All],MATCH(A1491, Passenger_Kilometre_by_mode_type[#Headers],0),0)</f>
        <v>6373422709.3424673</v>
      </c>
      <c r="F1491" s="89">
        <f>VLOOKUP(C1491, Reason_for_car_journeys_by_percentage[#All],MATCH(A1491, Reason_for_car_journeys_by_percentage[#Headers],0),0)/100</f>
        <v>0.28750000000000003</v>
      </c>
      <c r="G1491" s="13">
        <f t="shared" si="117"/>
        <v>1832359028.9359596</v>
      </c>
      <c r="H1491" s="89">
        <f>VLOOKUP(D1491,Average_Distance_by_kilometre_grouping_for_mode_type[#All],MATCH(A1491,Average_Distance_by_kilometre_grouping_for_mode_type[#Headers],0),0)</f>
        <v>7</v>
      </c>
      <c r="I1491" s="89">
        <f>VLOOKUP(D1491,Average_Distance_by_kilometres_grouping_for_trip_purpose[#All],MATCH(A1491,Average_Distance_by_kilometres_grouping_for_trip_purpose[#Headers],0),0)</f>
        <v>7</v>
      </c>
      <c r="J1491" s="89">
        <f t="shared" si="118"/>
        <v>7</v>
      </c>
      <c r="K1491" s="89">
        <f t="shared" si="119"/>
        <v>0.12023359670216421</v>
      </c>
      <c r="L1491" s="89">
        <v>1</v>
      </c>
      <c r="M1491" s="13">
        <f t="shared" si="120"/>
        <v>220311116.49865541</v>
      </c>
      <c r="N1491" s="11">
        <f t="shared" si="116"/>
        <v>3.495964723274343E-3</v>
      </c>
    </row>
    <row r="1492" spans="1:14" x14ac:dyDescent="0.25">
      <c r="A1492" s="79" t="s">
        <v>36</v>
      </c>
      <c r="B1492" s="89" t="s">
        <v>6</v>
      </c>
      <c r="C1492" s="89" t="s">
        <v>42</v>
      </c>
      <c r="D1492" s="13" t="s">
        <v>1</v>
      </c>
      <c r="E1492" s="35">
        <f>VLOOKUP(B1492, Passenger_Kilometre_by_mode_type[#All],MATCH(A1492, Passenger_Kilometre_by_mode_type[#Headers],0),0)</f>
        <v>6373422709.3424673</v>
      </c>
      <c r="F1492" s="89">
        <f>VLOOKUP(C1492, Reason_for_car_journeys_by_percentage[#All],MATCH(A1492, Reason_for_car_journeys_by_percentage[#Headers],0),0)/100</f>
        <v>0.28750000000000003</v>
      </c>
      <c r="G1492" s="13">
        <f t="shared" si="117"/>
        <v>1832359028.9359596</v>
      </c>
      <c r="H1492" s="89">
        <f>VLOOKUP(D1492,Average_Distance_by_kilometre_grouping_for_mode_type[#All],MATCH(A1492,Average_Distance_by_kilometre_grouping_for_mode_type[#Headers],0),0)</f>
        <v>41.2</v>
      </c>
      <c r="I1492" s="89">
        <f>VLOOKUP(D1492,Average_Distance_by_kilometres_grouping_for_trip_purpose[#All],MATCH(A1492,Average_Distance_by_kilometres_grouping_for_trip_purpose[#Headers],0),0)</f>
        <v>43.24</v>
      </c>
      <c r="J1492" s="89">
        <f t="shared" si="118"/>
        <v>42.22</v>
      </c>
      <c r="K1492" s="89">
        <f t="shared" si="119"/>
        <v>0.72518035039505324</v>
      </c>
      <c r="L1492" s="89">
        <v>1</v>
      </c>
      <c r="M1492" s="13">
        <f t="shared" si="120"/>
        <v>1328790762.6533186</v>
      </c>
      <c r="N1492" s="11">
        <f t="shared" si="116"/>
        <v>2.1085661516663249E-2</v>
      </c>
    </row>
    <row r="1493" spans="1:14" x14ac:dyDescent="0.25">
      <c r="A1493" s="79" t="s">
        <v>36</v>
      </c>
      <c r="B1493" s="89" t="s">
        <v>6</v>
      </c>
      <c r="C1493" s="89" t="s">
        <v>43</v>
      </c>
      <c r="D1493" s="13" t="s">
        <v>12</v>
      </c>
      <c r="E1493" s="35">
        <f>VLOOKUP(B1493, Passenger_Kilometre_by_mode_type[#All],MATCH(A1493, Passenger_Kilometre_by_mode_type[#Headers],0),0)</f>
        <v>6373422709.3424673</v>
      </c>
      <c r="F1493" s="89">
        <f>VLOOKUP(C1493, Reason_for_car_journeys_by_percentage[#All],MATCH(A1493, Reason_for_car_journeys_by_percentage[#Headers],0),0)/100</f>
        <v>2.6000000000000002E-2</v>
      </c>
      <c r="G1493" s="13">
        <f t="shared" si="117"/>
        <v>165708990.44290417</v>
      </c>
      <c r="H1493" s="89">
        <f>VLOOKUP(D1493,Average_Distance_by_kilometre_grouping_for_mode_type[#All],MATCH(A1493,Average_Distance_by_kilometre_grouping_for_mode_type[#Headers],0),0)</f>
        <v>1</v>
      </c>
      <c r="I1493" s="89">
        <f>VLOOKUP(D1493,Average_Distance_by_kilometres_grouping_for_trip_purpose[#All],MATCH(A1493,Average_Distance_by_kilometres_grouping_for_trip_purpose[#Headers],0),0)</f>
        <v>1</v>
      </c>
      <c r="J1493" s="89">
        <f t="shared" si="118"/>
        <v>1</v>
      </c>
      <c r="K1493" s="89">
        <f t="shared" si="119"/>
        <v>1.7176228100309172E-2</v>
      </c>
      <c r="L1493" s="89">
        <v>1</v>
      </c>
      <c r="M1493" s="13">
        <f t="shared" si="120"/>
        <v>2846255.4181192745</v>
      </c>
      <c r="N1493" s="11">
        <f t="shared" si="116"/>
        <v>4.5165258536712003E-5</v>
      </c>
    </row>
    <row r="1494" spans="1:14" x14ac:dyDescent="0.25">
      <c r="A1494" s="79" t="s">
        <v>36</v>
      </c>
      <c r="B1494" s="89" t="s">
        <v>6</v>
      </c>
      <c r="C1494" s="89" t="s">
        <v>43</v>
      </c>
      <c r="D1494" s="13" t="s">
        <v>181</v>
      </c>
      <c r="E1494" s="35">
        <f>VLOOKUP(B1494, Passenger_Kilometre_by_mode_type[#All],MATCH(A1494, Passenger_Kilometre_by_mode_type[#Headers],0),0)</f>
        <v>6373422709.3424673</v>
      </c>
      <c r="F1494" s="89">
        <f>VLOOKUP(C1494, Reason_for_car_journeys_by_percentage[#All],MATCH(A1494, Reason_for_car_journeys_by_percentage[#Headers],0),0)/100</f>
        <v>2.6000000000000002E-2</v>
      </c>
      <c r="G1494" s="13">
        <f t="shared" si="117"/>
        <v>165708990.44290417</v>
      </c>
      <c r="H1494" s="89">
        <f>VLOOKUP(D1494,Average_Distance_by_kilometre_grouping_for_mode_type[#All],MATCH(A1494,Average_Distance_by_kilometre_grouping_for_mode_type[#Headers],0),0)</f>
        <v>3</v>
      </c>
      <c r="I1494" s="89">
        <f>VLOOKUP(D1494,Average_Distance_by_kilometres_grouping_for_trip_purpose[#All],MATCH(A1494,Average_Distance_by_kilometres_grouping_for_trip_purpose[#Headers],0),0)</f>
        <v>3</v>
      </c>
      <c r="J1494" s="89">
        <f t="shared" si="118"/>
        <v>3</v>
      </c>
      <c r="K1494" s="89">
        <f t="shared" si="119"/>
        <v>5.1528684300927517E-2</v>
      </c>
      <c r="L1494" s="89">
        <v>1</v>
      </c>
      <c r="M1494" s="13">
        <f t="shared" si="120"/>
        <v>8538766.2543578241</v>
      </c>
      <c r="N1494" s="11">
        <f t="shared" si="116"/>
        <v>1.35495775610136E-4</v>
      </c>
    </row>
    <row r="1495" spans="1:14" x14ac:dyDescent="0.25">
      <c r="A1495" s="79" t="s">
        <v>36</v>
      </c>
      <c r="B1495" s="89" t="s">
        <v>6</v>
      </c>
      <c r="C1495" s="89" t="s">
        <v>43</v>
      </c>
      <c r="D1495" s="13" t="s">
        <v>180</v>
      </c>
      <c r="E1495" s="35">
        <f>VLOOKUP(B1495, Passenger_Kilometre_by_mode_type[#All],MATCH(A1495, Passenger_Kilometre_by_mode_type[#Headers],0),0)</f>
        <v>6373422709.3424673</v>
      </c>
      <c r="F1495" s="89">
        <f>VLOOKUP(C1495, Reason_for_car_journeys_by_percentage[#All],MATCH(A1495, Reason_for_car_journeys_by_percentage[#Headers],0),0)/100</f>
        <v>2.6000000000000002E-2</v>
      </c>
      <c r="G1495" s="13">
        <f t="shared" si="117"/>
        <v>165708990.44290417</v>
      </c>
      <c r="H1495" s="89">
        <f>VLOOKUP(D1495,Average_Distance_by_kilometre_grouping_for_mode_type[#All],MATCH(A1495,Average_Distance_by_kilometre_grouping_for_mode_type[#Headers],0),0)</f>
        <v>5</v>
      </c>
      <c r="I1495" s="89">
        <f>VLOOKUP(D1495,Average_Distance_by_kilometres_grouping_for_trip_purpose[#All],MATCH(A1495,Average_Distance_by_kilometres_grouping_for_trip_purpose[#Headers],0),0)</f>
        <v>5</v>
      </c>
      <c r="J1495" s="89">
        <f t="shared" si="118"/>
        <v>5</v>
      </c>
      <c r="K1495" s="89">
        <f t="shared" si="119"/>
        <v>8.5881140501545869E-2</v>
      </c>
      <c r="L1495" s="89">
        <v>1</v>
      </c>
      <c r="M1495" s="13">
        <f t="shared" si="120"/>
        <v>14231277.090596374</v>
      </c>
      <c r="N1495" s="11">
        <f t="shared" si="116"/>
        <v>2.2582629268356002E-4</v>
      </c>
    </row>
    <row r="1496" spans="1:14" x14ac:dyDescent="0.25">
      <c r="A1496" s="79" t="s">
        <v>36</v>
      </c>
      <c r="B1496" s="89" t="s">
        <v>6</v>
      </c>
      <c r="C1496" s="89" t="s">
        <v>43</v>
      </c>
      <c r="D1496" s="13" t="s">
        <v>182</v>
      </c>
      <c r="E1496" s="35">
        <f>VLOOKUP(B1496, Passenger_Kilometre_by_mode_type[#All],MATCH(A1496, Passenger_Kilometre_by_mode_type[#Headers],0),0)</f>
        <v>6373422709.3424673</v>
      </c>
      <c r="F1496" s="89">
        <f>VLOOKUP(C1496, Reason_for_car_journeys_by_percentage[#All],MATCH(A1496, Reason_for_car_journeys_by_percentage[#Headers],0),0)/100</f>
        <v>2.6000000000000002E-2</v>
      </c>
      <c r="G1496" s="13">
        <f t="shared" si="117"/>
        <v>165708990.44290417</v>
      </c>
      <c r="H1496" s="89">
        <f>VLOOKUP(D1496,Average_Distance_by_kilometre_grouping_for_mode_type[#All],MATCH(A1496,Average_Distance_by_kilometre_grouping_for_mode_type[#Headers],0),0)</f>
        <v>7</v>
      </c>
      <c r="I1496" s="89">
        <f>VLOOKUP(D1496,Average_Distance_by_kilometres_grouping_for_trip_purpose[#All],MATCH(A1496,Average_Distance_by_kilometres_grouping_for_trip_purpose[#Headers],0),0)</f>
        <v>7</v>
      </c>
      <c r="J1496" s="89">
        <f t="shared" si="118"/>
        <v>7</v>
      </c>
      <c r="K1496" s="89">
        <f t="shared" si="119"/>
        <v>0.12023359670216421</v>
      </c>
      <c r="L1496" s="89">
        <v>1</v>
      </c>
      <c r="M1496" s="13">
        <f t="shared" si="120"/>
        <v>19923787.926834926</v>
      </c>
      <c r="N1496" s="11">
        <f t="shared" si="116"/>
        <v>3.1615680975698407E-4</v>
      </c>
    </row>
    <row r="1497" spans="1:14" x14ac:dyDescent="0.25">
      <c r="A1497" s="79" t="s">
        <v>36</v>
      </c>
      <c r="B1497" s="89" t="s">
        <v>6</v>
      </c>
      <c r="C1497" s="89" t="s">
        <v>43</v>
      </c>
      <c r="D1497" s="13" t="s">
        <v>1</v>
      </c>
      <c r="E1497" s="35">
        <f>VLOOKUP(B1497, Passenger_Kilometre_by_mode_type[#All],MATCH(A1497, Passenger_Kilometre_by_mode_type[#Headers],0),0)</f>
        <v>6373422709.3424673</v>
      </c>
      <c r="F1497" s="89">
        <f>VLOOKUP(C1497, Reason_for_car_journeys_by_percentage[#All],MATCH(A1497, Reason_for_car_journeys_by_percentage[#Headers],0),0)/100</f>
        <v>2.6000000000000002E-2</v>
      </c>
      <c r="G1497" s="13">
        <f t="shared" si="117"/>
        <v>165708990.44290417</v>
      </c>
      <c r="H1497" s="89">
        <f>VLOOKUP(D1497,Average_Distance_by_kilometre_grouping_for_mode_type[#All],MATCH(A1497,Average_Distance_by_kilometre_grouping_for_mode_type[#Headers],0),0)</f>
        <v>41.2</v>
      </c>
      <c r="I1497" s="89">
        <f>VLOOKUP(D1497,Average_Distance_by_kilometres_grouping_for_trip_purpose[#All],MATCH(A1497,Average_Distance_by_kilometres_grouping_for_trip_purpose[#Headers],0),0)</f>
        <v>43.24</v>
      </c>
      <c r="J1497" s="89">
        <f t="shared" si="118"/>
        <v>42.22</v>
      </c>
      <c r="K1497" s="89">
        <f t="shared" si="119"/>
        <v>0.72518035039505324</v>
      </c>
      <c r="L1497" s="89">
        <v>1</v>
      </c>
      <c r="M1497" s="13">
        <f t="shared" si="120"/>
        <v>120168903.75299577</v>
      </c>
      <c r="N1497" s="11">
        <f t="shared" si="116"/>
        <v>1.9068772154199809E-3</v>
      </c>
    </row>
    <row r="1498" spans="1:14" x14ac:dyDescent="0.25">
      <c r="A1498" s="79" t="s">
        <v>36</v>
      </c>
      <c r="B1498" s="89" t="s">
        <v>6</v>
      </c>
      <c r="C1498" s="89" t="s">
        <v>44</v>
      </c>
      <c r="D1498" s="13" t="s">
        <v>12</v>
      </c>
      <c r="E1498" s="35">
        <f>VLOOKUP(B1498, Passenger_Kilometre_by_mode_type[#All],MATCH(A1498, Passenger_Kilometre_by_mode_type[#Headers],0),0)</f>
        <v>6373422709.3424673</v>
      </c>
      <c r="F1498" s="89">
        <f>VLOOKUP(C1498, Reason_for_car_journeys_by_percentage[#All],MATCH(A1498, Reason_for_car_journeys_by_percentage[#Headers],0),0)/100</f>
        <v>0.2235</v>
      </c>
      <c r="G1498" s="13">
        <f t="shared" si="117"/>
        <v>1424459975.5380414</v>
      </c>
      <c r="H1498" s="89">
        <f>VLOOKUP(D1498,Average_Distance_by_kilometre_grouping_for_mode_type[#All],MATCH(A1498,Average_Distance_by_kilometre_grouping_for_mode_type[#Headers],0),0)</f>
        <v>1</v>
      </c>
      <c r="I1498" s="89">
        <f>VLOOKUP(D1498,Average_Distance_by_kilometres_grouping_for_trip_purpose[#All],MATCH(A1498,Average_Distance_by_kilometres_grouping_for_trip_purpose[#Headers],0),0)</f>
        <v>1</v>
      </c>
      <c r="J1498" s="89">
        <f t="shared" si="118"/>
        <v>1</v>
      </c>
      <c r="K1498" s="89">
        <f t="shared" si="119"/>
        <v>1.7176228100309172E-2</v>
      </c>
      <c r="L1498" s="89">
        <v>1</v>
      </c>
      <c r="M1498" s="13">
        <f t="shared" si="120"/>
        <v>24466849.459602222</v>
      </c>
      <c r="N1498" s="11">
        <f t="shared" si="116"/>
        <v>3.8824751088288963E-4</v>
      </c>
    </row>
    <row r="1499" spans="1:14" x14ac:dyDescent="0.25">
      <c r="A1499" s="79" t="s">
        <v>36</v>
      </c>
      <c r="B1499" s="89" t="s">
        <v>6</v>
      </c>
      <c r="C1499" s="89" t="s">
        <v>44</v>
      </c>
      <c r="D1499" s="13" t="s">
        <v>181</v>
      </c>
      <c r="E1499" s="35">
        <f>VLOOKUP(B1499, Passenger_Kilometre_by_mode_type[#All],MATCH(A1499, Passenger_Kilometre_by_mode_type[#Headers],0),0)</f>
        <v>6373422709.3424673</v>
      </c>
      <c r="F1499" s="89">
        <f>VLOOKUP(C1499, Reason_for_car_journeys_by_percentage[#All],MATCH(A1499, Reason_for_car_journeys_by_percentage[#Headers],0),0)/100</f>
        <v>0.2235</v>
      </c>
      <c r="G1499" s="13">
        <f t="shared" si="117"/>
        <v>1424459975.5380414</v>
      </c>
      <c r="H1499" s="89">
        <f>VLOOKUP(D1499,Average_Distance_by_kilometre_grouping_for_mode_type[#All],MATCH(A1499,Average_Distance_by_kilometre_grouping_for_mode_type[#Headers],0),0)</f>
        <v>3</v>
      </c>
      <c r="I1499" s="89">
        <f>VLOOKUP(D1499,Average_Distance_by_kilometres_grouping_for_trip_purpose[#All],MATCH(A1499,Average_Distance_by_kilometres_grouping_for_trip_purpose[#Headers],0),0)</f>
        <v>3</v>
      </c>
      <c r="J1499" s="89">
        <f t="shared" si="118"/>
        <v>3</v>
      </c>
      <c r="K1499" s="89">
        <f t="shared" si="119"/>
        <v>5.1528684300927517E-2</v>
      </c>
      <c r="L1499" s="89">
        <v>1</v>
      </c>
      <c r="M1499" s="13">
        <f t="shared" si="120"/>
        <v>73400548.378806666</v>
      </c>
      <c r="N1499" s="11">
        <f t="shared" si="116"/>
        <v>1.164742532648669E-3</v>
      </c>
    </row>
    <row r="1500" spans="1:14" x14ac:dyDescent="0.25">
      <c r="A1500" s="79" t="s">
        <v>36</v>
      </c>
      <c r="B1500" s="89" t="s">
        <v>6</v>
      </c>
      <c r="C1500" s="89" t="s">
        <v>44</v>
      </c>
      <c r="D1500" s="13" t="s">
        <v>180</v>
      </c>
      <c r="E1500" s="35">
        <f>VLOOKUP(B1500, Passenger_Kilometre_by_mode_type[#All],MATCH(A1500, Passenger_Kilometre_by_mode_type[#Headers],0),0)</f>
        <v>6373422709.3424673</v>
      </c>
      <c r="F1500" s="89">
        <f>VLOOKUP(C1500, Reason_for_car_journeys_by_percentage[#All],MATCH(A1500, Reason_for_car_journeys_by_percentage[#Headers],0),0)/100</f>
        <v>0.2235</v>
      </c>
      <c r="G1500" s="13">
        <f t="shared" si="117"/>
        <v>1424459975.5380414</v>
      </c>
      <c r="H1500" s="89">
        <f>VLOOKUP(D1500,Average_Distance_by_kilometre_grouping_for_mode_type[#All],MATCH(A1500,Average_Distance_by_kilometre_grouping_for_mode_type[#Headers],0),0)</f>
        <v>5</v>
      </c>
      <c r="I1500" s="89">
        <f>VLOOKUP(D1500,Average_Distance_by_kilometres_grouping_for_trip_purpose[#All],MATCH(A1500,Average_Distance_by_kilometres_grouping_for_trip_purpose[#Headers],0),0)</f>
        <v>5</v>
      </c>
      <c r="J1500" s="89">
        <f t="shared" si="118"/>
        <v>5</v>
      </c>
      <c r="K1500" s="89">
        <f t="shared" si="119"/>
        <v>8.5881140501545869E-2</v>
      </c>
      <c r="L1500" s="89">
        <v>1</v>
      </c>
      <c r="M1500" s="13">
        <f t="shared" si="120"/>
        <v>122334247.29801112</v>
      </c>
      <c r="N1500" s="11">
        <f t="shared" si="116"/>
        <v>1.9412375544144485E-3</v>
      </c>
    </row>
    <row r="1501" spans="1:14" x14ac:dyDescent="0.25">
      <c r="A1501" s="79" t="s">
        <v>36</v>
      </c>
      <c r="B1501" s="89" t="s">
        <v>6</v>
      </c>
      <c r="C1501" s="89" t="s">
        <v>44</v>
      </c>
      <c r="D1501" s="13" t="s">
        <v>182</v>
      </c>
      <c r="E1501" s="35">
        <f>VLOOKUP(B1501, Passenger_Kilometre_by_mode_type[#All],MATCH(A1501, Passenger_Kilometre_by_mode_type[#Headers],0),0)</f>
        <v>6373422709.3424673</v>
      </c>
      <c r="F1501" s="89">
        <f>VLOOKUP(C1501, Reason_for_car_journeys_by_percentage[#All],MATCH(A1501, Reason_for_car_journeys_by_percentage[#Headers],0),0)/100</f>
        <v>0.2235</v>
      </c>
      <c r="G1501" s="13">
        <f t="shared" si="117"/>
        <v>1424459975.5380414</v>
      </c>
      <c r="H1501" s="89">
        <f>VLOOKUP(D1501,Average_Distance_by_kilometre_grouping_for_mode_type[#All],MATCH(A1501,Average_Distance_by_kilometre_grouping_for_mode_type[#Headers],0),0)</f>
        <v>7</v>
      </c>
      <c r="I1501" s="89">
        <f>VLOOKUP(D1501,Average_Distance_by_kilometres_grouping_for_trip_purpose[#All],MATCH(A1501,Average_Distance_by_kilometres_grouping_for_trip_purpose[#Headers],0),0)</f>
        <v>7</v>
      </c>
      <c r="J1501" s="89">
        <f t="shared" si="118"/>
        <v>7</v>
      </c>
      <c r="K1501" s="89">
        <f t="shared" si="119"/>
        <v>0.12023359670216421</v>
      </c>
      <c r="L1501" s="89">
        <v>1</v>
      </c>
      <c r="M1501" s="13">
        <f t="shared" si="120"/>
        <v>171267946.21721557</v>
      </c>
      <c r="N1501" s="11">
        <f t="shared" si="116"/>
        <v>2.7177325761802277E-3</v>
      </c>
    </row>
    <row r="1502" spans="1:14" x14ac:dyDescent="0.25">
      <c r="A1502" s="79" t="s">
        <v>36</v>
      </c>
      <c r="B1502" s="89" t="s">
        <v>6</v>
      </c>
      <c r="C1502" s="89" t="s">
        <v>44</v>
      </c>
      <c r="D1502" s="13" t="s">
        <v>1</v>
      </c>
      <c r="E1502" s="35">
        <f>VLOOKUP(B1502, Passenger_Kilometre_by_mode_type[#All],MATCH(A1502, Passenger_Kilometre_by_mode_type[#Headers],0),0)</f>
        <v>6373422709.3424673</v>
      </c>
      <c r="F1502" s="89">
        <f>VLOOKUP(C1502, Reason_for_car_journeys_by_percentage[#All],MATCH(A1502, Reason_for_car_journeys_by_percentage[#Headers],0),0)/100</f>
        <v>0.2235</v>
      </c>
      <c r="G1502" s="13">
        <f t="shared" si="117"/>
        <v>1424459975.5380414</v>
      </c>
      <c r="H1502" s="89">
        <f>VLOOKUP(D1502,Average_Distance_by_kilometre_grouping_for_mode_type[#All],MATCH(A1502,Average_Distance_by_kilometre_grouping_for_mode_type[#Headers],0),0)</f>
        <v>41.2</v>
      </c>
      <c r="I1502" s="89">
        <f>VLOOKUP(D1502,Average_Distance_by_kilometres_grouping_for_trip_purpose[#All],MATCH(A1502,Average_Distance_by_kilometres_grouping_for_trip_purpose[#Headers],0),0)</f>
        <v>43.24</v>
      </c>
      <c r="J1502" s="89">
        <f t="shared" si="118"/>
        <v>42.22</v>
      </c>
      <c r="K1502" s="89">
        <f t="shared" si="119"/>
        <v>0.72518035039505324</v>
      </c>
      <c r="L1502" s="89">
        <v>1</v>
      </c>
      <c r="M1502" s="13">
        <f t="shared" si="120"/>
        <v>1032990384.1844058</v>
      </c>
      <c r="N1502" s="11">
        <f t="shared" si="116"/>
        <v>1.6391809909475603E-2</v>
      </c>
    </row>
    <row r="1503" spans="1:14" x14ac:dyDescent="0.25">
      <c r="A1503" s="79" t="s">
        <v>36</v>
      </c>
      <c r="B1503" s="89" t="s">
        <v>6</v>
      </c>
      <c r="C1503" s="89" t="s">
        <v>45</v>
      </c>
      <c r="D1503" s="13" t="s">
        <v>12</v>
      </c>
      <c r="E1503" s="35">
        <f>VLOOKUP(B1503, Passenger_Kilometre_by_mode_type[#All],MATCH(A1503, Passenger_Kilometre_by_mode_type[#Headers],0),0)</f>
        <v>6373422709.3424673</v>
      </c>
      <c r="F1503" s="89">
        <f>VLOOKUP(C1503, Reason_for_car_journeys_by_percentage[#All],MATCH(A1503, Reason_for_car_journeys_by_percentage[#Headers],0),0)/100</f>
        <v>1.7000000000000001E-2</v>
      </c>
      <c r="G1503" s="13">
        <f t="shared" si="117"/>
        <v>108348186.05882195</v>
      </c>
      <c r="H1503" s="89">
        <f>VLOOKUP(D1503,Average_Distance_by_kilometre_grouping_for_mode_type[#All],MATCH(A1503,Average_Distance_by_kilometre_grouping_for_mode_type[#Headers],0),0)</f>
        <v>1</v>
      </c>
      <c r="I1503" s="89">
        <f>VLOOKUP(D1503,Average_Distance_by_kilometres_grouping_for_trip_purpose[#All],MATCH(A1503,Average_Distance_by_kilometres_grouping_for_trip_purpose[#Headers],0),0)</f>
        <v>1</v>
      </c>
      <c r="J1503" s="89">
        <f t="shared" si="118"/>
        <v>1</v>
      </c>
      <c r="K1503" s="89">
        <f t="shared" si="119"/>
        <v>1.7176228100309172E-2</v>
      </c>
      <c r="L1503" s="89">
        <v>1</v>
      </c>
      <c r="M1503" s="13">
        <f t="shared" si="120"/>
        <v>1861013.1580010641</v>
      </c>
      <c r="N1503" s="11">
        <f t="shared" si="116"/>
        <v>2.953113058169631E-5</v>
      </c>
    </row>
    <row r="1504" spans="1:14" x14ac:dyDescent="0.25">
      <c r="A1504" s="79" t="s">
        <v>36</v>
      </c>
      <c r="B1504" s="89" t="s">
        <v>6</v>
      </c>
      <c r="C1504" s="89" t="s">
        <v>45</v>
      </c>
      <c r="D1504" s="13" t="s">
        <v>181</v>
      </c>
      <c r="E1504" s="35">
        <f>VLOOKUP(B1504, Passenger_Kilometre_by_mode_type[#All],MATCH(A1504, Passenger_Kilometre_by_mode_type[#Headers],0),0)</f>
        <v>6373422709.3424673</v>
      </c>
      <c r="F1504" s="89">
        <f>VLOOKUP(C1504, Reason_for_car_journeys_by_percentage[#All],MATCH(A1504, Reason_for_car_journeys_by_percentage[#Headers],0),0)/100</f>
        <v>1.7000000000000001E-2</v>
      </c>
      <c r="G1504" s="13">
        <f t="shared" si="117"/>
        <v>108348186.05882195</v>
      </c>
      <c r="H1504" s="89">
        <f>VLOOKUP(D1504,Average_Distance_by_kilometre_grouping_for_mode_type[#All],MATCH(A1504,Average_Distance_by_kilometre_grouping_for_mode_type[#Headers],0),0)</f>
        <v>3</v>
      </c>
      <c r="I1504" s="89">
        <f>VLOOKUP(D1504,Average_Distance_by_kilometres_grouping_for_trip_purpose[#All],MATCH(A1504,Average_Distance_by_kilometres_grouping_for_trip_purpose[#Headers],0),0)</f>
        <v>3</v>
      </c>
      <c r="J1504" s="89">
        <f t="shared" si="118"/>
        <v>3</v>
      </c>
      <c r="K1504" s="89">
        <f t="shared" si="119"/>
        <v>5.1528684300927517E-2</v>
      </c>
      <c r="L1504" s="89">
        <v>1</v>
      </c>
      <c r="M1504" s="13">
        <f t="shared" si="120"/>
        <v>5583039.474003192</v>
      </c>
      <c r="N1504" s="11">
        <f t="shared" si="116"/>
        <v>8.859339174508892E-5</v>
      </c>
    </row>
    <row r="1505" spans="1:14" x14ac:dyDescent="0.25">
      <c r="A1505" s="79" t="s">
        <v>36</v>
      </c>
      <c r="B1505" s="89" t="s">
        <v>6</v>
      </c>
      <c r="C1505" s="89" t="s">
        <v>45</v>
      </c>
      <c r="D1505" s="13" t="s">
        <v>180</v>
      </c>
      <c r="E1505" s="35">
        <f>VLOOKUP(B1505, Passenger_Kilometre_by_mode_type[#All],MATCH(A1505, Passenger_Kilometre_by_mode_type[#Headers],0),0)</f>
        <v>6373422709.3424673</v>
      </c>
      <c r="F1505" s="89">
        <f>VLOOKUP(C1505, Reason_for_car_journeys_by_percentage[#All],MATCH(A1505, Reason_for_car_journeys_by_percentage[#Headers],0),0)/100</f>
        <v>1.7000000000000001E-2</v>
      </c>
      <c r="G1505" s="13">
        <f t="shared" si="117"/>
        <v>108348186.05882195</v>
      </c>
      <c r="H1505" s="89">
        <f>VLOOKUP(D1505,Average_Distance_by_kilometre_grouping_for_mode_type[#All],MATCH(A1505,Average_Distance_by_kilometre_grouping_for_mode_type[#Headers],0),0)</f>
        <v>5</v>
      </c>
      <c r="I1505" s="89">
        <f>VLOOKUP(D1505,Average_Distance_by_kilometres_grouping_for_trip_purpose[#All],MATCH(A1505,Average_Distance_by_kilometres_grouping_for_trip_purpose[#Headers],0),0)</f>
        <v>5</v>
      </c>
      <c r="J1505" s="89">
        <f t="shared" si="118"/>
        <v>5</v>
      </c>
      <c r="K1505" s="89">
        <f t="shared" si="119"/>
        <v>8.5881140501545869E-2</v>
      </c>
      <c r="L1505" s="89">
        <v>1</v>
      </c>
      <c r="M1505" s="13">
        <f t="shared" si="120"/>
        <v>9305065.7900053207</v>
      </c>
      <c r="N1505" s="11">
        <f t="shared" si="116"/>
        <v>1.4765565290848155E-4</v>
      </c>
    </row>
    <row r="1506" spans="1:14" x14ac:dyDescent="0.25">
      <c r="A1506" s="79" t="s">
        <v>36</v>
      </c>
      <c r="B1506" s="89" t="s">
        <v>6</v>
      </c>
      <c r="C1506" s="89" t="s">
        <v>45</v>
      </c>
      <c r="D1506" s="13" t="s">
        <v>182</v>
      </c>
      <c r="E1506" s="35">
        <f>VLOOKUP(B1506, Passenger_Kilometre_by_mode_type[#All],MATCH(A1506, Passenger_Kilometre_by_mode_type[#Headers],0),0)</f>
        <v>6373422709.3424673</v>
      </c>
      <c r="F1506" s="89">
        <f>VLOOKUP(C1506, Reason_for_car_journeys_by_percentage[#All],MATCH(A1506, Reason_for_car_journeys_by_percentage[#Headers],0),0)/100</f>
        <v>1.7000000000000001E-2</v>
      </c>
      <c r="G1506" s="13">
        <f t="shared" si="117"/>
        <v>108348186.05882195</v>
      </c>
      <c r="H1506" s="89">
        <f>VLOOKUP(D1506,Average_Distance_by_kilometre_grouping_for_mode_type[#All],MATCH(A1506,Average_Distance_by_kilometre_grouping_for_mode_type[#Headers],0),0)</f>
        <v>7</v>
      </c>
      <c r="I1506" s="89">
        <f>VLOOKUP(D1506,Average_Distance_by_kilometres_grouping_for_trip_purpose[#All],MATCH(A1506,Average_Distance_by_kilometres_grouping_for_trip_purpose[#Headers],0),0)</f>
        <v>7</v>
      </c>
      <c r="J1506" s="89">
        <f t="shared" si="118"/>
        <v>7</v>
      </c>
      <c r="K1506" s="89">
        <f t="shared" si="119"/>
        <v>0.12023359670216421</v>
      </c>
      <c r="L1506" s="89">
        <v>1</v>
      </c>
      <c r="M1506" s="13">
        <f t="shared" si="120"/>
        <v>13027092.106007449</v>
      </c>
      <c r="N1506" s="11">
        <f t="shared" si="116"/>
        <v>2.0671791407187416E-4</v>
      </c>
    </row>
    <row r="1507" spans="1:14" x14ac:dyDescent="0.25">
      <c r="A1507" s="79" t="s">
        <v>36</v>
      </c>
      <c r="B1507" s="89" t="s">
        <v>6</v>
      </c>
      <c r="C1507" s="89" t="s">
        <v>45</v>
      </c>
      <c r="D1507" s="13" t="s">
        <v>1</v>
      </c>
      <c r="E1507" s="35">
        <f>VLOOKUP(B1507, Passenger_Kilometre_by_mode_type[#All],MATCH(A1507, Passenger_Kilometre_by_mode_type[#Headers],0),0)</f>
        <v>6373422709.3424673</v>
      </c>
      <c r="F1507" s="89">
        <f>VLOOKUP(C1507, Reason_for_car_journeys_by_percentage[#All],MATCH(A1507, Reason_for_car_journeys_by_percentage[#Headers],0),0)/100</f>
        <v>1.7000000000000001E-2</v>
      </c>
      <c r="G1507" s="13">
        <f t="shared" si="117"/>
        <v>108348186.05882195</v>
      </c>
      <c r="H1507" s="89">
        <f>VLOOKUP(D1507,Average_Distance_by_kilometre_grouping_for_mode_type[#All],MATCH(A1507,Average_Distance_by_kilometre_grouping_for_mode_type[#Headers],0),0)</f>
        <v>41.2</v>
      </c>
      <c r="I1507" s="89">
        <f>VLOOKUP(D1507,Average_Distance_by_kilometres_grouping_for_trip_purpose[#All],MATCH(A1507,Average_Distance_by_kilometres_grouping_for_trip_purpose[#Headers],0),0)</f>
        <v>43.24</v>
      </c>
      <c r="J1507" s="89">
        <f t="shared" si="118"/>
        <v>42.22</v>
      </c>
      <c r="K1507" s="89">
        <f t="shared" si="119"/>
        <v>0.72518035039505324</v>
      </c>
      <c r="L1507" s="89">
        <v>1</v>
      </c>
      <c r="M1507" s="13">
        <f t="shared" si="120"/>
        <v>78571975.530804917</v>
      </c>
      <c r="N1507" s="11">
        <f t="shared" si="116"/>
        <v>1.2468043331592181E-3</v>
      </c>
    </row>
    <row r="1508" spans="1:14" x14ac:dyDescent="0.25">
      <c r="A1508" s="79" t="s">
        <v>36</v>
      </c>
      <c r="B1508" s="89" t="s">
        <v>6</v>
      </c>
      <c r="C1508" s="89" t="s">
        <v>56</v>
      </c>
      <c r="D1508" s="13" t="s">
        <v>12</v>
      </c>
      <c r="E1508" s="35">
        <f>VLOOKUP(B1508, Passenger_Kilometre_by_mode_type[#All],MATCH(A1508, Passenger_Kilometre_by_mode_type[#Headers],0),0)</f>
        <v>6373422709.3424673</v>
      </c>
      <c r="F1508" s="89">
        <f>VLOOKUP(C1508, Reason_for_car_journeys_by_percentage[#All],MATCH(A1508, Reason_for_car_journeys_by_percentage[#Headers],0),0)/100</f>
        <v>9.425E-2</v>
      </c>
      <c r="G1508" s="13">
        <f t="shared" si="117"/>
        <v>600695090.35552752</v>
      </c>
      <c r="H1508" s="89">
        <f>VLOOKUP(D1508,Average_Distance_by_kilometre_grouping_for_mode_type[#All],MATCH(A1508,Average_Distance_by_kilometre_grouping_for_mode_type[#Headers],0),0)</f>
        <v>1</v>
      </c>
      <c r="I1508" s="89">
        <f>VLOOKUP(D1508,Average_Distance_by_kilometres_grouping_for_trip_purpose[#All],MATCH(A1508,Average_Distance_by_kilometres_grouping_for_trip_purpose[#Headers],0),0)</f>
        <v>1</v>
      </c>
      <c r="J1508" s="89">
        <f t="shared" si="118"/>
        <v>1</v>
      </c>
      <c r="K1508" s="89">
        <f t="shared" si="119"/>
        <v>1.7176228100309172E-2</v>
      </c>
      <c r="L1508" s="89">
        <v>1</v>
      </c>
      <c r="M1508" s="13">
        <f t="shared" si="120"/>
        <v>10317675.890682369</v>
      </c>
      <c r="N1508" s="11">
        <f t="shared" ref="N1508:N1571" si="121">M1508/SUM($M$1443:$M$1803)</f>
        <v>1.6372406219558101E-4</v>
      </c>
    </row>
    <row r="1509" spans="1:14" x14ac:dyDescent="0.25">
      <c r="A1509" s="79" t="s">
        <v>36</v>
      </c>
      <c r="B1509" s="89" t="s">
        <v>6</v>
      </c>
      <c r="C1509" s="89" t="s">
        <v>56</v>
      </c>
      <c r="D1509" s="13" t="s">
        <v>181</v>
      </c>
      <c r="E1509" s="35">
        <f>VLOOKUP(B1509, Passenger_Kilometre_by_mode_type[#All],MATCH(A1509, Passenger_Kilometre_by_mode_type[#Headers],0),0)</f>
        <v>6373422709.3424673</v>
      </c>
      <c r="F1509" s="89">
        <f>VLOOKUP(C1509, Reason_for_car_journeys_by_percentage[#All],MATCH(A1509, Reason_for_car_journeys_by_percentage[#Headers],0),0)/100</f>
        <v>9.425E-2</v>
      </c>
      <c r="G1509" s="13">
        <f t="shared" si="117"/>
        <v>600695090.35552752</v>
      </c>
      <c r="H1509" s="89">
        <f>VLOOKUP(D1509,Average_Distance_by_kilometre_grouping_for_mode_type[#All],MATCH(A1509,Average_Distance_by_kilometre_grouping_for_mode_type[#Headers],0),0)</f>
        <v>3</v>
      </c>
      <c r="I1509" s="89">
        <f>VLOOKUP(D1509,Average_Distance_by_kilometres_grouping_for_trip_purpose[#All],MATCH(A1509,Average_Distance_by_kilometres_grouping_for_trip_purpose[#Headers],0),0)</f>
        <v>3</v>
      </c>
      <c r="J1509" s="89">
        <f t="shared" si="118"/>
        <v>3</v>
      </c>
      <c r="K1509" s="89">
        <f t="shared" si="119"/>
        <v>5.1528684300927517E-2</v>
      </c>
      <c r="L1509" s="89">
        <v>1</v>
      </c>
      <c r="M1509" s="13">
        <f t="shared" si="120"/>
        <v>30953027.672047108</v>
      </c>
      <c r="N1509" s="11">
        <f t="shared" si="121"/>
        <v>4.9117218658674302E-4</v>
      </c>
    </row>
    <row r="1510" spans="1:14" x14ac:dyDescent="0.25">
      <c r="A1510" s="79" t="s">
        <v>36</v>
      </c>
      <c r="B1510" s="89" t="s">
        <v>6</v>
      </c>
      <c r="C1510" s="89" t="s">
        <v>56</v>
      </c>
      <c r="D1510" s="13" t="s">
        <v>180</v>
      </c>
      <c r="E1510" s="35">
        <f>VLOOKUP(B1510, Passenger_Kilometre_by_mode_type[#All],MATCH(A1510, Passenger_Kilometre_by_mode_type[#Headers],0),0)</f>
        <v>6373422709.3424673</v>
      </c>
      <c r="F1510" s="89">
        <f>VLOOKUP(C1510, Reason_for_car_journeys_by_percentage[#All],MATCH(A1510, Reason_for_car_journeys_by_percentage[#Headers],0),0)/100</f>
        <v>9.425E-2</v>
      </c>
      <c r="G1510" s="13">
        <f t="shared" si="117"/>
        <v>600695090.35552752</v>
      </c>
      <c r="H1510" s="89">
        <f>VLOOKUP(D1510,Average_Distance_by_kilometre_grouping_for_mode_type[#All],MATCH(A1510,Average_Distance_by_kilometre_grouping_for_mode_type[#Headers],0),0)</f>
        <v>5</v>
      </c>
      <c r="I1510" s="89">
        <f>VLOOKUP(D1510,Average_Distance_by_kilometres_grouping_for_trip_purpose[#All],MATCH(A1510,Average_Distance_by_kilometres_grouping_for_trip_purpose[#Headers],0),0)</f>
        <v>5</v>
      </c>
      <c r="J1510" s="89">
        <f t="shared" si="118"/>
        <v>5</v>
      </c>
      <c r="K1510" s="89">
        <f t="shared" si="119"/>
        <v>8.5881140501545869E-2</v>
      </c>
      <c r="L1510" s="89">
        <v>1</v>
      </c>
      <c r="M1510" s="13">
        <f t="shared" si="120"/>
        <v>51588379.453411847</v>
      </c>
      <c r="N1510" s="11">
        <f t="shared" si="121"/>
        <v>8.1862031097790504E-4</v>
      </c>
    </row>
    <row r="1511" spans="1:14" x14ac:dyDescent="0.25">
      <c r="A1511" s="79" t="s">
        <v>36</v>
      </c>
      <c r="B1511" s="89" t="s">
        <v>6</v>
      </c>
      <c r="C1511" s="89" t="s">
        <v>56</v>
      </c>
      <c r="D1511" s="13" t="s">
        <v>182</v>
      </c>
      <c r="E1511" s="35">
        <f>VLOOKUP(B1511, Passenger_Kilometre_by_mode_type[#All],MATCH(A1511, Passenger_Kilometre_by_mode_type[#Headers],0),0)</f>
        <v>6373422709.3424673</v>
      </c>
      <c r="F1511" s="89">
        <f>VLOOKUP(C1511, Reason_for_car_journeys_by_percentage[#All],MATCH(A1511, Reason_for_car_journeys_by_percentage[#Headers],0),0)/100</f>
        <v>9.425E-2</v>
      </c>
      <c r="G1511" s="13">
        <f t="shared" si="117"/>
        <v>600695090.35552752</v>
      </c>
      <c r="H1511" s="89">
        <f>VLOOKUP(D1511,Average_Distance_by_kilometre_grouping_for_mode_type[#All],MATCH(A1511,Average_Distance_by_kilometre_grouping_for_mode_type[#Headers],0),0)</f>
        <v>7</v>
      </c>
      <c r="I1511" s="89">
        <f>VLOOKUP(D1511,Average_Distance_by_kilometres_grouping_for_trip_purpose[#All],MATCH(A1511,Average_Distance_by_kilometres_grouping_for_trip_purpose[#Headers],0),0)</f>
        <v>7</v>
      </c>
      <c r="J1511" s="89">
        <f t="shared" si="118"/>
        <v>7</v>
      </c>
      <c r="K1511" s="89">
        <f t="shared" si="119"/>
        <v>0.12023359670216421</v>
      </c>
      <c r="L1511" s="89">
        <v>1</v>
      </c>
      <c r="M1511" s="13">
        <f t="shared" si="120"/>
        <v>72223731.234776586</v>
      </c>
      <c r="N1511" s="11">
        <f t="shared" si="121"/>
        <v>1.1460684353690671E-3</v>
      </c>
    </row>
    <row r="1512" spans="1:14" x14ac:dyDescent="0.25">
      <c r="A1512" s="79" t="s">
        <v>36</v>
      </c>
      <c r="B1512" s="89" t="s">
        <v>6</v>
      </c>
      <c r="C1512" s="89" t="s">
        <v>56</v>
      </c>
      <c r="D1512" s="13" t="s">
        <v>1</v>
      </c>
      <c r="E1512" s="35">
        <f>VLOOKUP(B1512, Passenger_Kilometre_by_mode_type[#All],MATCH(A1512, Passenger_Kilometre_by_mode_type[#Headers],0),0)</f>
        <v>6373422709.3424673</v>
      </c>
      <c r="F1512" s="89">
        <f>VLOOKUP(C1512, Reason_for_car_journeys_by_percentage[#All],MATCH(A1512, Reason_for_car_journeys_by_percentage[#Headers],0),0)/100</f>
        <v>9.425E-2</v>
      </c>
      <c r="G1512" s="13">
        <f t="shared" si="117"/>
        <v>600695090.35552752</v>
      </c>
      <c r="H1512" s="89">
        <f>VLOOKUP(D1512,Average_Distance_by_kilometre_grouping_for_mode_type[#All],MATCH(A1512,Average_Distance_by_kilometre_grouping_for_mode_type[#Headers],0),0)</f>
        <v>41.2</v>
      </c>
      <c r="I1512" s="89">
        <f>VLOOKUP(D1512,Average_Distance_by_kilometres_grouping_for_trip_purpose[#All],MATCH(A1512,Average_Distance_by_kilometres_grouping_for_trip_purpose[#Headers],0),0)</f>
        <v>43.24</v>
      </c>
      <c r="J1512" s="89">
        <f t="shared" si="118"/>
        <v>42.22</v>
      </c>
      <c r="K1512" s="89">
        <f t="shared" si="119"/>
        <v>0.72518035039505324</v>
      </c>
      <c r="L1512" s="89">
        <v>1</v>
      </c>
      <c r="M1512" s="13">
        <f t="shared" si="120"/>
        <v>435612276.10460961</v>
      </c>
      <c r="N1512" s="11">
        <f t="shared" si="121"/>
        <v>6.9124299058974294E-3</v>
      </c>
    </row>
    <row r="1513" spans="1:14" x14ac:dyDescent="0.25">
      <c r="A1513" s="79" t="s">
        <v>36</v>
      </c>
      <c r="B1513" s="89" t="s">
        <v>6</v>
      </c>
      <c r="C1513" s="89" t="s">
        <v>57</v>
      </c>
      <c r="D1513" s="13" t="s">
        <v>12</v>
      </c>
      <c r="E1513" s="35">
        <f>VLOOKUP(B1513, Passenger_Kilometre_by_mode_type[#All],MATCH(A1513, Passenger_Kilometre_by_mode_type[#Headers],0),0)</f>
        <v>6373422709.3424673</v>
      </c>
      <c r="F1513" s="89">
        <f>VLOOKUP(C1513, Reason_for_car_journeys_by_percentage[#All],MATCH(A1513, Reason_for_car_journeys_by_percentage[#Headers],0),0)/100</f>
        <v>7.5000000000000011E-2</v>
      </c>
      <c r="G1513" s="13">
        <f t="shared" si="117"/>
        <v>478006703.20068514</v>
      </c>
      <c r="H1513" s="89">
        <f>VLOOKUP(D1513,Average_Distance_by_kilometre_grouping_for_mode_type[#All],MATCH(A1513,Average_Distance_by_kilometre_grouping_for_mode_type[#Headers],0),0)</f>
        <v>1</v>
      </c>
      <c r="I1513" s="89">
        <f>VLOOKUP(D1513,Average_Distance_by_kilometres_grouping_for_trip_purpose[#All],MATCH(A1513,Average_Distance_by_kilometres_grouping_for_trip_purpose[#Headers],0),0)</f>
        <v>1</v>
      </c>
      <c r="J1513" s="89">
        <f t="shared" si="118"/>
        <v>1</v>
      </c>
      <c r="K1513" s="89">
        <f t="shared" si="119"/>
        <v>1.7176228100309172E-2</v>
      </c>
      <c r="L1513" s="89">
        <v>1</v>
      </c>
      <c r="M1513" s="13">
        <f t="shared" si="120"/>
        <v>8210352.1676517548</v>
      </c>
      <c r="N1513" s="11">
        <f t="shared" si="121"/>
        <v>1.302843996251308E-4</v>
      </c>
    </row>
    <row r="1514" spans="1:14" x14ac:dyDescent="0.25">
      <c r="A1514" s="79" t="s">
        <v>36</v>
      </c>
      <c r="B1514" s="89" t="s">
        <v>6</v>
      </c>
      <c r="C1514" s="89" t="s">
        <v>57</v>
      </c>
      <c r="D1514" s="13" t="s">
        <v>181</v>
      </c>
      <c r="E1514" s="35">
        <f>VLOOKUP(B1514, Passenger_Kilometre_by_mode_type[#All],MATCH(A1514, Passenger_Kilometre_by_mode_type[#Headers],0),0)</f>
        <v>6373422709.3424673</v>
      </c>
      <c r="F1514" s="89">
        <f>VLOOKUP(C1514, Reason_for_car_journeys_by_percentage[#All],MATCH(A1514, Reason_for_car_journeys_by_percentage[#Headers],0),0)/100</f>
        <v>7.5000000000000011E-2</v>
      </c>
      <c r="G1514" s="13">
        <f t="shared" si="117"/>
        <v>478006703.20068514</v>
      </c>
      <c r="H1514" s="89">
        <f>VLOOKUP(D1514,Average_Distance_by_kilometre_grouping_for_mode_type[#All],MATCH(A1514,Average_Distance_by_kilometre_grouping_for_mode_type[#Headers],0),0)</f>
        <v>3</v>
      </c>
      <c r="I1514" s="89">
        <f>VLOOKUP(D1514,Average_Distance_by_kilometres_grouping_for_trip_purpose[#All],MATCH(A1514,Average_Distance_by_kilometres_grouping_for_trip_purpose[#Headers],0),0)</f>
        <v>3</v>
      </c>
      <c r="J1514" s="89">
        <f t="shared" si="118"/>
        <v>3</v>
      </c>
      <c r="K1514" s="89">
        <f t="shared" si="119"/>
        <v>5.1528684300927517E-2</v>
      </c>
      <c r="L1514" s="89">
        <v>1</v>
      </c>
      <c r="M1514" s="13">
        <f t="shared" si="120"/>
        <v>24631056.502955265</v>
      </c>
      <c r="N1514" s="11">
        <f t="shared" si="121"/>
        <v>3.9085319887539242E-4</v>
      </c>
    </row>
    <row r="1515" spans="1:14" x14ac:dyDescent="0.25">
      <c r="A1515" s="79" t="s">
        <v>36</v>
      </c>
      <c r="B1515" s="89" t="s">
        <v>6</v>
      </c>
      <c r="C1515" s="89" t="s">
        <v>57</v>
      </c>
      <c r="D1515" s="13" t="s">
        <v>180</v>
      </c>
      <c r="E1515" s="35">
        <f>VLOOKUP(B1515, Passenger_Kilometre_by_mode_type[#All],MATCH(A1515, Passenger_Kilometre_by_mode_type[#Headers],0),0)</f>
        <v>6373422709.3424673</v>
      </c>
      <c r="F1515" s="89">
        <f>VLOOKUP(C1515, Reason_for_car_journeys_by_percentage[#All],MATCH(A1515, Reason_for_car_journeys_by_percentage[#Headers],0),0)/100</f>
        <v>7.5000000000000011E-2</v>
      </c>
      <c r="G1515" s="13">
        <f t="shared" si="117"/>
        <v>478006703.20068514</v>
      </c>
      <c r="H1515" s="89">
        <f>VLOOKUP(D1515,Average_Distance_by_kilometre_grouping_for_mode_type[#All],MATCH(A1515,Average_Distance_by_kilometre_grouping_for_mode_type[#Headers],0),0)</f>
        <v>5</v>
      </c>
      <c r="I1515" s="89">
        <f>VLOOKUP(D1515,Average_Distance_by_kilometres_grouping_for_trip_purpose[#All],MATCH(A1515,Average_Distance_by_kilometres_grouping_for_trip_purpose[#Headers],0),0)</f>
        <v>5</v>
      </c>
      <c r="J1515" s="89">
        <f t="shared" si="118"/>
        <v>5</v>
      </c>
      <c r="K1515" s="89">
        <f t="shared" si="119"/>
        <v>8.5881140501545869E-2</v>
      </c>
      <c r="L1515" s="89">
        <v>1</v>
      </c>
      <c r="M1515" s="13">
        <f t="shared" si="120"/>
        <v>41051760.838258773</v>
      </c>
      <c r="N1515" s="11">
        <f t="shared" si="121"/>
        <v>6.5142199812565397E-4</v>
      </c>
    </row>
    <row r="1516" spans="1:14" x14ac:dyDescent="0.25">
      <c r="A1516" s="79" t="s">
        <v>36</v>
      </c>
      <c r="B1516" s="89" t="s">
        <v>6</v>
      </c>
      <c r="C1516" s="89" t="s">
        <v>57</v>
      </c>
      <c r="D1516" s="13" t="s">
        <v>182</v>
      </c>
      <c r="E1516" s="35">
        <f>VLOOKUP(B1516, Passenger_Kilometre_by_mode_type[#All],MATCH(A1516, Passenger_Kilometre_by_mode_type[#Headers],0),0)</f>
        <v>6373422709.3424673</v>
      </c>
      <c r="F1516" s="89">
        <f>VLOOKUP(C1516, Reason_for_car_journeys_by_percentage[#All],MATCH(A1516, Reason_for_car_journeys_by_percentage[#Headers],0),0)/100</f>
        <v>7.5000000000000011E-2</v>
      </c>
      <c r="G1516" s="13">
        <f t="shared" si="117"/>
        <v>478006703.20068514</v>
      </c>
      <c r="H1516" s="89">
        <f>VLOOKUP(D1516,Average_Distance_by_kilometre_grouping_for_mode_type[#All],MATCH(A1516,Average_Distance_by_kilometre_grouping_for_mode_type[#Headers],0),0)</f>
        <v>7</v>
      </c>
      <c r="I1516" s="89">
        <f>VLOOKUP(D1516,Average_Distance_by_kilometres_grouping_for_trip_purpose[#All],MATCH(A1516,Average_Distance_by_kilometres_grouping_for_trip_purpose[#Headers],0),0)</f>
        <v>7</v>
      </c>
      <c r="J1516" s="89">
        <f t="shared" si="118"/>
        <v>7</v>
      </c>
      <c r="K1516" s="89">
        <f t="shared" si="119"/>
        <v>0.12023359670216421</v>
      </c>
      <c r="L1516" s="89">
        <v>1</v>
      </c>
      <c r="M1516" s="13">
        <f t="shared" si="120"/>
        <v>57472465.173562288</v>
      </c>
      <c r="N1516" s="11">
        <f t="shared" si="121"/>
        <v>9.1199079737591562E-4</v>
      </c>
    </row>
    <row r="1517" spans="1:14" x14ac:dyDescent="0.25">
      <c r="A1517" s="79" t="s">
        <v>36</v>
      </c>
      <c r="B1517" s="89" t="s">
        <v>6</v>
      </c>
      <c r="C1517" s="89" t="s">
        <v>57</v>
      </c>
      <c r="D1517" s="13" t="s">
        <v>1</v>
      </c>
      <c r="E1517" s="35">
        <f>VLOOKUP(B1517, Passenger_Kilometre_by_mode_type[#All],MATCH(A1517, Passenger_Kilometre_by_mode_type[#Headers],0),0)</f>
        <v>6373422709.3424673</v>
      </c>
      <c r="F1517" s="89">
        <f>VLOOKUP(C1517, Reason_for_car_journeys_by_percentage[#All],MATCH(A1517, Reason_for_car_journeys_by_percentage[#Headers],0),0)/100</f>
        <v>7.5000000000000011E-2</v>
      </c>
      <c r="G1517" s="13">
        <f t="shared" si="117"/>
        <v>478006703.20068514</v>
      </c>
      <c r="H1517" s="89">
        <f>VLOOKUP(D1517,Average_Distance_by_kilometre_grouping_for_mode_type[#All],MATCH(A1517,Average_Distance_by_kilometre_grouping_for_mode_type[#Headers],0),0)</f>
        <v>41.2</v>
      </c>
      <c r="I1517" s="89">
        <f>VLOOKUP(D1517,Average_Distance_by_kilometres_grouping_for_trip_purpose[#All],MATCH(A1517,Average_Distance_by_kilometres_grouping_for_trip_purpose[#Headers],0),0)</f>
        <v>43.24</v>
      </c>
      <c r="J1517" s="89">
        <f t="shared" si="118"/>
        <v>42.22</v>
      </c>
      <c r="K1517" s="89">
        <f t="shared" si="119"/>
        <v>0.72518035039505324</v>
      </c>
      <c r="L1517" s="89">
        <v>1</v>
      </c>
      <c r="M1517" s="13">
        <f t="shared" si="120"/>
        <v>346641068.51825708</v>
      </c>
      <c r="N1517" s="11">
        <f t="shared" si="121"/>
        <v>5.5006073521730219E-3</v>
      </c>
    </row>
    <row r="1518" spans="1:14" x14ac:dyDescent="0.25">
      <c r="A1518" s="79" t="s">
        <v>36</v>
      </c>
      <c r="B1518" s="89" t="s">
        <v>6</v>
      </c>
      <c r="C1518" s="89" t="s">
        <v>93</v>
      </c>
      <c r="D1518" s="13" t="s">
        <v>12</v>
      </c>
      <c r="E1518" s="35">
        <f>VLOOKUP(B1518, Passenger_Kilometre_by_mode_type[#All],MATCH(A1518, Passenger_Kilometre_by_mode_type[#Headers],0),0)</f>
        <v>6373422709.3424673</v>
      </c>
      <c r="F1518" s="89">
        <f>VLOOKUP(C1518, Reason_for_car_journeys_by_percentage[#All],MATCH(A1518, Reason_for_car_journeys_by_percentage[#Headers],0),0)/100</f>
        <v>5.9249999999999997E-2</v>
      </c>
      <c r="G1518" s="13">
        <f t="shared" si="117"/>
        <v>377625295.52854115</v>
      </c>
      <c r="H1518" s="89">
        <f>VLOOKUP(D1518,Average_Distance_by_kilometre_grouping_for_mode_type[#All],MATCH(A1518,Average_Distance_by_kilometre_grouping_for_mode_type[#Headers],0),0)</f>
        <v>1</v>
      </c>
      <c r="I1518" s="89">
        <f>VLOOKUP(D1518,Average_Distance_by_kilometres_grouping_for_trip_purpose[#All],MATCH(A1518,Average_Distance_by_kilometres_grouping_for_trip_purpose[#Headers],0),0)</f>
        <v>1</v>
      </c>
      <c r="J1518" s="89">
        <f t="shared" si="118"/>
        <v>1</v>
      </c>
      <c r="K1518" s="89">
        <f t="shared" si="119"/>
        <v>1.7176228100309172E-2</v>
      </c>
      <c r="L1518" s="89">
        <v>1</v>
      </c>
      <c r="M1518" s="13">
        <f t="shared" si="120"/>
        <v>6486178.2124448838</v>
      </c>
      <c r="N1518" s="11">
        <f t="shared" si="121"/>
        <v>1.029246757038533E-4</v>
      </c>
    </row>
    <row r="1519" spans="1:14" x14ac:dyDescent="0.25">
      <c r="A1519" s="79" t="s">
        <v>36</v>
      </c>
      <c r="B1519" s="89" t="s">
        <v>6</v>
      </c>
      <c r="C1519" s="89" t="s">
        <v>93</v>
      </c>
      <c r="D1519" s="13" t="s">
        <v>181</v>
      </c>
      <c r="E1519" s="35">
        <f>VLOOKUP(B1519, Passenger_Kilometre_by_mode_type[#All],MATCH(A1519, Passenger_Kilometre_by_mode_type[#Headers],0),0)</f>
        <v>6373422709.3424673</v>
      </c>
      <c r="F1519" s="89">
        <f>VLOOKUP(C1519, Reason_for_car_journeys_by_percentage[#All],MATCH(A1519, Reason_for_car_journeys_by_percentage[#Headers],0),0)/100</f>
        <v>5.9249999999999997E-2</v>
      </c>
      <c r="G1519" s="13">
        <f t="shared" si="117"/>
        <v>377625295.52854115</v>
      </c>
      <c r="H1519" s="89">
        <f>VLOOKUP(D1519,Average_Distance_by_kilometre_grouping_for_mode_type[#All],MATCH(A1519,Average_Distance_by_kilometre_grouping_for_mode_type[#Headers],0),0)</f>
        <v>3</v>
      </c>
      <c r="I1519" s="89">
        <f>VLOOKUP(D1519,Average_Distance_by_kilometres_grouping_for_trip_purpose[#All],MATCH(A1519,Average_Distance_by_kilometres_grouping_for_trip_purpose[#Headers],0),0)</f>
        <v>3</v>
      </c>
      <c r="J1519" s="89">
        <f t="shared" si="118"/>
        <v>3</v>
      </c>
      <c r="K1519" s="89">
        <f t="shared" si="119"/>
        <v>5.1528684300927517E-2</v>
      </c>
      <c r="L1519" s="89">
        <v>1</v>
      </c>
      <c r="M1519" s="13">
        <f t="shared" si="120"/>
        <v>19458534.637334652</v>
      </c>
      <c r="N1519" s="11">
        <f t="shared" si="121"/>
        <v>3.087740271115599E-4</v>
      </c>
    </row>
    <row r="1520" spans="1:14" x14ac:dyDescent="0.25">
      <c r="A1520" s="79" t="s">
        <v>36</v>
      </c>
      <c r="B1520" s="89" t="s">
        <v>6</v>
      </c>
      <c r="C1520" s="89" t="s">
        <v>93</v>
      </c>
      <c r="D1520" s="13" t="s">
        <v>180</v>
      </c>
      <c r="E1520" s="35">
        <f>VLOOKUP(B1520, Passenger_Kilometre_by_mode_type[#All],MATCH(A1520, Passenger_Kilometre_by_mode_type[#Headers],0),0)</f>
        <v>6373422709.3424673</v>
      </c>
      <c r="F1520" s="89">
        <f>VLOOKUP(C1520, Reason_for_car_journeys_by_percentage[#All],MATCH(A1520, Reason_for_car_journeys_by_percentage[#Headers],0),0)/100</f>
        <v>5.9249999999999997E-2</v>
      </c>
      <c r="G1520" s="13">
        <f t="shared" si="117"/>
        <v>377625295.52854115</v>
      </c>
      <c r="H1520" s="89">
        <f>VLOOKUP(D1520,Average_Distance_by_kilometre_grouping_for_mode_type[#All],MATCH(A1520,Average_Distance_by_kilometre_grouping_for_mode_type[#Headers],0),0)</f>
        <v>5</v>
      </c>
      <c r="I1520" s="89">
        <f>VLOOKUP(D1520,Average_Distance_by_kilometres_grouping_for_trip_purpose[#All],MATCH(A1520,Average_Distance_by_kilometres_grouping_for_trip_purpose[#Headers],0),0)</f>
        <v>5</v>
      </c>
      <c r="J1520" s="89">
        <f t="shared" si="118"/>
        <v>5</v>
      </c>
      <c r="K1520" s="89">
        <f t="shared" si="119"/>
        <v>8.5881140501545869E-2</v>
      </c>
      <c r="L1520" s="89">
        <v>1</v>
      </c>
      <c r="M1520" s="13">
        <f t="shared" si="120"/>
        <v>32430891.062224422</v>
      </c>
      <c r="N1520" s="11">
        <f t="shared" si="121"/>
        <v>5.1462337851926646E-4</v>
      </c>
    </row>
    <row r="1521" spans="1:14" x14ac:dyDescent="0.25">
      <c r="A1521" s="79" t="s">
        <v>36</v>
      </c>
      <c r="B1521" s="89" t="s">
        <v>6</v>
      </c>
      <c r="C1521" s="89" t="s">
        <v>93</v>
      </c>
      <c r="D1521" s="13" t="s">
        <v>182</v>
      </c>
      <c r="E1521" s="35">
        <f>VLOOKUP(B1521, Passenger_Kilometre_by_mode_type[#All],MATCH(A1521, Passenger_Kilometre_by_mode_type[#Headers],0),0)</f>
        <v>6373422709.3424673</v>
      </c>
      <c r="F1521" s="89">
        <f>VLOOKUP(C1521, Reason_for_car_journeys_by_percentage[#All],MATCH(A1521, Reason_for_car_journeys_by_percentage[#Headers],0),0)/100</f>
        <v>5.9249999999999997E-2</v>
      </c>
      <c r="G1521" s="13">
        <f t="shared" si="117"/>
        <v>377625295.52854115</v>
      </c>
      <c r="H1521" s="89">
        <f>VLOOKUP(D1521,Average_Distance_by_kilometre_grouping_for_mode_type[#All],MATCH(A1521,Average_Distance_by_kilometre_grouping_for_mode_type[#Headers],0),0)</f>
        <v>7</v>
      </c>
      <c r="I1521" s="89">
        <f>VLOOKUP(D1521,Average_Distance_by_kilometres_grouping_for_trip_purpose[#All],MATCH(A1521,Average_Distance_by_kilometres_grouping_for_trip_purpose[#Headers],0),0)</f>
        <v>7</v>
      </c>
      <c r="J1521" s="89">
        <f t="shared" si="118"/>
        <v>7</v>
      </c>
      <c r="K1521" s="89">
        <f t="shared" si="119"/>
        <v>0.12023359670216421</v>
      </c>
      <c r="L1521" s="89">
        <v>1</v>
      </c>
      <c r="M1521" s="13">
        <f t="shared" si="120"/>
        <v>45403247.487114191</v>
      </c>
      <c r="N1521" s="11">
        <f t="shared" si="121"/>
        <v>7.2047272992697314E-4</v>
      </c>
    </row>
    <row r="1522" spans="1:14" x14ac:dyDescent="0.25">
      <c r="A1522" s="79" t="s">
        <v>36</v>
      </c>
      <c r="B1522" s="89" t="s">
        <v>6</v>
      </c>
      <c r="C1522" s="89" t="s">
        <v>93</v>
      </c>
      <c r="D1522" s="13" t="s">
        <v>1</v>
      </c>
      <c r="E1522" s="35">
        <f>VLOOKUP(B1522, Passenger_Kilometre_by_mode_type[#All],MATCH(A1522, Passenger_Kilometre_by_mode_type[#Headers],0),0)</f>
        <v>6373422709.3424673</v>
      </c>
      <c r="F1522" s="89">
        <f>VLOOKUP(C1522, Reason_for_car_journeys_by_percentage[#All],MATCH(A1522, Reason_for_car_journeys_by_percentage[#Headers],0),0)/100</f>
        <v>5.9249999999999997E-2</v>
      </c>
      <c r="G1522" s="13">
        <f t="shared" si="117"/>
        <v>377625295.52854115</v>
      </c>
      <c r="H1522" s="89">
        <f>VLOOKUP(D1522,Average_Distance_by_kilometre_grouping_for_mode_type[#All],MATCH(A1522,Average_Distance_by_kilometre_grouping_for_mode_type[#Headers],0),0)</f>
        <v>41.2</v>
      </c>
      <c r="I1522" s="89">
        <f>VLOOKUP(D1522,Average_Distance_by_kilometres_grouping_for_trip_purpose[#All],MATCH(A1522,Average_Distance_by_kilometres_grouping_for_trip_purpose[#Headers],0),0)</f>
        <v>43.24</v>
      </c>
      <c r="J1522" s="89">
        <f t="shared" si="118"/>
        <v>42.22</v>
      </c>
      <c r="K1522" s="89">
        <f t="shared" si="119"/>
        <v>0.72518035039505324</v>
      </c>
      <c r="L1522" s="89">
        <v>1</v>
      </c>
      <c r="M1522" s="13">
        <f t="shared" si="120"/>
        <v>273846444.12942302</v>
      </c>
      <c r="N1522" s="11">
        <f t="shared" si="121"/>
        <v>4.3454798082166865E-3</v>
      </c>
    </row>
    <row r="1523" spans="1:14" x14ac:dyDescent="0.25">
      <c r="A1523" s="79" t="s">
        <v>36</v>
      </c>
      <c r="B1523" s="89" t="s">
        <v>6</v>
      </c>
      <c r="C1523" s="89" t="s">
        <v>243</v>
      </c>
      <c r="D1523" s="13" t="s">
        <v>12</v>
      </c>
      <c r="E1523" s="35">
        <f>VLOOKUP(B1523, Passenger_Kilometre_by_mode_type[#All],MATCH(A1523, Passenger_Kilometre_by_mode_type[#Headers],0),0)</f>
        <v>6373422709.3424673</v>
      </c>
      <c r="F1523" s="89">
        <f>VLOOKUP(C1523, Reason_for_car_journeys_by_percentage[#All],MATCH(A1523, Reason_for_car_journeys_by_percentage[#Headers],0),0)/100</f>
        <v>0.183</v>
      </c>
      <c r="G1523" s="13">
        <f t="shared" si="117"/>
        <v>1166336355.8096714</v>
      </c>
      <c r="H1523" s="89">
        <f>VLOOKUP(D1523,Average_Distance_by_kilometre_grouping_for_mode_type[#All],MATCH(A1523,Average_Distance_by_kilometre_grouping_for_mode_type[#Headers],0),0)</f>
        <v>1</v>
      </c>
      <c r="I1523" s="89">
        <f>VLOOKUP(D1523,Average_Distance_by_kilometres_grouping_for_trip_purpose[#All],MATCH(A1523,Average_Distance_by_kilometres_grouping_for_trip_purpose[#Headers],0),0)</f>
        <v>1</v>
      </c>
      <c r="J1523" s="89">
        <f t="shared" si="118"/>
        <v>1</v>
      </c>
      <c r="K1523" s="89">
        <f t="shared" si="119"/>
        <v>1.7176228100309172E-2</v>
      </c>
      <c r="L1523" s="89">
        <v>1</v>
      </c>
      <c r="M1523" s="13">
        <f t="shared" si="120"/>
        <v>20033259.289070275</v>
      </c>
      <c r="N1523" s="11">
        <f t="shared" si="121"/>
        <v>3.1789393508531905E-4</v>
      </c>
    </row>
    <row r="1524" spans="1:14" x14ac:dyDescent="0.25">
      <c r="A1524" s="79" t="s">
        <v>36</v>
      </c>
      <c r="B1524" s="89" t="s">
        <v>6</v>
      </c>
      <c r="C1524" s="89" t="s">
        <v>243</v>
      </c>
      <c r="D1524" s="13" t="s">
        <v>181</v>
      </c>
      <c r="E1524" s="35">
        <f>VLOOKUP(B1524, Passenger_Kilometre_by_mode_type[#All],MATCH(A1524, Passenger_Kilometre_by_mode_type[#Headers],0),0)</f>
        <v>6373422709.3424673</v>
      </c>
      <c r="F1524" s="89">
        <f>VLOOKUP(C1524, Reason_for_car_journeys_by_percentage[#All],MATCH(A1524, Reason_for_car_journeys_by_percentage[#Headers],0),0)/100</f>
        <v>0.183</v>
      </c>
      <c r="G1524" s="13">
        <f t="shared" si="117"/>
        <v>1166336355.8096714</v>
      </c>
      <c r="H1524" s="89">
        <f>VLOOKUP(D1524,Average_Distance_by_kilometre_grouping_for_mode_type[#All],MATCH(A1524,Average_Distance_by_kilometre_grouping_for_mode_type[#Headers],0),0)</f>
        <v>3</v>
      </c>
      <c r="I1524" s="89">
        <f>VLOOKUP(D1524,Average_Distance_by_kilometres_grouping_for_trip_purpose[#All],MATCH(A1524,Average_Distance_by_kilometres_grouping_for_trip_purpose[#Headers],0),0)</f>
        <v>3</v>
      </c>
      <c r="J1524" s="89">
        <f t="shared" si="118"/>
        <v>3</v>
      </c>
      <c r="K1524" s="89">
        <f t="shared" si="119"/>
        <v>5.1528684300927517E-2</v>
      </c>
      <c r="L1524" s="89">
        <v>1</v>
      </c>
      <c r="M1524" s="13">
        <f t="shared" si="120"/>
        <v>60099777.867210828</v>
      </c>
      <c r="N1524" s="11">
        <f t="shared" si="121"/>
        <v>9.5368180525595714E-4</v>
      </c>
    </row>
    <row r="1525" spans="1:14" x14ac:dyDescent="0.25">
      <c r="A1525" s="79" t="s">
        <v>36</v>
      </c>
      <c r="B1525" s="89" t="s">
        <v>6</v>
      </c>
      <c r="C1525" s="89" t="s">
        <v>243</v>
      </c>
      <c r="D1525" s="13" t="s">
        <v>180</v>
      </c>
      <c r="E1525" s="35">
        <f>VLOOKUP(B1525, Passenger_Kilometre_by_mode_type[#All],MATCH(A1525, Passenger_Kilometre_by_mode_type[#Headers],0),0)</f>
        <v>6373422709.3424673</v>
      </c>
      <c r="F1525" s="89">
        <f>VLOOKUP(C1525, Reason_for_car_journeys_by_percentage[#All],MATCH(A1525, Reason_for_car_journeys_by_percentage[#Headers],0),0)/100</f>
        <v>0.183</v>
      </c>
      <c r="G1525" s="13">
        <f t="shared" si="117"/>
        <v>1166336355.8096714</v>
      </c>
      <c r="H1525" s="89">
        <f>VLOOKUP(D1525,Average_Distance_by_kilometre_grouping_for_mode_type[#All],MATCH(A1525,Average_Distance_by_kilometre_grouping_for_mode_type[#Headers],0),0)</f>
        <v>5</v>
      </c>
      <c r="I1525" s="89">
        <f>VLOOKUP(D1525,Average_Distance_by_kilometres_grouping_for_trip_purpose[#All],MATCH(A1525,Average_Distance_by_kilometres_grouping_for_trip_purpose[#Headers],0),0)</f>
        <v>5</v>
      </c>
      <c r="J1525" s="89">
        <f t="shared" si="118"/>
        <v>5</v>
      </c>
      <c r="K1525" s="89">
        <f t="shared" si="119"/>
        <v>8.5881140501545869E-2</v>
      </c>
      <c r="L1525" s="89">
        <v>1</v>
      </c>
      <c r="M1525" s="13">
        <f t="shared" si="120"/>
        <v>100166296.44535138</v>
      </c>
      <c r="N1525" s="11">
        <f t="shared" si="121"/>
        <v>1.5894696754265953E-3</v>
      </c>
    </row>
    <row r="1526" spans="1:14" x14ac:dyDescent="0.25">
      <c r="A1526" s="79" t="s">
        <v>36</v>
      </c>
      <c r="B1526" s="89" t="s">
        <v>6</v>
      </c>
      <c r="C1526" s="89" t="s">
        <v>243</v>
      </c>
      <c r="D1526" s="13" t="s">
        <v>182</v>
      </c>
      <c r="E1526" s="35">
        <f>VLOOKUP(B1526, Passenger_Kilometre_by_mode_type[#All],MATCH(A1526, Passenger_Kilometre_by_mode_type[#Headers],0),0)</f>
        <v>6373422709.3424673</v>
      </c>
      <c r="F1526" s="89">
        <f>VLOOKUP(C1526, Reason_for_car_journeys_by_percentage[#All],MATCH(A1526, Reason_for_car_journeys_by_percentage[#Headers],0),0)/100</f>
        <v>0.183</v>
      </c>
      <c r="G1526" s="13">
        <f t="shared" si="117"/>
        <v>1166336355.8096714</v>
      </c>
      <c r="H1526" s="89">
        <f>VLOOKUP(D1526,Average_Distance_by_kilometre_grouping_for_mode_type[#All],MATCH(A1526,Average_Distance_by_kilometre_grouping_for_mode_type[#Headers],0),0)</f>
        <v>7</v>
      </c>
      <c r="I1526" s="89">
        <f>VLOOKUP(D1526,Average_Distance_by_kilometres_grouping_for_trip_purpose[#All],MATCH(A1526,Average_Distance_by_kilometres_grouping_for_trip_purpose[#Headers],0),0)</f>
        <v>7</v>
      </c>
      <c r="J1526" s="89">
        <f t="shared" si="118"/>
        <v>7</v>
      </c>
      <c r="K1526" s="89">
        <f t="shared" si="119"/>
        <v>0.12023359670216421</v>
      </c>
      <c r="L1526" s="89">
        <v>1</v>
      </c>
      <c r="M1526" s="13">
        <f t="shared" si="120"/>
        <v>140232815.02349195</v>
      </c>
      <c r="N1526" s="11">
        <f t="shared" si="121"/>
        <v>2.2252575455972336E-3</v>
      </c>
    </row>
    <row r="1527" spans="1:14" x14ac:dyDescent="0.25">
      <c r="A1527" s="79" t="s">
        <v>36</v>
      </c>
      <c r="B1527" s="89" t="s">
        <v>6</v>
      </c>
      <c r="C1527" s="89" t="s">
        <v>243</v>
      </c>
      <c r="D1527" s="13" t="s">
        <v>1</v>
      </c>
      <c r="E1527" s="35">
        <f>VLOOKUP(B1527, Passenger_Kilometre_by_mode_type[#All],MATCH(A1527, Passenger_Kilometre_by_mode_type[#Headers],0),0)</f>
        <v>6373422709.3424673</v>
      </c>
      <c r="F1527" s="89">
        <f>VLOOKUP(C1527, Reason_for_car_journeys_by_percentage[#All],MATCH(A1527, Reason_for_car_journeys_by_percentage[#Headers],0),0)/100</f>
        <v>0.183</v>
      </c>
      <c r="G1527" s="13">
        <f t="shared" si="117"/>
        <v>1166336355.8096714</v>
      </c>
      <c r="H1527" s="89">
        <f>VLOOKUP(D1527,Average_Distance_by_kilometre_grouping_for_mode_type[#All],MATCH(A1527,Average_Distance_by_kilometre_grouping_for_mode_type[#Headers],0),0)</f>
        <v>41.2</v>
      </c>
      <c r="I1527" s="89">
        <f>VLOOKUP(D1527,Average_Distance_by_kilometres_grouping_for_trip_purpose[#All],MATCH(A1527,Average_Distance_by_kilometres_grouping_for_trip_purpose[#Headers],0),0)</f>
        <v>43.24</v>
      </c>
      <c r="J1527" s="89">
        <f t="shared" si="118"/>
        <v>42.22</v>
      </c>
      <c r="K1527" s="89">
        <f t="shared" si="119"/>
        <v>0.72518035039505324</v>
      </c>
      <c r="L1527" s="89">
        <v>1</v>
      </c>
      <c r="M1527" s="13">
        <f t="shared" si="120"/>
        <v>845804207.18454695</v>
      </c>
      <c r="N1527" s="11">
        <f t="shared" si="121"/>
        <v>1.3421481939302168E-2</v>
      </c>
    </row>
    <row r="1528" spans="1:14" x14ac:dyDescent="0.25">
      <c r="A1528" s="79" t="s">
        <v>36</v>
      </c>
      <c r="B1528" s="89" t="s">
        <v>6</v>
      </c>
      <c r="C1528" s="89" t="s">
        <v>50</v>
      </c>
      <c r="D1528" s="13" t="s">
        <v>12</v>
      </c>
      <c r="E1528" s="35">
        <f>VLOOKUP(B1528, Passenger_Kilometre_by_mode_type[#All],MATCH(A1528, Passenger_Kilometre_by_mode_type[#Headers],0),0)</f>
        <v>6373422709.3424673</v>
      </c>
      <c r="F1528" s="89">
        <f>VLOOKUP(C1528, Reason_for_car_journeys_by_percentage[#All],MATCH(A1528, Reason_for_car_journeys_by_percentage[#Headers],0),0)/100</f>
        <v>3.4500000000000003E-2</v>
      </c>
      <c r="G1528" s="13">
        <f t="shared" si="117"/>
        <v>219883083.47231513</v>
      </c>
      <c r="H1528" s="89">
        <f>VLOOKUP(D1528,Average_Distance_by_kilometre_grouping_for_mode_type[#All],MATCH(A1528,Average_Distance_by_kilometre_grouping_for_mode_type[#Headers],0),0)</f>
        <v>1</v>
      </c>
      <c r="I1528" s="89">
        <f>VLOOKUP(D1528,Average_Distance_by_kilometres_grouping_for_trip_purpose[#All],MATCH(A1528,Average_Distance_by_kilometres_grouping_for_trip_purpose[#Headers],0),0)</f>
        <v>1</v>
      </c>
      <c r="J1528" s="89">
        <f t="shared" si="118"/>
        <v>1</v>
      </c>
      <c r="K1528" s="89">
        <f t="shared" si="119"/>
        <v>1.7176228100309172E-2</v>
      </c>
      <c r="L1528" s="89">
        <v>1</v>
      </c>
      <c r="M1528" s="13">
        <f t="shared" si="120"/>
        <v>3776761.9971198067</v>
      </c>
      <c r="N1528" s="11">
        <f t="shared" si="121"/>
        <v>5.9930823827560156E-5</v>
      </c>
    </row>
    <row r="1529" spans="1:14" x14ac:dyDescent="0.25">
      <c r="A1529" s="79" t="s">
        <v>36</v>
      </c>
      <c r="B1529" s="89" t="s">
        <v>6</v>
      </c>
      <c r="C1529" s="89" t="s">
        <v>50</v>
      </c>
      <c r="D1529" s="13" t="s">
        <v>181</v>
      </c>
      <c r="E1529" s="35">
        <f>VLOOKUP(B1529, Passenger_Kilometre_by_mode_type[#All],MATCH(A1529, Passenger_Kilometre_by_mode_type[#Headers],0),0)</f>
        <v>6373422709.3424673</v>
      </c>
      <c r="F1529" s="89">
        <f>VLOOKUP(C1529, Reason_for_car_journeys_by_percentage[#All],MATCH(A1529, Reason_for_car_journeys_by_percentage[#Headers],0),0)/100</f>
        <v>3.4500000000000003E-2</v>
      </c>
      <c r="G1529" s="13">
        <f t="shared" si="117"/>
        <v>219883083.47231513</v>
      </c>
      <c r="H1529" s="89">
        <f>VLOOKUP(D1529,Average_Distance_by_kilometre_grouping_for_mode_type[#All],MATCH(A1529,Average_Distance_by_kilometre_grouping_for_mode_type[#Headers],0),0)</f>
        <v>3</v>
      </c>
      <c r="I1529" s="89">
        <f>VLOOKUP(D1529,Average_Distance_by_kilometres_grouping_for_trip_purpose[#All],MATCH(A1529,Average_Distance_by_kilometres_grouping_for_trip_purpose[#Headers],0),0)</f>
        <v>3</v>
      </c>
      <c r="J1529" s="89">
        <f t="shared" si="118"/>
        <v>3</v>
      </c>
      <c r="K1529" s="89">
        <f t="shared" si="119"/>
        <v>5.1528684300927517E-2</v>
      </c>
      <c r="L1529" s="89">
        <v>1</v>
      </c>
      <c r="M1529" s="13">
        <f t="shared" si="120"/>
        <v>11330285.99135942</v>
      </c>
      <c r="N1529" s="11">
        <f t="shared" si="121"/>
        <v>1.7979247148268047E-4</v>
      </c>
    </row>
    <row r="1530" spans="1:14" x14ac:dyDescent="0.25">
      <c r="A1530" s="79" t="s">
        <v>36</v>
      </c>
      <c r="B1530" s="89" t="s">
        <v>6</v>
      </c>
      <c r="C1530" s="89" t="s">
        <v>50</v>
      </c>
      <c r="D1530" s="13" t="s">
        <v>180</v>
      </c>
      <c r="E1530" s="35">
        <f>VLOOKUP(B1530, Passenger_Kilometre_by_mode_type[#All],MATCH(A1530, Passenger_Kilometre_by_mode_type[#Headers],0),0)</f>
        <v>6373422709.3424673</v>
      </c>
      <c r="F1530" s="89">
        <f>VLOOKUP(C1530, Reason_for_car_journeys_by_percentage[#All],MATCH(A1530, Reason_for_car_journeys_by_percentage[#Headers],0),0)/100</f>
        <v>3.4500000000000003E-2</v>
      </c>
      <c r="G1530" s="13">
        <f t="shared" si="117"/>
        <v>219883083.47231513</v>
      </c>
      <c r="H1530" s="89">
        <f>VLOOKUP(D1530,Average_Distance_by_kilometre_grouping_for_mode_type[#All],MATCH(A1530,Average_Distance_by_kilometre_grouping_for_mode_type[#Headers],0),0)</f>
        <v>5</v>
      </c>
      <c r="I1530" s="89">
        <f>VLOOKUP(D1530,Average_Distance_by_kilometres_grouping_for_trip_purpose[#All],MATCH(A1530,Average_Distance_by_kilometres_grouping_for_trip_purpose[#Headers],0),0)</f>
        <v>5</v>
      </c>
      <c r="J1530" s="89">
        <f t="shared" si="118"/>
        <v>5</v>
      </c>
      <c r="K1530" s="89">
        <f t="shared" si="119"/>
        <v>8.5881140501545869E-2</v>
      </c>
      <c r="L1530" s="89">
        <v>1</v>
      </c>
      <c r="M1530" s="13">
        <f t="shared" si="120"/>
        <v>18883809.985599034</v>
      </c>
      <c r="N1530" s="11">
        <f t="shared" si="121"/>
        <v>2.9965411913780081E-4</v>
      </c>
    </row>
    <row r="1531" spans="1:14" x14ac:dyDescent="0.25">
      <c r="A1531" s="79" t="s">
        <v>36</v>
      </c>
      <c r="B1531" s="89" t="s">
        <v>6</v>
      </c>
      <c r="C1531" s="89" t="s">
        <v>50</v>
      </c>
      <c r="D1531" s="13" t="s">
        <v>182</v>
      </c>
      <c r="E1531" s="35">
        <f>VLOOKUP(B1531, Passenger_Kilometre_by_mode_type[#All],MATCH(A1531, Passenger_Kilometre_by_mode_type[#Headers],0),0)</f>
        <v>6373422709.3424673</v>
      </c>
      <c r="F1531" s="89">
        <f>VLOOKUP(C1531, Reason_for_car_journeys_by_percentage[#All],MATCH(A1531, Reason_for_car_journeys_by_percentage[#Headers],0),0)/100</f>
        <v>3.4500000000000003E-2</v>
      </c>
      <c r="G1531" s="13">
        <f t="shared" si="117"/>
        <v>219883083.47231513</v>
      </c>
      <c r="H1531" s="89">
        <f>VLOOKUP(D1531,Average_Distance_by_kilometre_grouping_for_mode_type[#All],MATCH(A1531,Average_Distance_by_kilometre_grouping_for_mode_type[#Headers],0),0)</f>
        <v>7</v>
      </c>
      <c r="I1531" s="89">
        <f>VLOOKUP(D1531,Average_Distance_by_kilometres_grouping_for_trip_purpose[#All],MATCH(A1531,Average_Distance_by_kilometres_grouping_for_trip_purpose[#Headers],0),0)</f>
        <v>7</v>
      </c>
      <c r="J1531" s="89">
        <f t="shared" si="118"/>
        <v>7</v>
      </c>
      <c r="K1531" s="89">
        <f t="shared" si="119"/>
        <v>0.12023359670216421</v>
      </c>
      <c r="L1531" s="89">
        <v>1</v>
      </c>
      <c r="M1531" s="13">
        <f t="shared" si="120"/>
        <v>26437333.979838647</v>
      </c>
      <c r="N1531" s="11">
        <f t="shared" si="121"/>
        <v>4.1951576679292112E-4</v>
      </c>
    </row>
    <row r="1532" spans="1:14" x14ac:dyDescent="0.25">
      <c r="A1532" s="79" t="s">
        <v>36</v>
      </c>
      <c r="B1532" s="89" t="s">
        <v>6</v>
      </c>
      <c r="C1532" s="89" t="s">
        <v>50</v>
      </c>
      <c r="D1532" s="13" t="s">
        <v>1</v>
      </c>
      <c r="E1532" s="35">
        <f>VLOOKUP(B1532, Passenger_Kilometre_by_mode_type[#All],MATCH(A1532, Passenger_Kilometre_by_mode_type[#Headers],0),0)</f>
        <v>6373422709.3424673</v>
      </c>
      <c r="F1532" s="89">
        <f>VLOOKUP(C1532, Reason_for_car_journeys_by_percentage[#All],MATCH(A1532, Reason_for_car_journeys_by_percentage[#Headers],0),0)/100</f>
        <v>3.4500000000000003E-2</v>
      </c>
      <c r="G1532" s="13">
        <f t="shared" si="117"/>
        <v>219883083.47231513</v>
      </c>
      <c r="H1532" s="89">
        <f>VLOOKUP(D1532,Average_Distance_by_kilometre_grouping_for_mode_type[#All],MATCH(A1532,Average_Distance_by_kilometre_grouping_for_mode_type[#Headers],0),0)</f>
        <v>41.2</v>
      </c>
      <c r="I1532" s="89">
        <f>VLOOKUP(D1532,Average_Distance_by_kilometres_grouping_for_trip_purpose[#All],MATCH(A1532,Average_Distance_by_kilometres_grouping_for_trip_purpose[#Headers],0),0)</f>
        <v>43.24</v>
      </c>
      <c r="J1532" s="89">
        <f t="shared" si="118"/>
        <v>42.22</v>
      </c>
      <c r="K1532" s="89">
        <f t="shared" si="119"/>
        <v>0.72518035039505324</v>
      </c>
      <c r="L1532" s="89">
        <v>1</v>
      </c>
      <c r="M1532" s="13">
        <f t="shared" si="120"/>
        <v>159454891.51839823</v>
      </c>
      <c r="N1532" s="11">
        <f t="shared" si="121"/>
        <v>2.5302793819995898E-3</v>
      </c>
    </row>
    <row r="1533" spans="1:14" x14ac:dyDescent="0.25">
      <c r="A1533" s="79" t="s">
        <v>36</v>
      </c>
      <c r="B1533" s="89" t="s">
        <v>7</v>
      </c>
      <c r="C1533" s="89" t="s">
        <v>42</v>
      </c>
      <c r="D1533" s="13" t="s">
        <v>12</v>
      </c>
      <c r="E1533" s="35">
        <f>VLOOKUP(B1533, Passenger_Kilometre_by_mode_type[#All],MATCH(A1533, Passenger_Kilometre_by_mode_type[#Headers],0),0)</f>
        <v>140095535.3435244</v>
      </c>
      <c r="F1533" s="89">
        <f>VLOOKUP(C1533, Reason_for_walking_cycling_journeys_by_percentage[#All],MATCH(A1533, Reason_for_walking_cycling_journeys_by_percentage[#Headers],0),0)/100</f>
        <v>0.18525</v>
      </c>
      <c r="G1533" s="13">
        <f t="shared" si="117"/>
        <v>25952697.922387894</v>
      </c>
      <c r="H1533" s="89">
        <f>VLOOKUP(D1533,Average_Distance_by_kilometre_grouping_for_mode_type[#All],MATCH(A1533,Average_Distance_by_kilometre_grouping_for_mode_type[#Headers],0),0)</f>
        <v>1</v>
      </c>
      <c r="I1533" s="89">
        <f>VLOOKUP(D1533,Average_Distance_by_kilometres_grouping_for_trip_purpose[#All],MATCH(A1533,Average_Distance_by_kilometres_grouping_for_trip_purpose[#Headers],0),0)</f>
        <v>1</v>
      </c>
      <c r="J1533" s="89">
        <f t="shared" si="118"/>
        <v>1</v>
      </c>
      <c r="K1533" s="89">
        <f t="shared" si="119"/>
        <v>1.7176228100309172E-2</v>
      </c>
      <c r="L1533" s="89">
        <v>1</v>
      </c>
      <c r="M1533" s="13">
        <f t="shared" si="120"/>
        <v>445769.45933335443</v>
      </c>
      <c r="N1533" s="11">
        <f t="shared" si="121"/>
        <v>7.0736072210500327E-6</v>
      </c>
    </row>
    <row r="1534" spans="1:14" x14ac:dyDescent="0.25">
      <c r="A1534" s="79" t="s">
        <v>36</v>
      </c>
      <c r="B1534" s="89" t="s">
        <v>7</v>
      </c>
      <c r="C1534" s="89" t="s">
        <v>42</v>
      </c>
      <c r="D1534" s="13" t="s">
        <v>181</v>
      </c>
      <c r="E1534" s="35">
        <f>VLOOKUP(B1534, Passenger_Kilometre_by_mode_type[#All],MATCH(A1534, Passenger_Kilometre_by_mode_type[#Headers],0),0)</f>
        <v>140095535.3435244</v>
      </c>
      <c r="F1534" s="89">
        <f>VLOOKUP(C1534, Reason_for_walking_cycling_journeys_by_percentage[#All],MATCH(A1534, Reason_for_walking_cycling_journeys_by_percentage[#Headers],0),0)/100</f>
        <v>0.18525</v>
      </c>
      <c r="G1534" s="13">
        <f t="shared" si="117"/>
        <v>25952697.922387894</v>
      </c>
      <c r="H1534" s="89">
        <f>VLOOKUP(D1534,Average_Distance_by_kilometre_grouping_for_mode_type[#All],MATCH(A1534,Average_Distance_by_kilometre_grouping_for_mode_type[#Headers],0),0)</f>
        <v>3</v>
      </c>
      <c r="I1534" s="89">
        <f>VLOOKUP(D1534,Average_Distance_by_kilometres_grouping_for_trip_purpose[#All],MATCH(A1534,Average_Distance_by_kilometres_grouping_for_trip_purpose[#Headers],0),0)</f>
        <v>3</v>
      </c>
      <c r="J1534" s="89">
        <f t="shared" si="118"/>
        <v>3</v>
      </c>
      <c r="K1534" s="89">
        <f t="shared" si="119"/>
        <v>5.1528684300927517E-2</v>
      </c>
      <c r="L1534" s="89">
        <v>1</v>
      </c>
      <c r="M1534" s="13">
        <f t="shared" si="120"/>
        <v>1337308.3780000634</v>
      </c>
      <c r="N1534" s="11">
        <f t="shared" si="121"/>
        <v>2.12208216631501E-5</v>
      </c>
    </row>
    <row r="1535" spans="1:14" x14ac:dyDescent="0.25">
      <c r="A1535" s="79" t="s">
        <v>36</v>
      </c>
      <c r="B1535" s="89" t="s">
        <v>7</v>
      </c>
      <c r="C1535" s="89" t="s">
        <v>42</v>
      </c>
      <c r="D1535" s="13" t="s">
        <v>180</v>
      </c>
      <c r="E1535" s="35">
        <f>VLOOKUP(B1535, Passenger_Kilometre_by_mode_type[#All],MATCH(A1535, Passenger_Kilometre_by_mode_type[#Headers],0),0)</f>
        <v>140095535.3435244</v>
      </c>
      <c r="F1535" s="89">
        <f>VLOOKUP(C1535, Reason_for_walking_cycling_journeys_by_percentage[#All],MATCH(A1535, Reason_for_walking_cycling_journeys_by_percentage[#Headers],0),0)/100</f>
        <v>0.18525</v>
      </c>
      <c r="G1535" s="13">
        <f t="shared" si="117"/>
        <v>25952697.922387894</v>
      </c>
      <c r="H1535" s="89">
        <f>VLOOKUP(D1535,Average_Distance_by_kilometre_grouping_for_mode_type[#All],MATCH(A1535,Average_Distance_by_kilometre_grouping_for_mode_type[#Headers],0),0)</f>
        <v>5</v>
      </c>
      <c r="I1535" s="89">
        <f>VLOOKUP(D1535,Average_Distance_by_kilometres_grouping_for_trip_purpose[#All],MATCH(A1535,Average_Distance_by_kilometres_grouping_for_trip_purpose[#Headers],0),0)</f>
        <v>5</v>
      </c>
      <c r="J1535" s="89">
        <f t="shared" si="118"/>
        <v>5</v>
      </c>
      <c r="K1535" s="89">
        <f t="shared" si="119"/>
        <v>8.5881140501545869E-2</v>
      </c>
      <c r="L1535" s="89">
        <v>1</v>
      </c>
      <c r="M1535" s="13">
        <f t="shared" si="120"/>
        <v>2228847.2966667721</v>
      </c>
      <c r="N1535" s="11">
        <f t="shared" si="121"/>
        <v>3.5368036105250162E-5</v>
      </c>
    </row>
    <row r="1536" spans="1:14" x14ac:dyDescent="0.25">
      <c r="A1536" s="79" t="s">
        <v>36</v>
      </c>
      <c r="B1536" s="89" t="s">
        <v>7</v>
      </c>
      <c r="C1536" s="89" t="s">
        <v>42</v>
      </c>
      <c r="D1536" s="13" t="s">
        <v>182</v>
      </c>
      <c r="E1536" s="35">
        <f>VLOOKUP(B1536, Passenger_Kilometre_by_mode_type[#All],MATCH(A1536, Passenger_Kilometre_by_mode_type[#Headers],0),0)</f>
        <v>140095535.3435244</v>
      </c>
      <c r="F1536" s="89">
        <f>VLOOKUP(C1536, Reason_for_walking_cycling_journeys_by_percentage[#All],MATCH(A1536, Reason_for_walking_cycling_journeys_by_percentage[#Headers],0),0)/100</f>
        <v>0.18525</v>
      </c>
      <c r="G1536" s="13">
        <f t="shared" si="117"/>
        <v>25952697.922387894</v>
      </c>
      <c r="H1536" s="89">
        <f>VLOOKUP(D1536,Average_Distance_by_kilometre_grouping_for_mode_type[#All],MATCH(A1536,Average_Distance_by_kilometre_grouping_for_mode_type[#Headers],0),0)</f>
        <v>7</v>
      </c>
      <c r="I1536" s="89">
        <f>VLOOKUP(D1536,Average_Distance_by_kilometres_grouping_for_trip_purpose[#All],MATCH(A1536,Average_Distance_by_kilometres_grouping_for_trip_purpose[#Headers],0),0)</f>
        <v>7</v>
      </c>
      <c r="J1536" s="89">
        <f t="shared" si="118"/>
        <v>7</v>
      </c>
      <c r="K1536" s="89">
        <f t="shared" si="119"/>
        <v>0.12023359670216421</v>
      </c>
      <c r="L1536" s="89">
        <v>1</v>
      </c>
      <c r="M1536" s="13">
        <f t="shared" si="120"/>
        <v>3120386.2153334813</v>
      </c>
      <c r="N1536" s="11">
        <f t="shared" si="121"/>
        <v>4.9515250547350231E-5</v>
      </c>
    </row>
    <row r="1537" spans="1:14" x14ac:dyDescent="0.25">
      <c r="A1537" s="79" t="s">
        <v>36</v>
      </c>
      <c r="B1537" s="89" t="s">
        <v>7</v>
      </c>
      <c r="C1537" s="89" t="s">
        <v>42</v>
      </c>
      <c r="D1537" s="13" t="s">
        <v>1</v>
      </c>
      <c r="E1537" s="35">
        <f>VLOOKUP(B1537, Passenger_Kilometre_by_mode_type[#All],MATCH(A1537, Passenger_Kilometre_by_mode_type[#Headers],0),0)</f>
        <v>140095535.3435244</v>
      </c>
      <c r="F1537" s="89">
        <f>VLOOKUP(C1537, Reason_for_walking_cycling_journeys_by_percentage[#All],MATCH(A1537, Reason_for_walking_cycling_journeys_by_percentage[#Headers],0),0)/100</f>
        <v>0.18525</v>
      </c>
      <c r="G1537" s="13">
        <f t="shared" si="117"/>
        <v>25952697.922387894</v>
      </c>
      <c r="H1537" s="89">
        <f>VLOOKUP(D1537,Average_Distance_by_kilometre_grouping_for_mode_type[#All],MATCH(A1537,Average_Distance_by_kilometre_grouping_for_mode_type[#Headers],0),0)</f>
        <v>41.2</v>
      </c>
      <c r="I1537" s="89">
        <f>VLOOKUP(D1537,Average_Distance_by_kilometres_grouping_for_trip_purpose[#All],MATCH(A1537,Average_Distance_by_kilometres_grouping_for_trip_purpose[#Headers],0),0)</f>
        <v>43.24</v>
      </c>
      <c r="J1537" s="89">
        <f t="shared" si="118"/>
        <v>42.22</v>
      </c>
      <c r="K1537" s="89">
        <f t="shared" si="119"/>
        <v>0.72518035039505324</v>
      </c>
      <c r="L1537" s="89">
        <v>1</v>
      </c>
      <c r="M1537" s="13">
        <f t="shared" si="120"/>
        <v>18820386.573054224</v>
      </c>
      <c r="N1537" s="11">
        <f t="shared" si="121"/>
        <v>2.986476968727324E-4</v>
      </c>
    </row>
    <row r="1538" spans="1:14" x14ac:dyDescent="0.25">
      <c r="A1538" s="79" t="s">
        <v>36</v>
      </c>
      <c r="B1538" s="89" t="s">
        <v>7</v>
      </c>
      <c r="C1538" s="89" t="s">
        <v>43</v>
      </c>
      <c r="D1538" s="13" t="s">
        <v>12</v>
      </c>
      <c r="E1538" s="35">
        <f>VLOOKUP(B1538, Passenger_Kilometre_by_mode_type[#All],MATCH(A1538, Passenger_Kilometre_by_mode_type[#Headers],0),0)</f>
        <v>140095535.3435244</v>
      </c>
      <c r="F1538" s="89">
        <f>VLOOKUP(C1538, Reason_for_walking_cycling_journeys_by_percentage[#All],MATCH(A1538, Reason_for_walking_cycling_journeys_by_percentage[#Headers],0),0)/100</f>
        <v>0.10099999999999999</v>
      </c>
      <c r="G1538" s="13">
        <f t="shared" si="117"/>
        <v>14149649.069695963</v>
      </c>
      <c r="H1538" s="89">
        <f>VLOOKUP(D1538,Average_Distance_by_kilometre_grouping_for_mode_type[#All],MATCH(A1538,Average_Distance_by_kilometre_grouping_for_mode_type[#Headers],0),0)</f>
        <v>1</v>
      </c>
      <c r="I1538" s="89">
        <f>VLOOKUP(D1538,Average_Distance_by_kilometres_grouping_for_trip_purpose[#All],MATCH(A1538,Average_Distance_by_kilometres_grouping_for_trip_purpose[#Headers],0),0)</f>
        <v>1</v>
      </c>
      <c r="J1538" s="89">
        <f t="shared" si="118"/>
        <v>1</v>
      </c>
      <c r="K1538" s="89">
        <f t="shared" si="119"/>
        <v>1.7176228100309172E-2</v>
      </c>
      <c r="L1538" s="89">
        <v>1</v>
      </c>
      <c r="M1538" s="13">
        <f t="shared" si="120"/>
        <v>243037.59996042534</v>
      </c>
      <c r="N1538" s="11">
        <f t="shared" si="121"/>
        <v>3.8565955699112185E-6</v>
      </c>
    </row>
    <row r="1539" spans="1:14" x14ac:dyDescent="0.25">
      <c r="A1539" s="79" t="s">
        <v>36</v>
      </c>
      <c r="B1539" s="89" t="s">
        <v>7</v>
      </c>
      <c r="C1539" s="89" t="s">
        <v>43</v>
      </c>
      <c r="D1539" s="13" t="s">
        <v>181</v>
      </c>
      <c r="E1539" s="35">
        <f>VLOOKUP(B1539, Passenger_Kilometre_by_mode_type[#All],MATCH(A1539, Passenger_Kilometre_by_mode_type[#Headers],0),0)</f>
        <v>140095535.3435244</v>
      </c>
      <c r="F1539" s="89">
        <f>VLOOKUP(C1539, Reason_for_walking_cycling_journeys_by_percentage[#All],MATCH(A1539, Reason_for_walking_cycling_journeys_by_percentage[#Headers],0),0)/100</f>
        <v>0.10099999999999999</v>
      </c>
      <c r="G1539" s="13">
        <f t="shared" si="117"/>
        <v>14149649.069695963</v>
      </c>
      <c r="H1539" s="89">
        <f>VLOOKUP(D1539,Average_Distance_by_kilometre_grouping_for_mode_type[#All],MATCH(A1539,Average_Distance_by_kilometre_grouping_for_mode_type[#Headers],0),0)</f>
        <v>3</v>
      </c>
      <c r="I1539" s="89">
        <f>VLOOKUP(D1539,Average_Distance_by_kilometres_grouping_for_trip_purpose[#All],MATCH(A1539,Average_Distance_by_kilometres_grouping_for_trip_purpose[#Headers],0),0)</f>
        <v>3</v>
      </c>
      <c r="J1539" s="89">
        <f t="shared" si="118"/>
        <v>3</v>
      </c>
      <c r="K1539" s="89">
        <f t="shared" si="119"/>
        <v>5.1528684300927517E-2</v>
      </c>
      <c r="L1539" s="89">
        <v>1</v>
      </c>
      <c r="M1539" s="13">
        <f t="shared" si="120"/>
        <v>729112.79988127598</v>
      </c>
      <c r="N1539" s="11">
        <f t="shared" si="121"/>
        <v>1.1569786709733656E-5</v>
      </c>
    </row>
    <row r="1540" spans="1:14" x14ac:dyDescent="0.25">
      <c r="A1540" s="79" t="s">
        <v>36</v>
      </c>
      <c r="B1540" s="89" t="s">
        <v>7</v>
      </c>
      <c r="C1540" s="89" t="s">
        <v>43</v>
      </c>
      <c r="D1540" s="13" t="s">
        <v>180</v>
      </c>
      <c r="E1540" s="35">
        <f>VLOOKUP(B1540, Passenger_Kilometre_by_mode_type[#All],MATCH(A1540, Passenger_Kilometre_by_mode_type[#Headers],0),0)</f>
        <v>140095535.3435244</v>
      </c>
      <c r="F1540" s="89">
        <f>VLOOKUP(C1540, Reason_for_walking_cycling_journeys_by_percentage[#All],MATCH(A1540, Reason_for_walking_cycling_journeys_by_percentage[#Headers],0),0)/100</f>
        <v>0.10099999999999999</v>
      </c>
      <c r="G1540" s="13">
        <f t="shared" ref="G1540:G1603" si="122">E1540*F1540</f>
        <v>14149649.069695963</v>
      </c>
      <c r="H1540" s="89">
        <f>VLOOKUP(D1540,Average_Distance_by_kilometre_grouping_for_mode_type[#All],MATCH(A1540,Average_Distance_by_kilometre_grouping_for_mode_type[#Headers],0),0)</f>
        <v>5</v>
      </c>
      <c r="I1540" s="89">
        <f>VLOOKUP(D1540,Average_Distance_by_kilometres_grouping_for_trip_purpose[#All],MATCH(A1540,Average_Distance_by_kilometres_grouping_for_trip_purpose[#Headers],0),0)</f>
        <v>5</v>
      </c>
      <c r="J1540" s="89">
        <f t="shared" ref="J1540:J1603" si="123">AVERAGE(H1540:I1540)</f>
        <v>5</v>
      </c>
      <c r="K1540" s="89">
        <f t="shared" ref="K1540:K1603" si="124">J1540/SUM(J1540:J1544)</f>
        <v>8.5881140501545869E-2</v>
      </c>
      <c r="L1540" s="89">
        <v>1</v>
      </c>
      <c r="M1540" s="13">
        <f t="shared" ref="M1540:M1603" si="125">G1540*K1540*L1540</f>
        <v>1215187.9998021268</v>
      </c>
      <c r="N1540" s="11">
        <f t="shared" si="121"/>
        <v>1.9282977849556094E-5</v>
      </c>
    </row>
    <row r="1541" spans="1:14" x14ac:dyDescent="0.25">
      <c r="A1541" s="79" t="s">
        <v>36</v>
      </c>
      <c r="B1541" s="89" t="s">
        <v>7</v>
      </c>
      <c r="C1541" s="89" t="s">
        <v>43</v>
      </c>
      <c r="D1541" s="13" t="s">
        <v>182</v>
      </c>
      <c r="E1541" s="35">
        <f>VLOOKUP(B1541, Passenger_Kilometre_by_mode_type[#All],MATCH(A1541, Passenger_Kilometre_by_mode_type[#Headers],0),0)</f>
        <v>140095535.3435244</v>
      </c>
      <c r="F1541" s="89">
        <f>VLOOKUP(C1541, Reason_for_walking_cycling_journeys_by_percentage[#All],MATCH(A1541, Reason_for_walking_cycling_journeys_by_percentage[#Headers],0),0)/100</f>
        <v>0.10099999999999999</v>
      </c>
      <c r="G1541" s="13">
        <f t="shared" si="122"/>
        <v>14149649.069695963</v>
      </c>
      <c r="H1541" s="89">
        <f>VLOOKUP(D1541,Average_Distance_by_kilometre_grouping_for_mode_type[#All],MATCH(A1541,Average_Distance_by_kilometre_grouping_for_mode_type[#Headers],0),0)</f>
        <v>7</v>
      </c>
      <c r="I1541" s="89">
        <f>VLOOKUP(D1541,Average_Distance_by_kilometres_grouping_for_trip_purpose[#All],MATCH(A1541,Average_Distance_by_kilometres_grouping_for_trip_purpose[#Headers],0),0)</f>
        <v>7</v>
      </c>
      <c r="J1541" s="89">
        <f t="shared" si="123"/>
        <v>7</v>
      </c>
      <c r="K1541" s="89">
        <f t="shared" si="124"/>
        <v>0.12023359670216421</v>
      </c>
      <c r="L1541" s="89">
        <v>1</v>
      </c>
      <c r="M1541" s="13">
        <f t="shared" si="125"/>
        <v>1701263.1997229774</v>
      </c>
      <c r="N1541" s="11">
        <f t="shared" si="121"/>
        <v>2.6996168989378528E-5</v>
      </c>
    </row>
    <row r="1542" spans="1:14" x14ac:dyDescent="0.25">
      <c r="A1542" s="79" t="s">
        <v>36</v>
      </c>
      <c r="B1542" s="89" t="s">
        <v>7</v>
      </c>
      <c r="C1542" s="89" t="s">
        <v>43</v>
      </c>
      <c r="D1542" s="13" t="s">
        <v>1</v>
      </c>
      <c r="E1542" s="35">
        <f>VLOOKUP(B1542, Passenger_Kilometre_by_mode_type[#All],MATCH(A1542, Passenger_Kilometre_by_mode_type[#Headers],0),0)</f>
        <v>140095535.3435244</v>
      </c>
      <c r="F1542" s="89">
        <f>VLOOKUP(C1542, Reason_for_walking_cycling_journeys_by_percentage[#All],MATCH(A1542, Reason_for_walking_cycling_journeys_by_percentage[#Headers],0),0)/100</f>
        <v>0.10099999999999999</v>
      </c>
      <c r="G1542" s="13">
        <f t="shared" si="122"/>
        <v>14149649.069695963</v>
      </c>
      <c r="H1542" s="89">
        <f>VLOOKUP(D1542,Average_Distance_by_kilometre_grouping_for_mode_type[#All],MATCH(A1542,Average_Distance_by_kilometre_grouping_for_mode_type[#Headers],0),0)</f>
        <v>41.2</v>
      </c>
      <c r="I1542" s="89">
        <f>VLOOKUP(D1542,Average_Distance_by_kilometres_grouping_for_trip_purpose[#All],MATCH(A1542,Average_Distance_by_kilometres_grouping_for_trip_purpose[#Headers],0),0)</f>
        <v>43.24</v>
      </c>
      <c r="J1542" s="89">
        <f t="shared" si="123"/>
        <v>42.22</v>
      </c>
      <c r="K1542" s="89">
        <f t="shared" si="124"/>
        <v>0.72518035039505324</v>
      </c>
      <c r="L1542" s="89">
        <v>1</v>
      </c>
      <c r="M1542" s="13">
        <f t="shared" si="125"/>
        <v>10261047.470329158</v>
      </c>
      <c r="N1542" s="11">
        <f t="shared" si="121"/>
        <v>1.6282546496165166E-4</v>
      </c>
    </row>
    <row r="1543" spans="1:14" x14ac:dyDescent="0.25">
      <c r="A1543" s="79" t="s">
        <v>36</v>
      </c>
      <c r="B1543" s="89" t="s">
        <v>7</v>
      </c>
      <c r="C1543" s="89" t="s">
        <v>44</v>
      </c>
      <c r="D1543" s="13" t="s">
        <v>12</v>
      </c>
      <c r="E1543" s="35">
        <f>VLOOKUP(B1543, Passenger_Kilometre_by_mode_type[#All],MATCH(A1543, Passenger_Kilometre_by_mode_type[#Headers],0),0)</f>
        <v>140095535.3435244</v>
      </c>
      <c r="F1543" s="89">
        <f>VLOOKUP(C1543, Reason_for_walking_cycling_journeys_by_percentage[#All],MATCH(A1543, Reason_for_walking_cycling_journeys_by_percentage[#Headers],0),0)/100</f>
        <v>0.24650000000000002</v>
      </c>
      <c r="G1543" s="13">
        <f t="shared" si="122"/>
        <v>34533549.462178767</v>
      </c>
      <c r="H1543" s="89">
        <f>VLOOKUP(D1543,Average_Distance_by_kilometre_grouping_for_mode_type[#All],MATCH(A1543,Average_Distance_by_kilometre_grouping_for_mode_type[#Headers],0),0)</f>
        <v>1</v>
      </c>
      <c r="I1543" s="89">
        <f>VLOOKUP(D1543,Average_Distance_by_kilometres_grouping_for_trip_purpose[#All],MATCH(A1543,Average_Distance_by_kilometres_grouping_for_trip_purpose[#Headers],0),0)</f>
        <v>1</v>
      </c>
      <c r="J1543" s="89">
        <f t="shared" si="123"/>
        <v>1</v>
      </c>
      <c r="K1543" s="89">
        <f t="shared" si="124"/>
        <v>1.7176228100309172E-2</v>
      </c>
      <c r="L1543" s="89">
        <v>1</v>
      </c>
      <c r="M1543" s="13">
        <f t="shared" si="125"/>
        <v>593156.12267569161</v>
      </c>
      <c r="N1543" s="11">
        <f t="shared" si="121"/>
        <v>9.4123842374565891E-6</v>
      </c>
    </row>
    <row r="1544" spans="1:14" x14ac:dyDescent="0.25">
      <c r="A1544" s="79" t="s">
        <v>36</v>
      </c>
      <c r="B1544" s="89" t="s">
        <v>7</v>
      </c>
      <c r="C1544" s="89" t="s">
        <v>44</v>
      </c>
      <c r="D1544" s="13" t="s">
        <v>181</v>
      </c>
      <c r="E1544" s="35">
        <f>VLOOKUP(B1544, Passenger_Kilometre_by_mode_type[#All],MATCH(A1544, Passenger_Kilometre_by_mode_type[#Headers],0),0)</f>
        <v>140095535.3435244</v>
      </c>
      <c r="F1544" s="89">
        <f>VLOOKUP(C1544, Reason_for_walking_cycling_journeys_by_percentage[#All],MATCH(A1544, Reason_for_walking_cycling_journeys_by_percentage[#Headers],0),0)/100</f>
        <v>0.24650000000000002</v>
      </c>
      <c r="G1544" s="13">
        <f t="shared" si="122"/>
        <v>34533549.462178767</v>
      </c>
      <c r="H1544" s="89">
        <f>VLOOKUP(D1544,Average_Distance_by_kilometre_grouping_for_mode_type[#All],MATCH(A1544,Average_Distance_by_kilometre_grouping_for_mode_type[#Headers],0),0)</f>
        <v>3</v>
      </c>
      <c r="I1544" s="89">
        <f>VLOOKUP(D1544,Average_Distance_by_kilometres_grouping_for_trip_purpose[#All],MATCH(A1544,Average_Distance_by_kilometres_grouping_for_trip_purpose[#Headers],0),0)</f>
        <v>3</v>
      </c>
      <c r="J1544" s="89">
        <f t="shared" si="123"/>
        <v>3</v>
      </c>
      <c r="K1544" s="89">
        <f t="shared" si="124"/>
        <v>5.1528684300927517E-2</v>
      </c>
      <c r="L1544" s="89">
        <v>1</v>
      </c>
      <c r="M1544" s="13">
        <f t="shared" si="125"/>
        <v>1779468.368027075</v>
      </c>
      <c r="N1544" s="11">
        <f t="shared" si="121"/>
        <v>2.8237152712369769E-5</v>
      </c>
    </row>
    <row r="1545" spans="1:14" x14ac:dyDescent="0.25">
      <c r="A1545" s="79" t="s">
        <v>36</v>
      </c>
      <c r="B1545" s="89" t="s">
        <v>7</v>
      </c>
      <c r="C1545" s="89" t="s">
        <v>44</v>
      </c>
      <c r="D1545" s="13" t="s">
        <v>180</v>
      </c>
      <c r="E1545" s="35">
        <f>VLOOKUP(B1545, Passenger_Kilometre_by_mode_type[#All],MATCH(A1545, Passenger_Kilometre_by_mode_type[#Headers],0),0)</f>
        <v>140095535.3435244</v>
      </c>
      <c r="F1545" s="89">
        <f>VLOOKUP(C1545, Reason_for_walking_cycling_journeys_by_percentage[#All],MATCH(A1545, Reason_for_walking_cycling_journeys_by_percentage[#Headers],0),0)/100</f>
        <v>0.24650000000000002</v>
      </c>
      <c r="G1545" s="13">
        <f t="shared" si="122"/>
        <v>34533549.462178767</v>
      </c>
      <c r="H1545" s="89">
        <f>VLOOKUP(D1545,Average_Distance_by_kilometre_grouping_for_mode_type[#All],MATCH(A1545,Average_Distance_by_kilometre_grouping_for_mode_type[#Headers],0),0)</f>
        <v>5</v>
      </c>
      <c r="I1545" s="89">
        <f>VLOOKUP(D1545,Average_Distance_by_kilometres_grouping_for_trip_purpose[#All],MATCH(A1545,Average_Distance_by_kilometres_grouping_for_trip_purpose[#Headers],0),0)</f>
        <v>5</v>
      </c>
      <c r="J1545" s="89">
        <f t="shared" si="123"/>
        <v>5</v>
      </c>
      <c r="K1545" s="89">
        <f t="shared" si="124"/>
        <v>8.5881140501545869E-2</v>
      </c>
      <c r="L1545" s="89">
        <v>1</v>
      </c>
      <c r="M1545" s="13">
        <f t="shared" si="125"/>
        <v>2965780.6133784587</v>
      </c>
      <c r="N1545" s="11">
        <f t="shared" si="121"/>
        <v>4.706192118728295E-5</v>
      </c>
    </row>
    <row r="1546" spans="1:14" x14ac:dyDescent="0.25">
      <c r="A1546" s="79" t="s">
        <v>36</v>
      </c>
      <c r="B1546" s="89" t="s">
        <v>7</v>
      </c>
      <c r="C1546" s="89" t="s">
        <v>44</v>
      </c>
      <c r="D1546" s="13" t="s">
        <v>182</v>
      </c>
      <c r="E1546" s="35">
        <f>VLOOKUP(B1546, Passenger_Kilometre_by_mode_type[#All],MATCH(A1546, Passenger_Kilometre_by_mode_type[#Headers],0),0)</f>
        <v>140095535.3435244</v>
      </c>
      <c r="F1546" s="89">
        <f>VLOOKUP(C1546, Reason_for_walking_cycling_journeys_by_percentage[#All],MATCH(A1546, Reason_for_walking_cycling_journeys_by_percentage[#Headers],0),0)/100</f>
        <v>0.24650000000000002</v>
      </c>
      <c r="G1546" s="13">
        <f t="shared" si="122"/>
        <v>34533549.462178767</v>
      </c>
      <c r="H1546" s="89">
        <f>VLOOKUP(D1546,Average_Distance_by_kilometre_grouping_for_mode_type[#All],MATCH(A1546,Average_Distance_by_kilometre_grouping_for_mode_type[#Headers],0),0)</f>
        <v>7</v>
      </c>
      <c r="I1546" s="89">
        <f>VLOOKUP(D1546,Average_Distance_by_kilometres_grouping_for_trip_purpose[#All],MATCH(A1546,Average_Distance_by_kilometres_grouping_for_trip_purpose[#Headers],0),0)</f>
        <v>7</v>
      </c>
      <c r="J1546" s="89">
        <f t="shared" si="123"/>
        <v>7</v>
      </c>
      <c r="K1546" s="89">
        <f t="shared" si="124"/>
        <v>0.12023359670216421</v>
      </c>
      <c r="L1546" s="89">
        <v>1</v>
      </c>
      <c r="M1546" s="13">
        <f t="shared" si="125"/>
        <v>4152092.8587298417</v>
      </c>
      <c r="N1546" s="11">
        <f t="shared" si="121"/>
        <v>6.5886689662196125E-5</v>
      </c>
    </row>
    <row r="1547" spans="1:14" x14ac:dyDescent="0.25">
      <c r="A1547" s="79" t="s">
        <v>36</v>
      </c>
      <c r="B1547" s="89" t="s">
        <v>7</v>
      </c>
      <c r="C1547" s="89" t="s">
        <v>44</v>
      </c>
      <c r="D1547" s="13" t="s">
        <v>1</v>
      </c>
      <c r="E1547" s="35">
        <f>VLOOKUP(B1547, Passenger_Kilometre_by_mode_type[#All],MATCH(A1547, Passenger_Kilometre_by_mode_type[#Headers],0),0)</f>
        <v>140095535.3435244</v>
      </c>
      <c r="F1547" s="89">
        <f>VLOOKUP(C1547, Reason_for_walking_cycling_journeys_by_percentage[#All],MATCH(A1547, Reason_for_walking_cycling_journeys_by_percentage[#Headers],0),0)/100</f>
        <v>0.24650000000000002</v>
      </c>
      <c r="G1547" s="13">
        <f t="shared" si="122"/>
        <v>34533549.462178767</v>
      </c>
      <c r="H1547" s="89">
        <f>VLOOKUP(D1547,Average_Distance_by_kilometre_grouping_for_mode_type[#All],MATCH(A1547,Average_Distance_by_kilometre_grouping_for_mode_type[#Headers],0),0)</f>
        <v>41.2</v>
      </c>
      <c r="I1547" s="89">
        <f>VLOOKUP(D1547,Average_Distance_by_kilometres_grouping_for_trip_purpose[#All],MATCH(A1547,Average_Distance_by_kilometres_grouping_for_trip_purpose[#Headers],0),0)</f>
        <v>43.24</v>
      </c>
      <c r="J1547" s="89">
        <f t="shared" si="123"/>
        <v>42.22</v>
      </c>
      <c r="K1547" s="89">
        <f t="shared" si="124"/>
        <v>0.72518035039505324</v>
      </c>
      <c r="L1547" s="89">
        <v>1</v>
      </c>
      <c r="M1547" s="13">
        <f t="shared" si="125"/>
        <v>25043051.499367699</v>
      </c>
      <c r="N1547" s="11">
        <f t="shared" si="121"/>
        <v>3.9739086250541715E-4</v>
      </c>
    </row>
    <row r="1548" spans="1:14" x14ac:dyDescent="0.25">
      <c r="A1548" s="79" t="s">
        <v>36</v>
      </c>
      <c r="B1548" s="89" t="s">
        <v>7</v>
      </c>
      <c r="C1548" s="89" t="s">
        <v>45</v>
      </c>
      <c r="D1548" s="13" t="s">
        <v>12</v>
      </c>
      <c r="E1548" s="35">
        <f>VLOOKUP(B1548, Passenger_Kilometre_by_mode_type[#All],MATCH(A1548, Passenger_Kilometre_by_mode_type[#Headers],0),0)</f>
        <v>140095535.3435244</v>
      </c>
      <c r="F1548" s="89">
        <f>VLOOKUP(C1548, Reason_for_walking_cycling_journeys_by_percentage[#All],MATCH(A1548, Reason_for_walking_cycling_journeys_by_percentage[#Headers],0),0)/100</f>
        <v>3.95E-2</v>
      </c>
      <c r="G1548" s="13">
        <f t="shared" si="122"/>
        <v>5533773.6460692137</v>
      </c>
      <c r="H1548" s="89">
        <f>VLOOKUP(D1548,Average_Distance_by_kilometre_grouping_for_mode_type[#All],MATCH(A1548,Average_Distance_by_kilometre_grouping_for_mode_type[#Headers],0),0)</f>
        <v>1</v>
      </c>
      <c r="I1548" s="89">
        <f>VLOOKUP(D1548,Average_Distance_by_kilometres_grouping_for_trip_purpose[#All],MATCH(A1548,Average_Distance_by_kilometres_grouping_for_trip_purpose[#Headers],0),0)</f>
        <v>1</v>
      </c>
      <c r="J1548" s="89">
        <f t="shared" si="123"/>
        <v>1</v>
      </c>
      <c r="K1548" s="89">
        <f t="shared" si="124"/>
        <v>1.7176228100309172E-2</v>
      </c>
      <c r="L1548" s="89">
        <v>1</v>
      </c>
      <c r="M1548" s="13">
        <f t="shared" si="125"/>
        <v>95049.358400364377</v>
      </c>
      <c r="N1548" s="11">
        <f t="shared" si="121"/>
        <v>1.5082725248662687E-6</v>
      </c>
    </row>
    <row r="1549" spans="1:14" x14ac:dyDescent="0.25">
      <c r="A1549" s="79" t="s">
        <v>36</v>
      </c>
      <c r="B1549" s="89" t="s">
        <v>7</v>
      </c>
      <c r="C1549" s="89" t="s">
        <v>45</v>
      </c>
      <c r="D1549" s="13" t="s">
        <v>181</v>
      </c>
      <c r="E1549" s="35">
        <f>VLOOKUP(B1549, Passenger_Kilometre_by_mode_type[#All],MATCH(A1549, Passenger_Kilometre_by_mode_type[#Headers],0),0)</f>
        <v>140095535.3435244</v>
      </c>
      <c r="F1549" s="89">
        <f>VLOOKUP(C1549, Reason_for_walking_cycling_journeys_by_percentage[#All],MATCH(A1549, Reason_for_walking_cycling_journeys_by_percentage[#Headers],0),0)/100</f>
        <v>3.95E-2</v>
      </c>
      <c r="G1549" s="13">
        <f t="shared" si="122"/>
        <v>5533773.6460692137</v>
      </c>
      <c r="H1549" s="89">
        <f>VLOOKUP(D1549,Average_Distance_by_kilometre_grouping_for_mode_type[#All],MATCH(A1549,Average_Distance_by_kilometre_grouping_for_mode_type[#Headers],0),0)</f>
        <v>3</v>
      </c>
      <c r="I1549" s="89">
        <f>VLOOKUP(D1549,Average_Distance_by_kilometres_grouping_for_trip_purpose[#All],MATCH(A1549,Average_Distance_by_kilometres_grouping_for_trip_purpose[#Headers],0),0)</f>
        <v>3</v>
      </c>
      <c r="J1549" s="89">
        <f t="shared" si="123"/>
        <v>3</v>
      </c>
      <c r="K1549" s="89">
        <f t="shared" si="124"/>
        <v>5.1528684300927517E-2</v>
      </c>
      <c r="L1549" s="89">
        <v>1</v>
      </c>
      <c r="M1549" s="13">
        <f t="shared" si="125"/>
        <v>285148.0752010931</v>
      </c>
      <c r="N1549" s="11">
        <f t="shared" si="121"/>
        <v>4.5248175745988064E-6</v>
      </c>
    </row>
    <row r="1550" spans="1:14" x14ac:dyDescent="0.25">
      <c r="A1550" s="79" t="s">
        <v>36</v>
      </c>
      <c r="B1550" s="89" t="s">
        <v>7</v>
      </c>
      <c r="C1550" s="89" t="s">
        <v>45</v>
      </c>
      <c r="D1550" s="13" t="s">
        <v>180</v>
      </c>
      <c r="E1550" s="35">
        <f>VLOOKUP(B1550, Passenger_Kilometre_by_mode_type[#All],MATCH(A1550, Passenger_Kilometre_by_mode_type[#Headers],0),0)</f>
        <v>140095535.3435244</v>
      </c>
      <c r="F1550" s="89">
        <f>VLOOKUP(C1550, Reason_for_walking_cycling_journeys_by_percentage[#All],MATCH(A1550, Reason_for_walking_cycling_journeys_by_percentage[#Headers],0),0)/100</f>
        <v>3.95E-2</v>
      </c>
      <c r="G1550" s="13">
        <f t="shared" si="122"/>
        <v>5533773.6460692137</v>
      </c>
      <c r="H1550" s="89">
        <f>VLOOKUP(D1550,Average_Distance_by_kilometre_grouping_for_mode_type[#All],MATCH(A1550,Average_Distance_by_kilometre_grouping_for_mode_type[#Headers],0),0)</f>
        <v>5</v>
      </c>
      <c r="I1550" s="89">
        <f>VLOOKUP(D1550,Average_Distance_by_kilometres_grouping_for_trip_purpose[#All],MATCH(A1550,Average_Distance_by_kilometres_grouping_for_trip_purpose[#Headers],0),0)</f>
        <v>5</v>
      </c>
      <c r="J1550" s="89">
        <f t="shared" si="123"/>
        <v>5</v>
      </c>
      <c r="K1550" s="89">
        <f t="shared" si="124"/>
        <v>8.5881140501545869E-2</v>
      </c>
      <c r="L1550" s="89">
        <v>1</v>
      </c>
      <c r="M1550" s="13">
        <f t="shared" si="125"/>
        <v>475246.79200182192</v>
      </c>
      <c r="N1550" s="11">
        <f t="shared" si="121"/>
        <v>7.5413626243313443E-6</v>
      </c>
    </row>
    <row r="1551" spans="1:14" x14ac:dyDescent="0.25">
      <c r="A1551" s="79" t="s">
        <v>36</v>
      </c>
      <c r="B1551" s="89" t="s">
        <v>7</v>
      </c>
      <c r="C1551" s="89" t="s">
        <v>45</v>
      </c>
      <c r="D1551" s="13" t="s">
        <v>182</v>
      </c>
      <c r="E1551" s="35">
        <f>VLOOKUP(B1551, Passenger_Kilometre_by_mode_type[#All],MATCH(A1551, Passenger_Kilometre_by_mode_type[#Headers],0),0)</f>
        <v>140095535.3435244</v>
      </c>
      <c r="F1551" s="89">
        <f>VLOOKUP(C1551, Reason_for_walking_cycling_journeys_by_percentage[#All],MATCH(A1551, Reason_for_walking_cycling_journeys_by_percentage[#Headers],0),0)/100</f>
        <v>3.95E-2</v>
      </c>
      <c r="G1551" s="13">
        <f t="shared" si="122"/>
        <v>5533773.6460692137</v>
      </c>
      <c r="H1551" s="89">
        <f>VLOOKUP(D1551,Average_Distance_by_kilometre_grouping_for_mode_type[#All],MATCH(A1551,Average_Distance_by_kilometre_grouping_for_mode_type[#Headers],0),0)</f>
        <v>7</v>
      </c>
      <c r="I1551" s="89">
        <f>VLOOKUP(D1551,Average_Distance_by_kilometres_grouping_for_trip_purpose[#All],MATCH(A1551,Average_Distance_by_kilometres_grouping_for_trip_purpose[#Headers],0),0)</f>
        <v>7</v>
      </c>
      <c r="J1551" s="89">
        <f t="shared" si="123"/>
        <v>7</v>
      </c>
      <c r="K1551" s="89">
        <f t="shared" si="124"/>
        <v>0.12023359670216421</v>
      </c>
      <c r="L1551" s="89">
        <v>1</v>
      </c>
      <c r="M1551" s="13">
        <f t="shared" si="125"/>
        <v>665345.50880255061</v>
      </c>
      <c r="N1551" s="11">
        <f t="shared" si="121"/>
        <v>1.0557907674063881E-5</v>
      </c>
    </row>
    <row r="1552" spans="1:14" x14ac:dyDescent="0.25">
      <c r="A1552" s="79" t="s">
        <v>36</v>
      </c>
      <c r="B1552" s="89" t="s">
        <v>7</v>
      </c>
      <c r="C1552" s="89" t="s">
        <v>45</v>
      </c>
      <c r="D1552" s="13" t="s">
        <v>1</v>
      </c>
      <c r="E1552" s="35">
        <f>VLOOKUP(B1552, Passenger_Kilometre_by_mode_type[#All],MATCH(A1552, Passenger_Kilometre_by_mode_type[#Headers],0),0)</f>
        <v>140095535.3435244</v>
      </c>
      <c r="F1552" s="89">
        <f>VLOOKUP(C1552, Reason_for_walking_cycling_journeys_by_percentage[#All],MATCH(A1552, Reason_for_walking_cycling_journeys_by_percentage[#Headers],0),0)/100</f>
        <v>3.95E-2</v>
      </c>
      <c r="G1552" s="13">
        <f t="shared" si="122"/>
        <v>5533773.6460692137</v>
      </c>
      <c r="H1552" s="89">
        <f>VLOOKUP(D1552,Average_Distance_by_kilometre_grouping_for_mode_type[#All],MATCH(A1552,Average_Distance_by_kilometre_grouping_for_mode_type[#Headers],0),0)</f>
        <v>41.2</v>
      </c>
      <c r="I1552" s="89">
        <f>VLOOKUP(D1552,Average_Distance_by_kilometres_grouping_for_trip_purpose[#All],MATCH(A1552,Average_Distance_by_kilometres_grouping_for_trip_purpose[#Headers],0),0)</f>
        <v>43.24</v>
      </c>
      <c r="J1552" s="89">
        <f t="shared" si="123"/>
        <v>42.22</v>
      </c>
      <c r="K1552" s="89">
        <f t="shared" si="124"/>
        <v>0.72518035039505324</v>
      </c>
      <c r="L1552" s="89">
        <v>1</v>
      </c>
      <c r="M1552" s="13">
        <f t="shared" si="125"/>
        <v>4012983.9116633837</v>
      </c>
      <c r="N1552" s="11">
        <f t="shared" si="121"/>
        <v>6.3679265999853869E-5</v>
      </c>
    </row>
    <row r="1553" spans="1:14" x14ac:dyDescent="0.25">
      <c r="A1553" s="79" t="s">
        <v>36</v>
      </c>
      <c r="B1553" s="89" t="s">
        <v>7</v>
      </c>
      <c r="C1553" s="89" t="s">
        <v>56</v>
      </c>
      <c r="D1553" s="13" t="s">
        <v>12</v>
      </c>
      <c r="E1553" s="35">
        <f>VLOOKUP(B1553, Passenger_Kilometre_by_mode_type[#All],MATCH(A1553, Passenger_Kilometre_by_mode_type[#Headers],0),0)</f>
        <v>140095535.3435244</v>
      </c>
      <c r="F1553" s="89">
        <f>VLOOKUP(C1553, Reason_for_walking_cycling_journeys_by_percentage[#All],MATCH(A1553, Reason_for_walking_cycling_journeys_by_percentage[#Headers],0),0)/100</f>
        <v>6.8250000000000005E-2</v>
      </c>
      <c r="G1553" s="13">
        <f t="shared" si="122"/>
        <v>9561520.287195541</v>
      </c>
      <c r="H1553" s="89">
        <f>VLOOKUP(D1553,Average_Distance_by_kilometre_grouping_for_mode_type[#All],MATCH(A1553,Average_Distance_by_kilometre_grouping_for_mode_type[#Headers],0),0)</f>
        <v>1</v>
      </c>
      <c r="I1553" s="89">
        <f>VLOOKUP(D1553,Average_Distance_by_kilometres_grouping_for_trip_purpose[#All],MATCH(A1553,Average_Distance_by_kilometres_grouping_for_trip_purpose[#Headers],0),0)</f>
        <v>1</v>
      </c>
      <c r="J1553" s="89">
        <f t="shared" si="123"/>
        <v>1</v>
      </c>
      <c r="K1553" s="89">
        <f t="shared" si="124"/>
        <v>1.7176228100309172E-2</v>
      </c>
      <c r="L1553" s="89">
        <v>1</v>
      </c>
      <c r="M1553" s="13">
        <f t="shared" si="125"/>
        <v>164230.85343860427</v>
      </c>
      <c r="N1553" s="11">
        <f t="shared" si="121"/>
        <v>2.6060658182815912E-6</v>
      </c>
    </row>
    <row r="1554" spans="1:14" x14ac:dyDescent="0.25">
      <c r="A1554" s="79" t="s">
        <v>36</v>
      </c>
      <c r="B1554" s="89" t="s">
        <v>7</v>
      </c>
      <c r="C1554" s="89" t="s">
        <v>56</v>
      </c>
      <c r="D1554" s="13" t="s">
        <v>181</v>
      </c>
      <c r="E1554" s="35">
        <f>VLOOKUP(B1554, Passenger_Kilometre_by_mode_type[#All],MATCH(A1554, Passenger_Kilometre_by_mode_type[#Headers],0),0)</f>
        <v>140095535.3435244</v>
      </c>
      <c r="F1554" s="89">
        <f>VLOOKUP(C1554, Reason_for_walking_cycling_journeys_by_percentage[#All],MATCH(A1554, Reason_for_walking_cycling_journeys_by_percentage[#Headers],0),0)/100</f>
        <v>6.8250000000000005E-2</v>
      </c>
      <c r="G1554" s="13">
        <f t="shared" si="122"/>
        <v>9561520.287195541</v>
      </c>
      <c r="H1554" s="89">
        <f>VLOOKUP(D1554,Average_Distance_by_kilometre_grouping_for_mode_type[#All],MATCH(A1554,Average_Distance_by_kilometre_grouping_for_mode_type[#Headers],0),0)</f>
        <v>3</v>
      </c>
      <c r="I1554" s="89">
        <f>VLOOKUP(D1554,Average_Distance_by_kilometres_grouping_for_trip_purpose[#All],MATCH(A1554,Average_Distance_by_kilometres_grouping_for_trip_purpose[#Headers],0),0)</f>
        <v>3</v>
      </c>
      <c r="J1554" s="89">
        <f t="shared" si="123"/>
        <v>3</v>
      </c>
      <c r="K1554" s="89">
        <f t="shared" si="124"/>
        <v>5.1528684300927517E-2</v>
      </c>
      <c r="L1554" s="89">
        <v>1</v>
      </c>
      <c r="M1554" s="13">
        <f t="shared" si="125"/>
        <v>492692.56031581282</v>
      </c>
      <c r="N1554" s="11">
        <f t="shared" si="121"/>
        <v>7.8181974548447725E-6</v>
      </c>
    </row>
    <row r="1555" spans="1:14" x14ac:dyDescent="0.25">
      <c r="A1555" s="79" t="s">
        <v>36</v>
      </c>
      <c r="B1555" s="89" t="s">
        <v>7</v>
      </c>
      <c r="C1555" s="89" t="s">
        <v>56</v>
      </c>
      <c r="D1555" s="13" t="s">
        <v>180</v>
      </c>
      <c r="E1555" s="35">
        <f>VLOOKUP(B1555, Passenger_Kilometre_by_mode_type[#All],MATCH(A1555, Passenger_Kilometre_by_mode_type[#Headers],0),0)</f>
        <v>140095535.3435244</v>
      </c>
      <c r="F1555" s="89">
        <f>VLOOKUP(C1555, Reason_for_walking_cycling_journeys_by_percentage[#All],MATCH(A1555, Reason_for_walking_cycling_journeys_by_percentage[#Headers],0),0)/100</f>
        <v>6.8250000000000005E-2</v>
      </c>
      <c r="G1555" s="13">
        <f t="shared" si="122"/>
        <v>9561520.287195541</v>
      </c>
      <c r="H1555" s="89">
        <f>VLOOKUP(D1555,Average_Distance_by_kilometre_grouping_for_mode_type[#All],MATCH(A1555,Average_Distance_by_kilometre_grouping_for_mode_type[#Headers],0),0)</f>
        <v>5</v>
      </c>
      <c r="I1555" s="89">
        <f>VLOOKUP(D1555,Average_Distance_by_kilometres_grouping_for_trip_purpose[#All],MATCH(A1555,Average_Distance_by_kilometres_grouping_for_trip_purpose[#Headers],0),0)</f>
        <v>5</v>
      </c>
      <c r="J1555" s="89">
        <f t="shared" si="123"/>
        <v>5</v>
      </c>
      <c r="K1555" s="89">
        <f t="shared" si="124"/>
        <v>8.5881140501545869E-2</v>
      </c>
      <c r="L1555" s="89">
        <v>1</v>
      </c>
      <c r="M1555" s="13">
        <f t="shared" si="125"/>
        <v>821154.26719302149</v>
      </c>
      <c r="N1555" s="11">
        <f t="shared" si="121"/>
        <v>1.3030329091407957E-5</v>
      </c>
    </row>
    <row r="1556" spans="1:14" x14ac:dyDescent="0.25">
      <c r="A1556" s="79" t="s">
        <v>36</v>
      </c>
      <c r="B1556" s="89" t="s">
        <v>7</v>
      </c>
      <c r="C1556" s="89" t="s">
        <v>56</v>
      </c>
      <c r="D1556" s="13" t="s">
        <v>182</v>
      </c>
      <c r="E1556" s="35">
        <f>VLOOKUP(B1556, Passenger_Kilometre_by_mode_type[#All],MATCH(A1556, Passenger_Kilometre_by_mode_type[#Headers],0),0)</f>
        <v>140095535.3435244</v>
      </c>
      <c r="F1556" s="89">
        <f>VLOOKUP(C1556, Reason_for_walking_cycling_journeys_by_percentage[#All],MATCH(A1556, Reason_for_walking_cycling_journeys_by_percentage[#Headers],0),0)/100</f>
        <v>6.8250000000000005E-2</v>
      </c>
      <c r="G1556" s="13">
        <f t="shared" si="122"/>
        <v>9561520.287195541</v>
      </c>
      <c r="H1556" s="89">
        <f>VLOOKUP(D1556,Average_Distance_by_kilometre_grouping_for_mode_type[#All],MATCH(A1556,Average_Distance_by_kilometre_grouping_for_mode_type[#Headers],0),0)</f>
        <v>7</v>
      </c>
      <c r="I1556" s="89">
        <f>VLOOKUP(D1556,Average_Distance_by_kilometres_grouping_for_trip_purpose[#All],MATCH(A1556,Average_Distance_by_kilometres_grouping_for_trip_purpose[#Headers],0),0)</f>
        <v>7</v>
      </c>
      <c r="J1556" s="89">
        <f t="shared" si="123"/>
        <v>7</v>
      </c>
      <c r="K1556" s="89">
        <f t="shared" si="124"/>
        <v>0.12023359670216421</v>
      </c>
      <c r="L1556" s="89">
        <v>1</v>
      </c>
      <c r="M1556" s="13">
        <f t="shared" si="125"/>
        <v>1149615.97407023</v>
      </c>
      <c r="N1556" s="11">
        <f t="shared" si="121"/>
        <v>1.8242460727971141E-5</v>
      </c>
    </row>
    <row r="1557" spans="1:14" x14ac:dyDescent="0.25">
      <c r="A1557" s="79" t="s">
        <v>36</v>
      </c>
      <c r="B1557" s="89" t="s">
        <v>7</v>
      </c>
      <c r="C1557" s="89" t="s">
        <v>56</v>
      </c>
      <c r="D1557" s="13" t="s">
        <v>1</v>
      </c>
      <c r="E1557" s="35">
        <f>VLOOKUP(B1557, Passenger_Kilometre_by_mode_type[#All],MATCH(A1557, Passenger_Kilometre_by_mode_type[#Headers],0),0)</f>
        <v>140095535.3435244</v>
      </c>
      <c r="F1557" s="89">
        <f>VLOOKUP(C1557, Reason_for_walking_cycling_journeys_by_percentage[#All],MATCH(A1557, Reason_for_walking_cycling_journeys_by_percentage[#Headers],0),0)/100</f>
        <v>6.8250000000000005E-2</v>
      </c>
      <c r="G1557" s="13">
        <f t="shared" si="122"/>
        <v>9561520.287195541</v>
      </c>
      <c r="H1557" s="89">
        <f>VLOOKUP(D1557,Average_Distance_by_kilometre_grouping_for_mode_type[#All],MATCH(A1557,Average_Distance_by_kilometre_grouping_for_mode_type[#Headers],0),0)</f>
        <v>41.2</v>
      </c>
      <c r="I1557" s="89">
        <f>VLOOKUP(D1557,Average_Distance_by_kilometres_grouping_for_trip_purpose[#All],MATCH(A1557,Average_Distance_by_kilometres_grouping_for_trip_purpose[#Headers],0),0)</f>
        <v>43.24</v>
      </c>
      <c r="J1557" s="89">
        <f t="shared" si="123"/>
        <v>42.22</v>
      </c>
      <c r="K1557" s="89">
        <f t="shared" si="124"/>
        <v>0.72518035039505324</v>
      </c>
      <c r="L1557" s="89">
        <v>1</v>
      </c>
      <c r="M1557" s="13">
        <f t="shared" si="125"/>
        <v>6933826.6321778726</v>
      </c>
      <c r="N1557" s="11">
        <f t="shared" si="121"/>
        <v>1.1002809884784878E-4</v>
      </c>
    </row>
    <row r="1558" spans="1:14" x14ac:dyDescent="0.25">
      <c r="A1558" s="79" t="s">
        <v>36</v>
      </c>
      <c r="B1558" s="89" t="s">
        <v>7</v>
      </c>
      <c r="C1558" s="89" t="s">
        <v>57</v>
      </c>
      <c r="D1558" s="13" t="s">
        <v>12</v>
      </c>
      <c r="E1558" s="35">
        <f>VLOOKUP(B1558, Passenger_Kilometre_by_mode_type[#All],MATCH(A1558, Passenger_Kilometre_by_mode_type[#Headers],0),0)</f>
        <v>140095535.3435244</v>
      </c>
      <c r="F1558" s="89">
        <f>VLOOKUP(C1558, Reason_for_walking_cycling_journeys_by_percentage[#All],MATCH(A1558, Reason_for_walking_cycling_journeys_by_percentage[#Headers],0),0)/100</f>
        <v>0.185</v>
      </c>
      <c r="G1558" s="13">
        <f t="shared" si="122"/>
        <v>25917674.038552012</v>
      </c>
      <c r="H1558" s="89">
        <f>VLOOKUP(D1558,Average_Distance_by_kilometre_grouping_for_mode_type[#All],MATCH(A1558,Average_Distance_by_kilometre_grouping_for_mode_type[#Headers],0),0)</f>
        <v>1</v>
      </c>
      <c r="I1558" s="89">
        <f>VLOOKUP(D1558,Average_Distance_by_kilometres_grouping_for_trip_purpose[#All],MATCH(A1558,Average_Distance_by_kilometres_grouping_for_trip_purpose[#Headers],0),0)</f>
        <v>1</v>
      </c>
      <c r="J1558" s="89">
        <f t="shared" si="123"/>
        <v>1</v>
      </c>
      <c r="K1558" s="89">
        <f t="shared" si="124"/>
        <v>1.7176228100309172E-2</v>
      </c>
      <c r="L1558" s="89">
        <v>1</v>
      </c>
      <c r="M1558" s="13">
        <f t="shared" si="125"/>
        <v>445167.88111563056</v>
      </c>
      <c r="N1558" s="11">
        <f t="shared" si="121"/>
        <v>7.0640611924116374E-6</v>
      </c>
    </row>
    <row r="1559" spans="1:14" x14ac:dyDescent="0.25">
      <c r="A1559" s="79" t="s">
        <v>36</v>
      </c>
      <c r="B1559" s="89" t="s">
        <v>7</v>
      </c>
      <c r="C1559" s="89" t="s">
        <v>57</v>
      </c>
      <c r="D1559" s="13" t="s">
        <v>181</v>
      </c>
      <c r="E1559" s="35">
        <f>VLOOKUP(B1559, Passenger_Kilometre_by_mode_type[#All],MATCH(A1559, Passenger_Kilometre_by_mode_type[#Headers],0),0)</f>
        <v>140095535.3435244</v>
      </c>
      <c r="F1559" s="89">
        <f>VLOOKUP(C1559, Reason_for_walking_cycling_journeys_by_percentage[#All],MATCH(A1559, Reason_for_walking_cycling_journeys_by_percentage[#Headers],0),0)/100</f>
        <v>0.185</v>
      </c>
      <c r="G1559" s="13">
        <f t="shared" si="122"/>
        <v>25917674.038552012</v>
      </c>
      <c r="H1559" s="89">
        <f>VLOOKUP(D1559,Average_Distance_by_kilometre_grouping_for_mode_type[#All],MATCH(A1559,Average_Distance_by_kilometre_grouping_for_mode_type[#Headers],0),0)</f>
        <v>3</v>
      </c>
      <c r="I1559" s="89">
        <f>VLOOKUP(D1559,Average_Distance_by_kilometres_grouping_for_trip_purpose[#All],MATCH(A1559,Average_Distance_by_kilometres_grouping_for_trip_purpose[#Headers],0),0)</f>
        <v>3</v>
      </c>
      <c r="J1559" s="89">
        <f t="shared" si="123"/>
        <v>3</v>
      </c>
      <c r="K1559" s="89">
        <f t="shared" si="124"/>
        <v>5.1528684300927517E-2</v>
      </c>
      <c r="L1559" s="89">
        <v>1</v>
      </c>
      <c r="M1559" s="13">
        <f t="shared" si="125"/>
        <v>1335503.6433468917</v>
      </c>
      <c r="N1559" s="11">
        <f t="shared" si="121"/>
        <v>2.1192183577234915E-5</v>
      </c>
    </row>
    <row r="1560" spans="1:14" x14ac:dyDescent="0.25">
      <c r="A1560" s="79" t="s">
        <v>36</v>
      </c>
      <c r="B1560" s="89" t="s">
        <v>7</v>
      </c>
      <c r="C1560" s="89" t="s">
        <v>57</v>
      </c>
      <c r="D1560" s="13" t="s">
        <v>180</v>
      </c>
      <c r="E1560" s="35">
        <f>VLOOKUP(B1560, Passenger_Kilometre_by_mode_type[#All],MATCH(A1560, Passenger_Kilometre_by_mode_type[#Headers],0),0)</f>
        <v>140095535.3435244</v>
      </c>
      <c r="F1560" s="89">
        <f>VLOOKUP(C1560, Reason_for_walking_cycling_journeys_by_percentage[#All],MATCH(A1560, Reason_for_walking_cycling_journeys_by_percentage[#Headers],0),0)/100</f>
        <v>0.185</v>
      </c>
      <c r="G1560" s="13">
        <f t="shared" si="122"/>
        <v>25917674.038552012</v>
      </c>
      <c r="H1560" s="89">
        <f>VLOOKUP(D1560,Average_Distance_by_kilometre_grouping_for_mode_type[#All],MATCH(A1560,Average_Distance_by_kilometre_grouping_for_mode_type[#Headers],0),0)</f>
        <v>5</v>
      </c>
      <c r="I1560" s="89">
        <f>VLOOKUP(D1560,Average_Distance_by_kilometres_grouping_for_trip_purpose[#All],MATCH(A1560,Average_Distance_by_kilometres_grouping_for_trip_purpose[#Headers],0),0)</f>
        <v>5</v>
      </c>
      <c r="J1560" s="89">
        <f t="shared" si="123"/>
        <v>5</v>
      </c>
      <c r="K1560" s="89">
        <f t="shared" si="124"/>
        <v>8.5881140501545869E-2</v>
      </c>
      <c r="L1560" s="89">
        <v>1</v>
      </c>
      <c r="M1560" s="13">
        <f t="shared" si="125"/>
        <v>2225839.4055781532</v>
      </c>
      <c r="N1560" s="11">
        <f t="shared" si="121"/>
        <v>3.5320305962058194E-5</v>
      </c>
    </row>
    <row r="1561" spans="1:14" x14ac:dyDescent="0.25">
      <c r="A1561" s="79" t="s">
        <v>36</v>
      </c>
      <c r="B1561" s="89" t="s">
        <v>7</v>
      </c>
      <c r="C1561" s="89" t="s">
        <v>57</v>
      </c>
      <c r="D1561" s="13" t="s">
        <v>182</v>
      </c>
      <c r="E1561" s="35">
        <f>VLOOKUP(B1561, Passenger_Kilometre_by_mode_type[#All],MATCH(A1561, Passenger_Kilometre_by_mode_type[#Headers],0),0)</f>
        <v>140095535.3435244</v>
      </c>
      <c r="F1561" s="89">
        <f>VLOOKUP(C1561, Reason_for_walking_cycling_journeys_by_percentage[#All],MATCH(A1561, Reason_for_walking_cycling_journeys_by_percentage[#Headers],0),0)/100</f>
        <v>0.185</v>
      </c>
      <c r="G1561" s="13">
        <f t="shared" si="122"/>
        <v>25917674.038552012</v>
      </c>
      <c r="H1561" s="89">
        <f>VLOOKUP(D1561,Average_Distance_by_kilometre_grouping_for_mode_type[#All],MATCH(A1561,Average_Distance_by_kilometre_grouping_for_mode_type[#Headers],0),0)</f>
        <v>7</v>
      </c>
      <c r="I1561" s="89">
        <f>VLOOKUP(D1561,Average_Distance_by_kilometres_grouping_for_trip_purpose[#All],MATCH(A1561,Average_Distance_by_kilometres_grouping_for_trip_purpose[#Headers],0),0)</f>
        <v>7</v>
      </c>
      <c r="J1561" s="89">
        <f t="shared" si="123"/>
        <v>7</v>
      </c>
      <c r="K1561" s="89">
        <f t="shared" si="124"/>
        <v>0.12023359670216421</v>
      </c>
      <c r="L1561" s="89">
        <v>1</v>
      </c>
      <c r="M1561" s="13">
        <f t="shared" si="125"/>
        <v>3116175.1678094142</v>
      </c>
      <c r="N1561" s="11">
        <f t="shared" si="121"/>
        <v>4.9448428346881468E-5</v>
      </c>
    </row>
    <row r="1562" spans="1:14" x14ac:dyDescent="0.25">
      <c r="A1562" s="79" t="s">
        <v>36</v>
      </c>
      <c r="B1562" s="89" t="s">
        <v>7</v>
      </c>
      <c r="C1562" s="89" t="s">
        <v>57</v>
      </c>
      <c r="D1562" s="13" t="s">
        <v>1</v>
      </c>
      <c r="E1562" s="35">
        <f>VLOOKUP(B1562, Passenger_Kilometre_by_mode_type[#All],MATCH(A1562, Passenger_Kilometre_by_mode_type[#Headers],0),0)</f>
        <v>140095535.3435244</v>
      </c>
      <c r="F1562" s="89">
        <f>VLOOKUP(C1562, Reason_for_walking_cycling_journeys_by_percentage[#All],MATCH(A1562, Reason_for_walking_cycling_journeys_by_percentage[#Headers],0),0)/100</f>
        <v>0.185</v>
      </c>
      <c r="G1562" s="13">
        <f t="shared" si="122"/>
        <v>25917674.038552012</v>
      </c>
      <c r="H1562" s="89">
        <f>VLOOKUP(D1562,Average_Distance_by_kilometre_grouping_for_mode_type[#All],MATCH(A1562,Average_Distance_by_kilometre_grouping_for_mode_type[#Headers],0),0)</f>
        <v>41.2</v>
      </c>
      <c r="I1562" s="89">
        <f>VLOOKUP(D1562,Average_Distance_by_kilometres_grouping_for_trip_purpose[#All],MATCH(A1562,Average_Distance_by_kilometres_grouping_for_trip_purpose[#Headers],0),0)</f>
        <v>43.24</v>
      </c>
      <c r="J1562" s="89">
        <f t="shared" si="123"/>
        <v>42.22</v>
      </c>
      <c r="K1562" s="89">
        <f t="shared" si="124"/>
        <v>0.72518035039505324</v>
      </c>
      <c r="L1562" s="89">
        <v>1</v>
      </c>
      <c r="M1562" s="13">
        <f t="shared" si="125"/>
        <v>18794987.940701924</v>
      </c>
      <c r="N1562" s="11">
        <f t="shared" si="121"/>
        <v>2.9824466354361938E-4</v>
      </c>
    </row>
    <row r="1563" spans="1:14" x14ac:dyDescent="0.25">
      <c r="A1563" s="79" t="s">
        <v>36</v>
      </c>
      <c r="B1563" s="89" t="s">
        <v>7</v>
      </c>
      <c r="C1563" s="89" t="s">
        <v>93</v>
      </c>
      <c r="D1563" s="13" t="s">
        <v>12</v>
      </c>
      <c r="E1563" s="35">
        <f>VLOOKUP(B1563, Passenger_Kilometre_by_mode_type[#All],MATCH(A1563, Passenger_Kilometre_by_mode_type[#Headers],0),0)</f>
        <v>140095535.3435244</v>
      </c>
      <c r="F1563" s="89">
        <f>VLOOKUP(C1563, Reason_for_walking_cycling_journeys_by_percentage[#All],MATCH(A1563, Reason_for_walking_cycling_journeys_by_percentage[#Headers],0),0)/100</f>
        <v>4.2249999999999996E-2</v>
      </c>
      <c r="G1563" s="13">
        <f t="shared" si="122"/>
        <v>5919036.3682639049</v>
      </c>
      <c r="H1563" s="89">
        <f>VLOOKUP(D1563,Average_Distance_by_kilometre_grouping_for_mode_type[#All],MATCH(A1563,Average_Distance_by_kilometre_grouping_for_mode_type[#Headers],0),0)</f>
        <v>1</v>
      </c>
      <c r="I1563" s="89">
        <f>VLOOKUP(D1563,Average_Distance_by_kilometres_grouping_for_trip_purpose[#All],MATCH(A1563,Average_Distance_by_kilometres_grouping_for_trip_purpose[#Headers],0),0)</f>
        <v>1</v>
      </c>
      <c r="J1563" s="89">
        <f t="shared" si="123"/>
        <v>1</v>
      </c>
      <c r="K1563" s="89">
        <f t="shared" si="124"/>
        <v>1.7176228100309172E-2</v>
      </c>
      <c r="L1563" s="89">
        <v>1</v>
      </c>
      <c r="M1563" s="13">
        <f t="shared" si="125"/>
        <v>101666.71879532644</v>
      </c>
      <c r="N1563" s="11">
        <f t="shared" si="121"/>
        <v>1.6132788398886037E-6</v>
      </c>
    </row>
    <row r="1564" spans="1:14" x14ac:dyDescent="0.25">
      <c r="A1564" s="79" t="s">
        <v>36</v>
      </c>
      <c r="B1564" s="89" t="s">
        <v>7</v>
      </c>
      <c r="C1564" s="89" t="s">
        <v>93</v>
      </c>
      <c r="D1564" s="13" t="s">
        <v>181</v>
      </c>
      <c r="E1564" s="35">
        <f>VLOOKUP(B1564, Passenger_Kilometre_by_mode_type[#All],MATCH(A1564, Passenger_Kilometre_by_mode_type[#Headers],0),0)</f>
        <v>140095535.3435244</v>
      </c>
      <c r="F1564" s="89">
        <f>VLOOKUP(C1564, Reason_for_walking_cycling_journeys_by_percentage[#All],MATCH(A1564, Reason_for_walking_cycling_journeys_by_percentage[#Headers],0),0)/100</f>
        <v>4.2249999999999996E-2</v>
      </c>
      <c r="G1564" s="13">
        <f t="shared" si="122"/>
        <v>5919036.3682639049</v>
      </c>
      <c r="H1564" s="89">
        <f>VLOOKUP(D1564,Average_Distance_by_kilometre_grouping_for_mode_type[#All],MATCH(A1564,Average_Distance_by_kilometre_grouping_for_mode_type[#Headers],0),0)</f>
        <v>3</v>
      </c>
      <c r="I1564" s="89">
        <f>VLOOKUP(D1564,Average_Distance_by_kilometres_grouping_for_trip_purpose[#All],MATCH(A1564,Average_Distance_by_kilometres_grouping_for_trip_purpose[#Headers],0),0)</f>
        <v>3</v>
      </c>
      <c r="J1564" s="89">
        <f t="shared" si="123"/>
        <v>3</v>
      </c>
      <c r="K1564" s="89">
        <f t="shared" si="124"/>
        <v>5.1528684300927517E-2</v>
      </c>
      <c r="L1564" s="89">
        <v>1</v>
      </c>
      <c r="M1564" s="13">
        <f t="shared" si="125"/>
        <v>305000.15638597932</v>
      </c>
      <c r="N1564" s="11">
        <f t="shared" si="121"/>
        <v>4.8398365196658118E-6</v>
      </c>
    </row>
    <row r="1565" spans="1:14" x14ac:dyDescent="0.25">
      <c r="A1565" s="79" t="s">
        <v>36</v>
      </c>
      <c r="B1565" s="89" t="s">
        <v>7</v>
      </c>
      <c r="C1565" s="89" t="s">
        <v>93</v>
      </c>
      <c r="D1565" s="13" t="s">
        <v>180</v>
      </c>
      <c r="E1565" s="35">
        <f>VLOOKUP(B1565, Passenger_Kilometre_by_mode_type[#All],MATCH(A1565, Passenger_Kilometre_by_mode_type[#Headers],0),0)</f>
        <v>140095535.3435244</v>
      </c>
      <c r="F1565" s="89">
        <f>VLOOKUP(C1565, Reason_for_walking_cycling_journeys_by_percentage[#All],MATCH(A1565, Reason_for_walking_cycling_journeys_by_percentage[#Headers],0),0)/100</f>
        <v>4.2249999999999996E-2</v>
      </c>
      <c r="G1565" s="13">
        <f t="shared" si="122"/>
        <v>5919036.3682639049</v>
      </c>
      <c r="H1565" s="89">
        <f>VLOOKUP(D1565,Average_Distance_by_kilometre_grouping_for_mode_type[#All],MATCH(A1565,Average_Distance_by_kilometre_grouping_for_mode_type[#Headers],0),0)</f>
        <v>5</v>
      </c>
      <c r="I1565" s="89">
        <f>VLOOKUP(D1565,Average_Distance_by_kilometres_grouping_for_trip_purpose[#All],MATCH(A1565,Average_Distance_by_kilometres_grouping_for_trip_purpose[#Headers],0),0)</f>
        <v>5</v>
      </c>
      <c r="J1565" s="89">
        <f t="shared" si="123"/>
        <v>5</v>
      </c>
      <c r="K1565" s="89">
        <f t="shared" si="124"/>
        <v>8.5881140501545869E-2</v>
      </c>
      <c r="L1565" s="89">
        <v>1</v>
      </c>
      <c r="M1565" s="13">
        <f t="shared" si="125"/>
        <v>508333.59397663223</v>
      </c>
      <c r="N1565" s="11">
        <f t="shared" si="121"/>
        <v>8.0663941994430196E-6</v>
      </c>
    </row>
    <row r="1566" spans="1:14" x14ac:dyDescent="0.25">
      <c r="A1566" s="79" t="s">
        <v>36</v>
      </c>
      <c r="B1566" s="89" t="s">
        <v>7</v>
      </c>
      <c r="C1566" s="89" t="s">
        <v>93</v>
      </c>
      <c r="D1566" s="13" t="s">
        <v>182</v>
      </c>
      <c r="E1566" s="35">
        <f>VLOOKUP(B1566, Passenger_Kilometre_by_mode_type[#All],MATCH(A1566, Passenger_Kilometre_by_mode_type[#Headers],0),0)</f>
        <v>140095535.3435244</v>
      </c>
      <c r="F1566" s="89">
        <f>VLOOKUP(C1566, Reason_for_walking_cycling_journeys_by_percentage[#All],MATCH(A1566, Reason_for_walking_cycling_journeys_by_percentage[#Headers],0),0)/100</f>
        <v>4.2249999999999996E-2</v>
      </c>
      <c r="G1566" s="13">
        <f t="shared" si="122"/>
        <v>5919036.3682639049</v>
      </c>
      <c r="H1566" s="89">
        <f>VLOOKUP(D1566,Average_Distance_by_kilometre_grouping_for_mode_type[#All],MATCH(A1566,Average_Distance_by_kilometre_grouping_for_mode_type[#Headers],0),0)</f>
        <v>7</v>
      </c>
      <c r="I1566" s="89">
        <f>VLOOKUP(D1566,Average_Distance_by_kilometres_grouping_for_trip_purpose[#All],MATCH(A1566,Average_Distance_by_kilometres_grouping_for_trip_purpose[#Headers],0),0)</f>
        <v>7</v>
      </c>
      <c r="J1566" s="89">
        <f t="shared" si="123"/>
        <v>7</v>
      </c>
      <c r="K1566" s="89">
        <f t="shared" si="124"/>
        <v>0.12023359670216421</v>
      </c>
      <c r="L1566" s="89">
        <v>1</v>
      </c>
      <c r="M1566" s="13">
        <f t="shared" si="125"/>
        <v>711667.03156728507</v>
      </c>
      <c r="N1566" s="11">
        <f t="shared" si="121"/>
        <v>1.1292951879220226E-5</v>
      </c>
    </row>
    <row r="1567" spans="1:14" x14ac:dyDescent="0.25">
      <c r="A1567" s="79" t="s">
        <v>36</v>
      </c>
      <c r="B1567" s="89" t="s">
        <v>7</v>
      </c>
      <c r="C1567" s="89" t="s">
        <v>93</v>
      </c>
      <c r="D1567" s="13" t="s">
        <v>1</v>
      </c>
      <c r="E1567" s="35">
        <f>VLOOKUP(B1567, Passenger_Kilometre_by_mode_type[#All],MATCH(A1567, Passenger_Kilometre_by_mode_type[#Headers],0),0)</f>
        <v>140095535.3435244</v>
      </c>
      <c r="F1567" s="89">
        <f>VLOOKUP(C1567, Reason_for_walking_cycling_journeys_by_percentage[#All],MATCH(A1567, Reason_for_walking_cycling_journeys_by_percentage[#Headers],0),0)/100</f>
        <v>4.2249999999999996E-2</v>
      </c>
      <c r="G1567" s="13">
        <f t="shared" si="122"/>
        <v>5919036.3682639049</v>
      </c>
      <c r="H1567" s="89">
        <f>VLOOKUP(D1567,Average_Distance_by_kilometre_grouping_for_mode_type[#All],MATCH(A1567,Average_Distance_by_kilometre_grouping_for_mode_type[#Headers],0),0)</f>
        <v>41.2</v>
      </c>
      <c r="I1567" s="89">
        <f>VLOOKUP(D1567,Average_Distance_by_kilometres_grouping_for_trip_purpose[#All],MATCH(A1567,Average_Distance_by_kilometres_grouping_for_trip_purpose[#Headers],0),0)</f>
        <v>43.24</v>
      </c>
      <c r="J1567" s="89">
        <f t="shared" si="123"/>
        <v>42.22</v>
      </c>
      <c r="K1567" s="89">
        <f t="shared" si="124"/>
        <v>0.72518035039505324</v>
      </c>
      <c r="L1567" s="89">
        <v>1</v>
      </c>
      <c r="M1567" s="13">
        <f t="shared" si="125"/>
        <v>4292368.8675386822</v>
      </c>
      <c r="N1567" s="11">
        <f t="shared" si="121"/>
        <v>6.8112632620096852E-5</v>
      </c>
    </row>
    <row r="1568" spans="1:14" x14ac:dyDescent="0.25">
      <c r="A1568" s="79" t="s">
        <v>36</v>
      </c>
      <c r="B1568" s="89" t="s">
        <v>7</v>
      </c>
      <c r="C1568" s="89" t="s">
        <v>243</v>
      </c>
      <c r="D1568" s="13" t="s">
        <v>12</v>
      </c>
      <c r="E1568" s="35">
        <f>VLOOKUP(B1568, Passenger_Kilometre_by_mode_type[#All],MATCH(A1568, Passenger_Kilometre_by_mode_type[#Headers],0),0)</f>
        <v>140095535.3435244</v>
      </c>
      <c r="F1568" s="89">
        <f>VLOOKUP(C1568, Reason_for_walking_cycling_journeys_by_percentage[#All],MATCH(A1568, Reason_for_walking_cycling_journeys_by_percentage[#Headers],0),0)/100</f>
        <v>7.5499999999999998E-2</v>
      </c>
      <c r="G1568" s="13">
        <f t="shared" si="122"/>
        <v>10577212.918436091</v>
      </c>
      <c r="H1568" s="89">
        <f>VLOOKUP(D1568,Average_Distance_by_kilometre_grouping_for_mode_type[#All],MATCH(A1568,Average_Distance_by_kilometre_grouping_for_mode_type[#Headers],0),0)</f>
        <v>1</v>
      </c>
      <c r="I1568" s="89">
        <f>VLOOKUP(D1568,Average_Distance_by_kilometres_grouping_for_trip_purpose[#All],MATCH(A1568,Average_Distance_by_kilometres_grouping_for_trip_purpose[#Headers],0),0)</f>
        <v>1</v>
      </c>
      <c r="J1568" s="89">
        <f t="shared" si="123"/>
        <v>1</v>
      </c>
      <c r="K1568" s="89">
        <f t="shared" si="124"/>
        <v>1.7176228100309172E-2</v>
      </c>
      <c r="L1568" s="89">
        <v>1</v>
      </c>
      <c r="M1568" s="13">
        <f t="shared" si="125"/>
        <v>181676.62175259518</v>
      </c>
      <c r="N1568" s="11">
        <f t="shared" si="121"/>
        <v>2.8829006487950198E-6</v>
      </c>
    </row>
    <row r="1569" spans="1:14" x14ac:dyDescent="0.25">
      <c r="A1569" s="79" t="s">
        <v>36</v>
      </c>
      <c r="B1569" s="89" t="s">
        <v>7</v>
      </c>
      <c r="C1569" s="89" t="s">
        <v>243</v>
      </c>
      <c r="D1569" s="13" t="s">
        <v>181</v>
      </c>
      <c r="E1569" s="35">
        <f>VLOOKUP(B1569, Passenger_Kilometre_by_mode_type[#All],MATCH(A1569, Passenger_Kilometre_by_mode_type[#Headers],0),0)</f>
        <v>140095535.3435244</v>
      </c>
      <c r="F1569" s="89">
        <f>VLOOKUP(C1569, Reason_for_walking_cycling_journeys_by_percentage[#All],MATCH(A1569, Reason_for_walking_cycling_journeys_by_percentage[#Headers],0),0)/100</f>
        <v>7.5499999999999998E-2</v>
      </c>
      <c r="G1569" s="13">
        <f t="shared" si="122"/>
        <v>10577212.918436091</v>
      </c>
      <c r="H1569" s="89">
        <f>VLOOKUP(D1569,Average_Distance_by_kilometre_grouping_for_mode_type[#All],MATCH(A1569,Average_Distance_by_kilometre_grouping_for_mode_type[#Headers],0),0)</f>
        <v>3</v>
      </c>
      <c r="I1569" s="89">
        <f>VLOOKUP(D1569,Average_Distance_by_kilometres_grouping_for_trip_purpose[#All],MATCH(A1569,Average_Distance_by_kilometres_grouping_for_trip_purpose[#Headers],0),0)</f>
        <v>3</v>
      </c>
      <c r="J1569" s="89">
        <f t="shared" si="123"/>
        <v>3</v>
      </c>
      <c r="K1569" s="89">
        <f t="shared" si="124"/>
        <v>5.1528684300927517E-2</v>
      </c>
      <c r="L1569" s="89">
        <v>1</v>
      </c>
      <c r="M1569" s="13">
        <f t="shared" si="125"/>
        <v>545029.86525778554</v>
      </c>
      <c r="N1569" s="11">
        <f t="shared" si="121"/>
        <v>8.6487019463850586E-6</v>
      </c>
    </row>
    <row r="1570" spans="1:14" x14ac:dyDescent="0.25">
      <c r="A1570" s="79" t="s">
        <v>36</v>
      </c>
      <c r="B1570" s="89" t="s">
        <v>7</v>
      </c>
      <c r="C1570" s="89" t="s">
        <v>243</v>
      </c>
      <c r="D1570" s="13" t="s">
        <v>180</v>
      </c>
      <c r="E1570" s="35">
        <f>VLOOKUP(B1570, Passenger_Kilometre_by_mode_type[#All],MATCH(A1570, Passenger_Kilometre_by_mode_type[#Headers],0),0)</f>
        <v>140095535.3435244</v>
      </c>
      <c r="F1570" s="89">
        <f>VLOOKUP(C1570, Reason_for_walking_cycling_journeys_by_percentage[#All],MATCH(A1570, Reason_for_walking_cycling_journeys_by_percentage[#Headers],0),0)/100</f>
        <v>7.5499999999999998E-2</v>
      </c>
      <c r="G1570" s="13">
        <f t="shared" si="122"/>
        <v>10577212.918436091</v>
      </c>
      <c r="H1570" s="89">
        <f>VLOOKUP(D1570,Average_Distance_by_kilometre_grouping_for_mode_type[#All],MATCH(A1570,Average_Distance_by_kilometre_grouping_for_mode_type[#Headers],0),0)</f>
        <v>5</v>
      </c>
      <c r="I1570" s="89">
        <f>VLOOKUP(D1570,Average_Distance_by_kilometres_grouping_for_trip_purpose[#All],MATCH(A1570,Average_Distance_by_kilometres_grouping_for_trip_purpose[#Headers],0),0)</f>
        <v>5</v>
      </c>
      <c r="J1570" s="89">
        <f t="shared" si="123"/>
        <v>5</v>
      </c>
      <c r="K1570" s="89">
        <f t="shared" si="124"/>
        <v>8.5881140501545869E-2</v>
      </c>
      <c r="L1570" s="89">
        <v>1</v>
      </c>
      <c r="M1570" s="13">
        <f t="shared" si="125"/>
        <v>908383.10876297601</v>
      </c>
      <c r="N1570" s="11">
        <f t="shared" si="121"/>
        <v>1.4414503243975102E-5</v>
      </c>
    </row>
    <row r="1571" spans="1:14" x14ac:dyDescent="0.25">
      <c r="A1571" s="79" t="s">
        <v>36</v>
      </c>
      <c r="B1571" s="89" t="s">
        <v>7</v>
      </c>
      <c r="C1571" s="89" t="s">
        <v>243</v>
      </c>
      <c r="D1571" s="13" t="s">
        <v>182</v>
      </c>
      <c r="E1571" s="35">
        <f>VLOOKUP(B1571, Passenger_Kilometre_by_mode_type[#All],MATCH(A1571, Passenger_Kilometre_by_mode_type[#Headers],0),0)</f>
        <v>140095535.3435244</v>
      </c>
      <c r="F1571" s="89">
        <f>VLOOKUP(C1571, Reason_for_walking_cycling_journeys_by_percentage[#All],MATCH(A1571, Reason_for_walking_cycling_journeys_by_percentage[#Headers],0),0)/100</f>
        <v>7.5499999999999998E-2</v>
      </c>
      <c r="G1571" s="13">
        <f t="shared" si="122"/>
        <v>10577212.918436091</v>
      </c>
      <c r="H1571" s="89">
        <f>VLOOKUP(D1571,Average_Distance_by_kilometre_grouping_for_mode_type[#All],MATCH(A1571,Average_Distance_by_kilometre_grouping_for_mode_type[#Headers],0),0)</f>
        <v>7</v>
      </c>
      <c r="I1571" s="89">
        <f>VLOOKUP(D1571,Average_Distance_by_kilometres_grouping_for_trip_purpose[#All],MATCH(A1571,Average_Distance_by_kilometres_grouping_for_trip_purpose[#Headers],0),0)</f>
        <v>7</v>
      </c>
      <c r="J1571" s="89">
        <f t="shared" si="123"/>
        <v>7</v>
      </c>
      <c r="K1571" s="89">
        <f t="shared" si="124"/>
        <v>0.12023359670216421</v>
      </c>
      <c r="L1571" s="89">
        <v>1</v>
      </c>
      <c r="M1571" s="13">
        <f t="shared" si="125"/>
        <v>1271736.3522681664</v>
      </c>
      <c r="N1571" s="11">
        <f t="shared" si="121"/>
        <v>2.018030454156514E-5</v>
      </c>
    </row>
    <row r="1572" spans="1:14" x14ac:dyDescent="0.25">
      <c r="A1572" s="79" t="s">
        <v>36</v>
      </c>
      <c r="B1572" s="89" t="s">
        <v>7</v>
      </c>
      <c r="C1572" s="89" t="s">
        <v>243</v>
      </c>
      <c r="D1572" s="13" t="s">
        <v>1</v>
      </c>
      <c r="E1572" s="35">
        <f>VLOOKUP(B1572, Passenger_Kilometre_by_mode_type[#All],MATCH(A1572, Passenger_Kilometre_by_mode_type[#Headers],0),0)</f>
        <v>140095535.3435244</v>
      </c>
      <c r="F1572" s="89">
        <f>VLOOKUP(C1572, Reason_for_walking_cycling_journeys_by_percentage[#All],MATCH(A1572, Reason_for_walking_cycling_journeys_by_percentage[#Headers],0),0)/100</f>
        <v>7.5499999999999998E-2</v>
      </c>
      <c r="G1572" s="13">
        <f t="shared" si="122"/>
        <v>10577212.918436091</v>
      </c>
      <c r="H1572" s="89">
        <f>VLOOKUP(D1572,Average_Distance_by_kilometre_grouping_for_mode_type[#All],MATCH(A1572,Average_Distance_by_kilometre_grouping_for_mode_type[#Headers],0),0)</f>
        <v>41.2</v>
      </c>
      <c r="I1572" s="89">
        <f>VLOOKUP(D1572,Average_Distance_by_kilometres_grouping_for_trip_purpose[#All],MATCH(A1572,Average_Distance_by_kilometres_grouping_for_trip_purpose[#Headers],0),0)</f>
        <v>43.24</v>
      </c>
      <c r="J1572" s="89">
        <f t="shared" si="123"/>
        <v>42.22</v>
      </c>
      <c r="K1572" s="89">
        <f t="shared" si="124"/>
        <v>0.72518035039505324</v>
      </c>
      <c r="L1572" s="89">
        <v>1</v>
      </c>
      <c r="M1572" s="13">
        <f t="shared" si="125"/>
        <v>7670386.9703945685</v>
      </c>
      <c r="N1572" s="11">
        <f t="shared" ref="N1572:N1635" si="126">M1572/SUM($M$1443:$M$1803)</f>
        <v>1.2171606539212574E-4</v>
      </c>
    </row>
    <row r="1573" spans="1:14" x14ac:dyDescent="0.25">
      <c r="A1573" s="79" t="s">
        <v>36</v>
      </c>
      <c r="B1573" s="89" t="s">
        <v>7</v>
      </c>
      <c r="C1573" s="89" t="s">
        <v>50</v>
      </c>
      <c r="D1573" s="13" t="s">
        <v>12</v>
      </c>
      <c r="E1573" s="35">
        <f>VLOOKUP(B1573, Passenger_Kilometre_by_mode_type[#All],MATCH(A1573, Passenger_Kilometre_by_mode_type[#Headers],0),0)</f>
        <v>140095535.3435244</v>
      </c>
      <c r="F1573" s="89">
        <f>VLOOKUP(C1573, Reason_for_walking_cycling_journeys_by_percentage[#All],MATCH(A1573, Reason_for_walking_cycling_journeys_by_percentage[#Headers],0),0)/100</f>
        <v>5.6749999999999995E-2</v>
      </c>
      <c r="G1573" s="13">
        <f t="shared" si="122"/>
        <v>7950421.6307450086</v>
      </c>
      <c r="H1573" s="89">
        <f>VLOOKUP(D1573,Average_Distance_by_kilometre_grouping_for_mode_type[#All],MATCH(A1573,Average_Distance_by_kilometre_grouping_for_mode_type[#Headers],0),0)</f>
        <v>1</v>
      </c>
      <c r="I1573" s="89">
        <f>VLOOKUP(D1573,Average_Distance_by_kilometres_grouping_for_trip_purpose[#All],MATCH(A1573,Average_Distance_by_kilometres_grouping_for_trip_purpose[#Headers],0),0)</f>
        <v>1</v>
      </c>
      <c r="J1573" s="89">
        <f t="shared" si="123"/>
        <v>1</v>
      </c>
      <c r="K1573" s="89">
        <f t="shared" si="124"/>
        <v>1.7176228100309172E-2</v>
      </c>
      <c r="L1573" s="89">
        <v>1</v>
      </c>
      <c r="M1573" s="13">
        <f t="shared" si="125"/>
        <v>136558.25542330829</v>
      </c>
      <c r="N1573" s="11">
        <f t="shared" si="126"/>
        <v>2.1669485009154619E-6</v>
      </c>
    </row>
    <row r="1574" spans="1:14" x14ac:dyDescent="0.25">
      <c r="A1574" s="79" t="s">
        <v>36</v>
      </c>
      <c r="B1574" s="89" t="s">
        <v>7</v>
      </c>
      <c r="C1574" s="89" t="s">
        <v>50</v>
      </c>
      <c r="D1574" s="13" t="s">
        <v>181</v>
      </c>
      <c r="E1574" s="35">
        <f>VLOOKUP(B1574, Passenger_Kilometre_by_mode_type[#All],MATCH(A1574, Passenger_Kilometre_by_mode_type[#Headers],0),0)</f>
        <v>140095535.3435244</v>
      </c>
      <c r="F1574" s="89">
        <f>VLOOKUP(C1574, Reason_for_walking_cycling_journeys_by_percentage[#All],MATCH(A1574, Reason_for_walking_cycling_journeys_by_percentage[#Headers],0),0)/100</f>
        <v>5.6749999999999995E-2</v>
      </c>
      <c r="G1574" s="13">
        <f t="shared" si="122"/>
        <v>7950421.6307450086</v>
      </c>
      <c r="H1574" s="89">
        <f>VLOOKUP(D1574,Average_Distance_by_kilometre_grouping_for_mode_type[#All],MATCH(A1574,Average_Distance_by_kilometre_grouping_for_mode_type[#Headers],0),0)</f>
        <v>3</v>
      </c>
      <c r="I1574" s="89">
        <f>VLOOKUP(D1574,Average_Distance_by_kilometres_grouping_for_trip_purpose[#All],MATCH(A1574,Average_Distance_by_kilometres_grouping_for_trip_purpose[#Headers],0),0)</f>
        <v>3</v>
      </c>
      <c r="J1574" s="89">
        <f t="shared" si="123"/>
        <v>3</v>
      </c>
      <c r="K1574" s="89">
        <f t="shared" si="124"/>
        <v>5.1528684300927517E-2</v>
      </c>
      <c r="L1574" s="89">
        <v>1</v>
      </c>
      <c r="M1574" s="13">
        <f t="shared" si="125"/>
        <v>409674.76626992488</v>
      </c>
      <c r="N1574" s="11">
        <f t="shared" si="126"/>
        <v>6.5008455027463857E-6</v>
      </c>
    </row>
    <row r="1575" spans="1:14" x14ac:dyDescent="0.25">
      <c r="A1575" s="79" t="s">
        <v>36</v>
      </c>
      <c r="B1575" s="89" t="s">
        <v>7</v>
      </c>
      <c r="C1575" s="89" t="s">
        <v>50</v>
      </c>
      <c r="D1575" s="13" t="s">
        <v>180</v>
      </c>
      <c r="E1575" s="35">
        <f>VLOOKUP(B1575, Passenger_Kilometre_by_mode_type[#All],MATCH(A1575, Passenger_Kilometre_by_mode_type[#Headers],0),0)</f>
        <v>140095535.3435244</v>
      </c>
      <c r="F1575" s="89">
        <f>VLOOKUP(C1575, Reason_for_walking_cycling_journeys_by_percentage[#All],MATCH(A1575, Reason_for_walking_cycling_journeys_by_percentage[#Headers],0),0)/100</f>
        <v>5.6749999999999995E-2</v>
      </c>
      <c r="G1575" s="13">
        <f t="shared" si="122"/>
        <v>7950421.6307450086</v>
      </c>
      <c r="H1575" s="89">
        <f>VLOOKUP(D1575,Average_Distance_by_kilometre_grouping_for_mode_type[#All],MATCH(A1575,Average_Distance_by_kilometre_grouping_for_mode_type[#Headers],0),0)</f>
        <v>5</v>
      </c>
      <c r="I1575" s="89">
        <f>VLOOKUP(D1575,Average_Distance_by_kilometres_grouping_for_trip_purpose[#All],MATCH(A1575,Average_Distance_by_kilometres_grouping_for_trip_purpose[#Headers],0),0)</f>
        <v>5</v>
      </c>
      <c r="J1575" s="89">
        <f t="shared" si="123"/>
        <v>5</v>
      </c>
      <c r="K1575" s="89">
        <f t="shared" si="124"/>
        <v>8.5881140501545869E-2</v>
      </c>
      <c r="L1575" s="89">
        <v>1</v>
      </c>
      <c r="M1575" s="13">
        <f t="shared" si="125"/>
        <v>682791.27711654152</v>
      </c>
      <c r="N1575" s="11">
        <f t="shared" si="126"/>
        <v>1.083474250457731E-5</v>
      </c>
    </row>
    <row r="1576" spans="1:14" x14ac:dyDescent="0.25">
      <c r="A1576" s="79" t="s">
        <v>36</v>
      </c>
      <c r="B1576" s="89" t="s">
        <v>7</v>
      </c>
      <c r="C1576" s="89" t="s">
        <v>50</v>
      </c>
      <c r="D1576" s="13" t="s">
        <v>182</v>
      </c>
      <c r="E1576" s="35">
        <f>VLOOKUP(B1576, Passenger_Kilometre_by_mode_type[#All],MATCH(A1576, Passenger_Kilometre_by_mode_type[#Headers],0),0)</f>
        <v>140095535.3435244</v>
      </c>
      <c r="F1576" s="89">
        <f>VLOOKUP(C1576, Reason_for_walking_cycling_journeys_by_percentage[#All],MATCH(A1576, Reason_for_walking_cycling_journeys_by_percentage[#Headers],0),0)/100</f>
        <v>5.6749999999999995E-2</v>
      </c>
      <c r="G1576" s="13">
        <f t="shared" si="122"/>
        <v>7950421.6307450086</v>
      </c>
      <c r="H1576" s="89">
        <f>VLOOKUP(D1576,Average_Distance_by_kilometre_grouping_for_mode_type[#All],MATCH(A1576,Average_Distance_by_kilometre_grouping_for_mode_type[#Headers],0),0)</f>
        <v>7</v>
      </c>
      <c r="I1576" s="89">
        <f>VLOOKUP(D1576,Average_Distance_by_kilometres_grouping_for_trip_purpose[#All],MATCH(A1576,Average_Distance_by_kilometres_grouping_for_trip_purpose[#Headers],0),0)</f>
        <v>7</v>
      </c>
      <c r="J1576" s="89">
        <f t="shared" si="123"/>
        <v>7</v>
      </c>
      <c r="K1576" s="89">
        <f t="shared" si="124"/>
        <v>0.12023359670216421</v>
      </c>
      <c r="L1576" s="89">
        <v>1</v>
      </c>
      <c r="M1576" s="13">
        <f t="shared" si="125"/>
        <v>955907.7879631581</v>
      </c>
      <c r="N1576" s="11">
        <f t="shared" si="126"/>
        <v>1.5168639506408233E-5</v>
      </c>
    </row>
    <row r="1577" spans="1:14" x14ac:dyDescent="0.25">
      <c r="A1577" s="79" t="s">
        <v>36</v>
      </c>
      <c r="B1577" s="89" t="s">
        <v>7</v>
      </c>
      <c r="C1577" s="89" t="s">
        <v>50</v>
      </c>
      <c r="D1577" s="13" t="s">
        <v>1</v>
      </c>
      <c r="E1577" s="35">
        <f>VLOOKUP(B1577, Passenger_Kilometre_by_mode_type[#All],MATCH(A1577, Passenger_Kilometre_by_mode_type[#Headers],0),0)</f>
        <v>140095535.3435244</v>
      </c>
      <c r="F1577" s="89">
        <f>VLOOKUP(C1577, Reason_for_walking_cycling_journeys_by_percentage[#All],MATCH(A1577, Reason_for_walking_cycling_journeys_by_percentage[#Headers],0),0)/100</f>
        <v>5.6749999999999995E-2</v>
      </c>
      <c r="G1577" s="13">
        <f t="shared" si="122"/>
        <v>7950421.6307450086</v>
      </c>
      <c r="H1577" s="89">
        <f>VLOOKUP(D1577,Average_Distance_by_kilometre_grouping_for_mode_type[#All],MATCH(A1577,Average_Distance_by_kilometre_grouping_for_mode_type[#Headers],0),0)</f>
        <v>41.2</v>
      </c>
      <c r="I1577" s="89">
        <f>VLOOKUP(D1577,Average_Distance_by_kilometres_grouping_for_trip_purpose[#All],MATCH(A1577,Average_Distance_by_kilometres_grouping_for_trip_purpose[#Headers],0),0)</f>
        <v>43.24</v>
      </c>
      <c r="J1577" s="89">
        <f t="shared" si="123"/>
        <v>42.22</v>
      </c>
      <c r="K1577" s="89">
        <f t="shared" si="124"/>
        <v>0.72518035039505324</v>
      </c>
      <c r="L1577" s="89">
        <v>1</v>
      </c>
      <c r="M1577" s="13">
        <f t="shared" si="125"/>
        <v>5765489.5439720759</v>
      </c>
      <c r="N1577" s="11">
        <f t="shared" si="126"/>
        <v>9.1488565708650797E-5</v>
      </c>
    </row>
    <row r="1578" spans="1:14" x14ac:dyDescent="0.25">
      <c r="A1578" s="79" t="s">
        <v>36</v>
      </c>
      <c r="B1578" s="89" t="s">
        <v>8</v>
      </c>
      <c r="C1578" s="89" t="s">
        <v>42</v>
      </c>
      <c r="D1578" s="13" t="s">
        <v>12</v>
      </c>
      <c r="E1578" s="35">
        <f>VLOOKUP(B1578, Passenger_Kilometre_by_mode_type[#All],MATCH(A1578, Passenger_Kilometre_by_mode_type[#Headers],0),0)</f>
        <v>2045228199.2464628</v>
      </c>
      <c r="F1578" s="89">
        <f>VLOOKUP(C1578, Reason_for_public_transport_journeys_by_percentage[#All],MATCH(A1578, Reason_for_public_transport_journeys_by_percentage[#Headers],0),0)/100</f>
        <v>0.32174999999999998</v>
      </c>
      <c r="G1578" s="13">
        <f t="shared" si="122"/>
        <v>658052173.10754943</v>
      </c>
      <c r="H1578" s="89">
        <f>VLOOKUP(D1578,Average_Distance_by_kilometre_grouping_for_mode_type[#All],MATCH(A1578,Average_Distance_by_kilometre_grouping_for_mode_type[#Headers],0),0)</f>
        <v>1</v>
      </c>
      <c r="I1578" s="89">
        <f>VLOOKUP(D1578,Average_Distance_by_kilometres_grouping_for_trip_purpose[#All],MATCH(A1578,Average_Distance_by_kilometres_grouping_for_trip_purpose[#Headers],0),0)</f>
        <v>1</v>
      </c>
      <c r="J1578" s="89">
        <f t="shared" si="123"/>
        <v>1</v>
      </c>
      <c r="K1578" s="89">
        <f t="shared" si="124"/>
        <v>1.7176228100309172E-2</v>
      </c>
      <c r="L1578" s="89">
        <v>1</v>
      </c>
      <c r="M1578" s="13">
        <f t="shared" si="125"/>
        <v>11302854.227199407</v>
      </c>
      <c r="N1578" s="11">
        <f t="shared" si="126"/>
        <v>1.7935717579118426E-4</v>
      </c>
    </row>
    <row r="1579" spans="1:14" x14ac:dyDescent="0.25">
      <c r="A1579" s="79" t="s">
        <v>36</v>
      </c>
      <c r="B1579" s="89" t="s">
        <v>8</v>
      </c>
      <c r="C1579" s="89" t="s">
        <v>42</v>
      </c>
      <c r="D1579" s="13" t="s">
        <v>181</v>
      </c>
      <c r="E1579" s="35">
        <f>VLOOKUP(B1579, Passenger_Kilometre_by_mode_type[#All],MATCH(A1579, Passenger_Kilometre_by_mode_type[#Headers],0),0)</f>
        <v>2045228199.2464628</v>
      </c>
      <c r="F1579" s="89">
        <f>VLOOKUP(C1579, Reason_for_public_transport_journeys_by_percentage[#All],MATCH(A1579, Reason_for_public_transport_journeys_by_percentage[#Headers],0),0)/100</f>
        <v>0.32174999999999998</v>
      </c>
      <c r="G1579" s="13">
        <f t="shared" si="122"/>
        <v>658052173.10754943</v>
      </c>
      <c r="H1579" s="89">
        <f>VLOOKUP(D1579,Average_Distance_by_kilometre_grouping_for_mode_type[#All],MATCH(A1579,Average_Distance_by_kilometre_grouping_for_mode_type[#Headers],0),0)</f>
        <v>3</v>
      </c>
      <c r="I1579" s="89">
        <f>VLOOKUP(D1579,Average_Distance_by_kilometres_grouping_for_trip_purpose[#All],MATCH(A1579,Average_Distance_by_kilometres_grouping_for_trip_purpose[#Headers],0),0)</f>
        <v>3</v>
      </c>
      <c r="J1579" s="89">
        <f t="shared" si="123"/>
        <v>3</v>
      </c>
      <c r="K1579" s="89">
        <f t="shared" si="124"/>
        <v>5.1528684300927517E-2</v>
      </c>
      <c r="L1579" s="89">
        <v>1</v>
      </c>
      <c r="M1579" s="13">
        <f t="shared" si="125"/>
        <v>33908562.681598216</v>
      </c>
      <c r="N1579" s="11">
        <f t="shared" si="126"/>
        <v>5.380715273735527E-4</v>
      </c>
    </row>
    <row r="1580" spans="1:14" x14ac:dyDescent="0.25">
      <c r="A1580" s="79" t="s">
        <v>36</v>
      </c>
      <c r="B1580" s="89" t="s">
        <v>8</v>
      </c>
      <c r="C1580" s="89" t="s">
        <v>42</v>
      </c>
      <c r="D1580" s="13" t="s">
        <v>180</v>
      </c>
      <c r="E1580" s="35">
        <f>VLOOKUP(B1580, Passenger_Kilometre_by_mode_type[#All],MATCH(A1580, Passenger_Kilometre_by_mode_type[#Headers],0),0)</f>
        <v>2045228199.2464628</v>
      </c>
      <c r="F1580" s="89">
        <f>VLOOKUP(C1580, Reason_for_public_transport_journeys_by_percentage[#All],MATCH(A1580, Reason_for_public_transport_journeys_by_percentage[#Headers],0),0)/100</f>
        <v>0.32174999999999998</v>
      </c>
      <c r="G1580" s="13">
        <f t="shared" si="122"/>
        <v>658052173.10754943</v>
      </c>
      <c r="H1580" s="89">
        <f>VLOOKUP(D1580,Average_Distance_by_kilometre_grouping_for_mode_type[#All],MATCH(A1580,Average_Distance_by_kilometre_grouping_for_mode_type[#Headers],0),0)</f>
        <v>5</v>
      </c>
      <c r="I1580" s="89">
        <f>VLOOKUP(D1580,Average_Distance_by_kilometres_grouping_for_trip_purpose[#All],MATCH(A1580,Average_Distance_by_kilometres_grouping_for_trip_purpose[#Headers],0),0)</f>
        <v>5</v>
      </c>
      <c r="J1580" s="89">
        <f t="shared" si="123"/>
        <v>5</v>
      </c>
      <c r="K1580" s="89">
        <f t="shared" si="124"/>
        <v>8.5881140501545869E-2</v>
      </c>
      <c r="L1580" s="89">
        <v>1</v>
      </c>
      <c r="M1580" s="13">
        <f t="shared" si="125"/>
        <v>56514271.135997035</v>
      </c>
      <c r="N1580" s="11">
        <f t="shared" si="126"/>
        <v>8.9678587895592127E-4</v>
      </c>
    </row>
    <row r="1581" spans="1:14" x14ac:dyDescent="0.25">
      <c r="A1581" s="79" t="s">
        <v>36</v>
      </c>
      <c r="B1581" s="89" t="s">
        <v>8</v>
      </c>
      <c r="C1581" s="89" t="s">
        <v>42</v>
      </c>
      <c r="D1581" s="13" t="s">
        <v>182</v>
      </c>
      <c r="E1581" s="35">
        <f>VLOOKUP(B1581, Passenger_Kilometre_by_mode_type[#All],MATCH(A1581, Passenger_Kilometre_by_mode_type[#Headers],0),0)</f>
        <v>2045228199.2464628</v>
      </c>
      <c r="F1581" s="89">
        <f>VLOOKUP(C1581, Reason_for_public_transport_journeys_by_percentage[#All],MATCH(A1581, Reason_for_public_transport_journeys_by_percentage[#Headers],0),0)/100</f>
        <v>0.32174999999999998</v>
      </c>
      <c r="G1581" s="13">
        <f t="shared" si="122"/>
        <v>658052173.10754943</v>
      </c>
      <c r="H1581" s="89">
        <f>VLOOKUP(D1581,Average_Distance_by_kilometre_grouping_for_mode_type[#All],MATCH(A1581,Average_Distance_by_kilometre_grouping_for_mode_type[#Headers],0),0)</f>
        <v>7</v>
      </c>
      <c r="I1581" s="89">
        <f>VLOOKUP(D1581,Average_Distance_by_kilometres_grouping_for_trip_purpose[#All],MATCH(A1581,Average_Distance_by_kilometres_grouping_for_trip_purpose[#Headers],0),0)</f>
        <v>7</v>
      </c>
      <c r="J1581" s="89">
        <f t="shared" si="123"/>
        <v>7</v>
      </c>
      <c r="K1581" s="89">
        <f t="shared" si="124"/>
        <v>0.12023359670216421</v>
      </c>
      <c r="L1581" s="89">
        <v>1</v>
      </c>
      <c r="M1581" s="13">
        <f t="shared" si="125"/>
        <v>79119979.590395853</v>
      </c>
      <c r="N1581" s="11">
        <f t="shared" si="126"/>
        <v>1.2555002305382897E-3</v>
      </c>
    </row>
    <row r="1582" spans="1:14" x14ac:dyDescent="0.25">
      <c r="A1582" s="79" t="s">
        <v>36</v>
      </c>
      <c r="B1582" s="89" t="s">
        <v>8</v>
      </c>
      <c r="C1582" s="89" t="s">
        <v>42</v>
      </c>
      <c r="D1582" s="13" t="s">
        <v>1</v>
      </c>
      <c r="E1582" s="35">
        <f>VLOOKUP(B1582, Passenger_Kilometre_by_mode_type[#All],MATCH(A1582, Passenger_Kilometre_by_mode_type[#Headers],0),0)</f>
        <v>2045228199.2464628</v>
      </c>
      <c r="F1582" s="89">
        <f>VLOOKUP(C1582, Reason_for_public_transport_journeys_by_percentage[#All],MATCH(A1582, Reason_for_public_transport_journeys_by_percentage[#Headers],0),0)/100</f>
        <v>0.32174999999999998</v>
      </c>
      <c r="G1582" s="13">
        <f t="shared" si="122"/>
        <v>658052173.10754943</v>
      </c>
      <c r="H1582" s="89">
        <f>VLOOKUP(D1582,Average_Distance_by_kilometre_grouping_for_mode_type[#All],MATCH(A1582,Average_Distance_by_kilometre_grouping_for_mode_type[#Headers],0),0)</f>
        <v>41.2</v>
      </c>
      <c r="I1582" s="89">
        <f>VLOOKUP(D1582,Average_Distance_by_kilometres_grouping_for_trip_purpose[#All],MATCH(A1582,Average_Distance_by_kilometres_grouping_for_trip_purpose[#Headers],0),0)</f>
        <v>43.24</v>
      </c>
      <c r="J1582" s="89">
        <f t="shared" si="123"/>
        <v>42.22</v>
      </c>
      <c r="K1582" s="89">
        <f t="shared" si="124"/>
        <v>0.72518035039505324</v>
      </c>
      <c r="L1582" s="89">
        <v>1</v>
      </c>
      <c r="M1582" s="13">
        <f t="shared" si="125"/>
        <v>477206505.47235894</v>
      </c>
      <c r="N1582" s="11">
        <f t="shared" si="126"/>
        <v>7.5724599619037989E-3</v>
      </c>
    </row>
    <row r="1583" spans="1:14" x14ac:dyDescent="0.25">
      <c r="A1583" s="79" t="s">
        <v>36</v>
      </c>
      <c r="B1583" s="89" t="s">
        <v>8</v>
      </c>
      <c r="C1583" s="89" t="s">
        <v>43</v>
      </c>
      <c r="D1583" s="13" t="s">
        <v>12</v>
      </c>
      <c r="E1583" s="35">
        <f>VLOOKUP(B1583, Passenger_Kilometre_by_mode_type[#All],MATCH(A1583, Passenger_Kilometre_by_mode_type[#Headers],0),0)</f>
        <v>2045228199.2464628</v>
      </c>
      <c r="F1583" s="89">
        <f>VLOOKUP(C1583, Reason_for_public_transport_journeys_by_percentage[#All],MATCH(A1583, Reason_for_public_transport_journeys_by_percentage[#Headers],0),0)/100</f>
        <v>0.1585</v>
      </c>
      <c r="G1583" s="13">
        <f t="shared" si="122"/>
        <v>324168669.58056438</v>
      </c>
      <c r="H1583" s="89">
        <f>VLOOKUP(D1583,Average_Distance_by_kilometre_grouping_for_mode_type[#All],MATCH(A1583,Average_Distance_by_kilometre_grouping_for_mode_type[#Headers],0),0)</f>
        <v>1</v>
      </c>
      <c r="I1583" s="89">
        <f>VLOOKUP(D1583,Average_Distance_by_kilometres_grouping_for_trip_purpose[#All],MATCH(A1583,Average_Distance_by_kilometres_grouping_for_trip_purpose[#Headers],0),0)</f>
        <v>1</v>
      </c>
      <c r="J1583" s="89">
        <f t="shared" si="123"/>
        <v>1</v>
      </c>
      <c r="K1583" s="89">
        <f t="shared" si="124"/>
        <v>1.7176228100309172E-2</v>
      </c>
      <c r="L1583" s="89">
        <v>1</v>
      </c>
      <c r="M1583" s="13">
        <f t="shared" si="125"/>
        <v>5567995.0116895288</v>
      </c>
      <c r="N1583" s="11">
        <f t="shared" si="126"/>
        <v>8.8354661578563174E-5</v>
      </c>
    </row>
    <row r="1584" spans="1:14" x14ac:dyDescent="0.25">
      <c r="A1584" s="79" t="s">
        <v>36</v>
      </c>
      <c r="B1584" s="89" t="s">
        <v>8</v>
      </c>
      <c r="C1584" s="89" t="s">
        <v>43</v>
      </c>
      <c r="D1584" s="13" t="s">
        <v>181</v>
      </c>
      <c r="E1584" s="35">
        <f>VLOOKUP(B1584, Passenger_Kilometre_by_mode_type[#All],MATCH(A1584, Passenger_Kilometre_by_mode_type[#Headers],0),0)</f>
        <v>2045228199.2464628</v>
      </c>
      <c r="F1584" s="89">
        <f>VLOOKUP(C1584, Reason_for_public_transport_journeys_by_percentage[#All],MATCH(A1584, Reason_for_public_transport_journeys_by_percentage[#Headers],0),0)/100</f>
        <v>0.1585</v>
      </c>
      <c r="G1584" s="13">
        <f t="shared" si="122"/>
        <v>324168669.58056438</v>
      </c>
      <c r="H1584" s="89">
        <f>VLOOKUP(D1584,Average_Distance_by_kilometre_grouping_for_mode_type[#All],MATCH(A1584,Average_Distance_by_kilometre_grouping_for_mode_type[#Headers],0),0)</f>
        <v>3</v>
      </c>
      <c r="I1584" s="89">
        <f>VLOOKUP(D1584,Average_Distance_by_kilometres_grouping_for_trip_purpose[#All],MATCH(A1584,Average_Distance_by_kilometres_grouping_for_trip_purpose[#Headers],0),0)</f>
        <v>3</v>
      </c>
      <c r="J1584" s="89">
        <f t="shared" si="123"/>
        <v>3</v>
      </c>
      <c r="K1584" s="89">
        <f t="shared" si="124"/>
        <v>5.1528684300927517E-2</v>
      </c>
      <c r="L1584" s="89">
        <v>1</v>
      </c>
      <c r="M1584" s="13">
        <f t="shared" si="125"/>
        <v>16703985.035068586</v>
      </c>
      <c r="N1584" s="11">
        <f t="shared" si="126"/>
        <v>2.6506398473568954E-4</v>
      </c>
    </row>
    <row r="1585" spans="1:14" x14ac:dyDescent="0.25">
      <c r="A1585" s="79" t="s">
        <v>36</v>
      </c>
      <c r="B1585" s="89" t="s">
        <v>8</v>
      </c>
      <c r="C1585" s="89" t="s">
        <v>43</v>
      </c>
      <c r="D1585" s="13" t="s">
        <v>180</v>
      </c>
      <c r="E1585" s="35">
        <f>VLOOKUP(B1585, Passenger_Kilometre_by_mode_type[#All],MATCH(A1585, Passenger_Kilometre_by_mode_type[#Headers],0),0)</f>
        <v>2045228199.2464628</v>
      </c>
      <c r="F1585" s="89">
        <f>VLOOKUP(C1585, Reason_for_public_transport_journeys_by_percentage[#All],MATCH(A1585, Reason_for_public_transport_journeys_by_percentage[#Headers],0),0)/100</f>
        <v>0.1585</v>
      </c>
      <c r="G1585" s="13">
        <f t="shared" si="122"/>
        <v>324168669.58056438</v>
      </c>
      <c r="H1585" s="89">
        <f>VLOOKUP(D1585,Average_Distance_by_kilometre_grouping_for_mode_type[#All],MATCH(A1585,Average_Distance_by_kilometre_grouping_for_mode_type[#Headers],0),0)</f>
        <v>5</v>
      </c>
      <c r="I1585" s="89">
        <f>VLOOKUP(D1585,Average_Distance_by_kilometres_grouping_for_trip_purpose[#All],MATCH(A1585,Average_Distance_by_kilometres_grouping_for_trip_purpose[#Headers],0),0)</f>
        <v>5</v>
      </c>
      <c r="J1585" s="89">
        <f t="shared" si="123"/>
        <v>5</v>
      </c>
      <c r="K1585" s="89">
        <f t="shared" si="124"/>
        <v>8.5881140501545869E-2</v>
      </c>
      <c r="L1585" s="89">
        <v>1</v>
      </c>
      <c r="M1585" s="13">
        <f t="shared" si="125"/>
        <v>27839975.058447648</v>
      </c>
      <c r="N1585" s="11">
        <f t="shared" si="126"/>
        <v>4.4177330789281597E-4</v>
      </c>
    </row>
    <row r="1586" spans="1:14" x14ac:dyDescent="0.25">
      <c r="A1586" s="79" t="s">
        <v>36</v>
      </c>
      <c r="B1586" s="89" t="s">
        <v>8</v>
      </c>
      <c r="C1586" s="89" t="s">
        <v>43</v>
      </c>
      <c r="D1586" s="13" t="s">
        <v>182</v>
      </c>
      <c r="E1586" s="35">
        <f>VLOOKUP(B1586, Passenger_Kilometre_by_mode_type[#All],MATCH(A1586, Passenger_Kilometre_by_mode_type[#Headers],0),0)</f>
        <v>2045228199.2464628</v>
      </c>
      <c r="F1586" s="89">
        <f>VLOOKUP(C1586, Reason_for_public_transport_journeys_by_percentage[#All],MATCH(A1586, Reason_for_public_transport_journeys_by_percentage[#Headers],0),0)/100</f>
        <v>0.1585</v>
      </c>
      <c r="G1586" s="13">
        <f t="shared" si="122"/>
        <v>324168669.58056438</v>
      </c>
      <c r="H1586" s="89">
        <f>VLOOKUP(D1586,Average_Distance_by_kilometre_grouping_for_mode_type[#All],MATCH(A1586,Average_Distance_by_kilometre_grouping_for_mode_type[#Headers],0),0)</f>
        <v>7</v>
      </c>
      <c r="I1586" s="89">
        <f>VLOOKUP(D1586,Average_Distance_by_kilometres_grouping_for_trip_purpose[#All],MATCH(A1586,Average_Distance_by_kilometres_grouping_for_trip_purpose[#Headers],0),0)</f>
        <v>7</v>
      </c>
      <c r="J1586" s="89">
        <f t="shared" si="123"/>
        <v>7</v>
      </c>
      <c r="K1586" s="89">
        <f t="shared" si="124"/>
        <v>0.12023359670216421</v>
      </c>
      <c r="L1586" s="89">
        <v>1</v>
      </c>
      <c r="M1586" s="13">
        <f t="shared" si="125"/>
        <v>38975965.081826709</v>
      </c>
      <c r="N1586" s="11">
        <f t="shared" si="126"/>
        <v>6.184826310499424E-4</v>
      </c>
    </row>
    <row r="1587" spans="1:14" x14ac:dyDescent="0.25">
      <c r="A1587" s="79" t="s">
        <v>36</v>
      </c>
      <c r="B1587" s="89" t="s">
        <v>8</v>
      </c>
      <c r="C1587" s="89" t="s">
        <v>43</v>
      </c>
      <c r="D1587" s="13" t="s">
        <v>1</v>
      </c>
      <c r="E1587" s="35">
        <f>VLOOKUP(B1587, Passenger_Kilometre_by_mode_type[#All],MATCH(A1587, Passenger_Kilometre_by_mode_type[#Headers],0),0)</f>
        <v>2045228199.2464628</v>
      </c>
      <c r="F1587" s="89">
        <f>VLOOKUP(C1587, Reason_for_public_transport_journeys_by_percentage[#All],MATCH(A1587, Reason_for_public_transport_journeys_by_percentage[#Headers],0),0)/100</f>
        <v>0.1585</v>
      </c>
      <c r="G1587" s="13">
        <f t="shared" si="122"/>
        <v>324168669.58056438</v>
      </c>
      <c r="H1587" s="89">
        <f>VLOOKUP(D1587,Average_Distance_by_kilometre_grouping_for_mode_type[#All],MATCH(A1587,Average_Distance_by_kilometre_grouping_for_mode_type[#Headers],0),0)</f>
        <v>41.2</v>
      </c>
      <c r="I1587" s="89">
        <f>VLOOKUP(D1587,Average_Distance_by_kilometres_grouping_for_trip_purpose[#All],MATCH(A1587,Average_Distance_by_kilometres_grouping_for_trip_purpose[#Headers],0),0)</f>
        <v>43.24</v>
      </c>
      <c r="J1587" s="89">
        <f t="shared" si="123"/>
        <v>42.22</v>
      </c>
      <c r="K1587" s="89">
        <f t="shared" si="124"/>
        <v>0.72518035039505324</v>
      </c>
      <c r="L1587" s="89">
        <v>1</v>
      </c>
      <c r="M1587" s="13">
        <f t="shared" si="125"/>
        <v>235080749.39353192</v>
      </c>
      <c r="N1587" s="11">
        <f t="shared" si="126"/>
        <v>3.7303338118469375E-3</v>
      </c>
    </row>
    <row r="1588" spans="1:14" x14ac:dyDescent="0.25">
      <c r="A1588" s="79" t="s">
        <v>36</v>
      </c>
      <c r="B1588" s="89" t="s">
        <v>8</v>
      </c>
      <c r="C1588" s="89" t="s">
        <v>44</v>
      </c>
      <c r="D1588" s="13" t="s">
        <v>12</v>
      </c>
      <c r="E1588" s="35">
        <f>VLOOKUP(B1588, Passenger_Kilometre_by_mode_type[#All],MATCH(A1588, Passenger_Kilometre_by_mode_type[#Headers],0),0)</f>
        <v>2045228199.2464628</v>
      </c>
      <c r="F1588" s="89">
        <f>VLOOKUP(C1588, Reason_for_public_transport_journeys_by_percentage[#All],MATCH(A1588, Reason_for_public_transport_journeys_by_percentage[#Headers],0),0)/100</f>
        <v>0.19150000000000003</v>
      </c>
      <c r="G1588" s="13">
        <f t="shared" si="122"/>
        <v>391661200.1556977</v>
      </c>
      <c r="H1588" s="89">
        <f>VLOOKUP(D1588,Average_Distance_by_kilometre_grouping_for_mode_type[#All],MATCH(A1588,Average_Distance_by_kilometre_grouping_for_mode_type[#Headers],0),0)</f>
        <v>1</v>
      </c>
      <c r="I1588" s="89">
        <f>VLOOKUP(D1588,Average_Distance_by_kilometres_grouping_for_trip_purpose[#All],MATCH(A1588,Average_Distance_by_kilometres_grouping_for_trip_purpose[#Headers],0),0)</f>
        <v>1</v>
      </c>
      <c r="J1588" s="89">
        <f t="shared" si="123"/>
        <v>1</v>
      </c>
      <c r="K1588" s="89">
        <f t="shared" si="124"/>
        <v>1.7176228100309172E-2</v>
      </c>
      <c r="L1588" s="89">
        <v>1</v>
      </c>
      <c r="M1588" s="13">
        <f t="shared" si="125"/>
        <v>6727262.1119151097</v>
      </c>
      <c r="N1588" s="11">
        <f t="shared" si="126"/>
        <v>1.0675026935201798E-4</v>
      </c>
    </row>
    <row r="1589" spans="1:14" x14ac:dyDescent="0.25">
      <c r="A1589" s="79" t="s">
        <v>36</v>
      </c>
      <c r="B1589" s="89" t="s">
        <v>8</v>
      </c>
      <c r="C1589" s="89" t="s">
        <v>44</v>
      </c>
      <c r="D1589" s="13" t="s">
        <v>181</v>
      </c>
      <c r="E1589" s="35">
        <f>VLOOKUP(B1589, Passenger_Kilometre_by_mode_type[#All],MATCH(A1589, Passenger_Kilometre_by_mode_type[#Headers],0),0)</f>
        <v>2045228199.2464628</v>
      </c>
      <c r="F1589" s="89">
        <f>VLOOKUP(C1589, Reason_for_public_transport_journeys_by_percentage[#All],MATCH(A1589, Reason_for_public_transport_journeys_by_percentage[#Headers],0),0)/100</f>
        <v>0.19150000000000003</v>
      </c>
      <c r="G1589" s="13">
        <f t="shared" si="122"/>
        <v>391661200.1556977</v>
      </c>
      <c r="H1589" s="89">
        <f>VLOOKUP(D1589,Average_Distance_by_kilometre_grouping_for_mode_type[#All],MATCH(A1589,Average_Distance_by_kilometre_grouping_for_mode_type[#Headers],0),0)</f>
        <v>3</v>
      </c>
      <c r="I1589" s="89">
        <f>VLOOKUP(D1589,Average_Distance_by_kilometres_grouping_for_trip_purpose[#All],MATCH(A1589,Average_Distance_by_kilometres_grouping_for_trip_purpose[#Headers],0),0)</f>
        <v>3</v>
      </c>
      <c r="J1589" s="89">
        <f t="shared" si="123"/>
        <v>3</v>
      </c>
      <c r="K1589" s="89">
        <f t="shared" si="124"/>
        <v>5.1528684300927517E-2</v>
      </c>
      <c r="L1589" s="89">
        <v>1</v>
      </c>
      <c r="M1589" s="13">
        <f t="shared" si="125"/>
        <v>20181786.335745331</v>
      </c>
      <c r="N1589" s="11">
        <f t="shared" si="126"/>
        <v>3.2025080805605399E-4</v>
      </c>
    </row>
    <row r="1590" spans="1:14" x14ac:dyDescent="0.25">
      <c r="A1590" s="79" t="s">
        <v>36</v>
      </c>
      <c r="B1590" s="89" t="s">
        <v>8</v>
      </c>
      <c r="C1590" s="89" t="s">
        <v>44</v>
      </c>
      <c r="D1590" s="13" t="s">
        <v>180</v>
      </c>
      <c r="E1590" s="35">
        <f>VLOOKUP(B1590, Passenger_Kilometre_by_mode_type[#All],MATCH(A1590, Passenger_Kilometre_by_mode_type[#Headers],0),0)</f>
        <v>2045228199.2464628</v>
      </c>
      <c r="F1590" s="89">
        <f>VLOOKUP(C1590, Reason_for_public_transport_journeys_by_percentage[#All],MATCH(A1590, Reason_for_public_transport_journeys_by_percentage[#Headers],0),0)/100</f>
        <v>0.19150000000000003</v>
      </c>
      <c r="G1590" s="13">
        <f t="shared" si="122"/>
        <v>391661200.1556977</v>
      </c>
      <c r="H1590" s="89">
        <f>VLOOKUP(D1590,Average_Distance_by_kilometre_grouping_for_mode_type[#All],MATCH(A1590,Average_Distance_by_kilometre_grouping_for_mode_type[#Headers],0),0)</f>
        <v>5</v>
      </c>
      <c r="I1590" s="89">
        <f>VLOOKUP(D1590,Average_Distance_by_kilometres_grouping_for_trip_purpose[#All],MATCH(A1590,Average_Distance_by_kilometres_grouping_for_trip_purpose[#Headers],0),0)</f>
        <v>5</v>
      </c>
      <c r="J1590" s="89">
        <f t="shared" si="123"/>
        <v>5</v>
      </c>
      <c r="K1590" s="89">
        <f t="shared" si="124"/>
        <v>8.5881140501545869E-2</v>
      </c>
      <c r="L1590" s="89">
        <v>1</v>
      </c>
      <c r="M1590" s="13">
        <f t="shared" si="125"/>
        <v>33636310.55957555</v>
      </c>
      <c r="N1590" s="11">
        <f t="shared" si="126"/>
        <v>5.3375134676009E-4</v>
      </c>
    </row>
    <row r="1591" spans="1:14" x14ac:dyDescent="0.25">
      <c r="A1591" s="79" t="s">
        <v>36</v>
      </c>
      <c r="B1591" s="89" t="s">
        <v>8</v>
      </c>
      <c r="C1591" s="89" t="s">
        <v>44</v>
      </c>
      <c r="D1591" s="13" t="s">
        <v>182</v>
      </c>
      <c r="E1591" s="35">
        <f>VLOOKUP(B1591, Passenger_Kilometre_by_mode_type[#All],MATCH(A1591, Passenger_Kilometre_by_mode_type[#Headers],0),0)</f>
        <v>2045228199.2464628</v>
      </c>
      <c r="F1591" s="89">
        <f>VLOOKUP(C1591, Reason_for_public_transport_journeys_by_percentage[#All],MATCH(A1591, Reason_for_public_transport_journeys_by_percentage[#Headers],0),0)/100</f>
        <v>0.19150000000000003</v>
      </c>
      <c r="G1591" s="13">
        <f t="shared" si="122"/>
        <v>391661200.1556977</v>
      </c>
      <c r="H1591" s="89">
        <f>VLOOKUP(D1591,Average_Distance_by_kilometre_grouping_for_mode_type[#All],MATCH(A1591,Average_Distance_by_kilometre_grouping_for_mode_type[#Headers],0),0)</f>
        <v>7</v>
      </c>
      <c r="I1591" s="89">
        <f>VLOOKUP(D1591,Average_Distance_by_kilometres_grouping_for_trip_purpose[#All],MATCH(A1591,Average_Distance_by_kilometres_grouping_for_trip_purpose[#Headers],0),0)</f>
        <v>7</v>
      </c>
      <c r="J1591" s="89">
        <f t="shared" si="123"/>
        <v>7</v>
      </c>
      <c r="K1591" s="89">
        <f t="shared" si="124"/>
        <v>0.12023359670216421</v>
      </c>
      <c r="L1591" s="89">
        <v>1</v>
      </c>
      <c r="M1591" s="13">
        <f t="shared" si="125"/>
        <v>47090834.783405773</v>
      </c>
      <c r="N1591" s="11">
        <f t="shared" si="126"/>
        <v>7.4725188546412595E-4</v>
      </c>
    </row>
    <row r="1592" spans="1:14" x14ac:dyDescent="0.25">
      <c r="A1592" s="79" t="s">
        <v>36</v>
      </c>
      <c r="B1592" s="89" t="s">
        <v>8</v>
      </c>
      <c r="C1592" s="89" t="s">
        <v>44</v>
      </c>
      <c r="D1592" s="13" t="s">
        <v>1</v>
      </c>
      <c r="E1592" s="35">
        <f>VLOOKUP(B1592, Passenger_Kilometre_by_mode_type[#All],MATCH(A1592, Passenger_Kilometre_by_mode_type[#Headers],0),0)</f>
        <v>2045228199.2464628</v>
      </c>
      <c r="F1592" s="89">
        <f>VLOOKUP(C1592, Reason_for_public_transport_journeys_by_percentage[#All],MATCH(A1592, Reason_for_public_transport_journeys_by_percentage[#Headers],0),0)/100</f>
        <v>0.19150000000000003</v>
      </c>
      <c r="G1592" s="13">
        <f t="shared" si="122"/>
        <v>391661200.1556977</v>
      </c>
      <c r="H1592" s="89">
        <f>VLOOKUP(D1592,Average_Distance_by_kilometre_grouping_for_mode_type[#All],MATCH(A1592,Average_Distance_by_kilometre_grouping_for_mode_type[#Headers],0),0)</f>
        <v>41.2</v>
      </c>
      <c r="I1592" s="89">
        <f>VLOOKUP(D1592,Average_Distance_by_kilometres_grouping_for_trip_purpose[#All],MATCH(A1592,Average_Distance_by_kilometres_grouping_for_trip_purpose[#Headers],0),0)</f>
        <v>43.24</v>
      </c>
      <c r="J1592" s="89">
        <f t="shared" si="123"/>
        <v>42.22</v>
      </c>
      <c r="K1592" s="89">
        <f t="shared" si="124"/>
        <v>0.72518035039505324</v>
      </c>
      <c r="L1592" s="89">
        <v>1</v>
      </c>
      <c r="M1592" s="13">
        <f t="shared" si="125"/>
        <v>284025006.36505592</v>
      </c>
      <c r="N1592" s="11">
        <f t="shared" si="126"/>
        <v>4.5069963720421992E-3</v>
      </c>
    </row>
    <row r="1593" spans="1:14" x14ac:dyDescent="0.25">
      <c r="A1593" s="79" t="s">
        <v>36</v>
      </c>
      <c r="B1593" s="89" t="s">
        <v>8</v>
      </c>
      <c r="C1593" s="89" t="s">
        <v>45</v>
      </c>
      <c r="D1593" s="13" t="s">
        <v>12</v>
      </c>
      <c r="E1593" s="35">
        <f>VLOOKUP(B1593, Passenger_Kilometre_by_mode_type[#All],MATCH(A1593, Passenger_Kilometre_by_mode_type[#Headers],0),0)</f>
        <v>2045228199.2464628</v>
      </c>
      <c r="F1593" s="89">
        <f>VLOOKUP(C1593, Reason_for_public_transport_journeys_by_percentage[#All],MATCH(A1593, Reason_for_public_transport_journeys_by_percentage[#Headers],0),0)/100</f>
        <v>3.4000000000000002E-2</v>
      </c>
      <c r="G1593" s="13">
        <f t="shared" si="122"/>
        <v>69537758.774379745</v>
      </c>
      <c r="H1593" s="89">
        <f>VLOOKUP(D1593,Average_Distance_by_kilometre_grouping_for_mode_type[#All],MATCH(A1593,Average_Distance_by_kilometre_grouping_for_mode_type[#Headers],0),0)</f>
        <v>1</v>
      </c>
      <c r="I1593" s="89">
        <f>VLOOKUP(D1593,Average_Distance_by_kilometres_grouping_for_trip_purpose[#All],MATCH(A1593,Average_Distance_by_kilometres_grouping_for_trip_purpose[#Headers],0),0)</f>
        <v>1</v>
      </c>
      <c r="J1593" s="89">
        <f t="shared" si="123"/>
        <v>1</v>
      </c>
      <c r="K1593" s="89">
        <f t="shared" si="124"/>
        <v>1.7176228100309172E-2</v>
      </c>
      <c r="L1593" s="89">
        <v>1</v>
      </c>
      <c r="M1593" s="13">
        <f t="shared" si="125"/>
        <v>1194396.406293022</v>
      </c>
      <c r="N1593" s="11">
        <f t="shared" si="126"/>
        <v>1.8953050433256454E-5</v>
      </c>
    </row>
    <row r="1594" spans="1:14" x14ac:dyDescent="0.25">
      <c r="A1594" s="79" t="s">
        <v>36</v>
      </c>
      <c r="B1594" s="89" t="s">
        <v>8</v>
      </c>
      <c r="C1594" s="89" t="s">
        <v>45</v>
      </c>
      <c r="D1594" s="13" t="s">
        <v>181</v>
      </c>
      <c r="E1594" s="35">
        <f>VLOOKUP(B1594, Passenger_Kilometre_by_mode_type[#All],MATCH(A1594, Passenger_Kilometre_by_mode_type[#Headers],0),0)</f>
        <v>2045228199.2464628</v>
      </c>
      <c r="F1594" s="89">
        <f>VLOOKUP(C1594, Reason_for_public_transport_journeys_by_percentage[#All],MATCH(A1594, Reason_for_public_transport_journeys_by_percentage[#Headers],0),0)/100</f>
        <v>3.4000000000000002E-2</v>
      </c>
      <c r="G1594" s="13">
        <f t="shared" si="122"/>
        <v>69537758.774379745</v>
      </c>
      <c r="H1594" s="89">
        <f>VLOOKUP(D1594,Average_Distance_by_kilometre_grouping_for_mode_type[#All],MATCH(A1594,Average_Distance_by_kilometre_grouping_for_mode_type[#Headers],0),0)</f>
        <v>3</v>
      </c>
      <c r="I1594" s="89">
        <f>VLOOKUP(D1594,Average_Distance_by_kilometres_grouping_for_trip_purpose[#All],MATCH(A1594,Average_Distance_by_kilometres_grouping_for_trip_purpose[#Headers],0),0)</f>
        <v>3</v>
      </c>
      <c r="J1594" s="89">
        <f t="shared" si="123"/>
        <v>3</v>
      </c>
      <c r="K1594" s="89">
        <f t="shared" si="124"/>
        <v>5.1528684300927517E-2</v>
      </c>
      <c r="L1594" s="89">
        <v>1</v>
      </c>
      <c r="M1594" s="13">
        <f t="shared" si="125"/>
        <v>3583189.2188790664</v>
      </c>
      <c r="N1594" s="11">
        <f t="shared" si="126"/>
        <v>5.685915129976937E-5</v>
      </c>
    </row>
    <row r="1595" spans="1:14" x14ac:dyDescent="0.25">
      <c r="A1595" s="79" t="s">
        <v>36</v>
      </c>
      <c r="B1595" s="89" t="s">
        <v>8</v>
      </c>
      <c r="C1595" s="89" t="s">
        <v>45</v>
      </c>
      <c r="D1595" s="13" t="s">
        <v>180</v>
      </c>
      <c r="E1595" s="35">
        <f>VLOOKUP(B1595, Passenger_Kilometre_by_mode_type[#All],MATCH(A1595, Passenger_Kilometre_by_mode_type[#Headers],0),0)</f>
        <v>2045228199.2464628</v>
      </c>
      <c r="F1595" s="89">
        <f>VLOOKUP(C1595, Reason_for_public_transport_journeys_by_percentage[#All],MATCH(A1595, Reason_for_public_transport_journeys_by_percentage[#Headers],0),0)/100</f>
        <v>3.4000000000000002E-2</v>
      </c>
      <c r="G1595" s="13">
        <f t="shared" si="122"/>
        <v>69537758.774379745</v>
      </c>
      <c r="H1595" s="89">
        <f>VLOOKUP(D1595,Average_Distance_by_kilometre_grouping_for_mode_type[#All],MATCH(A1595,Average_Distance_by_kilometre_grouping_for_mode_type[#Headers],0),0)</f>
        <v>5</v>
      </c>
      <c r="I1595" s="89">
        <f>VLOOKUP(D1595,Average_Distance_by_kilometres_grouping_for_trip_purpose[#All],MATCH(A1595,Average_Distance_by_kilometres_grouping_for_trip_purpose[#Headers],0),0)</f>
        <v>5</v>
      </c>
      <c r="J1595" s="89">
        <f t="shared" si="123"/>
        <v>5</v>
      </c>
      <c r="K1595" s="89">
        <f t="shared" si="124"/>
        <v>8.5881140501545869E-2</v>
      </c>
      <c r="L1595" s="89">
        <v>1</v>
      </c>
      <c r="M1595" s="13">
        <f t="shared" si="125"/>
        <v>5971982.0314651113</v>
      </c>
      <c r="N1595" s="11">
        <f t="shared" si="126"/>
        <v>9.4765252166282299E-5</v>
      </c>
    </row>
    <row r="1596" spans="1:14" x14ac:dyDescent="0.25">
      <c r="A1596" s="79" t="s">
        <v>36</v>
      </c>
      <c r="B1596" s="89" t="s">
        <v>8</v>
      </c>
      <c r="C1596" s="89" t="s">
        <v>45</v>
      </c>
      <c r="D1596" s="13" t="s">
        <v>182</v>
      </c>
      <c r="E1596" s="35">
        <f>VLOOKUP(B1596, Passenger_Kilometre_by_mode_type[#All],MATCH(A1596, Passenger_Kilometre_by_mode_type[#Headers],0),0)</f>
        <v>2045228199.2464628</v>
      </c>
      <c r="F1596" s="89">
        <f>VLOOKUP(C1596, Reason_for_public_transport_journeys_by_percentage[#All],MATCH(A1596, Reason_for_public_transport_journeys_by_percentage[#Headers],0),0)/100</f>
        <v>3.4000000000000002E-2</v>
      </c>
      <c r="G1596" s="13">
        <f t="shared" si="122"/>
        <v>69537758.774379745</v>
      </c>
      <c r="H1596" s="89">
        <f>VLOOKUP(D1596,Average_Distance_by_kilometre_grouping_for_mode_type[#All],MATCH(A1596,Average_Distance_by_kilometre_grouping_for_mode_type[#Headers],0),0)</f>
        <v>7</v>
      </c>
      <c r="I1596" s="89">
        <f>VLOOKUP(D1596,Average_Distance_by_kilometres_grouping_for_trip_purpose[#All],MATCH(A1596,Average_Distance_by_kilometres_grouping_for_trip_purpose[#Headers],0),0)</f>
        <v>7</v>
      </c>
      <c r="J1596" s="89">
        <f t="shared" si="123"/>
        <v>7</v>
      </c>
      <c r="K1596" s="89">
        <f t="shared" si="124"/>
        <v>0.12023359670216421</v>
      </c>
      <c r="L1596" s="89">
        <v>1</v>
      </c>
      <c r="M1596" s="13">
        <f t="shared" si="125"/>
        <v>8360774.8440511553</v>
      </c>
      <c r="N1596" s="11">
        <f t="shared" si="126"/>
        <v>1.3267135303279519E-4</v>
      </c>
    </row>
    <row r="1597" spans="1:14" x14ac:dyDescent="0.25">
      <c r="A1597" s="79" t="s">
        <v>36</v>
      </c>
      <c r="B1597" s="89" t="s">
        <v>8</v>
      </c>
      <c r="C1597" s="89" t="s">
        <v>45</v>
      </c>
      <c r="D1597" s="13" t="s">
        <v>1</v>
      </c>
      <c r="E1597" s="35">
        <f>VLOOKUP(B1597, Passenger_Kilometre_by_mode_type[#All],MATCH(A1597, Passenger_Kilometre_by_mode_type[#Headers],0),0)</f>
        <v>2045228199.2464628</v>
      </c>
      <c r="F1597" s="89">
        <f>VLOOKUP(C1597, Reason_for_public_transport_journeys_by_percentage[#All],MATCH(A1597, Reason_for_public_transport_journeys_by_percentage[#Headers],0),0)/100</f>
        <v>3.4000000000000002E-2</v>
      </c>
      <c r="G1597" s="13">
        <f t="shared" si="122"/>
        <v>69537758.774379745</v>
      </c>
      <c r="H1597" s="89">
        <f>VLOOKUP(D1597,Average_Distance_by_kilometre_grouping_for_mode_type[#All],MATCH(A1597,Average_Distance_by_kilometre_grouping_for_mode_type[#Headers],0),0)</f>
        <v>41.2</v>
      </c>
      <c r="I1597" s="89">
        <f>VLOOKUP(D1597,Average_Distance_by_kilometres_grouping_for_trip_purpose[#All],MATCH(A1597,Average_Distance_by_kilometres_grouping_for_trip_purpose[#Headers],0),0)</f>
        <v>43.24</v>
      </c>
      <c r="J1597" s="89">
        <f t="shared" si="123"/>
        <v>42.22</v>
      </c>
      <c r="K1597" s="89">
        <f t="shared" si="124"/>
        <v>0.72518035039505324</v>
      </c>
      <c r="L1597" s="89">
        <v>1</v>
      </c>
      <c r="M1597" s="13">
        <f t="shared" si="125"/>
        <v>50427416.273691393</v>
      </c>
      <c r="N1597" s="11">
        <f t="shared" si="126"/>
        <v>8.0019778929208763E-4</v>
      </c>
    </row>
    <row r="1598" spans="1:14" x14ac:dyDescent="0.25">
      <c r="A1598" s="79" t="s">
        <v>36</v>
      </c>
      <c r="B1598" s="89" t="s">
        <v>8</v>
      </c>
      <c r="C1598" s="89" t="s">
        <v>56</v>
      </c>
      <c r="D1598" s="13" t="s">
        <v>12</v>
      </c>
      <c r="E1598" s="35">
        <f>VLOOKUP(B1598, Passenger_Kilometre_by_mode_type[#All],MATCH(A1598, Passenger_Kilometre_by_mode_type[#Headers],0),0)</f>
        <v>2045228199.2464628</v>
      </c>
      <c r="F1598" s="89">
        <f>VLOOKUP(C1598, Reason_for_public_transport_journeys_by_percentage[#All],MATCH(A1598, Reason_for_public_transport_journeys_by_percentage[#Headers],0),0)/100</f>
        <v>7.0750000000000007E-2</v>
      </c>
      <c r="G1598" s="13">
        <f t="shared" si="122"/>
        <v>144699895.09668726</v>
      </c>
      <c r="H1598" s="89">
        <f>VLOOKUP(D1598,Average_Distance_by_kilometre_grouping_for_mode_type[#All],MATCH(A1598,Average_Distance_by_kilometre_grouping_for_mode_type[#Headers],0),0)</f>
        <v>1</v>
      </c>
      <c r="I1598" s="89">
        <f>VLOOKUP(D1598,Average_Distance_by_kilometres_grouping_for_trip_purpose[#All],MATCH(A1598,Average_Distance_by_kilometres_grouping_for_trip_purpose[#Headers],0),0)</f>
        <v>1</v>
      </c>
      <c r="J1598" s="89">
        <f t="shared" si="123"/>
        <v>1</v>
      </c>
      <c r="K1598" s="89">
        <f t="shared" si="124"/>
        <v>1.7176228100309172E-2</v>
      </c>
      <c r="L1598" s="89">
        <v>1</v>
      </c>
      <c r="M1598" s="13">
        <f t="shared" si="125"/>
        <v>2485398.404271509</v>
      </c>
      <c r="N1598" s="11">
        <f t="shared" si="126"/>
        <v>3.9439068180967477E-5</v>
      </c>
    </row>
    <row r="1599" spans="1:14" x14ac:dyDescent="0.25">
      <c r="A1599" s="79" t="s">
        <v>36</v>
      </c>
      <c r="B1599" s="89" t="s">
        <v>8</v>
      </c>
      <c r="C1599" s="89" t="s">
        <v>56</v>
      </c>
      <c r="D1599" s="13" t="s">
        <v>181</v>
      </c>
      <c r="E1599" s="35">
        <f>VLOOKUP(B1599, Passenger_Kilometre_by_mode_type[#All],MATCH(A1599, Passenger_Kilometre_by_mode_type[#Headers],0),0)</f>
        <v>2045228199.2464628</v>
      </c>
      <c r="F1599" s="89">
        <f>VLOOKUP(C1599, Reason_for_public_transport_journeys_by_percentage[#All],MATCH(A1599, Reason_for_public_transport_journeys_by_percentage[#Headers],0),0)/100</f>
        <v>7.0750000000000007E-2</v>
      </c>
      <c r="G1599" s="13">
        <f t="shared" si="122"/>
        <v>144699895.09668726</v>
      </c>
      <c r="H1599" s="89">
        <f>VLOOKUP(D1599,Average_Distance_by_kilometre_grouping_for_mode_type[#All],MATCH(A1599,Average_Distance_by_kilometre_grouping_for_mode_type[#Headers],0),0)</f>
        <v>3</v>
      </c>
      <c r="I1599" s="89">
        <f>VLOOKUP(D1599,Average_Distance_by_kilometres_grouping_for_trip_purpose[#All],MATCH(A1599,Average_Distance_by_kilometres_grouping_for_trip_purpose[#Headers],0),0)</f>
        <v>3</v>
      </c>
      <c r="J1599" s="89">
        <f t="shared" si="123"/>
        <v>3</v>
      </c>
      <c r="K1599" s="89">
        <f t="shared" si="124"/>
        <v>5.1528684300927517E-2</v>
      </c>
      <c r="L1599" s="89">
        <v>1</v>
      </c>
      <c r="M1599" s="13">
        <f t="shared" si="125"/>
        <v>7456195.2128145276</v>
      </c>
      <c r="N1599" s="11">
        <f t="shared" si="126"/>
        <v>1.1831720454290244E-4</v>
      </c>
    </row>
    <row r="1600" spans="1:14" x14ac:dyDescent="0.25">
      <c r="A1600" s="79" t="s">
        <v>36</v>
      </c>
      <c r="B1600" s="89" t="s">
        <v>8</v>
      </c>
      <c r="C1600" s="89" t="s">
        <v>56</v>
      </c>
      <c r="D1600" s="13" t="s">
        <v>180</v>
      </c>
      <c r="E1600" s="35">
        <f>VLOOKUP(B1600, Passenger_Kilometre_by_mode_type[#All],MATCH(A1600, Passenger_Kilometre_by_mode_type[#Headers],0),0)</f>
        <v>2045228199.2464628</v>
      </c>
      <c r="F1600" s="89">
        <f>VLOOKUP(C1600, Reason_for_public_transport_journeys_by_percentage[#All],MATCH(A1600, Reason_for_public_transport_journeys_by_percentage[#Headers],0),0)/100</f>
        <v>7.0750000000000007E-2</v>
      </c>
      <c r="G1600" s="13">
        <f t="shared" si="122"/>
        <v>144699895.09668726</v>
      </c>
      <c r="H1600" s="89">
        <f>VLOOKUP(D1600,Average_Distance_by_kilometre_grouping_for_mode_type[#All],MATCH(A1600,Average_Distance_by_kilometre_grouping_for_mode_type[#Headers],0),0)</f>
        <v>5</v>
      </c>
      <c r="I1600" s="89">
        <f>VLOOKUP(D1600,Average_Distance_by_kilometres_grouping_for_trip_purpose[#All],MATCH(A1600,Average_Distance_by_kilometres_grouping_for_trip_purpose[#Headers],0),0)</f>
        <v>5</v>
      </c>
      <c r="J1600" s="89">
        <f t="shared" si="123"/>
        <v>5</v>
      </c>
      <c r="K1600" s="89">
        <f t="shared" si="124"/>
        <v>8.5881140501545869E-2</v>
      </c>
      <c r="L1600" s="89">
        <v>1</v>
      </c>
      <c r="M1600" s="13">
        <f t="shared" si="125"/>
        <v>12426992.021357546</v>
      </c>
      <c r="N1600" s="11">
        <f t="shared" si="126"/>
        <v>1.971953409048374E-4</v>
      </c>
    </row>
    <row r="1601" spans="1:14" x14ac:dyDescent="0.25">
      <c r="A1601" s="79" t="s">
        <v>36</v>
      </c>
      <c r="B1601" s="89" t="s">
        <v>8</v>
      </c>
      <c r="C1601" s="89" t="s">
        <v>56</v>
      </c>
      <c r="D1601" s="13" t="s">
        <v>182</v>
      </c>
      <c r="E1601" s="35">
        <f>VLOOKUP(B1601, Passenger_Kilometre_by_mode_type[#All],MATCH(A1601, Passenger_Kilometre_by_mode_type[#Headers],0),0)</f>
        <v>2045228199.2464628</v>
      </c>
      <c r="F1601" s="89">
        <f>VLOOKUP(C1601, Reason_for_public_transport_journeys_by_percentage[#All],MATCH(A1601, Reason_for_public_transport_journeys_by_percentage[#Headers],0),0)/100</f>
        <v>7.0750000000000007E-2</v>
      </c>
      <c r="G1601" s="13">
        <f t="shared" si="122"/>
        <v>144699895.09668726</v>
      </c>
      <c r="H1601" s="89">
        <f>VLOOKUP(D1601,Average_Distance_by_kilometre_grouping_for_mode_type[#All],MATCH(A1601,Average_Distance_by_kilometre_grouping_for_mode_type[#Headers],0),0)</f>
        <v>7</v>
      </c>
      <c r="I1601" s="89">
        <f>VLOOKUP(D1601,Average_Distance_by_kilometres_grouping_for_trip_purpose[#All],MATCH(A1601,Average_Distance_by_kilometres_grouping_for_trip_purpose[#Headers],0),0)</f>
        <v>7</v>
      </c>
      <c r="J1601" s="89">
        <f t="shared" si="123"/>
        <v>7</v>
      </c>
      <c r="K1601" s="89">
        <f t="shared" si="124"/>
        <v>0.12023359670216421</v>
      </c>
      <c r="L1601" s="89">
        <v>1</v>
      </c>
      <c r="M1601" s="13">
        <f t="shared" si="125"/>
        <v>17397788.829900566</v>
      </c>
      <c r="N1601" s="11">
        <f t="shared" si="126"/>
        <v>2.7607347726677238E-4</v>
      </c>
    </row>
    <row r="1602" spans="1:14" x14ac:dyDescent="0.25">
      <c r="A1602" s="79" t="s">
        <v>36</v>
      </c>
      <c r="B1602" s="89" t="s">
        <v>8</v>
      </c>
      <c r="C1602" s="89" t="s">
        <v>56</v>
      </c>
      <c r="D1602" s="13" t="s">
        <v>1</v>
      </c>
      <c r="E1602" s="35">
        <f>VLOOKUP(B1602, Passenger_Kilometre_by_mode_type[#All],MATCH(A1602, Passenger_Kilometre_by_mode_type[#Headers],0),0)</f>
        <v>2045228199.2464628</v>
      </c>
      <c r="F1602" s="89">
        <f>VLOOKUP(C1602, Reason_for_public_transport_journeys_by_percentage[#All],MATCH(A1602, Reason_for_public_transport_journeys_by_percentage[#Headers],0),0)/100</f>
        <v>7.0750000000000007E-2</v>
      </c>
      <c r="G1602" s="13">
        <f t="shared" si="122"/>
        <v>144699895.09668726</v>
      </c>
      <c r="H1602" s="89">
        <f>VLOOKUP(D1602,Average_Distance_by_kilometre_grouping_for_mode_type[#All],MATCH(A1602,Average_Distance_by_kilometre_grouping_for_mode_type[#Headers],0),0)</f>
        <v>41.2</v>
      </c>
      <c r="I1602" s="89">
        <f>VLOOKUP(D1602,Average_Distance_by_kilometres_grouping_for_trip_purpose[#All],MATCH(A1602,Average_Distance_by_kilometres_grouping_for_trip_purpose[#Headers],0),0)</f>
        <v>43.24</v>
      </c>
      <c r="J1602" s="89">
        <f t="shared" si="123"/>
        <v>42.22</v>
      </c>
      <c r="K1602" s="89">
        <f t="shared" si="124"/>
        <v>0.72518035039505324</v>
      </c>
      <c r="L1602" s="89">
        <v>1</v>
      </c>
      <c r="M1602" s="13">
        <f t="shared" si="125"/>
        <v>104933520.62834311</v>
      </c>
      <c r="N1602" s="11">
        <f t="shared" si="126"/>
        <v>1.6651174586004467E-3</v>
      </c>
    </row>
    <row r="1603" spans="1:14" x14ac:dyDescent="0.25">
      <c r="A1603" s="79" t="s">
        <v>36</v>
      </c>
      <c r="B1603" s="89" t="s">
        <v>8</v>
      </c>
      <c r="C1603" s="89" t="s">
        <v>57</v>
      </c>
      <c r="D1603" s="13" t="s">
        <v>12</v>
      </c>
      <c r="E1603" s="35">
        <f>VLOOKUP(B1603, Passenger_Kilometre_by_mode_type[#All],MATCH(A1603, Passenger_Kilometre_by_mode_type[#Headers],0),0)</f>
        <v>2045228199.2464628</v>
      </c>
      <c r="F1603" s="89">
        <f>VLOOKUP(C1603, Reason_for_public_transport_journeys_by_percentage[#All],MATCH(A1603, Reason_for_public_transport_journeys_by_percentage[#Headers],0),0)/100</f>
        <v>9.375E-2</v>
      </c>
      <c r="G1603" s="13">
        <f t="shared" si="122"/>
        <v>191740143.67935589</v>
      </c>
      <c r="H1603" s="89">
        <f>VLOOKUP(D1603,Average_Distance_by_kilometre_grouping_for_mode_type[#All],MATCH(A1603,Average_Distance_by_kilometre_grouping_for_mode_type[#Headers],0),0)</f>
        <v>1</v>
      </c>
      <c r="I1603" s="89">
        <f>VLOOKUP(D1603,Average_Distance_by_kilometres_grouping_for_trip_purpose[#All],MATCH(A1603,Average_Distance_by_kilometres_grouping_for_trip_purpose[#Headers],0),0)</f>
        <v>1</v>
      </c>
      <c r="J1603" s="89">
        <f t="shared" si="123"/>
        <v>1</v>
      </c>
      <c r="K1603" s="89">
        <f t="shared" si="124"/>
        <v>1.7176228100309172E-2</v>
      </c>
      <c r="L1603" s="89">
        <v>1</v>
      </c>
      <c r="M1603" s="13">
        <f t="shared" si="125"/>
        <v>3293372.4438226707</v>
      </c>
      <c r="N1603" s="11">
        <f t="shared" si="126"/>
        <v>5.2260249356405666E-5</v>
      </c>
    </row>
    <row r="1604" spans="1:14" x14ac:dyDescent="0.25">
      <c r="A1604" s="79" t="s">
        <v>36</v>
      </c>
      <c r="B1604" s="89" t="s">
        <v>8</v>
      </c>
      <c r="C1604" s="89" t="s">
        <v>57</v>
      </c>
      <c r="D1604" s="13" t="s">
        <v>181</v>
      </c>
      <c r="E1604" s="35">
        <f>VLOOKUP(B1604, Passenger_Kilometre_by_mode_type[#All],MATCH(A1604, Passenger_Kilometre_by_mode_type[#Headers],0),0)</f>
        <v>2045228199.2464628</v>
      </c>
      <c r="F1604" s="89">
        <f>VLOOKUP(C1604, Reason_for_public_transport_journeys_by_percentage[#All],MATCH(A1604, Reason_for_public_transport_journeys_by_percentage[#Headers],0),0)/100</f>
        <v>9.375E-2</v>
      </c>
      <c r="G1604" s="13">
        <f t="shared" ref="G1604:G1667" si="127">E1604*F1604</f>
        <v>191740143.67935589</v>
      </c>
      <c r="H1604" s="89">
        <f>VLOOKUP(D1604,Average_Distance_by_kilometre_grouping_for_mode_type[#All],MATCH(A1604,Average_Distance_by_kilometre_grouping_for_mode_type[#Headers],0),0)</f>
        <v>3</v>
      </c>
      <c r="I1604" s="89">
        <f>VLOOKUP(D1604,Average_Distance_by_kilometres_grouping_for_trip_purpose[#All],MATCH(A1604,Average_Distance_by_kilometres_grouping_for_trip_purpose[#Headers],0),0)</f>
        <v>3</v>
      </c>
      <c r="J1604" s="89">
        <f t="shared" ref="J1604:J1667" si="128">AVERAGE(H1604:I1604)</f>
        <v>3</v>
      </c>
      <c r="K1604" s="89">
        <f t="shared" ref="K1604:K1667" si="129">J1604/SUM(J1604:J1608)</f>
        <v>5.1528684300927517E-2</v>
      </c>
      <c r="L1604" s="89">
        <v>1</v>
      </c>
      <c r="M1604" s="13">
        <f t="shared" ref="M1604:M1667" si="130">G1604*K1604*L1604</f>
        <v>9880117.3314680122</v>
      </c>
      <c r="N1604" s="11">
        <f t="shared" si="126"/>
        <v>1.5678074806921698E-4</v>
      </c>
    </row>
    <row r="1605" spans="1:14" x14ac:dyDescent="0.25">
      <c r="A1605" s="79" t="s">
        <v>36</v>
      </c>
      <c r="B1605" s="89" t="s">
        <v>8</v>
      </c>
      <c r="C1605" s="89" t="s">
        <v>57</v>
      </c>
      <c r="D1605" s="13" t="s">
        <v>180</v>
      </c>
      <c r="E1605" s="35">
        <f>VLOOKUP(B1605, Passenger_Kilometre_by_mode_type[#All],MATCH(A1605, Passenger_Kilometre_by_mode_type[#Headers],0),0)</f>
        <v>2045228199.2464628</v>
      </c>
      <c r="F1605" s="89">
        <f>VLOOKUP(C1605, Reason_for_public_transport_journeys_by_percentage[#All],MATCH(A1605, Reason_for_public_transport_journeys_by_percentage[#Headers],0),0)/100</f>
        <v>9.375E-2</v>
      </c>
      <c r="G1605" s="13">
        <f t="shared" si="127"/>
        <v>191740143.67935589</v>
      </c>
      <c r="H1605" s="89">
        <f>VLOOKUP(D1605,Average_Distance_by_kilometre_grouping_for_mode_type[#All],MATCH(A1605,Average_Distance_by_kilometre_grouping_for_mode_type[#Headers],0),0)</f>
        <v>5</v>
      </c>
      <c r="I1605" s="89">
        <f>VLOOKUP(D1605,Average_Distance_by_kilometres_grouping_for_trip_purpose[#All],MATCH(A1605,Average_Distance_by_kilometres_grouping_for_trip_purpose[#Headers],0),0)</f>
        <v>5</v>
      </c>
      <c r="J1605" s="89">
        <f t="shared" si="128"/>
        <v>5</v>
      </c>
      <c r="K1605" s="89">
        <f t="shared" si="129"/>
        <v>8.5881140501545869E-2</v>
      </c>
      <c r="L1605" s="89">
        <v>1</v>
      </c>
      <c r="M1605" s="13">
        <f t="shared" si="130"/>
        <v>16466862.219113356</v>
      </c>
      <c r="N1605" s="11">
        <f t="shared" si="126"/>
        <v>2.6130124678202832E-4</v>
      </c>
    </row>
    <row r="1606" spans="1:14" x14ac:dyDescent="0.25">
      <c r="A1606" s="79" t="s">
        <v>36</v>
      </c>
      <c r="B1606" s="89" t="s">
        <v>8</v>
      </c>
      <c r="C1606" s="89" t="s">
        <v>57</v>
      </c>
      <c r="D1606" s="13" t="s">
        <v>182</v>
      </c>
      <c r="E1606" s="35">
        <f>VLOOKUP(B1606, Passenger_Kilometre_by_mode_type[#All],MATCH(A1606, Passenger_Kilometre_by_mode_type[#Headers],0),0)</f>
        <v>2045228199.2464628</v>
      </c>
      <c r="F1606" s="89">
        <f>VLOOKUP(C1606, Reason_for_public_transport_journeys_by_percentage[#All],MATCH(A1606, Reason_for_public_transport_journeys_by_percentage[#Headers],0),0)/100</f>
        <v>9.375E-2</v>
      </c>
      <c r="G1606" s="13">
        <f t="shared" si="127"/>
        <v>191740143.67935589</v>
      </c>
      <c r="H1606" s="89">
        <f>VLOOKUP(D1606,Average_Distance_by_kilometre_grouping_for_mode_type[#All],MATCH(A1606,Average_Distance_by_kilometre_grouping_for_mode_type[#Headers],0),0)</f>
        <v>7</v>
      </c>
      <c r="I1606" s="89">
        <f>VLOOKUP(D1606,Average_Distance_by_kilometres_grouping_for_trip_purpose[#All],MATCH(A1606,Average_Distance_by_kilometres_grouping_for_trip_purpose[#Headers],0),0)</f>
        <v>7</v>
      </c>
      <c r="J1606" s="89">
        <f t="shared" si="128"/>
        <v>7</v>
      </c>
      <c r="K1606" s="89">
        <f t="shared" si="129"/>
        <v>0.12023359670216421</v>
      </c>
      <c r="L1606" s="89">
        <v>1</v>
      </c>
      <c r="M1606" s="13">
        <f t="shared" si="130"/>
        <v>23053607.106758695</v>
      </c>
      <c r="N1606" s="11">
        <f t="shared" si="126"/>
        <v>3.6582174549483964E-4</v>
      </c>
    </row>
    <row r="1607" spans="1:14" x14ac:dyDescent="0.25">
      <c r="A1607" s="79" t="s">
        <v>36</v>
      </c>
      <c r="B1607" s="89" t="s">
        <v>8</v>
      </c>
      <c r="C1607" s="89" t="s">
        <v>57</v>
      </c>
      <c r="D1607" s="13" t="s">
        <v>1</v>
      </c>
      <c r="E1607" s="35">
        <f>VLOOKUP(B1607, Passenger_Kilometre_by_mode_type[#All],MATCH(A1607, Passenger_Kilometre_by_mode_type[#Headers],0),0)</f>
        <v>2045228199.2464628</v>
      </c>
      <c r="F1607" s="89">
        <f>VLOOKUP(C1607, Reason_for_public_transport_journeys_by_percentage[#All],MATCH(A1607, Reason_for_public_transport_journeys_by_percentage[#Headers],0),0)/100</f>
        <v>9.375E-2</v>
      </c>
      <c r="G1607" s="13">
        <f t="shared" si="127"/>
        <v>191740143.67935589</v>
      </c>
      <c r="H1607" s="89">
        <f>VLOOKUP(D1607,Average_Distance_by_kilometre_grouping_for_mode_type[#All],MATCH(A1607,Average_Distance_by_kilometre_grouping_for_mode_type[#Headers],0),0)</f>
        <v>41.2</v>
      </c>
      <c r="I1607" s="89">
        <f>VLOOKUP(D1607,Average_Distance_by_kilometres_grouping_for_trip_purpose[#All],MATCH(A1607,Average_Distance_by_kilometres_grouping_for_trip_purpose[#Headers],0),0)</f>
        <v>43.24</v>
      </c>
      <c r="J1607" s="89">
        <f t="shared" si="128"/>
        <v>42.22</v>
      </c>
      <c r="K1607" s="89">
        <f t="shared" si="129"/>
        <v>0.72518035039505324</v>
      </c>
      <c r="L1607" s="89">
        <v>1</v>
      </c>
      <c r="M1607" s="13">
        <f t="shared" si="130"/>
        <v>139046184.57819316</v>
      </c>
      <c r="N1607" s="11">
        <f t="shared" si="126"/>
        <v>2.2064277278274471E-3</v>
      </c>
    </row>
    <row r="1608" spans="1:14" x14ac:dyDescent="0.25">
      <c r="A1608" s="79" t="s">
        <v>36</v>
      </c>
      <c r="B1608" s="89" t="s">
        <v>8</v>
      </c>
      <c r="C1608" s="89" t="s">
        <v>93</v>
      </c>
      <c r="D1608" s="13" t="s">
        <v>12</v>
      </c>
      <c r="E1608" s="35">
        <f>VLOOKUP(B1608, Passenger_Kilometre_by_mode_type[#All],MATCH(A1608, Passenger_Kilometre_by_mode_type[#Headers],0),0)</f>
        <v>2045228199.2464628</v>
      </c>
      <c r="F1608" s="89">
        <f>VLOOKUP(C1608, Reason_for_public_transport_journeys_by_percentage[#All],MATCH(A1608, Reason_for_public_transport_journeys_by_percentage[#Headers],0),0)/100</f>
        <v>4.5749999999999992E-2</v>
      </c>
      <c r="G1608" s="13">
        <f t="shared" si="127"/>
        <v>93569190.115525663</v>
      </c>
      <c r="H1608" s="89">
        <f>VLOOKUP(D1608,Average_Distance_by_kilometre_grouping_for_mode_type[#All],MATCH(A1608,Average_Distance_by_kilometre_grouping_for_mode_type[#Headers],0),0)</f>
        <v>1</v>
      </c>
      <c r="I1608" s="89">
        <f>VLOOKUP(D1608,Average_Distance_by_kilometres_grouping_for_trip_purpose[#All],MATCH(A1608,Average_Distance_by_kilometres_grouping_for_trip_purpose[#Headers],0),0)</f>
        <v>1</v>
      </c>
      <c r="J1608" s="89">
        <f t="shared" si="128"/>
        <v>1</v>
      </c>
      <c r="K1608" s="89">
        <f t="shared" si="129"/>
        <v>1.7176228100309172E-2</v>
      </c>
      <c r="L1608" s="89">
        <v>1</v>
      </c>
      <c r="M1608" s="13">
        <f t="shared" si="130"/>
        <v>1607165.7525854632</v>
      </c>
      <c r="N1608" s="11">
        <f t="shared" si="126"/>
        <v>2.5503001685925962E-5</v>
      </c>
    </row>
    <row r="1609" spans="1:14" x14ac:dyDescent="0.25">
      <c r="A1609" s="79" t="s">
        <v>36</v>
      </c>
      <c r="B1609" s="89" t="s">
        <v>8</v>
      </c>
      <c r="C1609" s="89" t="s">
        <v>93</v>
      </c>
      <c r="D1609" s="13" t="s">
        <v>181</v>
      </c>
      <c r="E1609" s="35">
        <f>VLOOKUP(B1609, Passenger_Kilometre_by_mode_type[#All],MATCH(A1609, Passenger_Kilometre_by_mode_type[#Headers],0),0)</f>
        <v>2045228199.2464628</v>
      </c>
      <c r="F1609" s="89">
        <f>VLOOKUP(C1609, Reason_for_public_transport_journeys_by_percentage[#All],MATCH(A1609, Reason_for_public_transport_journeys_by_percentage[#Headers],0),0)/100</f>
        <v>4.5749999999999992E-2</v>
      </c>
      <c r="G1609" s="13">
        <f t="shared" si="127"/>
        <v>93569190.115525663</v>
      </c>
      <c r="H1609" s="89">
        <f>VLOOKUP(D1609,Average_Distance_by_kilometre_grouping_for_mode_type[#All],MATCH(A1609,Average_Distance_by_kilometre_grouping_for_mode_type[#Headers],0),0)</f>
        <v>3</v>
      </c>
      <c r="I1609" s="89">
        <f>VLOOKUP(D1609,Average_Distance_by_kilometres_grouping_for_trip_purpose[#All],MATCH(A1609,Average_Distance_by_kilometres_grouping_for_trip_purpose[#Headers],0),0)</f>
        <v>3</v>
      </c>
      <c r="J1609" s="89">
        <f t="shared" si="128"/>
        <v>3</v>
      </c>
      <c r="K1609" s="89">
        <f t="shared" si="129"/>
        <v>5.1528684300927517E-2</v>
      </c>
      <c r="L1609" s="89">
        <v>1</v>
      </c>
      <c r="M1609" s="13">
        <f t="shared" si="130"/>
        <v>4821497.2577563897</v>
      </c>
      <c r="N1609" s="11">
        <f t="shared" si="126"/>
        <v>7.6509005057777882E-5</v>
      </c>
    </row>
    <row r="1610" spans="1:14" x14ac:dyDescent="0.25">
      <c r="A1610" s="79" t="s">
        <v>36</v>
      </c>
      <c r="B1610" s="89" t="s">
        <v>8</v>
      </c>
      <c r="C1610" s="89" t="s">
        <v>93</v>
      </c>
      <c r="D1610" s="13" t="s">
        <v>180</v>
      </c>
      <c r="E1610" s="35">
        <f>VLOOKUP(B1610, Passenger_Kilometre_by_mode_type[#All],MATCH(A1610, Passenger_Kilometre_by_mode_type[#Headers],0),0)</f>
        <v>2045228199.2464628</v>
      </c>
      <c r="F1610" s="89">
        <f>VLOOKUP(C1610, Reason_for_public_transport_journeys_by_percentage[#All],MATCH(A1610, Reason_for_public_transport_journeys_by_percentage[#Headers],0),0)/100</f>
        <v>4.5749999999999992E-2</v>
      </c>
      <c r="G1610" s="13">
        <f t="shared" si="127"/>
        <v>93569190.115525663</v>
      </c>
      <c r="H1610" s="89">
        <f>VLOOKUP(D1610,Average_Distance_by_kilometre_grouping_for_mode_type[#All],MATCH(A1610,Average_Distance_by_kilometre_grouping_for_mode_type[#Headers],0),0)</f>
        <v>5</v>
      </c>
      <c r="I1610" s="89">
        <f>VLOOKUP(D1610,Average_Distance_by_kilometres_grouping_for_trip_purpose[#All],MATCH(A1610,Average_Distance_by_kilometres_grouping_for_trip_purpose[#Headers],0),0)</f>
        <v>5</v>
      </c>
      <c r="J1610" s="89">
        <f t="shared" si="128"/>
        <v>5</v>
      </c>
      <c r="K1610" s="89">
        <f t="shared" si="129"/>
        <v>8.5881140501545869E-2</v>
      </c>
      <c r="L1610" s="89">
        <v>1</v>
      </c>
      <c r="M1610" s="13">
        <f t="shared" si="130"/>
        <v>8035828.7629273161</v>
      </c>
      <c r="N1610" s="11">
        <f t="shared" si="126"/>
        <v>1.275150084296298E-4</v>
      </c>
    </row>
    <row r="1611" spans="1:14" x14ac:dyDescent="0.25">
      <c r="A1611" s="79" t="s">
        <v>36</v>
      </c>
      <c r="B1611" s="89" t="s">
        <v>8</v>
      </c>
      <c r="C1611" s="89" t="s">
        <v>93</v>
      </c>
      <c r="D1611" s="13" t="s">
        <v>182</v>
      </c>
      <c r="E1611" s="35">
        <f>VLOOKUP(B1611, Passenger_Kilometre_by_mode_type[#All],MATCH(A1611, Passenger_Kilometre_by_mode_type[#Headers],0),0)</f>
        <v>2045228199.2464628</v>
      </c>
      <c r="F1611" s="89">
        <f>VLOOKUP(C1611, Reason_for_public_transport_journeys_by_percentage[#All],MATCH(A1611, Reason_for_public_transport_journeys_by_percentage[#Headers],0),0)/100</f>
        <v>4.5749999999999992E-2</v>
      </c>
      <c r="G1611" s="13">
        <f t="shared" si="127"/>
        <v>93569190.115525663</v>
      </c>
      <c r="H1611" s="89">
        <f>VLOOKUP(D1611,Average_Distance_by_kilometre_grouping_for_mode_type[#All],MATCH(A1611,Average_Distance_by_kilometre_grouping_for_mode_type[#Headers],0),0)</f>
        <v>7</v>
      </c>
      <c r="I1611" s="89">
        <f>VLOOKUP(D1611,Average_Distance_by_kilometres_grouping_for_trip_purpose[#All],MATCH(A1611,Average_Distance_by_kilometres_grouping_for_trip_purpose[#Headers],0),0)</f>
        <v>7</v>
      </c>
      <c r="J1611" s="89">
        <f t="shared" si="128"/>
        <v>7</v>
      </c>
      <c r="K1611" s="89">
        <f t="shared" si="129"/>
        <v>0.12023359670216421</v>
      </c>
      <c r="L1611" s="89">
        <v>1</v>
      </c>
      <c r="M1611" s="13">
        <f t="shared" si="130"/>
        <v>11250160.268098243</v>
      </c>
      <c r="N1611" s="11">
        <f t="shared" si="126"/>
        <v>1.7852101180148173E-4</v>
      </c>
    </row>
    <row r="1612" spans="1:14" x14ac:dyDescent="0.25">
      <c r="A1612" s="79" t="s">
        <v>36</v>
      </c>
      <c r="B1612" s="89" t="s">
        <v>8</v>
      </c>
      <c r="C1612" s="89" t="s">
        <v>93</v>
      </c>
      <c r="D1612" s="13" t="s">
        <v>1</v>
      </c>
      <c r="E1612" s="35">
        <f>VLOOKUP(B1612, Passenger_Kilometre_by_mode_type[#All],MATCH(A1612, Passenger_Kilometre_by_mode_type[#Headers],0),0)</f>
        <v>2045228199.2464628</v>
      </c>
      <c r="F1612" s="89">
        <f>VLOOKUP(C1612, Reason_for_public_transport_journeys_by_percentage[#All],MATCH(A1612, Reason_for_public_transport_journeys_by_percentage[#Headers],0),0)/100</f>
        <v>4.5749999999999992E-2</v>
      </c>
      <c r="G1612" s="13">
        <f t="shared" si="127"/>
        <v>93569190.115525663</v>
      </c>
      <c r="H1612" s="89">
        <f>VLOOKUP(D1612,Average_Distance_by_kilometre_grouping_for_mode_type[#All],MATCH(A1612,Average_Distance_by_kilometre_grouping_for_mode_type[#Headers],0),0)</f>
        <v>41.2</v>
      </c>
      <c r="I1612" s="89">
        <f>VLOOKUP(D1612,Average_Distance_by_kilometres_grouping_for_trip_purpose[#All],MATCH(A1612,Average_Distance_by_kilometres_grouping_for_trip_purpose[#Headers],0),0)</f>
        <v>43.24</v>
      </c>
      <c r="J1612" s="89">
        <f t="shared" si="128"/>
        <v>42.22</v>
      </c>
      <c r="K1612" s="89">
        <f t="shared" si="129"/>
        <v>0.72518035039505324</v>
      </c>
      <c r="L1612" s="89">
        <v>1</v>
      </c>
      <c r="M1612" s="13">
        <f t="shared" si="130"/>
        <v>67854538.074158251</v>
      </c>
      <c r="N1612" s="11">
        <f t="shared" si="126"/>
        <v>1.076736731179794E-3</v>
      </c>
    </row>
    <row r="1613" spans="1:14" x14ac:dyDescent="0.25">
      <c r="A1613" s="79" t="s">
        <v>36</v>
      </c>
      <c r="B1613" s="89" t="s">
        <v>8</v>
      </c>
      <c r="C1613" s="89" t="s">
        <v>243</v>
      </c>
      <c r="D1613" s="13" t="s">
        <v>12</v>
      </c>
      <c r="E1613" s="35">
        <f>VLOOKUP(B1613, Passenger_Kilometre_by_mode_type[#All],MATCH(A1613, Passenger_Kilometre_by_mode_type[#Headers],0),0)</f>
        <v>2045228199.2464628</v>
      </c>
      <c r="F1613" s="89">
        <f>VLOOKUP(C1613, Reason_for_public_transport_journeys_by_percentage[#All],MATCH(A1613, Reason_for_public_transport_journeys_by_percentage[#Headers],0),0)/100</f>
        <v>2.8999999999999998E-2</v>
      </c>
      <c r="G1613" s="13">
        <f t="shared" si="127"/>
        <v>59311617.778147414</v>
      </c>
      <c r="H1613" s="89">
        <f>VLOOKUP(D1613,Average_Distance_by_kilometre_grouping_for_mode_type[#All],MATCH(A1613,Average_Distance_by_kilometre_grouping_for_mode_type[#Headers],0),0)</f>
        <v>1</v>
      </c>
      <c r="I1613" s="89">
        <f>VLOOKUP(D1613,Average_Distance_by_kilometres_grouping_for_trip_purpose[#All],MATCH(A1613,Average_Distance_by_kilometres_grouping_for_trip_purpose[#Headers],0),0)</f>
        <v>1</v>
      </c>
      <c r="J1613" s="89">
        <f t="shared" si="128"/>
        <v>1</v>
      </c>
      <c r="K1613" s="89">
        <f t="shared" si="129"/>
        <v>1.7176228100309172E-2</v>
      </c>
      <c r="L1613" s="89">
        <v>1</v>
      </c>
      <c r="M1613" s="13">
        <f t="shared" si="130"/>
        <v>1018749.8759558127</v>
      </c>
      <c r="N1613" s="11">
        <f t="shared" si="126"/>
        <v>1.6165837134248151E-5</v>
      </c>
    </row>
    <row r="1614" spans="1:14" x14ac:dyDescent="0.25">
      <c r="A1614" s="79" t="s">
        <v>36</v>
      </c>
      <c r="B1614" s="89" t="s">
        <v>8</v>
      </c>
      <c r="C1614" s="89" t="s">
        <v>243</v>
      </c>
      <c r="D1614" s="13" t="s">
        <v>181</v>
      </c>
      <c r="E1614" s="35">
        <f>VLOOKUP(B1614, Passenger_Kilometre_by_mode_type[#All],MATCH(A1614, Passenger_Kilometre_by_mode_type[#Headers],0),0)</f>
        <v>2045228199.2464628</v>
      </c>
      <c r="F1614" s="89">
        <f>VLOOKUP(C1614, Reason_for_public_transport_journeys_by_percentage[#All],MATCH(A1614, Reason_for_public_transport_journeys_by_percentage[#Headers],0),0)/100</f>
        <v>2.8999999999999998E-2</v>
      </c>
      <c r="G1614" s="13">
        <f t="shared" si="127"/>
        <v>59311617.778147414</v>
      </c>
      <c r="H1614" s="89">
        <f>VLOOKUP(D1614,Average_Distance_by_kilometre_grouping_for_mode_type[#All],MATCH(A1614,Average_Distance_by_kilometre_grouping_for_mode_type[#Headers],0),0)</f>
        <v>3</v>
      </c>
      <c r="I1614" s="89">
        <f>VLOOKUP(D1614,Average_Distance_by_kilometres_grouping_for_trip_purpose[#All],MATCH(A1614,Average_Distance_by_kilometres_grouping_for_trip_purpose[#Headers],0),0)</f>
        <v>3</v>
      </c>
      <c r="J1614" s="89">
        <f t="shared" si="128"/>
        <v>3</v>
      </c>
      <c r="K1614" s="89">
        <f t="shared" si="129"/>
        <v>5.1528684300927517E-2</v>
      </c>
      <c r="L1614" s="89">
        <v>1</v>
      </c>
      <c r="M1614" s="13">
        <f t="shared" si="130"/>
        <v>3056249.6278674379</v>
      </c>
      <c r="N1614" s="11">
        <f t="shared" si="126"/>
        <v>4.8497511402744445E-5</v>
      </c>
    </row>
    <row r="1615" spans="1:14" x14ac:dyDescent="0.25">
      <c r="A1615" s="79" t="s">
        <v>36</v>
      </c>
      <c r="B1615" s="89" t="s">
        <v>8</v>
      </c>
      <c r="C1615" s="89" t="s">
        <v>243</v>
      </c>
      <c r="D1615" s="13" t="s">
        <v>180</v>
      </c>
      <c r="E1615" s="35">
        <f>VLOOKUP(B1615, Passenger_Kilometre_by_mode_type[#All],MATCH(A1615, Passenger_Kilometre_by_mode_type[#Headers],0),0)</f>
        <v>2045228199.2464628</v>
      </c>
      <c r="F1615" s="89">
        <f>VLOOKUP(C1615, Reason_for_public_transport_journeys_by_percentage[#All],MATCH(A1615, Reason_for_public_transport_journeys_by_percentage[#Headers],0),0)/100</f>
        <v>2.8999999999999998E-2</v>
      </c>
      <c r="G1615" s="13">
        <f t="shared" si="127"/>
        <v>59311617.778147414</v>
      </c>
      <c r="H1615" s="89">
        <f>VLOOKUP(D1615,Average_Distance_by_kilometre_grouping_for_mode_type[#All],MATCH(A1615,Average_Distance_by_kilometre_grouping_for_mode_type[#Headers],0),0)</f>
        <v>5</v>
      </c>
      <c r="I1615" s="89">
        <f>VLOOKUP(D1615,Average_Distance_by_kilometres_grouping_for_trip_purpose[#All],MATCH(A1615,Average_Distance_by_kilometres_grouping_for_trip_purpose[#Headers],0),0)</f>
        <v>5</v>
      </c>
      <c r="J1615" s="89">
        <f t="shared" si="128"/>
        <v>5</v>
      </c>
      <c r="K1615" s="89">
        <f t="shared" si="129"/>
        <v>8.5881140501545869E-2</v>
      </c>
      <c r="L1615" s="89">
        <v>1</v>
      </c>
      <c r="M1615" s="13">
        <f t="shared" si="130"/>
        <v>5093749.3797790641</v>
      </c>
      <c r="N1615" s="11">
        <f t="shared" si="126"/>
        <v>8.082918567124076E-5</v>
      </c>
    </row>
    <row r="1616" spans="1:14" x14ac:dyDescent="0.25">
      <c r="A1616" s="79" t="s">
        <v>36</v>
      </c>
      <c r="B1616" s="89" t="s">
        <v>8</v>
      </c>
      <c r="C1616" s="89" t="s">
        <v>243</v>
      </c>
      <c r="D1616" s="13" t="s">
        <v>182</v>
      </c>
      <c r="E1616" s="35">
        <f>VLOOKUP(B1616, Passenger_Kilometre_by_mode_type[#All],MATCH(A1616, Passenger_Kilometre_by_mode_type[#Headers],0),0)</f>
        <v>2045228199.2464628</v>
      </c>
      <c r="F1616" s="89">
        <f>VLOOKUP(C1616, Reason_for_public_transport_journeys_by_percentage[#All],MATCH(A1616, Reason_for_public_transport_journeys_by_percentage[#Headers],0),0)/100</f>
        <v>2.8999999999999998E-2</v>
      </c>
      <c r="G1616" s="13">
        <f t="shared" si="127"/>
        <v>59311617.778147414</v>
      </c>
      <c r="H1616" s="89">
        <f>VLOOKUP(D1616,Average_Distance_by_kilometre_grouping_for_mode_type[#All],MATCH(A1616,Average_Distance_by_kilometre_grouping_for_mode_type[#Headers],0),0)</f>
        <v>7</v>
      </c>
      <c r="I1616" s="89">
        <f>VLOOKUP(D1616,Average_Distance_by_kilometres_grouping_for_trip_purpose[#All],MATCH(A1616,Average_Distance_by_kilometres_grouping_for_trip_purpose[#Headers],0),0)</f>
        <v>7</v>
      </c>
      <c r="J1616" s="89">
        <f t="shared" si="128"/>
        <v>7</v>
      </c>
      <c r="K1616" s="89">
        <f t="shared" si="129"/>
        <v>0.12023359670216421</v>
      </c>
      <c r="L1616" s="89">
        <v>1</v>
      </c>
      <c r="M1616" s="13">
        <f t="shared" si="130"/>
        <v>7131249.1316906894</v>
      </c>
      <c r="N1616" s="11">
        <f t="shared" si="126"/>
        <v>1.1316085993973706E-4</v>
      </c>
    </row>
    <row r="1617" spans="1:14" x14ac:dyDescent="0.25">
      <c r="A1617" s="79" t="s">
        <v>36</v>
      </c>
      <c r="B1617" s="89" t="s">
        <v>8</v>
      </c>
      <c r="C1617" s="89" t="s">
        <v>243</v>
      </c>
      <c r="D1617" s="13" t="s">
        <v>1</v>
      </c>
      <c r="E1617" s="35">
        <f>VLOOKUP(B1617, Passenger_Kilometre_by_mode_type[#All],MATCH(A1617, Passenger_Kilometre_by_mode_type[#Headers],0),0)</f>
        <v>2045228199.2464628</v>
      </c>
      <c r="F1617" s="89">
        <f>VLOOKUP(C1617, Reason_for_public_transport_journeys_by_percentage[#All],MATCH(A1617, Reason_for_public_transport_journeys_by_percentage[#Headers],0),0)/100</f>
        <v>2.8999999999999998E-2</v>
      </c>
      <c r="G1617" s="13">
        <f t="shared" si="127"/>
        <v>59311617.778147414</v>
      </c>
      <c r="H1617" s="89">
        <f>VLOOKUP(D1617,Average_Distance_by_kilometre_grouping_for_mode_type[#All],MATCH(A1617,Average_Distance_by_kilometre_grouping_for_mode_type[#Headers],0),0)</f>
        <v>41.2</v>
      </c>
      <c r="I1617" s="89">
        <f>VLOOKUP(D1617,Average_Distance_by_kilometres_grouping_for_trip_purpose[#All],MATCH(A1617,Average_Distance_by_kilometres_grouping_for_trip_purpose[#Headers],0),0)</f>
        <v>43.24</v>
      </c>
      <c r="J1617" s="89">
        <f t="shared" si="128"/>
        <v>42.22</v>
      </c>
      <c r="K1617" s="89">
        <f t="shared" si="129"/>
        <v>0.72518035039505324</v>
      </c>
      <c r="L1617" s="89">
        <v>1</v>
      </c>
      <c r="M1617" s="13">
        <f t="shared" si="130"/>
        <v>43011619.762854412</v>
      </c>
      <c r="N1617" s="11">
        <f t="shared" si="126"/>
        <v>6.8252164380795688E-4</v>
      </c>
    </row>
    <row r="1618" spans="1:14" x14ac:dyDescent="0.25">
      <c r="A1618" s="79" t="s">
        <v>36</v>
      </c>
      <c r="B1618" s="89" t="s">
        <v>8</v>
      </c>
      <c r="C1618" s="89" t="s">
        <v>50</v>
      </c>
      <c r="D1618" s="13" t="s">
        <v>12</v>
      </c>
      <c r="E1618" s="35">
        <f>VLOOKUP(B1618, Passenger_Kilometre_by_mode_type[#All],MATCH(A1618, Passenger_Kilometre_by_mode_type[#Headers],0),0)</f>
        <v>2045228199.2464628</v>
      </c>
      <c r="F1618" s="89">
        <f>VLOOKUP(C1618, Reason_for_public_transport_journeys_by_percentage[#All],MATCH(A1618, Reason_for_public_transport_journeys_by_percentage[#Headers],0),0)/100</f>
        <v>5.3999999999999992E-2</v>
      </c>
      <c r="G1618" s="13">
        <f t="shared" si="127"/>
        <v>110442322.75930898</v>
      </c>
      <c r="H1618" s="89">
        <f>VLOOKUP(D1618,Average_Distance_by_kilometre_grouping_for_mode_type[#All],MATCH(A1618,Average_Distance_by_kilometre_grouping_for_mode_type[#Headers],0),0)</f>
        <v>1</v>
      </c>
      <c r="I1618" s="89">
        <f>VLOOKUP(D1618,Average_Distance_by_kilometres_grouping_for_trip_purpose[#All],MATCH(A1618,Average_Distance_by_kilometres_grouping_for_trip_purpose[#Headers],0),0)</f>
        <v>1</v>
      </c>
      <c r="J1618" s="89">
        <f t="shared" si="128"/>
        <v>1</v>
      </c>
      <c r="K1618" s="89">
        <f t="shared" si="129"/>
        <v>1.7176228100309172E-2</v>
      </c>
      <c r="L1618" s="89">
        <v>1</v>
      </c>
      <c r="M1618" s="13">
        <f t="shared" si="130"/>
        <v>1896982.5276418582</v>
      </c>
      <c r="N1618" s="11">
        <f t="shared" si="126"/>
        <v>3.0101903629289659E-5</v>
      </c>
    </row>
    <row r="1619" spans="1:14" x14ac:dyDescent="0.25">
      <c r="A1619" s="79" t="s">
        <v>36</v>
      </c>
      <c r="B1619" s="89" t="s">
        <v>8</v>
      </c>
      <c r="C1619" s="89" t="s">
        <v>50</v>
      </c>
      <c r="D1619" s="13" t="s">
        <v>181</v>
      </c>
      <c r="E1619" s="35">
        <f>VLOOKUP(B1619, Passenger_Kilometre_by_mode_type[#All],MATCH(A1619, Passenger_Kilometre_by_mode_type[#Headers],0),0)</f>
        <v>2045228199.2464628</v>
      </c>
      <c r="F1619" s="89">
        <f>VLOOKUP(C1619, Reason_for_public_transport_journeys_by_percentage[#All],MATCH(A1619, Reason_for_public_transport_journeys_by_percentage[#Headers],0),0)/100</f>
        <v>5.3999999999999992E-2</v>
      </c>
      <c r="G1619" s="13">
        <f t="shared" si="127"/>
        <v>110442322.75930898</v>
      </c>
      <c r="H1619" s="89">
        <f>VLOOKUP(D1619,Average_Distance_by_kilometre_grouping_for_mode_type[#All],MATCH(A1619,Average_Distance_by_kilometre_grouping_for_mode_type[#Headers],0),0)</f>
        <v>3</v>
      </c>
      <c r="I1619" s="89">
        <f>VLOOKUP(D1619,Average_Distance_by_kilometres_grouping_for_trip_purpose[#All],MATCH(A1619,Average_Distance_by_kilometres_grouping_for_trip_purpose[#Headers],0),0)</f>
        <v>3</v>
      </c>
      <c r="J1619" s="89">
        <f t="shared" si="128"/>
        <v>3</v>
      </c>
      <c r="K1619" s="89">
        <f t="shared" si="129"/>
        <v>5.1528684300927517E-2</v>
      </c>
      <c r="L1619" s="89">
        <v>1</v>
      </c>
      <c r="M1619" s="13">
        <f t="shared" si="130"/>
        <v>5690947.5829255749</v>
      </c>
      <c r="N1619" s="11">
        <f t="shared" si="126"/>
        <v>9.0305710887868981E-5</v>
      </c>
    </row>
    <row r="1620" spans="1:14" x14ac:dyDescent="0.25">
      <c r="A1620" s="79" t="s">
        <v>36</v>
      </c>
      <c r="B1620" s="89" t="s">
        <v>8</v>
      </c>
      <c r="C1620" s="89" t="s">
        <v>50</v>
      </c>
      <c r="D1620" s="13" t="s">
        <v>180</v>
      </c>
      <c r="E1620" s="35">
        <f>VLOOKUP(B1620, Passenger_Kilometre_by_mode_type[#All],MATCH(A1620, Passenger_Kilometre_by_mode_type[#Headers],0),0)</f>
        <v>2045228199.2464628</v>
      </c>
      <c r="F1620" s="89">
        <f>VLOOKUP(C1620, Reason_for_public_transport_journeys_by_percentage[#All],MATCH(A1620, Reason_for_public_transport_journeys_by_percentage[#Headers],0),0)/100</f>
        <v>5.3999999999999992E-2</v>
      </c>
      <c r="G1620" s="13">
        <f t="shared" si="127"/>
        <v>110442322.75930898</v>
      </c>
      <c r="H1620" s="89">
        <f>VLOOKUP(D1620,Average_Distance_by_kilometre_grouping_for_mode_type[#All],MATCH(A1620,Average_Distance_by_kilometre_grouping_for_mode_type[#Headers],0),0)</f>
        <v>5</v>
      </c>
      <c r="I1620" s="89">
        <f>VLOOKUP(D1620,Average_Distance_by_kilometres_grouping_for_trip_purpose[#All],MATCH(A1620,Average_Distance_by_kilometres_grouping_for_trip_purpose[#Headers],0),0)</f>
        <v>5</v>
      </c>
      <c r="J1620" s="89">
        <f t="shared" si="128"/>
        <v>5</v>
      </c>
      <c r="K1620" s="89">
        <f t="shared" si="129"/>
        <v>8.5881140501545869E-2</v>
      </c>
      <c r="L1620" s="89">
        <v>1</v>
      </c>
      <c r="M1620" s="13">
        <f t="shared" si="130"/>
        <v>9484912.6382092908</v>
      </c>
      <c r="N1620" s="11">
        <f t="shared" si="126"/>
        <v>1.5050951814644831E-4</v>
      </c>
    </row>
    <row r="1621" spans="1:14" x14ac:dyDescent="0.25">
      <c r="A1621" s="79" t="s">
        <v>36</v>
      </c>
      <c r="B1621" s="89" t="s">
        <v>8</v>
      </c>
      <c r="C1621" s="89" t="s">
        <v>50</v>
      </c>
      <c r="D1621" s="13" t="s">
        <v>182</v>
      </c>
      <c r="E1621" s="35">
        <f>VLOOKUP(B1621, Passenger_Kilometre_by_mode_type[#All],MATCH(A1621, Passenger_Kilometre_by_mode_type[#Headers],0),0)</f>
        <v>2045228199.2464628</v>
      </c>
      <c r="F1621" s="89">
        <f>VLOOKUP(C1621, Reason_for_public_transport_journeys_by_percentage[#All],MATCH(A1621, Reason_for_public_transport_journeys_by_percentage[#Headers],0),0)/100</f>
        <v>5.3999999999999992E-2</v>
      </c>
      <c r="G1621" s="13">
        <f t="shared" si="127"/>
        <v>110442322.75930898</v>
      </c>
      <c r="H1621" s="89">
        <f>VLOOKUP(D1621,Average_Distance_by_kilometre_grouping_for_mode_type[#All],MATCH(A1621,Average_Distance_by_kilometre_grouping_for_mode_type[#Headers],0),0)</f>
        <v>7</v>
      </c>
      <c r="I1621" s="89">
        <f>VLOOKUP(D1621,Average_Distance_by_kilometres_grouping_for_trip_purpose[#All],MATCH(A1621,Average_Distance_by_kilometres_grouping_for_trip_purpose[#Headers],0),0)</f>
        <v>7</v>
      </c>
      <c r="J1621" s="89">
        <f t="shared" si="128"/>
        <v>7</v>
      </c>
      <c r="K1621" s="89">
        <f t="shared" si="129"/>
        <v>0.12023359670216421</v>
      </c>
      <c r="L1621" s="89">
        <v>1</v>
      </c>
      <c r="M1621" s="13">
        <f t="shared" si="130"/>
        <v>13278877.693493009</v>
      </c>
      <c r="N1621" s="11">
        <f t="shared" si="126"/>
        <v>2.1071332540502764E-4</v>
      </c>
    </row>
    <row r="1622" spans="1:14" x14ac:dyDescent="0.25">
      <c r="A1622" s="79" t="s">
        <v>36</v>
      </c>
      <c r="B1622" s="89" t="s">
        <v>8</v>
      </c>
      <c r="C1622" s="89" t="s">
        <v>50</v>
      </c>
      <c r="D1622" s="13" t="s">
        <v>1</v>
      </c>
      <c r="E1622" s="35">
        <f>VLOOKUP(B1622, Passenger_Kilometre_by_mode_type[#All],MATCH(A1622, Passenger_Kilometre_by_mode_type[#Headers],0),0)</f>
        <v>2045228199.2464628</v>
      </c>
      <c r="F1622" s="89">
        <f>VLOOKUP(C1622, Reason_for_public_transport_journeys_by_percentage[#All],MATCH(A1622, Reason_for_public_transport_journeys_by_percentage[#Headers],0),0)/100</f>
        <v>5.3999999999999992E-2</v>
      </c>
      <c r="G1622" s="13">
        <f t="shared" si="127"/>
        <v>110442322.75930898</v>
      </c>
      <c r="H1622" s="89">
        <f>VLOOKUP(D1622,Average_Distance_by_kilometre_grouping_for_mode_type[#All],MATCH(A1622,Average_Distance_by_kilometre_grouping_for_mode_type[#Headers],0),0)</f>
        <v>41.2</v>
      </c>
      <c r="I1622" s="89">
        <f>VLOOKUP(D1622,Average_Distance_by_kilometres_grouping_for_trip_purpose[#All],MATCH(A1622,Average_Distance_by_kilometres_grouping_for_trip_purpose[#Headers],0),0)</f>
        <v>43.24</v>
      </c>
      <c r="J1622" s="89">
        <f t="shared" si="128"/>
        <v>42.22</v>
      </c>
      <c r="K1622" s="89">
        <f t="shared" si="129"/>
        <v>0.72518035039505324</v>
      </c>
      <c r="L1622" s="89">
        <v>1</v>
      </c>
      <c r="M1622" s="13">
        <f t="shared" si="130"/>
        <v>80090602.317039251</v>
      </c>
      <c r="N1622" s="11">
        <f t="shared" si="126"/>
        <v>1.2709023712286095E-3</v>
      </c>
    </row>
    <row r="1623" spans="1:14" x14ac:dyDescent="0.25">
      <c r="A1623" s="79" t="s">
        <v>36</v>
      </c>
      <c r="B1623" s="89" t="s">
        <v>9</v>
      </c>
      <c r="C1623" s="89" t="s">
        <v>42</v>
      </c>
      <c r="D1623" s="13" t="s">
        <v>12</v>
      </c>
      <c r="E1623" s="35">
        <f>VLOOKUP(B1623, Passenger_Kilometre_by_mode_type[#All],MATCH(A1623, Passenger_Kilometre_by_mode_type[#Headers],0),0)</f>
        <v>213602282.25222278</v>
      </c>
      <c r="F1623" s="89">
        <f>VLOOKUP(C1623, Reason_for_walking_cycling_journeys_by_percentage[#All],MATCH(A1623, Reason_for_walking_cycling_journeys_by_percentage[#Headers],0),0)/100</f>
        <v>0.18525</v>
      </c>
      <c r="G1623" s="13">
        <f t="shared" si="127"/>
        <v>39569822.78722427</v>
      </c>
      <c r="H1623" s="89">
        <f>VLOOKUP(D1623,Average_Distance_by_kilometre_grouping_for_mode_type[#All],MATCH(A1623,Average_Distance_by_kilometre_grouping_for_mode_type[#Headers],0),0)</f>
        <v>1</v>
      </c>
      <c r="I1623" s="89">
        <f>VLOOKUP(D1623,Average_Distance_by_kilometres_grouping_for_trip_purpose[#All],MATCH(A1623,Average_Distance_by_kilometres_grouping_for_trip_purpose[#Headers],0),0)</f>
        <v>1</v>
      </c>
      <c r="J1623" s="89">
        <f t="shared" si="128"/>
        <v>1</v>
      </c>
      <c r="K1623" s="89">
        <f t="shared" si="129"/>
        <v>1.7176228100309172E-2</v>
      </c>
      <c r="L1623" s="89">
        <v>1</v>
      </c>
      <c r="M1623" s="13">
        <f t="shared" si="130"/>
        <v>679660.30208217574</v>
      </c>
      <c r="N1623" s="11">
        <f t="shared" si="126"/>
        <v>1.0785059227384794E-5</v>
      </c>
    </row>
    <row r="1624" spans="1:14" x14ac:dyDescent="0.25">
      <c r="A1624" s="79" t="s">
        <v>36</v>
      </c>
      <c r="B1624" s="89" t="s">
        <v>9</v>
      </c>
      <c r="C1624" s="89" t="s">
        <v>42</v>
      </c>
      <c r="D1624" s="13" t="s">
        <v>181</v>
      </c>
      <c r="E1624" s="35">
        <f>VLOOKUP(B1624, Passenger_Kilometre_by_mode_type[#All],MATCH(A1624, Passenger_Kilometre_by_mode_type[#Headers],0),0)</f>
        <v>213602282.25222278</v>
      </c>
      <c r="F1624" s="89">
        <f>VLOOKUP(C1624, Reason_for_walking_cycling_journeys_by_percentage[#All],MATCH(A1624, Reason_for_walking_cycling_journeys_by_percentage[#Headers],0),0)/100</f>
        <v>0.18525</v>
      </c>
      <c r="G1624" s="13">
        <f t="shared" si="127"/>
        <v>39569822.78722427</v>
      </c>
      <c r="H1624" s="89">
        <f>VLOOKUP(D1624,Average_Distance_by_kilometre_grouping_for_mode_type[#All],MATCH(A1624,Average_Distance_by_kilometre_grouping_for_mode_type[#Headers],0),0)</f>
        <v>3</v>
      </c>
      <c r="I1624" s="89">
        <f>VLOOKUP(D1624,Average_Distance_by_kilometres_grouping_for_trip_purpose[#All],MATCH(A1624,Average_Distance_by_kilometres_grouping_for_trip_purpose[#Headers],0),0)</f>
        <v>3</v>
      </c>
      <c r="J1624" s="89">
        <f t="shared" si="128"/>
        <v>3</v>
      </c>
      <c r="K1624" s="89">
        <f t="shared" si="129"/>
        <v>5.1528684300927517E-2</v>
      </c>
      <c r="L1624" s="89">
        <v>1</v>
      </c>
      <c r="M1624" s="13">
        <f t="shared" si="130"/>
        <v>2038980.9062465271</v>
      </c>
      <c r="N1624" s="11">
        <f t="shared" si="126"/>
        <v>3.2355177682154381E-5</v>
      </c>
    </row>
    <row r="1625" spans="1:14" x14ac:dyDescent="0.25">
      <c r="A1625" s="79" t="s">
        <v>36</v>
      </c>
      <c r="B1625" s="89" t="s">
        <v>9</v>
      </c>
      <c r="C1625" s="89" t="s">
        <v>42</v>
      </c>
      <c r="D1625" s="13" t="s">
        <v>180</v>
      </c>
      <c r="E1625" s="35">
        <f>VLOOKUP(B1625, Passenger_Kilometre_by_mode_type[#All],MATCH(A1625, Passenger_Kilometre_by_mode_type[#Headers],0),0)</f>
        <v>213602282.25222278</v>
      </c>
      <c r="F1625" s="89">
        <f>VLOOKUP(C1625, Reason_for_walking_cycling_journeys_by_percentage[#All],MATCH(A1625, Reason_for_walking_cycling_journeys_by_percentage[#Headers],0),0)/100</f>
        <v>0.18525</v>
      </c>
      <c r="G1625" s="13">
        <f t="shared" si="127"/>
        <v>39569822.78722427</v>
      </c>
      <c r="H1625" s="89">
        <f>VLOOKUP(D1625,Average_Distance_by_kilometre_grouping_for_mode_type[#All],MATCH(A1625,Average_Distance_by_kilometre_grouping_for_mode_type[#Headers],0),0)</f>
        <v>5</v>
      </c>
      <c r="I1625" s="89">
        <f>VLOOKUP(D1625,Average_Distance_by_kilometres_grouping_for_trip_purpose[#All],MATCH(A1625,Average_Distance_by_kilometres_grouping_for_trip_purpose[#Headers],0),0)</f>
        <v>5</v>
      </c>
      <c r="J1625" s="89">
        <f t="shared" si="128"/>
        <v>5</v>
      </c>
      <c r="K1625" s="89">
        <f t="shared" si="129"/>
        <v>8.5881140501545869E-2</v>
      </c>
      <c r="L1625" s="89">
        <v>1</v>
      </c>
      <c r="M1625" s="13">
        <f t="shared" si="130"/>
        <v>3398301.5104108788</v>
      </c>
      <c r="N1625" s="11">
        <f t="shared" si="126"/>
        <v>5.3925296136923973E-5</v>
      </c>
    </row>
    <row r="1626" spans="1:14" x14ac:dyDescent="0.25">
      <c r="A1626" s="79" t="s">
        <v>36</v>
      </c>
      <c r="B1626" s="89" t="s">
        <v>9</v>
      </c>
      <c r="C1626" s="89" t="s">
        <v>42</v>
      </c>
      <c r="D1626" s="13" t="s">
        <v>182</v>
      </c>
      <c r="E1626" s="35">
        <f>VLOOKUP(B1626, Passenger_Kilometre_by_mode_type[#All],MATCH(A1626, Passenger_Kilometre_by_mode_type[#Headers],0),0)</f>
        <v>213602282.25222278</v>
      </c>
      <c r="F1626" s="89">
        <f>VLOOKUP(C1626, Reason_for_walking_cycling_journeys_by_percentage[#All],MATCH(A1626, Reason_for_walking_cycling_journeys_by_percentage[#Headers],0),0)/100</f>
        <v>0.18525</v>
      </c>
      <c r="G1626" s="13">
        <f t="shared" si="127"/>
        <v>39569822.78722427</v>
      </c>
      <c r="H1626" s="89">
        <f>VLOOKUP(D1626,Average_Distance_by_kilometre_grouping_for_mode_type[#All],MATCH(A1626,Average_Distance_by_kilometre_grouping_for_mode_type[#Headers],0),0)</f>
        <v>7</v>
      </c>
      <c r="I1626" s="89">
        <f>VLOOKUP(D1626,Average_Distance_by_kilometres_grouping_for_trip_purpose[#All],MATCH(A1626,Average_Distance_by_kilometres_grouping_for_trip_purpose[#Headers],0),0)</f>
        <v>7</v>
      </c>
      <c r="J1626" s="89">
        <f t="shared" si="128"/>
        <v>7</v>
      </c>
      <c r="K1626" s="89">
        <f t="shared" si="129"/>
        <v>0.12023359670216421</v>
      </c>
      <c r="L1626" s="89">
        <v>1</v>
      </c>
      <c r="M1626" s="13">
        <f t="shared" si="130"/>
        <v>4757622.1145752305</v>
      </c>
      <c r="N1626" s="11">
        <f t="shared" si="126"/>
        <v>7.5495414591693558E-5</v>
      </c>
    </row>
    <row r="1627" spans="1:14" x14ac:dyDescent="0.25">
      <c r="A1627" s="79" t="s">
        <v>36</v>
      </c>
      <c r="B1627" s="89" t="s">
        <v>9</v>
      </c>
      <c r="C1627" s="89" t="s">
        <v>42</v>
      </c>
      <c r="D1627" s="13" t="s">
        <v>1</v>
      </c>
      <c r="E1627" s="35">
        <f>VLOOKUP(B1627, Passenger_Kilometre_by_mode_type[#All],MATCH(A1627, Passenger_Kilometre_by_mode_type[#Headers],0),0)</f>
        <v>213602282.25222278</v>
      </c>
      <c r="F1627" s="89">
        <f>VLOOKUP(C1627, Reason_for_walking_cycling_journeys_by_percentage[#All],MATCH(A1627, Reason_for_walking_cycling_journeys_by_percentage[#Headers],0),0)/100</f>
        <v>0.18525</v>
      </c>
      <c r="G1627" s="13">
        <f t="shared" si="127"/>
        <v>39569822.78722427</v>
      </c>
      <c r="H1627" s="89">
        <f>VLOOKUP(D1627,Average_Distance_by_kilometre_grouping_for_mode_type[#All],MATCH(A1627,Average_Distance_by_kilometre_grouping_for_mode_type[#Headers],0),0)</f>
        <v>41.2</v>
      </c>
      <c r="I1627" s="89">
        <f>VLOOKUP(D1627,Average_Distance_by_kilometres_grouping_for_trip_purpose[#All],MATCH(A1627,Average_Distance_by_kilometres_grouping_for_trip_purpose[#Headers],0),0)</f>
        <v>43.24</v>
      </c>
      <c r="J1627" s="89">
        <f t="shared" si="128"/>
        <v>42.22</v>
      </c>
      <c r="K1627" s="89">
        <f t="shared" si="129"/>
        <v>0.72518035039505324</v>
      </c>
      <c r="L1627" s="89">
        <v>1</v>
      </c>
      <c r="M1627" s="13">
        <f t="shared" si="130"/>
        <v>28695257.95390946</v>
      </c>
      <c r="N1627" s="11">
        <f t="shared" si="126"/>
        <v>4.5534520058018599E-4</v>
      </c>
    </row>
    <row r="1628" spans="1:14" x14ac:dyDescent="0.25">
      <c r="A1628" s="79" t="s">
        <v>36</v>
      </c>
      <c r="B1628" s="89" t="s">
        <v>9</v>
      </c>
      <c r="C1628" s="89" t="s">
        <v>43</v>
      </c>
      <c r="D1628" s="13" t="s">
        <v>12</v>
      </c>
      <c r="E1628" s="35">
        <f>VLOOKUP(B1628, Passenger_Kilometre_by_mode_type[#All],MATCH(A1628, Passenger_Kilometre_by_mode_type[#Headers],0),0)</f>
        <v>213602282.25222278</v>
      </c>
      <c r="F1628" s="89">
        <f>VLOOKUP(C1628, Reason_for_walking_cycling_journeys_by_percentage[#All],MATCH(A1628, Reason_for_walking_cycling_journeys_by_percentage[#Headers],0),0)/100</f>
        <v>0.10099999999999999</v>
      </c>
      <c r="G1628" s="13">
        <f t="shared" si="127"/>
        <v>21573830.507474501</v>
      </c>
      <c r="H1628" s="89">
        <f>VLOOKUP(D1628,Average_Distance_by_kilometre_grouping_for_mode_type[#All],MATCH(A1628,Average_Distance_by_kilometre_grouping_for_mode_type[#Headers],0),0)</f>
        <v>1</v>
      </c>
      <c r="I1628" s="89">
        <f>VLOOKUP(D1628,Average_Distance_by_kilometres_grouping_for_trip_purpose[#All],MATCH(A1628,Average_Distance_by_kilometres_grouping_for_trip_purpose[#Headers],0),0)</f>
        <v>1</v>
      </c>
      <c r="J1628" s="89">
        <f t="shared" si="128"/>
        <v>1</v>
      </c>
      <c r="K1628" s="89">
        <f t="shared" si="129"/>
        <v>1.7176228100309172E-2</v>
      </c>
      <c r="L1628" s="89">
        <v>1</v>
      </c>
      <c r="M1628" s="13">
        <f t="shared" si="130"/>
        <v>370557.03379379079</v>
      </c>
      <c r="N1628" s="11">
        <f t="shared" si="126"/>
        <v>5.8801132629736253E-6</v>
      </c>
    </row>
    <row r="1629" spans="1:14" x14ac:dyDescent="0.25">
      <c r="A1629" s="79" t="s">
        <v>36</v>
      </c>
      <c r="B1629" s="89" t="s">
        <v>9</v>
      </c>
      <c r="C1629" s="89" t="s">
        <v>43</v>
      </c>
      <c r="D1629" s="13" t="s">
        <v>181</v>
      </c>
      <c r="E1629" s="35">
        <f>VLOOKUP(B1629, Passenger_Kilometre_by_mode_type[#All],MATCH(A1629, Passenger_Kilometre_by_mode_type[#Headers],0),0)</f>
        <v>213602282.25222278</v>
      </c>
      <c r="F1629" s="89">
        <f>VLOOKUP(C1629, Reason_for_walking_cycling_journeys_by_percentage[#All],MATCH(A1629, Reason_for_walking_cycling_journeys_by_percentage[#Headers],0),0)/100</f>
        <v>0.10099999999999999</v>
      </c>
      <c r="G1629" s="13">
        <f t="shared" si="127"/>
        <v>21573830.507474501</v>
      </c>
      <c r="H1629" s="89">
        <f>VLOOKUP(D1629,Average_Distance_by_kilometre_grouping_for_mode_type[#All],MATCH(A1629,Average_Distance_by_kilometre_grouping_for_mode_type[#Headers],0),0)</f>
        <v>3</v>
      </c>
      <c r="I1629" s="89">
        <f>VLOOKUP(D1629,Average_Distance_by_kilometres_grouping_for_trip_purpose[#All],MATCH(A1629,Average_Distance_by_kilometres_grouping_for_trip_purpose[#Headers],0),0)</f>
        <v>3</v>
      </c>
      <c r="J1629" s="89">
        <f t="shared" si="128"/>
        <v>3</v>
      </c>
      <c r="K1629" s="89">
        <f t="shared" si="129"/>
        <v>5.1528684300927517E-2</v>
      </c>
      <c r="L1629" s="89">
        <v>1</v>
      </c>
      <c r="M1629" s="13">
        <f t="shared" si="130"/>
        <v>1111671.1013813724</v>
      </c>
      <c r="N1629" s="11">
        <f t="shared" si="126"/>
        <v>1.7640339788920878E-5</v>
      </c>
    </row>
    <row r="1630" spans="1:14" x14ac:dyDescent="0.25">
      <c r="A1630" s="79" t="s">
        <v>36</v>
      </c>
      <c r="B1630" s="89" t="s">
        <v>9</v>
      </c>
      <c r="C1630" s="89" t="s">
        <v>43</v>
      </c>
      <c r="D1630" s="13" t="s">
        <v>180</v>
      </c>
      <c r="E1630" s="35">
        <f>VLOOKUP(B1630, Passenger_Kilometre_by_mode_type[#All],MATCH(A1630, Passenger_Kilometre_by_mode_type[#Headers],0),0)</f>
        <v>213602282.25222278</v>
      </c>
      <c r="F1630" s="89">
        <f>VLOOKUP(C1630, Reason_for_walking_cycling_journeys_by_percentage[#All],MATCH(A1630, Reason_for_walking_cycling_journeys_by_percentage[#Headers],0),0)/100</f>
        <v>0.10099999999999999</v>
      </c>
      <c r="G1630" s="13">
        <f t="shared" si="127"/>
        <v>21573830.507474501</v>
      </c>
      <c r="H1630" s="89">
        <f>VLOOKUP(D1630,Average_Distance_by_kilometre_grouping_for_mode_type[#All],MATCH(A1630,Average_Distance_by_kilometre_grouping_for_mode_type[#Headers],0),0)</f>
        <v>5</v>
      </c>
      <c r="I1630" s="89">
        <f>VLOOKUP(D1630,Average_Distance_by_kilometres_grouping_for_trip_purpose[#All],MATCH(A1630,Average_Distance_by_kilometres_grouping_for_trip_purpose[#Headers],0),0)</f>
        <v>5</v>
      </c>
      <c r="J1630" s="89">
        <f t="shared" si="128"/>
        <v>5</v>
      </c>
      <c r="K1630" s="89">
        <f t="shared" si="129"/>
        <v>8.5881140501545869E-2</v>
      </c>
      <c r="L1630" s="89">
        <v>1</v>
      </c>
      <c r="M1630" s="13">
        <f t="shared" si="130"/>
        <v>1852785.1689689541</v>
      </c>
      <c r="N1630" s="11">
        <f t="shared" si="126"/>
        <v>2.9400566314868128E-5</v>
      </c>
    </row>
    <row r="1631" spans="1:14" x14ac:dyDescent="0.25">
      <c r="A1631" s="79" t="s">
        <v>36</v>
      </c>
      <c r="B1631" s="89" t="s">
        <v>9</v>
      </c>
      <c r="C1631" s="89" t="s">
        <v>43</v>
      </c>
      <c r="D1631" s="13" t="s">
        <v>182</v>
      </c>
      <c r="E1631" s="35">
        <f>VLOOKUP(B1631, Passenger_Kilometre_by_mode_type[#All],MATCH(A1631, Passenger_Kilometre_by_mode_type[#Headers],0),0)</f>
        <v>213602282.25222278</v>
      </c>
      <c r="F1631" s="89">
        <f>VLOOKUP(C1631, Reason_for_walking_cycling_journeys_by_percentage[#All],MATCH(A1631, Reason_for_walking_cycling_journeys_by_percentage[#Headers],0),0)/100</f>
        <v>0.10099999999999999</v>
      </c>
      <c r="G1631" s="13">
        <f t="shared" si="127"/>
        <v>21573830.507474501</v>
      </c>
      <c r="H1631" s="89">
        <f>VLOOKUP(D1631,Average_Distance_by_kilometre_grouping_for_mode_type[#All],MATCH(A1631,Average_Distance_by_kilometre_grouping_for_mode_type[#Headers],0),0)</f>
        <v>7</v>
      </c>
      <c r="I1631" s="89">
        <f>VLOOKUP(D1631,Average_Distance_by_kilometres_grouping_for_trip_purpose[#All],MATCH(A1631,Average_Distance_by_kilometres_grouping_for_trip_purpose[#Headers],0),0)</f>
        <v>7</v>
      </c>
      <c r="J1631" s="89">
        <f t="shared" si="128"/>
        <v>7</v>
      </c>
      <c r="K1631" s="89">
        <f t="shared" si="129"/>
        <v>0.12023359670216421</v>
      </c>
      <c r="L1631" s="89">
        <v>1</v>
      </c>
      <c r="M1631" s="13">
        <f t="shared" si="130"/>
        <v>2593899.2365565361</v>
      </c>
      <c r="N1631" s="11">
        <f t="shared" si="126"/>
        <v>4.1160792840815385E-5</v>
      </c>
    </row>
    <row r="1632" spans="1:14" x14ac:dyDescent="0.25">
      <c r="A1632" s="79" t="s">
        <v>36</v>
      </c>
      <c r="B1632" s="89" t="s">
        <v>9</v>
      </c>
      <c r="C1632" s="89" t="s">
        <v>43</v>
      </c>
      <c r="D1632" s="13" t="s">
        <v>1</v>
      </c>
      <c r="E1632" s="35">
        <f>VLOOKUP(B1632, Passenger_Kilometre_by_mode_type[#All],MATCH(A1632, Passenger_Kilometre_by_mode_type[#Headers],0),0)</f>
        <v>213602282.25222278</v>
      </c>
      <c r="F1632" s="89">
        <f>VLOOKUP(C1632, Reason_for_walking_cycling_journeys_by_percentage[#All],MATCH(A1632, Reason_for_walking_cycling_journeys_by_percentage[#Headers],0),0)/100</f>
        <v>0.10099999999999999</v>
      </c>
      <c r="G1632" s="13">
        <f t="shared" si="127"/>
        <v>21573830.507474501</v>
      </c>
      <c r="H1632" s="89">
        <f>VLOOKUP(D1632,Average_Distance_by_kilometre_grouping_for_mode_type[#All],MATCH(A1632,Average_Distance_by_kilometre_grouping_for_mode_type[#Headers],0),0)</f>
        <v>41.2</v>
      </c>
      <c r="I1632" s="89">
        <f>VLOOKUP(D1632,Average_Distance_by_kilometres_grouping_for_trip_purpose[#All],MATCH(A1632,Average_Distance_by_kilometres_grouping_for_trip_purpose[#Headers],0),0)</f>
        <v>43.24</v>
      </c>
      <c r="J1632" s="89">
        <f t="shared" si="128"/>
        <v>42.22</v>
      </c>
      <c r="K1632" s="89">
        <f t="shared" si="129"/>
        <v>0.72518035039505324</v>
      </c>
      <c r="L1632" s="89">
        <v>1</v>
      </c>
      <c r="M1632" s="13">
        <f t="shared" si="130"/>
        <v>15644917.966773847</v>
      </c>
      <c r="N1632" s="11">
        <f t="shared" si="126"/>
        <v>2.4825838196274643E-4</v>
      </c>
    </row>
    <row r="1633" spans="1:14" x14ac:dyDescent="0.25">
      <c r="A1633" s="79" t="s">
        <v>36</v>
      </c>
      <c r="B1633" s="89" t="s">
        <v>9</v>
      </c>
      <c r="C1633" s="89" t="s">
        <v>44</v>
      </c>
      <c r="D1633" s="13" t="s">
        <v>12</v>
      </c>
      <c r="E1633" s="35">
        <f>VLOOKUP(B1633, Passenger_Kilometre_by_mode_type[#All],MATCH(A1633, Passenger_Kilometre_by_mode_type[#Headers],0),0)</f>
        <v>213602282.25222278</v>
      </c>
      <c r="F1633" s="89">
        <f>VLOOKUP(C1633, Reason_for_walking_cycling_journeys_by_percentage[#All],MATCH(A1633, Reason_for_walking_cycling_journeys_by_percentage[#Headers],0),0)/100</f>
        <v>0.24650000000000002</v>
      </c>
      <c r="G1633" s="13">
        <f t="shared" si="127"/>
        <v>52652962.575172916</v>
      </c>
      <c r="H1633" s="89">
        <f>VLOOKUP(D1633,Average_Distance_by_kilometre_grouping_for_mode_type[#All],MATCH(A1633,Average_Distance_by_kilometre_grouping_for_mode_type[#Headers],0),0)</f>
        <v>1</v>
      </c>
      <c r="I1633" s="89">
        <f>VLOOKUP(D1633,Average_Distance_by_kilometres_grouping_for_trip_purpose[#All],MATCH(A1633,Average_Distance_by_kilometres_grouping_for_trip_purpose[#Headers],0),0)</f>
        <v>1</v>
      </c>
      <c r="J1633" s="89">
        <f t="shared" si="128"/>
        <v>1</v>
      </c>
      <c r="K1633" s="89">
        <f t="shared" si="129"/>
        <v>1.7176228100309172E-2</v>
      </c>
      <c r="L1633" s="89">
        <v>1</v>
      </c>
      <c r="M1633" s="13">
        <f t="shared" si="130"/>
        <v>904379.29534821224</v>
      </c>
      <c r="N1633" s="11">
        <f t="shared" si="126"/>
        <v>1.4350969498247513E-5</v>
      </c>
    </row>
    <row r="1634" spans="1:14" x14ac:dyDescent="0.25">
      <c r="A1634" s="79" t="s">
        <v>36</v>
      </c>
      <c r="B1634" s="89" t="s">
        <v>9</v>
      </c>
      <c r="C1634" s="89" t="s">
        <v>44</v>
      </c>
      <c r="D1634" s="13" t="s">
        <v>181</v>
      </c>
      <c r="E1634" s="35">
        <f>VLOOKUP(B1634, Passenger_Kilometre_by_mode_type[#All],MATCH(A1634, Passenger_Kilometre_by_mode_type[#Headers],0),0)</f>
        <v>213602282.25222278</v>
      </c>
      <c r="F1634" s="89">
        <f>VLOOKUP(C1634, Reason_for_walking_cycling_journeys_by_percentage[#All],MATCH(A1634, Reason_for_walking_cycling_journeys_by_percentage[#Headers],0),0)/100</f>
        <v>0.24650000000000002</v>
      </c>
      <c r="G1634" s="13">
        <f t="shared" si="127"/>
        <v>52652962.575172916</v>
      </c>
      <c r="H1634" s="89">
        <f>VLOOKUP(D1634,Average_Distance_by_kilometre_grouping_for_mode_type[#All],MATCH(A1634,Average_Distance_by_kilometre_grouping_for_mode_type[#Headers],0),0)</f>
        <v>3</v>
      </c>
      <c r="I1634" s="89">
        <f>VLOOKUP(D1634,Average_Distance_by_kilometres_grouping_for_trip_purpose[#All],MATCH(A1634,Average_Distance_by_kilometres_grouping_for_trip_purpose[#Headers],0),0)</f>
        <v>3</v>
      </c>
      <c r="J1634" s="89">
        <f t="shared" si="128"/>
        <v>3</v>
      </c>
      <c r="K1634" s="89">
        <f t="shared" si="129"/>
        <v>5.1528684300927517E-2</v>
      </c>
      <c r="L1634" s="89">
        <v>1</v>
      </c>
      <c r="M1634" s="13">
        <f t="shared" si="130"/>
        <v>2713137.8860446368</v>
      </c>
      <c r="N1634" s="11">
        <f t="shared" si="126"/>
        <v>4.3052908494742537E-5</v>
      </c>
    </row>
    <row r="1635" spans="1:14" x14ac:dyDescent="0.25">
      <c r="A1635" s="79" t="s">
        <v>36</v>
      </c>
      <c r="B1635" s="89" t="s">
        <v>9</v>
      </c>
      <c r="C1635" s="89" t="s">
        <v>44</v>
      </c>
      <c r="D1635" s="13" t="s">
        <v>180</v>
      </c>
      <c r="E1635" s="35">
        <f>VLOOKUP(B1635, Passenger_Kilometre_by_mode_type[#All],MATCH(A1635, Passenger_Kilometre_by_mode_type[#Headers],0),0)</f>
        <v>213602282.25222278</v>
      </c>
      <c r="F1635" s="89">
        <f>VLOOKUP(C1635, Reason_for_walking_cycling_journeys_by_percentage[#All],MATCH(A1635, Reason_for_walking_cycling_journeys_by_percentage[#Headers],0),0)/100</f>
        <v>0.24650000000000002</v>
      </c>
      <c r="G1635" s="13">
        <f t="shared" si="127"/>
        <v>52652962.575172916</v>
      </c>
      <c r="H1635" s="89">
        <f>VLOOKUP(D1635,Average_Distance_by_kilometre_grouping_for_mode_type[#All],MATCH(A1635,Average_Distance_by_kilometre_grouping_for_mode_type[#Headers],0),0)</f>
        <v>5</v>
      </c>
      <c r="I1635" s="89">
        <f>VLOOKUP(D1635,Average_Distance_by_kilometres_grouping_for_trip_purpose[#All],MATCH(A1635,Average_Distance_by_kilometres_grouping_for_trip_purpose[#Headers],0),0)</f>
        <v>5</v>
      </c>
      <c r="J1635" s="89">
        <f t="shared" si="128"/>
        <v>5</v>
      </c>
      <c r="K1635" s="89">
        <f t="shared" si="129"/>
        <v>8.5881140501545869E-2</v>
      </c>
      <c r="L1635" s="89">
        <v>1</v>
      </c>
      <c r="M1635" s="13">
        <f t="shared" si="130"/>
        <v>4521896.4767410615</v>
      </c>
      <c r="N1635" s="11">
        <f t="shared" si="126"/>
        <v>7.1754847491237566E-5</v>
      </c>
    </row>
    <row r="1636" spans="1:14" x14ac:dyDescent="0.25">
      <c r="A1636" s="79" t="s">
        <v>36</v>
      </c>
      <c r="B1636" s="89" t="s">
        <v>9</v>
      </c>
      <c r="C1636" s="89" t="s">
        <v>44</v>
      </c>
      <c r="D1636" s="13" t="s">
        <v>182</v>
      </c>
      <c r="E1636" s="35">
        <f>VLOOKUP(B1636, Passenger_Kilometre_by_mode_type[#All],MATCH(A1636, Passenger_Kilometre_by_mode_type[#Headers],0),0)</f>
        <v>213602282.25222278</v>
      </c>
      <c r="F1636" s="89">
        <f>VLOOKUP(C1636, Reason_for_walking_cycling_journeys_by_percentage[#All],MATCH(A1636, Reason_for_walking_cycling_journeys_by_percentage[#Headers],0),0)/100</f>
        <v>0.24650000000000002</v>
      </c>
      <c r="G1636" s="13">
        <f t="shared" si="127"/>
        <v>52652962.575172916</v>
      </c>
      <c r="H1636" s="89">
        <f>VLOOKUP(D1636,Average_Distance_by_kilometre_grouping_for_mode_type[#All],MATCH(A1636,Average_Distance_by_kilometre_grouping_for_mode_type[#Headers],0),0)</f>
        <v>7</v>
      </c>
      <c r="I1636" s="89">
        <f>VLOOKUP(D1636,Average_Distance_by_kilometres_grouping_for_trip_purpose[#All],MATCH(A1636,Average_Distance_by_kilometres_grouping_for_trip_purpose[#Headers],0),0)</f>
        <v>7</v>
      </c>
      <c r="J1636" s="89">
        <f t="shared" si="128"/>
        <v>7</v>
      </c>
      <c r="K1636" s="89">
        <f t="shared" si="129"/>
        <v>0.12023359670216421</v>
      </c>
      <c r="L1636" s="89">
        <v>1</v>
      </c>
      <c r="M1636" s="13">
        <f t="shared" si="130"/>
        <v>6330655.0674374858</v>
      </c>
      <c r="N1636" s="11">
        <f t="shared" ref="N1636:N1699" si="131">M1636/SUM($M$1443:$M$1803)</f>
        <v>1.0045678648773258E-4</v>
      </c>
    </row>
    <row r="1637" spans="1:14" x14ac:dyDescent="0.25">
      <c r="A1637" s="79" t="s">
        <v>36</v>
      </c>
      <c r="B1637" s="89" t="s">
        <v>9</v>
      </c>
      <c r="C1637" s="89" t="s">
        <v>44</v>
      </c>
      <c r="D1637" s="13" t="s">
        <v>1</v>
      </c>
      <c r="E1637" s="35">
        <f>VLOOKUP(B1637, Passenger_Kilometre_by_mode_type[#All],MATCH(A1637, Passenger_Kilometre_by_mode_type[#Headers],0),0)</f>
        <v>213602282.25222278</v>
      </c>
      <c r="F1637" s="89">
        <f>VLOOKUP(C1637, Reason_for_walking_cycling_journeys_by_percentage[#All],MATCH(A1637, Reason_for_walking_cycling_journeys_by_percentage[#Headers],0),0)/100</f>
        <v>0.24650000000000002</v>
      </c>
      <c r="G1637" s="13">
        <f t="shared" si="127"/>
        <v>52652962.575172916</v>
      </c>
      <c r="H1637" s="89">
        <f>VLOOKUP(D1637,Average_Distance_by_kilometre_grouping_for_mode_type[#All],MATCH(A1637,Average_Distance_by_kilometre_grouping_for_mode_type[#Headers],0),0)</f>
        <v>41.2</v>
      </c>
      <c r="I1637" s="89">
        <f>VLOOKUP(D1637,Average_Distance_by_kilometres_grouping_for_trip_purpose[#All],MATCH(A1637,Average_Distance_by_kilometres_grouping_for_trip_purpose[#Headers],0),0)</f>
        <v>43.24</v>
      </c>
      <c r="J1637" s="89">
        <f t="shared" si="128"/>
        <v>42.22</v>
      </c>
      <c r="K1637" s="89">
        <f t="shared" si="129"/>
        <v>0.72518035039505324</v>
      </c>
      <c r="L1637" s="89">
        <v>1</v>
      </c>
      <c r="M1637" s="13">
        <f t="shared" si="130"/>
        <v>38182893.849601522</v>
      </c>
      <c r="N1637" s="11">
        <f t="shared" si="131"/>
        <v>6.0589793221601E-4</v>
      </c>
    </row>
    <row r="1638" spans="1:14" x14ac:dyDescent="0.25">
      <c r="A1638" s="79" t="s">
        <v>36</v>
      </c>
      <c r="B1638" s="89" t="s">
        <v>9</v>
      </c>
      <c r="C1638" s="89" t="s">
        <v>45</v>
      </c>
      <c r="D1638" s="13" t="s">
        <v>12</v>
      </c>
      <c r="E1638" s="35">
        <f>VLOOKUP(B1638, Passenger_Kilometre_by_mode_type[#All],MATCH(A1638, Passenger_Kilometre_by_mode_type[#Headers],0),0)</f>
        <v>213602282.25222278</v>
      </c>
      <c r="F1638" s="89">
        <f>VLOOKUP(C1638, Reason_for_walking_cycling_journeys_by_percentage[#All],MATCH(A1638, Reason_for_walking_cycling_journeys_by_percentage[#Headers],0),0)/100</f>
        <v>3.95E-2</v>
      </c>
      <c r="G1638" s="13">
        <f t="shared" si="127"/>
        <v>8437290.1489627995</v>
      </c>
      <c r="H1638" s="89">
        <f>VLOOKUP(D1638,Average_Distance_by_kilometre_grouping_for_mode_type[#All],MATCH(A1638,Average_Distance_by_kilometre_grouping_for_mode_type[#Headers],0),0)</f>
        <v>1</v>
      </c>
      <c r="I1638" s="89">
        <f>VLOOKUP(D1638,Average_Distance_by_kilometres_grouping_for_trip_purpose[#All],MATCH(A1638,Average_Distance_by_kilometres_grouping_for_trip_purpose[#Headers],0),0)</f>
        <v>1</v>
      </c>
      <c r="J1638" s="89">
        <f t="shared" si="128"/>
        <v>1</v>
      </c>
      <c r="K1638" s="89">
        <f t="shared" si="129"/>
        <v>1.7176228100309172E-2</v>
      </c>
      <c r="L1638" s="89">
        <v>1</v>
      </c>
      <c r="M1638" s="13">
        <f t="shared" si="130"/>
        <v>144920.82014707659</v>
      </c>
      <c r="N1638" s="11">
        <f t="shared" si="131"/>
        <v>2.2996482563114673E-6</v>
      </c>
    </row>
    <row r="1639" spans="1:14" x14ac:dyDescent="0.25">
      <c r="A1639" s="79" t="s">
        <v>36</v>
      </c>
      <c r="B1639" s="89" t="s">
        <v>9</v>
      </c>
      <c r="C1639" s="89" t="s">
        <v>45</v>
      </c>
      <c r="D1639" s="13" t="s">
        <v>181</v>
      </c>
      <c r="E1639" s="35">
        <f>VLOOKUP(B1639, Passenger_Kilometre_by_mode_type[#All],MATCH(A1639, Passenger_Kilometre_by_mode_type[#Headers],0),0)</f>
        <v>213602282.25222278</v>
      </c>
      <c r="F1639" s="89">
        <f>VLOOKUP(C1639, Reason_for_walking_cycling_journeys_by_percentage[#All],MATCH(A1639, Reason_for_walking_cycling_journeys_by_percentage[#Headers],0),0)/100</f>
        <v>3.95E-2</v>
      </c>
      <c r="G1639" s="13">
        <f t="shared" si="127"/>
        <v>8437290.1489627995</v>
      </c>
      <c r="H1639" s="89">
        <f>VLOOKUP(D1639,Average_Distance_by_kilometre_grouping_for_mode_type[#All],MATCH(A1639,Average_Distance_by_kilometre_grouping_for_mode_type[#Headers],0),0)</f>
        <v>3</v>
      </c>
      <c r="I1639" s="89">
        <f>VLOOKUP(D1639,Average_Distance_by_kilometres_grouping_for_trip_purpose[#All],MATCH(A1639,Average_Distance_by_kilometres_grouping_for_trip_purpose[#Headers],0),0)</f>
        <v>3</v>
      </c>
      <c r="J1639" s="89">
        <f t="shared" si="128"/>
        <v>3</v>
      </c>
      <c r="K1639" s="89">
        <f t="shared" si="129"/>
        <v>5.1528684300927517E-2</v>
      </c>
      <c r="L1639" s="89">
        <v>1</v>
      </c>
      <c r="M1639" s="13">
        <f t="shared" si="130"/>
        <v>434762.46044122981</v>
      </c>
      <c r="N1639" s="11">
        <f t="shared" si="131"/>
        <v>6.8989447689344026E-6</v>
      </c>
    </row>
    <row r="1640" spans="1:14" x14ac:dyDescent="0.25">
      <c r="A1640" s="79" t="s">
        <v>36</v>
      </c>
      <c r="B1640" s="89" t="s">
        <v>9</v>
      </c>
      <c r="C1640" s="89" t="s">
        <v>45</v>
      </c>
      <c r="D1640" s="13" t="s">
        <v>180</v>
      </c>
      <c r="E1640" s="35">
        <f>VLOOKUP(B1640, Passenger_Kilometre_by_mode_type[#All],MATCH(A1640, Passenger_Kilometre_by_mode_type[#Headers],0),0)</f>
        <v>213602282.25222278</v>
      </c>
      <c r="F1640" s="89">
        <f>VLOOKUP(C1640, Reason_for_walking_cycling_journeys_by_percentage[#All],MATCH(A1640, Reason_for_walking_cycling_journeys_by_percentage[#Headers],0),0)/100</f>
        <v>3.95E-2</v>
      </c>
      <c r="G1640" s="13">
        <f t="shared" si="127"/>
        <v>8437290.1489627995</v>
      </c>
      <c r="H1640" s="89">
        <f>VLOOKUP(D1640,Average_Distance_by_kilometre_grouping_for_mode_type[#All],MATCH(A1640,Average_Distance_by_kilometre_grouping_for_mode_type[#Headers],0),0)</f>
        <v>5</v>
      </c>
      <c r="I1640" s="89">
        <f>VLOOKUP(D1640,Average_Distance_by_kilometres_grouping_for_trip_purpose[#All],MATCH(A1640,Average_Distance_by_kilometres_grouping_for_trip_purpose[#Headers],0),0)</f>
        <v>5</v>
      </c>
      <c r="J1640" s="89">
        <f t="shared" si="128"/>
        <v>5</v>
      </c>
      <c r="K1640" s="89">
        <f t="shared" si="129"/>
        <v>8.5881140501545869E-2</v>
      </c>
      <c r="L1640" s="89">
        <v>1</v>
      </c>
      <c r="M1640" s="13">
        <f t="shared" si="130"/>
        <v>724604.10073538311</v>
      </c>
      <c r="N1640" s="11">
        <f t="shared" si="131"/>
        <v>1.1498241281557338E-5</v>
      </c>
    </row>
    <row r="1641" spans="1:14" x14ac:dyDescent="0.25">
      <c r="A1641" s="79" t="s">
        <v>36</v>
      </c>
      <c r="B1641" s="89" t="s">
        <v>9</v>
      </c>
      <c r="C1641" s="89" t="s">
        <v>45</v>
      </c>
      <c r="D1641" s="13" t="s">
        <v>182</v>
      </c>
      <c r="E1641" s="35">
        <f>VLOOKUP(B1641, Passenger_Kilometre_by_mode_type[#All],MATCH(A1641, Passenger_Kilometre_by_mode_type[#Headers],0),0)</f>
        <v>213602282.25222278</v>
      </c>
      <c r="F1641" s="89">
        <f>VLOOKUP(C1641, Reason_for_walking_cycling_journeys_by_percentage[#All],MATCH(A1641, Reason_for_walking_cycling_journeys_by_percentage[#Headers],0),0)/100</f>
        <v>3.95E-2</v>
      </c>
      <c r="G1641" s="13">
        <f t="shared" si="127"/>
        <v>8437290.1489627995</v>
      </c>
      <c r="H1641" s="89">
        <f>VLOOKUP(D1641,Average_Distance_by_kilometre_grouping_for_mode_type[#All],MATCH(A1641,Average_Distance_by_kilometre_grouping_for_mode_type[#Headers],0),0)</f>
        <v>7</v>
      </c>
      <c r="I1641" s="89">
        <f>VLOOKUP(D1641,Average_Distance_by_kilometres_grouping_for_trip_purpose[#All],MATCH(A1641,Average_Distance_by_kilometres_grouping_for_trip_purpose[#Headers],0),0)</f>
        <v>7</v>
      </c>
      <c r="J1641" s="89">
        <f t="shared" si="128"/>
        <v>7</v>
      </c>
      <c r="K1641" s="89">
        <f t="shared" si="129"/>
        <v>0.12023359670216421</v>
      </c>
      <c r="L1641" s="89">
        <v>1</v>
      </c>
      <c r="M1641" s="13">
        <f t="shared" si="130"/>
        <v>1014445.7410295362</v>
      </c>
      <c r="N1641" s="11">
        <f t="shared" si="131"/>
        <v>1.6097537794180271E-5</v>
      </c>
    </row>
    <row r="1642" spans="1:14" x14ac:dyDescent="0.25">
      <c r="A1642" s="79" t="s">
        <v>36</v>
      </c>
      <c r="B1642" s="89" t="s">
        <v>9</v>
      </c>
      <c r="C1642" s="89" t="s">
        <v>45</v>
      </c>
      <c r="D1642" s="13" t="s">
        <v>1</v>
      </c>
      <c r="E1642" s="35">
        <f>VLOOKUP(B1642, Passenger_Kilometre_by_mode_type[#All],MATCH(A1642, Passenger_Kilometre_by_mode_type[#Headers],0),0)</f>
        <v>213602282.25222278</v>
      </c>
      <c r="F1642" s="89">
        <f>VLOOKUP(C1642, Reason_for_walking_cycling_journeys_by_percentage[#All],MATCH(A1642, Reason_for_walking_cycling_journeys_by_percentage[#Headers],0),0)/100</f>
        <v>3.95E-2</v>
      </c>
      <c r="G1642" s="13">
        <f t="shared" si="127"/>
        <v>8437290.1489627995</v>
      </c>
      <c r="H1642" s="89">
        <f>VLOOKUP(D1642,Average_Distance_by_kilometre_grouping_for_mode_type[#All],MATCH(A1642,Average_Distance_by_kilometre_grouping_for_mode_type[#Headers],0),0)</f>
        <v>41.2</v>
      </c>
      <c r="I1642" s="89">
        <f>VLOOKUP(D1642,Average_Distance_by_kilometres_grouping_for_trip_purpose[#All],MATCH(A1642,Average_Distance_by_kilometres_grouping_for_trip_purpose[#Headers],0),0)</f>
        <v>43.24</v>
      </c>
      <c r="J1642" s="89">
        <f t="shared" si="128"/>
        <v>42.22</v>
      </c>
      <c r="K1642" s="89">
        <f t="shared" si="129"/>
        <v>0.72518035039505324</v>
      </c>
      <c r="L1642" s="89">
        <v>1</v>
      </c>
      <c r="M1642" s="13">
        <f t="shared" si="130"/>
        <v>6118557.0266095735</v>
      </c>
      <c r="N1642" s="11">
        <f t="shared" si="131"/>
        <v>9.7091149381470148E-5</v>
      </c>
    </row>
    <row r="1643" spans="1:14" x14ac:dyDescent="0.25">
      <c r="A1643" s="79" t="s">
        <v>36</v>
      </c>
      <c r="B1643" s="89" t="s">
        <v>9</v>
      </c>
      <c r="C1643" s="89" t="s">
        <v>56</v>
      </c>
      <c r="D1643" s="13" t="s">
        <v>12</v>
      </c>
      <c r="E1643" s="35">
        <f>VLOOKUP(B1643, Passenger_Kilometre_by_mode_type[#All],MATCH(A1643, Passenger_Kilometre_by_mode_type[#Headers],0),0)</f>
        <v>213602282.25222278</v>
      </c>
      <c r="F1643" s="89">
        <f>VLOOKUP(C1643, Reason_for_walking_cycling_journeys_by_percentage[#All],MATCH(A1643, Reason_for_walking_cycling_journeys_by_percentage[#Headers],0),0)/100</f>
        <v>6.8250000000000005E-2</v>
      </c>
      <c r="G1643" s="13">
        <f t="shared" si="127"/>
        <v>14578355.763714205</v>
      </c>
      <c r="H1643" s="89">
        <f>VLOOKUP(D1643,Average_Distance_by_kilometre_grouping_for_mode_type[#All],MATCH(A1643,Average_Distance_by_kilometre_grouping_for_mode_type[#Headers],0),0)</f>
        <v>1</v>
      </c>
      <c r="I1643" s="89">
        <f>VLOOKUP(D1643,Average_Distance_by_kilometres_grouping_for_trip_purpose[#All],MATCH(A1643,Average_Distance_by_kilometres_grouping_for_trip_purpose[#Headers],0),0)</f>
        <v>1</v>
      </c>
      <c r="J1643" s="89">
        <f t="shared" si="128"/>
        <v>1</v>
      </c>
      <c r="K1643" s="89">
        <f t="shared" si="129"/>
        <v>1.7176228100309172E-2</v>
      </c>
      <c r="L1643" s="89">
        <v>1</v>
      </c>
      <c r="M1643" s="13">
        <f t="shared" si="130"/>
        <v>250401.16392501211</v>
      </c>
      <c r="N1643" s="11">
        <f t="shared" si="131"/>
        <v>3.9734428732470295E-6</v>
      </c>
    </row>
    <row r="1644" spans="1:14" x14ac:dyDescent="0.25">
      <c r="A1644" s="79" t="s">
        <v>36</v>
      </c>
      <c r="B1644" s="89" t="s">
        <v>9</v>
      </c>
      <c r="C1644" s="89" t="s">
        <v>56</v>
      </c>
      <c r="D1644" s="13" t="s">
        <v>181</v>
      </c>
      <c r="E1644" s="35">
        <f>VLOOKUP(B1644, Passenger_Kilometre_by_mode_type[#All],MATCH(A1644, Passenger_Kilometre_by_mode_type[#Headers],0),0)</f>
        <v>213602282.25222278</v>
      </c>
      <c r="F1644" s="89">
        <f>VLOOKUP(C1644, Reason_for_walking_cycling_journeys_by_percentage[#All],MATCH(A1644, Reason_for_walking_cycling_journeys_by_percentage[#Headers],0),0)/100</f>
        <v>6.8250000000000005E-2</v>
      </c>
      <c r="G1644" s="13">
        <f t="shared" si="127"/>
        <v>14578355.763714205</v>
      </c>
      <c r="H1644" s="89">
        <f>VLOOKUP(D1644,Average_Distance_by_kilometre_grouping_for_mode_type[#All],MATCH(A1644,Average_Distance_by_kilometre_grouping_for_mode_type[#Headers],0),0)</f>
        <v>3</v>
      </c>
      <c r="I1644" s="89">
        <f>VLOOKUP(D1644,Average_Distance_by_kilometres_grouping_for_trip_purpose[#All],MATCH(A1644,Average_Distance_by_kilometres_grouping_for_trip_purpose[#Headers],0),0)</f>
        <v>3</v>
      </c>
      <c r="J1644" s="89">
        <f t="shared" si="128"/>
        <v>3</v>
      </c>
      <c r="K1644" s="89">
        <f t="shared" si="129"/>
        <v>5.1528684300927517E-2</v>
      </c>
      <c r="L1644" s="89">
        <v>1</v>
      </c>
      <c r="M1644" s="13">
        <f t="shared" si="130"/>
        <v>751203.49177503632</v>
      </c>
      <c r="N1644" s="11">
        <f t="shared" si="131"/>
        <v>1.1920328619741087E-5</v>
      </c>
    </row>
    <row r="1645" spans="1:14" x14ac:dyDescent="0.25">
      <c r="A1645" s="79" t="s">
        <v>36</v>
      </c>
      <c r="B1645" s="89" t="s">
        <v>9</v>
      </c>
      <c r="C1645" s="89" t="s">
        <v>56</v>
      </c>
      <c r="D1645" s="13" t="s">
        <v>180</v>
      </c>
      <c r="E1645" s="35">
        <f>VLOOKUP(B1645, Passenger_Kilometre_by_mode_type[#All],MATCH(A1645, Passenger_Kilometre_by_mode_type[#Headers],0),0)</f>
        <v>213602282.25222278</v>
      </c>
      <c r="F1645" s="89">
        <f>VLOOKUP(C1645, Reason_for_walking_cycling_journeys_by_percentage[#All],MATCH(A1645, Reason_for_walking_cycling_journeys_by_percentage[#Headers],0),0)/100</f>
        <v>6.8250000000000005E-2</v>
      </c>
      <c r="G1645" s="13">
        <f t="shared" si="127"/>
        <v>14578355.763714205</v>
      </c>
      <c r="H1645" s="89">
        <f>VLOOKUP(D1645,Average_Distance_by_kilometre_grouping_for_mode_type[#All],MATCH(A1645,Average_Distance_by_kilometre_grouping_for_mode_type[#Headers],0),0)</f>
        <v>5</v>
      </c>
      <c r="I1645" s="89">
        <f>VLOOKUP(D1645,Average_Distance_by_kilometres_grouping_for_trip_purpose[#All],MATCH(A1645,Average_Distance_by_kilometres_grouping_for_trip_purpose[#Headers],0),0)</f>
        <v>5</v>
      </c>
      <c r="J1645" s="89">
        <f t="shared" si="128"/>
        <v>5</v>
      </c>
      <c r="K1645" s="89">
        <f t="shared" si="129"/>
        <v>8.5881140501545869E-2</v>
      </c>
      <c r="L1645" s="89">
        <v>1</v>
      </c>
      <c r="M1645" s="13">
        <f t="shared" si="130"/>
        <v>1252005.8196250608</v>
      </c>
      <c r="N1645" s="11">
        <f t="shared" si="131"/>
        <v>1.9867214366235149E-5</v>
      </c>
    </row>
    <row r="1646" spans="1:14" x14ac:dyDescent="0.25">
      <c r="A1646" s="79" t="s">
        <v>36</v>
      </c>
      <c r="B1646" s="89" t="s">
        <v>9</v>
      </c>
      <c r="C1646" s="89" t="s">
        <v>56</v>
      </c>
      <c r="D1646" s="13" t="s">
        <v>182</v>
      </c>
      <c r="E1646" s="35">
        <f>VLOOKUP(B1646, Passenger_Kilometre_by_mode_type[#All],MATCH(A1646, Passenger_Kilometre_by_mode_type[#Headers],0),0)</f>
        <v>213602282.25222278</v>
      </c>
      <c r="F1646" s="89">
        <f>VLOOKUP(C1646, Reason_for_walking_cycling_journeys_by_percentage[#All],MATCH(A1646, Reason_for_walking_cycling_journeys_by_percentage[#Headers],0),0)/100</f>
        <v>6.8250000000000005E-2</v>
      </c>
      <c r="G1646" s="13">
        <f t="shared" si="127"/>
        <v>14578355.763714205</v>
      </c>
      <c r="H1646" s="89">
        <f>VLOOKUP(D1646,Average_Distance_by_kilometre_grouping_for_mode_type[#All],MATCH(A1646,Average_Distance_by_kilometre_grouping_for_mode_type[#Headers],0),0)</f>
        <v>7</v>
      </c>
      <c r="I1646" s="89">
        <f>VLOOKUP(D1646,Average_Distance_by_kilometres_grouping_for_trip_purpose[#All],MATCH(A1646,Average_Distance_by_kilometres_grouping_for_trip_purpose[#Headers],0),0)</f>
        <v>7</v>
      </c>
      <c r="J1646" s="89">
        <f t="shared" si="128"/>
        <v>7</v>
      </c>
      <c r="K1646" s="89">
        <f t="shared" si="129"/>
        <v>0.12023359670216421</v>
      </c>
      <c r="L1646" s="89">
        <v>1</v>
      </c>
      <c r="M1646" s="13">
        <f t="shared" si="130"/>
        <v>1752808.147475085</v>
      </c>
      <c r="N1646" s="11">
        <f t="shared" si="131"/>
        <v>2.7814100112729208E-5</v>
      </c>
    </row>
    <row r="1647" spans="1:14" x14ac:dyDescent="0.25">
      <c r="A1647" s="79" t="s">
        <v>36</v>
      </c>
      <c r="B1647" s="89" t="s">
        <v>9</v>
      </c>
      <c r="C1647" s="89" t="s">
        <v>56</v>
      </c>
      <c r="D1647" s="13" t="s">
        <v>1</v>
      </c>
      <c r="E1647" s="35">
        <f>VLOOKUP(B1647, Passenger_Kilometre_by_mode_type[#All],MATCH(A1647, Passenger_Kilometre_by_mode_type[#Headers],0),0)</f>
        <v>213602282.25222278</v>
      </c>
      <c r="F1647" s="89">
        <f>VLOOKUP(C1647, Reason_for_walking_cycling_journeys_by_percentage[#All],MATCH(A1647, Reason_for_walking_cycling_journeys_by_percentage[#Headers],0),0)/100</f>
        <v>6.8250000000000005E-2</v>
      </c>
      <c r="G1647" s="13">
        <f t="shared" si="127"/>
        <v>14578355.763714205</v>
      </c>
      <c r="H1647" s="89">
        <f>VLOOKUP(D1647,Average_Distance_by_kilometre_grouping_for_mode_type[#All],MATCH(A1647,Average_Distance_by_kilometre_grouping_for_mode_type[#Headers],0),0)</f>
        <v>41.2</v>
      </c>
      <c r="I1647" s="89">
        <f>VLOOKUP(D1647,Average_Distance_by_kilometres_grouping_for_trip_purpose[#All],MATCH(A1647,Average_Distance_by_kilometres_grouping_for_trip_purpose[#Headers],0),0)</f>
        <v>43.24</v>
      </c>
      <c r="J1647" s="89">
        <f t="shared" si="128"/>
        <v>42.22</v>
      </c>
      <c r="K1647" s="89">
        <f t="shared" si="129"/>
        <v>0.72518035039505324</v>
      </c>
      <c r="L1647" s="89">
        <v>1</v>
      </c>
      <c r="M1647" s="13">
        <f t="shared" si="130"/>
        <v>10571937.140914012</v>
      </c>
      <c r="N1647" s="11">
        <f t="shared" si="131"/>
        <v>1.6775875810848959E-4</v>
      </c>
    </row>
    <row r="1648" spans="1:14" x14ac:dyDescent="0.25">
      <c r="A1648" s="79" t="s">
        <v>36</v>
      </c>
      <c r="B1648" s="89" t="s">
        <v>9</v>
      </c>
      <c r="C1648" s="89" t="s">
        <v>57</v>
      </c>
      <c r="D1648" s="13" t="s">
        <v>12</v>
      </c>
      <c r="E1648" s="35">
        <f>VLOOKUP(B1648, Passenger_Kilometre_by_mode_type[#All],MATCH(A1648, Passenger_Kilometre_by_mode_type[#Headers],0),0)</f>
        <v>213602282.25222278</v>
      </c>
      <c r="F1648" s="89">
        <f>VLOOKUP(C1648, Reason_for_walking_cycling_journeys_by_percentage[#All],MATCH(A1648, Reason_for_walking_cycling_journeys_by_percentage[#Headers],0),0)/100</f>
        <v>0.185</v>
      </c>
      <c r="G1648" s="13">
        <f t="shared" si="127"/>
        <v>39516422.216661215</v>
      </c>
      <c r="H1648" s="89">
        <f>VLOOKUP(D1648,Average_Distance_by_kilometre_grouping_for_mode_type[#All],MATCH(A1648,Average_Distance_by_kilometre_grouping_for_mode_type[#Headers],0),0)</f>
        <v>1</v>
      </c>
      <c r="I1648" s="89">
        <f>VLOOKUP(D1648,Average_Distance_by_kilometres_grouping_for_trip_purpose[#All],MATCH(A1648,Average_Distance_by_kilometres_grouping_for_trip_purpose[#Headers],0),0)</f>
        <v>1</v>
      </c>
      <c r="J1648" s="89">
        <f t="shared" si="128"/>
        <v>1</v>
      </c>
      <c r="K1648" s="89">
        <f t="shared" si="129"/>
        <v>1.7176228100309172E-2</v>
      </c>
      <c r="L1648" s="89">
        <v>1</v>
      </c>
      <c r="M1648" s="13">
        <f t="shared" si="130"/>
        <v>678743.08170149801</v>
      </c>
      <c r="N1648" s="11">
        <f t="shared" si="131"/>
        <v>1.0770504491585353E-5</v>
      </c>
    </row>
    <row r="1649" spans="1:14" x14ac:dyDescent="0.25">
      <c r="A1649" s="79" t="s">
        <v>36</v>
      </c>
      <c r="B1649" s="89" t="s">
        <v>9</v>
      </c>
      <c r="C1649" s="89" t="s">
        <v>57</v>
      </c>
      <c r="D1649" s="13" t="s">
        <v>181</v>
      </c>
      <c r="E1649" s="35">
        <f>VLOOKUP(B1649, Passenger_Kilometre_by_mode_type[#All],MATCH(A1649, Passenger_Kilometre_by_mode_type[#Headers],0),0)</f>
        <v>213602282.25222278</v>
      </c>
      <c r="F1649" s="89">
        <f>VLOOKUP(C1649, Reason_for_walking_cycling_journeys_by_percentage[#All],MATCH(A1649, Reason_for_walking_cycling_journeys_by_percentage[#Headers],0),0)/100</f>
        <v>0.185</v>
      </c>
      <c r="G1649" s="13">
        <f t="shared" si="127"/>
        <v>39516422.216661215</v>
      </c>
      <c r="H1649" s="89">
        <f>VLOOKUP(D1649,Average_Distance_by_kilometre_grouping_for_mode_type[#All],MATCH(A1649,Average_Distance_by_kilometre_grouping_for_mode_type[#Headers],0),0)</f>
        <v>3</v>
      </c>
      <c r="I1649" s="89">
        <f>VLOOKUP(D1649,Average_Distance_by_kilometres_grouping_for_trip_purpose[#All],MATCH(A1649,Average_Distance_by_kilometres_grouping_for_trip_purpose[#Headers],0),0)</f>
        <v>3</v>
      </c>
      <c r="J1649" s="89">
        <f t="shared" si="128"/>
        <v>3</v>
      </c>
      <c r="K1649" s="89">
        <f t="shared" si="129"/>
        <v>5.1528684300927517E-2</v>
      </c>
      <c r="L1649" s="89">
        <v>1</v>
      </c>
      <c r="M1649" s="13">
        <f t="shared" si="130"/>
        <v>2036229.245104494</v>
      </c>
      <c r="N1649" s="11">
        <f t="shared" si="131"/>
        <v>3.2311513474756064E-5</v>
      </c>
    </row>
    <row r="1650" spans="1:14" x14ac:dyDescent="0.25">
      <c r="A1650" s="79" t="s">
        <v>36</v>
      </c>
      <c r="B1650" s="89" t="s">
        <v>9</v>
      </c>
      <c r="C1650" s="89" t="s">
        <v>57</v>
      </c>
      <c r="D1650" s="13" t="s">
        <v>180</v>
      </c>
      <c r="E1650" s="35">
        <f>VLOOKUP(B1650, Passenger_Kilometre_by_mode_type[#All],MATCH(A1650, Passenger_Kilometre_by_mode_type[#Headers],0),0)</f>
        <v>213602282.25222278</v>
      </c>
      <c r="F1650" s="89">
        <f>VLOOKUP(C1650, Reason_for_walking_cycling_journeys_by_percentage[#All],MATCH(A1650, Reason_for_walking_cycling_journeys_by_percentage[#Headers],0),0)/100</f>
        <v>0.185</v>
      </c>
      <c r="G1650" s="13">
        <f t="shared" si="127"/>
        <v>39516422.216661215</v>
      </c>
      <c r="H1650" s="89">
        <f>VLOOKUP(D1650,Average_Distance_by_kilometre_grouping_for_mode_type[#All],MATCH(A1650,Average_Distance_by_kilometre_grouping_for_mode_type[#Headers],0),0)</f>
        <v>5</v>
      </c>
      <c r="I1650" s="89">
        <f>VLOOKUP(D1650,Average_Distance_by_kilometres_grouping_for_trip_purpose[#All],MATCH(A1650,Average_Distance_by_kilometres_grouping_for_trip_purpose[#Headers],0),0)</f>
        <v>5</v>
      </c>
      <c r="J1650" s="89">
        <f t="shared" si="128"/>
        <v>5</v>
      </c>
      <c r="K1650" s="89">
        <f t="shared" si="129"/>
        <v>8.5881140501545869E-2</v>
      </c>
      <c r="L1650" s="89">
        <v>1</v>
      </c>
      <c r="M1650" s="13">
        <f t="shared" si="130"/>
        <v>3393715.4085074905</v>
      </c>
      <c r="N1650" s="11">
        <f t="shared" si="131"/>
        <v>5.3852522457926774E-5</v>
      </c>
    </row>
    <row r="1651" spans="1:14" x14ac:dyDescent="0.25">
      <c r="A1651" s="79" t="s">
        <v>36</v>
      </c>
      <c r="B1651" s="89" t="s">
        <v>9</v>
      </c>
      <c r="C1651" s="89" t="s">
        <v>57</v>
      </c>
      <c r="D1651" s="13" t="s">
        <v>182</v>
      </c>
      <c r="E1651" s="35">
        <f>VLOOKUP(B1651, Passenger_Kilometre_by_mode_type[#All],MATCH(A1651, Passenger_Kilometre_by_mode_type[#Headers],0),0)</f>
        <v>213602282.25222278</v>
      </c>
      <c r="F1651" s="89">
        <f>VLOOKUP(C1651, Reason_for_walking_cycling_journeys_by_percentage[#All],MATCH(A1651, Reason_for_walking_cycling_journeys_by_percentage[#Headers],0),0)/100</f>
        <v>0.185</v>
      </c>
      <c r="G1651" s="13">
        <f t="shared" si="127"/>
        <v>39516422.216661215</v>
      </c>
      <c r="H1651" s="89">
        <f>VLOOKUP(D1651,Average_Distance_by_kilometre_grouping_for_mode_type[#All],MATCH(A1651,Average_Distance_by_kilometre_grouping_for_mode_type[#Headers],0),0)</f>
        <v>7</v>
      </c>
      <c r="I1651" s="89">
        <f>VLOOKUP(D1651,Average_Distance_by_kilometres_grouping_for_trip_purpose[#All],MATCH(A1651,Average_Distance_by_kilometres_grouping_for_trip_purpose[#Headers],0),0)</f>
        <v>7</v>
      </c>
      <c r="J1651" s="89">
        <f t="shared" si="128"/>
        <v>7</v>
      </c>
      <c r="K1651" s="89">
        <f t="shared" si="129"/>
        <v>0.12023359670216421</v>
      </c>
      <c r="L1651" s="89">
        <v>1</v>
      </c>
      <c r="M1651" s="13">
        <f t="shared" si="130"/>
        <v>4751201.5719104866</v>
      </c>
      <c r="N1651" s="11">
        <f t="shared" si="131"/>
        <v>7.5393531441097483E-5</v>
      </c>
    </row>
    <row r="1652" spans="1:14" x14ac:dyDescent="0.25">
      <c r="A1652" s="79" t="s">
        <v>36</v>
      </c>
      <c r="B1652" s="89" t="s">
        <v>9</v>
      </c>
      <c r="C1652" s="89" t="s">
        <v>57</v>
      </c>
      <c r="D1652" s="13" t="s">
        <v>1</v>
      </c>
      <c r="E1652" s="35">
        <f>VLOOKUP(B1652, Passenger_Kilometre_by_mode_type[#All],MATCH(A1652, Passenger_Kilometre_by_mode_type[#Headers],0),0)</f>
        <v>213602282.25222278</v>
      </c>
      <c r="F1652" s="89">
        <f>VLOOKUP(C1652, Reason_for_walking_cycling_journeys_by_percentage[#All],MATCH(A1652, Reason_for_walking_cycling_journeys_by_percentage[#Headers],0),0)/100</f>
        <v>0.185</v>
      </c>
      <c r="G1652" s="13">
        <f t="shared" si="127"/>
        <v>39516422.216661215</v>
      </c>
      <c r="H1652" s="89">
        <f>VLOOKUP(D1652,Average_Distance_by_kilometre_grouping_for_mode_type[#All],MATCH(A1652,Average_Distance_by_kilometre_grouping_for_mode_type[#Headers],0),0)</f>
        <v>41.2</v>
      </c>
      <c r="I1652" s="89">
        <f>VLOOKUP(D1652,Average_Distance_by_kilometres_grouping_for_trip_purpose[#All],MATCH(A1652,Average_Distance_by_kilometres_grouping_for_trip_purpose[#Headers],0),0)</f>
        <v>43.24</v>
      </c>
      <c r="J1652" s="89">
        <f t="shared" si="128"/>
        <v>42.22</v>
      </c>
      <c r="K1652" s="89">
        <f t="shared" si="129"/>
        <v>0.72518035039505324</v>
      </c>
      <c r="L1652" s="89">
        <v>1</v>
      </c>
      <c r="M1652" s="13">
        <f t="shared" si="130"/>
        <v>28656532.909437247</v>
      </c>
      <c r="N1652" s="11">
        <f t="shared" si="131"/>
        <v>4.5473069963473364E-4</v>
      </c>
    </row>
    <row r="1653" spans="1:14" x14ac:dyDescent="0.25">
      <c r="A1653" s="79" t="s">
        <v>36</v>
      </c>
      <c r="B1653" s="89" t="s">
        <v>9</v>
      </c>
      <c r="C1653" s="89" t="s">
        <v>93</v>
      </c>
      <c r="D1653" s="13" t="s">
        <v>12</v>
      </c>
      <c r="E1653" s="35">
        <f>VLOOKUP(B1653, Passenger_Kilometre_by_mode_type[#All],MATCH(A1653, Passenger_Kilometre_by_mode_type[#Headers],0),0)</f>
        <v>213602282.25222278</v>
      </c>
      <c r="F1653" s="89">
        <f>VLOOKUP(C1653, Reason_for_walking_cycling_journeys_by_percentage[#All],MATCH(A1653, Reason_for_walking_cycling_journeys_by_percentage[#Headers],0),0)/100</f>
        <v>4.2249999999999996E-2</v>
      </c>
      <c r="G1653" s="13">
        <f t="shared" si="127"/>
        <v>9024696.4251564108</v>
      </c>
      <c r="H1653" s="89">
        <f>VLOOKUP(D1653,Average_Distance_by_kilometre_grouping_for_mode_type[#All],MATCH(A1653,Average_Distance_by_kilometre_grouping_for_mode_type[#Headers],0),0)</f>
        <v>1</v>
      </c>
      <c r="I1653" s="89">
        <f>VLOOKUP(D1653,Average_Distance_by_kilometres_grouping_for_trip_purpose[#All],MATCH(A1653,Average_Distance_by_kilometres_grouping_for_trip_purpose[#Headers],0),0)</f>
        <v>1</v>
      </c>
      <c r="J1653" s="89">
        <f t="shared" si="128"/>
        <v>1</v>
      </c>
      <c r="K1653" s="89">
        <f t="shared" si="129"/>
        <v>1.7176228100309172E-2</v>
      </c>
      <c r="L1653" s="89">
        <v>1</v>
      </c>
      <c r="M1653" s="13">
        <f t="shared" si="130"/>
        <v>155010.24433453128</v>
      </c>
      <c r="N1653" s="11">
        <f t="shared" si="131"/>
        <v>2.4597503501053034E-6</v>
      </c>
    </row>
    <row r="1654" spans="1:14" x14ac:dyDescent="0.25">
      <c r="A1654" s="79" t="s">
        <v>36</v>
      </c>
      <c r="B1654" s="89" t="s">
        <v>9</v>
      </c>
      <c r="C1654" s="89" t="s">
        <v>93</v>
      </c>
      <c r="D1654" s="13" t="s">
        <v>181</v>
      </c>
      <c r="E1654" s="35">
        <f>VLOOKUP(B1654, Passenger_Kilometre_by_mode_type[#All],MATCH(A1654, Passenger_Kilometre_by_mode_type[#Headers],0),0)</f>
        <v>213602282.25222278</v>
      </c>
      <c r="F1654" s="89">
        <f>VLOOKUP(C1654, Reason_for_walking_cycling_journeys_by_percentage[#All],MATCH(A1654, Reason_for_walking_cycling_journeys_by_percentage[#Headers],0),0)/100</f>
        <v>4.2249999999999996E-2</v>
      </c>
      <c r="G1654" s="13">
        <f t="shared" si="127"/>
        <v>9024696.4251564108</v>
      </c>
      <c r="H1654" s="89">
        <f>VLOOKUP(D1654,Average_Distance_by_kilometre_grouping_for_mode_type[#All],MATCH(A1654,Average_Distance_by_kilometre_grouping_for_mode_type[#Headers],0),0)</f>
        <v>3</v>
      </c>
      <c r="I1654" s="89">
        <f>VLOOKUP(D1654,Average_Distance_by_kilometres_grouping_for_trip_purpose[#All],MATCH(A1654,Average_Distance_by_kilometres_grouping_for_trip_purpose[#Headers],0),0)</f>
        <v>3</v>
      </c>
      <c r="J1654" s="89">
        <f t="shared" si="128"/>
        <v>3</v>
      </c>
      <c r="K1654" s="89">
        <f t="shared" si="129"/>
        <v>5.1528684300927517E-2</v>
      </c>
      <c r="L1654" s="89">
        <v>1</v>
      </c>
      <c r="M1654" s="13">
        <f t="shared" si="130"/>
        <v>465030.73300359381</v>
      </c>
      <c r="N1654" s="11">
        <f t="shared" si="131"/>
        <v>7.3792510503159093E-6</v>
      </c>
    </row>
    <row r="1655" spans="1:14" x14ac:dyDescent="0.25">
      <c r="A1655" s="79" t="s">
        <v>36</v>
      </c>
      <c r="B1655" s="89" t="s">
        <v>9</v>
      </c>
      <c r="C1655" s="89" t="s">
        <v>93</v>
      </c>
      <c r="D1655" s="13" t="s">
        <v>180</v>
      </c>
      <c r="E1655" s="35">
        <f>VLOOKUP(B1655, Passenger_Kilometre_by_mode_type[#All],MATCH(A1655, Passenger_Kilometre_by_mode_type[#Headers],0),0)</f>
        <v>213602282.25222278</v>
      </c>
      <c r="F1655" s="89">
        <f>VLOOKUP(C1655, Reason_for_walking_cycling_journeys_by_percentage[#All],MATCH(A1655, Reason_for_walking_cycling_journeys_by_percentage[#Headers],0),0)/100</f>
        <v>4.2249999999999996E-2</v>
      </c>
      <c r="G1655" s="13">
        <f t="shared" si="127"/>
        <v>9024696.4251564108</v>
      </c>
      <c r="H1655" s="89">
        <f>VLOOKUP(D1655,Average_Distance_by_kilometre_grouping_for_mode_type[#All],MATCH(A1655,Average_Distance_by_kilometre_grouping_for_mode_type[#Headers],0),0)</f>
        <v>5</v>
      </c>
      <c r="I1655" s="89">
        <f>VLOOKUP(D1655,Average_Distance_by_kilometres_grouping_for_trip_purpose[#All],MATCH(A1655,Average_Distance_by_kilometres_grouping_for_trip_purpose[#Headers],0),0)</f>
        <v>5</v>
      </c>
      <c r="J1655" s="89">
        <f t="shared" si="128"/>
        <v>5</v>
      </c>
      <c r="K1655" s="89">
        <f t="shared" si="129"/>
        <v>8.5881140501545869E-2</v>
      </c>
      <c r="L1655" s="89">
        <v>1</v>
      </c>
      <c r="M1655" s="13">
        <f t="shared" si="130"/>
        <v>775051.22167265648</v>
      </c>
      <c r="N1655" s="11">
        <f t="shared" si="131"/>
        <v>1.2298751750526519E-5</v>
      </c>
    </row>
    <row r="1656" spans="1:14" x14ac:dyDescent="0.25">
      <c r="A1656" s="79" t="s">
        <v>36</v>
      </c>
      <c r="B1656" s="89" t="s">
        <v>9</v>
      </c>
      <c r="C1656" s="89" t="s">
        <v>93</v>
      </c>
      <c r="D1656" s="13" t="s">
        <v>182</v>
      </c>
      <c r="E1656" s="35">
        <f>VLOOKUP(B1656, Passenger_Kilometre_by_mode_type[#All],MATCH(A1656, Passenger_Kilometre_by_mode_type[#Headers],0),0)</f>
        <v>213602282.25222278</v>
      </c>
      <c r="F1656" s="89">
        <f>VLOOKUP(C1656, Reason_for_walking_cycling_journeys_by_percentage[#All],MATCH(A1656, Reason_for_walking_cycling_journeys_by_percentage[#Headers],0),0)/100</f>
        <v>4.2249999999999996E-2</v>
      </c>
      <c r="G1656" s="13">
        <f t="shared" si="127"/>
        <v>9024696.4251564108</v>
      </c>
      <c r="H1656" s="89">
        <f>VLOOKUP(D1656,Average_Distance_by_kilometre_grouping_for_mode_type[#All],MATCH(A1656,Average_Distance_by_kilometre_grouping_for_mode_type[#Headers],0),0)</f>
        <v>7</v>
      </c>
      <c r="I1656" s="89">
        <f>VLOOKUP(D1656,Average_Distance_by_kilometres_grouping_for_trip_purpose[#All],MATCH(A1656,Average_Distance_by_kilometres_grouping_for_trip_purpose[#Headers],0),0)</f>
        <v>7</v>
      </c>
      <c r="J1656" s="89">
        <f t="shared" si="128"/>
        <v>7</v>
      </c>
      <c r="K1656" s="89">
        <f t="shared" si="129"/>
        <v>0.12023359670216421</v>
      </c>
      <c r="L1656" s="89">
        <v>1</v>
      </c>
      <c r="M1656" s="13">
        <f t="shared" si="130"/>
        <v>1085071.710341719</v>
      </c>
      <c r="N1656" s="11">
        <f t="shared" si="131"/>
        <v>1.7218252450737124E-5</v>
      </c>
    </row>
    <row r="1657" spans="1:14" x14ac:dyDescent="0.25">
      <c r="A1657" s="79" t="s">
        <v>36</v>
      </c>
      <c r="B1657" s="89" t="s">
        <v>9</v>
      </c>
      <c r="C1657" s="89" t="s">
        <v>93</v>
      </c>
      <c r="D1657" s="13" t="s">
        <v>1</v>
      </c>
      <c r="E1657" s="35">
        <f>VLOOKUP(B1657, Passenger_Kilometre_by_mode_type[#All],MATCH(A1657, Passenger_Kilometre_by_mode_type[#Headers],0),0)</f>
        <v>213602282.25222278</v>
      </c>
      <c r="F1657" s="89">
        <f>VLOOKUP(C1657, Reason_for_walking_cycling_journeys_by_percentage[#All],MATCH(A1657, Reason_for_walking_cycling_journeys_by_percentage[#Headers],0),0)/100</f>
        <v>4.2249999999999996E-2</v>
      </c>
      <c r="G1657" s="13">
        <f t="shared" si="127"/>
        <v>9024696.4251564108</v>
      </c>
      <c r="H1657" s="89">
        <f>VLOOKUP(D1657,Average_Distance_by_kilometre_grouping_for_mode_type[#All],MATCH(A1657,Average_Distance_by_kilometre_grouping_for_mode_type[#Headers],0),0)</f>
        <v>41.2</v>
      </c>
      <c r="I1657" s="89">
        <f>VLOOKUP(D1657,Average_Distance_by_kilometres_grouping_for_trip_purpose[#All],MATCH(A1657,Average_Distance_by_kilometres_grouping_for_trip_purpose[#Headers],0),0)</f>
        <v>43.24</v>
      </c>
      <c r="J1657" s="89">
        <f t="shared" si="128"/>
        <v>42.22</v>
      </c>
      <c r="K1657" s="89">
        <f t="shared" si="129"/>
        <v>0.72518035039505324</v>
      </c>
      <c r="L1657" s="89">
        <v>1</v>
      </c>
      <c r="M1657" s="13">
        <f t="shared" si="130"/>
        <v>6544532.5158039108</v>
      </c>
      <c r="N1657" s="11">
        <f t="shared" si="131"/>
        <v>1.0385065978144591E-4</v>
      </c>
    </row>
    <row r="1658" spans="1:14" x14ac:dyDescent="0.25">
      <c r="A1658" s="79" t="s">
        <v>36</v>
      </c>
      <c r="B1658" s="89" t="s">
        <v>9</v>
      </c>
      <c r="C1658" s="89" t="s">
        <v>243</v>
      </c>
      <c r="D1658" s="13" t="s">
        <v>12</v>
      </c>
      <c r="E1658" s="35">
        <f>VLOOKUP(B1658, Passenger_Kilometre_by_mode_type[#All],MATCH(A1658, Passenger_Kilometre_by_mode_type[#Headers],0),0)</f>
        <v>213602282.25222278</v>
      </c>
      <c r="F1658" s="89">
        <f>VLOOKUP(C1658, Reason_for_walking_cycling_journeys_by_percentage[#All],MATCH(A1658, Reason_for_walking_cycling_journeys_by_percentage[#Headers],0),0)/100</f>
        <v>7.5499999999999998E-2</v>
      </c>
      <c r="G1658" s="13">
        <f t="shared" si="127"/>
        <v>16126972.310042819</v>
      </c>
      <c r="H1658" s="89">
        <f>VLOOKUP(D1658,Average_Distance_by_kilometre_grouping_for_mode_type[#All],MATCH(A1658,Average_Distance_by_kilometre_grouping_for_mode_type[#Headers],0),0)</f>
        <v>1</v>
      </c>
      <c r="I1658" s="89">
        <f>VLOOKUP(D1658,Average_Distance_by_kilometres_grouping_for_trip_purpose[#All],MATCH(A1658,Average_Distance_by_kilometres_grouping_for_trip_purpose[#Headers],0),0)</f>
        <v>1</v>
      </c>
      <c r="J1658" s="89">
        <f t="shared" si="128"/>
        <v>1</v>
      </c>
      <c r="K1658" s="89">
        <f t="shared" si="129"/>
        <v>1.7176228100309172E-2</v>
      </c>
      <c r="L1658" s="89">
        <v>1</v>
      </c>
      <c r="M1658" s="13">
        <f t="shared" si="130"/>
        <v>277000.55496466538</v>
      </c>
      <c r="N1658" s="11">
        <f t="shared" si="131"/>
        <v>4.395530211430779E-6</v>
      </c>
    </row>
    <row r="1659" spans="1:14" x14ac:dyDescent="0.25">
      <c r="A1659" s="79" t="s">
        <v>36</v>
      </c>
      <c r="B1659" s="89" t="s">
        <v>9</v>
      </c>
      <c r="C1659" s="89" t="s">
        <v>243</v>
      </c>
      <c r="D1659" s="13" t="s">
        <v>181</v>
      </c>
      <c r="E1659" s="35">
        <f>VLOOKUP(B1659, Passenger_Kilometre_by_mode_type[#All],MATCH(A1659, Passenger_Kilometre_by_mode_type[#Headers],0),0)</f>
        <v>213602282.25222278</v>
      </c>
      <c r="F1659" s="89">
        <f>VLOOKUP(C1659, Reason_for_walking_cycling_journeys_by_percentage[#All],MATCH(A1659, Reason_for_walking_cycling_journeys_by_percentage[#Headers],0),0)/100</f>
        <v>7.5499999999999998E-2</v>
      </c>
      <c r="G1659" s="13">
        <f t="shared" si="127"/>
        <v>16126972.310042819</v>
      </c>
      <c r="H1659" s="89">
        <f>VLOOKUP(D1659,Average_Distance_by_kilometre_grouping_for_mode_type[#All],MATCH(A1659,Average_Distance_by_kilometre_grouping_for_mode_type[#Headers],0),0)</f>
        <v>3</v>
      </c>
      <c r="I1659" s="89">
        <f>VLOOKUP(D1659,Average_Distance_by_kilometres_grouping_for_trip_purpose[#All],MATCH(A1659,Average_Distance_by_kilometres_grouping_for_trip_purpose[#Headers],0),0)</f>
        <v>3</v>
      </c>
      <c r="J1659" s="89">
        <f t="shared" si="128"/>
        <v>3</v>
      </c>
      <c r="K1659" s="89">
        <f t="shared" si="129"/>
        <v>5.1528684300927517E-2</v>
      </c>
      <c r="L1659" s="89">
        <v>1</v>
      </c>
      <c r="M1659" s="13">
        <f t="shared" si="130"/>
        <v>831001.6648939962</v>
      </c>
      <c r="N1659" s="11">
        <f t="shared" si="131"/>
        <v>1.3186590634292338E-5</v>
      </c>
    </row>
    <row r="1660" spans="1:14" x14ac:dyDescent="0.25">
      <c r="A1660" s="79" t="s">
        <v>36</v>
      </c>
      <c r="B1660" s="89" t="s">
        <v>9</v>
      </c>
      <c r="C1660" s="89" t="s">
        <v>243</v>
      </c>
      <c r="D1660" s="13" t="s">
        <v>180</v>
      </c>
      <c r="E1660" s="35">
        <f>VLOOKUP(B1660, Passenger_Kilometre_by_mode_type[#All],MATCH(A1660, Passenger_Kilometre_by_mode_type[#Headers],0),0)</f>
        <v>213602282.25222278</v>
      </c>
      <c r="F1660" s="89">
        <f>VLOOKUP(C1660, Reason_for_walking_cycling_journeys_by_percentage[#All],MATCH(A1660, Reason_for_walking_cycling_journeys_by_percentage[#Headers],0),0)/100</f>
        <v>7.5499999999999998E-2</v>
      </c>
      <c r="G1660" s="13">
        <f t="shared" si="127"/>
        <v>16126972.310042819</v>
      </c>
      <c r="H1660" s="89">
        <f>VLOOKUP(D1660,Average_Distance_by_kilometre_grouping_for_mode_type[#All],MATCH(A1660,Average_Distance_by_kilometre_grouping_for_mode_type[#Headers],0),0)</f>
        <v>5</v>
      </c>
      <c r="I1660" s="89">
        <f>VLOOKUP(D1660,Average_Distance_by_kilometres_grouping_for_trip_purpose[#All],MATCH(A1660,Average_Distance_by_kilometres_grouping_for_trip_purpose[#Headers],0),0)</f>
        <v>5</v>
      </c>
      <c r="J1660" s="89">
        <f t="shared" si="128"/>
        <v>5</v>
      </c>
      <c r="K1660" s="89">
        <f t="shared" si="129"/>
        <v>8.5881140501545869E-2</v>
      </c>
      <c r="L1660" s="89">
        <v>1</v>
      </c>
      <c r="M1660" s="13">
        <f t="shared" si="130"/>
        <v>1385002.7748233271</v>
      </c>
      <c r="N1660" s="11">
        <f t="shared" si="131"/>
        <v>2.1977651057153898E-5</v>
      </c>
    </row>
    <row r="1661" spans="1:14" x14ac:dyDescent="0.25">
      <c r="A1661" s="79" t="s">
        <v>36</v>
      </c>
      <c r="B1661" s="89" t="s">
        <v>9</v>
      </c>
      <c r="C1661" s="89" t="s">
        <v>243</v>
      </c>
      <c r="D1661" s="13" t="s">
        <v>182</v>
      </c>
      <c r="E1661" s="35">
        <f>VLOOKUP(B1661, Passenger_Kilometre_by_mode_type[#All],MATCH(A1661, Passenger_Kilometre_by_mode_type[#Headers],0),0)</f>
        <v>213602282.25222278</v>
      </c>
      <c r="F1661" s="89">
        <f>VLOOKUP(C1661, Reason_for_walking_cycling_journeys_by_percentage[#All],MATCH(A1661, Reason_for_walking_cycling_journeys_by_percentage[#Headers],0),0)/100</f>
        <v>7.5499999999999998E-2</v>
      </c>
      <c r="G1661" s="13">
        <f t="shared" si="127"/>
        <v>16126972.310042819</v>
      </c>
      <c r="H1661" s="89">
        <f>VLOOKUP(D1661,Average_Distance_by_kilometre_grouping_for_mode_type[#All],MATCH(A1661,Average_Distance_by_kilometre_grouping_for_mode_type[#Headers],0),0)</f>
        <v>7</v>
      </c>
      <c r="I1661" s="89">
        <f>VLOOKUP(D1661,Average_Distance_by_kilometres_grouping_for_trip_purpose[#All],MATCH(A1661,Average_Distance_by_kilometres_grouping_for_trip_purpose[#Headers],0),0)</f>
        <v>7</v>
      </c>
      <c r="J1661" s="89">
        <f t="shared" si="128"/>
        <v>7</v>
      </c>
      <c r="K1661" s="89">
        <f t="shared" si="129"/>
        <v>0.12023359670216421</v>
      </c>
      <c r="L1661" s="89">
        <v>1</v>
      </c>
      <c r="M1661" s="13">
        <f t="shared" si="130"/>
        <v>1939003.884752658</v>
      </c>
      <c r="N1661" s="11">
        <f t="shared" si="131"/>
        <v>3.0768711480015461E-5</v>
      </c>
    </row>
    <row r="1662" spans="1:14" x14ac:dyDescent="0.25">
      <c r="A1662" s="79" t="s">
        <v>36</v>
      </c>
      <c r="B1662" s="89" t="s">
        <v>9</v>
      </c>
      <c r="C1662" s="89" t="s">
        <v>243</v>
      </c>
      <c r="D1662" s="13" t="s">
        <v>1</v>
      </c>
      <c r="E1662" s="35">
        <f>VLOOKUP(B1662, Passenger_Kilometre_by_mode_type[#All],MATCH(A1662, Passenger_Kilometre_by_mode_type[#Headers],0),0)</f>
        <v>213602282.25222278</v>
      </c>
      <c r="F1662" s="89">
        <f>VLOOKUP(C1662, Reason_for_walking_cycling_journeys_by_percentage[#All],MATCH(A1662, Reason_for_walking_cycling_journeys_by_percentage[#Headers],0),0)/100</f>
        <v>7.5499999999999998E-2</v>
      </c>
      <c r="G1662" s="13">
        <f t="shared" si="127"/>
        <v>16126972.310042819</v>
      </c>
      <c r="H1662" s="89">
        <f>VLOOKUP(D1662,Average_Distance_by_kilometre_grouping_for_mode_type[#All],MATCH(A1662,Average_Distance_by_kilometre_grouping_for_mode_type[#Headers],0),0)</f>
        <v>41.2</v>
      </c>
      <c r="I1662" s="89">
        <f>VLOOKUP(D1662,Average_Distance_by_kilometres_grouping_for_trip_purpose[#All],MATCH(A1662,Average_Distance_by_kilometres_grouping_for_trip_purpose[#Headers],0),0)</f>
        <v>43.24</v>
      </c>
      <c r="J1662" s="89">
        <f t="shared" si="128"/>
        <v>42.22</v>
      </c>
      <c r="K1662" s="89">
        <f t="shared" si="129"/>
        <v>0.72518035039505324</v>
      </c>
      <c r="L1662" s="89">
        <v>1</v>
      </c>
      <c r="M1662" s="13">
        <f t="shared" si="130"/>
        <v>11694963.430608172</v>
      </c>
      <c r="N1662" s="11">
        <f t="shared" si="131"/>
        <v>1.8557928552660749E-4</v>
      </c>
    </row>
    <row r="1663" spans="1:14" x14ac:dyDescent="0.25">
      <c r="A1663" s="79" t="s">
        <v>36</v>
      </c>
      <c r="B1663" s="89" t="s">
        <v>9</v>
      </c>
      <c r="C1663" s="89" t="s">
        <v>50</v>
      </c>
      <c r="D1663" s="13" t="s">
        <v>12</v>
      </c>
      <c r="E1663" s="35">
        <f>VLOOKUP(B1663, Passenger_Kilometre_by_mode_type[#All],MATCH(A1663, Passenger_Kilometre_by_mode_type[#Headers],0),0)</f>
        <v>213602282.25222278</v>
      </c>
      <c r="F1663" s="89">
        <f>VLOOKUP(C1663, Reason_for_walking_cycling_journeys_by_percentage[#All],MATCH(A1663, Reason_for_walking_cycling_journeys_by_percentage[#Headers],0),0)/100</f>
        <v>5.6749999999999995E-2</v>
      </c>
      <c r="G1663" s="13">
        <f t="shared" si="127"/>
        <v>12121929.517813642</v>
      </c>
      <c r="H1663" s="89">
        <f>VLOOKUP(D1663,Average_Distance_by_kilometre_grouping_for_mode_type[#All],MATCH(A1663,Average_Distance_by_kilometre_grouping_for_mode_type[#Headers],0),0)</f>
        <v>1</v>
      </c>
      <c r="I1663" s="89">
        <f>VLOOKUP(D1663,Average_Distance_by_kilometres_grouping_for_trip_purpose[#All],MATCH(A1663,Average_Distance_by_kilometres_grouping_for_trip_purpose[#Headers],0),0)</f>
        <v>1</v>
      </c>
      <c r="J1663" s="89">
        <f t="shared" si="128"/>
        <v>1</v>
      </c>
      <c r="K1663" s="89">
        <f t="shared" si="129"/>
        <v>1.7176228100309172E-2</v>
      </c>
      <c r="L1663" s="89">
        <v>1</v>
      </c>
      <c r="M1663" s="13">
        <f t="shared" si="130"/>
        <v>208209.02641383788</v>
      </c>
      <c r="N1663" s="11">
        <f t="shared" si="131"/>
        <v>3.3039250264728042E-6</v>
      </c>
    </row>
    <row r="1664" spans="1:14" x14ac:dyDescent="0.25">
      <c r="A1664" s="79" t="s">
        <v>36</v>
      </c>
      <c r="B1664" s="89" t="s">
        <v>9</v>
      </c>
      <c r="C1664" s="89" t="s">
        <v>50</v>
      </c>
      <c r="D1664" s="13" t="s">
        <v>181</v>
      </c>
      <c r="E1664" s="35">
        <f>VLOOKUP(B1664, Passenger_Kilometre_by_mode_type[#All],MATCH(A1664, Passenger_Kilometre_by_mode_type[#Headers],0),0)</f>
        <v>213602282.25222278</v>
      </c>
      <c r="F1664" s="89">
        <f>VLOOKUP(C1664, Reason_for_walking_cycling_journeys_by_percentage[#All],MATCH(A1664, Reason_for_walking_cycling_journeys_by_percentage[#Headers],0),0)/100</f>
        <v>5.6749999999999995E-2</v>
      </c>
      <c r="G1664" s="13">
        <f t="shared" si="127"/>
        <v>12121929.517813642</v>
      </c>
      <c r="H1664" s="89">
        <f>VLOOKUP(D1664,Average_Distance_by_kilometre_grouping_for_mode_type[#All],MATCH(A1664,Average_Distance_by_kilometre_grouping_for_mode_type[#Headers],0),0)</f>
        <v>3</v>
      </c>
      <c r="I1664" s="89">
        <f>VLOOKUP(D1664,Average_Distance_by_kilometres_grouping_for_trip_purpose[#All],MATCH(A1664,Average_Distance_by_kilometres_grouping_for_trip_purpose[#Headers],0),0)</f>
        <v>3</v>
      </c>
      <c r="J1664" s="89">
        <f t="shared" si="128"/>
        <v>3</v>
      </c>
      <c r="K1664" s="89">
        <f t="shared" si="129"/>
        <v>5.1528684300927517E-2</v>
      </c>
      <c r="L1664" s="89">
        <v>1</v>
      </c>
      <c r="M1664" s="13">
        <f t="shared" si="130"/>
        <v>624627.07924151362</v>
      </c>
      <c r="N1664" s="11">
        <f t="shared" si="131"/>
        <v>9.9117750794184127E-6</v>
      </c>
    </row>
    <row r="1665" spans="1:14" x14ac:dyDescent="0.25">
      <c r="A1665" s="79" t="s">
        <v>36</v>
      </c>
      <c r="B1665" s="89" t="s">
        <v>9</v>
      </c>
      <c r="C1665" s="89" t="s">
        <v>50</v>
      </c>
      <c r="D1665" s="13" t="s">
        <v>180</v>
      </c>
      <c r="E1665" s="35">
        <f>VLOOKUP(B1665, Passenger_Kilometre_by_mode_type[#All],MATCH(A1665, Passenger_Kilometre_by_mode_type[#Headers],0),0)</f>
        <v>213602282.25222278</v>
      </c>
      <c r="F1665" s="89">
        <f>VLOOKUP(C1665, Reason_for_walking_cycling_journeys_by_percentage[#All],MATCH(A1665, Reason_for_walking_cycling_journeys_by_percentage[#Headers],0),0)/100</f>
        <v>5.6749999999999995E-2</v>
      </c>
      <c r="G1665" s="13">
        <f t="shared" si="127"/>
        <v>12121929.517813642</v>
      </c>
      <c r="H1665" s="89">
        <f>VLOOKUP(D1665,Average_Distance_by_kilometre_grouping_for_mode_type[#All],MATCH(A1665,Average_Distance_by_kilometre_grouping_for_mode_type[#Headers],0),0)</f>
        <v>5</v>
      </c>
      <c r="I1665" s="89">
        <f>VLOOKUP(D1665,Average_Distance_by_kilometres_grouping_for_trip_purpose[#All],MATCH(A1665,Average_Distance_by_kilometres_grouping_for_trip_purpose[#Headers],0),0)</f>
        <v>5</v>
      </c>
      <c r="J1665" s="89">
        <f t="shared" si="128"/>
        <v>5</v>
      </c>
      <c r="K1665" s="89">
        <f t="shared" si="129"/>
        <v>8.5881140501545869E-2</v>
      </c>
      <c r="L1665" s="89">
        <v>1</v>
      </c>
      <c r="M1665" s="13">
        <f t="shared" si="130"/>
        <v>1041045.1320691896</v>
      </c>
      <c r="N1665" s="11">
        <f t="shared" si="131"/>
        <v>1.6519625132364025E-5</v>
      </c>
    </row>
    <row r="1666" spans="1:14" x14ac:dyDescent="0.25">
      <c r="A1666" s="79" t="s">
        <v>36</v>
      </c>
      <c r="B1666" s="89" t="s">
        <v>9</v>
      </c>
      <c r="C1666" s="89" t="s">
        <v>50</v>
      </c>
      <c r="D1666" s="13" t="s">
        <v>182</v>
      </c>
      <c r="E1666" s="35">
        <f>VLOOKUP(B1666, Passenger_Kilometre_by_mode_type[#All],MATCH(A1666, Passenger_Kilometre_by_mode_type[#Headers],0),0)</f>
        <v>213602282.25222278</v>
      </c>
      <c r="F1666" s="89">
        <f>VLOOKUP(C1666, Reason_for_walking_cycling_journeys_by_percentage[#All],MATCH(A1666, Reason_for_walking_cycling_journeys_by_percentage[#Headers],0),0)/100</f>
        <v>5.6749999999999995E-2</v>
      </c>
      <c r="G1666" s="13">
        <f t="shared" si="127"/>
        <v>12121929.517813642</v>
      </c>
      <c r="H1666" s="89">
        <f>VLOOKUP(D1666,Average_Distance_by_kilometre_grouping_for_mode_type[#All],MATCH(A1666,Average_Distance_by_kilometre_grouping_for_mode_type[#Headers],0),0)</f>
        <v>7</v>
      </c>
      <c r="I1666" s="89">
        <f>VLOOKUP(D1666,Average_Distance_by_kilometres_grouping_for_trip_purpose[#All],MATCH(A1666,Average_Distance_by_kilometres_grouping_for_trip_purpose[#Headers],0),0)</f>
        <v>7</v>
      </c>
      <c r="J1666" s="89">
        <f t="shared" si="128"/>
        <v>7</v>
      </c>
      <c r="K1666" s="89">
        <f t="shared" si="129"/>
        <v>0.12023359670216421</v>
      </c>
      <c r="L1666" s="89">
        <v>1</v>
      </c>
      <c r="M1666" s="13">
        <f t="shared" si="130"/>
        <v>1457463.1848968654</v>
      </c>
      <c r="N1666" s="11">
        <f t="shared" si="131"/>
        <v>2.3127475185309633E-5</v>
      </c>
    </row>
    <row r="1667" spans="1:14" x14ac:dyDescent="0.25">
      <c r="A1667" s="79" t="s">
        <v>36</v>
      </c>
      <c r="B1667" s="89" t="s">
        <v>9</v>
      </c>
      <c r="C1667" s="89" t="s">
        <v>50</v>
      </c>
      <c r="D1667" s="13" t="s">
        <v>1</v>
      </c>
      <c r="E1667" s="35">
        <f>VLOOKUP(B1667, Passenger_Kilometre_by_mode_type[#All],MATCH(A1667, Passenger_Kilometre_by_mode_type[#Headers],0),0)</f>
        <v>213602282.25222278</v>
      </c>
      <c r="F1667" s="89">
        <f>VLOOKUP(C1667, Reason_for_walking_cycling_journeys_by_percentage[#All],MATCH(A1667, Reason_for_walking_cycling_journeys_by_percentage[#Headers],0),0)/100</f>
        <v>5.6749999999999995E-2</v>
      </c>
      <c r="G1667" s="13">
        <f t="shared" si="127"/>
        <v>12121929.517813642</v>
      </c>
      <c r="H1667" s="89">
        <f>VLOOKUP(D1667,Average_Distance_by_kilometre_grouping_for_mode_type[#All],MATCH(A1667,Average_Distance_by_kilometre_grouping_for_mode_type[#Headers],0),0)</f>
        <v>41.2</v>
      </c>
      <c r="I1667" s="89">
        <f>VLOOKUP(D1667,Average_Distance_by_kilometres_grouping_for_trip_purpose[#All],MATCH(A1667,Average_Distance_by_kilometres_grouping_for_trip_purpose[#Headers],0),0)</f>
        <v>43.24</v>
      </c>
      <c r="J1667" s="89">
        <f t="shared" si="128"/>
        <v>42.22</v>
      </c>
      <c r="K1667" s="89">
        <f t="shared" si="129"/>
        <v>0.72518035039505324</v>
      </c>
      <c r="L1667" s="89">
        <v>1</v>
      </c>
      <c r="M1667" s="13">
        <f t="shared" si="130"/>
        <v>8790585.095192235</v>
      </c>
      <c r="N1667" s="11">
        <f t="shared" si="131"/>
        <v>1.3949171461768179E-4</v>
      </c>
    </row>
    <row r="1668" spans="1:14" x14ac:dyDescent="0.25">
      <c r="A1668" s="79" t="s">
        <v>36</v>
      </c>
      <c r="B1668" s="89" t="s">
        <v>10</v>
      </c>
      <c r="C1668" s="89" t="s">
        <v>42</v>
      </c>
      <c r="D1668" s="13" t="s">
        <v>12</v>
      </c>
      <c r="E1668" s="35">
        <f>VLOOKUP(B1668, Passenger_Kilometre_by_mode_type[#All],MATCH(A1668, Passenger_Kilometre_by_mode_type[#Headers],0),0)</f>
        <v>2074583126.9798479</v>
      </c>
      <c r="F1668" s="89">
        <f>VLOOKUP(C1668, Reason_for_public_transport_journeys_by_percentage[#All],MATCH(A1668, Reason_for_public_transport_journeys_by_percentage[#Headers],0),0)/100</f>
        <v>0.32174999999999998</v>
      </c>
      <c r="G1668" s="13">
        <f t="shared" ref="G1668:G1731" si="132">E1668*F1668</f>
        <v>667497121.10576606</v>
      </c>
      <c r="H1668" s="89">
        <f>VLOOKUP(D1668,Average_Distance_by_kilometre_grouping_for_mode_type[#All],MATCH(A1668,Average_Distance_by_kilometre_grouping_for_mode_type[#Headers],0),0)</f>
        <v>1</v>
      </c>
      <c r="I1668" s="89">
        <f>VLOOKUP(D1668,Average_Distance_by_kilometres_grouping_for_trip_purpose[#All],MATCH(A1668,Average_Distance_by_kilometres_grouping_for_trip_purpose[#Headers],0),0)</f>
        <v>1</v>
      </c>
      <c r="J1668" s="89">
        <f t="shared" ref="J1668:J1731" si="133">AVERAGE(H1668:I1668)</f>
        <v>1</v>
      </c>
      <c r="K1668" s="89">
        <f t="shared" ref="K1668:K1731" si="134">J1668/SUM(J1668:J1672)</f>
        <v>1.7176228100309172E-2</v>
      </c>
      <c r="L1668" s="89">
        <v>1</v>
      </c>
      <c r="M1668" s="13">
        <f t="shared" ref="M1668:M1731" si="135">G1668*K1668*L1668</f>
        <v>11465082.808412334</v>
      </c>
      <c r="N1668" s="11">
        <f t="shared" si="131"/>
        <v>1.8193146893644504E-4</v>
      </c>
    </row>
    <row r="1669" spans="1:14" x14ac:dyDescent="0.25">
      <c r="A1669" s="79" t="s">
        <v>36</v>
      </c>
      <c r="B1669" s="89" t="s">
        <v>10</v>
      </c>
      <c r="C1669" s="89" t="s">
        <v>42</v>
      </c>
      <c r="D1669" s="13" t="s">
        <v>181</v>
      </c>
      <c r="E1669" s="35">
        <f>VLOOKUP(B1669, Passenger_Kilometre_by_mode_type[#All],MATCH(A1669, Passenger_Kilometre_by_mode_type[#Headers],0),0)</f>
        <v>2074583126.9798479</v>
      </c>
      <c r="F1669" s="89">
        <f>VLOOKUP(C1669, Reason_for_public_transport_journeys_by_percentage[#All],MATCH(A1669, Reason_for_public_transport_journeys_by_percentage[#Headers],0),0)/100</f>
        <v>0.32174999999999998</v>
      </c>
      <c r="G1669" s="13">
        <f t="shared" si="132"/>
        <v>667497121.10576606</v>
      </c>
      <c r="H1669" s="89">
        <f>VLOOKUP(D1669,Average_Distance_by_kilometre_grouping_for_mode_type[#All],MATCH(A1669,Average_Distance_by_kilometre_grouping_for_mode_type[#Headers],0),0)</f>
        <v>3</v>
      </c>
      <c r="I1669" s="89">
        <f>VLOOKUP(D1669,Average_Distance_by_kilometres_grouping_for_trip_purpose[#All],MATCH(A1669,Average_Distance_by_kilometres_grouping_for_trip_purpose[#Headers],0),0)</f>
        <v>3</v>
      </c>
      <c r="J1669" s="89">
        <f t="shared" si="133"/>
        <v>3</v>
      </c>
      <c r="K1669" s="89">
        <f t="shared" si="134"/>
        <v>5.1528684300927517E-2</v>
      </c>
      <c r="L1669" s="89">
        <v>1</v>
      </c>
      <c r="M1669" s="13">
        <f t="shared" si="135"/>
        <v>34395248.425237</v>
      </c>
      <c r="N1669" s="11">
        <f t="shared" si="131"/>
        <v>5.4579440680933508E-4</v>
      </c>
    </row>
    <row r="1670" spans="1:14" x14ac:dyDescent="0.25">
      <c r="A1670" s="79" t="s">
        <v>36</v>
      </c>
      <c r="B1670" s="89" t="s">
        <v>10</v>
      </c>
      <c r="C1670" s="89" t="s">
        <v>42</v>
      </c>
      <c r="D1670" s="13" t="s">
        <v>180</v>
      </c>
      <c r="E1670" s="35">
        <f>VLOOKUP(B1670, Passenger_Kilometre_by_mode_type[#All],MATCH(A1670, Passenger_Kilometre_by_mode_type[#Headers],0),0)</f>
        <v>2074583126.9798479</v>
      </c>
      <c r="F1670" s="89">
        <f>VLOOKUP(C1670, Reason_for_public_transport_journeys_by_percentage[#All],MATCH(A1670, Reason_for_public_transport_journeys_by_percentage[#Headers],0),0)/100</f>
        <v>0.32174999999999998</v>
      </c>
      <c r="G1670" s="13">
        <f t="shared" si="132"/>
        <v>667497121.10576606</v>
      </c>
      <c r="H1670" s="89">
        <f>VLOOKUP(D1670,Average_Distance_by_kilometre_grouping_for_mode_type[#All],MATCH(A1670,Average_Distance_by_kilometre_grouping_for_mode_type[#Headers],0),0)</f>
        <v>5</v>
      </c>
      <c r="I1670" s="89">
        <f>VLOOKUP(D1670,Average_Distance_by_kilometres_grouping_for_trip_purpose[#All],MATCH(A1670,Average_Distance_by_kilometres_grouping_for_trip_purpose[#Headers],0),0)</f>
        <v>5</v>
      </c>
      <c r="J1670" s="89">
        <f t="shared" si="133"/>
        <v>5</v>
      </c>
      <c r="K1670" s="89">
        <f t="shared" si="134"/>
        <v>8.5881140501545869E-2</v>
      </c>
      <c r="L1670" s="89">
        <v>1</v>
      </c>
      <c r="M1670" s="13">
        <f t="shared" si="135"/>
        <v>57325414.042061672</v>
      </c>
      <c r="N1670" s="11">
        <f t="shared" si="131"/>
        <v>9.0965734468222528E-4</v>
      </c>
    </row>
    <row r="1671" spans="1:14" x14ac:dyDescent="0.25">
      <c r="A1671" s="79" t="s">
        <v>36</v>
      </c>
      <c r="B1671" s="89" t="s">
        <v>10</v>
      </c>
      <c r="C1671" s="89" t="s">
        <v>42</v>
      </c>
      <c r="D1671" s="13" t="s">
        <v>182</v>
      </c>
      <c r="E1671" s="35">
        <f>VLOOKUP(B1671, Passenger_Kilometre_by_mode_type[#All],MATCH(A1671, Passenger_Kilometre_by_mode_type[#Headers],0),0)</f>
        <v>2074583126.9798479</v>
      </c>
      <c r="F1671" s="89">
        <f>VLOOKUP(C1671, Reason_for_public_transport_journeys_by_percentage[#All],MATCH(A1671, Reason_for_public_transport_journeys_by_percentage[#Headers],0),0)/100</f>
        <v>0.32174999999999998</v>
      </c>
      <c r="G1671" s="13">
        <f t="shared" si="132"/>
        <v>667497121.10576606</v>
      </c>
      <c r="H1671" s="89">
        <f>VLOOKUP(D1671,Average_Distance_by_kilometre_grouping_for_mode_type[#All],MATCH(A1671,Average_Distance_by_kilometre_grouping_for_mode_type[#Headers],0),0)</f>
        <v>7</v>
      </c>
      <c r="I1671" s="89">
        <f>VLOOKUP(D1671,Average_Distance_by_kilometres_grouping_for_trip_purpose[#All],MATCH(A1671,Average_Distance_by_kilometres_grouping_for_trip_purpose[#Headers],0),0)</f>
        <v>7</v>
      </c>
      <c r="J1671" s="89">
        <f t="shared" si="133"/>
        <v>7</v>
      </c>
      <c r="K1671" s="89">
        <f t="shared" si="134"/>
        <v>0.12023359670216421</v>
      </c>
      <c r="L1671" s="89">
        <v>1</v>
      </c>
      <c r="M1671" s="13">
        <f t="shared" si="135"/>
        <v>80255579.658886343</v>
      </c>
      <c r="N1671" s="11">
        <f t="shared" si="131"/>
        <v>1.2735202825551154E-3</v>
      </c>
    </row>
    <row r="1672" spans="1:14" x14ac:dyDescent="0.25">
      <c r="A1672" s="79" t="s">
        <v>36</v>
      </c>
      <c r="B1672" s="89" t="s">
        <v>10</v>
      </c>
      <c r="C1672" s="89" t="s">
        <v>42</v>
      </c>
      <c r="D1672" s="13" t="s">
        <v>1</v>
      </c>
      <c r="E1672" s="35">
        <f>VLOOKUP(B1672, Passenger_Kilometre_by_mode_type[#All],MATCH(A1672, Passenger_Kilometre_by_mode_type[#Headers],0),0)</f>
        <v>2074583126.9798479</v>
      </c>
      <c r="F1672" s="89">
        <f>VLOOKUP(C1672, Reason_for_public_transport_journeys_by_percentage[#All],MATCH(A1672, Reason_for_public_transport_journeys_by_percentage[#Headers],0),0)/100</f>
        <v>0.32174999999999998</v>
      </c>
      <c r="G1672" s="13">
        <f t="shared" si="132"/>
        <v>667497121.10576606</v>
      </c>
      <c r="H1672" s="89">
        <f>VLOOKUP(D1672,Average_Distance_by_kilometre_grouping_for_mode_type[#All],MATCH(A1672,Average_Distance_by_kilometre_grouping_for_mode_type[#Headers],0),0)</f>
        <v>41.2</v>
      </c>
      <c r="I1672" s="89">
        <f>VLOOKUP(D1672,Average_Distance_by_kilometres_grouping_for_trip_purpose[#All],MATCH(A1672,Average_Distance_by_kilometres_grouping_for_trip_purpose[#Headers],0),0)</f>
        <v>43.24</v>
      </c>
      <c r="J1672" s="89">
        <f t="shared" si="133"/>
        <v>42.22</v>
      </c>
      <c r="K1672" s="89">
        <f t="shared" si="134"/>
        <v>0.72518035039505324</v>
      </c>
      <c r="L1672" s="89">
        <v>1</v>
      </c>
      <c r="M1672" s="13">
        <f t="shared" si="135"/>
        <v>484055796.17116874</v>
      </c>
      <c r="N1672" s="11">
        <f t="shared" si="131"/>
        <v>7.6811466184967094E-3</v>
      </c>
    </row>
    <row r="1673" spans="1:14" x14ac:dyDescent="0.25">
      <c r="A1673" s="79" t="s">
        <v>36</v>
      </c>
      <c r="B1673" s="89" t="s">
        <v>10</v>
      </c>
      <c r="C1673" s="89" t="s">
        <v>43</v>
      </c>
      <c r="D1673" s="13" t="s">
        <v>12</v>
      </c>
      <c r="E1673" s="35">
        <f>VLOOKUP(B1673, Passenger_Kilometre_by_mode_type[#All],MATCH(A1673, Passenger_Kilometre_by_mode_type[#Headers],0),0)</f>
        <v>2074583126.9798479</v>
      </c>
      <c r="F1673" s="89">
        <f>VLOOKUP(C1673, Reason_for_public_transport_journeys_by_percentage[#All],MATCH(A1673, Reason_for_public_transport_journeys_by_percentage[#Headers],0),0)/100</f>
        <v>0.1585</v>
      </c>
      <c r="G1673" s="13">
        <f t="shared" si="132"/>
        <v>328821425.62630588</v>
      </c>
      <c r="H1673" s="89">
        <f>VLOOKUP(D1673,Average_Distance_by_kilometre_grouping_for_mode_type[#All],MATCH(A1673,Average_Distance_by_kilometre_grouping_for_mode_type[#Headers],0),0)</f>
        <v>1</v>
      </c>
      <c r="I1673" s="89">
        <f>VLOOKUP(D1673,Average_Distance_by_kilometres_grouping_for_trip_purpose[#All],MATCH(A1673,Average_Distance_by_kilometres_grouping_for_trip_purpose[#Headers],0),0)</f>
        <v>1</v>
      </c>
      <c r="J1673" s="89">
        <f t="shared" si="133"/>
        <v>1</v>
      </c>
      <c r="K1673" s="89">
        <f t="shared" si="134"/>
        <v>1.7176228100309172E-2</v>
      </c>
      <c r="L1673" s="89">
        <v>1</v>
      </c>
      <c r="M1673" s="13">
        <f t="shared" si="135"/>
        <v>5647911.8108262774</v>
      </c>
      <c r="N1673" s="11">
        <f t="shared" si="131"/>
        <v>8.9622805987339658E-5</v>
      </c>
    </row>
    <row r="1674" spans="1:14" x14ac:dyDescent="0.25">
      <c r="A1674" s="79" t="s">
        <v>36</v>
      </c>
      <c r="B1674" s="89" t="s">
        <v>10</v>
      </c>
      <c r="C1674" s="89" t="s">
        <v>43</v>
      </c>
      <c r="D1674" s="13" t="s">
        <v>181</v>
      </c>
      <c r="E1674" s="35">
        <f>VLOOKUP(B1674, Passenger_Kilometre_by_mode_type[#All],MATCH(A1674, Passenger_Kilometre_by_mode_type[#Headers],0),0)</f>
        <v>2074583126.9798479</v>
      </c>
      <c r="F1674" s="89">
        <f>VLOOKUP(C1674, Reason_for_public_transport_journeys_by_percentage[#All],MATCH(A1674, Reason_for_public_transport_journeys_by_percentage[#Headers],0),0)/100</f>
        <v>0.1585</v>
      </c>
      <c r="G1674" s="13">
        <f t="shared" si="132"/>
        <v>328821425.62630588</v>
      </c>
      <c r="H1674" s="89">
        <f>VLOOKUP(D1674,Average_Distance_by_kilometre_grouping_for_mode_type[#All],MATCH(A1674,Average_Distance_by_kilometre_grouping_for_mode_type[#Headers],0),0)</f>
        <v>3</v>
      </c>
      <c r="I1674" s="89">
        <f>VLOOKUP(D1674,Average_Distance_by_kilometres_grouping_for_trip_purpose[#All],MATCH(A1674,Average_Distance_by_kilometres_grouping_for_trip_purpose[#Headers],0),0)</f>
        <v>3</v>
      </c>
      <c r="J1674" s="89">
        <f t="shared" si="133"/>
        <v>3</v>
      </c>
      <c r="K1674" s="89">
        <f t="shared" si="134"/>
        <v>5.1528684300927517E-2</v>
      </c>
      <c r="L1674" s="89">
        <v>1</v>
      </c>
      <c r="M1674" s="13">
        <f t="shared" si="135"/>
        <v>16943735.432478834</v>
      </c>
      <c r="N1674" s="11">
        <f t="shared" si="131"/>
        <v>2.6886841796201901E-4</v>
      </c>
    </row>
    <row r="1675" spans="1:14" x14ac:dyDescent="0.25">
      <c r="A1675" s="79" t="s">
        <v>36</v>
      </c>
      <c r="B1675" s="89" t="s">
        <v>10</v>
      </c>
      <c r="C1675" s="89" t="s">
        <v>43</v>
      </c>
      <c r="D1675" s="13" t="s">
        <v>180</v>
      </c>
      <c r="E1675" s="35">
        <f>VLOOKUP(B1675, Passenger_Kilometre_by_mode_type[#All],MATCH(A1675, Passenger_Kilometre_by_mode_type[#Headers],0),0)</f>
        <v>2074583126.9798479</v>
      </c>
      <c r="F1675" s="89">
        <f>VLOOKUP(C1675, Reason_for_public_transport_journeys_by_percentage[#All],MATCH(A1675, Reason_for_public_transport_journeys_by_percentage[#Headers],0),0)/100</f>
        <v>0.1585</v>
      </c>
      <c r="G1675" s="13">
        <f t="shared" si="132"/>
        <v>328821425.62630588</v>
      </c>
      <c r="H1675" s="89">
        <f>VLOOKUP(D1675,Average_Distance_by_kilometre_grouping_for_mode_type[#All],MATCH(A1675,Average_Distance_by_kilometre_grouping_for_mode_type[#Headers],0),0)</f>
        <v>5</v>
      </c>
      <c r="I1675" s="89">
        <f>VLOOKUP(D1675,Average_Distance_by_kilometres_grouping_for_trip_purpose[#All],MATCH(A1675,Average_Distance_by_kilometres_grouping_for_trip_purpose[#Headers],0),0)</f>
        <v>5</v>
      </c>
      <c r="J1675" s="89">
        <f t="shared" si="133"/>
        <v>5</v>
      </c>
      <c r="K1675" s="89">
        <f t="shared" si="134"/>
        <v>8.5881140501545869E-2</v>
      </c>
      <c r="L1675" s="89">
        <v>1</v>
      </c>
      <c r="M1675" s="13">
        <f t="shared" si="135"/>
        <v>28239559.054131389</v>
      </c>
      <c r="N1675" s="11">
        <f t="shared" si="131"/>
        <v>4.4811402993669836E-4</v>
      </c>
    </row>
    <row r="1676" spans="1:14" x14ac:dyDescent="0.25">
      <c r="A1676" s="79" t="s">
        <v>36</v>
      </c>
      <c r="B1676" s="89" t="s">
        <v>10</v>
      </c>
      <c r="C1676" s="89" t="s">
        <v>43</v>
      </c>
      <c r="D1676" s="13" t="s">
        <v>182</v>
      </c>
      <c r="E1676" s="35">
        <f>VLOOKUP(B1676, Passenger_Kilometre_by_mode_type[#All],MATCH(A1676, Passenger_Kilometre_by_mode_type[#Headers],0),0)</f>
        <v>2074583126.9798479</v>
      </c>
      <c r="F1676" s="89">
        <f>VLOOKUP(C1676, Reason_for_public_transport_journeys_by_percentage[#All],MATCH(A1676, Reason_for_public_transport_journeys_by_percentage[#Headers],0),0)/100</f>
        <v>0.1585</v>
      </c>
      <c r="G1676" s="13">
        <f t="shared" si="132"/>
        <v>328821425.62630588</v>
      </c>
      <c r="H1676" s="89">
        <f>VLOOKUP(D1676,Average_Distance_by_kilometre_grouping_for_mode_type[#All],MATCH(A1676,Average_Distance_by_kilometre_grouping_for_mode_type[#Headers],0),0)</f>
        <v>7</v>
      </c>
      <c r="I1676" s="89">
        <f>VLOOKUP(D1676,Average_Distance_by_kilometres_grouping_for_trip_purpose[#All],MATCH(A1676,Average_Distance_by_kilometres_grouping_for_trip_purpose[#Headers],0),0)</f>
        <v>7</v>
      </c>
      <c r="J1676" s="89">
        <f t="shared" si="133"/>
        <v>7</v>
      </c>
      <c r="K1676" s="89">
        <f t="shared" si="134"/>
        <v>0.12023359670216421</v>
      </c>
      <c r="L1676" s="89">
        <v>1</v>
      </c>
      <c r="M1676" s="13">
        <f t="shared" si="135"/>
        <v>39535382.675783947</v>
      </c>
      <c r="N1676" s="11">
        <f t="shared" si="131"/>
        <v>6.2735964191137775E-4</v>
      </c>
    </row>
    <row r="1677" spans="1:14" x14ac:dyDescent="0.25">
      <c r="A1677" s="79" t="s">
        <v>36</v>
      </c>
      <c r="B1677" s="89" t="s">
        <v>10</v>
      </c>
      <c r="C1677" s="89" t="s">
        <v>43</v>
      </c>
      <c r="D1677" s="13" t="s">
        <v>1</v>
      </c>
      <c r="E1677" s="35">
        <f>VLOOKUP(B1677, Passenger_Kilometre_by_mode_type[#All],MATCH(A1677, Passenger_Kilometre_by_mode_type[#Headers],0),0)</f>
        <v>2074583126.9798479</v>
      </c>
      <c r="F1677" s="89">
        <f>VLOOKUP(C1677, Reason_for_public_transport_journeys_by_percentage[#All],MATCH(A1677, Reason_for_public_transport_journeys_by_percentage[#Headers],0),0)/100</f>
        <v>0.1585</v>
      </c>
      <c r="G1677" s="13">
        <f t="shared" si="132"/>
        <v>328821425.62630588</v>
      </c>
      <c r="H1677" s="89">
        <f>VLOOKUP(D1677,Average_Distance_by_kilometre_grouping_for_mode_type[#All],MATCH(A1677,Average_Distance_by_kilometre_grouping_for_mode_type[#Headers],0),0)</f>
        <v>41.2</v>
      </c>
      <c r="I1677" s="89">
        <f>VLOOKUP(D1677,Average_Distance_by_kilometres_grouping_for_trip_purpose[#All],MATCH(A1677,Average_Distance_by_kilometres_grouping_for_trip_purpose[#Headers],0),0)</f>
        <v>43.24</v>
      </c>
      <c r="J1677" s="89">
        <f t="shared" si="133"/>
        <v>42.22</v>
      </c>
      <c r="K1677" s="89">
        <f t="shared" si="134"/>
        <v>0.72518035039505324</v>
      </c>
      <c r="L1677" s="89">
        <v>1</v>
      </c>
      <c r="M1677" s="13">
        <f t="shared" si="135"/>
        <v>238454836.65308544</v>
      </c>
      <c r="N1677" s="11">
        <f t="shared" si="131"/>
        <v>3.7838748687854806E-3</v>
      </c>
    </row>
    <row r="1678" spans="1:14" x14ac:dyDescent="0.25">
      <c r="A1678" s="79" t="s">
        <v>36</v>
      </c>
      <c r="B1678" s="89" t="s">
        <v>10</v>
      </c>
      <c r="C1678" s="89" t="s">
        <v>44</v>
      </c>
      <c r="D1678" s="13" t="s">
        <v>12</v>
      </c>
      <c r="E1678" s="35">
        <f>VLOOKUP(B1678, Passenger_Kilometre_by_mode_type[#All],MATCH(A1678, Passenger_Kilometre_by_mode_type[#Headers],0),0)</f>
        <v>2074583126.9798479</v>
      </c>
      <c r="F1678" s="89">
        <f>VLOOKUP(C1678, Reason_for_public_transport_journeys_by_percentage[#All],MATCH(A1678, Reason_for_public_transport_journeys_by_percentage[#Headers],0),0)/100</f>
        <v>0.19150000000000003</v>
      </c>
      <c r="G1678" s="13">
        <f t="shared" si="132"/>
        <v>397282668.81664091</v>
      </c>
      <c r="H1678" s="89">
        <f>VLOOKUP(D1678,Average_Distance_by_kilometre_grouping_for_mode_type[#All],MATCH(A1678,Average_Distance_by_kilometre_grouping_for_mode_type[#Headers],0),0)</f>
        <v>1</v>
      </c>
      <c r="I1678" s="89">
        <f>VLOOKUP(D1678,Average_Distance_by_kilometres_grouping_for_trip_purpose[#All],MATCH(A1678,Average_Distance_by_kilometres_grouping_for_trip_purpose[#Headers],0),0)</f>
        <v>1</v>
      </c>
      <c r="J1678" s="89">
        <f t="shared" si="133"/>
        <v>1</v>
      </c>
      <c r="K1678" s="89">
        <f t="shared" si="134"/>
        <v>1.7176228100309172E-2</v>
      </c>
      <c r="L1678" s="89">
        <v>1</v>
      </c>
      <c r="M1678" s="13">
        <f t="shared" si="135"/>
        <v>6823817.7398942104</v>
      </c>
      <c r="N1678" s="11">
        <f t="shared" si="131"/>
        <v>1.0828244382697507E-4</v>
      </c>
    </row>
    <row r="1679" spans="1:14" x14ac:dyDescent="0.25">
      <c r="A1679" s="79" t="s">
        <v>36</v>
      </c>
      <c r="B1679" s="89" t="s">
        <v>10</v>
      </c>
      <c r="C1679" s="89" t="s">
        <v>44</v>
      </c>
      <c r="D1679" s="13" t="s">
        <v>181</v>
      </c>
      <c r="E1679" s="35">
        <f>VLOOKUP(B1679, Passenger_Kilometre_by_mode_type[#All],MATCH(A1679, Passenger_Kilometre_by_mode_type[#Headers],0),0)</f>
        <v>2074583126.9798479</v>
      </c>
      <c r="F1679" s="89">
        <f>VLOOKUP(C1679, Reason_for_public_transport_journeys_by_percentage[#All],MATCH(A1679, Reason_for_public_transport_journeys_by_percentage[#Headers],0),0)/100</f>
        <v>0.19150000000000003</v>
      </c>
      <c r="G1679" s="13">
        <f t="shared" si="132"/>
        <v>397282668.81664091</v>
      </c>
      <c r="H1679" s="89">
        <f>VLOOKUP(D1679,Average_Distance_by_kilometre_grouping_for_mode_type[#All],MATCH(A1679,Average_Distance_by_kilometre_grouping_for_mode_type[#Headers],0),0)</f>
        <v>3</v>
      </c>
      <c r="I1679" s="89">
        <f>VLOOKUP(D1679,Average_Distance_by_kilometres_grouping_for_trip_purpose[#All],MATCH(A1679,Average_Distance_by_kilometres_grouping_for_trip_purpose[#Headers],0),0)</f>
        <v>3</v>
      </c>
      <c r="J1679" s="89">
        <f t="shared" si="133"/>
        <v>3</v>
      </c>
      <c r="K1679" s="89">
        <f t="shared" si="134"/>
        <v>5.1528684300927517E-2</v>
      </c>
      <c r="L1679" s="89">
        <v>1</v>
      </c>
      <c r="M1679" s="13">
        <f t="shared" si="135"/>
        <v>20471453.21968263</v>
      </c>
      <c r="N1679" s="11">
        <f t="shared" si="131"/>
        <v>3.2484733148092519E-4</v>
      </c>
    </row>
    <row r="1680" spans="1:14" x14ac:dyDescent="0.25">
      <c r="A1680" s="79" t="s">
        <v>36</v>
      </c>
      <c r="B1680" s="89" t="s">
        <v>10</v>
      </c>
      <c r="C1680" s="89" t="s">
        <v>44</v>
      </c>
      <c r="D1680" s="13" t="s">
        <v>180</v>
      </c>
      <c r="E1680" s="35">
        <f>VLOOKUP(B1680, Passenger_Kilometre_by_mode_type[#All],MATCH(A1680, Passenger_Kilometre_by_mode_type[#Headers],0),0)</f>
        <v>2074583126.9798479</v>
      </c>
      <c r="F1680" s="89">
        <f>VLOOKUP(C1680, Reason_for_public_transport_journeys_by_percentage[#All],MATCH(A1680, Reason_for_public_transport_journeys_by_percentage[#Headers],0),0)/100</f>
        <v>0.19150000000000003</v>
      </c>
      <c r="G1680" s="13">
        <f t="shared" si="132"/>
        <v>397282668.81664091</v>
      </c>
      <c r="H1680" s="89">
        <f>VLOOKUP(D1680,Average_Distance_by_kilometre_grouping_for_mode_type[#All],MATCH(A1680,Average_Distance_by_kilometre_grouping_for_mode_type[#Headers],0),0)</f>
        <v>5</v>
      </c>
      <c r="I1680" s="89">
        <f>VLOOKUP(D1680,Average_Distance_by_kilometres_grouping_for_trip_purpose[#All],MATCH(A1680,Average_Distance_by_kilometres_grouping_for_trip_purpose[#Headers],0),0)</f>
        <v>5</v>
      </c>
      <c r="J1680" s="89">
        <f t="shared" si="133"/>
        <v>5</v>
      </c>
      <c r="K1680" s="89">
        <f t="shared" si="134"/>
        <v>8.5881140501545869E-2</v>
      </c>
      <c r="L1680" s="89">
        <v>1</v>
      </c>
      <c r="M1680" s="13">
        <f t="shared" si="135"/>
        <v>34119088.699471056</v>
      </c>
      <c r="N1680" s="11">
        <f t="shared" si="131"/>
        <v>5.4141221913487541E-4</v>
      </c>
    </row>
    <row r="1681" spans="1:14" x14ac:dyDescent="0.25">
      <c r="A1681" s="79" t="s">
        <v>36</v>
      </c>
      <c r="B1681" s="89" t="s">
        <v>10</v>
      </c>
      <c r="C1681" s="89" t="s">
        <v>44</v>
      </c>
      <c r="D1681" s="13" t="s">
        <v>182</v>
      </c>
      <c r="E1681" s="35">
        <f>VLOOKUP(B1681, Passenger_Kilometre_by_mode_type[#All],MATCH(A1681, Passenger_Kilometre_by_mode_type[#Headers],0),0)</f>
        <v>2074583126.9798479</v>
      </c>
      <c r="F1681" s="89">
        <f>VLOOKUP(C1681, Reason_for_public_transport_journeys_by_percentage[#All],MATCH(A1681, Reason_for_public_transport_journeys_by_percentage[#Headers],0),0)/100</f>
        <v>0.19150000000000003</v>
      </c>
      <c r="G1681" s="13">
        <f t="shared" si="132"/>
        <v>397282668.81664091</v>
      </c>
      <c r="H1681" s="89">
        <f>VLOOKUP(D1681,Average_Distance_by_kilometre_grouping_for_mode_type[#All],MATCH(A1681,Average_Distance_by_kilometre_grouping_for_mode_type[#Headers],0),0)</f>
        <v>7</v>
      </c>
      <c r="I1681" s="89">
        <f>VLOOKUP(D1681,Average_Distance_by_kilometres_grouping_for_trip_purpose[#All],MATCH(A1681,Average_Distance_by_kilometres_grouping_for_trip_purpose[#Headers],0),0)</f>
        <v>7</v>
      </c>
      <c r="J1681" s="89">
        <f t="shared" si="133"/>
        <v>7</v>
      </c>
      <c r="K1681" s="89">
        <f t="shared" si="134"/>
        <v>0.12023359670216421</v>
      </c>
      <c r="L1681" s="89">
        <v>1</v>
      </c>
      <c r="M1681" s="13">
        <f t="shared" si="135"/>
        <v>47766724.179259472</v>
      </c>
      <c r="N1681" s="11">
        <f t="shared" si="131"/>
        <v>7.5797710678882546E-4</v>
      </c>
    </row>
    <row r="1682" spans="1:14" x14ac:dyDescent="0.25">
      <c r="A1682" s="79" t="s">
        <v>36</v>
      </c>
      <c r="B1682" s="89" t="s">
        <v>10</v>
      </c>
      <c r="C1682" s="89" t="s">
        <v>44</v>
      </c>
      <c r="D1682" s="13" t="s">
        <v>1</v>
      </c>
      <c r="E1682" s="35">
        <f>VLOOKUP(B1682, Passenger_Kilometre_by_mode_type[#All],MATCH(A1682, Passenger_Kilometre_by_mode_type[#Headers],0),0)</f>
        <v>2074583126.9798479</v>
      </c>
      <c r="F1682" s="89">
        <f>VLOOKUP(C1682, Reason_for_public_transport_journeys_by_percentage[#All],MATCH(A1682, Reason_for_public_transport_journeys_by_percentage[#Headers],0),0)/100</f>
        <v>0.19150000000000003</v>
      </c>
      <c r="G1682" s="13">
        <f t="shared" si="132"/>
        <v>397282668.81664091</v>
      </c>
      <c r="H1682" s="89">
        <f>VLOOKUP(D1682,Average_Distance_by_kilometre_grouping_for_mode_type[#All],MATCH(A1682,Average_Distance_by_kilometre_grouping_for_mode_type[#Headers],0),0)</f>
        <v>41.2</v>
      </c>
      <c r="I1682" s="89">
        <f>VLOOKUP(D1682,Average_Distance_by_kilometres_grouping_for_trip_purpose[#All],MATCH(A1682,Average_Distance_by_kilometres_grouping_for_trip_purpose[#Headers],0),0)</f>
        <v>43.24</v>
      </c>
      <c r="J1682" s="89">
        <f t="shared" si="133"/>
        <v>42.22</v>
      </c>
      <c r="K1682" s="89">
        <f t="shared" si="134"/>
        <v>0.72518035039505324</v>
      </c>
      <c r="L1682" s="89">
        <v>1</v>
      </c>
      <c r="M1682" s="13">
        <f t="shared" si="135"/>
        <v>288101584.97833353</v>
      </c>
      <c r="N1682" s="11">
        <f t="shared" si="131"/>
        <v>4.5716847783748866E-3</v>
      </c>
    </row>
    <row r="1683" spans="1:14" x14ac:dyDescent="0.25">
      <c r="A1683" s="79" t="s">
        <v>36</v>
      </c>
      <c r="B1683" s="89" t="s">
        <v>10</v>
      </c>
      <c r="C1683" s="89" t="s">
        <v>45</v>
      </c>
      <c r="D1683" s="13" t="s">
        <v>12</v>
      </c>
      <c r="E1683" s="35">
        <f>VLOOKUP(B1683, Passenger_Kilometre_by_mode_type[#All],MATCH(A1683, Passenger_Kilometre_by_mode_type[#Headers],0),0)</f>
        <v>2074583126.9798479</v>
      </c>
      <c r="F1683" s="89">
        <f>VLOOKUP(C1683, Reason_for_public_transport_journeys_by_percentage[#All],MATCH(A1683, Reason_for_public_transport_journeys_by_percentage[#Headers],0),0)/100</f>
        <v>3.4000000000000002E-2</v>
      </c>
      <c r="G1683" s="13">
        <f t="shared" si="132"/>
        <v>70535826.317314833</v>
      </c>
      <c r="H1683" s="89">
        <f>VLOOKUP(D1683,Average_Distance_by_kilometre_grouping_for_mode_type[#All],MATCH(A1683,Average_Distance_by_kilometre_grouping_for_mode_type[#Headers],0),0)</f>
        <v>1</v>
      </c>
      <c r="I1683" s="89">
        <f>VLOOKUP(D1683,Average_Distance_by_kilometres_grouping_for_trip_purpose[#All],MATCH(A1683,Average_Distance_by_kilometres_grouping_for_trip_purpose[#Headers],0),0)</f>
        <v>1</v>
      </c>
      <c r="J1683" s="89">
        <f t="shared" si="133"/>
        <v>1</v>
      </c>
      <c r="K1683" s="89">
        <f t="shared" si="134"/>
        <v>1.7176228100309172E-2</v>
      </c>
      <c r="L1683" s="89">
        <v>1</v>
      </c>
      <c r="M1683" s="13">
        <f t="shared" si="135"/>
        <v>1211539.4420699903</v>
      </c>
      <c r="N1683" s="11">
        <f t="shared" si="131"/>
        <v>1.9225081410533432E-5</v>
      </c>
    </row>
    <row r="1684" spans="1:14" x14ac:dyDescent="0.25">
      <c r="A1684" s="79" t="s">
        <v>36</v>
      </c>
      <c r="B1684" s="89" t="s">
        <v>10</v>
      </c>
      <c r="C1684" s="89" t="s">
        <v>45</v>
      </c>
      <c r="D1684" s="13" t="s">
        <v>181</v>
      </c>
      <c r="E1684" s="35">
        <f>VLOOKUP(B1684, Passenger_Kilometre_by_mode_type[#All],MATCH(A1684, Passenger_Kilometre_by_mode_type[#Headers],0),0)</f>
        <v>2074583126.9798479</v>
      </c>
      <c r="F1684" s="89">
        <f>VLOOKUP(C1684, Reason_for_public_transport_journeys_by_percentage[#All],MATCH(A1684, Reason_for_public_transport_journeys_by_percentage[#Headers],0),0)/100</f>
        <v>3.4000000000000002E-2</v>
      </c>
      <c r="G1684" s="13">
        <f t="shared" si="132"/>
        <v>70535826.317314833</v>
      </c>
      <c r="H1684" s="89">
        <f>VLOOKUP(D1684,Average_Distance_by_kilometre_grouping_for_mode_type[#All],MATCH(A1684,Average_Distance_by_kilometre_grouping_for_mode_type[#Headers],0),0)</f>
        <v>3</v>
      </c>
      <c r="I1684" s="89">
        <f>VLOOKUP(D1684,Average_Distance_by_kilometres_grouping_for_trip_purpose[#All],MATCH(A1684,Average_Distance_by_kilometres_grouping_for_trip_purpose[#Headers],0),0)</f>
        <v>3</v>
      </c>
      <c r="J1684" s="89">
        <f t="shared" si="133"/>
        <v>3</v>
      </c>
      <c r="K1684" s="89">
        <f t="shared" si="134"/>
        <v>5.1528684300927517E-2</v>
      </c>
      <c r="L1684" s="89">
        <v>1</v>
      </c>
      <c r="M1684" s="13">
        <f t="shared" si="135"/>
        <v>3634618.3262099707</v>
      </c>
      <c r="N1684" s="11">
        <f t="shared" si="131"/>
        <v>5.7675244231600295E-5</v>
      </c>
    </row>
    <row r="1685" spans="1:14" x14ac:dyDescent="0.25">
      <c r="A1685" s="79" t="s">
        <v>36</v>
      </c>
      <c r="B1685" s="89" t="s">
        <v>10</v>
      </c>
      <c r="C1685" s="89" t="s">
        <v>45</v>
      </c>
      <c r="D1685" s="13" t="s">
        <v>180</v>
      </c>
      <c r="E1685" s="35">
        <f>VLOOKUP(B1685, Passenger_Kilometre_by_mode_type[#All],MATCH(A1685, Passenger_Kilometre_by_mode_type[#Headers],0),0)</f>
        <v>2074583126.9798479</v>
      </c>
      <c r="F1685" s="89">
        <f>VLOOKUP(C1685, Reason_for_public_transport_journeys_by_percentage[#All],MATCH(A1685, Reason_for_public_transport_journeys_by_percentage[#Headers],0),0)/100</f>
        <v>3.4000000000000002E-2</v>
      </c>
      <c r="G1685" s="13">
        <f t="shared" si="132"/>
        <v>70535826.317314833</v>
      </c>
      <c r="H1685" s="89">
        <f>VLOOKUP(D1685,Average_Distance_by_kilometre_grouping_for_mode_type[#All],MATCH(A1685,Average_Distance_by_kilometre_grouping_for_mode_type[#Headers],0),0)</f>
        <v>5</v>
      </c>
      <c r="I1685" s="89">
        <f>VLOOKUP(D1685,Average_Distance_by_kilometres_grouping_for_trip_purpose[#All],MATCH(A1685,Average_Distance_by_kilometres_grouping_for_trip_purpose[#Headers],0),0)</f>
        <v>5</v>
      </c>
      <c r="J1685" s="89">
        <f t="shared" si="133"/>
        <v>5</v>
      </c>
      <c r="K1685" s="89">
        <f t="shared" si="134"/>
        <v>8.5881140501545869E-2</v>
      </c>
      <c r="L1685" s="89">
        <v>1</v>
      </c>
      <c r="M1685" s="13">
        <f t="shared" si="135"/>
        <v>6057697.2103499519</v>
      </c>
      <c r="N1685" s="11">
        <f t="shared" si="131"/>
        <v>9.6125407052667172E-5</v>
      </c>
    </row>
    <row r="1686" spans="1:14" x14ac:dyDescent="0.25">
      <c r="A1686" s="79" t="s">
        <v>36</v>
      </c>
      <c r="B1686" s="89" t="s">
        <v>10</v>
      </c>
      <c r="C1686" s="89" t="s">
        <v>45</v>
      </c>
      <c r="D1686" s="13" t="s">
        <v>182</v>
      </c>
      <c r="E1686" s="35">
        <f>VLOOKUP(B1686, Passenger_Kilometre_by_mode_type[#All],MATCH(A1686, Passenger_Kilometre_by_mode_type[#Headers],0),0)</f>
        <v>2074583126.9798479</v>
      </c>
      <c r="F1686" s="89">
        <f>VLOOKUP(C1686, Reason_for_public_transport_journeys_by_percentage[#All],MATCH(A1686, Reason_for_public_transport_journeys_by_percentage[#Headers],0),0)/100</f>
        <v>3.4000000000000002E-2</v>
      </c>
      <c r="G1686" s="13">
        <f t="shared" si="132"/>
        <v>70535826.317314833</v>
      </c>
      <c r="H1686" s="89">
        <f>VLOOKUP(D1686,Average_Distance_by_kilometre_grouping_for_mode_type[#All],MATCH(A1686,Average_Distance_by_kilometre_grouping_for_mode_type[#Headers],0),0)</f>
        <v>7</v>
      </c>
      <c r="I1686" s="89">
        <f>VLOOKUP(D1686,Average_Distance_by_kilometres_grouping_for_trip_purpose[#All],MATCH(A1686,Average_Distance_by_kilometres_grouping_for_trip_purpose[#Headers],0),0)</f>
        <v>7</v>
      </c>
      <c r="J1686" s="89">
        <f t="shared" si="133"/>
        <v>7</v>
      </c>
      <c r="K1686" s="89">
        <f t="shared" si="134"/>
        <v>0.12023359670216421</v>
      </c>
      <c r="L1686" s="89">
        <v>1</v>
      </c>
      <c r="M1686" s="13">
        <f t="shared" si="135"/>
        <v>8480776.0944899321</v>
      </c>
      <c r="N1686" s="11">
        <f t="shared" si="131"/>
        <v>1.3457556987373404E-4</v>
      </c>
    </row>
    <row r="1687" spans="1:14" x14ac:dyDescent="0.25">
      <c r="A1687" s="79" t="s">
        <v>36</v>
      </c>
      <c r="B1687" s="89" t="s">
        <v>10</v>
      </c>
      <c r="C1687" s="89" t="s">
        <v>45</v>
      </c>
      <c r="D1687" s="13" t="s">
        <v>1</v>
      </c>
      <c r="E1687" s="35">
        <f>VLOOKUP(B1687, Passenger_Kilometre_by_mode_type[#All],MATCH(A1687, Passenger_Kilometre_by_mode_type[#Headers],0),0)</f>
        <v>2074583126.9798479</v>
      </c>
      <c r="F1687" s="89">
        <f>VLOOKUP(C1687, Reason_for_public_transport_journeys_by_percentage[#All],MATCH(A1687, Reason_for_public_transport_journeys_by_percentage[#Headers],0),0)/100</f>
        <v>3.4000000000000002E-2</v>
      </c>
      <c r="G1687" s="13">
        <f t="shared" si="132"/>
        <v>70535826.317314833</v>
      </c>
      <c r="H1687" s="89">
        <f>VLOOKUP(D1687,Average_Distance_by_kilometre_grouping_for_mode_type[#All],MATCH(A1687,Average_Distance_by_kilometre_grouping_for_mode_type[#Headers],0),0)</f>
        <v>41.2</v>
      </c>
      <c r="I1687" s="89">
        <f>VLOOKUP(D1687,Average_Distance_by_kilometres_grouping_for_trip_purpose[#All],MATCH(A1687,Average_Distance_by_kilometres_grouping_for_trip_purpose[#Headers],0),0)</f>
        <v>43.24</v>
      </c>
      <c r="J1687" s="89">
        <f t="shared" si="133"/>
        <v>42.22</v>
      </c>
      <c r="K1687" s="89">
        <f t="shared" si="134"/>
        <v>0.72518035039505324</v>
      </c>
      <c r="L1687" s="89">
        <v>1</v>
      </c>
      <c r="M1687" s="13">
        <f t="shared" si="135"/>
        <v>51151195.244194992</v>
      </c>
      <c r="N1687" s="11">
        <f t="shared" si="131"/>
        <v>8.1168293715272151E-4</v>
      </c>
    </row>
    <row r="1688" spans="1:14" x14ac:dyDescent="0.25">
      <c r="A1688" s="79" t="s">
        <v>36</v>
      </c>
      <c r="B1688" s="89" t="s">
        <v>10</v>
      </c>
      <c r="C1688" s="89" t="s">
        <v>56</v>
      </c>
      <c r="D1688" s="13" t="s">
        <v>12</v>
      </c>
      <c r="E1688" s="35">
        <f>VLOOKUP(B1688, Passenger_Kilometre_by_mode_type[#All],MATCH(A1688, Passenger_Kilometre_by_mode_type[#Headers],0),0)</f>
        <v>2074583126.9798479</v>
      </c>
      <c r="F1688" s="89">
        <f>VLOOKUP(C1688, Reason_for_public_transport_journeys_by_percentage[#All],MATCH(A1688, Reason_for_public_transport_journeys_by_percentage[#Headers],0),0)/100</f>
        <v>7.0750000000000007E-2</v>
      </c>
      <c r="G1688" s="13">
        <f t="shared" si="132"/>
        <v>146776756.23382425</v>
      </c>
      <c r="H1688" s="89">
        <f>VLOOKUP(D1688,Average_Distance_by_kilometre_grouping_for_mode_type[#All],MATCH(A1688,Average_Distance_by_kilometre_grouping_for_mode_type[#Headers],0),0)</f>
        <v>1</v>
      </c>
      <c r="I1688" s="89">
        <f>VLOOKUP(D1688,Average_Distance_by_kilometres_grouping_for_trip_purpose[#All],MATCH(A1688,Average_Distance_by_kilometres_grouping_for_trip_purpose[#Headers],0),0)</f>
        <v>1</v>
      </c>
      <c r="J1688" s="89">
        <f t="shared" si="133"/>
        <v>1</v>
      </c>
      <c r="K1688" s="89">
        <f t="shared" si="134"/>
        <v>1.7176228100309172E-2</v>
      </c>
      <c r="L1688" s="89">
        <v>1</v>
      </c>
      <c r="M1688" s="13">
        <f t="shared" si="135"/>
        <v>2521071.0448956415</v>
      </c>
      <c r="N1688" s="11">
        <f t="shared" si="131"/>
        <v>4.0005132641036481E-5</v>
      </c>
    </row>
    <row r="1689" spans="1:14" x14ac:dyDescent="0.25">
      <c r="A1689" s="79" t="s">
        <v>36</v>
      </c>
      <c r="B1689" s="89" t="s">
        <v>10</v>
      </c>
      <c r="C1689" s="89" t="s">
        <v>56</v>
      </c>
      <c r="D1689" s="13" t="s">
        <v>181</v>
      </c>
      <c r="E1689" s="35">
        <f>VLOOKUP(B1689, Passenger_Kilometre_by_mode_type[#All],MATCH(A1689, Passenger_Kilometre_by_mode_type[#Headers],0),0)</f>
        <v>2074583126.9798479</v>
      </c>
      <c r="F1689" s="89">
        <f>VLOOKUP(C1689, Reason_for_public_transport_journeys_by_percentage[#All],MATCH(A1689, Reason_for_public_transport_journeys_by_percentage[#Headers],0),0)/100</f>
        <v>7.0750000000000007E-2</v>
      </c>
      <c r="G1689" s="13">
        <f t="shared" si="132"/>
        <v>146776756.23382425</v>
      </c>
      <c r="H1689" s="89">
        <f>VLOOKUP(D1689,Average_Distance_by_kilometre_grouping_for_mode_type[#All],MATCH(A1689,Average_Distance_by_kilometre_grouping_for_mode_type[#Headers],0),0)</f>
        <v>3</v>
      </c>
      <c r="I1689" s="89">
        <f>VLOOKUP(D1689,Average_Distance_by_kilometres_grouping_for_trip_purpose[#All],MATCH(A1689,Average_Distance_by_kilometres_grouping_for_trip_purpose[#Headers],0),0)</f>
        <v>3</v>
      </c>
      <c r="J1689" s="89">
        <f t="shared" si="133"/>
        <v>3</v>
      </c>
      <c r="K1689" s="89">
        <f t="shared" si="134"/>
        <v>5.1528684300927517E-2</v>
      </c>
      <c r="L1689" s="89">
        <v>1</v>
      </c>
      <c r="M1689" s="13">
        <f t="shared" si="135"/>
        <v>7563213.1346869245</v>
      </c>
      <c r="N1689" s="11">
        <f t="shared" si="131"/>
        <v>1.2001539792310943E-4</v>
      </c>
    </row>
    <row r="1690" spans="1:14" x14ac:dyDescent="0.25">
      <c r="A1690" s="79" t="s">
        <v>36</v>
      </c>
      <c r="B1690" s="89" t="s">
        <v>10</v>
      </c>
      <c r="C1690" s="89" t="s">
        <v>56</v>
      </c>
      <c r="D1690" s="13" t="s">
        <v>180</v>
      </c>
      <c r="E1690" s="35">
        <f>VLOOKUP(B1690, Passenger_Kilometre_by_mode_type[#All],MATCH(A1690, Passenger_Kilometre_by_mode_type[#Headers],0),0)</f>
        <v>2074583126.9798479</v>
      </c>
      <c r="F1690" s="89">
        <f>VLOOKUP(C1690, Reason_for_public_transport_journeys_by_percentage[#All],MATCH(A1690, Reason_for_public_transport_journeys_by_percentage[#Headers],0),0)/100</f>
        <v>7.0750000000000007E-2</v>
      </c>
      <c r="G1690" s="13">
        <f t="shared" si="132"/>
        <v>146776756.23382425</v>
      </c>
      <c r="H1690" s="89">
        <f>VLOOKUP(D1690,Average_Distance_by_kilometre_grouping_for_mode_type[#All],MATCH(A1690,Average_Distance_by_kilometre_grouping_for_mode_type[#Headers],0),0)</f>
        <v>5</v>
      </c>
      <c r="I1690" s="89">
        <f>VLOOKUP(D1690,Average_Distance_by_kilometres_grouping_for_trip_purpose[#All],MATCH(A1690,Average_Distance_by_kilometres_grouping_for_trip_purpose[#Headers],0),0)</f>
        <v>5</v>
      </c>
      <c r="J1690" s="89">
        <f t="shared" si="133"/>
        <v>5</v>
      </c>
      <c r="K1690" s="89">
        <f t="shared" si="134"/>
        <v>8.5881140501545869E-2</v>
      </c>
      <c r="L1690" s="89">
        <v>1</v>
      </c>
      <c r="M1690" s="13">
        <f t="shared" si="135"/>
        <v>12605355.224478209</v>
      </c>
      <c r="N1690" s="11">
        <f t="shared" si="131"/>
        <v>2.0002566320518242E-4</v>
      </c>
    </row>
    <row r="1691" spans="1:14" x14ac:dyDescent="0.25">
      <c r="A1691" s="79" t="s">
        <v>36</v>
      </c>
      <c r="B1691" s="89" t="s">
        <v>10</v>
      </c>
      <c r="C1691" s="89" t="s">
        <v>56</v>
      </c>
      <c r="D1691" s="13" t="s">
        <v>182</v>
      </c>
      <c r="E1691" s="35">
        <f>VLOOKUP(B1691, Passenger_Kilometre_by_mode_type[#All],MATCH(A1691, Passenger_Kilometre_by_mode_type[#Headers],0),0)</f>
        <v>2074583126.9798479</v>
      </c>
      <c r="F1691" s="89">
        <f>VLOOKUP(C1691, Reason_for_public_transport_journeys_by_percentage[#All],MATCH(A1691, Reason_for_public_transport_journeys_by_percentage[#Headers],0),0)/100</f>
        <v>7.0750000000000007E-2</v>
      </c>
      <c r="G1691" s="13">
        <f t="shared" si="132"/>
        <v>146776756.23382425</v>
      </c>
      <c r="H1691" s="89">
        <f>VLOOKUP(D1691,Average_Distance_by_kilometre_grouping_for_mode_type[#All],MATCH(A1691,Average_Distance_by_kilometre_grouping_for_mode_type[#Headers],0),0)</f>
        <v>7</v>
      </c>
      <c r="I1691" s="89">
        <f>VLOOKUP(D1691,Average_Distance_by_kilometres_grouping_for_trip_purpose[#All],MATCH(A1691,Average_Distance_by_kilometres_grouping_for_trip_purpose[#Headers],0),0)</f>
        <v>7</v>
      </c>
      <c r="J1691" s="89">
        <f t="shared" si="133"/>
        <v>7</v>
      </c>
      <c r="K1691" s="89">
        <f t="shared" si="134"/>
        <v>0.12023359670216421</v>
      </c>
      <c r="L1691" s="89">
        <v>1</v>
      </c>
      <c r="M1691" s="13">
        <f t="shared" si="135"/>
        <v>17647497.314269494</v>
      </c>
      <c r="N1691" s="11">
        <f t="shared" si="131"/>
        <v>2.8003592848725544E-4</v>
      </c>
    </row>
    <row r="1692" spans="1:14" x14ac:dyDescent="0.25">
      <c r="A1692" s="79" t="s">
        <v>36</v>
      </c>
      <c r="B1692" s="89" t="s">
        <v>10</v>
      </c>
      <c r="C1692" s="89" t="s">
        <v>56</v>
      </c>
      <c r="D1692" s="13" t="s">
        <v>1</v>
      </c>
      <c r="E1692" s="35">
        <f>VLOOKUP(B1692, Passenger_Kilometre_by_mode_type[#All],MATCH(A1692, Passenger_Kilometre_by_mode_type[#Headers],0),0)</f>
        <v>2074583126.9798479</v>
      </c>
      <c r="F1692" s="89">
        <f>VLOOKUP(C1692, Reason_for_public_transport_journeys_by_percentage[#All],MATCH(A1692, Reason_for_public_transport_journeys_by_percentage[#Headers],0),0)/100</f>
        <v>7.0750000000000007E-2</v>
      </c>
      <c r="G1692" s="13">
        <f t="shared" si="132"/>
        <v>146776756.23382425</v>
      </c>
      <c r="H1692" s="89">
        <f>VLOOKUP(D1692,Average_Distance_by_kilometre_grouping_for_mode_type[#All],MATCH(A1692,Average_Distance_by_kilometre_grouping_for_mode_type[#Headers],0),0)</f>
        <v>41.2</v>
      </c>
      <c r="I1692" s="89">
        <f>VLOOKUP(D1692,Average_Distance_by_kilometres_grouping_for_trip_purpose[#All],MATCH(A1692,Average_Distance_by_kilometres_grouping_for_trip_purpose[#Headers],0),0)</f>
        <v>43.24</v>
      </c>
      <c r="J1692" s="89">
        <f t="shared" si="133"/>
        <v>42.22</v>
      </c>
      <c r="K1692" s="89">
        <f t="shared" si="134"/>
        <v>0.72518035039505324</v>
      </c>
      <c r="L1692" s="89">
        <v>1</v>
      </c>
      <c r="M1692" s="13">
        <f t="shared" si="135"/>
        <v>106439619.51549399</v>
      </c>
      <c r="N1692" s="11">
        <f t="shared" si="131"/>
        <v>1.6890167001045603E-3</v>
      </c>
    </row>
    <row r="1693" spans="1:14" x14ac:dyDescent="0.25">
      <c r="A1693" s="79" t="s">
        <v>36</v>
      </c>
      <c r="B1693" s="89" t="s">
        <v>10</v>
      </c>
      <c r="C1693" s="89" t="s">
        <v>57</v>
      </c>
      <c r="D1693" s="13" t="s">
        <v>12</v>
      </c>
      <c r="E1693" s="35">
        <f>VLOOKUP(B1693, Passenger_Kilometre_by_mode_type[#All],MATCH(A1693, Passenger_Kilometre_by_mode_type[#Headers],0),0)</f>
        <v>2074583126.9798479</v>
      </c>
      <c r="F1693" s="89">
        <f>VLOOKUP(C1693, Reason_for_public_transport_journeys_by_percentage[#All],MATCH(A1693, Reason_for_public_transport_journeys_by_percentage[#Headers],0),0)/100</f>
        <v>9.375E-2</v>
      </c>
      <c r="G1693" s="13">
        <f t="shared" si="132"/>
        <v>194492168.15436074</v>
      </c>
      <c r="H1693" s="89">
        <f>VLOOKUP(D1693,Average_Distance_by_kilometre_grouping_for_mode_type[#All],MATCH(A1693,Average_Distance_by_kilometre_grouping_for_mode_type[#Headers],0),0)</f>
        <v>1</v>
      </c>
      <c r="I1693" s="89">
        <f>VLOOKUP(D1693,Average_Distance_by_kilometres_grouping_for_trip_purpose[#All],MATCH(A1693,Average_Distance_by_kilometres_grouping_for_trip_purpose[#Headers],0),0)</f>
        <v>1</v>
      </c>
      <c r="J1693" s="89">
        <f t="shared" si="133"/>
        <v>1</v>
      </c>
      <c r="K1693" s="89">
        <f t="shared" si="134"/>
        <v>1.7176228100309172E-2</v>
      </c>
      <c r="L1693" s="89">
        <v>1</v>
      </c>
      <c r="M1693" s="13">
        <f t="shared" si="135"/>
        <v>3340641.8439429877</v>
      </c>
      <c r="N1693" s="11">
        <f t="shared" si="131"/>
        <v>5.3010334771691443E-5</v>
      </c>
    </row>
    <row r="1694" spans="1:14" x14ac:dyDescent="0.25">
      <c r="A1694" s="79" t="s">
        <v>36</v>
      </c>
      <c r="B1694" s="89" t="s">
        <v>10</v>
      </c>
      <c r="C1694" s="89" t="s">
        <v>57</v>
      </c>
      <c r="D1694" s="13" t="s">
        <v>181</v>
      </c>
      <c r="E1694" s="35">
        <f>VLOOKUP(B1694, Passenger_Kilometre_by_mode_type[#All],MATCH(A1694, Passenger_Kilometre_by_mode_type[#Headers],0),0)</f>
        <v>2074583126.9798479</v>
      </c>
      <c r="F1694" s="89">
        <f>VLOOKUP(C1694, Reason_for_public_transport_journeys_by_percentage[#All],MATCH(A1694, Reason_for_public_transport_journeys_by_percentage[#Headers],0),0)/100</f>
        <v>9.375E-2</v>
      </c>
      <c r="G1694" s="13">
        <f t="shared" si="132"/>
        <v>194492168.15436074</v>
      </c>
      <c r="H1694" s="89">
        <f>VLOOKUP(D1694,Average_Distance_by_kilometre_grouping_for_mode_type[#All],MATCH(A1694,Average_Distance_by_kilometre_grouping_for_mode_type[#Headers],0),0)</f>
        <v>3</v>
      </c>
      <c r="I1694" s="89">
        <f>VLOOKUP(D1694,Average_Distance_by_kilometres_grouping_for_trip_purpose[#All],MATCH(A1694,Average_Distance_by_kilometres_grouping_for_trip_purpose[#Headers],0),0)</f>
        <v>3</v>
      </c>
      <c r="J1694" s="89">
        <f t="shared" si="133"/>
        <v>3</v>
      </c>
      <c r="K1694" s="89">
        <f t="shared" si="134"/>
        <v>5.1528684300927517E-2</v>
      </c>
      <c r="L1694" s="89">
        <v>1</v>
      </c>
      <c r="M1694" s="13">
        <f t="shared" si="135"/>
        <v>10021925.531828962</v>
      </c>
      <c r="N1694" s="11">
        <f t="shared" si="131"/>
        <v>1.5903100431507433E-4</v>
      </c>
    </row>
    <row r="1695" spans="1:14" x14ac:dyDescent="0.25">
      <c r="A1695" s="79" t="s">
        <v>36</v>
      </c>
      <c r="B1695" s="89" t="s">
        <v>10</v>
      </c>
      <c r="C1695" s="89" t="s">
        <v>57</v>
      </c>
      <c r="D1695" s="13" t="s">
        <v>180</v>
      </c>
      <c r="E1695" s="35">
        <f>VLOOKUP(B1695, Passenger_Kilometre_by_mode_type[#All],MATCH(A1695, Passenger_Kilometre_by_mode_type[#Headers],0),0)</f>
        <v>2074583126.9798479</v>
      </c>
      <c r="F1695" s="89">
        <f>VLOOKUP(C1695, Reason_for_public_transport_journeys_by_percentage[#All],MATCH(A1695, Reason_for_public_transport_journeys_by_percentage[#Headers],0),0)/100</f>
        <v>9.375E-2</v>
      </c>
      <c r="G1695" s="13">
        <f t="shared" si="132"/>
        <v>194492168.15436074</v>
      </c>
      <c r="H1695" s="89">
        <f>VLOOKUP(D1695,Average_Distance_by_kilometre_grouping_for_mode_type[#All],MATCH(A1695,Average_Distance_by_kilometre_grouping_for_mode_type[#Headers],0),0)</f>
        <v>5</v>
      </c>
      <c r="I1695" s="89">
        <f>VLOOKUP(D1695,Average_Distance_by_kilometres_grouping_for_trip_purpose[#All],MATCH(A1695,Average_Distance_by_kilometres_grouping_for_trip_purpose[#Headers],0),0)</f>
        <v>5</v>
      </c>
      <c r="J1695" s="89">
        <f t="shared" si="133"/>
        <v>5</v>
      </c>
      <c r="K1695" s="89">
        <f t="shared" si="134"/>
        <v>8.5881140501545869E-2</v>
      </c>
      <c r="L1695" s="89">
        <v>1</v>
      </c>
      <c r="M1695" s="13">
        <f t="shared" si="135"/>
        <v>16703209.21971494</v>
      </c>
      <c r="N1695" s="11">
        <f t="shared" si="131"/>
        <v>2.6505167385845724E-4</v>
      </c>
    </row>
    <row r="1696" spans="1:14" x14ac:dyDescent="0.25">
      <c r="A1696" s="79" t="s">
        <v>36</v>
      </c>
      <c r="B1696" s="89" t="s">
        <v>10</v>
      </c>
      <c r="C1696" s="89" t="s">
        <v>57</v>
      </c>
      <c r="D1696" s="13" t="s">
        <v>182</v>
      </c>
      <c r="E1696" s="35">
        <f>VLOOKUP(B1696, Passenger_Kilometre_by_mode_type[#All],MATCH(A1696, Passenger_Kilometre_by_mode_type[#Headers],0),0)</f>
        <v>2074583126.9798479</v>
      </c>
      <c r="F1696" s="89">
        <f>VLOOKUP(C1696, Reason_for_public_transport_journeys_by_percentage[#All],MATCH(A1696, Reason_for_public_transport_journeys_by_percentage[#Headers],0),0)/100</f>
        <v>9.375E-2</v>
      </c>
      <c r="G1696" s="13">
        <f t="shared" si="132"/>
        <v>194492168.15436074</v>
      </c>
      <c r="H1696" s="89">
        <f>VLOOKUP(D1696,Average_Distance_by_kilometre_grouping_for_mode_type[#All],MATCH(A1696,Average_Distance_by_kilometre_grouping_for_mode_type[#Headers],0),0)</f>
        <v>7</v>
      </c>
      <c r="I1696" s="89">
        <f>VLOOKUP(D1696,Average_Distance_by_kilometres_grouping_for_trip_purpose[#All],MATCH(A1696,Average_Distance_by_kilometres_grouping_for_trip_purpose[#Headers],0),0)</f>
        <v>7</v>
      </c>
      <c r="J1696" s="89">
        <f t="shared" si="133"/>
        <v>7</v>
      </c>
      <c r="K1696" s="89">
        <f t="shared" si="134"/>
        <v>0.12023359670216421</v>
      </c>
      <c r="L1696" s="89">
        <v>1</v>
      </c>
      <c r="M1696" s="13">
        <f t="shared" si="135"/>
        <v>23384492.907600917</v>
      </c>
      <c r="N1696" s="11">
        <f t="shared" si="131"/>
        <v>3.7107234340184018E-4</v>
      </c>
    </row>
    <row r="1697" spans="1:14" x14ac:dyDescent="0.25">
      <c r="A1697" s="79" t="s">
        <v>36</v>
      </c>
      <c r="B1697" s="89" t="s">
        <v>10</v>
      </c>
      <c r="C1697" s="89" t="s">
        <v>57</v>
      </c>
      <c r="D1697" s="13" t="s">
        <v>1</v>
      </c>
      <c r="E1697" s="35">
        <f>VLOOKUP(B1697, Passenger_Kilometre_by_mode_type[#All],MATCH(A1697, Passenger_Kilometre_by_mode_type[#Headers],0),0)</f>
        <v>2074583126.9798479</v>
      </c>
      <c r="F1697" s="89">
        <f>VLOOKUP(C1697, Reason_for_public_transport_journeys_by_percentage[#All],MATCH(A1697, Reason_for_public_transport_journeys_by_percentage[#Headers],0),0)/100</f>
        <v>9.375E-2</v>
      </c>
      <c r="G1697" s="13">
        <f t="shared" si="132"/>
        <v>194492168.15436074</v>
      </c>
      <c r="H1697" s="89">
        <f>VLOOKUP(D1697,Average_Distance_by_kilometre_grouping_for_mode_type[#All],MATCH(A1697,Average_Distance_by_kilometre_grouping_for_mode_type[#Headers],0),0)</f>
        <v>41.2</v>
      </c>
      <c r="I1697" s="89">
        <f>VLOOKUP(D1697,Average_Distance_by_kilometres_grouping_for_trip_purpose[#All],MATCH(A1697,Average_Distance_by_kilometres_grouping_for_trip_purpose[#Headers],0),0)</f>
        <v>43.24</v>
      </c>
      <c r="J1697" s="89">
        <f t="shared" si="133"/>
        <v>42.22</v>
      </c>
      <c r="K1697" s="89">
        <f t="shared" si="134"/>
        <v>0.72518035039505324</v>
      </c>
      <c r="L1697" s="89">
        <v>1</v>
      </c>
      <c r="M1697" s="13">
        <f t="shared" si="135"/>
        <v>141041898.65127295</v>
      </c>
      <c r="N1697" s="11">
        <f t="shared" si="131"/>
        <v>2.238096334060813E-3</v>
      </c>
    </row>
    <row r="1698" spans="1:14" x14ac:dyDescent="0.25">
      <c r="A1698" s="79" t="s">
        <v>36</v>
      </c>
      <c r="B1698" s="89" t="s">
        <v>10</v>
      </c>
      <c r="C1698" s="89" t="s">
        <v>93</v>
      </c>
      <c r="D1698" s="13" t="s">
        <v>12</v>
      </c>
      <c r="E1698" s="35">
        <f>VLOOKUP(B1698, Passenger_Kilometre_by_mode_type[#All],MATCH(A1698, Passenger_Kilometre_by_mode_type[#Headers],0),0)</f>
        <v>2074583126.9798479</v>
      </c>
      <c r="F1698" s="89">
        <f>VLOOKUP(C1698, Reason_for_public_transport_journeys_by_percentage[#All],MATCH(A1698, Reason_for_public_transport_journeys_by_percentage[#Headers],0),0)/100</f>
        <v>4.5749999999999992E-2</v>
      </c>
      <c r="G1698" s="13">
        <f t="shared" si="132"/>
        <v>94912178.05932802</v>
      </c>
      <c r="H1698" s="89">
        <f>VLOOKUP(D1698,Average_Distance_by_kilometre_grouping_for_mode_type[#All],MATCH(A1698,Average_Distance_by_kilometre_grouping_for_mode_type[#Headers],0),0)</f>
        <v>1</v>
      </c>
      <c r="I1698" s="89">
        <f>VLOOKUP(D1698,Average_Distance_by_kilometres_grouping_for_trip_purpose[#All],MATCH(A1698,Average_Distance_by_kilometres_grouping_for_trip_purpose[#Headers],0),0)</f>
        <v>1</v>
      </c>
      <c r="J1698" s="89">
        <f t="shared" si="133"/>
        <v>1</v>
      </c>
      <c r="K1698" s="89">
        <f t="shared" si="134"/>
        <v>1.7176228100309172E-2</v>
      </c>
      <c r="L1698" s="89">
        <v>1</v>
      </c>
      <c r="M1698" s="13">
        <f t="shared" si="135"/>
        <v>1630233.2198441776</v>
      </c>
      <c r="N1698" s="11">
        <f t="shared" si="131"/>
        <v>2.5869043368585418E-5</v>
      </c>
    </row>
    <row r="1699" spans="1:14" x14ac:dyDescent="0.25">
      <c r="A1699" s="79" t="s">
        <v>36</v>
      </c>
      <c r="B1699" s="89" t="s">
        <v>10</v>
      </c>
      <c r="C1699" s="89" t="s">
        <v>93</v>
      </c>
      <c r="D1699" s="13" t="s">
        <v>181</v>
      </c>
      <c r="E1699" s="35">
        <f>VLOOKUP(B1699, Passenger_Kilometre_by_mode_type[#All],MATCH(A1699, Passenger_Kilometre_by_mode_type[#Headers],0),0)</f>
        <v>2074583126.9798479</v>
      </c>
      <c r="F1699" s="89">
        <f>VLOOKUP(C1699, Reason_for_public_transport_journeys_by_percentage[#All],MATCH(A1699, Reason_for_public_transport_journeys_by_percentage[#Headers],0),0)/100</f>
        <v>4.5749999999999992E-2</v>
      </c>
      <c r="G1699" s="13">
        <f t="shared" si="132"/>
        <v>94912178.05932802</v>
      </c>
      <c r="H1699" s="89">
        <f>VLOOKUP(D1699,Average_Distance_by_kilometre_grouping_for_mode_type[#All],MATCH(A1699,Average_Distance_by_kilometre_grouping_for_mode_type[#Headers],0),0)</f>
        <v>3</v>
      </c>
      <c r="I1699" s="89">
        <f>VLOOKUP(D1699,Average_Distance_by_kilometres_grouping_for_trip_purpose[#All],MATCH(A1699,Average_Distance_by_kilometres_grouping_for_trip_purpose[#Headers],0),0)</f>
        <v>3</v>
      </c>
      <c r="J1699" s="89">
        <f t="shared" si="133"/>
        <v>3</v>
      </c>
      <c r="K1699" s="89">
        <f t="shared" si="134"/>
        <v>5.1528684300927517E-2</v>
      </c>
      <c r="L1699" s="89">
        <v>1</v>
      </c>
      <c r="M1699" s="13">
        <f t="shared" si="135"/>
        <v>4890699.659532533</v>
      </c>
      <c r="N1699" s="11">
        <f t="shared" si="131"/>
        <v>7.7607130105756265E-5</v>
      </c>
    </row>
    <row r="1700" spans="1:14" x14ac:dyDescent="0.25">
      <c r="A1700" s="79" t="s">
        <v>36</v>
      </c>
      <c r="B1700" s="89" t="s">
        <v>10</v>
      </c>
      <c r="C1700" s="89" t="s">
        <v>93</v>
      </c>
      <c r="D1700" s="13" t="s">
        <v>180</v>
      </c>
      <c r="E1700" s="35">
        <f>VLOOKUP(B1700, Passenger_Kilometre_by_mode_type[#All],MATCH(A1700, Passenger_Kilometre_by_mode_type[#Headers],0),0)</f>
        <v>2074583126.9798479</v>
      </c>
      <c r="F1700" s="89">
        <f>VLOOKUP(C1700, Reason_for_public_transport_journeys_by_percentage[#All],MATCH(A1700, Reason_for_public_transport_journeys_by_percentage[#Headers],0),0)/100</f>
        <v>4.5749999999999992E-2</v>
      </c>
      <c r="G1700" s="13">
        <f t="shared" si="132"/>
        <v>94912178.05932802</v>
      </c>
      <c r="H1700" s="89">
        <f>VLOOKUP(D1700,Average_Distance_by_kilometre_grouping_for_mode_type[#All],MATCH(A1700,Average_Distance_by_kilometre_grouping_for_mode_type[#Headers],0),0)</f>
        <v>5</v>
      </c>
      <c r="I1700" s="89">
        <f>VLOOKUP(D1700,Average_Distance_by_kilometres_grouping_for_trip_purpose[#All],MATCH(A1700,Average_Distance_by_kilometres_grouping_for_trip_purpose[#Headers],0),0)</f>
        <v>5</v>
      </c>
      <c r="J1700" s="89">
        <f t="shared" si="133"/>
        <v>5</v>
      </c>
      <c r="K1700" s="89">
        <f t="shared" si="134"/>
        <v>8.5881140501545869E-2</v>
      </c>
      <c r="L1700" s="89">
        <v>1</v>
      </c>
      <c r="M1700" s="13">
        <f t="shared" si="135"/>
        <v>8151166.0992208887</v>
      </c>
      <c r="N1700" s="11">
        <f t="shared" ref="N1700:N1763" si="136">M1700/SUM($M$1443:$M$1803)</f>
        <v>1.2934521684292711E-4</v>
      </c>
    </row>
    <row r="1701" spans="1:14" x14ac:dyDescent="0.25">
      <c r="A1701" s="79" t="s">
        <v>36</v>
      </c>
      <c r="B1701" s="89" t="s">
        <v>10</v>
      </c>
      <c r="C1701" s="89" t="s">
        <v>93</v>
      </c>
      <c r="D1701" s="13" t="s">
        <v>182</v>
      </c>
      <c r="E1701" s="35">
        <f>VLOOKUP(B1701, Passenger_Kilometre_by_mode_type[#All],MATCH(A1701, Passenger_Kilometre_by_mode_type[#Headers],0),0)</f>
        <v>2074583126.9798479</v>
      </c>
      <c r="F1701" s="89">
        <f>VLOOKUP(C1701, Reason_for_public_transport_journeys_by_percentage[#All],MATCH(A1701, Reason_for_public_transport_journeys_by_percentage[#Headers],0),0)/100</f>
        <v>4.5749999999999992E-2</v>
      </c>
      <c r="G1701" s="13">
        <f t="shared" si="132"/>
        <v>94912178.05932802</v>
      </c>
      <c r="H1701" s="89">
        <f>VLOOKUP(D1701,Average_Distance_by_kilometre_grouping_for_mode_type[#All],MATCH(A1701,Average_Distance_by_kilometre_grouping_for_mode_type[#Headers],0),0)</f>
        <v>7</v>
      </c>
      <c r="I1701" s="89">
        <f>VLOOKUP(D1701,Average_Distance_by_kilometres_grouping_for_trip_purpose[#All],MATCH(A1701,Average_Distance_by_kilometres_grouping_for_trip_purpose[#Headers],0),0)</f>
        <v>7</v>
      </c>
      <c r="J1701" s="89">
        <f t="shared" si="133"/>
        <v>7</v>
      </c>
      <c r="K1701" s="89">
        <f t="shared" si="134"/>
        <v>0.12023359670216421</v>
      </c>
      <c r="L1701" s="89">
        <v>1</v>
      </c>
      <c r="M1701" s="13">
        <f t="shared" si="135"/>
        <v>11411632.538909243</v>
      </c>
      <c r="N1701" s="11">
        <f t="shared" si="136"/>
        <v>1.8108330358009792E-4</v>
      </c>
    </row>
    <row r="1702" spans="1:14" x14ac:dyDescent="0.25">
      <c r="A1702" s="79" t="s">
        <v>36</v>
      </c>
      <c r="B1702" s="89" t="s">
        <v>10</v>
      </c>
      <c r="C1702" s="89" t="s">
        <v>93</v>
      </c>
      <c r="D1702" s="13" t="s">
        <v>1</v>
      </c>
      <c r="E1702" s="35">
        <f>VLOOKUP(B1702, Passenger_Kilometre_by_mode_type[#All],MATCH(A1702, Passenger_Kilometre_by_mode_type[#Headers],0),0)</f>
        <v>2074583126.9798479</v>
      </c>
      <c r="F1702" s="89">
        <f>VLOOKUP(C1702, Reason_for_public_transport_journeys_by_percentage[#All],MATCH(A1702, Reason_for_public_transport_journeys_by_percentage[#Headers],0),0)/100</f>
        <v>4.5749999999999992E-2</v>
      </c>
      <c r="G1702" s="13">
        <f t="shared" si="132"/>
        <v>94912178.05932802</v>
      </c>
      <c r="H1702" s="89">
        <f>VLOOKUP(D1702,Average_Distance_by_kilometre_grouping_for_mode_type[#All],MATCH(A1702,Average_Distance_by_kilometre_grouping_for_mode_type[#Headers],0),0)</f>
        <v>41.2</v>
      </c>
      <c r="I1702" s="89">
        <f>VLOOKUP(D1702,Average_Distance_by_kilometres_grouping_for_trip_purpose[#All],MATCH(A1702,Average_Distance_by_kilometres_grouping_for_trip_purpose[#Headers],0),0)</f>
        <v>43.24</v>
      </c>
      <c r="J1702" s="89">
        <f t="shared" si="133"/>
        <v>42.22</v>
      </c>
      <c r="K1702" s="89">
        <f t="shared" si="134"/>
        <v>0.72518035039505324</v>
      </c>
      <c r="L1702" s="89">
        <v>1</v>
      </c>
      <c r="M1702" s="13">
        <f t="shared" si="135"/>
        <v>68828446.541821182</v>
      </c>
      <c r="N1702" s="11">
        <f t="shared" si="136"/>
        <v>1.0921910110216764E-3</v>
      </c>
    </row>
    <row r="1703" spans="1:14" x14ac:dyDescent="0.25">
      <c r="A1703" s="79" t="s">
        <v>36</v>
      </c>
      <c r="B1703" s="89" t="s">
        <v>10</v>
      </c>
      <c r="C1703" s="89" t="s">
        <v>243</v>
      </c>
      <c r="D1703" s="13" t="s">
        <v>12</v>
      </c>
      <c r="E1703" s="35">
        <f>VLOOKUP(B1703, Passenger_Kilometre_by_mode_type[#All],MATCH(A1703, Passenger_Kilometre_by_mode_type[#Headers],0),0)</f>
        <v>2074583126.9798479</v>
      </c>
      <c r="F1703" s="89">
        <f>VLOOKUP(C1703, Reason_for_public_transport_journeys_by_percentage[#All],MATCH(A1703, Reason_for_public_transport_journeys_by_percentage[#Headers],0),0)/100</f>
        <v>2.8999999999999998E-2</v>
      </c>
      <c r="G1703" s="13">
        <f t="shared" si="132"/>
        <v>60162910.682415582</v>
      </c>
      <c r="H1703" s="89">
        <f>VLOOKUP(D1703,Average_Distance_by_kilometre_grouping_for_mode_type[#All],MATCH(A1703,Average_Distance_by_kilometre_grouping_for_mode_type[#Headers],0),0)</f>
        <v>1</v>
      </c>
      <c r="I1703" s="89">
        <f>VLOOKUP(D1703,Average_Distance_by_kilometres_grouping_for_trip_purpose[#All],MATCH(A1703,Average_Distance_by_kilometres_grouping_for_trip_purpose[#Headers],0),0)</f>
        <v>1</v>
      </c>
      <c r="J1703" s="89">
        <f t="shared" si="133"/>
        <v>1</v>
      </c>
      <c r="K1703" s="89">
        <f t="shared" si="134"/>
        <v>1.7176228100309172E-2</v>
      </c>
      <c r="L1703" s="89">
        <v>1</v>
      </c>
      <c r="M1703" s="13">
        <f t="shared" si="135"/>
        <v>1033371.8770596974</v>
      </c>
      <c r="N1703" s="11">
        <f t="shared" si="136"/>
        <v>1.6397863556043218E-5</v>
      </c>
    </row>
    <row r="1704" spans="1:14" x14ac:dyDescent="0.25">
      <c r="A1704" s="79" t="s">
        <v>36</v>
      </c>
      <c r="B1704" s="89" t="s">
        <v>10</v>
      </c>
      <c r="C1704" s="89" t="s">
        <v>243</v>
      </c>
      <c r="D1704" s="13" t="s">
        <v>181</v>
      </c>
      <c r="E1704" s="35">
        <f>VLOOKUP(B1704, Passenger_Kilometre_by_mode_type[#All],MATCH(A1704, Passenger_Kilometre_by_mode_type[#Headers],0),0)</f>
        <v>2074583126.9798479</v>
      </c>
      <c r="F1704" s="89">
        <f>VLOOKUP(C1704, Reason_for_public_transport_journeys_by_percentage[#All],MATCH(A1704, Reason_for_public_transport_journeys_by_percentage[#Headers],0),0)/100</f>
        <v>2.8999999999999998E-2</v>
      </c>
      <c r="G1704" s="13">
        <f t="shared" si="132"/>
        <v>60162910.682415582</v>
      </c>
      <c r="H1704" s="89">
        <f>VLOOKUP(D1704,Average_Distance_by_kilometre_grouping_for_mode_type[#All],MATCH(A1704,Average_Distance_by_kilometre_grouping_for_mode_type[#Headers],0),0)</f>
        <v>3</v>
      </c>
      <c r="I1704" s="89">
        <f>VLOOKUP(D1704,Average_Distance_by_kilometres_grouping_for_trip_purpose[#All],MATCH(A1704,Average_Distance_by_kilometres_grouping_for_trip_purpose[#Headers],0),0)</f>
        <v>3</v>
      </c>
      <c r="J1704" s="89">
        <f t="shared" si="133"/>
        <v>3</v>
      </c>
      <c r="K1704" s="89">
        <f t="shared" si="134"/>
        <v>5.1528684300927517E-2</v>
      </c>
      <c r="L1704" s="89">
        <v>1</v>
      </c>
      <c r="M1704" s="13">
        <f t="shared" si="135"/>
        <v>3100115.6311790925</v>
      </c>
      <c r="N1704" s="11">
        <f t="shared" si="136"/>
        <v>4.9193590668129657E-5</v>
      </c>
    </row>
    <row r="1705" spans="1:14" x14ac:dyDescent="0.25">
      <c r="A1705" s="79" t="s">
        <v>36</v>
      </c>
      <c r="B1705" s="89" t="s">
        <v>10</v>
      </c>
      <c r="C1705" s="89" t="s">
        <v>243</v>
      </c>
      <c r="D1705" s="13" t="s">
        <v>180</v>
      </c>
      <c r="E1705" s="35">
        <f>VLOOKUP(B1705, Passenger_Kilometre_by_mode_type[#All],MATCH(A1705, Passenger_Kilometre_by_mode_type[#Headers],0),0)</f>
        <v>2074583126.9798479</v>
      </c>
      <c r="F1705" s="89">
        <f>VLOOKUP(C1705, Reason_for_public_transport_journeys_by_percentage[#All],MATCH(A1705, Reason_for_public_transport_journeys_by_percentage[#Headers],0),0)/100</f>
        <v>2.8999999999999998E-2</v>
      </c>
      <c r="G1705" s="13">
        <f t="shared" si="132"/>
        <v>60162910.682415582</v>
      </c>
      <c r="H1705" s="89">
        <f>VLOOKUP(D1705,Average_Distance_by_kilometre_grouping_for_mode_type[#All],MATCH(A1705,Average_Distance_by_kilometre_grouping_for_mode_type[#Headers],0),0)</f>
        <v>5</v>
      </c>
      <c r="I1705" s="89">
        <f>VLOOKUP(D1705,Average_Distance_by_kilometres_grouping_for_trip_purpose[#All],MATCH(A1705,Average_Distance_by_kilometres_grouping_for_trip_purpose[#Headers],0),0)</f>
        <v>5</v>
      </c>
      <c r="J1705" s="89">
        <f t="shared" si="133"/>
        <v>5</v>
      </c>
      <c r="K1705" s="89">
        <f t="shared" si="134"/>
        <v>8.5881140501545869E-2</v>
      </c>
      <c r="L1705" s="89">
        <v>1</v>
      </c>
      <c r="M1705" s="13">
        <f t="shared" si="135"/>
        <v>5166859.3852984877</v>
      </c>
      <c r="N1705" s="11">
        <f t="shared" si="136"/>
        <v>8.1989317780216099E-5</v>
      </c>
    </row>
    <row r="1706" spans="1:14" x14ac:dyDescent="0.25">
      <c r="A1706" s="79" t="s">
        <v>36</v>
      </c>
      <c r="B1706" s="89" t="s">
        <v>10</v>
      </c>
      <c r="C1706" s="89" t="s">
        <v>243</v>
      </c>
      <c r="D1706" s="13" t="s">
        <v>182</v>
      </c>
      <c r="E1706" s="35">
        <f>VLOOKUP(B1706, Passenger_Kilometre_by_mode_type[#All],MATCH(A1706, Passenger_Kilometre_by_mode_type[#Headers],0),0)</f>
        <v>2074583126.9798479</v>
      </c>
      <c r="F1706" s="89">
        <f>VLOOKUP(C1706, Reason_for_public_transport_journeys_by_percentage[#All],MATCH(A1706, Reason_for_public_transport_journeys_by_percentage[#Headers],0),0)/100</f>
        <v>2.8999999999999998E-2</v>
      </c>
      <c r="G1706" s="13">
        <f t="shared" si="132"/>
        <v>60162910.682415582</v>
      </c>
      <c r="H1706" s="89">
        <f>VLOOKUP(D1706,Average_Distance_by_kilometre_grouping_for_mode_type[#All],MATCH(A1706,Average_Distance_by_kilometre_grouping_for_mode_type[#Headers],0),0)</f>
        <v>7</v>
      </c>
      <c r="I1706" s="89">
        <f>VLOOKUP(D1706,Average_Distance_by_kilometres_grouping_for_trip_purpose[#All],MATCH(A1706,Average_Distance_by_kilometres_grouping_for_trip_purpose[#Headers],0),0)</f>
        <v>7</v>
      </c>
      <c r="J1706" s="89">
        <f t="shared" si="133"/>
        <v>7</v>
      </c>
      <c r="K1706" s="89">
        <f t="shared" si="134"/>
        <v>0.12023359670216421</v>
      </c>
      <c r="L1706" s="89">
        <v>1</v>
      </c>
      <c r="M1706" s="13">
        <f t="shared" si="135"/>
        <v>7233603.1394178821</v>
      </c>
      <c r="N1706" s="11">
        <f t="shared" si="136"/>
        <v>1.1478504489230253E-4</v>
      </c>
    </row>
    <row r="1707" spans="1:14" x14ac:dyDescent="0.25">
      <c r="A1707" s="79" t="s">
        <v>36</v>
      </c>
      <c r="B1707" s="89" t="s">
        <v>10</v>
      </c>
      <c r="C1707" s="89" t="s">
        <v>243</v>
      </c>
      <c r="D1707" s="13" t="s">
        <v>1</v>
      </c>
      <c r="E1707" s="35">
        <f>VLOOKUP(B1707, Passenger_Kilometre_by_mode_type[#All],MATCH(A1707, Passenger_Kilometre_by_mode_type[#Headers],0),0)</f>
        <v>2074583126.9798479</v>
      </c>
      <c r="F1707" s="89">
        <f>VLOOKUP(C1707, Reason_for_public_transport_journeys_by_percentage[#All],MATCH(A1707, Reason_for_public_transport_journeys_by_percentage[#Headers],0),0)/100</f>
        <v>2.8999999999999998E-2</v>
      </c>
      <c r="G1707" s="13">
        <f t="shared" si="132"/>
        <v>60162910.682415582</v>
      </c>
      <c r="H1707" s="89">
        <f>VLOOKUP(D1707,Average_Distance_by_kilometre_grouping_for_mode_type[#All],MATCH(A1707,Average_Distance_by_kilometre_grouping_for_mode_type[#Headers],0),0)</f>
        <v>41.2</v>
      </c>
      <c r="I1707" s="89">
        <f>VLOOKUP(D1707,Average_Distance_by_kilometres_grouping_for_trip_purpose[#All],MATCH(A1707,Average_Distance_by_kilometres_grouping_for_trip_purpose[#Headers],0),0)</f>
        <v>43.24</v>
      </c>
      <c r="J1707" s="89">
        <f t="shared" si="133"/>
        <v>42.22</v>
      </c>
      <c r="K1707" s="89">
        <f t="shared" si="134"/>
        <v>0.72518035039505324</v>
      </c>
      <c r="L1707" s="89">
        <v>1</v>
      </c>
      <c r="M1707" s="13">
        <f t="shared" si="135"/>
        <v>43628960.64946042</v>
      </c>
      <c r="N1707" s="11">
        <f t="shared" si="136"/>
        <v>6.923177993361446E-4</v>
      </c>
    </row>
    <row r="1708" spans="1:14" x14ac:dyDescent="0.25">
      <c r="A1708" s="79" t="s">
        <v>36</v>
      </c>
      <c r="B1708" s="89" t="s">
        <v>10</v>
      </c>
      <c r="C1708" s="89" t="s">
        <v>50</v>
      </c>
      <c r="D1708" s="13" t="s">
        <v>12</v>
      </c>
      <c r="E1708" s="35">
        <f>VLOOKUP(B1708, Passenger_Kilometre_by_mode_type[#All],MATCH(A1708, Passenger_Kilometre_by_mode_type[#Headers],0),0)</f>
        <v>2074583126.9798479</v>
      </c>
      <c r="F1708" s="89">
        <f>VLOOKUP(C1708, Reason_for_public_transport_journeys_by_percentage[#All],MATCH(A1708, Reason_for_public_transport_journeys_by_percentage[#Headers],0),0)/100</f>
        <v>5.3999999999999992E-2</v>
      </c>
      <c r="G1708" s="13">
        <f t="shared" si="132"/>
        <v>112027488.85691178</v>
      </c>
      <c r="H1708" s="89">
        <f>VLOOKUP(D1708,Average_Distance_by_kilometre_grouping_for_mode_type[#All],MATCH(A1708,Average_Distance_by_kilometre_grouping_for_mode_type[#Headers],0),0)</f>
        <v>1</v>
      </c>
      <c r="I1708" s="89">
        <f>VLOOKUP(D1708,Average_Distance_by_kilometres_grouping_for_trip_purpose[#All],MATCH(A1708,Average_Distance_by_kilometres_grouping_for_trip_purpose[#Headers],0),0)</f>
        <v>1</v>
      </c>
      <c r="J1708" s="89">
        <f t="shared" si="133"/>
        <v>1</v>
      </c>
      <c r="K1708" s="89">
        <f t="shared" si="134"/>
        <v>1.7176228100309172E-2</v>
      </c>
      <c r="L1708" s="89">
        <v>1</v>
      </c>
      <c r="M1708" s="13">
        <f t="shared" si="135"/>
        <v>1924209.7021111608</v>
      </c>
      <c r="N1708" s="11">
        <f t="shared" si="136"/>
        <v>3.0533952828494274E-5</v>
      </c>
    </row>
    <row r="1709" spans="1:14" x14ac:dyDescent="0.25">
      <c r="A1709" s="79" t="s">
        <v>36</v>
      </c>
      <c r="B1709" s="89" t="s">
        <v>10</v>
      </c>
      <c r="C1709" s="89" t="s">
        <v>50</v>
      </c>
      <c r="D1709" s="13" t="s">
        <v>181</v>
      </c>
      <c r="E1709" s="35">
        <f>VLOOKUP(B1709, Passenger_Kilometre_by_mode_type[#All],MATCH(A1709, Passenger_Kilometre_by_mode_type[#Headers],0),0)</f>
        <v>2074583126.9798479</v>
      </c>
      <c r="F1709" s="89">
        <f>VLOOKUP(C1709, Reason_for_public_transport_journeys_by_percentage[#All],MATCH(A1709, Reason_for_public_transport_journeys_by_percentage[#Headers],0),0)/100</f>
        <v>5.3999999999999992E-2</v>
      </c>
      <c r="G1709" s="13">
        <f t="shared" si="132"/>
        <v>112027488.85691178</v>
      </c>
      <c r="H1709" s="89">
        <f>VLOOKUP(D1709,Average_Distance_by_kilometre_grouping_for_mode_type[#All],MATCH(A1709,Average_Distance_by_kilometre_grouping_for_mode_type[#Headers],0),0)</f>
        <v>3</v>
      </c>
      <c r="I1709" s="89">
        <f>VLOOKUP(D1709,Average_Distance_by_kilometres_grouping_for_trip_purpose[#All],MATCH(A1709,Average_Distance_by_kilometres_grouping_for_trip_purpose[#Headers],0),0)</f>
        <v>3</v>
      </c>
      <c r="J1709" s="89">
        <f t="shared" si="133"/>
        <v>3</v>
      </c>
      <c r="K1709" s="89">
        <f t="shared" si="134"/>
        <v>5.1528684300927517E-2</v>
      </c>
      <c r="L1709" s="89">
        <v>1</v>
      </c>
      <c r="M1709" s="13">
        <f t="shared" si="135"/>
        <v>5772629.1063334821</v>
      </c>
      <c r="N1709" s="11">
        <f t="shared" si="136"/>
        <v>9.1601858485482808E-5</v>
      </c>
    </row>
    <row r="1710" spans="1:14" x14ac:dyDescent="0.25">
      <c r="A1710" s="79" t="s">
        <v>36</v>
      </c>
      <c r="B1710" s="89" t="s">
        <v>10</v>
      </c>
      <c r="C1710" s="89" t="s">
        <v>50</v>
      </c>
      <c r="D1710" s="13" t="s">
        <v>180</v>
      </c>
      <c r="E1710" s="35">
        <f>VLOOKUP(B1710, Passenger_Kilometre_by_mode_type[#All],MATCH(A1710, Passenger_Kilometre_by_mode_type[#Headers],0),0)</f>
        <v>2074583126.9798479</v>
      </c>
      <c r="F1710" s="89">
        <f>VLOOKUP(C1710, Reason_for_public_transport_journeys_by_percentage[#All],MATCH(A1710, Reason_for_public_transport_journeys_by_percentage[#Headers],0),0)/100</f>
        <v>5.3999999999999992E-2</v>
      </c>
      <c r="G1710" s="13">
        <f t="shared" si="132"/>
        <v>112027488.85691178</v>
      </c>
      <c r="H1710" s="89">
        <f>VLOOKUP(D1710,Average_Distance_by_kilometre_grouping_for_mode_type[#All],MATCH(A1710,Average_Distance_by_kilometre_grouping_for_mode_type[#Headers],0),0)</f>
        <v>5</v>
      </c>
      <c r="I1710" s="89">
        <f>VLOOKUP(D1710,Average_Distance_by_kilometres_grouping_for_trip_purpose[#All],MATCH(A1710,Average_Distance_by_kilometres_grouping_for_trip_purpose[#Headers],0),0)</f>
        <v>5</v>
      </c>
      <c r="J1710" s="89">
        <f t="shared" si="133"/>
        <v>5</v>
      </c>
      <c r="K1710" s="89">
        <f t="shared" si="134"/>
        <v>8.5881140501545869E-2</v>
      </c>
      <c r="L1710" s="89">
        <v>1</v>
      </c>
      <c r="M1710" s="13">
        <f t="shared" si="135"/>
        <v>9621048.5105558038</v>
      </c>
      <c r="N1710" s="11">
        <f t="shared" si="136"/>
        <v>1.5266976414247136E-4</v>
      </c>
    </row>
    <row r="1711" spans="1:14" x14ac:dyDescent="0.25">
      <c r="A1711" s="79" t="s">
        <v>36</v>
      </c>
      <c r="B1711" s="89" t="s">
        <v>10</v>
      </c>
      <c r="C1711" s="89" t="s">
        <v>50</v>
      </c>
      <c r="D1711" s="13" t="s">
        <v>182</v>
      </c>
      <c r="E1711" s="35">
        <f>VLOOKUP(B1711, Passenger_Kilometre_by_mode_type[#All],MATCH(A1711, Passenger_Kilometre_by_mode_type[#Headers],0),0)</f>
        <v>2074583126.9798479</v>
      </c>
      <c r="F1711" s="89">
        <f>VLOOKUP(C1711, Reason_for_public_transport_journeys_by_percentage[#All],MATCH(A1711, Reason_for_public_transport_journeys_by_percentage[#Headers],0),0)/100</f>
        <v>5.3999999999999992E-2</v>
      </c>
      <c r="G1711" s="13">
        <f t="shared" si="132"/>
        <v>112027488.85691178</v>
      </c>
      <c r="H1711" s="89">
        <f>VLOOKUP(D1711,Average_Distance_by_kilometre_grouping_for_mode_type[#All],MATCH(A1711,Average_Distance_by_kilometre_grouping_for_mode_type[#Headers],0),0)</f>
        <v>7</v>
      </c>
      <c r="I1711" s="89">
        <f>VLOOKUP(D1711,Average_Distance_by_kilometres_grouping_for_trip_purpose[#All],MATCH(A1711,Average_Distance_by_kilometres_grouping_for_trip_purpose[#Headers],0),0)</f>
        <v>7</v>
      </c>
      <c r="J1711" s="89">
        <f t="shared" si="133"/>
        <v>7</v>
      </c>
      <c r="K1711" s="89">
        <f t="shared" si="134"/>
        <v>0.12023359670216421</v>
      </c>
      <c r="L1711" s="89">
        <v>1</v>
      </c>
      <c r="M1711" s="13">
        <f t="shared" si="135"/>
        <v>13469467.914778126</v>
      </c>
      <c r="N1711" s="11">
        <f t="shared" si="136"/>
        <v>2.137376697994599E-4</v>
      </c>
    </row>
    <row r="1712" spans="1:14" x14ac:dyDescent="0.25">
      <c r="A1712" s="79" t="s">
        <v>36</v>
      </c>
      <c r="B1712" s="89" t="s">
        <v>10</v>
      </c>
      <c r="C1712" s="89" t="s">
        <v>50</v>
      </c>
      <c r="D1712" s="13" t="s">
        <v>1</v>
      </c>
      <c r="E1712" s="35">
        <f>VLOOKUP(B1712, Passenger_Kilometre_by_mode_type[#All],MATCH(A1712, Passenger_Kilometre_by_mode_type[#Headers],0),0)</f>
        <v>2074583126.9798479</v>
      </c>
      <c r="F1712" s="89">
        <f>VLOOKUP(C1712, Reason_for_public_transport_journeys_by_percentage[#All],MATCH(A1712, Reason_for_public_transport_journeys_by_percentage[#Headers],0),0)/100</f>
        <v>5.3999999999999992E-2</v>
      </c>
      <c r="G1712" s="13">
        <f t="shared" si="132"/>
        <v>112027488.85691178</v>
      </c>
      <c r="H1712" s="89">
        <f>VLOOKUP(D1712,Average_Distance_by_kilometre_grouping_for_mode_type[#All],MATCH(A1712,Average_Distance_by_kilometre_grouping_for_mode_type[#Headers],0),0)</f>
        <v>41.2</v>
      </c>
      <c r="I1712" s="89">
        <f>VLOOKUP(D1712,Average_Distance_by_kilometres_grouping_for_trip_purpose[#All],MATCH(A1712,Average_Distance_by_kilometres_grouping_for_trip_purpose[#Headers],0),0)</f>
        <v>43.24</v>
      </c>
      <c r="J1712" s="89">
        <f t="shared" si="133"/>
        <v>42.22</v>
      </c>
      <c r="K1712" s="89">
        <f t="shared" si="134"/>
        <v>0.72518035039505324</v>
      </c>
      <c r="L1712" s="89">
        <v>1</v>
      </c>
      <c r="M1712" s="13">
        <f t="shared" si="135"/>
        <v>81240133.623133212</v>
      </c>
      <c r="N1712" s="11">
        <f t="shared" si="136"/>
        <v>1.2891434884190281E-3</v>
      </c>
    </row>
    <row r="1713" spans="1:14" x14ac:dyDescent="0.25">
      <c r="A1713" s="79" t="s">
        <v>36</v>
      </c>
      <c r="B1713" s="89" t="s">
        <v>11</v>
      </c>
      <c r="C1713" s="89" t="s">
        <v>42</v>
      </c>
      <c r="D1713" s="13" t="s">
        <v>12</v>
      </c>
      <c r="E1713" s="35">
        <f>VLOOKUP(B1713, Passenger_Kilometre_by_mode_type[#All],MATCH(A1713, Passenger_Kilometre_by_mode_type[#Headers],0),0)</f>
        <v>202659444.47580478</v>
      </c>
      <c r="F1713" s="89">
        <f>VLOOKUP(C1713, Reason_for_public_transport_journeys_by_percentage[#All],MATCH(A1713, Reason_for_public_transport_journeys_by_percentage[#Headers],0),0)/100</f>
        <v>0.32174999999999998</v>
      </c>
      <c r="G1713" s="13">
        <f t="shared" si="132"/>
        <v>65205676.26009018</v>
      </c>
      <c r="H1713" s="89">
        <f>VLOOKUP(D1713,Average_Distance_by_kilometre_grouping_for_mode_type[#All],MATCH(A1713,Average_Distance_by_kilometre_grouping_for_mode_type[#Headers],0),0)</f>
        <v>1</v>
      </c>
      <c r="I1713" s="89">
        <f>VLOOKUP(D1713,Average_Distance_by_kilometres_grouping_for_trip_purpose[#All],MATCH(A1713,Average_Distance_by_kilometres_grouping_for_trip_purpose[#Headers],0),0)</f>
        <v>1</v>
      </c>
      <c r="J1713" s="89">
        <f t="shared" si="133"/>
        <v>1</v>
      </c>
      <c r="K1713" s="89">
        <f t="shared" si="134"/>
        <v>1.7176228100309172E-2</v>
      </c>
      <c r="L1713" s="89">
        <v>1</v>
      </c>
      <c r="M1713" s="13">
        <f t="shared" si="135"/>
        <v>1119987.5688782237</v>
      </c>
      <c r="N1713" s="11">
        <f t="shared" si="136"/>
        <v>1.7772308059307391E-5</v>
      </c>
    </row>
    <row r="1714" spans="1:14" x14ac:dyDescent="0.25">
      <c r="A1714" s="79" t="s">
        <v>36</v>
      </c>
      <c r="B1714" s="89" t="s">
        <v>11</v>
      </c>
      <c r="C1714" s="89" t="s">
        <v>42</v>
      </c>
      <c r="D1714" s="13" t="s">
        <v>181</v>
      </c>
      <c r="E1714" s="35">
        <f>VLOOKUP(B1714, Passenger_Kilometre_by_mode_type[#All],MATCH(A1714, Passenger_Kilometre_by_mode_type[#Headers],0),0)</f>
        <v>202659444.47580478</v>
      </c>
      <c r="F1714" s="89">
        <f>VLOOKUP(C1714, Reason_for_public_transport_journeys_by_percentage[#All],MATCH(A1714, Reason_for_public_transport_journeys_by_percentage[#Headers],0),0)/100</f>
        <v>0.32174999999999998</v>
      </c>
      <c r="G1714" s="13">
        <f t="shared" si="132"/>
        <v>65205676.26009018</v>
      </c>
      <c r="H1714" s="89">
        <f>VLOOKUP(D1714,Average_Distance_by_kilometre_grouping_for_mode_type[#All],MATCH(A1714,Average_Distance_by_kilometre_grouping_for_mode_type[#Headers],0),0)</f>
        <v>3</v>
      </c>
      <c r="I1714" s="89">
        <f>VLOOKUP(D1714,Average_Distance_by_kilometres_grouping_for_trip_purpose[#All],MATCH(A1714,Average_Distance_by_kilometres_grouping_for_trip_purpose[#Headers],0),0)</f>
        <v>3</v>
      </c>
      <c r="J1714" s="89">
        <f t="shared" si="133"/>
        <v>3</v>
      </c>
      <c r="K1714" s="89">
        <f t="shared" si="134"/>
        <v>5.1528684300927517E-2</v>
      </c>
      <c r="L1714" s="89">
        <v>1</v>
      </c>
      <c r="M1714" s="13">
        <f t="shared" si="135"/>
        <v>3359962.706634671</v>
      </c>
      <c r="N1714" s="11">
        <f t="shared" si="136"/>
        <v>5.3316924177922174E-5</v>
      </c>
    </row>
    <row r="1715" spans="1:14" x14ac:dyDescent="0.25">
      <c r="A1715" s="79" t="s">
        <v>36</v>
      </c>
      <c r="B1715" s="89" t="s">
        <v>11</v>
      </c>
      <c r="C1715" s="89" t="s">
        <v>42</v>
      </c>
      <c r="D1715" s="13" t="s">
        <v>180</v>
      </c>
      <c r="E1715" s="35">
        <f>VLOOKUP(B1715, Passenger_Kilometre_by_mode_type[#All],MATCH(A1715, Passenger_Kilometre_by_mode_type[#Headers],0),0)</f>
        <v>202659444.47580478</v>
      </c>
      <c r="F1715" s="89">
        <f>VLOOKUP(C1715, Reason_for_public_transport_journeys_by_percentage[#All],MATCH(A1715, Reason_for_public_transport_journeys_by_percentage[#Headers],0),0)/100</f>
        <v>0.32174999999999998</v>
      </c>
      <c r="G1715" s="13">
        <f t="shared" si="132"/>
        <v>65205676.26009018</v>
      </c>
      <c r="H1715" s="89">
        <f>VLOOKUP(D1715,Average_Distance_by_kilometre_grouping_for_mode_type[#All],MATCH(A1715,Average_Distance_by_kilometre_grouping_for_mode_type[#Headers],0),0)</f>
        <v>5</v>
      </c>
      <c r="I1715" s="89">
        <f>VLOOKUP(D1715,Average_Distance_by_kilometres_grouping_for_trip_purpose[#All],MATCH(A1715,Average_Distance_by_kilometres_grouping_for_trip_purpose[#Headers],0),0)</f>
        <v>5</v>
      </c>
      <c r="J1715" s="89">
        <f t="shared" si="133"/>
        <v>5</v>
      </c>
      <c r="K1715" s="89">
        <f t="shared" si="134"/>
        <v>8.5881140501545869E-2</v>
      </c>
      <c r="L1715" s="89">
        <v>1</v>
      </c>
      <c r="M1715" s="13">
        <f t="shared" si="135"/>
        <v>5599937.8443911187</v>
      </c>
      <c r="N1715" s="11">
        <f t="shared" si="136"/>
        <v>8.8861540296536964E-5</v>
      </c>
    </row>
    <row r="1716" spans="1:14" x14ac:dyDescent="0.25">
      <c r="A1716" s="79" t="s">
        <v>36</v>
      </c>
      <c r="B1716" s="89" t="s">
        <v>11</v>
      </c>
      <c r="C1716" s="89" t="s">
        <v>42</v>
      </c>
      <c r="D1716" s="13" t="s">
        <v>182</v>
      </c>
      <c r="E1716" s="35">
        <f>VLOOKUP(B1716, Passenger_Kilometre_by_mode_type[#All],MATCH(A1716, Passenger_Kilometre_by_mode_type[#Headers],0),0)</f>
        <v>202659444.47580478</v>
      </c>
      <c r="F1716" s="89">
        <f>VLOOKUP(C1716, Reason_for_public_transport_journeys_by_percentage[#All],MATCH(A1716, Reason_for_public_transport_journeys_by_percentage[#Headers],0),0)/100</f>
        <v>0.32174999999999998</v>
      </c>
      <c r="G1716" s="13">
        <f t="shared" si="132"/>
        <v>65205676.26009018</v>
      </c>
      <c r="H1716" s="89">
        <f>VLOOKUP(D1716,Average_Distance_by_kilometre_grouping_for_mode_type[#All],MATCH(A1716,Average_Distance_by_kilometre_grouping_for_mode_type[#Headers],0),0)</f>
        <v>7</v>
      </c>
      <c r="I1716" s="89">
        <f>VLOOKUP(D1716,Average_Distance_by_kilometres_grouping_for_trip_purpose[#All],MATCH(A1716,Average_Distance_by_kilometres_grouping_for_trip_purpose[#Headers],0),0)</f>
        <v>7</v>
      </c>
      <c r="J1716" s="89">
        <f t="shared" si="133"/>
        <v>7</v>
      </c>
      <c r="K1716" s="89">
        <f t="shared" si="134"/>
        <v>0.12023359670216421</v>
      </c>
      <c r="L1716" s="89">
        <v>1</v>
      </c>
      <c r="M1716" s="13">
        <f t="shared" si="135"/>
        <v>7839912.982147566</v>
      </c>
      <c r="N1716" s="11">
        <f t="shared" si="136"/>
        <v>1.2440615641515175E-4</v>
      </c>
    </row>
    <row r="1717" spans="1:14" x14ac:dyDescent="0.25">
      <c r="A1717" s="79" t="s">
        <v>36</v>
      </c>
      <c r="B1717" s="89" t="s">
        <v>11</v>
      </c>
      <c r="C1717" s="89" t="s">
        <v>42</v>
      </c>
      <c r="D1717" s="13" t="s">
        <v>1</v>
      </c>
      <c r="E1717" s="35">
        <f>VLOOKUP(B1717, Passenger_Kilometre_by_mode_type[#All],MATCH(A1717, Passenger_Kilometre_by_mode_type[#Headers],0),0)</f>
        <v>202659444.47580478</v>
      </c>
      <c r="F1717" s="89">
        <f>VLOOKUP(C1717, Reason_for_public_transport_journeys_by_percentage[#All],MATCH(A1717, Reason_for_public_transport_journeys_by_percentage[#Headers],0),0)/100</f>
        <v>0.32174999999999998</v>
      </c>
      <c r="G1717" s="13">
        <f t="shared" si="132"/>
        <v>65205676.26009018</v>
      </c>
      <c r="H1717" s="89">
        <f>VLOOKUP(D1717,Average_Distance_by_kilometre_grouping_for_mode_type[#All],MATCH(A1717,Average_Distance_by_kilometre_grouping_for_mode_type[#Headers],0),0)</f>
        <v>41.2</v>
      </c>
      <c r="I1717" s="89">
        <f>VLOOKUP(D1717,Average_Distance_by_kilometres_grouping_for_trip_purpose[#All],MATCH(A1717,Average_Distance_by_kilometres_grouping_for_trip_purpose[#Headers],0),0)</f>
        <v>43.24</v>
      </c>
      <c r="J1717" s="89">
        <f t="shared" si="133"/>
        <v>42.22</v>
      </c>
      <c r="K1717" s="89">
        <f t="shared" si="134"/>
        <v>0.72518035039505324</v>
      </c>
      <c r="L1717" s="89">
        <v>1</v>
      </c>
      <c r="M1717" s="13">
        <f t="shared" si="135"/>
        <v>47285875.158038601</v>
      </c>
      <c r="N1717" s="11">
        <f t="shared" si="136"/>
        <v>7.5034684626395804E-4</v>
      </c>
    </row>
    <row r="1718" spans="1:14" x14ac:dyDescent="0.25">
      <c r="A1718" s="79" t="s">
        <v>36</v>
      </c>
      <c r="B1718" s="89" t="s">
        <v>11</v>
      </c>
      <c r="C1718" s="89" t="s">
        <v>43</v>
      </c>
      <c r="D1718" s="13" t="s">
        <v>12</v>
      </c>
      <c r="E1718" s="35">
        <f>VLOOKUP(B1718, Passenger_Kilometre_by_mode_type[#All],MATCH(A1718, Passenger_Kilometre_by_mode_type[#Headers],0),0)</f>
        <v>202659444.47580478</v>
      </c>
      <c r="F1718" s="89">
        <f>VLOOKUP(C1718, Reason_for_public_transport_journeys_by_percentage[#All],MATCH(A1718, Reason_for_public_transport_journeys_by_percentage[#Headers],0),0)/100</f>
        <v>0.1585</v>
      </c>
      <c r="G1718" s="13">
        <f t="shared" si="132"/>
        <v>32121521.949415058</v>
      </c>
      <c r="H1718" s="89">
        <f>VLOOKUP(D1718,Average_Distance_by_kilometre_grouping_for_mode_type[#All],MATCH(A1718,Average_Distance_by_kilometre_grouping_for_mode_type[#Headers],0),0)</f>
        <v>1</v>
      </c>
      <c r="I1718" s="89">
        <f>VLOOKUP(D1718,Average_Distance_by_kilometres_grouping_for_trip_purpose[#All],MATCH(A1718,Average_Distance_by_kilometres_grouping_for_trip_purpose[#Headers],0),0)</f>
        <v>1</v>
      </c>
      <c r="J1718" s="89">
        <f t="shared" si="133"/>
        <v>1</v>
      </c>
      <c r="K1718" s="89">
        <f t="shared" si="134"/>
        <v>1.7176228100309172E-2</v>
      </c>
      <c r="L1718" s="89">
        <v>1</v>
      </c>
      <c r="M1718" s="13">
        <f t="shared" si="135"/>
        <v>551726.5879322408</v>
      </c>
      <c r="N1718" s="11">
        <f t="shared" si="136"/>
        <v>8.7549676065274962E-6</v>
      </c>
    </row>
    <row r="1719" spans="1:14" x14ac:dyDescent="0.25">
      <c r="A1719" s="79" t="s">
        <v>36</v>
      </c>
      <c r="B1719" s="89" t="s">
        <v>11</v>
      </c>
      <c r="C1719" s="89" t="s">
        <v>43</v>
      </c>
      <c r="D1719" s="13" t="s">
        <v>181</v>
      </c>
      <c r="E1719" s="35">
        <f>VLOOKUP(B1719, Passenger_Kilometre_by_mode_type[#All],MATCH(A1719, Passenger_Kilometre_by_mode_type[#Headers],0),0)</f>
        <v>202659444.47580478</v>
      </c>
      <c r="F1719" s="89">
        <f>VLOOKUP(C1719, Reason_for_public_transport_journeys_by_percentage[#All],MATCH(A1719, Reason_for_public_transport_journeys_by_percentage[#Headers],0),0)/100</f>
        <v>0.1585</v>
      </c>
      <c r="G1719" s="13">
        <f t="shared" si="132"/>
        <v>32121521.949415058</v>
      </c>
      <c r="H1719" s="89">
        <f>VLOOKUP(D1719,Average_Distance_by_kilometre_grouping_for_mode_type[#All],MATCH(A1719,Average_Distance_by_kilometre_grouping_for_mode_type[#Headers],0),0)</f>
        <v>3</v>
      </c>
      <c r="I1719" s="89">
        <f>VLOOKUP(D1719,Average_Distance_by_kilometres_grouping_for_trip_purpose[#All],MATCH(A1719,Average_Distance_by_kilometres_grouping_for_trip_purpose[#Headers],0),0)</f>
        <v>3</v>
      </c>
      <c r="J1719" s="89">
        <f t="shared" si="133"/>
        <v>3</v>
      </c>
      <c r="K1719" s="89">
        <f t="shared" si="134"/>
        <v>5.1528684300927517E-2</v>
      </c>
      <c r="L1719" s="89">
        <v>1</v>
      </c>
      <c r="M1719" s="13">
        <f t="shared" si="135"/>
        <v>1655179.7637967223</v>
      </c>
      <c r="N1719" s="11">
        <f t="shared" si="136"/>
        <v>2.6264902819582489E-5</v>
      </c>
    </row>
    <row r="1720" spans="1:14" x14ac:dyDescent="0.25">
      <c r="A1720" s="79" t="s">
        <v>36</v>
      </c>
      <c r="B1720" s="89" t="s">
        <v>11</v>
      </c>
      <c r="C1720" s="89" t="s">
        <v>43</v>
      </c>
      <c r="D1720" s="13" t="s">
        <v>180</v>
      </c>
      <c r="E1720" s="35">
        <f>VLOOKUP(B1720, Passenger_Kilometre_by_mode_type[#All],MATCH(A1720, Passenger_Kilometre_by_mode_type[#Headers],0),0)</f>
        <v>202659444.47580478</v>
      </c>
      <c r="F1720" s="89">
        <f>VLOOKUP(C1720, Reason_for_public_transport_journeys_by_percentage[#All],MATCH(A1720, Reason_for_public_transport_journeys_by_percentage[#Headers],0),0)/100</f>
        <v>0.1585</v>
      </c>
      <c r="G1720" s="13">
        <f t="shared" si="132"/>
        <v>32121521.949415058</v>
      </c>
      <c r="H1720" s="89">
        <f>VLOOKUP(D1720,Average_Distance_by_kilometre_grouping_for_mode_type[#All],MATCH(A1720,Average_Distance_by_kilometre_grouping_for_mode_type[#Headers],0),0)</f>
        <v>5</v>
      </c>
      <c r="I1720" s="89">
        <f>VLOOKUP(D1720,Average_Distance_by_kilometres_grouping_for_trip_purpose[#All],MATCH(A1720,Average_Distance_by_kilometres_grouping_for_trip_purpose[#Headers],0),0)</f>
        <v>5</v>
      </c>
      <c r="J1720" s="89">
        <f t="shared" si="133"/>
        <v>5</v>
      </c>
      <c r="K1720" s="89">
        <f t="shared" si="134"/>
        <v>8.5881140501545869E-2</v>
      </c>
      <c r="L1720" s="89">
        <v>1</v>
      </c>
      <c r="M1720" s="13">
        <f t="shared" si="135"/>
        <v>2758632.9396612043</v>
      </c>
      <c r="N1720" s="11">
        <f t="shared" si="136"/>
        <v>4.3774838032637491E-5</v>
      </c>
    </row>
    <row r="1721" spans="1:14" x14ac:dyDescent="0.25">
      <c r="A1721" s="79" t="s">
        <v>36</v>
      </c>
      <c r="B1721" s="89" t="s">
        <v>11</v>
      </c>
      <c r="C1721" s="89" t="s">
        <v>43</v>
      </c>
      <c r="D1721" s="13" t="s">
        <v>182</v>
      </c>
      <c r="E1721" s="35">
        <f>VLOOKUP(B1721, Passenger_Kilometre_by_mode_type[#All],MATCH(A1721, Passenger_Kilometre_by_mode_type[#Headers],0),0)</f>
        <v>202659444.47580478</v>
      </c>
      <c r="F1721" s="89">
        <f>VLOOKUP(C1721, Reason_for_public_transport_journeys_by_percentage[#All],MATCH(A1721, Reason_for_public_transport_journeys_by_percentage[#Headers],0),0)/100</f>
        <v>0.1585</v>
      </c>
      <c r="G1721" s="13">
        <f t="shared" si="132"/>
        <v>32121521.949415058</v>
      </c>
      <c r="H1721" s="89">
        <f>VLOOKUP(D1721,Average_Distance_by_kilometre_grouping_for_mode_type[#All],MATCH(A1721,Average_Distance_by_kilometre_grouping_for_mode_type[#Headers],0),0)</f>
        <v>7</v>
      </c>
      <c r="I1721" s="89">
        <f>VLOOKUP(D1721,Average_Distance_by_kilometres_grouping_for_trip_purpose[#All],MATCH(A1721,Average_Distance_by_kilometres_grouping_for_trip_purpose[#Headers],0),0)</f>
        <v>7</v>
      </c>
      <c r="J1721" s="89">
        <f t="shared" si="133"/>
        <v>7</v>
      </c>
      <c r="K1721" s="89">
        <f t="shared" si="134"/>
        <v>0.12023359670216421</v>
      </c>
      <c r="L1721" s="89">
        <v>1</v>
      </c>
      <c r="M1721" s="13">
        <f t="shared" si="135"/>
        <v>3862086.1155256857</v>
      </c>
      <c r="N1721" s="11">
        <f t="shared" si="136"/>
        <v>6.1284773245692483E-5</v>
      </c>
    </row>
    <row r="1722" spans="1:14" x14ac:dyDescent="0.25">
      <c r="A1722" s="79" t="s">
        <v>36</v>
      </c>
      <c r="B1722" s="89" t="s">
        <v>11</v>
      </c>
      <c r="C1722" s="89" t="s">
        <v>43</v>
      </c>
      <c r="D1722" s="13" t="s">
        <v>1</v>
      </c>
      <c r="E1722" s="35">
        <f>VLOOKUP(B1722, Passenger_Kilometre_by_mode_type[#All],MATCH(A1722, Passenger_Kilometre_by_mode_type[#Headers],0),0)</f>
        <v>202659444.47580478</v>
      </c>
      <c r="F1722" s="89">
        <f>VLOOKUP(C1722, Reason_for_public_transport_journeys_by_percentage[#All],MATCH(A1722, Reason_for_public_transport_journeys_by_percentage[#Headers],0),0)/100</f>
        <v>0.1585</v>
      </c>
      <c r="G1722" s="13">
        <f t="shared" si="132"/>
        <v>32121521.949415058</v>
      </c>
      <c r="H1722" s="89">
        <f>VLOOKUP(D1722,Average_Distance_by_kilometre_grouping_for_mode_type[#All],MATCH(A1722,Average_Distance_by_kilometre_grouping_for_mode_type[#Headers],0),0)</f>
        <v>41.2</v>
      </c>
      <c r="I1722" s="89">
        <f>VLOOKUP(D1722,Average_Distance_by_kilometres_grouping_for_trip_purpose[#All],MATCH(A1722,Average_Distance_by_kilometres_grouping_for_trip_purpose[#Headers],0),0)</f>
        <v>43.24</v>
      </c>
      <c r="J1722" s="89">
        <f t="shared" si="133"/>
        <v>42.22</v>
      </c>
      <c r="K1722" s="89">
        <f t="shared" si="134"/>
        <v>0.72518035039505324</v>
      </c>
      <c r="L1722" s="89">
        <v>1</v>
      </c>
      <c r="M1722" s="13">
        <f t="shared" si="135"/>
        <v>23293896.542499207</v>
      </c>
      <c r="N1722" s="11">
        <f t="shared" si="136"/>
        <v>3.6963473234759091E-4</v>
      </c>
    </row>
    <row r="1723" spans="1:14" x14ac:dyDescent="0.25">
      <c r="A1723" s="79" t="s">
        <v>36</v>
      </c>
      <c r="B1723" s="89" t="s">
        <v>11</v>
      </c>
      <c r="C1723" s="89" t="s">
        <v>44</v>
      </c>
      <c r="D1723" s="13" t="s">
        <v>12</v>
      </c>
      <c r="E1723" s="35">
        <f>VLOOKUP(B1723, Passenger_Kilometre_by_mode_type[#All],MATCH(A1723, Passenger_Kilometre_by_mode_type[#Headers],0),0)</f>
        <v>202659444.47580478</v>
      </c>
      <c r="F1723" s="89">
        <f>VLOOKUP(C1723, Reason_for_public_transport_journeys_by_percentage[#All],MATCH(A1723, Reason_for_public_transport_journeys_by_percentage[#Headers],0),0)/100</f>
        <v>0.19150000000000003</v>
      </c>
      <c r="G1723" s="13">
        <f t="shared" si="132"/>
        <v>38809283.617116623</v>
      </c>
      <c r="H1723" s="89">
        <f>VLOOKUP(D1723,Average_Distance_by_kilometre_grouping_for_mode_type[#All],MATCH(A1723,Average_Distance_by_kilometre_grouping_for_mode_type[#Headers],0),0)</f>
        <v>1</v>
      </c>
      <c r="I1723" s="89">
        <f>VLOOKUP(D1723,Average_Distance_by_kilometres_grouping_for_trip_purpose[#All],MATCH(A1723,Average_Distance_by_kilometres_grouping_for_trip_purpose[#Headers],0),0)</f>
        <v>1</v>
      </c>
      <c r="J1723" s="89">
        <f t="shared" si="133"/>
        <v>1</v>
      </c>
      <c r="K1723" s="89">
        <f t="shared" si="134"/>
        <v>1.7176228100309172E-2</v>
      </c>
      <c r="L1723" s="89">
        <v>1</v>
      </c>
      <c r="M1723" s="13">
        <f t="shared" si="135"/>
        <v>666597.10781718697</v>
      </c>
      <c r="N1723" s="11">
        <f t="shared" si="136"/>
        <v>1.057776843312313E-5</v>
      </c>
    </row>
    <row r="1724" spans="1:14" x14ac:dyDescent="0.25">
      <c r="A1724" s="79" t="s">
        <v>36</v>
      </c>
      <c r="B1724" s="89" t="s">
        <v>11</v>
      </c>
      <c r="C1724" s="89" t="s">
        <v>44</v>
      </c>
      <c r="D1724" s="13" t="s">
        <v>181</v>
      </c>
      <c r="E1724" s="35">
        <f>VLOOKUP(B1724, Passenger_Kilometre_by_mode_type[#All],MATCH(A1724, Passenger_Kilometre_by_mode_type[#Headers],0),0)</f>
        <v>202659444.47580478</v>
      </c>
      <c r="F1724" s="89">
        <f>VLOOKUP(C1724, Reason_for_public_transport_journeys_by_percentage[#All],MATCH(A1724, Reason_for_public_transport_journeys_by_percentage[#Headers],0),0)/100</f>
        <v>0.19150000000000003</v>
      </c>
      <c r="G1724" s="13">
        <f t="shared" si="132"/>
        <v>38809283.617116623</v>
      </c>
      <c r="H1724" s="89">
        <f>VLOOKUP(D1724,Average_Distance_by_kilometre_grouping_for_mode_type[#All],MATCH(A1724,Average_Distance_by_kilometre_grouping_for_mode_type[#Headers],0),0)</f>
        <v>3</v>
      </c>
      <c r="I1724" s="89">
        <f>VLOOKUP(D1724,Average_Distance_by_kilometres_grouping_for_trip_purpose[#All],MATCH(A1724,Average_Distance_by_kilometres_grouping_for_trip_purpose[#Headers],0),0)</f>
        <v>3</v>
      </c>
      <c r="J1724" s="89">
        <f t="shared" si="133"/>
        <v>3</v>
      </c>
      <c r="K1724" s="89">
        <f t="shared" si="134"/>
        <v>5.1528684300927517E-2</v>
      </c>
      <c r="L1724" s="89">
        <v>1</v>
      </c>
      <c r="M1724" s="13">
        <f t="shared" si="135"/>
        <v>1999791.3234515607</v>
      </c>
      <c r="N1724" s="11">
        <f t="shared" si="136"/>
        <v>3.1733305299369386E-5</v>
      </c>
    </row>
    <row r="1725" spans="1:14" x14ac:dyDescent="0.25">
      <c r="A1725" s="79" t="s">
        <v>36</v>
      </c>
      <c r="B1725" s="89" t="s">
        <v>11</v>
      </c>
      <c r="C1725" s="89" t="s">
        <v>44</v>
      </c>
      <c r="D1725" s="13" t="s">
        <v>180</v>
      </c>
      <c r="E1725" s="35">
        <f>VLOOKUP(B1725, Passenger_Kilometre_by_mode_type[#All],MATCH(A1725, Passenger_Kilometre_by_mode_type[#Headers],0),0)</f>
        <v>202659444.47580478</v>
      </c>
      <c r="F1725" s="89">
        <f>VLOOKUP(C1725, Reason_for_public_transport_journeys_by_percentage[#All],MATCH(A1725, Reason_for_public_transport_journeys_by_percentage[#Headers],0),0)/100</f>
        <v>0.19150000000000003</v>
      </c>
      <c r="G1725" s="13">
        <f t="shared" si="132"/>
        <v>38809283.617116623</v>
      </c>
      <c r="H1725" s="89">
        <f>VLOOKUP(D1725,Average_Distance_by_kilometre_grouping_for_mode_type[#All],MATCH(A1725,Average_Distance_by_kilometre_grouping_for_mode_type[#Headers],0),0)</f>
        <v>5</v>
      </c>
      <c r="I1725" s="89">
        <f>VLOOKUP(D1725,Average_Distance_by_kilometres_grouping_for_trip_purpose[#All],MATCH(A1725,Average_Distance_by_kilometres_grouping_for_trip_purpose[#Headers],0),0)</f>
        <v>5</v>
      </c>
      <c r="J1725" s="89">
        <f t="shared" si="133"/>
        <v>5</v>
      </c>
      <c r="K1725" s="89">
        <f t="shared" si="134"/>
        <v>8.5881140501545869E-2</v>
      </c>
      <c r="L1725" s="89">
        <v>1</v>
      </c>
      <c r="M1725" s="13">
        <f t="shared" si="135"/>
        <v>3332985.5390859349</v>
      </c>
      <c r="N1725" s="11">
        <f t="shared" si="136"/>
        <v>5.2888842165615645E-5</v>
      </c>
    </row>
    <row r="1726" spans="1:14" x14ac:dyDescent="0.25">
      <c r="A1726" s="79" t="s">
        <v>36</v>
      </c>
      <c r="B1726" s="89" t="s">
        <v>11</v>
      </c>
      <c r="C1726" s="89" t="s">
        <v>44</v>
      </c>
      <c r="D1726" s="13" t="s">
        <v>182</v>
      </c>
      <c r="E1726" s="35">
        <f>VLOOKUP(B1726, Passenger_Kilometre_by_mode_type[#All],MATCH(A1726, Passenger_Kilometre_by_mode_type[#Headers],0),0)</f>
        <v>202659444.47580478</v>
      </c>
      <c r="F1726" s="89">
        <f>VLOOKUP(C1726, Reason_for_public_transport_journeys_by_percentage[#All],MATCH(A1726, Reason_for_public_transport_journeys_by_percentage[#Headers],0),0)/100</f>
        <v>0.19150000000000003</v>
      </c>
      <c r="G1726" s="13">
        <f t="shared" si="132"/>
        <v>38809283.617116623</v>
      </c>
      <c r="H1726" s="89">
        <f>VLOOKUP(D1726,Average_Distance_by_kilometre_grouping_for_mode_type[#All],MATCH(A1726,Average_Distance_by_kilometre_grouping_for_mode_type[#Headers],0),0)</f>
        <v>7</v>
      </c>
      <c r="I1726" s="89">
        <f>VLOOKUP(D1726,Average_Distance_by_kilometres_grouping_for_trip_purpose[#All],MATCH(A1726,Average_Distance_by_kilometres_grouping_for_trip_purpose[#Headers],0),0)</f>
        <v>7</v>
      </c>
      <c r="J1726" s="89">
        <f t="shared" si="133"/>
        <v>7</v>
      </c>
      <c r="K1726" s="89">
        <f t="shared" si="134"/>
        <v>0.12023359670216421</v>
      </c>
      <c r="L1726" s="89">
        <v>1</v>
      </c>
      <c r="M1726" s="13">
        <f t="shared" si="135"/>
        <v>4666179.7547203088</v>
      </c>
      <c r="N1726" s="11">
        <f t="shared" si="136"/>
        <v>7.4044379031861898E-5</v>
      </c>
    </row>
    <row r="1727" spans="1:14" x14ac:dyDescent="0.25">
      <c r="A1727" s="79" t="s">
        <v>36</v>
      </c>
      <c r="B1727" s="89" t="s">
        <v>11</v>
      </c>
      <c r="C1727" s="89" t="s">
        <v>44</v>
      </c>
      <c r="D1727" s="13" t="s">
        <v>1</v>
      </c>
      <c r="E1727" s="35">
        <f>VLOOKUP(B1727, Passenger_Kilometre_by_mode_type[#All],MATCH(A1727, Passenger_Kilometre_by_mode_type[#Headers],0),0)</f>
        <v>202659444.47580478</v>
      </c>
      <c r="F1727" s="89">
        <f>VLOOKUP(C1727, Reason_for_public_transport_journeys_by_percentage[#All],MATCH(A1727, Reason_for_public_transport_journeys_by_percentage[#Headers],0),0)/100</f>
        <v>0.19150000000000003</v>
      </c>
      <c r="G1727" s="13">
        <f t="shared" si="132"/>
        <v>38809283.617116623</v>
      </c>
      <c r="H1727" s="89">
        <f>VLOOKUP(D1727,Average_Distance_by_kilometre_grouping_for_mode_type[#All],MATCH(A1727,Average_Distance_by_kilometre_grouping_for_mode_type[#Headers],0),0)</f>
        <v>41.2</v>
      </c>
      <c r="I1727" s="89">
        <f>VLOOKUP(D1727,Average_Distance_by_kilometres_grouping_for_trip_purpose[#All],MATCH(A1727,Average_Distance_by_kilometres_grouping_for_trip_purpose[#Headers],0),0)</f>
        <v>43.24</v>
      </c>
      <c r="J1727" s="89">
        <f t="shared" si="133"/>
        <v>42.22</v>
      </c>
      <c r="K1727" s="89">
        <f t="shared" si="134"/>
        <v>0.72518035039505324</v>
      </c>
      <c r="L1727" s="89">
        <v>1</v>
      </c>
      <c r="M1727" s="13">
        <f t="shared" si="135"/>
        <v>28143729.892041631</v>
      </c>
      <c r="N1727" s="11">
        <f t="shared" si="136"/>
        <v>4.4659338324645845E-4</v>
      </c>
    </row>
    <row r="1728" spans="1:14" x14ac:dyDescent="0.25">
      <c r="A1728" s="79" t="s">
        <v>36</v>
      </c>
      <c r="B1728" s="89" t="s">
        <v>11</v>
      </c>
      <c r="C1728" s="89" t="s">
        <v>45</v>
      </c>
      <c r="D1728" s="13" t="s">
        <v>12</v>
      </c>
      <c r="E1728" s="35">
        <f>VLOOKUP(B1728, Passenger_Kilometre_by_mode_type[#All],MATCH(A1728, Passenger_Kilometre_by_mode_type[#Headers],0),0)</f>
        <v>202659444.47580478</v>
      </c>
      <c r="F1728" s="89">
        <f>VLOOKUP(C1728, Reason_for_public_transport_journeys_by_percentage[#All],MATCH(A1728, Reason_for_public_transport_journeys_by_percentage[#Headers],0),0)/100</f>
        <v>3.4000000000000002E-2</v>
      </c>
      <c r="G1728" s="13">
        <f t="shared" si="132"/>
        <v>6890421.1121773627</v>
      </c>
      <c r="H1728" s="89">
        <f>VLOOKUP(D1728,Average_Distance_by_kilometre_grouping_for_mode_type[#All],MATCH(A1728,Average_Distance_by_kilometre_grouping_for_mode_type[#Headers],0),0)</f>
        <v>1</v>
      </c>
      <c r="I1728" s="89">
        <f>VLOOKUP(D1728,Average_Distance_by_kilometres_grouping_for_trip_purpose[#All],MATCH(A1728,Average_Distance_by_kilometres_grouping_for_trip_purpose[#Headers],0),0)</f>
        <v>1</v>
      </c>
      <c r="J1728" s="89">
        <f t="shared" si="133"/>
        <v>1</v>
      </c>
      <c r="K1728" s="89">
        <f t="shared" si="134"/>
        <v>1.7176228100309172E-2</v>
      </c>
      <c r="L1728" s="89">
        <v>1</v>
      </c>
      <c r="M1728" s="13">
        <f t="shared" si="135"/>
        <v>118351.4447299444</v>
      </c>
      <c r="N1728" s="11">
        <f t="shared" si="136"/>
        <v>1.8780372152803464E-6</v>
      </c>
    </row>
    <row r="1729" spans="1:14" x14ac:dyDescent="0.25">
      <c r="A1729" s="79" t="s">
        <v>36</v>
      </c>
      <c r="B1729" s="89" t="s">
        <v>11</v>
      </c>
      <c r="C1729" s="89" t="s">
        <v>45</v>
      </c>
      <c r="D1729" s="13" t="s">
        <v>181</v>
      </c>
      <c r="E1729" s="35">
        <f>VLOOKUP(B1729, Passenger_Kilometre_by_mode_type[#All],MATCH(A1729, Passenger_Kilometre_by_mode_type[#Headers],0),0)</f>
        <v>202659444.47580478</v>
      </c>
      <c r="F1729" s="89">
        <f>VLOOKUP(C1729, Reason_for_public_transport_journeys_by_percentage[#All],MATCH(A1729, Reason_for_public_transport_journeys_by_percentage[#Headers],0),0)/100</f>
        <v>3.4000000000000002E-2</v>
      </c>
      <c r="G1729" s="13">
        <f t="shared" si="132"/>
        <v>6890421.1121773627</v>
      </c>
      <c r="H1729" s="89">
        <f>VLOOKUP(D1729,Average_Distance_by_kilometre_grouping_for_mode_type[#All],MATCH(A1729,Average_Distance_by_kilometre_grouping_for_mode_type[#Headers],0),0)</f>
        <v>3</v>
      </c>
      <c r="I1729" s="89">
        <f>VLOOKUP(D1729,Average_Distance_by_kilometres_grouping_for_trip_purpose[#All],MATCH(A1729,Average_Distance_by_kilometres_grouping_for_trip_purpose[#Headers],0),0)</f>
        <v>3</v>
      </c>
      <c r="J1729" s="89">
        <f t="shared" si="133"/>
        <v>3</v>
      </c>
      <c r="K1729" s="89">
        <f t="shared" si="134"/>
        <v>5.1528684300927517E-2</v>
      </c>
      <c r="L1729" s="89">
        <v>1</v>
      </c>
      <c r="M1729" s="13">
        <f t="shared" si="135"/>
        <v>355054.3341898332</v>
      </c>
      <c r="N1729" s="11">
        <f t="shared" si="136"/>
        <v>5.6341116458410391E-6</v>
      </c>
    </row>
    <row r="1730" spans="1:14" x14ac:dyDescent="0.25">
      <c r="A1730" s="79" t="s">
        <v>36</v>
      </c>
      <c r="B1730" s="89" t="s">
        <v>11</v>
      </c>
      <c r="C1730" s="89" t="s">
        <v>45</v>
      </c>
      <c r="D1730" s="13" t="s">
        <v>180</v>
      </c>
      <c r="E1730" s="35">
        <f>VLOOKUP(B1730, Passenger_Kilometre_by_mode_type[#All],MATCH(A1730, Passenger_Kilometre_by_mode_type[#Headers],0),0)</f>
        <v>202659444.47580478</v>
      </c>
      <c r="F1730" s="89">
        <f>VLOOKUP(C1730, Reason_for_public_transport_journeys_by_percentage[#All],MATCH(A1730, Reason_for_public_transport_journeys_by_percentage[#Headers],0),0)/100</f>
        <v>3.4000000000000002E-2</v>
      </c>
      <c r="G1730" s="13">
        <f t="shared" si="132"/>
        <v>6890421.1121773627</v>
      </c>
      <c r="H1730" s="89">
        <f>VLOOKUP(D1730,Average_Distance_by_kilometre_grouping_for_mode_type[#All],MATCH(A1730,Average_Distance_by_kilometre_grouping_for_mode_type[#Headers],0),0)</f>
        <v>5</v>
      </c>
      <c r="I1730" s="89">
        <f>VLOOKUP(D1730,Average_Distance_by_kilometres_grouping_for_trip_purpose[#All],MATCH(A1730,Average_Distance_by_kilometres_grouping_for_trip_purpose[#Headers],0),0)</f>
        <v>5</v>
      </c>
      <c r="J1730" s="89">
        <f t="shared" si="133"/>
        <v>5</v>
      </c>
      <c r="K1730" s="89">
        <f t="shared" si="134"/>
        <v>8.5881140501545869E-2</v>
      </c>
      <c r="L1730" s="89">
        <v>1</v>
      </c>
      <c r="M1730" s="13">
        <f t="shared" si="135"/>
        <v>591757.22364972206</v>
      </c>
      <c r="N1730" s="11">
        <f t="shared" si="136"/>
        <v>9.3901860764017318E-6</v>
      </c>
    </row>
    <row r="1731" spans="1:14" x14ac:dyDescent="0.25">
      <c r="A1731" s="79" t="s">
        <v>36</v>
      </c>
      <c r="B1731" s="89" t="s">
        <v>11</v>
      </c>
      <c r="C1731" s="89" t="s">
        <v>45</v>
      </c>
      <c r="D1731" s="13" t="s">
        <v>182</v>
      </c>
      <c r="E1731" s="35">
        <f>VLOOKUP(B1731, Passenger_Kilometre_by_mode_type[#All],MATCH(A1731, Passenger_Kilometre_by_mode_type[#Headers],0),0)</f>
        <v>202659444.47580478</v>
      </c>
      <c r="F1731" s="89">
        <f>VLOOKUP(C1731, Reason_for_public_transport_journeys_by_percentage[#All],MATCH(A1731, Reason_for_public_transport_journeys_by_percentage[#Headers],0),0)/100</f>
        <v>3.4000000000000002E-2</v>
      </c>
      <c r="G1731" s="13">
        <f t="shared" si="132"/>
        <v>6890421.1121773627</v>
      </c>
      <c r="H1731" s="89">
        <f>VLOOKUP(D1731,Average_Distance_by_kilometre_grouping_for_mode_type[#All],MATCH(A1731,Average_Distance_by_kilometre_grouping_for_mode_type[#Headers],0),0)</f>
        <v>7</v>
      </c>
      <c r="I1731" s="89">
        <f>VLOOKUP(D1731,Average_Distance_by_kilometres_grouping_for_trip_purpose[#All],MATCH(A1731,Average_Distance_by_kilometres_grouping_for_trip_purpose[#Headers],0),0)</f>
        <v>7</v>
      </c>
      <c r="J1731" s="89">
        <f t="shared" si="133"/>
        <v>7</v>
      </c>
      <c r="K1731" s="89">
        <f t="shared" si="134"/>
        <v>0.12023359670216421</v>
      </c>
      <c r="L1731" s="89">
        <v>1</v>
      </c>
      <c r="M1731" s="13">
        <f t="shared" si="135"/>
        <v>828460.11310961086</v>
      </c>
      <c r="N1731" s="11">
        <f t="shared" si="136"/>
        <v>1.3146260506962425E-5</v>
      </c>
    </row>
    <row r="1732" spans="1:14" x14ac:dyDescent="0.25">
      <c r="A1732" s="79" t="s">
        <v>36</v>
      </c>
      <c r="B1732" s="89" t="s">
        <v>11</v>
      </c>
      <c r="C1732" s="89" t="s">
        <v>45</v>
      </c>
      <c r="D1732" s="13" t="s">
        <v>1</v>
      </c>
      <c r="E1732" s="35">
        <f>VLOOKUP(B1732, Passenger_Kilometre_by_mode_type[#All],MATCH(A1732, Passenger_Kilometre_by_mode_type[#Headers],0),0)</f>
        <v>202659444.47580478</v>
      </c>
      <c r="F1732" s="89">
        <f>VLOOKUP(C1732, Reason_for_public_transport_journeys_by_percentage[#All],MATCH(A1732, Reason_for_public_transport_journeys_by_percentage[#Headers],0),0)/100</f>
        <v>3.4000000000000002E-2</v>
      </c>
      <c r="G1732" s="13">
        <f t="shared" ref="G1732:G1795" si="137">E1732*F1732</f>
        <v>6890421.1121773627</v>
      </c>
      <c r="H1732" s="89">
        <f>VLOOKUP(D1732,Average_Distance_by_kilometre_grouping_for_mode_type[#All],MATCH(A1732,Average_Distance_by_kilometre_grouping_for_mode_type[#Headers],0),0)</f>
        <v>41.2</v>
      </c>
      <c r="I1732" s="89">
        <f>VLOOKUP(D1732,Average_Distance_by_kilometres_grouping_for_trip_purpose[#All],MATCH(A1732,Average_Distance_by_kilometres_grouping_for_trip_purpose[#Headers],0),0)</f>
        <v>43.24</v>
      </c>
      <c r="J1732" s="89">
        <f t="shared" ref="J1732:J1795" si="138">AVERAGE(H1732:I1732)</f>
        <v>42.22</v>
      </c>
      <c r="K1732" s="89">
        <f t="shared" ref="K1732:K1795" si="139">J1732/SUM(J1732:J1736)</f>
        <v>0.72518035039505324</v>
      </c>
      <c r="L1732" s="89">
        <v>1</v>
      </c>
      <c r="M1732" s="13">
        <f t="shared" ref="M1732:M1795" si="140">G1732*K1732*L1732</f>
        <v>4996797.9964982523</v>
      </c>
      <c r="N1732" s="11">
        <f t="shared" si="136"/>
        <v>7.929073122913621E-5</v>
      </c>
    </row>
    <row r="1733" spans="1:14" x14ac:dyDescent="0.25">
      <c r="A1733" s="79" t="s">
        <v>36</v>
      </c>
      <c r="B1733" s="89" t="s">
        <v>11</v>
      </c>
      <c r="C1733" s="89" t="s">
        <v>56</v>
      </c>
      <c r="D1733" s="13" t="s">
        <v>12</v>
      </c>
      <c r="E1733" s="35">
        <f>VLOOKUP(B1733, Passenger_Kilometre_by_mode_type[#All],MATCH(A1733, Passenger_Kilometre_by_mode_type[#Headers],0),0)</f>
        <v>202659444.47580478</v>
      </c>
      <c r="F1733" s="89">
        <f>VLOOKUP(C1733, Reason_for_public_transport_journeys_by_percentage[#All],MATCH(A1733, Reason_for_public_transport_journeys_by_percentage[#Headers],0),0)/100</f>
        <v>7.0750000000000007E-2</v>
      </c>
      <c r="G1733" s="13">
        <f t="shared" si="137"/>
        <v>14338155.69666319</v>
      </c>
      <c r="H1733" s="89">
        <f>VLOOKUP(D1733,Average_Distance_by_kilometre_grouping_for_mode_type[#All],MATCH(A1733,Average_Distance_by_kilometre_grouping_for_mode_type[#Headers],0),0)</f>
        <v>1</v>
      </c>
      <c r="I1733" s="89">
        <f>VLOOKUP(D1733,Average_Distance_by_kilometres_grouping_for_trip_purpose[#All],MATCH(A1733,Average_Distance_by_kilometres_grouping_for_trip_purpose[#Headers],0),0)</f>
        <v>1</v>
      </c>
      <c r="J1733" s="89">
        <f t="shared" si="138"/>
        <v>1</v>
      </c>
      <c r="K1733" s="89">
        <f t="shared" si="139"/>
        <v>1.7176228100309172E-2</v>
      </c>
      <c r="L1733" s="89">
        <v>1</v>
      </c>
      <c r="M1733" s="13">
        <f t="shared" si="140"/>
        <v>246275.43278363431</v>
      </c>
      <c r="N1733" s="11">
        <f t="shared" si="136"/>
        <v>3.9079744994436619E-6</v>
      </c>
    </row>
    <row r="1734" spans="1:14" x14ac:dyDescent="0.25">
      <c r="A1734" s="79" t="s">
        <v>36</v>
      </c>
      <c r="B1734" s="89" t="s">
        <v>11</v>
      </c>
      <c r="C1734" s="89" t="s">
        <v>56</v>
      </c>
      <c r="D1734" s="13" t="s">
        <v>181</v>
      </c>
      <c r="E1734" s="35">
        <f>VLOOKUP(B1734, Passenger_Kilometre_by_mode_type[#All],MATCH(A1734, Passenger_Kilometre_by_mode_type[#Headers],0),0)</f>
        <v>202659444.47580478</v>
      </c>
      <c r="F1734" s="89">
        <f>VLOOKUP(C1734, Reason_for_public_transport_journeys_by_percentage[#All],MATCH(A1734, Reason_for_public_transport_journeys_by_percentage[#Headers],0),0)/100</f>
        <v>7.0750000000000007E-2</v>
      </c>
      <c r="G1734" s="13">
        <f t="shared" si="137"/>
        <v>14338155.69666319</v>
      </c>
      <c r="H1734" s="89">
        <f>VLOOKUP(D1734,Average_Distance_by_kilometre_grouping_for_mode_type[#All],MATCH(A1734,Average_Distance_by_kilometre_grouping_for_mode_type[#Headers],0),0)</f>
        <v>3</v>
      </c>
      <c r="I1734" s="89">
        <f>VLOOKUP(D1734,Average_Distance_by_kilometres_grouping_for_trip_purpose[#All],MATCH(A1734,Average_Distance_by_kilometres_grouping_for_trip_purpose[#Headers],0),0)</f>
        <v>3</v>
      </c>
      <c r="J1734" s="89">
        <f t="shared" si="138"/>
        <v>3</v>
      </c>
      <c r="K1734" s="89">
        <f t="shared" si="139"/>
        <v>5.1528684300927517E-2</v>
      </c>
      <c r="L1734" s="89">
        <v>1</v>
      </c>
      <c r="M1734" s="13">
        <f t="shared" si="140"/>
        <v>738826.29835090297</v>
      </c>
      <c r="N1734" s="11">
        <f t="shared" si="136"/>
        <v>1.1723923498330987E-5</v>
      </c>
    </row>
    <row r="1735" spans="1:14" x14ac:dyDescent="0.25">
      <c r="A1735" s="79" t="s">
        <v>36</v>
      </c>
      <c r="B1735" s="89" t="s">
        <v>11</v>
      </c>
      <c r="C1735" s="89" t="s">
        <v>56</v>
      </c>
      <c r="D1735" s="13" t="s">
        <v>180</v>
      </c>
      <c r="E1735" s="35">
        <f>VLOOKUP(B1735, Passenger_Kilometre_by_mode_type[#All],MATCH(A1735, Passenger_Kilometre_by_mode_type[#Headers],0),0)</f>
        <v>202659444.47580478</v>
      </c>
      <c r="F1735" s="89">
        <f>VLOOKUP(C1735, Reason_for_public_transport_journeys_by_percentage[#All],MATCH(A1735, Reason_for_public_transport_journeys_by_percentage[#Headers],0),0)/100</f>
        <v>7.0750000000000007E-2</v>
      </c>
      <c r="G1735" s="13">
        <f t="shared" si="137"/>
        <v>14338155.69666319</v>
      </c>
      <c r="H1735" s="89">
        <f>VLOOKUP(D1735,Average_Distance_by_kilometre_grouping_for_mode_type[#All],MATCH(A1735,Average_Distance_by_kilometre_grouping_for_mode_type[#Headers],0),0)</f>
        <v>5</v>
      </c>
      <c r="I1735" s="89">
        <f>VLOOKUP(D1735,Average_Distance_by_kilometres_grouping_for_trip_purpose[#All],MATCH(A1735,Average_Distance_by_kilometres_grouping_for_trip_purpose[#Headers],0),0)</f>
        <v>5</v>
      </c>
      <c r="J1735" s="89">
        <f t="shared" si="138"/>
        <v>5</v>
      </c>
      <c r="K1735" s="89">
        <f t="shared" si="139"/>
        <v>8.5881140501545869E-2</v>
      </c>
      <c r="L1735" s="89">
        <v>1</v>
      </c>
      <c r="M1735" s="13">
        <f t="shared" si="140"/>
        <v>1231377.1639181718</v>
      </c>
      <c r="N1735" s="11">
        <f t="shared" si="136"/>
        <v>1.9539872497218314E-5</v>
      </c>
    </row>
    <row r="1736" spans="1:14" x14ac:dyDescent="0.25">
      <c r="A1736" s="79" t="s">
        <v>36</v>
      </c>
      <c r="B1736" s="89" t="s">
        <v>11</v>
      </c>
      <c r="C1736" s="89" t="s">
        <v>56</v>
      </c>
      <c r="D1736" s="13" t="s">
        <v>182</v>
      </c>
      <c r="E1736" s="35">
        <f>VLOOKUP(B1736, Passenger_Kilometre_by_mode_type[#All],MATCH(A1736, Passenger_Kilometre_by_mode_type[#Headers],0),0)</f>
        <v>202659444.47580478</v>
      </c>
      <c r="F1736" s="89">
        <f>VLOOKUP(C1736, Reason_for_public_transport_journeys_by_percentage[#All],MATCH(A1736, Reason_for_public_transport_journeys_by_percentage[#Headers],0),0)/100</f>
        <v>7.0750000000000007E-2</v>
      </c>
      <c r="G1736" s="13">
        <f t="shared" si="137"/>
        <v>14338155.69666319</v>
      </c>
      <c r="H1736" s="89">
        <f>VLOOKUP(D1736,Average_Distance_by_kilometre_grouping_for_mode_type[#All],MATCH(A1736,Average_Distance_by_kilometre_grouping_for_mode_type[#Headers],0),0)</f>
        <v>7</v>
      </c>
      <c r="I1736" s="89">
        <f>VLOOKUP(D1736,Average_Distance_by_kilometres_grouping_for_trip_purpose[#All],MATCH(A1736,Average_Distance_by_kilometres_grouping_for_trip_purpose[#Headers],0),0)</f>
        <v>7</v>
      </c>
      <c r="J1736" s="89">
        <f t="shared" si="138"/>
        <v>7</v>
      </c>
      <c r="K1736" s="89">
        <f t="shared" si="139"/>
        <v>0.12023359670216421</v>
      </c>
      <c r="L1736" s="89">
        <v>1</v>
      </c>
      <c r="M1736" s="13">
        <f t="shared" si="140"/>
        <v>1723928.0294854403</v>
      </c>
      <c r="N1736" s="11">
        <f t="shared" si="136"/>
        <v>2.7355821496105636E-5</v>
      </c>
    </row>
    <row r="1737" spans="1:14" x14ac:dyDescent="0.25">
      <c r="A1737" s="79" t="s">
        <v>36</v>
      </c>
      <c r="B1737" s="89" t="s">
        <v>11</v>
      </c>
      <c r="C1737" s="89" t="s">
        <v>56</v>
      </c>
      <c r="D1737" s="13" t="s">
        <v>1</v>
      </c>
      <c r="E1737" s="35">
        <f>VLOOKUP(B1737, Passenger_Kilometre_by_mode_type[#All],MATCH(A1737, Passenger_Kilometre_by_mode_type[#Headers],0),0)</f>
        <v>202659444.47580478</v>
      </c>
      <c r="F1737" s="89">
        <f>VLOOKUP(C1737, Reason_for_public_transport_journeys_by_percentage[#All],MATCH(A1737, Reason_for_public_transport_journeys_by_percentage[#Headers],0),0)/100</f>
        <v>7.0750000000000007E-2</v>
      </c>
      <c r="G1737" s="13">
        <f t="shared" si="137"/>
        <v>14338155.69666319</v>
      </c>
      <c r="H1737" s="89">
        <f>VLOOKUP(D1737,Average_Distance_by_kilometre_grouping_for_mode_type[#All],MATCH(A1737,Average_Distance_by_kilometre_grouping_for_mode_type[#Headers],0),0)</f>
        <v>41.2</v>
      </c>
      <c r="I1737" s="89">
        <f>VLOOKUP(D1737,Average_Distance_by_kilometres_grouping_for_trip_purpose[#All],MATCH(A1737,Average_Distance_by_kilometres_grouping_for_trip_purpose[#Headers],0),0)</f>
        <v>43.24</v>
      </c>
      <c r="J1737" s="89">
        <f t="shared" si="138"/>
        <v>42.22</v>
      </c>
      <c r="K1737" s="89">
        <f t="shared" si="139"/>
        <v>0.72518035039505324</v>
      </c>
      <c r="L1737" s="89">
        <v>1</v>
      </c>
      <c r="M1737" s="13">
        <f t="shared" si="140"/>
        <v>10397748.772125041</v>
      </c>
      <c r="N1737" s="11">
        <f t="shared" si="136"/>
        <v>1.6499468336651142E-4</v>
      </c>
    </row>
    <row r="1738" spans="1:14" x14ac:dyDescent="0.25">
      <c r="A1738" s="79" t="s">
        <v>36</v>
      </c>
      <c r="B1738" s="89" t="s">
        <v>11</v>
      </c>
      <c r="C1738" s="89" t="s">
        <v>57</v>
      </c>
      <c r="D1738" s="13" t="s">
        <v>12</v>
      </c>
      <c r="E1738" s="35">
        <f>VLOOKUP(B1738, Passenger_Kilometre_by_mode_type[#All],MATCH(A1738, Passenger_Kilometre_by_mode_type[#Headers],0),0)</f>
        <v>202659444.47580478</v>
      </c>
      <c r="F1738" s="89">
        <f>VLOOKUP(C1738, Reason_for_public_transport_journeys_by_percentage[#All],MATCH(A1738, Reason_for_public_transport_journeys_by_percentage[#Headers],0),0)/100</f>
        <v>9.375E-2</v>
      </c>
      <c r="G1738" s="13">
        <f t="shared" si="137"/>
        <v>18999322.919606697</v>
      </c>
      <c r="H1738" s="89">
        <f>VLOOKUP(D1738,Average_Distance_by_kilometre_grouping_for_mode_type[#All],MATCH(A1738,Average_Distance_by_kilometre_grouping_for_mode_type[#Headers],0),0)</f>
        <v>1</v>
      </c>
      <c r="I1738" s="89">
        <f>VLOOKUP(D1738,Average_Distance_by_kilometres_grouping_for_trip_purpose[#All],MATCH(A1738,Average_Distance_by_kilometres_grouping_for_trip_purpose[#Headers],0),0)</f>
        <v>1</v>
      </c>
      <c r="J1738" s="89">
        <f t="shared" si="138"/>
        <v>1</v>
      </c>
      <c r="K1738" s="89">
        <f t="shared" si="139"/>
        <v>1.7176228100309172E-2</v>
      </c>
      <c r="L1738" s="89">
        <v>1</v>
      </c>
      <c r="M1738" s="13">
        <f t="shared" si="140"/>
        <v>326336.70421859663</v>
      </c>
      <c r="N1738" s="11">
        <f t="shared" si="136"/>
        <v>5.1784114391921307E-6</v>
      </c>
    </row>
    <row r="1739" spans="1:14" x14ac:dyDescent="0.25">
      <c r="A1739" s="79" t="s">
        <v>36</v>
      </c>
      <c r="B1739" s="89" t="s">
        <v>11</v>
      </c>
      <c r="C1739" s="89" t="s">
        <v>57</v>
      </c>
      <c r="D1739" s="13" t="s">
        <v>181</v>
      </c>
      <c r="E1739" s="35">
        <f>VLOOKUP(B1739, Passenger_Kilometre_by_mode_type[#All],MATCH(A1739, Passenger_Kilometre_by_mode_type[#Headers],0),0)</f>
        <v>202659444.47580478</v>
      </c>
      <c r="F1739" s="89">
        <f>VLOOKUP(C1739, Reason_for_public_transport_journeys_by_percentage[#All],MATCH(A1739, Reason_for_public_transport_journeys_by_percentage[#Headers],0),0)/100</f>
        <v>9.375E-2</v>
      </c>
      <c r="G1739" s="13">
        <f t="shared" si="137"/>
        <v>18999322.919606697</v>
      </c>
      <c r="H1739" s="89">
        <f>VLOOKUP(D1739,Average_Distance_by_kilometre_grouping_for_mode_type[#All],MATCH(A1739,Average_Distance_by_kilometre_grouping_for_mode_type[#Headers],0),0)</f>
        <v>3</v>
      </c>
      <c r="I1739" s="89">
        <f>VLOOKUP(D1739,Average_Distance_by_kilometres_grouping_for_trip_purpose[#All],MATCH(A1739,Average_Distance_by_kilometres_grouping_for_trip_purpose[#Headers],0),0)</f>
        <v>3</v>
      </c>
      <c r="J1739" s="89">
        <f t="shared" si="138"/>
        <v>3</v>
      </c>
      <c r="K1739" s="89">
        <f t="shared" si="139"/>
        <v>5.1528684300927517E-2</v>
      </c>
      <c r="L1739" s="89">
        <v>1</v>
      </c>
      <c r="M1739" s="13">
        <f t="shared" si="140"/>
        <v>979010.11265578994</v>
      </c>
      <c r="N1739" s="11">
        <f t="shared" si="136"/>
        <v>1.5535234317576392E-5</v>
      </c>
    </row>
    <row r="1740" spans="1:14" x14ac:dyDescent="0.25">
      <c r="A1740" s="79" t="s">
        <v>36</v>
      </c>
      <c r="B1740" s="89" t="s">
        <v>11</v>
      </c>
      <c r="C1740" s="89" t="s">
        <v>57</v>
      </c>
      <c r="D1740" s="13" t="s">
        <v>180</v>
      </c>
      <c r="E1740" s="35">
        <f>VLOOKUP(B1740, Passenger_Kilometre_by_mode_type[#All],MATCH(A1740, Passenger_Kilometre_by_mode_type[#Headers],0),0)</f>
        <v>202659444.47580478</v>
      </c>
      <c r="F1740" s="89">
        <f>VLOOKUP(C1740, Reason_for_public_transport_journeys_by_percentage[#All],MATCH(A1740, Reason_for_public_transport_journeys_by_percentage[#Headers],0),0)/100</f>
        <v>9.375E-2</v>
      </c>
      <c r="G1740" s="13">
        <f t="shared" si="137"/>
        <v>18999322.919606697</v>
      </c>
      <c r="H1740" s="89">
        <f>VLOOKUP(D1740,Average_Distance_by_kilometre_grouping_for_mode_type[#All],MATCH(A1740,Average_Distance_by_kilometre_grouping_for_mode_type[#Headers],0),0)</f>
        <v>5</v>
      </c>
      <c r="I1740" s="89">
        <f>VLOOKUP(D1740,Average_Distance_by_kilometres_grouping_for_trip_purpose[#All],MATCH(A1740,Average_Distance_by_kilometres_grouping_for_trip_purpose[#Headers],0),0)</f>
        <v>5</v>
      </c>
      <c r="J1740" s="89">
        <f t="shared" si="138"/>
        <v>5</v>
      </c>
      <c r="K1740" s="89">
        <f t="shared" si="139"/>
        <v>8.5881140501545869E-2</v>
      </c>
      <c r="L1740" s="89">
        <v>1</v>
      </c>
      <c r="M1740" s="13">
        <f t="shared" si="140"/>
        <v>1631683.5210929834</v>
      </c>
      <c r="N1740" s="11">
        <f t="shared" si="136"/>
        <v>2.5892057195960657E-5</v>
      </c>
    </row>
    <row r="1741" spans="1:14" x14ac:dyDescent="0.25">
      <c r="A1741" s="79" t="s">
        <v>36</v>
      </c>
      <c r="B1741" s="89" t="s">
        <v>11</v>
      </c>
      <c r="C1741" s="89" t="s">
        <v>57</v>
      </c>
      <c r="D1741" s="13" t="s">
        <v>182</v>
      </c>
      <c r="E1741" s="35">
        <f>VLOOKUP(B1741, Passenger_Kilometre_by_mode_type[#All],MATCH(A1741, Passenger_Kilometre_by_mode_type[#Headers],0),0)</f>
        <v>202659444.47580478</v>
      </c>
      <c r="F1741" s="89">
        <f>VLOOKUP(C1741, Reason_for_public_transport_journeys_by_percentage[#All],MATCH(A1741, Reason_for_public_transport_journeys_by_percentage[#Headers],0),0)/100</f>
        <v>9.375E-2</v>
      </c>
      <c r="G1741" s="13">
        <f t="shared" si="137"/>
        <v>18999322.919606697</v>
      </c>
      <c r="H1741" s="89">
        <f>VLOOKUP(D1741,Average_Distance_by_kilometre_grouping_for_mode_type[#All],MATCH(A1741,Average_Distance_by_kilometre_grouping_for_mode_type[#Headers],0),0)</f>
        <v>7</v>
      </c>
      <c r="I1741" s="89">
        <f>VLOOKUP(D1741,Average_Distance_by_kilometres_grouping_for_trip_purpose[#All],MATCH(A1741,Average_Distance_by_kilometres_grouping_for_trip_purpose[#Headers],0),0)</f>
        <v>7</v>
      </c>
      <c r="J1741" s="89">
        <f t="shared" si="138"/>
        <v>7</v>
      </c>
      <c r="K1741" s="89">
        <f t="shared" si="139"/>
        <v>0.12023359670216421</v>
      </c>
      <c r="L1741" s="89">
        <v>1</v>
      </c>
      <c r="M1741" s="13">
        <f t="shared" si="140"/>
        <v>2284356.9295301768</v>
      </c>
      <c r="N1741" s="11">
        <f t="shared" si="136"/>
        <v>3.6248880074344918E-5</v>
      </c>
    </row>
    <row r="1742" spans="1:14" x14ac:dyDescent="0.25">
      <c r="A1742" s="79" t="s">
        <v>36</v>
      </c>
      <c r="B1742" s="89" t="s">
        <v>11</v>
      </c>
      <c r="C1742" s="89" t="s">
        <v>57</v>
      </c>
      <c r="D1742" s="13" t="s">
        <v>1</v>
      </c>
      <c r="E1742" s="35">
        <f>VLOOKUP(B1742, Passenger_Kilometre_by_mode_type[#All],MATCH(A1742, Passenger_Kilometre_by_mode_type[#Headers],0),0)</f>
        <v>202659444.47580478</v>
      </c>
      <c r="F1742" s="89">
        <f>VLOOKUP(C1742, Reason_for_public_transport_journeys_by_percentage[#All],MATCH(A1742, Reason_for_public_transport_journeys_by_percentage[#Headers],0),0)/100</f>
        <v>9.375E-2</v>
      </c>
      <c r="G1742" s="13">
        <f t="shared" si="137"/>
        <v>18999322.919606697</v>
      </c>
      <c r="H1742" s="89">
        <f>VLOOKUP(D1742,Average_Distance_by_kilometre_grouping_for_mode_type[#All],MATCH(A1742,Average_Distance_by_kilometre_grouping_for_mode_type[#Headers],0),0)</f>
        <v>41.2</v>
      </c>
      <c r="I1742" s="89">
        <f>VLOOKUP(D1742,Average_Distance_by_kilometres_grouping_for_trip_purpose[#All],MATCH(A1742,Average_Distance_by_kilometres_grouping_for_trip_purpose[#Headers],0),0)</f>
        <v>43.24</v>
      </c>
      <c r="J1742" s="89">
        <f t="shared" si="138"/>
        <v>42.22</v>
      </c>
      <c r="K1742" s="89">
        <f t="shared" si="139"/>
        <v>0.72518035039505324</v>
      </c>
      <c r="L1742" s="89">
        <v>1</v>
      </c>
      <c r="M1742" s="13">
        <f t="shared" si="140"/>
        <v>13777935.65210915</v>
      </c>
      <c r="N1742" s="11">
        <f t="shared" si="136"/>
        <v>2.1863253096269175E-4</v>
      </c>
    </row>
    <row r="1743" spans="1:14" x14ac:dyDescent="0.25">
      <c r="A1743" s="79" t="s">
        <v>36</v>
      </c>
      <c r="B1743" s="89" t="s">
        <v>11</v>
      </c>
      <c r="C1743" s="89" t="s">
        <v>93</v>
      </c>
      <c r="D1743" s="13" t="s">
        <v>12</v>
      </c>
      <c r="E1743" s="35">
        <f>VLOOKUP(B1743, Passenger_Kilometre_by_mode_type[#All],MATCH(A1743, Passenger_Kilometre_by_mode_type[#Headers],0),0)</f>
        <v>202659444.47580478</v>
      </c>
      <c r="F1743" s="89">
        <f>VLOOKUP(C1743, Reason_for_public_transport_journeys_by_percentage[#All],MATCH(A1743, Reason_for_public_transport_journeys_by_percentage[#Headers],0),0)/100</f>
        <v>4.5749999999999992E-2</v>
      </c>
      <c r="G1743" s="13">
        <f t="shared" si="137"/>
        <v>9271669.5847680662</v>
      </c>
      <c r="H1743" s="89">
        <f>VLOOKUP(D1743,Average_Distance_by_kilometre_grouping_for_mode_type[#All],MATCH(A1743,Average_Distance_by_kilometre_grouping_for_mode_type[#Headers],0),0)</f>
        <v>1</v>
      </c>
      <c r="I1743" s="89">
        <f>VLOOKUP(D1743,Average_Distance_by_kilometres_grouping_for_trip_purpose[#All],MATCH(A1743,Average_Distance_by_kilometres_grouping_for_trip_purpose[#Headers],0),0)</f>
        <v>1</v>
      </c>
      <c r="J1743" s="89">
        <f t="shared" si="138"/>
        <v>1</v>
      </c>
      <c r="K1743" s="89">
        <f t="shared" si="139"/>
        <v>1.7176228100309172E-2</v>
      </c>
      <c r="L1743" s="89">
        <v>1</v>
      </c>
      <c r="M1743" s="13">
        <f t="shared" si="140"/>
        <v>159252.31165867514</v>
      </c>
      <c r="N1743" s="11">
        <f t="shared" si="136"/>
        <v>2.5270647823257594E-6</v>
      </c>
    </row>
    <row r="1744" spans="1:14" x14ac:dyDescent="0.25">
      <c r="A1744" s="79" t="s">
        <v>36</v>
      </c>
      <c r="B1744" s="89" t="s">
        <v>11</v>
      </c>
      <c r="C1744" s="89" t="s">
        <v>93</v>
      </c>
      <c r="D1744" s="13" t="s">
        <v>181</v>
      </c>
      <c r="E1744" s="35">
        <f>VLOOKUP(B1744, Passenger_Kilometre_by_mode_type[#All],MATCH(A1744, Passenger_Kilometre_by_mode_type[#Headers],0),0)</f>
        <v>202659444.47580478</v>
      </c>
      <c r="F1744" s="89">
        <f>VLOOKUP(C1744, Reason_for_public_transport_journeys_by_percentage[#All],MATCH(A1744, Reason_for_public_transport_journeys_by_percentage[#Headers],0),0)/100</f>
        <v>4.5749999999999992E-2</v>
      </c>
      <c r="G1744" s="13">
        <f t="shared" si="137"/>
        <v>9271669.5847680662</v>
      </c>
      <c r="H1744" s="89">
        <f>VLOOKUP(D1744,Average_Distance_by_kilometre_grouping_for_mode_type[#All],MATCH(A1744,Average_Distance_by_kilometre_grouping_for_mode_type[#Headers],0),0)</f>
        <v>3</v>
      </c>
      <c r="I1744" s="89">
        <f>VLOOKUP(D1744,Average_Distance_by_kilometres_grouping_for_trip_purpose[#All],MATCH(A1744,Average_Distance_by_kilometres_grouping_for_trip_purpose[#Headers],0),0)</f>
        <v>3</v>
      </c>
      <c r="J1744" s="89">
        <f t="shared" si="138"/>
        <v>3</v>
      </c>
      <c r="K1744" s="89">
        <f t="shared" si="139"/>
        <v>5.1528684300927517E-2</v>
      </c>
      <c r="L1744" s="89">
        <v>1</v>
      </c>
      <c r="M1744" s="13">
        <f t="shared" si="140"/>
        <v>477756.93497602543</v>
      </c>
      <c r="N1744" s="11">
        <f t="shared" si="136"/>
        <v>7.5811943469772778E-6</v>
      </c>
    </row>
    <row r="1745" spans="1:14" x14ac:dyDescent="0.25">
      <c r="A1745" s="79" t="s">
        <v>36</v>
      </c>
      <c r="B1745" s="89" t="s">
        <v>11</v>
      </c>
      <c r="C1745" s="89" t="s">
        <v>93</v>
      </c>
      <c r="D1745" s="13" t="s">
        <v>180</v>
      </c>
      <c r="E1745" s="35">
        <f>VLOOKUP(B1745, Passenger_Kilometre_by_mode_type[#All],MATCH(A1745, Passenger_Kilometre_by_mode_type[#Headers],0),0)</f>
        <v>202659444.47580478</v>
      </c>
      <c r="F1745" s="89">
        <f>VLOOKUP(C1745, Reason_for_public_transport_journeys_by_percentage[#All],MATCH(A1745, Reason_for_public_transport_journeys_by_percentage[#Headers],0),0)/100</f>
        <v>4.5749999999999992E-2</v>
      </c>
      <c r="G1745" s="13">
        <f t="shared" si="137"/>
        <v>9271669.5847680662</v>
      </c>
      <c r="H1745" s="89">
        <f>VLOOKUP(D1745,Average_Distance_by_kilometre_grouping_for_mode_type[#All],MATCH(A1745,Average_Distance_by_kilometre_grouping_for_mode_type[#Headers],0),0)</f>
        <v>5</v>
      </c>
      <c r="I1745" s="89">
        <f>VLOOKUP(D1745,Average_Distance_by_kilometres_grouping_for_trip_purpose[#All],MATCH(A1745,Average_Distance_by_kilometres_grouping_for_trip_purpose[#Headers],0),0)</f>
        <v>5</v>
      </c>
      <c r="J1745" s="89">
        <f t="shared" si="138"/>
        <v>5</v>
      </c>
      <c r="K1745" s="89">
        <f t="shared" si="139"/>
        <v>8.5881140501545869E-2</v>
      </c>
      <c r="L1745" s="89">
        <v>1</v>
      </c>
      <c r="M1745" s="13">
        <f t="shared" si="140"/>
        <v>796261.55829337577</v>
      </c>
      <c r="N1745" s="11">
        <f t="shared" si="136"/>
        <v>1.2635323911628798E-5</v>
      </c>
    </row>
    <row r="1746" spans="1:14" x14ac:dyDescent="0.25">
      <c r="A1746" s="79" t="s">
        <v>36</v>
      </c>
      <c r="B1746" s="89" t="s">
        <v>11</v>
      </c>
      <c r="C1746" s="89" t="s">
        <v>93</v>
      </c>
      <c r="D1746" s="13" t="s">
        <v>182</v>
      </c>
      <c r="E1746" s="35">
        <f>VLOOKUP(B1746, Passenger_Kilometre_by_mode_type[#All],MATCH(A1746, Passenger_Kilometre_by_mode_type[#Headers],0),0)</f>
        <v>202659444.47580478</v>
      </c>
      <c r="F1746" s="89">
        <f>VLOOKUP(C1746, Reason_for_public_transport_journeys_by_percentage[#All],MATCH(A1746, Reason_for_public_transport_journeys_by_percentage[#Headers],0),0)/100</f>
        <v>4.5749999999999992E-2</v>
      </c>
      <c r="G1746" s="13">
        <f t="shared" si="137"/>
        <v>9271669.5847680662</v>
      </c>
      <c r="H1746" s="89">
        <f>VLOOKUP(D1746,Average_Distance_by_kilometre_grouping_for_mode_type[#All],MATCH(A1746,Average_Distance_by_kilometre_grouping_for_mode_type[#Headers],0),0)</f>
        <v>7</v>
      </c>
      <c r="I1746" s="89">
        <f>VLOOKUP(D1746,Average_Distance_by_kilometres_grouping_for_trip_purpose[#All],MATCH(A1746,Average_Distance_by_kilometres_grouping_for_trip_purpose[#Headers],0),0)</f>
        <v>7</v>
      </c>
      <c r="J1746" s="89">
        <f t="shared" si="138"/>
        <v>7</v>
      </c>
      <c r="K1746" s="89">
        <f t="shared" si="139"/>
        <v>0.12023359670216421</v>
      </c>
      <c r="L1746" s="89">
        <v>1</v>
      </c>
      <c r="M1746" s="13">
        <f t="shared" si="140"/>
        <v>1114766.1816107261</v>
      </c>
      <c r="N1746" s="11">
        <f t="shared" si="136"/>
        <v>1.7689453476280316E-5</v>
      </c>
    </row>
    <row r="1747" spans="1:14" x14ac:dyDescent="0.25">
      <c r="A1747" s="79" t="s">
        <v>36</v>
      </c>
      <c r="B1747" s="89" t="s">
        <v>11</v>
      </c>
      <c r="C1747" s="89" t="s">
        <v>93</v>
      </c>
      <c r="D1747" s="13" t="s">
        <v>1</v>
      </c>
      <c r="E1747" s="35">
        <f>VLOOKUP(B1747, Passenger_Kilometre_by_mode_type[#All],MATCH(A1747, Passenger_Kilometre_by_mode_type[#Headers],0),0)</f>
        <v>202659444.47580478</v>
      </c>
      <c r="F1747" s="89">
        <f>VLOOKUP(C1747, Reason_for_public_transport_journeys_by_percentage[#All],MATCH(A1747, Reason_for_public_transport_journeys_by_percentage[#Headers],0),0)/100</f>
        <v>4.5749999999999992E-2</v>
      </c>
      <c r="G1747" s="13">
        <f t="shared" si="137"/>
        <v>9271669.5847680662</v>
      </c>
      <c r="H1747" s="89">
        <f>VLOOKUP(D1747,Average_Distance_by_kilometre_grouping_for_mode_type[#All],MATCH(A1747,Average_Distance_by_kilometre_grouping_for_mode_type[#Headers],0),0)</f>
        <v>41.2</v>
      </c>
      <c r="I1747" s="89">
        <f>VLOOKUP(D1747,Average_Distance_by_kilometres_grouping_for_trip_purpose[#All],MATCH(A1747,Average_Distance_by_kilometres_grouping_for_trip_purpose[#Headers],0),0)</f>
        <v>43.24</v>
      </c>
      <c r="J1747" s="89">
        <f t="shared" si="138"/>
        <v>42.22</v>
      </c>
      <c r="K1747" s="89">
        <f t="shared" si="139"/>
        <v>0.72518035039505324</v>
      </c>
      <c r="L1747" s="89">
        <v>1</v>
      </c>
      <c r="M1747" s="13">
        <f t="shared" si="140"/>
        <v>6723632.5982292639</v>
      </c>
      <c r="N1747" s="11">
        <f t="shared" si="136"/>
        <v>1.0669267510979355E-4</v>
      </c>
    </row>
    <row r="1748" spans="1:14" x14ac:dyDescent="0.25">
      <c r="A1748" s="79" t="s">
        <v>36</v>
      </c>
      <c r="B1748" s="89" t="s">
        <v>11</v>
      </c>
      <c r="C1748" s="89" t="s">
        <v>243</v>
      </c>
      <c r="D1748" s="13" t="s">
        <v>12</v>
      </c>
      <c r="E1748" s="35">
        <f>VLOOKUP(B1748, Passenger_Kilometre_by_mode_type[#All],MATCH(A1748, Passenger_Kilometre_by_mode_type[#Headers],0),0)</f>
        <v>202659444.47580478</v>
      </c>
      <c r="F1748" s="89">
        <f>VLOOKUP(C1748, Reason_for_public_transport_journeys_by_percentage[#All],MATCH(A1748, Reason_for_public_transport_journeys_by_percentage[#Headers],0),0)/100</f>
        <v>2.8999999999999998E-2</v>
      </c>
      <c r="G1748" s="13">
        <f t="shared" si="137"/>
        <v>5877123.8897983385</v>
      </c>
      <c r="H1748" s="89">
        <f>VLOOKUP(D1748,Average_Distance_by_kilometre_grouping_for_mode_type[#All],MATCH(A1748,Average_Distance_by_kilometre_grouping_for_mode_type[#Headers],0),0)</f>
        <v>1</v>
      </c>
      <c r="I1748" s="89">
        <f>VLOOKUP(D1748,Average_Distance_by_kilometres_grouping_for_trip_purpose[#All],MATCH(A1748,Average_Distance_by_kilometres_grouping_for_trip_purpose[#Headers],0),0)</f>
        <v>1</v>
      </c>
      <c r="J1748" s="89">
        <f t="shared" si="138"/>
        <v>1</v>
      </c>
      <c r="K1748" s="89">
        <f t="shared" si="139"/>
        <v>1.7176228100309172E-2</v>
      </c>
      <c r="L1748" s="89">
        <v>1</v>
      </c>
      <c r="M1748" s="13">
        <f t="shared" si="140"/>
        <v>100946.82050495257</v>
      </c>
      <c r="N1748" s="11">
        <f t="shared" si="136"/>
        <v>1.6018552718567659E-6</v>
      </c>
    </row>
    <row r="1749" spans="1:14" x14ac:dyDescent="0.25">
      <c r="A1749" s="79" t="s">
        <v>36</v>
      </c>
      <c r="B1749" s="89" t="s">
        <v>11</v>
      </c>
      <c r="C1749" s="89" t="s">
        <v>243</v>
      </c>
      <c r="D1749" s="13" t="s">
        <v>181</v>
      </c>
      <c r="E1749" s="35">
        <f>VLOOKUP(B1749, Passenger_Kilometre_by_mode_type[#All],MATCH(A1749, Passenger_Kilometre_by_mode_type[#Headers],0),0)</f>
        <v>202659444.47580478</v>
      </c>
      <c r="F1749" s="89">
        <f>VLOOKUP(C1749, Reason_for_public_transport_journeys_by_percentage[#All],MATCH(A1749, Reason_for_public_transport_journeys_by_percentage[#Headers],0),0)/100</f>
        <v>2.8999999999999998E-2</v>
      </c>
      <c r="G1749" s="13">
        <f t="shared" si="137"/>
        <v>5877123.8897983385</v>
      </c>
      <c r="H1749" s="89">
        <f>VLOOKUP(D1749,Average_Distance_by_kilometre_grouping_for_mode_type[#All],MATCH(A1749,Average_Distance_by_kilometre_grouping_for_mode_type[#Headers],0),0)</f>
        <v>3</v>
      </c>
      <c r="I1749" s="89">
        <f>VLOOKUP(D1749,Average_Distance_by_kilometres_grouping_for_trip_purpose[#All],MATCH(A1749,Average_Distance_by_kilometres_grouping_for_trip_purpose[#Headers],0),0)</f>
        <v>3</v>
      </c>
      <c r="J1749" s="89">
        <f t="shared" si="138"/>
        <v>3</v>
      </c>
      <c r="K1749" s="89">
        <f t="shared" si="139"/>
        <v>5.1528684300927517E-2</v>
      </c>
      <c r="L1749" s="89">
        <v>1</v>
      </c>
      <c r="M1749" s="13">
        <f t="shared" si="140"/>
        <v>302840.46151485771</v>
      </c>
      <c r="N1749" s="11">
        <f t="shared" si="136"/>
        <v>4.8055658155702975E-6</v>
      </c>
    </row>
    <row r="1750" spans="1:14" x14ac:dyDescent="0.25">
      <c r="A1750" s="79" t="s">
        <v>36</v>
      </c>
      <c r="B1750" s="89" t="s">
        <v>11</v>
      </c>
      <c r="C1750" s="89" t="s">
        <v>243</v>
      </c>
      <c r="D1750" s="13" t="s">
        <v>180</v>
      </c>
      <c r="E1750" s="35">
        <f>VLOOKUP(B1750, Passenger_Kilometre_by_mode_type[#All],MATCH(A1750, Passenger_Kilometre_by_mode_type[#Headers],0),0)</f>
        <v>202659444.47580478</v>
      </c>
      <c r="F1750" s="89">
        <f>VLOOKUP(C1750, Reason_for_public_transport_journeys_by_percentage[#All],MATCH(A1750, Reason_for_public_transport_journeys_by_percentage[#Headers],0),0)/100</f>
        <v>2.8999999999999998E-2</v>
      </c>
      <c r="G1750" s="13">
        <f t="shared" si="137"/>
        <v>5877123.8897983385</v>
      </c>
      <c r="H1750" s="89">
        <f>VLOOKUP(D1750,Average_Distance_by_kilometre_grouping_for_mode_type[#All],MATCH(A1750,Average_Distance_by_kilometre_grouping_for_mode_type[#Headers],0),0)</f>
        <v>5</v>
      </c>
      <c r="I1750" s="89">
        <f>VLOOKUP(D1750,Average_Distance_by_kilometres_grouping_for_trip_purpose[#All],MATCH(A1750,Average_Distance_by_kilometres_grouping_for_trip_purpose[#Headers],0),0)</f>
        <v>5</v>
      </c>
      <c r="J1750" s="89">
        <f t="shared" si="138"/>
        <v>5</v>
      </c>
      <c r="K1750" s="89">
        <f t="shared" si="139"/>
        <v>8.5881140501545869E-2</v>
      </c>
      <c r="L1750" s="89">
        <v>1</v>
      </c>
      <c r="M1750" s="13">
        <f t="shared" si="140"/>
        <v>504734.10252476291</v>
      </c>
      <c r="N1750" s="11">
        <f t="shared" si="136"/>
        <v>8.0092763592838298E-6</v>
      </c>
    </row>
    <row r="1751" spans="1:14" x14ac:dyDescent="0.25">
      <c r="A1751" s="79" t="s">
        <v>36</v>
      </c>
      <c r="B1751" s="89" t="s">
        <v>11</v>
      </c>
      <c r="C1751" s="89" t="s">
        <v>243</v>
      </c>
      <c r="D1751" s="13" t="s">
        <v>182</v>
      </c>
      <c r="E1751" s="35">
        <f>VLOOKUP(B1751, Passenger_Kilometre_by_mode_type[#All],MATCH(A1751, Passenger_Kilometre_by_mode_type[#Headers],0),0)</f>
        <v>202659444.47580478</v>
      </c>
      <c r="F1751" s="89">
        <f>VLOOKUP(C1751, Reason_for_public_transport_journeys_by_percentage[#All],MATCH(A1751, Reason_for_public_transport_journeys_by_percentage[#Headers],0),0)/100</f>
        <v>2.8999999999999998E-2</v>
      </c>
      <c r="G1751" s="13">
        <f t="shared" si="137"/>
        <v>5877123.8897983385</v>
      </c>
      <c r="H1751" s="89">
        <f>VLOOKUP(D1751,Average_Distance_by_kilometre_grouping_for_mode_type[#All],MATCH(A1751,Average_Distance_by_kilometre_grouping_for_mode_type[#Headers],0),0)</f>
        <v>7</v>
      </c>
      <c r="I1751" s="89">
        <f>VLOOKUP(D1751,Average_Distance_by_kilometres_grouping_for_trip_purpose[#All],MATCH(A1751,Average_Distance_by_kilometres_grouping_for_trip_purpose[#Headers],0),0)</f>
        <v>7</v>
      </c>
      <c r="J1751" s="89">
        <f t="shared" si="138"/>
        <v>7</v>
      </c>
      <c r="K1751" s="89">
        <f t="shared" si="139"/>
        <v>0.12023359670216421</v>
      </c>
      <c r="L1751" s="89">
        <v>1</v>
      </c>
      <c r="M1751" s="13">
        <f t="shared" si="140"/>
        <v>706627.743534668</v>
      </c>
      <c r="N1751" s="11">
        <f t="shared" si="136"/>
        <v>1.121298690299736E-5</v>
      </c>
    </row>
    <row r="1752" spans="1:14" x14ac:dyDescent="0.25">
      <c r="A1752" s="79" t="s">
        <v>36</v>
      </c>
      <c r="B1752" s="89" t="s">
        <v>11</v>
      </c>
      <c r="C1752" s="89" t="s">
        <v>243</v>
      </c>
      <c r="D1752" s="13" t="s">
        <v>1</v>
      </c>
      <c r="E1752" s="35">
        <f>VLOOKUP(B1752, Passenger_Kilometre_by_mode_type[#All],MATCH(A1752, Passenger_Kilometre_by_mode_type[#Headers],0),0)</f>
        <v>202659444.47580478</v>
      </c>
      <c r="F1752" s="89">
        <f>VLOOKUP(C1752, Reason_for_public_transport_journeys_by_percentage[#All],MATCH(A1752, Reason_for_public_transport_journeys_by_percentage[#Headers],0),0)/100</f>
        <v>2.8999999999999998E-2</v>
      </c>
      <c r="G1752" s="13">
        <f t="shared" si="137"/>
        <v>5877123.8897983385</v>
      </c>
      <c r="H1752" s="89">
        <f>VLOOKUP(D1752,Average_Distance_by_kilometre_grouping_for_mode_type[#All],MATCH(A1752,Average_Distance_by_kilometre_grouping_for_mode_type[#Headers],0),0)</f>
        <v>41.2</v>
      </c>
      <c r="I1752" s="89">
        <f>VLOOKUP(D1752,Average_Distance_by_kilometres_grouping_for_trip_purpose[#All],MATCH(A1752,Average_Distance_by_kilometres_grouping_for_trip_purpose[#Headers],0),0)</f>
        <v>43.24</v>
      </c>
      <c r="J1752" s="89">
        <f t="shared" si="138"/>
        <v>42.22</v>
      </c>
      <c r="K1752" s="89">
        <f t="shared" si="139"/>
        <v>0.72518035039505324</v>
      </c>
      <c r="L1752" s="89">
        <v>1</v>
      </c>
      <c r="M1752" s="13">
        <f t="shared" si="140"/>
        <v>4261974.7617190974</v>
      </c>
      <c r="N1752" s="11">
        <f t="shared" si="136"/>
        <v>6.7630329577792657E-5</v>
      </c>
    </row>
    <row r="1753" spans="1:14" x14ac:dyDescent="0.25">
      <c r="A1753" s="79" t="s">
        <v>36</v>
      </c>
      <c r="B1753" s="89" t="s">
        <v>11</v>
      </c>
      <c r="C1753" s="89" t="s">
        <v>50</v>
      </c>
      <c r="D1753" s="13" t="s">
        <v>12</v>
      </c>
      <c r="E1753" s="35">
        <f>VLOOKUP(B1753, Passenger_Kilometre_by_mode_type[#All],MATCH(A1753, Passenger_Kilometre_by_mode_type[#Headers],0),0)</f>
        <v>202659444.47580478</v>
      </c>
      <c r="F1753" s="89">
        <f>VLOOKUP(C1753, Reason_for_public_transport_journeys_by_percentage[#All],MATCH(A1753, Reason_for_public_transport_journeys_by_percentage[#Headers],0),0)/100</f>
        <v>5.3999999999999992E-2</v>
      </c>
      <c r="G1753" s="13">
        <f t="shared" si="137"/>
        <v>10943610.001693456</v>
      </c>
      <c r="H1753" s="89">
        <f>VLOOKUP(D1753,Average_Distance_by_kilometre_grouping_for_mode_type[#All],MATCH(A1753,Average_Distance_by_kilometre_grouping_for_mode_type[#Headers],0),0)</f>
        <v>1</v>
      </c>
      <c r="I1753" s="89">
        <f>VLOOKUP(D1753,Average_Distance_by_kilometres_grouping_for_trip_purpose[#All],MATCH(A1753,Average_Distance_by_kilometres_grouping_for_trip_purpose[#Headers],0),0)</f>
        <v>1</v>
      </c>
      <c r="J1753" s="89">
        <f t="shared" si="138"/>
        <v>1</v>
      </c>
      <c r="K1753" s="89">
        <f t="shared" si="139"/>
        <v>1.7176228100309172E-2</v>
      </c>
      <c r="L1753" s="89">
        <v>1</v>
      </c>
      <c r="M1753" s="13">
        <f t="shared" si="140"/>
        <v>187969.94162991163</v>
      </c>
      <c r="N1753" s="11">
        <f t="shared" si="136"/>
        <v>2.9827649889746665E-6</v>
      </c>
    </row>
    <row r="1754" spans="1:14" x14ac:dyDescent="0.25">
      <c r="A1754" s="79" t="s">
        <v>36</v>
      </c>
      <c r="B1754" s="89" t="s">
        <v>11</v>
      </c>
      <c r="C1754" s="89" t="s">
        <v>50</v>
      </c>
      <c r="D1754" s="13" t="s">
        <v>181</v>
      </c>
      <c r="E1754" s="35">
        <f>VLOOKUP(B1754, Passenger_Kilometre_by_mode_type[#All],MATCH(A1754, Passenger_Kilometre_by_mode_type[#Headers],0),0)</f>
        <v>202659444.47580478</v>
      </c>
      <c r="F1754" s="89">
        <f>VLOOKUP(C1754, Reason_for_public_transport_journeys_by_percentage[#All],MATCH(A1754, Reason_for_public_transport_journeys_by_percentage[#Headers],0),0)/100</f>
        <v>5.3999999999999992E-2</v>
      </c>
      <c r="G1754" s="13">
        <f t="shared" si="137"/>
        <v>10943610.001693456</v>
      </c>
      <c r="H1754" s="89">
        <f>VLOOKUP(D1754,Average_Distance_by_kilometre_grouping_for_mode_type[#All],MATCH(A1754,Average_Distance_by_kilometre_grouping_for_mode_type[#Headers],0),0)</f>
        <v>3</v>
      </c>
      <c r="I1754" s="89">
        <f>VLOOKUP(D1754,Average_Distance_by_kilometres_grouping_for_trip_purpose[#All],MATCH(A1754,Average_Distance_by_kilometres_grouping_for_trip_purpose[#Headers],0),0)</f>
        <v>3</v>
      </c>
      <c r="J1754" s="89">
        <f t="shared" si="138"/>
        <v>3</v>
      </c>
      <c r="K1754" s="89">
        <f t="shared" si="139"/>
        <v>5.1528684300927517E-2</v>
      </c>
      <c r="L1754" s="89">
        <v>1</v>
      </c>
      <c r="M1754" s="13">
        <f t="shared" si="140"/>
        <v>563909.82488973497</v>
      </c>
      <c r="N1754" s="11">
        <f t="shared" si="136"/>
        <v>8.9482949669240004E-6</v>
      </c>
    </row>
    <row r="1755" spans="1:14" x14ac:dyDescent="0.25">
      <c r="A1755" s="79" t="s">
        <v>36</v>
      </c>
      <c r="B1755" s="89" t="s">
        <v>11</v>
      </c>
      <c r="C1755" s="89" t="s">
        <v>50</v>
      </c>
      <c r="D1755" s="13" t="s">
        <v>180</v>
      </c>
      <c r="E1755" s="35">
        <f>VLOOKUP(B1755, Passenger_Kilometre_by_mode_type[#All],MATCH(A1755, Passenger_Kilometre_by_mode_type[#Headers],0),0)</f>
        <v>202659444.47580478</v>
      </c>
      <c r="F1755" s="89">
        <f>VLOOKUP(C1755, Reason_for_public_transport_journeys_by_percentage[#All],MATCH(A1755, Reason_for_public_transport_journeys_by_percentage[#Headers],0),0)/100</f>
        <v>5.3999999999999992E-2</v>
      </c>
      <c r="G1755" s="13">
        <f t="shared" si="137"/>
        <v>10943610.001693456</v>
      </c>
      <c r="H1755" s="89">
        <f>VLOOKUP(D1755,Average_Distance_by_kilometre_grouping_for_mode_type[#All],MATCH(A1755,Average_Distance_by_kilometre_grouping_for_mode_type[#Headers],0),0)</f>
        <v>5</v>
      </c>
      <c r="I1755" s="89">
        <f>VLOOKUP(D1755,Average_Distance_by_kilometres_grouping_for_trip_purpose[#All],MATCH(A1755,Average_Distance_by_kilometres_grouping_for_trip_purpose[#Headers],0),0)</f>
        <v>5</v>
      </c>
      <c r="J1755" s="89">
        <f t="shared" si="138"/>
        <v>5</v>
      </c>
      <c r="K1755" s="89">
        <f t="shared" si="139"/>
        <v>8.5881140501545869E-2</v>
      </c>
      <c r="L1755" s="89">
        <v>1</v>
      </c>
      <c r="M1755" s="13">
        <f t="shared" si="140"/>
        <v>939849.70814955828</v>
      </c>
      <c r="N1755" s="11">
        <f t="shared" si="136"/>
        <v>1.4913824944873335E-5</v>
      </c>
    </row>
    <row r="1756" spans="1:14" x14ac:dyDescent="0.25">
      <c r="A1756" s="79" t="s">
        <v>36</v>
      </c>
      <c r="B1756" s="89" t="s">
        <v>11</v>
      </c>
      <c r="C1756" s="89" t="s">
        <v>50</v>
      </c>
      <c r="D1756" s="13" t="s">
        <v>182</v>
      </c>
      <c r="E1756" s="35">
        <f>VLOOKUP(B1756, Passenger_Kilometre_by_mode_type[#All],MATCH(A1756, Passenger_Kilometre_by_mode_type[#Headers],0),0)</f>
        <v>202659444.47580478</v>
      </c>
      <c r="F1756" s="89">
        <f>VLOOKUP(C1756, Reason_for_public_transport_journeys_by_percentage[#All],MATCH(A1756, Reason_for_public_transport_journeys_by_percentage[#Headers],0),0)/100</f>
        <v>5.3999999999999992E-2</v>
      </c>
      <c r="G1756" s="13">
        <f t="shared" si="137"/>
        <v>10943610.001693456</v>
      </c>
      <c r="H1756" s="89">
        <f>VLOOKUP(D1756,Average_Distance_by_kilometre_grouping_for_mode_type[#All],MATCH(A1756,Average_Distance_by_kilometre_grouping_for_mode_type[#Headers],0),0)</f>
        <v>7</v>
      </c>
      <c r="I1756" s="89">
        <f>VLOOKUP(D1756,Average_Distance_by_kilometres_grouping_for_trip_purpose[#All],MATCH(A1756,Average_Distance_by_kilometres_grouping_for_trip_purpose[#Headers],0),0)</f>
        <v>7</v>
      </c>
      <c r="J1756" s="89">
        <f t="shared" si="138"/>
        <v>7</v>
      </c>
      <c r="K1756" s="89">
        <f t="shared" si="139"/>
        <v>0.12023359670216421</v>
      </c>
      <c r="L1756" s="89">
        <v>1</v>
      </c>
      <c r="M1756" s="13">
        <f t="shared" si="140"/>
        <v>1315789.5914093815</v>
      </c>
      <c r="N1756" s="11">
        <f t="shared" si="136"/>
        <v>2.0879354922822666E-5</v>
      </c>
    </row>
    <row r="1757" spans="1:14" x14ac:dyDescent="0.25">
      <c r="A1757" s="79" t="s">
        <v>36</v>
      </c>
      <c r="B1757" s="89" t="s">
        <v>11</v>
      </c>
      <c r="C1757" s="89" t="s">
        <v>50</v>
      </c>
      <c r="D1757" s="13" t="s">
        <v>1</v>
      </c>
      <c r="E1757" s="35">
        <f>VLOOKUP(B1757, Passenger_Kilometre_by_mode_type[#All],MATCH(A1757, Passenger_Kilometre_by_mode_type[#Headers],0),0)</f>
        <v>202659444.47580478</v>
      </c>
      <c r="F1757" s="89">
        <f>VLOOKUP(C1757, Reason_for_public_transport_journeys_by_percentage[#All],MATCH(A1757, Reason_for_public_transport_journeys_by_percentage[#Headers],0),0)/100</f>
        <v>5.3999999999999992E-2</v>
      </c>
      <c r="G1757" s="13">
        <f t="shared" si="137"/>
        <v>10943610.001693456</v>
      </c>
      <c r="H1757" s="89">
        <f>VLOOKUP(D1757,Average_Distance_by_kilometre_grouping_for_mode_type[#All],MATCH(A1757,Average_Distance_by_kilometre_grouping_for_mode_type[#Headers],0),0)</f>
        <v>41.2</v>
      </c>
      <c r="I1757" s="89">
        <f>VLOOKUP(D1757,Average_Distance_by_kilometres_grouping_for_trip_purpose[#All],MATCH(A1757,Average_Distance_by_kilometres_grouping_for_trip_purpose[#Headers],0),0)</f>
        <v>43.24</v>
      </c>
      <c r="J1757" s="89">
        <f t="shared" si="138"/>
        <v>42.22</v>
      </c>
      <c r="K1757" s="89">
        <f t="shared" si="139"/>
        <v>0.72518035039505324</v>
      </c>
      <c r="L1757" s="89">
        <v>1</v>
      </c>
      <c r="M1757" s="13">
        <f t="shared" si="140"/>
        <v>7936090.935614869</v>
      </c>
      <c r="N1757" s="11">
        <f t="shared" si="136"/>
        <v>1.2593233783451043E-4</v>
      </c>
    </row>
    <row r="1758" spans="1:14" x14ac:dyDescent="0.25">
      <c r="A1758" s="79" t="s">
        <v>36</v>
      </c>
      <c r="B1758" s="89" t="s">
        <v>90</v>
      </c>
      <c r="C1758" s="89" t="s">
        <v>42</v>
      </c>
      <c r="D1758" s="13" t="s">
        <v>12</v>
      </c>
      <c r="E1758" s="35">
        <f>VLOOKUP(B1758, Passenger_Kilometre_by_mode_type[#All],MATCH(A1758, Passenger_Kilometre_by_mode_type[#Headers],0),0)</f>
        <v>4212198972.0526061</v>
      </c>
      <c r="F1758" s="89">
        <f>VLOOKUP(C1758, Reason_for_lorry_motorcycle_other_journeys_by_percentage[#All],MATCH(A1758, Reason_for_lorry_motorcycle_other_journeys_by_percentage[#Headers],0),0)/100</f>
        <v>0.57799999999999996</v>
      </c>
      <c r="G1758" s="13">
        <f t="shared" si="137"/>
        <v>2434651005.846406</v>
      </c>
      <c r="H1758" s="89">
        <f>VLOOKUP(D1758,Average_Distance_by_kilometre_grouping_for_mode_type[#All],MATCH(A1758,Average_Distance_by_kilometre_grouping_for_mode_type[#Headers],0),0)</f>
        <v>1</v>
      </c>
      <c r="I1758" s="89">
        <f>VLOOKUP(D1758,Average_Distance_by_kilometres_grouping_for_trip_purpose[#All],MATCH(A1758,Average_Distance_by_kilometres_grouping_for_trip_purpose[#Headers],0),0)</f>
        <v>1</v>
      </c>
      <c r="J1758" s="89">
        <f t="shared" si="138"/>
        <v>1</v>
      </c>
      <c r="K1758" s="89">
        <f t="shared" si="139"/>
        <v>1.7176228100309172E-2</v>
      </c>
      <c r="L1758" s="89">
        <v>1</v>
      </c>
      <c r="M1758" s="13">
        <f t="shared" si="140"/>
        <v>41818121.021065027</v>
      </c>
      <c r="N1758" s="11">
        <f t="shared" si="136"/>
        <v>6.6358283779181348E-4</v>
      </c>
    </row>
    <row r="1759" spans="1:14" x14ac:dyDescent="0.25">
      <c r="A1759" s="79" t="s">
        <v>36</v>
      </c>
      <c r="B1759" s="89" t="s">
        <v>90</v>
      </c>
      <c r="C1759" s="89" t="s">
        <v>42</v>
      </c>
      <c r="D1759" s="13" t="s">
        <v>181</v>
      </c>
      <c r="E1759" s="35">
        <f>VLOOKUP(B1759, Passenger_Kilometre_by_mode_type[#All],MATCH(A1759, Passenger_Kilometre_by_mode_type[#Headers],0),0)</f>
        <v>4212198972.0526061</v>
      </c>
      <c r="F1759" s="89">
        <f>VLOOKUP(C1759, Reason_for_lorry_motorcycle_other_journeys_by_percentage[#All],MATCH(A1759, Reason_for_lorry_motorcycle_other_journeys_by_percentage[#Headers],0),0)/100</f>
        <v>0.57799999999999996</v>
      </c>
      <c r="G1759" s="13">
        <f t="shared" si="137"/>
        <v>2434651005.846406</v>
      </c>
      <c r="H1759" s="89">
        <f>VLOOKUP(D1759,Average_Distance_by_kilometre_grouping_for_mode_type[#All],MATCH(A1759,Average_Distance_by_kilometre_grouping_for_mode_type[#Headers],0),0)</f>
        <v>3</v>
      </c>
      <c r="I1759" s="89">
        <f>VLOOKUP(D1759,Average_Distance_by_kilometres_grouping_for_trip_purpose[#All],MATCH(A1759,Average_Distance_by_kilometres_grouping_for_trip_purpose[#Headers],0),0)</f>
        <v>3</v>
      </c>
      <c r="J1759" s="89">
        <f t="shared" si="138"/>
        <v>3</v>
      </c>
      <c r="K1759" s="89">
        <f t="shared" si="139"/>
        <v>5.1528684300927517E-2</v>
      </c>
      <c r="L1759" s="89">
        <v>1</v>
      </c>
      <c r="M1759" s="13">
        <f t="shared" si="140"/>
        <v>125454363.06319509</v>
      </c>
      <c r="N1759" s="11">
        <f t="shared" si="136"/>
        <v>1.9907485133754408E-3</v>
      </c>
    </row>
    <row r="1760" spans="1:14" x14ac:dyDescent="0.25">
      <c r="A1760" s="79" t="s">
        <v>36</v>
      </c>
      <c r="B1760" s="89" t="s">
        <v>90</v>
      </c>
      <c r="C1760" s="89" t="s">
        <v>42</v>
      </c>
      <c r="D1760" s="13" t="s">
        <v>180</v>
      </c>
      <c r="E1760" s="35">
        <f>VLOOKUP(B1760, Passenger_Kilometre_by_mode_type[#All],MATCH(A1760, Passenger_Kilometre_by_mode_type[#Headers],0),0)</f>
        <v>4212198972.0526061</v>
      </c>
      <c r="F1760" s="89">
        <f>VLOOKUP(C1760, Reason_for_lorry_motorcycle_other_journeys_by_percentage[#All],MATCH(A1760, Reason_for_lorry_motorcycle_other_journeys_by_percentage[#Headers],0),0)/100</f>
        <v>0.57799999999999996</v>
      </c>
      <c r="G1760" s="13">
        <f t="shared" si="137"/>
        <v>2434651005.846406</v>
      </c>
      <c r="H1760" s="89">
        <f>VLOOKUP(D1760,Average_Distance_by_kilometre_grouping_for_mode_type[#All],MATCH(A1760,Average_Distance_by_kilometre_grouping_for_mode_type[#Headers],0),0)</f>
        <v>5</v>
      </c>
      <c r="I1760" s="89">
        <f>VLOOKUP(D1760,Average_Distance_by_kilometres_grouping_for_trip_purpose[#All],MATCH(A1760,Average_Distance_by_kilometres_grouping_for_trip_purpose[#Headers],0),0)</f>
        <v>5</v>
      </c>
      <c r="J1760" s="89">
        <f t="shared" si="138"/>
        <v>5</v>
      </c>
      <c r="K1760" s="89">
        <f t="shared" si="139"/>
        <v>8.5881140501545869E-2</v>
      </c>
      <c r="L1760" s="89">
        <v>1</v>
      </c>
      <c r="M1760" s="13">
        <f t="shared" si="140"/>
        <v>209090605.10532516</v>
      </c>
      <c r="N1760" s="11">
        <f t="shared" si="136"/>
        <v>3.3179141889590679E-3</v>
      </c>
    </row>
    <row r="1761" spans="1:14" x14ac:dyDescent="0.25">
      <c r="A1761" s="79" t="s">
        <v>36</v>
      </c>
      <c r="B1761" s="89" t="s">
        <v>90</v>
      </c>
      <c r="C1761" s="89" t="s">
        <v>42</v>
      </c>
      <c r="D1761" s="13" t="s">
        <v>182</v>
      </c>
      <c r="E1761" s="35">
        <f>VLOOKUP(B1761, Passenger_Kilometre_by_mode_type[#All],MATCH(A1761, Passenger_Kilometre_by_mode_type[#Headers],0),0)</f>
        <v>4212198972.0526061</v>
      </c>
      <c r="F1761" s="89">
        <f>VLOOKUP(C1761, Reason_for_lorry_motorcycle_other_journeys_by_percentage[#All],MATCH(A1761, Reason_for_lorry_motorcycle_other_journeys_by_percentage[#Headers],0),0)/100</f>
        <v>0.57799999999999996</v>
      </c>
      <c r="G1761" s="13">
        <f t="shared" si="137"/>
        <v>2434651005.846406</v>
      </c>
      <c r="H1761" s="89">
        <f>VLOOKUP(D1761,Average_Distance_by_kilometre_grouping_for_mode_type[#All],MATCH(A1761,Average_Distance_by_kilometre_grouping_for_mode_type[#Headers],0),0)</f>
        <v>7</v>
      </c>
      <c r="I1761" s="89">
        <f>VLOOKUP(D1761,Average_Distance_by_kilometres_grouping_for_trip_purpose[#All],MATCH(A1761,Average_Distance_by_kilometres_grouping_for_trip_purpose[#Headers],0),0)</f>
        <v>7</v>
      </c>
      <c r="J1761" s="89">
        <f t="shared" si="138"/>
        <v>7</v>
      </c>
      <c r="K1761" s="89">
        <f t="shared" si="139"/>
        <v>0.12023359670216421</v>
      </c>
      <c r="L1761" s="89">
        <v>1</v>
      </c>
      <c r="M1761" s="13">
        <f t="shared" si="140"/>
        <v>292726847.14745522</v>
      </c>
      <c r="N1761" s="11">
        <f t="shared" si="136"/>
        <v>4.6450798645426951E-3</v>
      </c>
    </row>
    <row r="1762" spans="1:14" x14ac:dyDescent="0.25">
      <c r="A1762" s="79" t="s">
        <v>36</v>
      </c>
      <c r="B1762" s="89" t="s">
        <v>90</v>
      </c>
      <c r="C1762" s="89" t="s">
        <v>42</v>
      </c>
      <c r="D1762" s="13" t="s">
        <v>1</v>
      </c>
      <c r="E1762" s="35">
        <f>VLOOKUP(B1762, Passenger_Kilometre_by_mode_type[#All],MATCH(A1762, Passenger_Kilometre_by_mode_type[#Headers],0),0)</f>
        <v>4212198972.0526061</v>
      </c>
      <c r="F1762" s="89">
        <f>VLOOKUP(C1762, Reason_for_lorry_motorcycle_other_journeys_by_percentage[#All],MATCH(A1762, Reason_for_lorry_motorcycle_other_journeys_by_percentage[#Headers],0),0)/100</f>
        <v>0.57799999999999996</v>
      </c>
      <c r="G1762" s="13">
        <f t="shared" si="137"/>
        <v>2434651005.846406</v>
      </c>
      <c r="H1762" s="89">
        <f>VLOOKUP(D1762,Average_Distance_by_kilometre_grouping_for_mode_type[#All],MATCH(A1762,Average_Distance_by_kilometre_grouping_for_mode_type[#Headers],0),0)</f>
        <v>41.2</v>
      </c>
      <c r="I1762" s="89">
        <f>VLOOKUP(D1762,Average_Distance_by_kilometres_grouping_for_trip_purpose[#All],MATCH(A1762,Average_Distance_by_kilometres_grouping_for_trip_purpose[#Headers],0),0)</f>
        <v>43.24</v>
      </c>
      <c r="J1762" s="89">
        <f t="shared" si="138"/>
        <v>42.22</v>
      </c>
      <c r="K1762" s="89">
        <f t="shared" si="139"/>
        <v>0.72518035039505324</v>
      </c>
      <c r="L1762" s="89">
        <v>1</v>
      </c>
      <c r="M1762" s="13">
        <f t="shared" si="140"/>
        <v>1765561069.5093656</v>
      </c>
      <c r="N1762" s="11">
        <f t="shared" si="136"/>
        <v>2.8016467411570368E-2</v>
      </c>
    </row>
    <row r="1763" spans="1:14" x14ac:dyDescent="0.25">
      <c r="A1763" s="79" t="s">
        <v>36</v>
      </c>
      <c r="B1763" s="89" t="s">
        <v>90</v>
      </c>
      <c r="C1763" s="89" t="s">
        <v>43</v>
      </c>
      <c r="D1763" s="13" t="s">
        <v>12</v>
      </c>
      <c r="E1763" s="35">
        <f>VLOOKUP(B1763, Passenger_Kilometre_by_mode_type[#All],MATCH(A1763, Passenger_Kilometre_by_mode_type[#Headers],0),0)</f>
        <v>4212198972.0526061</v>
      </c>
      <c r="F1763" s="89">
        <f>VLOOKUP(C1763, Reason_for_lorry_motorcycle_other_journeys_by_percentage[#All],MATCH(A1763, Reason_for_lorry_motorcycle_other_journeys_by_percentage[#Headers],0),0)/100</f>
        <v>1.325E-2</v>
      </c>
      <c r="G1763" s="13">
        <f t="shared" si="137"/>
        <v>55811636.379697032</v>
      </c>
      <c r="H1763" s="89">
        <f>VLOOKUP(D1763,Average_Distance_by_kilometre_grouping_for_mode_type[#All],MATCH(A1763,Average_Distance_by_kilometre_grouping_for_mode_type[#Headers],0),0)</f>
        <v>1</v>
      </c>
      <c r="I1763" s="89">
        <f>VLOOKUP(D1763,Average_Distance_by_kilometres_grouping_for_trip_purpose[#All],MATCH(A1763,Average_Distance_by_kilometres_grouping_for_trip_purpose[#Headers],0),0)</f>
        <v>1</v>
      </c>
      <c r="J1763" s="89">
        <f t="shared" si="138"/>
        <v>1</v>
      </c>
      <c r="K1763" s="89">
        <f t="shared" si="139"/>
        <v>1.7176228100309172E-2</v>
      </c>
      <c r="L1763" s="89">
        <v>1</v>
      </c>
      <c r="M1763" s="13">
        <f t="shared" si="140"/>
        <v>958633.39710918989</v>
      </c>
      <c r="N1763" s="11">
        <f t="shared" si="136"/>
        <v>1.5211890312701611E-5</v>
      </c>
    </row>
    <row r="1764" spans="1:14" x14ac:dyDescent="0.25">
      <c r="A1764" s="79" t="s">
        <v>36</v>
      </c>
      <c r="B1764" s="89" t="s">
        <v>90</v>
      </c>
      <c r="C1764" s="89" t="s">
        <v>43</v>
      </c>
      <c r="D1764" s="13" t="s">
        <v>181</v>
      </c>
      <c r="E1764" s="35">
        <f>VLOOKUP(B1764, Passenger_Kilometre_by_mode_type[#All],MATCH(A1764, Passenger_Kilometre_by_mode_type[#Headers],0),0)</f>
        <v>4212198972.0526061</v>
      </c>
      <c r="F1764" s="89">
        <f>VLOOKUP(C1764, Reason_for_lorry_motorcycle_other_journeys_by_percentage[#All],MATCH(A1764, Reason_for_lorry_motorcycle_other_journeys_by_percentage[#Headers],0),0)/100</f>
        <v>1.325E-2</v>
      </c>
      <c r="G1764" s="13">
        <f t="shared" si="137"/>
        <v>55811636.379697032</v>
      </c>
      <c r="H1764" s="89">
        <f>VLOOKUP(D1764,Average_Distance_by_kilometre_grouping_for_mode_type[#All],MATCH(A1764,Average_Distance_by_kilometre_grouping_for_mode_type[#Headers],0),0)</f>
        <v>3</v>
      </c>
      <c r="I1764" s="89">
        <f>VLOOKUP(D1764,Average_Distance_by_kilometres_grouping_for_trip_purpose[#All],MATCH(A1764,Average_Distance_by_kilometres_grouping_for_trip_purpose[#Headers],0),0)</f>
        <v>3</v>
      </c>
      <c r="J1764" s="89">
        <f t="shared" si="138"/>
        <v>3</v>
      </c>
      <c r="K1764" s="89">
        <f t="shared" si="139"/>
        <v>5.1528684300927517E-2</v>
      </c>
      <c r="L1764" s="89">
        <v>1</v>
      </c>
      <c r="M1764" s="13">
        <f t="shared" si="140"/>
        <v>2875900.1913275695</v>
      </c>
      <c r="N1764" s="11">
        <f t="shared" ref="N1764:N1803" si="141">M1764/SUM($M$1443:$M$1803)</f>
        <v>4.5635670938104831E-5</v>
      </c>
    </row>
    <row r="1765" spans="1:14" x14ac:dyDescent="0.25">
      <c r="A1765" s="79" t="s">
        <v>36</v>
      </c>
      <c r="B1765" s="89" t="s">
        <v>90</v>
      </c>
      <c r="C1765" s="89" t="s">
        <v>43</v>
      </c>
      <c r="D1765" s="13" t="s">
        <v>180</v>
      </c>
      <c r="E1765" s="35">
        <f>VLOOKUP(B1765, Passenger_Kilometre_by_mode_type[#All],MATCH(A1765, Passenger_Kilometre_by_mode_type[#Headers],0),0)</f>
        <v>4212198972.0526061</v>
      </c>
      <c r="F1765" s="89">
        <f>VLOOKUP(C1765, Reason_for_lorry_motorcycle_other_journeys_by_percentage[#All],MATCH(A1765, Reason_for_lorry_motorcycle_other_journeys_by_percentage[#Headers],0),0)/100</f>
        <v>1.325E-2</v>
      </c>
      <c r="G1765" s="13">
        <f t="shared" si="137"/>
        <v>55811636.379697032</v>
      </c>
      <c r="H1765" s="89">
        <f>VLOOKUP(D1765,Average_Distance_by_kilometre_grouping_for_mode_type[#All],MATCH(A1765,Average_Distance_by_kilometre_grouping_for_mode_type[#Headers],0),0)</f>
        <v>5</v>
      </c>
      <c r="I1765" s="89">
        <f>VLOOKUP(D1765,Average_Distance_by_kilometres_grouping_for_trip_purpose[#All],MATCH(A1765,Average_Distance_by_kilometres_grouping_for_trip_purpose[#Headers],0),0)</f>
        <v>5</v>
      </c>
      <c r="J1765" s="89">
        <f t="shared" si="138"/>
        <v>5</v>
      </c>
      <c r="K1765" s="89">
        <f t="shared" si="139"/>
        <v>8.5881140501545869E-2</v>
      </c>
      <c r="L1765" s="89">
        <v>1</v>
      </c>
      <c r="M1765" s="13">
        <f t="shared" si="140"/>
        <v>4793166.98554595</v>
      </c>
      <c r="N1765" s="11">
        <f t="shared" si="141"/>
        <v>7.605945156350806E-5</v>
      </c>
    </row>
    <row r="1766" spans="1:14" x14ac:dyDescent="0.25">
      <c r="A1766" s="79" t="s">
        <v>36</v>
      </c>
      <c r="B1766" s="89" t="s">
        <v>90</v>
      </c>
      <c r="C1766" s="89" t="s">
        <v>43</v>
      </c>
      <c r="D1766" s="13" t="s">
        <v>182</v>
      </c>
      <c r="E1766" s="35">
        <f>VLOOKUP(B1766, Passenger_Kilometre_by_mode_type[#All],MATCH(A1766, Passenger_Kilometre_by_mode_type[#Headers],0),0)</f>
        <v>4212198972.0526061</v>
      </c>
      <c r="F1766" s="89">
        <f>VLOOKUP(C1766, Reason_for_lorry_motorcycle_other_journeys_by_percentage[#All],MATCH(A1766, Reason_for_lorry_motorcycle_other_journeys_by_percentage[#Headers],0),0)/100</f>
        <v>1.325E-2</v>
      </c>
      <c r="G1766" s="13">
        <f t="shared" si="137"/>
        <v>55811636.379697032</v>
      </c>
      <c r="H1766" s="89">
        <f>VLOOKUP(D1766,Average_Distance_by_kilometre_grouping_for_mode_type[#All],MATCH(A1766,Average_Distance_by_kilometre_grouping_for_mode_type[#Headers],0),0)</f>
        <v>7</v>
      </c>
      <c r="I1766" s="89">
        <f>VLOOKUP(D1766,Average_Distance_by_kilometres_grouping_for_trip_purpose[#All],MATCH(A1766,Average_Distance_by_kilometres_grouping_for_trip_purpose[#Headers],0),0)</f>
        <v>7</v>
      </c>
      <c r="J1766" s="89">
        <f t="shared" si="138"/>
        <v>7</v>
      </c>
      <c r="K1766" s="89">
        <f t="shared" si="139"/>
        <v>0.12023359670216421</v>
      </c>
      <c r="L1766" s="89">
        <v>1</v>
      </c>
      <c r="M1766" s="13">
        <f t="shared" si="140"/>
        <v>6710433.7797643291</v>
      </c>
      <c r="N1766" s="11">
        <f t="shared" si="141"/>
        <v>1.0648323218891128E-4</v>
      </c>
    </row>
    <row r="1767" spans="1:14" x14ac:dyDescent="0.25">
      <c r="A1767" s="79" t="s">
        <v>36</v>
      </c>
      <c r="B1767" s="89" t="s">
        <v>90</v>
      </c>
      <c r="C1767" s="89" t="s">
        <v>43</v>
      </c>
      <c r="D1767" s="13" t="s">
        <v>1</v>
      </c>
      <c r="E1767" s="35">
        <f>VLOOKUP(B1767, Passenger_Kilometre_by_mode_type[#All],MATCH(A1767, Passenger_Kilometre_by_mode_type[#Headers],0),0)</f>
        <v>4212198972.0526061</v>
      </c>
      <c r="F1767" s="89">
        <f>VLOOKUP(C1767, Reason_for_lorry_motorcycle_other_journeys_by_percentage[#All],MATCH(A1767, Reason_for_lorry_motorcycle_other_journeys_by_percentage[#Headers],0),0)/100</f>
        <v>1.325E-2</v>
      </c>
      <c r="G1767" s="13">
        <f t="shared" si="137"/>
        <v>55811636.379697032</v>
      </c>
      <c r="H1767" s="89">
        <f>VLOOKUP(D1767,Average_Distance_by_kilometre_grouping_for_mode_type[#All],MATCH(A1767,Average_Distance_by_kilometre_grouping_for_mode_type[#Headers],0),0)</f>
        <v>41.2</v>
      </c>
      <c r="I1767" s="89">
        <f>VLOOKUP(D1767,Average_Distance_by_kilometres_grouping_for_trip_purpose[#All],MATCH(A1767,Average_Distance_by_kilometres_grouping_for_trip_purpose[#Headers],0),0)</f>
        <v>43.24</v>
      </c>
      <c r="J1767" s="89">
        <f t="shared" si="138"/>
        <v>42.22</v>
      </c>
      <c r="K1767" s="89">
        <f t="shared" si="139"/>
        <v>0.72518035039505324</v>
      </c>
      <c r="L1767" s="89">
        <v>1</v>
      </c>
      <c r="M1767" s="13">
        <f t="shared" si="140"/>
        <v>40473502.025949992</v>
      </c>
      <c r="N1767" s="11">
        <f t="shared" si="141"/>
        <v>6.422460090022619E-4</v>
      </c>
    </row>
    <row r="1768" spans="1:14" x14ac:dyDescent="0.25">
      <c r="A1768" s="79" t="s">
        <v>36</v>
      </c>
      <c r="B1768" s="89" t="s">
        <v>90</v>
      </c>
      <c r="C1768" s="89" t="s">
        <v>44</v>
      </c>
      <c r="D1768" s="13" t="s">
        <v>12</v>
      </c>
      <c r="E1768" s="35">
        <f>VLOOKUP(B1768, Passenger_Kilometre_by_mode_type[#All],MATCH(A1768, Passenger_Kilometre_by_mode_type[#Headers],0),0)</f>
        <v>4212198972.0526061</v>
      </c>
      <c r="F1768" s="89">
        <f>VLOOKUP(C1768, Reason_for_lorry_motorcycle_other_journeys_by_percentage[#All],MATCH(A1768, Reason_for_lorry_motorcycle_other_journeys_by_percentage[#Headers],0),0)/100</f>
        <v>0.10200000000000001</v>
      </c>
      <c r="G1768" s="13">
        <f t="shared" si="137"/>
        <v>429644295.14936584</v>
      </c>
      <c r="H1768" s="89">
        <f>VLOOKUP(D1768,Average_Distance_by_kilometre_grouping_for_mode_type[#All],MATCH(A1768,Average_Distance_by_kilometre_grouping_for_mode_type[#Headers],0),0)</f>
        <v>1</v>
      </c>
      <c r="I1768" s="89">
        <f>VLOOKUP(D1768,Average_Distance_by_kilometres_grouping_for_trip_purpose[#All],MATCH(A1768,Average_Distance_by_kilometres_grouping_for_trip_purpose[#Headers],0),0)</f>
        <v>1</v>
      </c>
      <c r="J1768" s="89">
        <f t="shared" si="138"/>
        <v>1</v>
      </c>
      <c r="K1768" s="89">
        <f t="shared" si="139"/>
        <v>1.7176228100309172E-2</v>
      </c>
      <c r="L1768" s="89">
        <v>1</v>
      </c>
      <c r="M1768" s="13">
        <f t="shared" si="140"/>
        <v>7379668.4154820656</v>
      </c>
      <c r="N1768" s="11">
        <f t="shared" si="141"/>
        <v>1.1710285372796712E-4</v>
      </c>
    </row>
    <row r="1769" spans="1:14" x14ac:dyDescent="0.25">
      <c r="A1769" s="79" t="s">
        <v>36</v>
      </c>
      <c r="B1769" s="89" t="s">
        <v>90</v>
      </c>
      <c r="C1769" s="89" t="s">
        <v>44</v>
      </c>
      <c r="D1769" s="13" t="s">
        <v>181</v>
      </c>
      <c r="E1769" s="35">
        <f>VLOOKUP(B1769, Passenger_Kilometre_by_mode_type[#All],MATCH(A1769, Passenger_Kilometre_by_mode_type[#Headers],0),0)</f>
        <v>4212198972.0526061</v>
      </c>
      <c r="F1769" s="89">
        <f>VLOOKUP(C1769, Reason_for_lorry_motorcycle_other_journeys_by_percentage[#All],MATCH(A1769, Reason_for_lorry_motorcycle_other_journeys_by_percentage[#Headers],0),0)/100</f>
        <v>0.10200000000000001</v>
      </c>
      <c r="G1769" s="13">
        <f t="shared" si="137"/>
        <v>429644295.14936584</v>
      </c>
      <c r="H1769" s="89">
        <f>VLOOKUP(D1769,Average_Distance_by_kilometre_grouping_for_mode_type[#All],MATCH(A1769,Average_Distance_by_kilometre_grouping_for_mode_type[#Headers],0),0)</f>
        <v>3</v>
      </c>
      <c r="I1769" s="89">
        <f>VLOOKUP(D1769,Average_Distance_by_kilometres_grouping_for_trip_purpose[#All],MATCH(A1769,Average_Distance_by_kilometres_grouping_for_trip_purpose[#Headers],0),0)</f>
        <v>3</v>
      </c>
      <c r="J1769" s="89">
        <f t="shared" si="138"/>
        <v>3</v>
      </c>
      <c r="K1769" s="89">
        <f t="shared" si="139"/>
        <v>5.1528684300927517E-2</v>
      </c>
      <c r="L1769" s="89">
        <v>1</v>
      </c>
      <c r="M1769" s="13">
        <f t="shared" si="140"/>
        <v>22139005.246446196</v>
      </c>
      <c r="N1769" s="11">
        <f t="shared" si="141"/>
        <v>3.5130856118390137E-4</v>
      </c>
    </row>
    <row r="1770" spans="1:14" x14ac:dyDescent="0.25">
      <c r="A1770" s="79" t="s">
        <v>36</v>
      </c>
      <c r="B1770" s="89" t="s">
        <v>90</v>
      </c>
      <c r="C1770" s="89" t="s">
        <v>44</v>
      </c>
      <c r="D1770" s="13" t="s">
        <v>180</v>
      </c>
      <c r="E1770" s="35">
        <f>VLOOKUP(B1770, Passenger_Kilometre_by_mode_type[#All],MATCH(A1770, Passenger_Kilometre_by_mode_type[#Headers],0),0)</f>
        <v>4212198972.0526061</v>
      </c>
      <c r="F1770" s="89">
        <f>VLOOKUP(C1770, Reason_for_lorry_motorcycle_other_journeys_by_percentage[#All],MATCH(A1770, Reason_for_lorry_motorcycle_other_journeys_by_percentage[#Headers],0),0)/100</f>
        <v>0.10200000000000001</v>
      </c>
      <c r="G1770" s="13">
        <f t="shared" si="137"/>
        <v>429644295.14936584</v>
      </c>
      <c r="H1770" s="89">
        <f>VLOOKUP(D1770,Average_Distance_by_kilometre_grouping_for_mode_type[#All],MATCH(A1770,Average_Distance_by_kilometre_grouping_for_mode_type[#Headers],0),0)</f>
        <v>5</v>
      </c>
      <c r="I1770" s="89">
        <f>VLOOKUP(D1770,Average_Distance_by_kilometres_grouping_for_trip_purpose[#All],MATCH(A1770,Average_Distance_by_kilometres_grouping_for_trip_purpose[#Headers],0),0)</f>
        <v>5</v>
      </c>
      <c r="J1770" s="89">
        <f t="shared" si="138"/>
        <v>5</v>
      </c>
      <c r="K1770" s="89">
        <f t="shared" si="139"/>
        <v>8.5881140501545869E-2</v>
      </c>
      <c r="L1770" s="89">
        <v>1</v>
      </c>
      <c r="M1770" s="13">
        <f t="shared" si="140"/>
        <v>36898342.077410333</v>
      </c>
      <c r="N1770" s="11">
        <f t="shared" si="141"/>
        <v>5.8551426863983572E-4</v>
      </c>
    </row>
    <row r="1771" spans="1:14" x14ac:dyDescent="0.25">
      <c r="A1771" s="79" t="s">
        <v>36</v>
      </c>
      <c r="B1771" s="89" t="s">
        <v>90</v>
      </c>
      <c r="C1771" s="89" t="s">
        <v>44</v>
      </c>
      <c r="D1771" s="13" t="s">
        <v>182</v>
      </c>
      <c r="E1771" s="35">
        <f>VLOOKUP(B1771, Passenger_Kilometre_by_mode_type[#All],MATCH(A1771, Passenger_Kilometre_by_mode_type[#Headers],0),0)</f>
        <v>4212198972.0526061</v>
      </c>
      <c r="F1771" s="89">
        <f>VLOOKUP(C1771, Reason_for_lorry_motorcycle_other_journeys_by_percentage[#All],MATCH(A1771, Reason_for_lorry_motorcycle_other_journeys_by_percentage[#Headers],0),0)/100</f>
        <v>0.10200000000000001</v>
      </c>
      <c r="G1771" s="13">
        <f t="shared" si="137"/>
        <v>429644295.14936584</v>
      </c>
      <c r="H1771" s="89">
        <f>VLOOKUP(D1771,Average_Distance_by_kilometre_grouping_for_mode_type[#All],MATCH(A1771,Average_Distance_by_kilometre_grouping_for_mode_type[#Headers],0),0)</f>
        <v>7</v>
      </c>
      <c r="I1771" s="89">
        <f>VLOOKUP(D1771,Average_Distance_by_kilometres_grouping_for_trip_purpose[#All],MATCH(A1771,Average_Distance_by_kilometres_grouping_for_trip_purpose[#Headers],0),0)</f>
        <v>7</v>
      </c>
      <c r="J1771" s="89">
        <f t="shared" si="138"/>
        <v>7</v>
      </c>
      <c r="K1771" s="89">
        <f t="shared" si="139"/>
        <v>0.12023359670216421</v>
      </c>
      <c r="L1771" s="89">
        <v>1</v>
      </c>
      <c r="M1771" s="13">
        <f t="shared" si="140"/>
        <v>51657678.908374459</v>
      </c>
      <c r="N1771" s="11">
        <f t="shared" si="141"/>
        <v>8.1971997609576986E-4</v>
      </c>
    </row>
    <row r="1772" spans="1:14" x14ac:dyDescent="0.25">
      <c r="A1772" s="79" t="s">
        <v>36</v>
      </c>
      <c r="B1772" s="89" t="s">
        <v>90</v>
      </c>
      <c r="C1772" s="89" t="s">
        <v>44</v>
      </c>
      <c r="D1772" s="13" t="s">
        <v>1</v>
      </c>
      <c r="E1772" s="35">
        <f>VLOOKUP(B1772, Passenger_Kilometre_by_mode_type[#All],MATCH(A1772, Passenger_Kilometre_by_mode_type[#Headers],0),0)</f>
        <v>4212198972.0526061</v>
      </c>
      <c r="F1772" s="89">
        <f>VLOOKUP(C1772, Reason_for_lorry_motorcycle_other_journeys_by_percentage[#All],MATCH(A1772, Reason_for_lorry_motorcycle_other_journeys_by_percentage[#Headers],0),0)/100</f>
        <v>0.10200000000000001</v>
      </c>
      <c r="G1772" s="13">
        <f t="shared" si="137"/>
        <v>429644295.14936584</v>
      </c>
      <c r="H1772" s="89">
        <f>VLOOKUP(D1772,Average_Distance_by_kilometre_grouping_for_mode_type[#All],MATCH(A1772,Average_Distance_by_kilometre_grouping_for_mode_type[#Headers],0),0)</f>
        <v>41.2</v>
      </c>
      <c r="I1772" s="89">
        <f>VLOOKUP(D1772,Average_Distance_by_kilometres_grouping_for_trip_purpose[#All],MATCH(A1772,Average_Distance_by_kilometres_grouping_for_trip_purpose[#Headers],0),0)</f>
        <v>43.24</v>
      </c>
      <c r="J1772" s="89">
        <f t="shared" si="138"/>
        <v>42.22</v>
      </c>
      <c r="K1772" s="89">
        <f t="shared" si="139"/>
        <v>0.72518035039505324</v>
      </c>
      <c r="L1772" s="89">
        <v>1</v>
      </c>
      <c r="M1772" s="13">
        <f t="shared" si="140"/>
        <v>311569600.50165278</v>
      </c>
      <c r="N1772" s="11">
        <f t="shared" si="141"/>
        <v>4.9440824843947715E-3</v>
      </c>
    </row>
    <row r="1773" spans="1:14" x14ac:dyDescent="0.25">
      <c r="A1773" s="79" t="s">
        <v>36</v>
      </c>
      <c r="B1773" s="89" t="s">
        <v>90</v>
      </c>
      <c r="C1773" s="89" t="s">
        <v>45</v>
      </c>
      <c r="D1773" s="13" t="s">
        <v>12</v>
      </c>
      <c r="E1773" s="35">
        <f>VLOOKUP(B1773, Passenger_Kilometre_by_mode_type[#All],MATCH(A1773, Passenger_Kilometre_by_mode_type[#Headers],0),0)</f>
        <v>4212198972.0526061</v>
      </c>
      <c r="F1773" s="89">
        <f>VLOOKUP(C1773, Reason_for_lorry_motorcycle_other_journeys_by_percentage[#All],MATCH(A1773, Reason_for_lorry_motorcycle_other_journeys_by_percentage[#Headers],0),0)/100</f>
        <v>3.4499999999999996E-2</v>
      </c>
      <c r="G1773" s="13">
        <f t="shared" si="137"/>
        <v>145320864.53581488</v>
      </c>
      <c r="H1773" s="89">
        <f>VLOOKUP(D1773,Average_Distance_by_kilometre_grouping_for_mode_type[#All],MATCH(A1773,Average_Distance_by_kilometre_grouping_for_mode_type[#Headers],0),0)</f>
        <v>1</v>
      </c>
      <c r="I1773" s="89">
        <f>VLOOKUP(D1773,Average_Distance_by_kilometres_grouping_for_trip_purpose[#All],MATCH(A1773,Average_Distance_by_kilometres_grouping_for_trip_purpose[#Headers],0),0)</f>
        <v>1</v>
      </c>
      <c r="J1773" s="89">
        <f t="shared" si="138"/>
        <v>1</v>
      </c>
      <c r="K1773" s="89">
        <f t="shared" si="139"/>
        <v>1.7176228100309172E-2</v>
      </c>
      <c r="L1773" s="89">
        <v>1</v>
      </c>
      <c r="M1773" s="13">
        <f t="shared" si="140"/>
        <v>2496064.3170012864</v>
      </c>
      <c r="N1773" s="11">
        <f t="shared" si="141"/>
        <v>3.9608318172694752E-5</v>
      </c>
    </row>
    <row r="1774" spans="1:14" x14ac:dyDescent="0.25">
      <c r="A1774" s="79" t="s">
        <v>36</v>
      </c>
      <c r="B1774" s="89" t="s">
        <v>90</v>
      </c>
      <c r="C1774" s="89" t="s">
        <v>45</v>
      </c>
      <c r="D1774" s="13" t="s">
        <v>181</v>
      </c>
      <c r="E1774" s="35">
        <f>VLOOKUP(B1774, Passenger_Kilometre_by_mode_type[#All],MATCH(A1774, Passenger_Kilometre_by_mode_type[#Headers],0),0)</f>
        <v>4212198972.0526061</v>
      </c>
      <c r="F1774" s="89">
        <f>VLOOKUP(C1774, Reason_for_lorry_motorcycle_other_journeys_by_percentage[#All],MATCH(A1774, Reason_for_lorry_motorcycle_other_journeys_by_percentage[#Headers],0),0)/100</f>
        <v>3.4499999999999996E-2</v>
      </c>
      <c r="G1774" s="13">
        <f t="shared" si="137"/>
        <v>145320864.53581488</v>
      </c>
      <c r="H1774" s="89">
        <f>VLOOKUP(D1774,Average_Distance_by_kilometre_grouping_for_mode_type[#All],MATCH(A1774,Average_Distance_by_kilometre_grouping_for_mode_type[#Headers],0),0)</f>
        <v>3</v>
      </c>
      <c r="I1774" s="89">
        <f>VLOOKUP(D1774,Average_Distance_by_kilometres_grouping_for_trip_purpose[#All],MATCH(A1774,Average_Distance_by_kilometres_grouping_for_trip_purpose[#Headers],0),0)</f>
        <v>3</v>
      </c>
      <c r="J1774" s="89">
        <f t="shared" si="138"/>
        <v>3</v>
      </c>
      <c r="K1774" s="89">
        <f t="shared" si="139"/>
        <v>5.1528684300927517E-2</v>
      </c>
      <c r="L1774" s="89">
        <v>1</v>
      </c>
      <c r="M1774" s="13">
        <f t="shared" si="140"/>
        <v>7488192.9510038588</v>
      </c>
      <c r="N1774" s="11">
        <f t="shared" si="141"/>
        <v>1.1882495451808426E-4</v>
      </c>
    </row>
    <row r="1775" spans="1:14" x14ac:dyDescent="0.25">
      <c r="A1775" s="79" t="s">
        <v>36</v>
      </c>
      <c r="B1775" s="89" t="s">
        <v>90</v>
      </c>
      <c r="C1775" s="89" t="s">
        <v>45</v>
      </c>
      <c r="D1775" s="13" t="s">
        <v>180</v>
      </c>
      <c r="E1775" s="35">
        <f>VLOOKUP(B1775, Passenger_Kilometre_by_mode_type[#All],MATCH(A1775, Passenger_Kilometre_by_mode_type[#Headers],0),0)</f>
        <v>4212198972.0526061</v>
      </c>
      <c r="F1775" s="89">
        <f>VLOOKUP(C1775, Reason_for_lorry_motorcycle_other_journeys_by_percentage[#All],MATCH(A1775, Reason_for_lorry_motorcycle_other_journeys_by_percentage[#Headers],0),0)/100</f>
        <v>3.4499999999999996E-2</v>
      </c>
      <c r="G1775" s="13">
        <f t="shared" si="137"/>
        <v>145320864.53581488</v>
      </c>
      <c r="H1775" s="89">
        <f>VLOOKUP(D1775,Average_Distance_by_kilometre_grouping_for_mode_type[#All],MATCH(A1775,Average_Distance_by_kilometre_grouping_for_mode_type[#Headers],0),0)</f>
        <v>5</v>
      </c>
      <c r="I1775" s="89">
        <f>VLOOKUP(D1775,Average_Distance_by_kilometres_grouping_for_trip_purpose[#All],MATCH(A1775,Average_Distance_by_kilometres_grouping_for_trip_purpose[#Headers],0),0)</f>
        <v>5</v>
      </c>
      <c r="J1775" s="89">
        <f t="shared" si="138"/>
        <v>5</v>
      </c>
      <c r="K1775" s="89">
        <f t="shared" si="139"/>
        <v>8.5881140501545869E-2</v>
      </c>
      <c r="L1775" s="89">
        <v>1</v>
      </c>
      <c r="M1775" s="13">
        <f t="shared" si="140"/>
        <v>12480321.585006433</v>
      </c>
      <c r="N1775" s="11">
        <f t="shared" si="141"/>
        <v>1.9804159086347377E-4</v>
      </c>
    </row>
    <row r="1776" spans="1:14" x14ac:dyDescent="0.25">
      <c r="A1776" s="79" t="s">
        <v>36</v>
      </c>
      <c r="B1776" s="89" t="s">
        <v>90</v>
      </c>
      <c r="C1776" s="89" t="s">
        <v>45</v>
      </c>
      <c r="D1776" s="13" t="s">
        <v>182</v>
      </c>
      <c r="E1776" s="35">
        <f>VLOOKUP(B1776, Passenger_Kilometre_by_mode_type[#All],MATCH(A1776, Passenger_Kilometre_by_mode_type[#Headers],0),0)</f>
        <v>4212198972.0526061</v>
      </c>
      <c r="F1776" s="89">
        <f>VLOOKUP(C1776, Reason_for_lorry_motorcycle_other_journeys_by_percentage[#All],MATCH(A1776, Reason_for_lorry_motorcycle_other_journeys_by_percentage[#Headers],0),0)/100</f>
        <v>3.4499999999999996E-2</v>
      </c>
      <c r="G1776" s="13">
        <f t="shared" si="137"/>
        <v>145320864.53581488</v>
      </c>
      <c r="H1776" s="89">
        <f>VLOOKUP(D1776,Average_Distance_by_kilometre_grouping_for_mode_type[#All],MATCH(A1776,Average_Distance_by_kilometre_grouping_for_mode_type[#Headers],0),0)</f>
        <v>7</v>
      </c>
      <c r="I1776" s="89">
        <f>VLOOKUP(D1776,Average_Distance_by_kilometres_grouping_for_trip_purpose[#All],MATCH(A1776,Average_Distance_by_kilometres_grouping_for_trip_purpose[#Headers],0),0)</f>
        <v>7</v>
      </c>
      <c r="J1776" s="89">
        <f t="shared" si="138"/>
        <v>7</v>
      </c>
      <c r="K1776" s="89">
        <f t="shared" si="139"/>
        <v>0.12023359670216421</v>
      </c>
      <c r="L1776" s="89">
        <v>1</v>
      </c>
      <c r="M1776" s="13">
        <f t="shared" si="140"/>
        <v>17472450.219009005</v>
      </c>
      <c r="N1776" s="11">
        <f t="shared" si="141"/>
        <v>2.7725822720886328E-4</v>
      </c>
    </row>
    <row r="1777" spans="1:14" x14ac:dyDescent="0.25">
      <c r="A1777" s="79" t="s">
        <v>36</v>
      </c>
      <c r="B1777" s="89" t="s">
        <v>90</v>
      </c>
      <c r="C1777" s="89" t="s">
        <v>45</v>
      </c>
      <c r="D1777" s="13" t="s">
        <v>1</v>
      </c>
      <c r="E1777" s="35">
        <f>VLOOKUP(B1777, Passenger_Kilometre_by_mode_type[#All],MATCH(A1777, Passenger_Kilometre_by_mode_type[#Headers],0),0)</f>
        <v>4212198972.0526061</v>
      </c>
      <c r="F1777" s="89">
        <f>VLOOKUP(C1777, Reason_for_lorry_motorcycle_other_journeys_by_percentage[#All],MATCH(A1777, Reason_for_lorry_motorcycle_other_journeys_by_percentage[#Headers],0),0)/100</f>
        <v>3.4499999999999996E-2</v>
      </c>
      <c r="G1777" s="13">
        <f t="shared" si="137"/>
        <v>145320864.53581488</v>
      </c>
      <c r="H1777" s="89">
        <f>VLOOKUP(D1777,Average_Distance_by_kilometre_grouping_for_mode_type[#All],MATCH(A1777,Average_Distance_by_kilometre_grouping_for_mode_type[#Headers],0),0)</f>
        <v>41.2</v>
      </c>
      <c r="I1777" s="89">
        <f>VLOOKUP(D1777,Average_Distance_by_kilometres_grouping_for_trip_purpose[#All],MATCH(A1777,Average_Distance_by_kilometres_grouping_for_trip_purpose[#Headers],0),0)</f>
        <v>43.24</v>
      </c>
      <c r="J1777" s="89">
        <f t="shared" si="138"/>
        <v>42.22</v>
      </c>
      <c r="K1777" s="89">
        <f t="shared" si="139"/>
        <v>0.72518035039505324</v>
      </c>
      <c r="L1777" s="89">
        <v>1</v>
      </c>
      <c r="M1777" s="13">
        <f t="shared" si="140"/>
        <v>105383835.46379431</v>
      </c>
      <c r="N1777" s="11">
        <f t="shared" si="141"/>
        <v>1.6722631932511724E-3</v>
      </c>
    </row>
    <row r="1778" spans="1:14" x14ac:dyDescent="0.25">
      <c r="A1778" s="79" t="s">
        <v>36</v>
      </c>
      <c r="B1778" s="89" t="s">
        <v>90</v>
      </c>
      <c r="C1778" s="89" t="s">
        <v>56</v>
      </c>
      <c r="D1778" s="13" t="s">
        <v>12</v>
      </c>
      <c r="E1778" s="35">
        <f>VLOOKUP(B1778, Passenger_Kilometre_by_mode_type[#All],MATCH(A1778, Passenger_Kilometre_by_mode_type[#Headers],0),0)</f>
        <v>4212198972.0526061</v>
      </c>
      <c r="F1778" s="89">
        <f>VLOOKUP(C1778, Reason_for_lorry_motorcycle_other_journeys_by_percentage[#All],MATCH(A1778, Reason_for_lorry_motorcycle_other_journeys_by_percentage[#Headers],0),0)/100</f>
        <v>2.3749999999999997E-2</v>
      </c>
      <c r="G1778" s="13">
        <f t="shared" si="137"/>
        <v>100039725.58624938</v>
      </c>
      <c r="H1778" s="89">
        <f>VLOOKUP(D1778,Average_Distance_by_kilometre_grouping_for_mode_type[#All],MATCH(A1778,Average_Distance_by_kilometre_grouping_for_mode_type[#Headers],0),0)</f>
        <v>1</v>
      </c>
      <c r="I1778" s="89">
        <f>VLOOKUP(D1778,Average_Distance_by_kilometres_grouping_for_trip_purpose[#All],MATCH(A1778,Average_Distance_by_kilometres_grouping_for_trip_purpose[#Headers],0),0)</f>
        <v>1</v>
      </c>
      <c r="J1778" s="89">
        <f t="shared" si="138"/>
        <v>1</v>
      </c>
      <c r="K1778" s="89">
        <f t="shared" si="139"/>
        <v>1.7176228100309172E-2</v>
      </c>
      <c r="L1778" s="89">
        <v>1</v>
      </c>
      <c r="M1778" s="13">
        <f t="shared" si="140"/>
        <v>1718305.1457617551</v>
      </c>
      <c r="N1778" s="11">
        <f t="shared" si="141"/>
        <v>2.7266595843521749E-5</v>
      </c>
    </row>
    <row r="1779" spans="1:14" x14ac:dyDescent="0.25">
      <c r="A1779" s="79" t="s">
        <v>36</v>
      </c>
      <c r="B1779" s="89" t="s">
        <v>90</v>
      </c>
      <c r="C1779" s="89" t="s">
        <v>56</v>
      </c>
      <c r="D1779" s="13" t="s">
        <v>181</v>
      </c>
      <c r="E1779" s="35">
        <f>VLOOKUP(B1779, Passenger_Kilometre_by_mode_type[#All],MATCH(A1779, Passenger_Kilometre_by_mode_type[#Headers],0),0)</f>
        <v>4212198972.0526061</v>
      </c>
      <c r="F1779" s="89">
        <f>VLOOKUP(C1779, Reason_for_lorry_motorcycle_other_journeys_by_percentage[#All],MATCH(A1779, Reason_for_lorry_motorcycle_other_journeys_by_percentage[#Headers],0),0)/100</f>
        <v>2.3749999999999997E-2</v>
      </c>
      <c r="G1779" s="13">
        <f t="shared" si="137"/>
        <v>100039725.58624938</v>
      </c>
      <c r="H1779" s="89">
        <f>VLOOKUP(D1779,Average_Distance_by_kilometre_grouping_for_mode_type[#All],MATCH(A1779,Average_Distance_by_kilometre_grouping_for_mode_type[#Headers],0),0)</f>
        <v>3</v>
      </c>
      <c r="I1779" s="89">
        <f>VLOOKUP(D1779,Average_Distance_by_kilometres_grouping_for_trip_purpose[#All],MATCH(A1779,Average_Distance_by_kilometres_grouping_for_trip_purpose[#Headers],0),0)</f>
        <v>3</v>
      </c>
      <c r="J1779" s="89">
        <f t="shared" si="138"/>
        <v>3</v>
      </c>
      <c r="K1779" s="89">
        <f t="shared" si="139"/>
        <v>5.1528684300927517E-2</v>
      </c>
      <c r="L1779" s="89">
        <v>1</v>
      </c>
      <c r="M1779" s="13">
        <f t="shared" si="140"/>
        <v>5154915.437285265</v>
      </c>
      <c r="N1779" s="11">
        <f t="shared" si="141"/>
        <v>8.179978753056525E-5</v>
      </c>
    </row>
    <row r="1780" spans="1:14" x14ac:dyDescent="0.25">
      <c r="A1780" s="79" t="s">
        <v>36</v>
      </c>
      <c r="B1780" s="89" t="s">
        <v>90</v>
      </c>
      <c r="C1780" s="89" t="s">
        <v>56</v>
      </c>
      <c r="D1780" s="13" t="s">
        <v>180</v>
      </c>
      <c r="E1780" s="35">
        <f>VLOOKUP(B1780, Passenger_Kilometre_by_mode_type[#All],MATCH(A1780, Passenger_Kilometre_by_mode_type[#Headers],0),0)</f>
        <v>4212198972.0526061</v>
      </c>
      <c r="F1780" s="89">
        <f>VLOOKUP(C1780, Reason_for_lorry_motorcycle_other_journeys_by_percentage[#All],MATCH(A1780, Reason_for_lorry_motorcycle_other_journeys_by_percentage[#Headers],0),0)/100</f>
        <v>2.3749999999999997E-2</v>
      </c>
      <c r="G1780" s="13">
        <f t="shared" si="137"/>
        <v>100039725.58624938</v>
      </c>
      <c r="H1780" s="89">
        <f>VLOOKUP(D1780,Average_Distance_by_kilometre_grouping_for_mode_type[#All],MATCH(A1780,Average_Distance_by_kilometre_grouping_for_mode_type[#Headers],0),0)</f>
        <v>5</v>
      </c>
      <c r="I1780" s="89">
        <f>VLOOKUP(D1780,Average_Distance_by_kilometres_grouping_for_trip_purpose[#All],MATCH(A1780,Average_Distance_by_kilometres_grouping_for_trip_purpose[#Headers],0),0)</f>
        <v>5</v>
      </c>
      <c r="J1780" s="89">
        <f t="shared" si="138"/>
        <v>5</v>
      </c>
      <c r="K1780" s="89">
        <f t="shared" si="139"/>
        <v>8.5881140501545869E-2</v>
      </c>
      <c r="L1780" s="89">
        <v>1</v>
      </c>
      <c r="M1780" s="13">
        <f t="shared" si="140"/>
        <v>8591525.7288087755</v>
      </c>
      <c r="N1780" s="11">
        <f t="shared" si="141"/>
        <v>1.3633297921760874E-4</v>
      </c>
    </row>
    <row r="1781" spans="1:14" x14ac:dyDescent="0.25">
      <c r="A1781" s="79" t="s">
        <v>36</v>
      </c>
      <c r="B1781" s="89" t="s">
        <v>90</v>
      </c>
      <c r="C1781" s="89" t="s">
        <v>56</v>
      </c>
      <c r="D1781" s="13" t="s">
        <v>182</v>
      </c>
      <c r="E1781" s="35">
        <f>VLOOKUP(B1781, Passenger_Kilometre_by_mode_type[#All],MATCH(A1781, Passenger_Kilometre_by_mode_type[#Headers],0),0)</f>
        <v>4212198972.0526061</v>
      </c>
      <c r="F1781" s="89">
        <f>VLOOKUP(C1781, Reason_for_lorry_motorcycle_other_journeys_by_percentage[#All],MATCH(A1781, Reason_for_lorry_motorcycle_other_journeys_by_percentage[#Headers],0),0)/100</f>
        <v>2.3749999999999997E-2</v>
      </c>
      <c r="G1781" s="13">
        <f t="shared" si="137"/>
        <v>100039725.58624938</v>
      </c>
      <c r="H1781" s="89">
        <f>VLOOKUP(D1781,Average_Distance_by_kilometre_grouping_for_mode_type[#All],MATCH(A1781,Average_Distance_by_kilometre_grouping_for_mode_type[#Headers],0),0)</f>
        <v>7</v>
      </c>
      <c r="I1781" s="89">
        <f>VLOOKUP(D1781,Average_Distance_by_kilometres_grouping_for_trip_purpose[#All],MATCH(A1781,Average_Distance_by_kilometres_grouping_for_trip_purpose[#Headers],0),0)</f>
        <v>7</v>
      </c>
      <c r="J1781" s="89">
        <f t="shared" si="138"/>
        <v>7</v>
      </c>
      <c r="K1781" s="89">
        <f t="shared" si="139"/>
        <v>0.12023359670216421</v>
      </c>
      <c r="L1781" s="89">
        <v>1</v>
      </c>
      <c r="M1781" s="13">
        <f t="shared" si="140"/>
        <v>12028136.020332286</v>
      </c>
      <c r="N1781" s="11">
        <f t="shared" si="141"/>
        <v>1.9086617090465226E-4</v>
      </c>
    </row>
    <row r="1782" spans="1:14" x14ac:dyDescent="0.25">
      <c r="A1782" s="79" t="s">
        <v>36</v>
      </c>
      <c r="B1782" s="89" t="s">
        <v>90</v>
      </c>
      <c r="C1782" s="89" t="s">
        <v>56</v>
      </c>
      <c r="D1782" s="13" t="s">
        <v>1</v>
      </c>
      <c r="E1782" s="35">
        <f>VLOOKUP(B1782, Passenger_Kilometre_by_mode_type[#All],MATCH(A1782, Passenger_Kilometre_by_mode_type[#Headers],0),0)</f>
        <v>4212198972.0526061</v>
      </c>
      <c r="F1782" s="89">
        <f>VLOOKUP(C1782, Reason_for_lorry_motorcycle_other_journeys_by_percentage[#All],MATCH(A1782, Reason_for_lorry_motorcycle_other_journeys_by_percentage[#Headers],0),0)/100</f>
        <v>2.3749999999999997E-2</v>
      </c>
      <c r="G1782" s="13">
        <f t="shared" si="137"/>
        <v>100039725.58624938</v>
      </c>
      <c r="H1782" s="89">
        <f>VLOOKUP(D1782,Average_Distance_by_kilometre_grouping_for_mode_type[#All],MATCH(A1782,Average_Distance_by_kilometre_grouping_for_mode_type[#Headers],0),0)</f>
        <v>41.2</v>
      </c>
      <c r="I1782" s="89">
        <f>VLOOKUP(D1782,Average_Distance_by_kilometres_grouping_for_trip_purpose[#All],MATCH(A1782,Average_Distance_by_kilometres_grouping_for_trip_purpose[#Headers],0),0)</f>
        <v>43.24</v>
      </c>
      <c r="J1782" s="89">
        <f t="shared" si="138"/>
        <v>42.22</v>
      </c>
      <c r="K1782" s="89">
        <f t="shared" si="139"/>
        <v>0.72518035039505324</v>
      </c>
      <c r="L1782" s="89">
        <v>1</v>
      </c>
      <c r="M1782" s="13">
        <f t="shared" si="140"/>
        <v>72546843.254061297</v>
      </c>
      <c r="N1782" s="11">
        <f t="shared" si="141"/>
        <v>1.1511956765134883E-3</v>
      </c>
    </row>
    <row r="1783" spans="1:14" x14ac:dyDescent="0.25">
      <c r="A1783" s="79" t="s">
        <v>36</v>
      </c>
      <c r="B1783" s="89" t="s">
        <v>90</v>
      </c>
      <c r="C1783" s="89" t="s">
        <v>57</v>
      </c>
      <c r="D1783" s="13" t="s">
        <v>12</v>
      </c>
      <c r="E1783" s="35">
        <f>VLOOKUP(B1783, Passenger_Kilometre_by_mode_type[#All],MATCH(A1783, Passenger_Kilometre_by_mode_type[#Headers],0),0)</f>
        <v>4212198972.0526061</v>
      </c>
      <c r="F1783" s="89">
        <f>VLOOKUP(C1783, Reason_for_lorry_motorcycle_other_journeys_by_percentage[#All],MATCH(A1783, Reason_for_lorry_motorcycle_other_journeys_by_percentage[#Headers],0),0)/100</f>
        <v>7.2499999999999995E-2</v>
      </c>
      <c r="G1783" s="13">
        <f t="shared" si="137"/>
        <v>305384425.47381395</v>
      </c>
      <c r="H1783" s="89">
        <f>VLOOKUP(D1783,Average_Distance_by_kilometre_grouping_for_mode_type[#All],MATCH(A1783,Average_Distance_by_kilometre_grouping_for_mode_type[#Headers],0),0)</f>
        <v>1</v>
      </c>
      <c r="I1783" s="89">
        <f>VLOOKUP(D1783,Average_Distance_by_kilometres_grouping_for_trip_purpose[#All],MATCH(A1783,Average_Distance_by_kilometres_grouping_for_trip_purpose[#Headers],0),0)</f>
        <v>1</v>
      </c>
      <c r="J1783" s="89">
        <f t="shared" si="138"/>
        <v>1</v>
      </c>
      <c r="K1783" s="89">
        <f t="shared" si="139"/>
        <v>1.7176228100309172E-2</v>
      </c>
      <c r="L1783" s="89">
        <v>1</v>
      </c>
      <c r="M1783" s="13">
        <f t="shared" si="140"/>
        <v>5245352.5502200956</v>
      </c>
      <c r="N1783" s="11">
        <f t="shared" si="141"/>
        <v>8.3234871522329574E-5</v>
      </c>
    </row>
    <row r="1784" spans="1:14" x14ac:dyDescent="0.25">
      <c r="A1784" s="79" t="s">
        <v>36</v>
      </c>
      <c r="B1784" s="89" t="s">
        <v>90</v>
      </c>
      <c r="C1784" s="89" t="s">
        <v>57</v>
      </c>
      <c r="D1784" s="13" t="s">
        <v>181</v>
      </c>
      <c r="E1784" s="35">
        <f>VLOOKUP(B1784, Passenger_Kilometre_by_mode_type[#All],MATCH(A1784, Passenger_Kilometre_by_mode_type[#Headers],0),0)</f>
        <v>4212198972.0526061</v>
      </c>
      <c r="F1784" s="89">
        <f>VLOOKUP(C1784, Reason_for_lorry_motorcycle_other_journeys_by_percentage[#All],MATCH(A1784, Reason_for_lorry_motorcycle_other_journeys_by_percentage[#Headers],0),0)/100</f>
        <v>7.2499999999999995E-2</v>
      </c>
      <c r="G1784" s="13">
        <f t="shared" si="137"/>
        <v>305384425.47381395</v>
      </c>
      <c r="H1784" s="89">
        <f>VLOOKUP(D1784,Average_Distance_by_kilometre_grouping_for_mode_type[#All],MATCH(A1784,Average_Distance_by_kilometre_grouping_for_mode_type[#Headers],0),0)</f>
        <v>3</v>
      </c>
      <c r="I1784" s="89">
        <f>VLOOKUP(D1784,Average_Distance_by_kilometres_grouping_for_trip_purpose[#All],MATCH(A1784,Average_Distance_by_kilometres_grouping_for_trip_purpose[#Headers],0),0)</f>
        <v>3</v>
      </c>
      <c r="J1784" s="89">
        <f t="shared" si="138"/>
        <v>3</v>
      </c>
      <c r="K1784" s="89">
        <f t="shared" si="139"/>
        <v>5.1528684300927517E-2</v>
      </c>
      <c r="L1784" s="89">
        <v>1</v>
      </c>
      <c r="M1784" s="13">
        <f t="shared" si="140"/>
        <v>15736057.650660286</v>
      </c>
      <c r="N1784" s="11">
        <f t="shared" si="141"/>
        <v>2.4970461456698867E-4</v>
      </c>
    </row>
    <row r="1785" spans="1:14" x14ac:dyDescent="0.25">
      <c r="A1785" s="79" t="s">
        <v>36</v>
      </c>
      <c r="B1785" s="89" t="s">
        <v>90</v>
      </c>
      <c r="C1785" s="89" t="s">
        <v>57</v>
      </c>
      <c r="D1785" s="13" t="s">
        <v>180</v>
      </c>
      <c r="E1785" s="35">
        <f>VLOOKUP(B1785, Passenger_Kilometre_by_mode_type[#All],MATCH(A1785, Passenger_Kilometre_by_mode_type[#Headers],0),0)</f>
        <v>4212198972.0526061</v>
      </c>
      <c r="F1785" s="89">
        <f>VLOOKUP(C1785, Reason_for_lorry_motorcycle_other_journeys_by_percentage[#All],MATCH(A1785, Reason_for_lorry_motorcycle_other_journeys_by_percentage[#Headers],0),0)/100</f>
        <v>7.2499999999999995E-2</v>
      </c>
      <c r="G1785" s="13">
        <f t="shared" si="137"/>
        <v>305384425.47381395</v>
      </c>
      <c r="H1785" s="89">
        <f>VLOOKUP(D1785,Average_Distance_by_kilometre_grouping_for_mode_type[#All],MATCH(A1785,Average_Distance_by_kilometre_grouping_for_mode_type[#Headers],0),0)</f>
        <v>5</v>
      </c>
      <c r="I1785" s="89">
        <f>VLOOKUP(D1785,Average_Distance_by_kilometres_grouping_for_trip_purpose[#All],MATCH(A1785,Average_Distance_by_kilometres_grouping_for_trip_purpose[#Headers],0),0)</f>
        <v>5</v>
      </c>
      <c r="J1785" s="89">
        <f t="shared" si="138"/>
        <v>5</v>
      </c>
      <c r="K1785" s="89">
        <f t="shared" si="139"/>
        <v>8.5881140501545869E-2</v>
      </c>
      <c r="L1785" s="89">
        <v>1</v>
      </c>
      <c r="M1785" s="13">
        <f t="shared" si="140"/>
        <v>26226762.751100481</v>
      </c>
      <c r="N1785" s="11">
        <f t="shared" si="141"/>
        <v>4.1617435761164787E-4</v>
      </c>
    </row>
    <row r="1786" spans="1:14" x14ac:dyDescent="0.25">
      <c r="A1786" s="79" t="s">
        <v>36</v>
      </c>
      <c r="B1786" s="89" t="s">
        <v>90</v>
      </c>
      <c r="C1786" s="89" t="s">
        <v>57</v>
      </c>
      <c r="D1786" s="13" t="s">
        <v>182</v>
      </c>
      <c r="E1786" s="35">
        <f>VLOOKUP(B1786, Passenger_Kilometre_by_mode_type[#All],MATCH(A1786, Passenger_Kilometre_by_mode_type[#Headers],0),0)</f>
        <v>4212198972.0526061</v>
      </c>
      <c r="F1786" s="89">
        <f>VLOOKUP(C1786, Reason_for_lorry_motorcycle_other_journeys_by_percentage[#All],MATCH(A1786, Reason_for_lorry_motorcycle_other_journeys_by_percentage[#Headers],0),0)/100</f>
        <v>7.2499999999999995E-2</v>
      </c>
      <c r="G1786" s="13">
        <f t="shared" si="137"/>
        <v>305384425.47381395</v>
      </c>
      <c r="H1786" s="89">
        <f>VLOOKUP(D1786,Average_Distance_by_kilometre_grouping_for_mode_type[#All],MATCH(A1786,Average_Distance_by_kilometre_grouping_for_mode_type[#Headers],0),0)</f>
        <v>7</v>
      </c>
      <c r="I1786" s="89">
        <f>VLOOKUP(D1786,Average_Distance_by_kilometres_grouping_for_trip_purpose[#All],MATCH(A1786,Average_Distance_by_kilometres_grouping_for_trip_purpose[#Headers],0),0)</f>
        <v>7</v>
      </c>
      <c r="J1786" s="89">
        <f t="shared" si="138"/>
        <v>7</v>
      </c>
      <c r="K1786" s="89">
        <f t="shared" si="139"/>
        <v>0.12023359670216421</v>
      </c>
      <c r="L1786" s="89">
        <v>1</v>
      </c>
      <c r="M1786" s="13">
        <f t="shared" si="140"/>
        <v>36717467.85154067</v>
      </c>
      <c r="N1786" s="11">
        <f t="shared" si="141"/>
        <v>5.8264410065630697E-4</v>
      </c>
    </row>
    <row r="1787" spans="1:14" x14ac:dyDescent="0.25">
      <c r="A1787" s="79" t="s">
        <v>36</v>
      </c>
      <c r="B1787" s="89" t="s">
        <v>90</v>
      </c>
      <c r="C1787" s="89" t="s">
        <v>57</v>
      </c>
      <c r="D1787" s="13" t="s">
        <v>1</v>
      </c>
      <c r="E1787" s="35">
        <f>VLOOKUP(B1787, Passenger_Kilometre_by_mode_type[#All],MATCH(A1787, Passenger_Kilometre_by_mode_type[#Headers],0),0)</f>
        <v>4212198972.0526061</v>
      </c>
      <c r="F1787" s="89">
        <f>VLOOKUP(C1787, Reason_for_lorry_motorcycle_other_journeys_by_percentage[#All],MATCH(A1787, Reason_for_lorry_motorcycle_other_journeys_by_percentage[#Headers],0),0)/100</f>
        <v>7.2499999999999995E-2</v>
      </c>
      <c r="G1787" s="13">
        <f t="shared" si="137"/>
        <v>305384425.47381395</v>
      </c>
      <c r="H1787" s="89">
        <f>VLOOKUP(D1787,Average_Distance_by_kilometre_grouping_for_mode_type[#All],MATCH(A1787,Average_Distance_by_kilometre_grouping_for_mode_type[#Headers],0),0)</f>
        <v>41.2</v>
      </c>
      <c r="I1787" s="89">
        <f>VLOOKUP(D1787,Average_Distance_by_kilometres_grouping_for_trip_purpose[#All],MATCH(A1787,Average_Distance_by_kilometres_grouping_for_trip_purpose[#Headers],0),0)</f>
        <v>43.24</v>
      </c>
      <c r="J1787" s="89">
        <f t="shared" si="138"/>
        <v>42.22</v>
      </c>
      <c r="K1787" s="89">
        <f t="shared" si="139"/>
        <v>0.72518035039505324</v>
      </c>
      <c r="L1787" s="89">
        <v>1</v>
      </c>
      <c r="M1787" s="13">
        <f t="shared" si="140"/>
        <v>221458784.67029244</v>
      </c>
      <c r="N1787" s="11">
        <f t="shared" si="141"/>
        <v>3.5141762756727545E-3</v>
      </c>
    </row>
    <row r="1788" spans="1:14" x14ac:dyDescent="0.25">
      <c r="A1788" s="79" t="s">
        <v>36</v>
      </c>
      <c r="B1788" s="89" t="s">
        <v>90</v>
      </c>
      <c r="C1788" s="89" t="s">
        <v>93</v>
      </c>
      <c r="D1788" s="13" t="s">
        <v>12</v>
      </c>
      <c r="E1788" s="35">
        <f>VLOOKUP(B1788, Passenger_Kilometre_by_mode_type[#All],MATCH(A1788, Passenger_Kilometre_by_mode_type[#Headers],0),0)</f>
        <v>4212198972.0526061</v>
      </c>
      <c r="F1788" s="89">
        <f>VLOOKUP(C1788, Reason_for_lorry_motorcycle_other_journeys_by_percentage[#All],MATCH(A1788, Reason_for_lorry_motorcycle_other_journeys_by_percentage[#Headers],0),0)/100</f>
        <v>7.4999999999999997E-2</v>
      </c>
      <c r="G1788" s="13">
        <f t="shared" si="137"/>
        <v>315914922.90394545</v>
      </c>
      <c r="H1788" s="89">
        <f>VLOOKUP(D1788,Average_Distance_by_kilometre_grouping_for_mode_type[#All],MATCH(A1788,Average_Distance_by_kilometre_grouping_for_mode_type[#Headers],0),0)</f>
        <v>1</v>
      </c>
      <c r="I1788" s="89">
        <f>VLOOKUP(D1788,Average_Distance_by_kilometres_grouping_for_trip_purpose[#All],MATCH(A1788,Average_Distance_by_kilometres_grouping_for_trip_purpose[#Headers],0),0)</f>
        <v>1</v>
      </c>
      <c r="J1788" s="89">
        <f t="shared" si="138"/>
        <v>1</v>
      </c>
      <c r="K1788" s="89">
        <f t="shared" si="139"/>
        <v>1.7176228100309172E-2</v>
      </c>
      <c r="L1788" s="89">
        <v>1</v>
      </c>
      <c r="M1788" s="13">
        <f t="shared" si="140"/>
        <v>5426226.776089754</v>
      </c>
      <c r="N1788" s="11">
        <f t="shared" si="141"/>
        <v>8.6105039505858169E-5</v>
      </c>
    </row>
    <row r="1789" spans="1:14" x14ac:dyDescent="0.25">
      <c r="A1789" s="79" t="s">
        <v>36</v>
      </c>
      <c r="B1789" s="89" t="s">
        <v>90</v>
      </c>
      <c r="C1789" s="89" t="s">
        <v>93</v>
      </c>
      <c r="D1789" s="13" t="s">
        <v>181</v>
      </c>
      <c r="E1789" s="35">
        <f>VLOOKUP(B1789, Passenger_Kilometre_by_mode_type[#All],MATCH(A1789, Passenger_Kilometre_by_mode_type[#Headers],0),0)</f>
        <v>4212198972.0526061</v>
      </c>
      <c r="F1789" s="89">
        <f>VLOOKUP(C1789, Reason_for_lorry_motorcycle_other_journeys_by_percentage[#All],MATCH(A1789, Reason_for_lorry_motorcycle_other_journeys_by_percentage[#Headers],0),0)/100</f>
        <v>7.4999999999999997E-2</v>
      </c>
      <c r="G1789" s="13">
        <f t="shared" si="137"/>
        <v>315914922.90394545</v>
      </c>
      <c r="H1789" s="89">
        <f>VLOOKUP(D1789,Average_Distance_by_kilometre_grouping_for_mode_type[#All],MATCH(A1789,Average_Distance_by_kilometre_grouping_for_mode_type[#Headers],0),0)</f>
        <v>3</v>
      </c>
      <c r="I1789" s="89">
        <f>VLOOKUP(D1789,Average_Distance_by_kilometres_grouping_for_trip_purpose[#All],MATCH(A1789,Average_Distance_by_kilometres_grouping_for_trip_purpose[#Headers],0),0)</f>
        <v>3</v>
      </c>
      <c r="J1789" s="89">
        <f t="shared" si="138"/>
        <v>3</v>
      </c>
      <c r="K1789" s="89">
        <f t="shared" si="139"/>
        <v>5.1528684300927517E-2</v>
      </c>
      <c r="L1789" s="89">
        <v>1</v>
      </c>
      <c r="M1789" s="13">
        <f t="shared" si="140"/>
        <v>16278680.32826926</v>
      </c>
      <c r="N1789" s="11">
        <f t="shared" si="141"/>
        <v>2.5831511851757451E-4</v>
      </c>
    </row>
    <row r="1790" spans="1:14" x14ac:dyDescent="0.25">
      <c r="A1790" s="79" t="s">
        <v>36</v>
      </c>
      <c r="B1790" s="89" t="s">
        <v>90</v>
      </c>
      <c r="C1790" s="89" t="s">
        <v>93</v>
      </c>
      <c r="D1790" s="13" t="s">
        <v>180</v>
      </c>
      <c r="E1790" s="35">
        <f>VLOOKUP(B1790, Passenger_Kilometre_by_mode_type[#All],MATCH(A1790, Passenger_Kilometre_by_mode_type[#Headers],0),0)</f>
        <v>4212198972.0526061</v>
      </c>
      <c r="F1790" s="89">
        <f>VLOOKUP(C1790, Reason_for_lorry_motorcycle_other_journeys_by_percentage[#All],MATCH(A1790, Reason_for_lorry_motorcycle_other_journeys_by_percentage[#Headers],0),0)/100</f>
        <v>7.4999999999999997E-2</v>
      </c>
      <c r="G1790" s="13">
        <f t="shared" si="137"/>
        <v>315914922.90394545</v>
      </c>
      <c r="H1790" s="89">
        <f>VLOOKUP(D1790,Average_Distance_by_kilometre_grouping_for_mode_type[#All],MATCH(A1790,Average_Distance_by_kilometre_grouping_for_mode_type[#Headers],0),0)</f>
        <v>5</v>
      </c>
      <c r="I1790" s="89">
        <f>VLOOKUP(D1790,Average_Distance_by_kilometres_grouping_for_trip_purpose[#All],MATCH(A1790,Average_Distance_by_kilometres_grouping_for_trip_purpose[#Headers],0),0)</f>
        <v>5</v>
      </c>
      <c r="J1790" s="89">
        <f t="shared" si="138"/>
        <v>5</v>
      </c>
      <c r="K1790" s="89">
        <f t="shared" si="139"/>
        <v>8.5881140501545869E-2</v>
      </c>
      <c r="L1790" s="89">
        <v>1</v>
      </c>
      <c r="M1790" s="13">
        <f t="shared" si="140"/>
        <v>27131133.88044877</v>
      </c>
      <c r="N1790" s="11">
        <f t="shared" si="141"/>
        <v>4.3052519752929085E-4</v>
      </c>
    </row>
    <row r="1791" spans="1:14" x14ac:dyDescent="0.25">
      <c r="A1791" s="79" t="s">
        <v>36</v>
      </c>
      <c r="B1791" s="89" t="s">
        <v>90</v>
      </c>
      <c r="C1791" s="89" t="s">
        <v>93</v>
      </c>
      <c r="D1791" s="13" t="s">
        <v>182</v>
      </c>
      <c r="E1791" s="35">
        <f>VLOOKUP(B1791, Passenger_Kilometre_by_mode_type[#All],MATCH(A1791, Passenger_Kilometre_by_mode_type[#Headers],0),0)</f>
        <v>4212198972.0526061</v>
      </c>
      <c r="F1791" s="89">
        <f>VLOOKUP(C1791, Reason_for_lorry_motorcycle_other_journeys_by_percentage[#All],MATCH(A1791, Reason_for_lorry_motorcycle_other_journeys_by_percentage[#Headers],0),0)/100</f>
        <v>7.4999999999999997E-2</v>
      </c>
      <c r="G1791" s="13">
        <f t="shared" si="137"/>
        <v>315914922.90394545</v>
      </c>
      <c r="H1791" s="89">
        <f>VLOOKUP(D1791,Average_Distance_by_kilometre_grouping_for_mode_type[#All],MATCH(A1791,Average_Distance_by_kilometre_grouping_for_mode_type[#Headers],0),0)</f>
        <v>7</v>
      </c>
      <c r="I1791" s="89">
        <f>VLOOKUP(D1791,Average_Distance_by_kilometres_grouping_for_trip_purpose[#All],MATCH(A1791,Average_Distance_by_kilometres_grouping_for_trip_purpose[#Headers],0),0)</f>
        <v>7</v>
      </c>
      <c r="J1791" s="89">
        <f t="shared" si="138"/>
        <v>7</v>
      </c>
      <c r="K1791" s="89">
        <f t="shared" si="139"/>
        <v>0.12023359670216421</v>
      </c>
      <c r="L1791" s="89">
        <v>1</v>
      </c>
      <c r="M1791" s="13">
        <f t="shared" si="140"/>
        <v>37983587.432628274</v>
      </c>
      <c r="N1791" s="11">
        <f t="shared" si="141"/>
        <v>6.0273527654100718E-4</v>
      </c>
    </row>
    <row r="1792" spans="1:14" x14ac:dyDescent="0.25">
      <c r="A1792" s="79" t="s">
        <v>36</v>
      </c>
      <c r="B1792" s="89" t="s">
        <v>90</v>
      </c>
      <c r="C1792" s="89" t="s">
        <v>93</v>
      </c>
      <c r="D1792" s="13" t="s">
        <v>1</v>
      </c>
      <c r="E1792" s="35">
        <f>VLOOKUP(B1792, Passenger_Kilometre_by_mode_type[#All],MATCH(A1792, Passenger_Kilometre_by_mode_type[#Headers],0),0)</f>
        <v>4212198972.0526061</v>
      </c>
      <c r="F1792" s="89">
        <f>VLOOKUP(C1792, Reason_for_lorry_motorcycle_other_journeys_by_percentage[#All],MATCH(A1792, Reason_for_lorry_motorcycle_other_journeys_by_percentage[#Headers],0),0)/100</f>
        <v>7.4999999999999997E-2</v>
      </c>
      <c r="G1792" s="13">
        <f t="shared" si="137"/>
        <v>315914922.90394545</v>
      </c>
      <c r="H1792" s="89">
        <f>VLOOKUP(D1792,Average_Distance_by_kilometre_grouping_for_mode_type[#All],MATCH(A1792,Average_Distance_by_kilometre_grouping_for_mode_type[#Headers],0),0)</f>
        <v>41.2</v>
      </c>
      <c r="I1792" s="89">
        <f>VLOOKUP(D1792,Average_Distance_by_kilometres_grouping_for_trip_purpose[#All],MATCH(A1792,Average_Distance_by_kilometres_grouping_for_trip_purpose[#Headers],0),0)</f>
        <v>43.24</v>
      </c>
      <c r="J1792" s="89">
        <f t="shared" si="138"/>
        <v>42.22</v>
      </c>
      <c r="K1792" s="89">
        <f t="shared" si="139"/>
        <v>0.72518035039505324</v>
      </c>
      <c r="L1792" s="89">
        <v>1</v>
      </c>
      <c r="M1792" s="13">
        <f t="shared" si="140"/>
        <v>229095294.48650938</v>
      </c>
      <c r="N1792" s="11">
        <f t="shared" si="141"/>
        <v>3.6353547679373317E-3</v>
      </c>
    </row>
    <row r="1793" spans="1:14" x14ac:dyDescent="0.25">
      <c r="A1793" s="79" t="s">
        <v>36</v>
      </c>
      <c r="B1793" s="89" t="s">
        <v>90</v>
      </c>
      <c r="C1793" s="89" t="s">
        <v>243</v>
      </c>
      <c r="D1793" s="13" t="s">
        <v>12</v>
      </c>
      <c r="E1793" s="35">
        <f>VLOOKUP(B1793, Passenger_Kilometre_by_mode_type[#All],MATCH(A1793, Passenger_Kilometre_by_mode_type[#Headers],0),0)</f>
        <v>4212198972.0526061</v>
      </c>
      <c r="F1793" s="89">
        <f>VLOOKUP(C1793, Reason_for_lorry_motorcycle_other_journeys_by_percentage[#All],MATCH(A1793, Reason_for_lorry_motorcycle_other_journeys_by_percentage[#Headers],0),0)/100</f>
        <v>4.2249999999999996E-2</v>
      </c>
      <c r="G1793" s="13">
        <f t="shared" si="137"/>
        <v>177965406.5692226</v>
      </c>
      <c r="H1793" s="89">
        <f>VLOOKUP(D1793,Average_Distance_by_kilometre_grouping_for_mode_type[#All],MATCH(A1793,Average_Distance_by_kilometre_grouping_for_mode_type[#Headers],0),0)</f>
        <v>1</v>
      </c>
      <c r="I1793" s="89">
        <f>VLOOKUP(D1793,Average_Distance_by_kilometres_grouping_for_trip_purpose[#All],MATCH(A1793,Average_Distance_by_kilometres_grouping_for_trip_purpose[#Headers],0),0)</f>
        <v>1</v>
      </c>
      <c r="J1793" s="89">
        <f t="shared" si="138"/>
        <v>1</v>
      </c>
      <c r="K1793" s="89">
        <f t="shared" si="139"/>
        <v>1.7176228100309172E-2</v>
      </c>
      <c r="L1793" s="89">
        <v>1</v>
      </c>
      <c r="M1793" s="13">
        <f t="shared" si="140"/>
        <v>3056774.4171972279</v>
      </c>
      <c r="N1793" s="11">
        <f t="shared" si="141"/>
        <v>4.8505838921633439E-5</v>
      </c>
    </row>
    <row r="1794" spans="1:14" x14ac:dyDescent="0.25">
      <c r="A1794" s="79" t="s">
        <v>36</v>
      </c>
      <c r="B1794" s="89" t="s">
        <v>90</v>
      </c>
      <c r="C1794" s="89" t="s">
        <v>243</v>
      </c>
      <c r="D1794" s="13" t="s">
        <v>181</v>
      </c>
      <c r="E1794" s="35">
        <f>VLOOKUP(B1794, Passenger_Kilometre_by_mode_type[#All],MATCH(A1794, Passenger_Kilometre_by_mode_type[#Headers],0),0)</f>
        <v>4212198972.0526061</v>
      </c>
      <c r="F1794" s="89">
        <f>VLOOKUP(C1794, Reason_for_lorry_motorcycle_other_journeys_by_percentage[#All],MATCH(A1794, Reason_for_lorry_motorcycle_other_journeys_by_percentage[#Headers],0),0)/100</f>
        <v>4.2249999999999996E-2</v>
      </c>
      <c r="G1794" s="13">
        <f t="shared" si="137"/>
        <v>177965406.5692226</v>
      </c>
      <c r="H1794" s="89">
        <f>VLOOKUP(D1794,Average_Distance_by_kilometre_grouping_for_mode_type[#All],MATCH(A1794,Average_Distance_by_kilometre_grouping_for_mode_type[#Headers],0),0)</f>
        <v>3</v>
      </c>
      <c r="I1794" s="89">
        <f>VLOOKUP(D1794,Average_Distance_by_kilometres_grouping_for_trip_purpose[#All],MATCH(A1794,Average_Distance_by_kilometres_grouping_for_trip_purpose[#Headers],0),0)</f>
        <v>3</v>
      </c>
      <c r="J1794" s="89">
        <f t="shared" si="138"/>
        <v>3</v>
      </c>
      <c r="K1794" s="89">
        <f t="shared" si="139"/>
        <v>5.1528684300927517E-2</v>
      </c>
      <c r="L1794" s="89">
        <v>1</v>
      </c>
      <c r="M1794" s="13">
        <f t="shared" si="140"/>
        <v>9170323.2515916843</v>
      </c>
      <c r="N1794" s="11">
        <f t="shared" si="141"/>
        <v>1.455175167649003E-4</v>
      </c>
    </row>
    <row r="1795" spans="1:14" x14ac:dyDescent="0.25">
      <c r="A1795" s="79" t="s">
        <v>36</v>
      </c>
      <c r="B1795" s="89" t="s">
        <v>90</v>
      </c>
      <c r="C1795" s="89" t="s">
        <v>243</v>
      </c>
      <c r="D1795" s="13" t="s">
        <v>180</v>
      </c>
      <c r="E1795" s="35">
        <f>VLOOKUP(B1795, Passenger_Kilometre_by_mode_type[#All],MATCH(A1795, Passenger_Kilometre_by_mode_type[#Headers],0),0)</f>
        <v>4212198972.0526061</v>
      </c>
      <c r="F1795" s="89">
        <f>VLOOKUP(C1795, Reason_for_lorry_motorcycle_other_journeys_by_percentage[#All],MATCH(A1795, Reason_for_lorry_motorcycle_other_journeys_by_percentage[#Headers],0),0)/100</f>
        <v>4.2249999999999996E-2</v>
      </c>
      <c r="G1795" s="13">
        <f t="shared" si="137"/>
        <v>177965406.5692226</v>
      </c>
      <c r="H1795" s="89">
        <f>VLOOKUP(D1795,Average_Distance_by_kilometre_grouping_for_mode_type[#All],MATCH(A1795,Average_Distance_by_kilometre_grouping_for_mode_type[#Headers],0),0)</f>
        <v>5</v>
      </c>
      <c r="I1795" s="89">
        <f>VLOOKUP(D1795,Average_Distance_by_kilometres_grouping_for_trip_purpose[#All],MATCH(A1795,Average_Distance_by_kilometres_grouping_for_trip_purpose[#Headers],0),0)</f>
        <v>5</v>
      </c>
      <c r="J1795" s="89">
        <f t="shared" si="138"/>
        <v>5</v>
      </c>
      <c r="K1795" s="89">
        <f t="shared" si="139"/>
        <v>8.5881140501545869E-2</v>
      </c>
      <c r="L1795" s="89">
        <v>1</v>
      </c>
      <c r="M1795" s="13">
        <f t="shared" si="140"/>
        <v>15283872.085986141</v>
      </c>
      <c r="N1795" s="11">
        <f t="shared" si="141"/>
        <v>2.4252919460816721E-4</v>
      </c>
    </row>
    <row r="1796" spans="1:14" x14ac:dyDescent="0.25">
      <c r="A1796" s="79" t="s">
        <v>36</v>
      </c>
      <c r="B1796" s="89" t="s">
        <v>90</v>
      </c>
      <c r="C1796" s="89" t="s">
        <v>243</v>
      </c>
      <c r="D1796" s="13" t="s">
        <v>182</v>
      </c>
      <c r="E1796" s="35">
        <f>VLOOKUP(B1796, Passenger_Kilometre_by_mode_type[#All],MATCH(A1796, Passenger_Kilometre_by_mode_type[#Headers],0),0)</f>
        <v>4212198972.0526061</v>
      </c>
      <c r="F1796" s="89">
        <f>VLOOKUP(C1796, Reason_for_lorry_motorcycle_other_journeys_by_percentage[#All],MATCH(A1796, Reason_for_lorry_motorcycle_other_journeys_by_percentage[#Headers],0),0)/100</f>
        <v>4.2249999999999996E-2</v>
      </c>
      <c r="G1796" s="13">
        <f t="shared" ref="G1796:G1859" si="142">E1796*F1796</f>
        <v>177965406.5692226</v>
      </c>
      <c r="H1796" s="89">
        <f>VLOOKUP(D1796,Average_Distance_by_kilometre_grouping_for_mode_type[#All],MATCH(A1796,Average_Distance_by_kilometre_grouping_for_mode_type[#Headers],0),0)</f>
        <v>7</v>
      </c>
      <c r="I1796" s="89">
        <f>VLOOKUP(D1796,Average_Distance_by_kilometres_grouping_for_trip_purpose[#All],MATCH(A1796,Average_Distance_by_kilometres_grouping_for_trip_purpose[#Headers],0),0)</f>
        <v>7</v>
      </c>
      <c r="J1796" s="89">
        <f t="shared" ref="J1796:J1859" si="143">AVERAGE(H1796:I1796)</f>
        <v>7</v>
      </c>
      <c r="K1796" s="89">
        <f t="shared" ref="K1796:K1859" si="144">J1796/SUM(J1796:J1800)</f>
        <v>0.12023359670216421</v>
      </c>
      <c r="L1796" s="89">
        <v>1</v>
      </c>
      <c r="M1796" s="13">
        <f t="shared" ref="M1796:M1859" si="145">G1796*K1796*L1796</f>
        <v>21397420.920380596</v>
      </c>
      <c r="N1796" s="11">
        <f t="shared" si="141"/>
        <v>3.3954087245143406E-4</v>
      </c>
    </row>
    <row r="1797" spans="1:14" x14ac:dyDescent="0.25">
      <c r="A1797" s="79" t="s">
        <v>36</v>
      </c>
      <c r="B1797" s="89" t="s">
        <v>90</v>
      </c>
      <c r="C1797" s="89" t="s">
        <v>243</v>
      </c>
      <c r="D1797" s="13" t="s">
        <v>1</v>
      </c>
      <c r="E1797" s="35">
        <f>VLOOKUP(B1797, Passenger_Kilometre_by_mode_type[#All],MATCH(A1797, Passenger_Kilometre_by_mode_type[#Headers],0),0)</f>
        <v>4212198972.0526061</v>
      </c>
      <c r="F1797" s="89">
        <f>VLOOKUP(C1797, Reason_for_lorry_motorcycle_other_journeys_by_percentage[#All],MATCH(A1797, Reason_for_lorry_motorcycle_other_journeys_by_percentage[#Headers],0),0)/100</f>
        <v>4.2249999999999996E-2</v>
      </c>
      <c r="G1797" s="13">
        <f t="shared" si="142"/>
        <v>177965406.5692226</v>
      </c>
      <c r="H1797" s="89">
        <f>VLOOKUP(D1797,Average_Distance_by_kilometre_grouping_for_mode_type[#All],MATCH(A1797,Average_Distance_by_kilometre_grouping_for_mode_type[#Headers],0),0)</f>
        <v>41.2</v>
      </c>
      <c r="I1797" s="89">
        <f>VLOOKUP(D1797,Average_Distance_by_kilometres_grouping_for_trip_purpose[#All],MATCH(A1797,Average_Distance_by_kilometres_grouping_for_trip_purpose[#Headers],0),0)</f>
        <v>43.24</v>
      </c>
      <c r="J1797" s="89">
        <f t="shared" si="143"/>
        <v>42.22</v>
      </c>
      <c r="K1797" s="89">
        <f t="shared" si="144"/>
        <v>0.72518035039505324</v>
      </c>
      <c r="L1797" s="89">
        <v>1</v>
      </c>
      <c r="M1797" s="13">
        <f t="shared" si="145"/>
        <v>129057015.89406696</v>
      </c>
      <c r="N1797" s="11">
        <f t="shared" si="141"/>
        <v>2.0479165192713636E-3</v>
      </c>
    </row>
    <row r="1798" spans="1:14" x14ac:dyDescent="0.25">
      <c r="A1798" s="79" t="s">
        <v>36</v>
      </c>
      <c r="B1798" s="89" t="s">
        <v>90</v>
      </c>
      <c r="C1798" s="89" t="s">
        <v>50</v>
      </c>
      <c r="D1798" s="13" t="s">
        <v>12</v>
      </c>
      <c r="E1798" s="35">
        <f>VLOOKUP(B1798, Passenger_Kilometre_by_mode_type[#All],MATCH(A1798, Passenger_Kilometre_by_mode_type[#Headers],0),0)</f>
        <v>4212198972.0526061</v>
      </c>
      <c r="F1798" s="89">
        <f>VLOOKUP(C1798, Reason_for_lorry_motorcycle_other_journeys_by_percentage[#All],MATCH(A1798, Reason_for_lorry_motorcycle_other_journeys_by_percentage[#Headers],0),0)/100</f>
        <v>5.8749999999999997E-2</v>
      </c>
      <c r="G1798" s="13">
        <f t="shared" si="142"/>
        <v>247466689.60809061</v>
      </c>
      <c r="H1798" s="89">
        <f>VLOOKUP(D1798,Average_Distance_by_kilometre_grouping_for_mode_type[#All],MATCH(A1798,Average_Distance_by_kilometre_grouping_for_mode_type[#Headers],0),0)</f>
        <v>1</v>
      </c>
      <c r="I1798" s="89">
        <f>VLOOKUP(D1798,Average_Distance_by_kilometres_grouping_for_trip_purpose[#All],MATCH(A1798,Average_Distance_by_kilometres_grouping_for_trip_purpose[#Headers],0),0)</f>
        <v>1</v>
      </c>
      <c r="J1798" s="89">
        <f t="shared" si="143"/>
        <v>1</v>
      </c>
      <c r="K1798" s="89">
        <f t="shared" si="144"/>
        <v>1.7176228100309172E-2</v>
      </c>
      <c r="L1798" s="89">
        <v>1</v>
      </c>
      <c r="M1798" s="13">
        <f t="shared" si="145"/>
        <v>4250544.3079369739</v>
      </c>
      <c r="N1798" s="11">
        <f t="shared" si="141"/>
        <v>6.7448947612922235E-5</v>
      </c>
    </row>
    <row r="1799" spans="1:14" x14ac:dyDescent="0.25">
      <c r="A1799" s="79" t="s">
        <v>36</v>
      </c>
      <c r="B1799" s="89" t="s">
        <v>90</v>
      </c>
      <c r="C1799" s="89" t="s">
        <v>50</v>
      </c>
      <c r="D1799" s="13" t="s">
        <v>181</v>
      </c>
      <c r="E1799" s="35">
        <f>VLOOKUP(B1799, Passenger_Kilometre_by_mode_type[#All],MATCH(A1799, Passenger_Kilometre_by_mode_type[#Headers],0),0)</f>
        <v>4212198972.0526061</v>
      </c>
      <c r="F1799" s="89">
        <f>VLOOKUP(C1799, Reason_for_lorry_motorcycle_other_journeys_by_percentage[#All],MATCH(A1799, Reason_for_lorry_motorcycle_other_journeys_by_percentage[#Headers],0),0)/100</f>
        <v>5.8749999999999997E-2</v>
      </c>
      <c r="G1799" s="13">
        <f t="shared" si="142"/>
        <v>247466689.60809061</v>
      </c>
      <c r="H1799" s="89">
        <f>VLOOKUP(D1799,Average_Distance_by_kilometre_grouping_for_mode_type[#All],MATCH(A1799,Average_Distance_by_kilometre_grouping_for_mode_type[#Headers],0),0)</f>
        <v>3</v>
      </c>
      <c r="I1799" s="89">
        <f>VLOOKUP(D1799,Average_Distance_by_kilometres_grouping_for_trip_purpose[#All],MATCH(A1799,Average_Distance_by_kilometres_grouping_for_trip_purpose[#Headers],0),0)</f>
        <v>3</v>
      </c>
      <c r="J1799" s="89">
        <f t="shared" si="143"/>
        <v>3</v>
      </c>
      <c r="K1799" s="89">
        <f t="shared" si="144"/>
        <v>5.1528684300927517E-2</v>
      </c>
      <c r="L1799" s="89">
        <v>1</v>
      </c>
      <c r="M1799" s="13">
        <f t="shared" si="145"/>
        <v>12751632.923810922</v>
      </c>
      <c r="N1799" s="11">
        <f t="shared" si="141"/>
        <v>2.0234684283876669E-4</v>
      </c>
    </row>
    <row r="1800" spans="1:14" x14ac:dyDescent="0.25">
      <c r="A1800" s="79" t="s">
        <v>36</v>
      </c>
      <c r="B1800" s="89" t="s">
        <v>90</v>
      </c>
      <c r="C1800" s="89" t="s">
        <v>50</v>
      </c>
      <c r="D1800" s="13" t="s">
        <v>180</v>
      </c>
      <c r="E1800" s="35">
        <f>VLOOKUP(B1800, Passenger_Kilometre_by_mode_type[#All],MATCH(A1800, Passenger_Kilometre_by_mode_type[#Headers],0),0)</f>
        <v>4212198972.0526061</v>
      </c>
      <c r="F1800" s="89">
        <f>VLOOKUP(C1800, Reason_for_lorry_motorcycle_other_journeys_by_percentage[#All],MATCH(A1800, Reason_for_lorry_motorcycle_other_journeys_by_percentage[#Headers],0),0)/100</f>
        <v>5.8749999999999997E-2</v>
      </c>
      <c r="G1800" s="13">
        <f t="shared" si="142"/>
        <v>247466689.60809061</v>
      </c>
      <c r="H1800" s="89">
        <f>VLOOKUP(D1800,Average_Distance_by_kilometre_grouping_for_mode_type[#All],MATCH(A1800,Average_Distance_by_kilometre_grouping_for_mode_type[#Headers],0),0)</f>
        <v>5</v>
      </c>
      <c r="I1800" s="89">
        <f>VLOOKUP(D1800,Average_Distance_by_kilometres_grouping_for_trip_purpose[#All],MATCH(A1800,Average_Distance_by_kilometres_grouping_for_trip_purpose[#Headers],0),0)</f>
        <v>5</v>
      </c>
      <c r="J1800" s="89">
        <f t="shared" si="143"/>
        <v>5</v>
      </c>
      <c r="K1800" s="89">
        <f t="shared" si="144"/>
        <v>8.5881140501545869E-2</v>
      </c>
      <c r="L1800" s="89">
        <v>1</v>
      </c>
      <c r="M1800" s="13">
        <f t="shared" si="145"/>
        <v>21252721.539684869</v>
      </c>
      <c r="N1800" s="11">
        <f t="shared" si="141"/>
        <v>3.3724473806461116E-4</v>
      </c>
    </row>
    <row r="1801" spans="1:14" x14ac:dyDescent="0.25">
      <c r="A1801" s="79" t="s">
        <v>36</v>
      </c>
      <c r="B1801" s="89" t="s">
        <v>90</v>
      </c>
      <c r="C1801" s="89" t="s">
        <v>50</v>
      </c>
      <c r="D1801" s="13" t="s">
        <v>182</v>
      </c>
      <c r="E1801" s="35">
        <f>VLOOKUP(B1801, Passenger_Kilometre_by_mode_type[#All],MATCH(A1801, Passenger_Kilometre_by_mode_type[#Headers],0),0)</f>
        <v>4212198972.0526061</v>
      </c>
      <c r="F1801" s="89">
        <f>VLOOKUP(C1801, Reason_for_lorry_motorcycle_other_journeys_by_percentage[#All],MATCH(A1801, Reason_for_lorry_motorcycle_other_journeys_by_percentage[#Headers],0),0)/100</f>
        <v>5.8749999999999997E-2</v>
      </c>
      <c r="G1801" s="13">
        <f t="shared" si="142"/>
        <v>247466689.60809061</v>
      </c>
      <c r="H1801" s="89">
        <f>VLOOKUP(D1801,Average_Distance_by_kilometre_grouping_for_mode_type[#All],MATCH(A1801,Average_Distance_by_kilometre_grouping_for_mode_type[#Headers],0),0)</f>
        <v>7</v>
      </c>
      <c r="I1801" s="89">
        <f>VLOOKUP(D1801,Average_Distance_by_kilometres_grouping_for_trip_purpose[#All],MATCH(A1801,Average_Distance_by_kilometres_grouping_for_trip_purpose[#Headers],0),0)</f>
        <v>7</v>
      </c>
      <c r="J1801" s="89">
        <f t="shared" si="143"/>
        <v>7</v>
      </c>
      <c r="K1801" s="89">
        <f t="shared" si="144"/>
        <v>0.12023359670216421</v>
      </c>
      <c r="L1801" s="89">
        <v>1</v>
      </c>
      <c r="M1801" s="13">
        <f t="shared" si="145"/>
        <v>29753810.155558817</v>
      </c>
      <c r="N1801" s="11">
        <f t="shared" si="141"/>
        <v>4.7214263329045566E-4</v>
      </c>
    </row>
    <row r="1802" spans="1:14" x14ac:dyDescent="0.25">
      <c r="A1802" s="79" t="s">
        <v>36</v>
      </c>
      <c r="B1802" s="89" t="s">
        <v>90</v>
      </c>
      <c r="C1802" s="89" t="s">
        <v>50</v>
      </c>
      <c r="D1802" s="13" t="s">
        <v>1</v>
      </c>
      <c r="E1802" s="35">
        <f>VLOOKUP(B1802, Passenger_Kilometre_by_mode_type[#All],MATCH(A1802, Passenger_Kilometre_by_mode_type[#Headers],0),0)</f>
        <v>4212198972.0526061</v>
      </c>
      <c r="F1802" s="89">
        <f>VLOOKUP(C1802, Reason_for_lorry_motorcycle_other_journeys_by_percentage[#All],MATCH(A1802, Reason_for_lorry_motorcycle_other_journeys_by_percentage[#Headers],0),0)/100</f>
        <v>5.8749999999999997E-2</v>
      </c>
      <c r="G1802" s="13">
        <f t="shared" si="142"/>
        <v>247466689.60809061</v>
      </c>
      <c r="H1802" s="89">
        <f>VLOOKUP(D1802,Average_Distance_by_kilometre_grouping_for_mode_type[#All],MATCH(A1802,Average_Distance_by_kilometre_grouping_for_mode_type[#Headers],0),0)</f>
        <v>41.2</v>
      </c>
      <c r="I1802" s="89">
        <f>VLOOKUP(D1802,Average_Distance_by_kilometres_grouping_for_trip_purpose[#All],MATCH(A1802,Average_Distance_by_kilometres_grouping_for_trip_purpose[#Headers],0),0)</f>
        <v>43.24</v>
      </c>
      <c r="J1802" s="89">
        <f t="shared" si="143"/>
        <v>42.22</v>
      </c>
      <c r="K1802" s="89">
        <f t="shared" si="144"/>
        <v>0.72518035039505324</v>
      </c>
      <c r="L1802" s="89">
        <v>1</v>
      </c>
      <c r="M1802" s="13">
        <f t="shared" si="145"/>
        <v>179457980.68109903</v>
      </c>
      <c r="N1802" s="11">
        <f t="shared" si="141"/>
        <v>2.8476945682175767E-3</v>
      </c>
    </row>
    <row r="1803" spans="1:14" x14ac:dyDescent="0.25">
      <c r="A1803" s="79" t="s">
        <v>39</v>
      </c>
      <c r="B1803" s="89" t="s">
        <v>5</v>
      </c>
      <c r="C1803" s="89" t="s">
        <v>42</v>
      </c>
      <c r="D1803" s="13" t="s">
        <v>12</v>
      </c>
      <c r="E1803" s="35">
        <f>VLOOKUP(B1803, Passenger_Kilometre_by_mode_type[#All],MATCH(A1803, Passenger_Kilometre_by_mode_type[#Headers],0),0)</f>
        <v>43130427324.122261</v>
      </c>
      <c r="F1803" s="89">
        <f>VLOOKUP(C1803, Reason_for_car_journeys_by_percentage[#All],MATCH(A1803, Reason_for_car_journeys_by_percentage[#Headers],0),0)/100</f>
        <v>0.21325000000000002</v>
      </c>
      <c r="G1803" s="13">
        <f t="shared" si="142"/>
        <v>9197563626.8690739</v>
      </c>
      <c r="H1803" s="89">
        <f>VLOOKUP(D1803,Average_Distance_by_kilometre_grouping_for_mode_type[#All],MATCH(A1803,Average_Distance_by_kilometre_grouping_for_mode_type[#Headers],0),0)</f>
        <v>1</v>
      </c>
      <c r="I1803" s="89">
        <f>VLOOKUP(D1803,Average_Distance_by_kilometres_grouping_for_trip_purpose[#All],MATCH(A1803,Average_Distance_by_kilometres_grouping_for_trip_purpose[#Headers],0),0)</f>
        <v>1</v>
      </c>
      <c r="J1803" s="89">
        <f t="shared" si="143"/>
        <v>1</v>
      </c>
      <c r="K1803" s="89">
        <f t="shared" si="144"/>
        <v>2.3282887077997669E-2</v>
      </c>
      <c r="L1803" s="89">
        <v>1</v>
      </c>
      <c r="M1803" s="13">
        <f t="shared" si="145"/>
        <v>214145835.31709135</v>
      </c>
      <c r="N1803" s="11">
        <f t="shared" si="141"/>
        <v>3.3981321405959892E-3</v>
      </c>
    </row>
    <row r="1804" spans="1:14" s="169" customFormat="1" x14ac:dyDescent="0.25">
      <c r="A1804" s="168" t="s">
        <v>39</v>
      </c>
      <c r="B1804" s="169" t="s">
        <v>5</v>
      </c>
      <c r="C1804" s="169" t="s">
        <v>42</v>
      </c>
      <c r="D1804" s="170" t="s">
        <v>181</v>
      </c>
      <c r="E1804" s="171">
        <f>VLOOKUP(B1804, Passenger_Kilometre_by_mode_type[#All],MATCH(A1804, Passenger_Kilometre_by_mode_type[#Headers],0),0)</f>
        <v>43130427324.122261</v>
      </c>
      <c r="F1804" s="169">
        <f>VLOOKUP(C1804, Reason_for_car_journeys_by_percentage[#All],MATCH(A1804, Reason_for_car_journeys_by_percentage[#Headers],0),0)/100</f>
        <v>0.21325000000000002</v>
      </c>
      <c r="G1804" s="170">
        <f t="shared" si="142"/>
        <v>9197563626.8690739</v>
      </c>
      <c r="H1804" s="169">
        <f>VLOOKUP(D1804,Average_Distance_by_kilometre_grouping_for_mode_type[#All],MATCH(A1804,Average_Distance_by_kilometre_grouping_for_mode_type[#Headers],0),0)</f>
        <v>3</v>
      </c>
      <c r="I1804" s="169">
        <f>VLOOKUP(D1804,Average_Distance_by_kilometres_grouping_for_trip_purpose[#All],MATCH(A1804,Average_Distance_by_kilometres_grouping_for_trip_purpose[#Headers],0),0)</f>
        <v>3</v>
      </c>
      <c r="J1804" s="169">
        <f t="shared" si="143"/>
        <v>3</v>
      </c>
      <c r="K1804" s="169">
        <f t="shared" si="144"/>
        <v>6.9848661233993012E-2</v>
      </c>
      <c r="L1804" s="169">
        <v>1</v>
      </c>
      <c r="M1804" s="170">
        <f t="shared" si="145"/>
        <v>642437505.95127404</v>
      </c>
      <c r="N1804" s="11">
        <f>M1804/SUM($M$1804:$M$2162)</f>
        <v>9.8130763880967982E-3</v>
      </c>
    </row>
    <row r="1805" spans="1:14" x14ac:dyDescent="0.25">
      <c r="A1805" s="79" t="s">
        <v>39</v>
      </c>
      <c r="B1805" s="89" t="s">
        <v>5</v>
      </c>
      <c r="C1805" s="89" t="s">
        <v>42</v>
      </c>
      <c r="D1805" s="13" t="s">
        <v>180</v>
      </c>
      <c r="E1805" s="35">
        <f>VLOOKUP(B1805, Passenger_Kilometre_by_mode_type[#All],MATCH(A1805, Passenger_Kilometre_by_mode_type[#Headers],0),0)</f>
        <v>43130427324.122261</v>
      </c>
      <c r="F1805" s="89">
        <f>VLOOKUP(C1805, Reason_for_car_journeys_by_percentage[#All],MATCH(A1805, Reason_for_car_journeys_by_percentage[#Headers],0),0)/100</f>
        <v>0.21325000000000002</v>
      </c>
      <c r="G1805" s="13">
        <f t="shared" si="142"/>
        <v>9197563626.8690739</v>
      </c>
      <c r="H1805" s="89">
        <f>VLOOKUP(D1805,Average_Distance_by_kilometre_grouping_for_mode_type[#All],MATCH(A1805,Average_Distance_by_kilometre_grouping_for_mode_type[#Headers],0),0)</f>
        <v>5</v>
      </c>
      <c r="I1805" s="89">
        <f>VLOOKUP(D1805,Average_Distance_by_kilometres_grouping_for_trip_purpose[#All],MATCH(A1805,Average_Distance_by_kilometres_grouping_for_trip_purpose[#Headers],0),0)</f>
        <v>5</v>
      </c>
      <c r="J1805" s="89">
        <f t="shared" si="143"/>
        <v>5</v>
      </c>
      <c r="K1805" s="89">
        <f t="shared" si="144"/>
        <v>0.11641443538998836</v>
      </c>
      <c r="L1805" s="89">
        <v>1</v>
      </c>
      <c r="M1805" s="13">
        <f t="shared" si="145"/>
        <v>1070729176.5854567</v>
      </c>
      <c r="N1805" s="11">
        <f t="shared" ref="N1805:N1868" si="146">M1805/SUM($M$1804:$M$2162)</f>
        <v>1.6355127313494665E-2</v>
      </c>
    </row>
    <row r="1806" spans="1:14" x14ac:dyDescent="0.25">
      <c r="A1806" s="79" t="s">
        <v>39</v>
      </c>
      <c r="B1806" s="89" t="s">
        <v>5</v>
      </c>
      <c r="C1806" s="89" t="s">
        <v>42</v>
      </c>
      <c r="D1806" s="13" t="s">
        <v>182</v>
      </c>
      <c r="E1806" s="35">
        <f>VLOOKUP(B1806, Passenger_Kilometre_by_mode_type[#All],MATCH(A1806, Passenger_Kilometre_by_mode_type[#Headers],0),0)</f>
        <v>43130427324.122261</v>
      </c>
      <c r="F1806" s="89">
        <f>VLOOKUP(C1806, Reason_for_car_journeys_by_percentage[#All],MATCH(A1806, Reason_for_car_journeys_by_percentage[#Headers],0),0)/100</f>
        <v>0.21325000000000002</v>
      </c>
      <c r="G1806" s="13">
        <f t="shared" si="142"/>
        <v>9197563626.8690739</v>
      </c>
      <c r="H1806" s="89">
        <f>VLOOKUP(D1806,Average_Distance_by_kilometre_grouping_for_mode_type[#All],MATCH(A1806,Average_Distance_by_kilometre_grouping_for_mode_type[#Headers],0),0)</f>
        <v>7</v>
      </c>
      <c r="I1806" s="89">
        <f>VLOOKUP(D1806,Average_Distance_by_kilometres_grouping_for_trip_purpose[#All],MATCH(A1806,Average_Distance_by_kilometres_grouping_for_trip_purpose[#Headers],0),0)</f>
        <v>7</v>
      </c>
      <c r="J1806" s="89">
        <f t="shared" si="143"/>
        <v>7</v>
      </c>
      <c r="K1806" s="89">
        <f t="shared" si="144"/>
        <v>0.16298020954598369</v>
      </c>
      <c r="L1806" s="89">
        <v>1</v>
      </c>
      <c r="M1806" s="13">
        <f t="shared" si="145"/>
        <v>1499020847.2196393</v>
      </c>
      <c r="N1806" s="11">
        <f t="shared" si="146"/>
        <v>2.2897178238892528E-2</v>
      </c>
    </row>
    <row r="1807" spans="1:14" x14ac:dyDescent="0.25">
      <c r="A1807" s="79" t="s">
        <v>39</v>
      </c>
      <c r="B1807" s="89" t="s">
        <v>5</v>
      </c>
      <c r="C1807" s="89" t="s">
        <v>42</v>
      </c>
      <c r="D1807" s="13" t="s">
        <v>1</v>
      </c>
      <c r="E1807" s="35">
        <f>VLOOKUP(B1807, Passenger_Kilometre_by_mode_type[#All],MATCH(A1807, Passenger_Kilometre_by_mode_type[#Headers],0),0)</f>
        <v>43130427324.122261</v>
      </c>
      <c r="F1807" s="89">
        <f>VLOOKUP(C1807, Reason_for_car_journeys_by_percentage[#All],MATCH(A1807, Reason_for_car_journeys_by_percentage[#Headers],0),0)/100</f>
        <v>0.21325000000000002</v>
      </c>
      <c r="G1807" s="13">
        <f t="shared" si="142"/>
        <v>9197563626.8690739</v>
      </c>
      <c r="H1807" s="89">
        <f>VLOOKUP(D1807,Average_Distance_by_kilometre_grouping_for_mode_type[#All],MATCH(A1807,Average_Distance_by_kilometre_grouping_for_mode_type[#Headers],0),0)</f>
        <v>25.7</v>
      </c>
      <c r="I1807" s="89">
        <f>VLOOKUP(D1807,Average_Distance_by_kilometres_grouping_for_trip_purpose[#All],MATCH(A1807,Average_Distance_by_kilometres_grouping_for_trip_purpose[#Headers],0),0)</f>
        <v>28.2</v>
      </c>
      <c r="J1807" s="89">
        <f t="shared" si="143"/>
        <v>26.95</v>
      </c>
      <c r="K1807" s="89">
        <f t="shared" si="144"/>
        <v>0.62747380675203723</v>
      </c>
      <c r="L1807" s="89">
        <v>1</v>
      </c>
      <c r="M1807" s="13">
        <f t="shared" si="145"/>
        <v>5771230261.7956123</v>
      </c>
      <c r="N1807" s="11">
        <f t="shared" si="146"/>
        <v>8.8154136219736251E-2</v>
      </c>
    </row>
    <row r="1808" spans="1:14" x14ac:dyDescent="0.25">
      <c r="A1808" s="79" t="s">
        <v>39</v>
      </c>
      <c r="B1808" s="89" t="s">
        <v>5</v>
      </c>
      <c r="C1808" s="89" t="s">
        <v>43</v>
      </c>
      <c r="D1808" s="13" t="s">
        <v>12</v>
      </c>
      <c r="E1808" s="35">
        <f>VLOOKUP(B1808, Passenger_Kilometre_by_mode_type[#All],MATCH(A1808, Passenger_Kilometre_by_mode_type[#Headers],0),0)</f>
        <v>43130427324.122261</v>
      </c>
      <c r="F1808" s="89">
        <f>VLOOKUP(C1808, Reason_for_car_journeys_by_percentage[#All],MATCH(A1808, Reason_for_car_journeys_by_percentage[#Headers],0),0)/100</f>
        <v>2.0749999999999998E-2</v>
      </c>
      <c r="G1808" s="13">
        <f t="shared" si="142"/>
        <v>894956366.97553682</v>
      </c>
      <c r="H1808" s="89">
        <f>VLOOKUP(D1808,Average_Distance_by_kilometre_grouping_for_mode_type[#All],MATCH(A1808,Average_Distance_by_kilometre_grouping_for_mode_type[#Headers],0),0)</f>
        <v>1</v>
      </c>
      <c r="I1808" s="89">
        <f>VLOOKUP(D1808,Average_Distance_by_kilometres_grouping_for_trip_purpose[#All],MATCH(A1808,Average_Distance_by_kilometres_grouping_for_trip_purpose[#Headers],0),0)</f>
        <v>1</v>
      </c>
      <c r="J1808" s="89">
        <f t="shared" si="143"/>
        <v>1</v>
      </c>
      <c r="K1808" s="89">
        <f t="shared" si="144"/>
        <v>2.3282887077997669E-2</v>
      </c>
      <c r="L1808" s="89">
        <v>1</v>
      </c>
      <c r="M1808" s="13">
        <f t="shared" si="145"/>
        <v>20837168.032026466</v>
      </c>
      <c r="N1808" s="11">
        <f t="shared" si="146"/>
        <v>3.1828266518641422E-4</v>
      </c>
    </row>
    <row r="1809" spans="1:14" x14ac:dyDescent="0.25">
      <c r="A1809" s="79" t="s">
        <v>39</v>
      </c>
      <c r="B1809" s="89" t="s">
        <v>5</v>
      </c>
      <c r="C1809" s="89" t="s">
        <v>43</v>
      </c>
      <c r="D1809" s="13" t="s">
        <v>181</v>
      </c>
      <c r="E1809" s="35">
        <f>VLOOKUP(B1809, Passenger_Kilometre_by_mode_type[#All],MATCH(A1809, Passenger_Kilometre_by_mode_type[#Headers],0),0)</f>
        <v>43130427324.122261</v>
      </c>
      <c r="F1809" s="89">
        <f>VLOOKUP(C1809, Reason_for_car_journeys_by_percentage[#All],MATCH(A1809, Reason_for_car_journeys_by_percentage[#Headers],0),0)/100</f>
        <v>2.0749999999999998E-2</v>
      </c>
      <c r="G1809" s="13">
        <f t="shared" si="142"/>
        <v>894956366.97553682</v>
      </c>
      <c r="H1809" s="89">
        <f>VLOOKUP(D1809,Average_Distance_by_kilometre_grouping_for_mode_type[#All],MATCH(A1809,Average_Distance_by_kilometre_grouping_for_mode_type[#Headers],0),0)</f>
        <v>3</v>
      </c>
      <c r="I1809" s="89">
        <f>VLOOKUP(D1809,Average_Distance_by_kilometres_grouping_for_trip_purpose[#All],MATCH(A1809,Average_Distance_by_kilometres_grouping_for_trip_purpose[#Headers],0),0)</f>
        <v>3</v>
      </c>
      <c r="J1809" s="89">
        <f t="shared" si="143"/>
        <v>3</v>
      </c>
      <c r="K1809" s="89">
        <f t="shared" si="144"/>
        <v>6.9848661233993012E-2</v>
      </c>
      <c r="L1809" s="89">
        <v>1</v>
      </c>
      <c r="M1809" s="13">
        <f t="shared" si="145"/>
        <v>62511504.096079402</v>
      </c>
      <c r="N1809" s="11">
        <f t="shared" si="146"/>
        <v>9.5484799555924267E-4</v>
      </c>
    </row>
    <row r="1810" spans="1:14" x14ac:dyDescent="0.25">
      <c r="A1810" s="79" t="s">
        <v>39</v>
      </c>
      <c r="B1810" s="89" t="s">
        <v>5</v>
      </c>
      <c r="C1810" s="89" t="s">
        <v>43</v>
      </c>
      <c r="D1810" s="13" t="s">
        <v>180</v>
      </c>
      <c r="E1810" s="35">
        <f>VLOOKUP(B1810, Passenger_Kilometre_by_mode_type[#All],MATCH(A1810, Passenger_Kilometre_by_mode_type[#Headers],0),0)</f>
        <v>43130427324.122261</v>
      </c>
      <c r="F1810" s="89">
        <f>VLOOKUP(C1810, Reason_for_car_journeys_by_percentage[#All],MATCH(A1810, Reason_for_car_journeys_by_percentage[#Headers],0),0)/100</f>
        <v>2.0749999999999998E-2</v>
      </c>
      <c r="G1810" s="13">
        <f t="shared" si="142"/>
        <v>894956366.97553682</v>
      </c>
      <c r="H1810" s="89">
        <f>VLOOKUP(D1810,Average_Distance_by_kilometre_grouping_for_mode_type[#All],MATCH(A1810,Average_Distance_by_kilometre_grouping_for_mode_type[#Headers],0),0)</f>
        <v>5</v>
      </c>
      <c r="I1810" s="89">
        <f>VLOOKUP(D1810,Average_Distance_by_kilometres_grouping_for_trip_purpose[#All],MATCH(A1810,Average_Distance_by_kilometres_grouping_for_trip_purpose[#Headers],0),0)</f>
        <v>5</v>
      </c>
      <c r="J1810" s="89">
        <f t="shared" si="143"/>
        <v>5</v>
      </c>
      <c r="K1810" s="89">
        <f t="shared" si="144"/>
        <v>0.11641443538998836</v>
      </c>
      <c r="L1810" s="89">
        <v>1</v>
      </c>
      <c r="M1810" s="13">
        <f t="shared" si="145"/>
        <v>104185840.16013235</v>
      </c>
      <c r="N1810" s="11">
        <f t="shared" si="146"/>
        <v>1.5914133259320713E-3</v>
      </c>
    </row>
    <row r="1811" spans="1:14" x14ac:dyDescent="0.25">
      <c r="A1811" s="79" t="s">
        <v>39</v>
      </c>
      <c r="B1811" s="89" t="s">
        <v>5</v>
      </c>
      <c r="C1811" s="89" t="s">
        <v>43</v>
      </c>
      <c r="D1811" s="13" t="s">
        <v>182</v>
      </c>
      <c r="E1811" s="35">
        <f>VLOOKUP(B1811, Passenger_Kilometre_by_mode_type[#All],MATCH(A1811, Passenger_Kilometre_by_mode_type[#Headers],0),0)</f>
        <v>43130427324.122261</v>
      </c>
      <c r="F1811" s="89">
        <f>VLOOKUP(C1811, Reason_for_car_journeys_by_percentage[#All],MATCH(A1811, Reason_for_car_journeys_by_percentage[#Headers],0),0)/100</f>
        <v>2.0749999999999998E-2</v>
      </c>
      <c r="G1811" s="13">
        <f t="shared" si="142"/>
        <v>894956366.97553682</v>
      </c>
      <c r="H1811" s="89">
        <f>VLOOKUP(D1811,Average_Distance_by_kilometre_grouping_for_mode_type[#All],MATCH(A1811,Average_Distance_by_kilometre_grouping_for_mode_type[#Headers],0),0)</f>
        <v>7</v>
      </c>
      <c r="I1811" s="89">
        <f>VLOOKUP(D1811,Average_Distance_by_kilometres_grouping_for_trip_purpose[#All],MATCH(A1811,Average_Distance_by_kilometres_grouping_for_trip_purpose[#Headers],0),0)</f>
        <v>7</v>
      </c>
      <c r="J1811" s="89">
        <f t="shared" si="143"/>
        <v>7</v>
      </c>
      <c r="K1811" s="89">
        <f t="shared" si="144"/>
        <v>0.16298020954598369</v>
      </c>
      <c r="L1811" s="89">
        <v>1</v>
      </c>
      <c r="M1811" s="13">
        <f t="shared" si="145"/>
        <v>145860176.22418526</v>
      </c>
      <c r="N1811" s="11">
        <f t="shared" si="146"/>
        <v>2.2279786563048996E-3</v>
      </c>
    </row>
    <row r="1812" spans="1:14" x14ac:dyDescent="0.25">
      <c r="A1812" s="79" t="s">
        <v>39</v>
      </c>
      <c r="B1812" s="89" t="s">
        <v>5</v>
      </c>
      <c r="C1812" s="89" t="s">
        <v>43</v>
      </c>
      <c r="D1812" s="13" t="s">
        <v>1</v>
      </c>
      <c r="E1812" s="35">
        <f>VLOOKUP(B1812, Passenger_Kilometre_by_mode_type[#All],MATCH(A1812, Passenger_Kilometre_by_mode_type[#Headers],0),0)</f>
        <v>43130427324.122261</v>
      </c>
      <c r="F1812" s="89">
        <f>VLOOKUP(C1812, Reason_for_car_journeys_by_percentage[#All],MATCH(A1812, Reason_for_car_journeys_by_percentage[#Headers],0),0)/100</f>
        <v>2.0749999999999998E-2</v>
      </c>
      <c r="G1812" s="13">
        <f t="shared" si="142"/>
        <v>894956366.97553682</v>
      </c>
      <c r="H1812" s="89">
        <f>VLOOKUP(D1812,Average_Distance_by_kilometre_grouping_for_mode_type[#All],MATCH(A1812,Average_Distance_by_kilometre_grouping_for_mode_type[#Headers],0),0)</f>
        <v>25.7</v>
      </c>
      <c r="I1812" s="89">
        <f>VLOOKUP(D1812,Average_Distance_by_kilometres_grouping_for_trip_purpose[#All],MATCH(A1812,Average_Distance_by_kilometres_grouping_for_trip_purpose[#Headers],0),0)</f>
        <v>28.2</v>
      </c>
      <c r="J1812" s="89">
        <f t="shared" si="143"/>
        <v>26.95</v>
      </c>
      <c r="K1812" s="89">
        <f t="shared" si="144"/>
        <v>0.62747380675203723</v>
      </c>
      <c r="L1812" s="89">
        <v>1</v>
      </c>
      <c r="M1812" s="13">
        <f t="shared" si="145"/>
        <v>561561678.46311331</v>
      </c>
      <c r="N1812" s="11">
        <f t="shared" si="146"/>
        <v>8.5777178267738632E-3</v>
      </c>
    </row>
    <row r="1813" spans="1:14" x14ac:dyDescent="0.25">
      <c r="A1813" s="79" t="s">
        <v>39</v>
      </c>
      <c r="B1813" s="89" t="s">
        <v>5</v>
      </c>
      <c r="C1813" s="89" t="s">
        <v>44</v>
      </c>
      <c r="D1813" s="13" t="s">
        <v>12</v>
      </c>
      <c r="E1813" s="35">
        <f>VLOOKUP(B1813, Passenger_Kilometre_by_mode_type[#All],MATCH(A1813, Passenger_Kilometre_by_mode_type[#Headers],0),0)</f>
        <v>43130427324.122261</v>
      </c>
      <c r="F1813" s="89">
        <f>VLOOKUP(C1813, Reason_for_car_journeys_by_percentage[#All],MATCH(A1813, Reason_for_car_journeys_by_percentage[#Headers],0),0)/100</f>
        <v>0.21225000000000002</v>
      </c>
      <c r="G1813" s="13">
        <f t="shared" si="142"/>
        <v>9154433199.5449505</v>
      </c>
      <c r="H1813" s="89">
        <f>VLOOKUP(D1813,Average_Distance_by_kilometre_grouping_for_mode_type[#All],MATCH(A1813,Average_Distance_by_kilometre_grouping_for_mode_type[#Headers],0),0)</f>
        <v>1</v>
      </c>
      <c r="I1813" s="89">
        <f>VLOOKUP(D1813,Average_Distance_by_kilometres_grouping_for_trip_purpose[#All],MATCH(A1813,Average_Distance_by_kilometres_grouping_for_trip_purpose[#Headers],0),0)</f>
        <v>1</v>
      </c>
      <c r="J1813" s="89">
        <f t="shared" si="143"/>
        <v>1</v>
      </c>
      <c r="K1813" s="89">
        <f t="shared" si="144"/>
        <v>2.3282887077997669E-2</v>
      </c>
      <c r="L1813" s="89">
        <v>1</v>
      </c>
      <c r="M1813" s="13">
        <f t="shared" si="145"/>
        <v>213141634.44807798</v>
      </c>
      <c r="N1813" s="11">
        <f t="shared" si="146"/>
        <v>3.2556865390754902E-3</v>
      </c>
    </row>
    <row r="1814" spans="1:14" x14ac:dyDescent="0.25">
      <c r="A1814" s="79" t="s">
        <v>39</v>
      </c>
      <c r="B1814" s="89" t="s">
        <v>5</v>
      </c>
      <c r="C1814" s="89" t="s">
        <v>44</v>
      </c>
      <c r="D1814" s="13" t="s">
        <v>181</v>
      </c>
      <c r="E1814" s="35">
        <f>VLOOKUP(B1814, Passenger_Kilometre_by_mode_type[#All],MATCH(A1814, Passenger_Kilometre_by_mode_type[#Headers],0),0)</f>
        <v>43130427324.122261</v>
      </c>
      <c r="F1814" s="89">
        <f>VLOOKUP(C1814, Reason_for_car_journeys_by_percentage[#All],MATCH(A1814, Reason_for_car_journeys_by_percentage[#Headers],0),0)/100</f>
        <v>0.21225000000000002</v>
      </c>
      <c r="G1814" s="13">
        <f t="shared" si="142"/>
        <v>9154433199.5449505</v>
      </c>
      <c r="H1814" s="89">
        <f>VLOOKUP(D1814,Average_Distance_by_kilometre_grouping_for_mode_type[#All],MATCH(A1814,Average_Distance_by_kilometre_grouping_for_mode_type[#Headers],0),0)</f>
        <v>3</v>
      </c>
      <c r="I1814" s="89">
        <f>VLOOKUP(D1814,Average_Distance_by_kilometres_grouping_for_trip_purpose[#All],MATCH(A1814,Average_Distance_by_kilometres_grouping_for_trip_purpose[#Headers],0),0)</f>
        <v>3</v>
      </c>
      <c r="J1814" s="89">
        <f t="shared" si="143"/>
        <v>3</v>
      </c>
      <c r="K1814" s="89">
        <f t="shared" si="144"/>
        <v>6.9848661233993012E-2</v>
      </c>
      <c r="L1814" s="89">
        <v>1</v>
      </c>
      <c r="M1814" s="13">
        <f t="shared" si="145"/>
        <v>639424903.34423399</v>
      </c>
      <c r="N1814" s="11">
        <f t="shared" si="146"/>
        <v>9.7670596172264729E-3</v>
      </c>
    </row>
    <row r="1815" spans="1:14" x14ac:dyDescent="0.25">
      <c r="A1815" s="79" t="s">
        <v>39</v>
      </c>
      <c r="B1815" s="89" t="s">
        <v>5</v>
      </c>
      <c r="C1815" s="89" t="s">
        <v>44</v>
      </c>
      <c r="D1815" s="13" t="s">
        <v>180</v>
      </c>
      <c r="E1815" s="35">
        <f>VLOOKUP(B1815, Passenger_Kilometre_by_mode_type[#All],MATCH(A1815, Passenger_Kilometre_by_mode_type[#Headers],0),0)</f>
        <v>43130427324.122261</v>
      </c>
      <c r="F1815" s="89">
        <f>VLOOKUP(C1815, Reason_for_car_journeys_by_percentage[#All],MATCH(A1815, Reason_for_car_journeys_by_percentage[#Headers],0),0)/100</f>
        <v>0.21225000000000002</v>
      </c>
      <c r="G1815" s="13">
        <f t="shared" si="142"/>
        <v>9154433199.5449505</v>
      </c>
      <c r="H1815" s="89">
        <f>VLOOKUP(D1815,Average_Distance_by_kilometre_grouping_for_mode_type[#All],MATCH(A1815,Average_Distance_by_kilometre_grouping_for_mode_type[#Headers],0),0)</f>
        <v>5</v>
      </c>
      <c r="I1815" s="89">
        <f>VLOOKUP(D1815,Average_Distance_by_kilometres_grouping_for_trip_purpose[#All],MATCH(A1815,Average_Distance_by_kilometres_grouping_for_trip_purpose[#Headers],0),0)</f>
        <v>5</v>
      </c>
      <c r="J1815" s="89">
        <f t="shared" si="143"/>
        <v>5</v>
      </c>
      <c r="K1815" s="89">
        <f t="shared" si="144"/>
        <v>0.11641443538998836</v>
      </c>
      <c r="L1815" s="89">
        <v>1</v>
      </c>
      <c r="M1815" s="13">
        <f t="shared" si="145"/>
        <v>1065708172.2403901</v>
      </c>
      <c r="N1815" s="11">
        <f t="shared" si="146"/>
        <v>1.6278432695377456E-2</v>
      </c>
    </row>
    <row r="1816" spans="1:14" x14ac:dyDescent="0.25">
      <c r="A1816" s="79" t="s">
        <v>39</v>
      </c>
      <c r="B1816" s="89" t="s">
        <v>5</v>
      </c>
      <c r="C1816" s="89" t="s">
        <v>44</v>
      </c>
      <c r="D1816" s="13" t="s">
        <v>182</v>
      </c>
      <c r="E1816" s="35">
        <f>VLOOKUP(B1816, Passenger_Kilometre_by_mode_type[#All],MATCH(A1816, Passenger_Kilometre_by_mode_type[#Headers],0),0)</f>
        <v>43130427324.122261</v>
      </c>
      <c r="F1816" s="89">
        <f>VLOOKUP(C1816, Reason_for_car_journeys_by_percentage[#All],MATCH(A1816, Reason_for_car_journeys_by_percentage[#Headers],0),0)/100</f>
        <v>0.21225000000000002</v>
      </c>
      <c r="G1816" s="13">
        <f t="shared" si="142"/>
        <v>9154433199.5449505</v>
      </c>
      <c r="H1816" s="89">
        <f>VLOOKUP(D1816,Average_Distance_by_kilometre_grouping_for_mode_type[#All],MATCH(A1816,Average_Distance_by_kilometre_grouping_for_mode_type[#Headers],0),0)</f>
        <v>7</v>
      </c>
      <c r="I1816" s="89">
        <f>VLOOKUP(D1816,Average_Distance_by_kilometres_grouping_for_trip_purpose[#All],MATCH(A1816,Average_Distance_by_kilometres_grouping_for_trip_purpose[#Headers],0),0)</f>
        <v>7</v>
      </c>
      <c r="J1816" s="89">
        <f t="shared" si="143"/>
        <v>7</v>
      </c>
      <c r="K1816" s="89">
        <f t="shared" si="144"/>
        <v>0.16298020954598369</v>
      </c>
      <c r="L1816" s="89">
        <v>1</v>
      </c>
      <c r="M1816" s="13">
        <f t="shared" si="145"/>
        <v>1491991441.1365459</v>
      </c>
      <c r="N1816" s="11">
        <f t="shared" si="146"/>
        <v>2.2789805773528432E-2</v>
      </c>
    </row>
    <row r="1817" spans="1:14" x14ac:dyDescent="0.25">
      <c r="A1817" s="79" t="s">
        <v>39</v>
      </c>
      <c r="B1817" s="89" t="s">
        <v>5</v>
      </c>
      <c r="C1817" s="89" t="s">
        <v>44</v>
      </c>
      <c r="D1817" s="13" t="s">
        <v>1</v>
      </c>
      <c r="E1817" s="35">
        <f>VLOOKUP(B1817, Passenger_Kilometre_by_mode_type[#All],MATCH(A1817, Passenger_Kilometre_by_mode_type[#Headers],0),0)</f>
        <v>43130427324.122261</v>
      </c>
      <c r="F1817" s="89">
        <f>VLOOKUP(C1817, Reason_for_car_journeys_by_percentage[#All],MATCH(A1817, Reason_for_car_journeys_by_percentage[#Headers],0),0)/100</f>
        <v>0.21225000000000002</v>
      </c>
      <c r="G1817" s="13">
        <f t="shared" si="142"/>
        <v>9154433199.5449505</v>
      </c>
      <c r="H1817" s="89">
        <f>VLOOKUP(D1817,Average_Distance_by_kilometre_grouping_for_mode_type[#All],MATCH(A1817,Average_Distance_by_kilometre_grouping_for_mode_type[#Headers],0),0)</f>
        <v>25.7</v>
      </c>
      <c r="I1817" s="89">
        <f>VLOOKUP(D1817,Average_Distance_by_kilometres_grouping_for_trip_purpose[#All],MATCH(A1817,Average_Distance_by_kilometres_grouping_for_trip_purpose[#Headers],0),0)</f>
        <v>28.2</v>
      </c>
      <c r="J1817" s="89">
        <f t="shared" si="143"/>
        <v>26.95</v>
      </c>
      <c r="K1817" s="89">
        <f t="shared" si="144"/>
        <v>0.62747380675203723</v>
      </c>
      <c r="L1817" s="89">
        <v>1</v>
      </c>
      <c r="M1817" s="13">
        <f t="shared" si="145"/>
        <v>5744167048.3757019</v>
      </c>
      <c r="N1817" s="11">
        <f t="shared" si="146"/>
        <v>8.7740752228084473E-2</v>
      </c>
    </row>
    <row r="1818" spans="1:14" x14ac:dyDescent="0.25">
      <c r="A1818" s="79" t="s">
        <v>39</v>
      </c>
      <c r="B1818" s="89" t="s">
        <v>5</v>
      </c>
      <c r="C1818" s="89" t="s">
        <v>45</v>
      </c>
      <c r="D1818" s="13" t="s">
        <v>12</v>
      </c>
      <c r="E1818" s="35">
        <f>VLOOKUP(B1818, Passenger_Kilometre_by_mode_type[#All],MATCH(A1818, Passenger_Kilometre_by_mode_type[#Headers],0),0)</f>
        <v>43130427324.122261</v>
      </c>
      <c r="F1818" s="89">
        <f>VLOOKUP(C1818, Reason_for_car_journeys_by_percentage[#All],MATCH(A1818, Reason_for_car_journeys_by_percentage[#Headers],0),0)/100</f>
        <v>3.125E-2</v>
      </c>
      <c r="G1818" s="13">
        <f t="shared" si="142"/>
        <v>1347825853.8788207</v>
      </c>
      <c r="H1818" s="89">
        <f>VLOOKUP(D1818,Average_Distance_by_kilometre_grouping_for_mode_type[#All],MATCH(A1818,Average_Distance_by_kilometre_grouping_for_mode_type[#Headers],0),0)</f>
        <v>1</v>
      </c>
      <c r="I1818" s="89">
        <f>VLOOKUP(D1818,Average_Distance_by_kilometres_grouping_for_trip_purpose[#All],MATCH(A1818,Average_Distance_by_kilometres_grouping_for_trip_purpose[#Headers],0),0)</f>
        <v>1</v>
      </c>
      <c r="J1818" s="89">
        <f t="shared" si="143"/>
        <v>1</v>
      </c>
      <c r="K1818" s="89">
        <f t="shared" si="144"/>
        <v>2.3282887077997669E-2</v>
      </c>
      <c r="L1818" s="89">
        <v>1</v>
      </c>
      <c r="M1818" s="13">
        <f t="shared" si="145"/>
        <v>31381277.156666368</v>
      </c>
      <c r="N1818" s="11">
        <f t="shared" si="146"/>
        <v>4.7934136323255156E-4</v>
      </c>
    </row>
    <row r="1819" spans="1:14" x14ac:dyDescent="0.25">
      <c r="A1819" s="79" t="s">
        <v>39</v>
      </c>
      <c r="B1819" s="89" t="s">
        <v>5</v>
      </c>
      <c r="C1819" s="89" t="s">
        <v>45</v>
      </c>
      <c r="D1819" s="13" t="s">
        <v>181</v>
      </c>
      <c r="E1819" s="35">
        <f>VLOOKUP(B1819, Passenger_Kilometre_by_mode_type[#All],MATCH(A1819, Passenger_Kilometre_by_mode_type[#Headers],0),0)</f>
        <v>43130427324.122261</v>
      </c>
      <c r="F1819" s="89">
        <f>VLOOKUP(C1819, Reason_for_car_journeys_by_percentage[#All],MATCH(A1819, Reason_for_car_journeys_by_percentage[#Headers],0),0)/100</f>
        <v>3.125E-2</v>
      </c>
      <c r="G1819" s="13">
        <f t="shared" si="142"/>
        <v>1347825853.8788207</v>
      </c>
      <c r="H1819" s="89">
        <f>VLOOKUP(D1819,Average_Distance_by_kilometre_grouping_for_mode_type[#All],MATCH(A1819,Average_Distance_by_kilometre_grouping_for_mode_type[#Headers],0),0)</f>
        <v>3</v>
      </c>
      <c r="I1819" s="89">
        <f>VLOOKUP(D1819,Average_Distance_by_kilometres_grouping_for_trip_purpose[#All],MATCH(A1819,Average_Distance_by_kilometres_grouping_for_trip_purpose[#Headers],0),0)</f>
        <v>3</v>
      </c>
      <c r="J1819" s="89">
        <f t="shared" si="143"/>
        <v>3</v>
      </c>
      <c r="K1819" s="89">
        <f t="shared" si="144"/>
        <v>6.9848661233993012E-2</v>
      </c>
      <c r="L1819" s="89">
        <v>1</v>
      </c>
      <c r="M1819" s="13">
        <f t="shared" si="145"/>
        <v>94143831.469999105</v>
      </c>
      <c r="N1819" s="11">
        <f t="shared" si="146"/>
        <v>1.4380240896976547E-3</v>
      </c>
    </row>
    <row r="1820" spans="1:14" x14ac:dyDescent="0.25">
      <c r="A1820" s="79" t="s">
        <v>39</v>
      </c>
      <c r="B1820" s="89" t="s">
        <v>5</v>
      </c>
      <c r="C1820" s="89" t="s">
        <v>45</v>
      </c>
      <c r="D1820" s="13" t="s">
        <v>180</v>
      </c>
      <c r="E1820" s="35">
        <f>VLOOKUP(B1820, Passenger_Kilometre_by_mode_type[#All],MATCH(A1820, Passenger_Kilometre_by_mode_type[#Headers],0),0)</f>
        <v>43130427324.122261</v>
      </c>
      <c r="F1820" s="89">
        <f>VLOOKUP(C1820, Reason_for_car_journeys_by_percentage[#All],MATCH(A1820, Reason_for_car_journeys_by_percentage[#Headers],0),0)/100</f>
        <v>3.125E-2</v>
      </c>
      <c r="G1820" s="13">
        <f t="shared" si="142"/>
        <v>1347825853.8788207</v>
      </c>
      <c r="H1820" s="89">
        <f>VLOOKUP(D1820,Average_Distance_by_kilometre_grouping_for_mode_type[#All],MATCH(A1820,Average_Distance_by_kilometre_grouping_for_mode_type[#Headers],0),0)</f>
        <v>5</v>
      </c>
      <c r="I1820" s="89">
        <f>VLOOKUP(D1820,Average_Distance_by_kilometres_grouping_for_trip_purpose[#All],MATCH(A1820,Average_Distance_by_kilometres_grouping_for_trip_purpose[#Headers],0),0)</f>
        <v>5</v>
      </c>
      <c r="J1820" s="89">
        <f t="shared" si="143"/>
        <v>5</v>
      </c>
      <c r="K1820" s="89">
        <f t="shared" si="144"/>
        <v>0.11641443538998836</v>
      </c>
      <c r="L1820" s="89">
        <v>1</v>
      </c>
      <c r="M1820" s="13">
        <f t="shared" si="145"/>
        <v>156906385.78333187</v>
      </c>
      <c r="N1820" s="11">
        <f t="shared" si="146"/>
        <v>2.3967068161627582E-3</v>
      </c>
    </row>
    <row r="1821" spans="1:14" x14ac:dyDescent="0.25">
      <c r="A1821" s="79" t="s">
        <v>39</v>
      </c>
      <c r="B1821" s="89" t="s">
        <v>5</v>
      </c>
      <c r="C1821" s="89" t="s">
        <v>45</v>
      </c>
      <c r="D1821" s="13" t="s">
        <v>182</v>
      </c>
      <c r="E1821" s="35">
        <f>VLOOKUP(B1821, Passenger_Kilometre_by_mode_type[#All],MATCH(A1821, Passenger_Kilometre_by_mode_type[#Headers],0),0)</f>
        <v>43130427324.122261</v>
      </c>
      <c r="F1821" s="89">
        <f>VLOOKUP(C1821, Reason_for_car_journeys_by_percentage[#All],MATCH(A1821, Reason_for_car_journeys_by_percentage[#Headers],0),0)/100</f>
        <v>3.125E-2</v>
      </c>
      <c r="G1821" s="13">
        <f t="shared" si="142"/>
        <v>1347825853.8788207</v>
      </c>
      <c r="H1821" s="89">
        <f>VLOOKUP(D1821,Average_Distance_by_kilometre_grouping_for_mode_type[#All],MATCH(A1821,Average_Distance_by_kilometre_grouping_for_mode_type[#Headers],0),0)</f>
        <v>7</v>
      </c>
      <c r="I1821" s="89">
        <f>VLOOKUP(D1821,Average_Distance_by_kilometres_grouping_for_trip_purpose[#All],MATCH(A1821,Average_Distance_by_kilometres_grouping_for_trip_purpose[#Headers],0),0)</f>
        <v>7</v>
      </c>
      <c r="J1821" s="89">
        <f t="shared" si="143"/>
        <v>7</v>
      </c>
      <c r="K1821" s="89">
        <f t="shared" si="144"/>
        <v>0.16298020954598369</v>
      </c>
      <c r="L1821" s="89">
        <v>1</v>
      </c>
      <c r="M1821" s="13">
        <f t="shared" si="145"/>
        <v>219668940.09666458</v>
      </c>
      <c r="N1821" s="11">
        <f t="shared" si="146"/>
        <v>3.3553895426278609E-3</v>
      </c>
    </row>
    <row r="1822" spans="1:14" x14ac:dyDescent="0.25">
      <c r="A1822" s="79" t="s">
        <v>39</v>
      </c>
      <c r="B1822" s="89" t="s">
        <v>5</v>
      </c>
      <c r="C1822" s="89" t="s">
        <v>45</v>
      </c>
      <c r="D1822" s="13" t="s">
        <v>1</v>
      </c>
      <c r="E1822" s="35">
        <f>VLOOKUP(B1822, Passenger_Kilometre_by_mode_type[#All],MATCH(A1822, Passenger_Kilometre_by_mode_type[#Headers],0),0)</f>
        <v>43130427324.122261</v>
      </c>
      <c r="F1822" s="89">
        <f>VLOOKUP(C1822, Reason_for_car_journeys_by_percentage[#All],MATCH(A1822, Reason_for_car_journeys_by_percentage[#Headers],0),0)/100</f>
        <v>3.125E-2</v>
      </c>
      <c r="G1822" s="13">
        <f t="shared" si="142"/>
        <v>1347825853.8788207</v>
      </c>
      <c r="H1822" s="89">
        <f>VLOOKUP(D1822,Average_Distance_by_kilometre_grouping_for_mode_type[#All],MATCH(A1822,Average_Distance_by_kilometre_grouping_for_mode_type[#Headers],0),0)</f>
        <v>25.7</v>
      </c>
      <c r="I1822" s="89">
        <f>VLOOKUP(D1822,Average_Distance_by_kilometres_grouping_for_trip_purpose[#All],MATCH(A1822,Average_Distance_by_kilometres_grouping_for_trip_purpose[#Headers],0),0)</f>
        <v>28.2</v>
      </c>
      <c r="J1822" s="89">
        <f t="shared" si="143"/>
        <v>26.95</v>
      </c>
      <c r="K1822" s="89">
        <f t="shared" si="144"/>
        <v>0.62747380675203723</v>
      </c>
      <c r="L1822" s="89">
        <v>1</v>
      </c>
      <c r="M1822" s="13">
        <f t="shared" si="145"/>
        <v>845725419.37215865</v>
      </c>
      <c r="N1822" s="11">
        <f t="shared" si="146"/>
        <v>1.2918249739117265E-2</v>
      </c>
    </row>
    <row r="1823" spans="1:14" x14ac:dyDescent="0.25">
      <c r="A1823" s="79" t="s">
        <v>39</v>
      </c>
      <c r="B1823" s="89" t="s">
        <v>5</v>
      </c>
      <c r="C1823" s="89" t="s">
        <v>56</v>
      </c>
      <c r="D1823" s="13" t="s">
        <v>12</v>
      </c>
      <c r="E1823" s="35">
        <f>VLOOKUP(B1823, Passenger_Kilometre_by_mode_type[#All],MATCH(A1823, Passenger_Kilometre_by_mode_type[#Headers],0),0)</f>
        <v>43130427324.122261</v>
      </c>
      <c r="F1823" s="89">
        <f>VLOOKUP(C1823, Reason_for_car_journeys_by_percentage[#All],MATCH(A1823, Reason_for_car_journeys_by_percentage[#Headers],0),0)/100</f>
        <v>0.11175</v>
      </c>
      <c r="G1823" s="13">
        <f t="shared" si="142"/>
        <v>4819825253.4706631</v>
      </c>
      <c r="H1823" s="89">
        <f>VLOOKUP(D1823,Average_Distance_by_kilometre_grouping_for_mode_type[#All],MATCH(A1823,Average_Distance_by_kilometre_grouping_for_mode_type[#Headers],0),0)</f>
        <v>1</v>
      </c>
      <c r="I1823" s="89">
        <f>VLOOKUP(D1823,Average_Distance_by_kilometres_grouping_for_trip_purpose[#All],MATCH(A1823,Average_Distance_by_kilometres_grouping_for_trip_purpose[#Headers],0),0)</f>
        <v>1</v>
      </c>
      <c r="J1823" s="89">
        <f t="shared" si="143"/>
        <v>1</v>
      </c>
      <c r="K1823" s="89">
        <f t="shared" si="144"/>
        <v>2.3282887077997669E-2</v>
      </c>
      <c r="L1823" s="89">
        <v>1</v>
      </c>
      <c r="M1823" s="13">
        <f t="shared" si="145"/>
        <v>112219447.11223894</v>
      </c>
      <c r="N1823" s="11">
        <f t="shared" si="146"/>
        <v>1.7141247149196047E-3</v>
      </c>
    </row>
    <row r="1824" spans="1:14" x14ac:dyDescent="0.25">
      <c r="A1824" s="79" t="s">
        <v>39</v>
      </c>
      <c r="B1824" s="89" t="s">
        <v>5</v>
      </c>
      <c r="C1824" s="89" t="s">
        <v>56</v>
      </c>
      <c r="D1824" s="13" t="s">
        <v>181</v>
      </c>
      <c r="E1824" s="35">
        <f>VLOOKUP(B1824, Passenger_Kilometre_by_mode_type[#All],MATCH(A1824, Passenger_Kilometre_by_mode_type[#Headers],0),0)</f>
        <v>43130427324.122261</v>
      </c>
      <c r="F1824" s="89">
        <f>VLOOKUP(C1824, Reason_for_car_journeys_by_percentage[#All],MATCH(A1824, Reason_for_car_journeys_by_percentage[#Headers],0),0)/100</f>
        <v>0.11175</v>
      </c>
      <c r="G1824" s="13">
        <f t="shared" si="142"/>
        <v>4819825253.4706631</v>
      </c>
      <c r="H1824" s="89">
        <f>VLOOKUP(D1824,Average_Distance_by_kilometre_grouping_for_mode_type[#All],MATCH(A1824,Average_Distance_by_kilometre_grouping_for_mode_type[#Headers],0),0)</f>
        <v>3</v>
      </c>
      <c r="I1824" s="89">
        <f>VLOOKUP(D1824,Average_Distance_by_kilometres_grouping_for_trip_purpose[#All],MATCH(A1824,Average_Distance_by_kilometres_grouping_for_trip_purpose[#Headers],0),0)</f>
        <v>3</v>
      </c>
      <c r="J1824" s="89">
        <f t="shared" si="143"/>
        <v>3</v>
      </c>
      <c r="K1824" s="89">
        <f t="shared" si="144"/>
        <v>6.9848661233993012E-2</v>
      </c>
      <c r="L1824" s="89">
        <v>1</v>
      </c>
      <c r="M1824" s="13">
        <f t="shared" si="145"/>
        <v>336658341.33671683</v>
      </c>
      <c r="N1824" s="11">
        <f t="shared" si="146"/>
        <v>5.1423741447588142E-3</v>
      </c>
    </row>
    <row r="1825" spans="1:14" x14ac:dyDescent="0.25">
      <c r="A1825" s="79" t="s">
        <v>39</v>
      </c>
      <c r="B1825" s="89" t="s">
        <v>5</v>
      </c>
      <c r="C1825" s="89" t="s">
        <v>56</v>
      </c>
      <c r="D1825" s="13" t="s">
        <v>180</v>
      </c>
      <c r="E1825" s="35">
        <f>VLOOKUP(B1825, Passenger_Kilometre_by_mode_type[#All],MATCH(A1825, Passenger_Kilometre_by_mode_type[#Headers],0),0)</f>
        <v>43130427324.122261</v>
      </c>
      <c r="F1825" s="89">
        <f>VLOOKUP(C1825, Reason_for_car_journeys_by_percentage[#All],MATCH(A1825, Reason_for_car_journeys_by_percentage[#Headers],0),0)/100</f>
        <v>0.11175</v>
      </c>
      <c r="G1825" s="13">
        <f t="shared" si="142"/>
        <v>4819825253.4706631</v>
      </c>
      <c r="H1825" s="89">
        <f>VLOOKUP(D1825,Average_Distance_by_kilometre_grouping_for_mode_type[#All],MATCH(A1825,Average_Distance_by_kilometre_grouping_for_mode_type[#Headers],0),0)</f>
        <v>5</v>
      </c>
      <c r="I1825" s="89">
        <f>VLOOKUP(D1825,Average_Distance_by_kilometres_grouping_for_trip_purpose[#All],MATCH(A1825,Average_Distance_by_kilometres_grouping_for_trip_purpose[#Headers],0),0)</f>
        <v>5</v>
      </c>
      <c r="J1825" s="89">
        <f t="shared" si="143"/>
        <v>5</v>
      </c>
      <c r="K1825" s="89">
        <f t="shared" si="144"/>
        <v>0.11641443538998836</v>
      </c>
      <c r="L1825" s="89">
        <v>1</v>
      </c>
      <c r="M1825" s="13">
        <f t="shared" si="145"/>
        <v>561097235.56119478</v>
      </c>
      <c r="N1825" s="11">
        <f t="shared" si="146"/>
        <v>8.5706235745980231E-3</v>
      </c>
    </row>
    <row r="1826" spans="1:14" x14ac:dyDescent="0.25">
      <c r="A1826" s="79" t="s">
        <v>39</v>
      </c>
      <c r="B1826" s="89" t="s">
        <v>5</v>
      </c>
      <c r="C1826" s="89" t="s">
        <v>56</v>
      </c>
      <c r="D1826" s="13" t="s">
        <v>182</v>
      </c>
      <c r="E1826" s="35">
        <f>VLOOKUP(B1826, Passenger_Kilometre_by_mode_type[#All],MATCH(A1826, Passenger_Kilometre_by_mode_type[#Headers],0),0)</f>
        <v>43130427324.122261</v>
      </c>
      <c r="F1826" s="89">
        <f>VLOOKUP(C1826, Reason_for_car_journeys_by_percentage[#All],MATCH(A1826, Reason_for_car_journeys_by_percentage[#Headers],0),0)/100</f>
        <v>0.11175</v>
      </c>
      <c r="G1826" s="13">
        <f t="shared" si="142"/>
        <v>4819825253.4706631</v>
      </c>
      <c r="H1826" s="89">
        <f>VLOOKUP(D1826,Average_Distance_by_kilometre_grouping_for_mode_type[#All],MATCH(A1826,Average_Distance_by_kilometre_grouping_for_mode_type[#Headers],0),0)</f>
        <v>7</v>
      </c>
      <c r="I1826" s="89">
        <f>VLOOKUP(D1826,Average_Distance_by_kilometres_grouping_for_trip_purpose[#All],MATCH(A1826,Average_Distance_by_kilometres_grouping_for_trip_purpose[#Headers],0),0)</f>
        <v>7</v>
      </c>
      <c r="J1826" s="89">
        <f t="shared" si="143"/>
        <v>7</v>
      </c>
      <c r="K1826" s="89">
        <f t="shared" si="144"/>
        <v>0.16298020954598369</v>
      </c>
      <c r="L1826" s="89">
        <v>1</v>
      </c>
      <c r="M1826" s="13">
        <f t="shared" si="145"/>
        <v>785536129.78567266</v>
      </c>
      <c r="N1826" s="11">
        <f t="shared" si="146"/>
        <v>1.1998873004437234E-2</v>
      </c>
    </row>
    <row r="1827" spans="1:14" x14ac:dyDescent="0.25">
      <c r="A1827" s="79" t="s">
        <v>39</v>
      </c>
      <c r="B1827" s="89" t="s">
        <v>5</v>
      </c>
      <c r="C1827" s="89" t="s">
        <v>56</v>
      </c>
      <c r="D1827" s="13" t="s">
        <v>1</v>
      </c>
      <c r="E1827" s="35">
        <f>VLOOKUP(B1827, Passenger_Kilometre_by_mode_type[#All],MATCH(A1827, Passenger_Kilometre_by_mode_type[#Headers],0),0)</f>
        <v>43130427324.122261</v>
      </c>
      <c r="F1827" s="89">
        <f>VLOOKUP(C1827, Reason_for_car_journeys_by_percentage[#All],MATCH(A1827, Reason_for_car_journeys_by_percentage[#Headers],0),0)/100</f>
        <v>0.11175</v>
      </c>
      <c r="G1827" s="13">
        <f t="shared" si="142"/>
        <v>4819825253.4706631</v>
      </c>
      <c r="H1827" s="89">
        <f>VLOOKUP(D1827,Average_Distance_by_kilometre_grouping_for_mode_type[#All],MATCH(A1827,Average_Distance_by_kilometre_grouping_for_mode_type[#Headers],0),0)</f>
        <v>25.7</v>
      </c>
      <c r="I1827" s="89">
        <f>VLOOKUP(D1827,Average_Distance_by_kilometres_grouping_for_trip_purpose[#All],MATCH(A1827,Average_Distance_by_kilometres_grouping_for_trip_purpose[#Headers],0),0)</f>
        <v>28.2</v>
      </c>
      <c r="J1827" s="89">
        <f t="shared" si="143"/>
        <v>26.95</v>
      </c>
      <c r="K1827" s="89">
        <f t="shared" si="144"/>
        <v>0.62747380675203723</v>
      </c>
      <c r="L1827" s="89">
        <v>1</v>
      </c>
      <c r="M1827" s="13">
        <f t="shared" si="145"/>
        <v>3024314099.6748395</v>
      </c>
      <c r="N1827" s="11">
        <f t="shared" si="146"/>
        <v>4.6195661067083345E-2</v>
      </c>
    </row>
    <row r="1828" spans="1:14" x14ac:dyDescent="0.25">
      <c r="A1828" s="79" t="s">
        <v>39</v>
      </c>
      <c r="B1828" s="89" t="s">
        <v>5</v>
      </c>
      <c r="C1828" s="89" t="s">
        <v>57</v>
      </c>
      <c r="D1828" s="13" t="s">
        <v>12</v>
      </c>
      <c r="E1828" s="35">
        <f>VLOOKUP(B1828, Passenger_Kilometre_by_mode_type[#All],MATCH(A1828, Passenger_Kilometre_by_mode_type[#Headers],0),0)</f>
        <v>43130427324.122261</v>
      </c>
      <c r="F1828" s="89">
        <f>VLOOKUP(C1828, Reason_for_car_journeys_by_percentage[#All],MATCH(A1828, Reason_for_car_journeys_by_percentage[#Headers],0),0)/100</f>
        <v>9.6500000000000002E-2</v>
      </c>
      <c r="G1828" s="13">
        <f t="shared" si="142"/>
        <v>4162086236.7777982</v>
      </c>
      <c r="H1828" s="89">
        <f>VLOOKUP(D1828,Average_Distance_by_kilometre_grouping_for_mode_type[#All],MATCH(A1828,Average_Distance_by_kilometre_grouping_for_mode_type[#Headers],0),0)</f>
        <v>1</v>
      </c>
      <c r="I1828" s="89">
        <f>VLOOKUP(D1828,Average_Distance_by_kilometres_grouping_for_trip_purpose[#All],MATCH(A1828,Average_Distance_by_kilometres_grouping_for_trip_purpose[#Headers],0),0)</f>
        <v>1</v>
      </c>
      <c r="J1828" s="89">
        <f t="shared" si="143"/>
        <v>1</v>
      </c>
      <c r="K1828" s="89">
        <f t="shared" si="144"/>
        <v>2.3282887077997669E-2</v>
      </c>
      <c r="L1828" s="89">
        <v>1</v>
      </c>
      <c r="M1828" s="13">
        <f t="shared" si="145"/>
        <v>96905383.859785751</v>
      </c>
      <c r="N1828" s="11">
        <f t="shared" si="146"/>
        <v>1.4802061296621193E-3</v>
      </c>
    </row>
    <row r="1829" spans="1:14" x14ac:dyDescent="0.25">
      <c r="A1829" s="79" t="s">
        <v>39</v>
      </c>
      <c r="B1829" s="89" t="s">
        <v>5</v>
      </c>
      <c r="C1829" s="89" t="s">
        <v>57</v>
      </c>
      <c r="D1829" s="13" t="s">
        <v>181</v>
      </c>
      <c r="E1829" s="35">
        <f>VLOOKUP(B1829, Passenger_Kilometre_by_mode_type[#All],MATCH(A1829, Passenger_Kilometre_by_mode_type[#Headers],0),0)</f>
        <v>43130427324.122261</v>
      </c>
      <c r="F1829" s="89">
        <f>VLOOKUP(C1829, Reason_for_car_journeys_by_percentage[#All],MATCH(A1829, Reason_for_car_journeys_by_percentage[#Headers],0),0)/100</f>
        <v>9.6500000000000002E-2</v>
      </c>
      <c r="G1829" s="13">
        <f t="shared" si="142"/>
        <v>4162086236.7777982</v>
      </c>
      <c r="H1829" s="89">
        <f>VLOOKUP(D1829,Average_Distance_by_kilometre_grouping_for_mode_type[#All],MATCH(A1829,Average_Distance_by_kilometre_grouping_for_mode_type[#Headers],0),0)</f>
        <v>3</v>
      </c>
      <c r="I1829" s="89">
        <f>VLOOKUP(D1829,Average_Distance_by_kilometres_grouping_for_trip_purpose[#All],MATCH(A1829,Average_Distance_by_kilometres_grouping_for_trip_purpose[#Headers],0),0)</f>
        <v>3</v>
      </c>
      <c r="J1829" s="89">
        <f t="shared" si="143"/>
        <v>3</v>
      </c>
      <c r="K1829" s="89">
        <f t="shared" si="144"/>
        <v>6.9848661233993012E-2</v>
      </c>
      <c r="L1829" s="89">
        <v>1</v>
      </c>
      <c r="M1829" s="13">
        <f t="shared" si="145"/>
        <v>290716151.57935727</v>
      </c>
      <c r="N1829" s="11">
        <f t="shared" si="146"/>
        <v>4.4406183889863582E-3</v>
      </c>
    </row>
    <row r="1830" spans="1:14" x14ac:dyDescent="0.25">
      <c r="A1830" s="79" t="s">
        <v>39</v>
      </c>
      <c r="B1830" s="89" t="s">
        <v>5</v>
      </c>
      <c r="C1830" s="89" t="s">
        <v>57</v>
      </c>
      <c r="D1830" s="13" t="s">
        <v>180</v>
      </c>
      <c r="E1830" s="35">
        <f>VLOOKUP(B1830, Passenger_Kilometre_by_mode_type[#All],MATCH(A1830, Passenger_Kilometre_by_mode_type[#Headers],0),0)</f>
        <v>43130427324.122261</v>
      </c>
      <c r="F1830" s="89">
        <f>VLOOKUP(C1830, Reason_for_car_journeys_by_percentage[#All],MATCH(A1830, Reason_for_car_journeys_by_percentage[#Headers],0),0)/100</f>
        <v>9.6500000000000002E-2</v>
      </c>
      <c r="G1830" s="13">
        <f t="shared" si="142"/>
        <v>4162086236.7777982</v>
      </c>
      <c r="H1830" s="89">
        <f>VLOOKUP(D1830,Average_Distance_by_kilometre_grouping_for_mode_type[#All],MATCH(A1830,Average_Distance_by_kilometre_grouping_for_mode_type[#Headers],0),0)</f>
        <v>5</v>
      </c>
      <c r="I1830" s="89">
        <f>VLOOKUP(D1830,Average_Distance_by_kilometres_grouping_for_trip_purpose[#All],MATCH(A1830,Average_Distance_by_kilometres_grouping_for_trip_purpose[#Headers],0),0)</f>
        <v>5</v>
      </c>
      <c r="J1830" s="89">
        <f t="shared" si="143"/>
        <v>5</v>
      </c>
      <c r="K1830" s="89">
        <f t="shared" si="144"/>
        <v>0.11641443538998836</v>
      </c>
      <c r="L1830" s="89">
        <v>1</v>
      </c>
      <c r="M1830" s="13">
        <f t="shared" si="145"/>
        <v>484526919.2989288</v>
      </c>
      <c r="N1830" s="11">
        <f t="shared" si="146"/>
        <v>7.4010306483105973E-3</v>
      </c>
    </row>
    <row r="1831" spans="1:14" x14ac:dyDescent="0.25">
      <c r="A1831" s="79" t="s">
        <v>39</v>
      </c>
      <c r="B1831" s="89" t="s">
        <v>5</v>
      </c>
      <c r="C1831" s="89" t="s">
        <v>57</v>
      </c>
      <c r="D1831" s="13" t="s">
        <v>182</v>
      </c>
      <c r="E1831" s="35">
        <f>VLOOKUP(B1831, Passenger_Kilometre_by_mode_type[#All],MATCH(A1831, Passenger_Kilometre_by_mode_type[#Headers],0),0)</f>
        <v>43130427324.122261</v>
      </c>
      <c r="F1831" s="89">
        <f>VLOOKUP(C1831, Reason_for_car_journeys_by_percentage[#All],MATCH(A1831, Reason_for_car_journeys_by_percentage[#Headers],0),0)/100</f>
        <v>9.6500000000000002E-2</v>
      </c>
      <c r="G1831" s="13">
        <f t="shared" si="142"/>
        <v>4162086236.7777982</v>
      </c>
      <c r="H1831" s="89">
        <f>VLOOKUP(D1831,Average_Distance_by_kilometre_grouping_for_mode_type[#All],MATCH(A1831,Average_Distance_by_kilometre_grouping_for_mode_type[#Headers],0),0)</f>
        <v>7</v>
      </c>
      <c r="I1831" s="89">
        <f>VLOOKUP(D1831,Average_Distance_by_kilometres_grouping_for_trip_purpose[#All],MATCH(A1831,Average_Distance_by_kilometres_grouping_for_trip_purpose[#Headers],0),0)</f>
        <v>7</v>
      </c>
      <c r="J1831" s="89">
        <f t="shared" si="143"/>
        <v>7</v>
      </c>
      <c r="K1831" s="89">
        <f t="shared" si="144"/>
        <v>0.16298020954598369</v>
      </c>
      <c r="L1831" s="89">
        <v>1</v>
      </c>
      <c r="M1831" s="13">
        <f t="shared" si="145"/>
        <v>678337687.01850021</v>
      </c>
      <c r="N1831" s="11">
        <f t="shared" si="146"/>
        <v>1.0361442907634836E-2</v>
      </c>
    </row>
    <row r="1832" spans="1:14" x14ac:dyDescent="0.25">
      <c r="A1832" s="79" t="s">
        <v>39</v>
      </c>
      <c r="B1832" s="89" t="s">
        <v>5</v>
      </c>
      <c r="C1832" s="89" t="s">
        <v>57</v>
      </c>
      <c r="D1832" s="13" t="s">
        <v>1</v>
      </c>
      <c r="E1832" s="35">
        <f>VLOOKUP(B1832, Passenger_Kilometre_by_mode_type[#All],MATCH(A1832, Passenger_Kilometre_by_mode_type[#Headers],0),0)</f>
        <v>43130427324.122261</v>
      </c>
      <c r="F1832" s="89">
        <f>VLOOKUP(C1832, Reason_for_car_journeys_by_percentage[#All],MATCH(A1832, Reason_for_car_journeys_by_percentage[#Headers],0),0)/100</f>
        <v>9.6500000000000002E-2</v>
      </c>
      <c r="G1832" s="13">
        <f t="shared" si="142"/>
        <v>4162086236.7777982</v>
      </c>
      <c r="H1832" s="89">
        <f>VLOOKUP(D1832,Average_Distance_by_kilometre_grouping_for_mode_type[#All],MATCH(A1832,Average_Distance_by_kilometre_grouping_for_mode_type[#Headers],0),0)</f>
        <v>25.7</v>
      </c>
      <c r="I1832" s="89">
        <f>VLOOKUP(D1832,Average_Distance_by_kilometres_grouping_for_trip_purpose[#All],MATCH(A1832,Average_Distance_by_kilometres_grouping_for_trip_purpose[#Headers],0),0)</f>
        <v>28.2</v>
      </c>
      <c r="J1832" s="89">
        <f t="shared" si="143"/>
        <v>26.95</v>
      </c>
      <c r="K1832" s="89">
        <f t="shared" si="144"/>
        <v>0.62747380675203723</v>
      </c>
      <c r="L1832" s="89">
        <v>1</v>
      </c>
      <c r="M1832" s="13">
        <f t="shared" si="145"/>
        <v>2611600095.0212259</v>
      </c>
      <c r="N1832" s="11">
        <f t="shared" si="146"/>
        <v>3.9891555194394114E-2</v>
      </c>
    </row>
    <row r="1833" spans="1:14" x14ac:dyDescent="0.25">
      <c r="A1833" s="79" t="s">
        <v>39</v>
      </c>
      <c r="B1833" s="89" t="s">
        <v>5</v>
      </c>
      <c r="C1833" s="89" t="s">
        <v>93</v>
      </c>
      <c r="D1833" s="13" t="s">
        <v>12</v>
      </c>
      <c r="E1833" s="35">
        <f>VLOOKUP(B1833, Passenger_Kilometre_by_mode_type[#All],MATCH(A1833, Passenger_Kilometre_by_mode_type[#Headers],0),0)</f>
        <v>43130427324.122261</v>
      </c>
      <c r="F1833" s="89">
        <f>VLOOKUP(C1833, Reason_for_car_journeys_by_percentage[#All],MATCH(A1833, Reason_for_car_journeys_by_percentage[#Headers],0),0)/100</f>
        <v>5.8999999999999997E-2</v>
      </c>
      <c r="G1833" s="13">
        <f t="shared" si="142"/>
        <v>2544695212.1232133</v>
      </c>
      <c r="H1833" s="89">
        <f>VLOOKUP(D1833,Average_Distance_by_kilometre_grouping_for_mode_type[#All],MATCH(A1833,Average_Distance_by_kilometre_grouping_for_mode_type[#Headers],0),0)</f>
        <v>1</v>
      </c>
      <c r="I1833" s="89">
        <f>VLOOKUP(D1833,Average_Distance_by_kilometres_grouping_for_trip_purpose[#All],MATCH(A1833,Average_Distance_by_kilometres_grouping_for_trip_purpose[#Headers],0),0)</f>
        <v>1</v>
      </c>
      <c r="J1833" s="89">
        <f t="shared" si="143"/>
        <v>1</v>
      </c>
      <c r="K1833" s="89">
        <f t="shared" si="144"/>
        <v>2.3282887077997669E-2</v>
      </c>
      <c r="L1833" s="89">
        <v>1</v>
      </c>
      <c r="M1833" s="13">
        <f t="shared" si="145"/>
        <v>59247851.271786101</v>
      </c>
      <c r="N1833" s="11">
        <f t="shared" si="146"/>
        <v>9.0499649378305734E-4</v>
      </c>
    </row>
    <row r="1834" spans="1:14" x14ac:dyDescent="0.25">
      <c r="A1834" s="79" t="s">
        <v>39</v>
      </c>
      <c r="B1834" s="89" t="s">
        <v>5</v>
      </c>
      <c r="C1834" s="89" t="s">
        <v>93</v>
      </c>
      <c r="D1834" s="13" t="s">
        <v>181</v>
      </c>
      <c r="E1834" s="35">
        <f>VLOOKUP(B1834, Passenger_Kilometre_by_mode_type[#All],MATCH(A1834, Passenger_Kilometre_by_mode_type[#Headers],0),0)</f>
        <v>43130427324.122261</v>
      </c>
      <c r="F1834" s="89">
        <f>VLOOKUP(C1834, Reason_for_car_journeys_by_percentage[#All],MATCH(A1834, Reason_for_car_journeys_by_percentage[#Headers],0),0)/100</f>
        <v>5.8999999999999997E-2</v>
      </c>
      <c r="G1834" s="13">
        <f t="shared" si="142"/>
        <v>2544695212.1232133</v>
      </c>
      <c r="H1834" s="89">
        <f>VLOOKUP(D1834,Average_Distance_by_kilometre_grouping_for_mode_type[#All],MATCH(A1834,Average_Distance_by_kilometre_grouping_for_mode_type[#Headers],0),0)</f>
        <v>3</v>
      </c>
      <c r="I1834" s="89">
        <f>VLOOKUP(D1834,Average_Distance_by_kilometres_grouping_for_trip_purpose[#All],MATCH(A1834,Average_Distance_by_kilometres_grouping_for_trip_purpose[#Headers],0),0)</f>
        <v>3</v>
      </c>
      <c r="J1834" s="89">
        <f t="shared" si="143"/>
        <v>3</v>
      </c>
      <c r="K1834" s="89">
        <f t="shared" si="144"/>
        <v>6.9848661233993012E-2</v>
      </c>
      <c r="L1834" s="89">
        <v>1</v>
      </c>
      <c r="M1834" s="13">
        <f t="shared" si="145"/>
        <v>177743553.81535831</v>
      </c>
      <c r="N1834" s="11">
        <f t="shared" si="146"/>
        <v>2.714989481349172E-3</v>
      </c>
    </row>
    <row r="1835" spans="1:14" x14ac:dyDescent="0.25">
      <c r="A1835" s="79" t="s">
        <v>39</v>
      </c>
      <c r="B1835" s="89" t="s">
        <v>5</v>
      </c>
      <c r="C1835" s="89" t="s">
        <v>93</v>
      </c>
      <c r="D1835" s="13" t="s">
        <v>180</v>
      </c>
      <c r="E1835" s="35">
        <f>VLOOKUP(B1835, Passenger_Kilometre_by_mode_type[#All],MATCH(A1835, Passenger_Kilometre_by_mode_type[#Headers],0),0)</f>
        <v>43130427324.122261</v>
      </c>
      <c r="F1835" s="89">
        <f>VLOOKUP(C1835, Reason_for_car_journeys_by_percentage[#All],MATCH(A1835, Reason_for_car_journeys_by_percentage[#Headers],0),0)/100</f>
        <v>5.8999999999999997E-2</v>
      </c>
      <c r="G1835" s="13">
        <f t="shared" si="142"/>
        <v>2544695212.1232133</v>
      </c>
      <c r="H1835" s="89">
        <f>VLOOKUP(D1835,Average_Distance_by_kilometre_grouping_for_mode_type[#All],MATCH(A1835,Average_Distance_by_kilometre_grouping_for_mode_type[#Headers],0),0)</f>
        <v>5</v>
      </c>
      <c r="I1835" s="89">
        <f>VLOOKUP(D1835,Average_Distance_by_kilometres_grouping_for_trip_purpose[#All],MATCH(A1835,Average_Distance_by_kilometres_grouping_for_trip_purpose[#Headers],0),0)</f>
        <v>5</v>
      </c>
      <c r="J1835" s="89">
        <f t="shared" si="143"/>
        <v>5</v>
      </c>
      <c r="K1835" s="89">
        <f t="shared" si="144"/>
        <v>0.11641443538998836</v>
      </c>
      <c r="L1835" s="89">
        <v>1</v>
      </c>
      <c r="M1835" s="13">
        <f t="shared" si="145"/>
        <v>296239256.35893053</v>
      </c>
      <c r="N1835" s="11">
        <f t="shared" si="146"/>
        <v>4.5249824689152871E-3</v>
      </c>
    </row>
    <row r="1836" spans="1:14" x14ac:dyDescent="0.25">
      <c r="A1836" s="79" t="s">
        <v>39</v>
      </c>
      <c r="B1836" s="89" t="s">
        <v>5</v>
      </c>
      <c r="C1836" s="89" t="s">
        <v>93</v>
      </c>
      <c r="D1836" s="13" t="s">
        <v>182</v>
      </c>
      <c r="E1836" s="35">
        <f>VLOOKUP(B1836, Passenger_Kilometre_by_mode_type[#All],MATCH(A1836, Passenger_Kilometre_by_mode_type[#Headers],0),0)</f>
        <v>43130427324.122261</v>
      </c>
      <c r="F1836" s="89">
        <f>VLOOKUP(C1836, Reason_for_car_journeys_by_percentage[#All],MATCH(A1836, Reason_for_car_journeys_by_percentage[#Headers],0),0)/100</f>
        <v>5.8999999999999997E-2</v>
      </c>
      <c r="G1836" s="13">
        <f t="shared" si="142"/>
        <v>2544695212.1232133</v>
      </c>
      <c r="H1836" s="89">
        <f>VLOOKUP(D1836,Average_Distance_by_kilometre_grouping_for_mode_type[#All],MATCH(A1836,Average_Distance_by_kilometre_grouping_for_mode_type[#Headers],0),0)</f>
        <v>7</v>
      </c>
      <c r="I1836" s="89">
        <f>VLOOKUP(D1836,Average_Distance_by_kilometres_grouping_for_trip_purpose[#All],MATCH(A1836,Average_Distance_by_kilometres_grouping_for_trip_purpose[#Headers],0),0)</f>
        <v>7</v>
      </c>
      <c r="J1836" s="89">
        <f t="shared" si="143"/>
        <v>7</v>
      </c>
      <c r="K1836" s="89">
        <f t="shared" si="144"/>
        <v>0.16298020954598369</v>
      </c>
      <c r="L1836" s="89">
        <v>1</v>
      </c>
      <c r="M1836" s="13">
        <f t="shared" si="145"/>
        <v>414734958.90250272</v>
      </c>
      <c r="N1836" s="11">
        <f t="shared" si="146"/>
        <v>6.3349754564814018E-3</v>
      </c>
    </row>
    <row r="1837" spans="1:14" x14ac:dyDescent="0.25">
      <c r="A1837" s="79" t="s">
        <v>39</v>
      </c>
      <c r="B1837" s="89" t="s">
        <v>5</v>
      </c>
      <c r="C1837" s="89" t="s">
        <v>93</v>
      </c>
      <c r="D1837" s="13" t="s">
        <v>1</v>
      </c>
      <c r="E1837" s="35">
        <f>VLOOKUP(B1837, Passenger_Kilometre_by_mode_type[#All],MATCH(A1837, Passenger_Kilometre_by_mode_type[#Headers],0),0)</f>
        <v>43130427324.122261</v>
      </c>
      <c r="F1837" s="89">
        <f>VLOOKUP(C1837, Reason_for_car_journeys_by_percentage[#All],MATCH(A1837, Reason_for_car_journeys_by_percentage[#Headers],0),0)/100</f>
        <v>5.8999999999999997E-2</v>
      </c>
      <c r="G1837" s="13">
        <f t="shared" si="142"/>
        <v>2544695212.1232133</v>
      </c>
      <c r="H1837" s="89">
        <f>VLOOKUP(D1837,Average_Distance_by_kilometre_grouping_for_mode_type[#All],MATCH(A1837,Average_Distance_by_kilometre_grouping_for_mode_type[#Headers],0),0)</f>
        <v>25.7</v>
      </c>
      <c r="I1837" s="89">
        <f>VLOOKUP(D1837,Average_Distance_by_kilometres_grouping_for_trip_purpose[#All],MATCH(A1837,Average_Distance_by_kilometres_grouping_for_trip_purpose[#Headers],0),0)</f>
        <v>28.2</v>
      </c>
      <c r="J1837" s="89">
        <f t="shared" si="143"/>
        <v>26.95</v>
      </c>
      <c r="K1837" s="89">
        <f t="shared" si="144"/>
        <v>0.62747380675203723</v>
      </c>
      <c r="L1837" s="89">
        <v>1</v>
      </c>
      <c r="M1837" s="13">
        <f t="shared" si="145"/>
        <v>1596729591.7746356</v>
      </c>
      <c r="N1837" s="11">
        <f t="shared" si="146"/>
        <v>2.4389655507453398E-2</v>
      </c>
    </row>
    <row r="1838" spans="1:14" x14ac:dyDescent="0.25">
      <c r="A1838" s="79" t="s">
        <v>39</v>
      </c>
      <c r="B1838" s="89" t="s">
        <v>5</v>
      </c>
      <c r="C1838" s="89" t="s">
        <v>243</v>
      </c>
      <c r="D1838" s="13" t="s">
        <v>12</v>
      </c>
      <c r="E1838" s="35">
        <f>VLOOKUP(B1838, Passenger_Kilometre_by_mode_type[#All],MATCH(A1838, Passenger_Kilometre_by_mode_type[#Headers],0),0)</f>
        <v>43130427324.122261</v>
      </c>
      <c r="F1838" s="89">
        <f>VLOOKUP(C1838, Reason_for_car_journeys_by_percentage[#All],MATCH(A1838, Reason_for_car_journeys_by_percentage[#Headers],0),0)/100</f>
        <v>0.22625000000000001</v>
      </c>
      <c r="G1838" s="13">
        <f t="shared" si="142"/>
        <v>9758259182.0826626</v>
      </c>
      <c r="H1838" s="89">
        <f>VLOOKUP(D1838,Average_Distance_by_kilometre_grouping_for_mode_type[#All],MATCH(A1838,Average_Distance_by_kilometre_grouping_for_mode_type[#Headers],0),0)</f>
        <v>1</v>
      </c>
      <c r="I1838" s="89">
        <f>VLOOKUP(D1838,Average_Distance_by_kilometres_grouping_for_trip_purpose[#All],MATCH(A1838,Average_Distance_by_kilometres_grouping_for_trip_purpose[#Headers],0),0)</f>
        <v>1</v>
      </c>
      <c r="J1838" s="89">
        <f t="shared" si="143"/>
        <v>1</v>
      </c>
      <c r="K1838" s="89">
        <f t="shared" si="144"/>
        <v>2.3282887077997669E-2</v>
      </c>
      <c r="L1838" s="89">
        <v>1</v>
      </c>
      <c r="M1838" s="13">
        <f t="shared" si="145"/>
        <v>227200446.61426452</v>
      </c>
      <c r="N1838" s="11">
        <f t="shared" si="146"/>
        <v>3.4704314698036738E-3</v>
      </c>
    </row>
    <row r="1839" spans="1:14" x14ac:dyDescent="0.25">
      <c r="A1839" s="79" t="s">
        <v>39</v>
      </c>
      <c r="B1839" s="89" t="s">
        <v>5</v>
      </c>
      <c r="C1839" s="89" t="s">
        <v>243</v>
      </c>
      <c r="D1839" s="13" t="s">
        <v>181</v>
      </c>
      <c r="E1839" s="35">
        <f>VLOOKUP(B1839, Passenger_Kilometre_by_mode_type[#All],MATCH(A1839, Passenger_Kilometre_by_mode_type[#Headers],0),0)</f>
        <v>43130427324.122261</v>
      </c>
      <c r="F1839" s="89">
        <f>VLOOKUP(C1839, Reason_for_car_journeys_by_percentage[#All],MATCH(A1839, Reason_for_car_journeys_by_percentage[#Headers],0),0)/100</f>
        <v>0.22625000000000001</v>
      </c>
      <c r="G1839" s="13">
        <f t="shared" si="142"/>
        <v>9758259182.0826626</v>
      </c>
      <c r="H1839" s="89">
        <f>VLOOKUP(D1839,Average_Distance_by_kilometre_grouping_for_mode_type[#All],MATCH(A1839,Average_Distance_by_kilometre_grouping_for_mode_type[#Headers],0),0)</f>
        <v>3</v>
      </c>
      <c r="I1839" s="89">
        <f>VLOOKUP(D1839,Average_Distance_by_kilometres_grouping_for_trip_purpose[#All],MATCH(A1839,Average_Distance_by_kilometres_grouping_for_trip_purpose[#Headers],0),0)</f>
        <v>3</v>
      </c>
      <c r="J1839" s="89">
        <f t="shared" si="143"/>
        <v>3</v>
      </c>
      <c r="K1839" s="89">
        <f t="shared" si="144"/>
        <v>6.9848661233993012E-2</v>
      </c>
      <c r="L1839" s="89">
        <v>1</v>
      </c>
      <c r="M1839" s="13">
        <f t="shared" si="145"/>
        <v>681601339.84279358</v>
      </c>
      <c r="N1839" s="11">
        <f t="shared" si="146"/>
        <v>1.041129440941102E-2</v>
      </c>
    </row>
    <row r="1840" spans="1:14" x14ac:dyDescent="0.25">
      <c r="A1840" s="79" t="s">
        <v>39</v>
      </c>
      <c r="B1840" s="89" t="s">
        <v>5</v>
      </c>
      <c r="C1840" s="89" t="s">
        <v>243</v>
      </c>
      <c r="D1840" s="13" t="s">
        <v>180</v>
      </c>
      <c r="E1840" s="35">
        <f>VLOOKUP(B1840, Passenger_Kilometre_by_mode_type[#All],MATCH(A1840, Passenger_Kilometre_by_mode_type[#Headers],0),0)</f>
        <v>43130427324.122261</v>
      </c>
      <c r="F1840" s="89">
        <f>VLOOKUP(C1840, Reason_for_car_journeys_by_percentage[#All],MATCH(A1840, Reason_for_car_journeys_by_percentage[#Headers],0),0)/100</f>
        <v>0.22625000000000001</v>
      </c>
      <c r="G1840" s="13">
        <f t="shared" si="142"/>
        <v>9758259182.0826626</v>
      </c>
      <c r="H1840" s="89">
        <f>VLOOKUP(D1840,Average_Distance_by_kilometre_grouping_for_mode_type[#All],MATCH(A1840,Average_Distance_by_kilometre_grouping_for_mode_type[#Headers],0),0)</f>
        <v>5</v>
      </c>
      <c r="I1840" s="89">
        <f>VLOOKUP(D1840,Average_Distance_by_kilometres_grouping_for_trip_purpose[#All],MATCH(A1840,Average_Distance_by_kilometres_grouping_for_trip_purpose[#Headers],0),0)</f>
        <v>5</v>
      </c>
      <c r="J1840" s="89">
        <f t="shared" si="143"/>
        <v>5</v>
      </c>
      <c r="K1840" s="89">
        <f t="shared" si="144"/>
        <v>0.11641443538998836</v>
      </c>
      <c r="L1840" s="89">
        <v>1</v>
      </c>
      <c r="M1840" s="13">
        <f t="shared" si="145"/>
        <v>1136002233.0713227</v>
      </c>
      <c r="N1840" s="11">
        <f t="shared" si="146"/>
        <v>1.735215734901837E-2</v>
      </c>
    </row>
    <row r="1841" spans="1:14" x14ac:dyDescent="0.25">
      <c r="A1841" s="79" t="s">
        <v>39</v>
      </c>
      <c r="B1841" s="89" t="s">
        <v>5</v>
      </c>
      <c r="C1841" s="89" t="s">
        <v>243</v>
      </c>
      <c r="D1841" s="13" t="s">
        <v>182</v>
      </c>
      <c r="E1841" s="35">
        <f>VLOOKUP(B1841, Passenger_Kilometre_by_mode_type[#All],MATCH(A1841, Passenger_Kilometre_by_mode_type[#Headers],0),0)</f>
        <v>43130427324.122261</v>
      </c>
      <c r="F1841" s="89">
        <f>VLOOKUP(C1841, Reason_for_car_journeys_by_percentage[#All],MATCH(A1841, Reason_for_car_journeys_by_percentage[#Headers],0),0)/100</f>
        <v>0.22625000000000001</v>
      </c>
      <c r="G1841" s="13">
        <f t="shared" si="142"/>
        <v>9758259182.0826626</v>
      </c>
      <c r="H1841" s="89">
        <f>VLOOKUP(D1841,Average_Distance_by_kilometre_grouping_for_mode_type[#All],MATCH(A1841,Average_Distance_by_kilometre_grouping_for_mode_type[#Headers],0),0)</f>
        <v>7</v>
      </c>
      <c r="I1841" s="89">
        <f>VLOOKUP(D1841,Average_Distance_by_kilometres_grouping_for_trip_purpose[#All],MATCH(A1841,Average_Distance_by_kilometres_grouping_for_trip_purpose[#Headers],0),0)</f>
        <v>7</v>
      </c>
      <c r="J1841" s="89">
        <f t="shared" si="143"/>
        <v>7</v>
      </c>
      <c r="K1841" s="89">
        <f t="shared" si="144"/>
        <v>0.16298020954598369</v>
      </c>
      <c r="L1841" s="89">
        <v>1</v>
      </c>
      <c r="M1841" s="13">
        <f t="shared" si="145"/>
        <v>1590403126.2998517</v>
      </c>
      <c r="N1841" s="11">
        <f t="shared" si="146"/>
        <v>2.4293020288625716E-2</v>
      </c>
    </row>
    <row r="1842" spans="1:14" x14ac:dyDescent="0.25">
      <c r="A1842" s="79" t="s">
        <v>39</v>
      </c>
      <c r="B1842" s="89" t="s">
        <v>5</v>
      </c>
      <c r="C1842" s="89" t="s">
        <v>243</v>
      </c>
      <c r="D1842" s="13" t="s">
        <v>1</v>
      </c>
      <c r="E1842" s="35">
        <f>VLOOKUP(B1842, Passenger_Kilometre_by_mode_type[#All],MATCH(A1842, Passenger_Kilometre_by_mode_type[#Headers],0),0)</f>
        <v>43130427324.122261</v>
      </c>
      <c r="F1842" s="89">
        <f>VLOOKUP(C1842, Reason_for_car_journeys_by_percentage[#All],MATCH(A1842, Reason_for_car_journeys_by_percentage[#Headers],0),0)/100</f>
        <v>0.22625000000000001</v>
      </c>
      <c r="G1842" s="13">
        <f t="shared" si="142"/>
        <v>9758259182.0826626</v>
      </c>
      <c r="H1842" s="89">
        <f>VLOOKUP(D1842,Average_Distance_by_kilometre_grouping_for_mode_type[#All],MATCH(A1842,Average_Distance_by_kilometre_grouping_for_mode_type[#Headers],0),0)</f>
        <v>25.7</v>
      </c>
      <c r="I1842" s="89">
        <f>VLOOKUP(D1842,Average_Distance_by_kilometres_grouping_for_trip_purpose[#All],MATCH(A1842,Average_Distance_by_kilometres_grouping_for_trip_purpose[#Headers],0),0)</f>
        <v>28.2</v>
      </c>
      <c r="J1842" s="89">
        <f t="shared" si="143"/>
        <v>26.95</v>
      </c>
      <c r="K1842" s="89">
        <f t="shared" si="144"/>
        <v>0.62747380675203723</v>
      </c>
      <c r="L1842" s="89">
        <v>1</v>
      </c>
      <c r="M1842" s="13">
        <f t="shared" si="145"/>
        <v>6123052036.2544298</v>
      </c>
      <c r="N1842" s="11">
        <f t="shared" si="146"/>
        <v>9.3528128111209016E-2</v>
      </c>
    </row>
    <row r="1843" spans="1:14" x14ac:dyDescent="0.25">
      <c r="A1843" s="79" t="s">
        <v>39</v>
      </c>
      <c r="B1843" s="89" t="s">
        <v>5</v>
      </c>
      <c r="C1843" s="89" t="s">
        <v>50</v>
      </c>
      <c r="D1843" s="13" t="s">
        <v>12</v>
      </c>
      <c r="E1843" s="35">
        <f>VLOOKUP(B1843, Passenger_Kilometre_by_mode_type[#All],MATCH(A1843, Passenger_Kilometre_by_mode_type[#Headers],0),0)</f>
        <v>43130427324.122261</v>
      </c>
      <c r="F1843" s="89">
        <f>VLOOKUP(C1843, Reason_for_car_journeys_by_percentage[#All],MATCH(A1843, Reason_for_car_journeys_by_percentage[#Headers],0),0)/100</f>
        <v>2.8999999999999998E-2</v>
      </c>
      <c r="G1843" s="13">
        <f t="shared" si="142"/>
        <v>1250782392.3995454</v>
      </c>
      <c r="H1843" s="89">
        <f>VLOOKUP(D1843,Average_Distance_by_kilometre_grouping_for_mode_type[#All],MATCH(A1843,Average_Distance_by_kilometre_grouping_for_mode_type[#Headers],0),0)</f>
        <v>1</v>
      </c>
      <c r="I1843" s="89">
        <f>VLOOKUP(D1843,Average_Distance_by_kilometres_grouping_for_trip_purpose[#All],MATCH(A1843,Average_Distance_by_kilometres_grouping_for_trip_purpose[#Headers],0),0)</f>
        <v>1</v>
      </c>
      <c r="J1843" s="89">
        <f t="shared" si="143"/>
        <v>1</v>
      </c>
      <c r="K1843" s="89">
        <f t="shared" si="144"/>
        <v>2.3282887077997669E-2</v>
      </c>
      <c r="L1843" s="89">
        <v>1</v>
      </c>
      <c r="M1843" s="13">
        <f t="shared" si="145"/>
        <v>29121825.201386388</v>
      </c>
      <c r="N1843" s="11">
        <f t="shared" si="146"/>
        <v>4.4482878507980784E-4</v>
      </c>
    </row>
    <row r="1844" spans="1:14" x14ac:dyDescent="0.25">
      <c r="A1844" s="79" t="s">
        <v>39</v>
      </c>
      <c r="B1844" s="89" t="s">
        <v>5</v>
      </c>
      <c r="C1844" s="89" t="s">
        <v>50</v>
      </c>
      <c r="D1844" s="13" t="s">
        <v>181</v>
      </c>
      <c r="E1844" s="35">
        <f>VLOOKUP(B1844, Passenger_Kilometre_by_mode_type[#All],MATCH(A1844, Passenger_Kilometre_by_mode_type[#Headers],0),0)</f>
        <v>43130427324.122261</v>
      </c>
      <c r="F1844" s="89">
        <f>VLOOKUP(C1844, Reason_for_car_journeys_by_percentage[#All],MATCH(A1844, Reason_for_car_journeys_by_percentage[#Headers],0),0)/100</f>
        <v>2.8999999999999998E-2</v>
      </c>
      <c r="G1844" s="13">
        <f t="shared" si="142"/>
        <v>1250782392.3995454</v>
      </c>
      <c r="H1844" s="89">
        <f>VLOOKUP(D1844,Average_Distance_by_kilometre_grouping_for_mode_type[#All],MATCH(A1844,Average_Distance_by_kilometre_grouping_for_mode_type[#Headers],0),0)</f>
        <v>3</v>
      </c>
      <c r="I1844" s="89">
        <f>VLOOKUP(D1844,Average_Distance_by_kilometres_grouping_for_trip_purpose[#All],MATCH(A1844,Average_Distance_by_kilometres_grouping_for_trip_purpose[#Headers],0),0)</f>
        <v>3</v>
      </c>
      <c r="J1844" s="89">
        <f t="shared" si="143"/>
        <v>3</v>
      </c>
      <c r="K1844" s="89">
        <f t="shared" si="144"/>
        <v>6.9848661233993012E-2</v>
      </c>
      <c r="L1844" s="89">
        <v>1</v>
      </c>
      <c r="M1844" s="13">
        <f t="shared" si="145"/>
        <v>87365475.604159161</v>
      </c>
      <c r="N1844" s="11">
        <f t="shared" si="146"/>
        <v>1.3344863552394236E-3</v>
      </c>
    </row>
    <row r="1845" spans="1:14" x14ac:dyDescent="0.25">
      <c r="A1845" s="79" t="s">
        <v>39</v>
      </c>
      <c r="B1845" s="89" t="s">
        <v>5</v>
      </c>
      <c r="C1845" s="89" t="s">
        <v>50</v>
      </c>
      <c r="D1845" s="13" t="s">
        <v>180</v>
      </c>
      <c r="E1845" s="35">
        <f>VLOOKUP(B1845, Passenger_Kilometre_by_mode_type[#All],MATCH(A1845, Passenger_Kilometre_by_mode_type[#Headers],0),0)</f>
        <v>43130427324.122261</v>
      </c>
      <c r="F1845" s="89">
        <f>VLOOKUP(C1845, Reason_for_car_journeys_by_percentage[#All],MATCH(A1845, Reason_for_car_journeys_by_percentage[#Headers],0),0)/100</f>
        <v>2.8999999999999998E-2</v>
      </c>
      <c r="G1845" s="13">
        <f t="shared" si="142"/>
        <v>1250782392.3995454</v>
      </c>
      <c r="H1845" s="89">
        <f>VLOOKUP(D1845,Average_Distance_by_kilometre_grouping_for_mode_type[#All],MATCH(A1845,Average_Distance_by_kilometre_grouping_for_mode_type[#Headers],0),0)</f>
        <v>5</v>
      </c>
      <c r="I1845" s="89">
        <f>VLOOKUP(D1845,Average_Distance_by_kilometres_grouping_for_trip_purpose[#All],MATCH(A1845,Average_Distance_by_kilometres_grouping_for_trip_purpose[#Headers],0),0)</f>
        <v>5</v>
      </c>
      <c r="J1845" s="89">
        <f t="shared" si="143"/>
        <v>5</v>
      </c>
      <c r="K1845" s="89">
        <f t="shared" si="144"/>
        <v>0.11641443538998836</v>
      </c>
      <c r="L1845" s="89">
        <v>1</v>
      </c>
      <c r="M1845" s="13">
        <f t="shared" si="145"/>
        <v>145609126.00693196</v>
      </c>
      <c r="N1845" s="11">
        <f t="shared" si="146"/>
        <v>2.2241439253990396E-3</v>
      </c>
    </row>
    <row r="1846" spans="1:14" x14ac:dyDescent="0.25">
      <c r="A1846" s="79" t="s">
        <v>39</v>
      </c>
      <c r="B1846" s="89" t="s">
        <v>5</v>
      </c>
      <c r="C1846" s="89" t="s">
        <v>50</v>
      </c>
      <c r="D1846" s="13" t="s">
        <v>182</v>
      </c>
      <c r="E1846" s="35">
        <f>VLOOKUP(B1846, Passenger_Kilometre_by_mode_type[#All],MATCH(A1846, Passenger_Kilometre_by_mode_type[#Headers],0),0)</f>
        <v>43130427324.122261</v>
      </c>
      <c r="F1846" s="89">
        <f>VLOOKUP(C1846, Reason_for_car_journeys_by_percentage[#All],MATCH(A1846, Reason_for_car_journeys_by_percentage[#Headers],0),0)/100</f>
        <v>2.8999999999999998E-2</v>
      </c>
      <c r="G1846" s="13">
        <f t="shared" si="142"/>
        <v>1250782392.3995454</v>
      </c>
      <c r="H1846" s="89">
        <f>VLOOKUP(D1846,Average_Distance_by_kilometre_grouping_for_mode_type[#All],MATCH(A1846,Average_Distance_by_kilometre_grouping_for_mode_type[#Headers],0),0)</f>
        <v>7</v>
      </c>
      <c r="I1846" s="89">
        <f>VLOOKUP(D1846,Average_Distance_by_kilometres_grouping_for_trip_purpose[#All],MATCH(A1846,Average_Distance_by_kilometres_grouping_for_trip_purpose[#Headers],0),0)</f>
        <v>7</v>
      </c>
      <c r="J1846" s="89">
        <f t="shared" si="143"/>
        <v>7</v>
      </c>
      <c r="K1846" s="89">
        <f t="shared" si="144"/>
        <v>0.16298020954598369</v>
      </c>
      <c r="L1846" s="89">
        <v>1</v>
      </c>
      <c r="M1846" s="13">
        <f t="shared" si="145"/>
        <v>203852776.40970472</v>
      </c>
      <c r="N1846" s="11">
        <f t="shared" si="146"/>
        <v>3.1138014955586547E-3</v>
      </c>
    </row>
    <row r="1847" spans="1:14" x14ac:dyDescent="0.25">
      <c r="A1847" s="79" t="s">
        <v>39</v>
      </c>
      <c r="B1847" s="89" t="s">
        <v>5</v>
      </c>
      <c r="C1847" s="89" t="s">
        <v>50</v>
      </c>
      <c r="D1847" s="13" t="s">
        <v>1</v>
      </c>
      <c r="E1847" s="35">
        <f>VLOOKUP(B1847, Passenger_Kilometre_by_mode_type[#All],MATCH(A1847, Passenger_Kilometre_by_mode_type[#Headers],0),0)</f>
        <v>43130427324.122261</v>
      </c>
      <c r="F1847" s="89">
        <f>VLOOKUP(C1847, Reason_for_car_journeys_by_percentage[#All],MATCH(A1847, Reason_for_car_journeys_by_percentage[#Headers],0),0)/100</f>
        <v>2.8999999999999998E-2</v>
      </c>
      <c r="G1847" s="13">
        <f t="shared" si="142"/>
        <v>1250782392.3995454</v>
      </c>
      <c r="H1847" s="89">
        <f>VLOOKUP(D1847,Average_Distance_by_kilometre_grouping_for_mode_type[#All],MATCH(A1847,Average_Distance_by_kilometre_grouping_for_mode_type[#Headers],0),0)</f>
        <v>25.7</v>
      </c>
      <c r="I1847" s="89">
        <f>VLOOKUP(D1847,Average_Distance_by_kilometres_grouping_for_trip_purpose[#All],MATCH(A1847,Average_Distance_by_kilometres_grouping_for_trip_purpose[#Headers],0),0)</f>
        <v>28.2</v>
      </c>
      <c r="J1847" s="89">
        <f t="shared" si="143"/>
        <v>26.95</v>
      </c>
      <c r="K1847" s="89">
        <f t="shared" si="144"/>
        <v>0.62747380675203723</v>
      </c>
      <c r="L1847" s="89">
        <v>1</v>
      </c>
      <c r="M1847" s="13">
        <f t="shared" si="145"/>
        <v>784833189.17736316</v>
      </c>
      <c r="N1847" s="11">
        <f t="shared" si="146"/>
        <v>1.1988135757900821E-2</v>
      </c>
    </row>
    <row r="1848" spans="1:14" x14ac:dyDescent="0.25">
      <c r="A1848" s="79" t="s">
        <v>39</v>
      </c>
      <c r="B1848" s="89" t="s">
        <v>6</v>
      </c>
      <c r="C1848" s="89" t="s">
        <v>42</v>
      </c>
      <c r="D1848" s="13" t="s">
        <v>12</v>
      </c>
      <c r="E1848" s="35">
        <f>VLOOKUP(B1848, Passenger_Kilometre_by_mode_type[#All],MATCH(A1848, Passenger_Kilometre_by_mode_type[#Headers],0),0)</f>
        <v>10792465210.306</v>
      </c>
      <c r="F1848" s="89">
        <f>VLOOKUP(C1848, Reason_for_car_journeys_by_percentage[#All],MATCH(A1848, Reason_for_car_journeys_by_percentage[#Headers],0),0)/100</f>
        <v>0.21325000000000002</v>
      </c>
      <c r="G1848" s="13">
        <f t="shared" si="142"/>
        <v>2301493206.0977545</v>
      </c>
      <c r="H1848" s="89">
        <f>VLOOKUP(D1848,Average_Distance_by_kilometre_grouping_for_mode_type[#All],MATCH(A1848,Average_Distance_by_kilometre_grouping_for_mode_type[#Headers],0),0)</f>
        <v>1</v>
      </c>
      <c r="I1848" s="89">
        <f>VLOOKUP(D1848,Average_Distance_by_kilometres_grouping_for_trip_purpose[#All],MATCH(A1848,Average_Distance_by_kilometres_grouping_for_trip_purpose[#Headers],0),0)</f>
        <v>1</v>
      </c>
      <c r="J1848" s="89">
        <f t="shared" si="143"/>
        <v>1</v>
      </c>
      <c r="K1848" s="89">
        <f t="shared" si="144"/>
        <v>2.3282887077997669E-2</v>
      </c>
      <c r="L1848" s="89">
        <v>1</v>
      </c>
      <c r="M1848" s="13">
        <f t="shared" si="145"/>
        <v>53585406.428352833</v>
      </c>
      <c r="N1848" s="11">
        <f t="shared" si="146"/>
        <v>8.1850402832570914E-4</v>
      </c>
    </row>
    <row r="1849" spans="1:14" x14ac:dyDescent="0.25">
      <c r="A1849" s="79" t="s">
        <v>39</v>
      </c>
      <c r="B1849" s="89" t="s">
        <v>6</v>
      </c>
      <c r="C1849" s="89" t="s">
        <v>42</v>
      </c>
      <c r="D1849" s="13" t="s">
        <v>181</v>
      </c>
      <c r="E1849" s="35">
        <f>VLOOKUP(B1849, Passenger_Kilometre_by_mode_type[#All],MATCH(A1849, Passenger_Kilometre_by_mode_type[#Headers],0),0)</f>
        <v>10792465210.306</v>
      </c>
      <c r="F1849" s="89">
        <f>VLOOKUP(C1849, Reason_for_car_journeys_by_percentage[#All],MATCH(A1849, Reason_for_car_journeys_by_percentage[#Headers],0),0)/100</f>
        <v>0.21325000000000002</v>
      </c>
      <c r="G1849" s="13">
        <f t="shared" si="142"/>
        <v>2301493206.0977545</v>
      </c>
      <c r="H1849" s="89">
        <f>VLOOKUP(D1849,Average_Distance_by_kilometre_grouping_for_mode_type[#All],MATCH(A1849,Average_Distance_by_kilometre_grouping_for_mode_type[#Headers],0),0)</f>
        <v>3</v>
      </c>
      <c r="I1849" s="89">
        <f>VLOOKUP(D1849,Average_Distance_by_kilometres_grouping_for_trip_purpose[#All],MATCH(A1849,Average_Distance_by_kilometres_grouping_for_trip_purpose[#Headers],0),0)</f>
        <v>3</v>
      </c>
      <c r="J1849" s="89">
        <f t="shared" si="143"/>
        <v>3</v>
      </c>
      <c r="K1849" s="89">
        <f t="shared" si="144"/>
        <v>6.9848661233993012E-2</v>
      </c>
      <c r="L1849" s="89">
        <v>1</v>
      </c>
      <c r="M1849" s="13">
        <f t="shared" si="145"/>
        <v>160756219.2850585</v>
      </c>
      <c r="N1849" s="11">
        <f t="shared" si="146"/>
        <v>2.4555120849771277E-3</v>
      </c>
    </row>
    <row r="1850" spans="1:14" x14ac:dyDescent="0.25">
      <c r="A1850" s="79" t="s">
        <v>39</v>
      </c>
      <c r="B1850" s="89" t="s">
        <v>6</v>
      </c>
      <c r="C1850" s="89" t="s">
        <v>42</v>
      </c>
      <c r="D1850" s="13" t="s">
        <v>180</v>
      </c>
      <c r="E1850" s="35">
        <f>VLOOKUP(B1850, Passenger_Kilometre_by_mode_type[#All],MATCH(A1850, Passenger_Kilometre_by_mode_type[#Headers],0),0)</f>
        <v>10792465210.306</v>
      </c>
      <c r="F1850" s="89">
        <f>VLOOKUP(C1850, Reason_for_car_journeys_by_percentage[#All],MATCH(A1850, Reason_for_car_journeys_by_percentage[#Headers],0),0)/100</f>
        <v>0.21325000000000002</v>
      </c>
      <c r="G1850" s="13">
        <f t="shared" si="142"/>
        <v>2301493206.0977545</v>
      </c>
      <c r="H1850" s="89">
        <f>VLOOKUP(D1850,Average_Distance_by_kilometre_grouping_for_mode_type[#All],MATCH(A1850,Average_Distance_by_kilometre_grouping_for_mode_type[#Headers],0),0)</f>
        <v>5</v>
      </c>
      <c r="I1850" s="89">
        <f>VLOOKUP(D1850,Average_Distance_by_kilometres_grouping_for_trip_purpose[#All],MATCH(A1850,Average_Distance_by_kilometres_grouping_for_trip_purpose[#Headers],0),0)</f>
        <v>5</v>
      </c>
      <c r="J1850" s="89">
        <f t="shared" si="143"/>
        <v>5</v>
      </c>
      <c r="K1850" s="89">
        <f t="shared" si="144"/>
        <v>0.11641443538998836</v>
      </c>
      <c r="L1850" s="89">
        <v>1</v>
      </c>
      <c r="M1850" s="13">
        <f t="shared" si="145"/>
        <v>267927032.14176419</v>
      </c>
      <c r="N1850" s="11">
        <f t="shared" si="146"/>
        <v>4.0925201416285462E-3</v>
      </c>
    </row>
    <row r="1851" spans="1:14" x14ac:dyDescent="0.25">
      <c r="A1851" s="79" t="s">
        <v>39</v>
      </c>
      <c r="B1851" s="89" t="s">
        <v>6</v>
      </c>
      <c r="C1851" s="89" t="s">
        <v>42</v>
      </c>
      <c r="D1851" s="13" t="s">
        <v>182</v>
      </c>
      <c r="E1851" s="35">
        <f>VLOOKUP(B1851, Passenger_Kilometre_by_mode_type[#All],MATCH(A1851, Passenger_Kilometre_by_mode_type[#Headers],0),0)</f>
        <v>10792465210.306</v>
      </c>
      <c r="F1851" s="89">
        <f>VLOOKUP(C1851, Reason_for_car_journeys_by_percentage[#All],MATCH(A1851, Reason_for_car_journeys_by_percentage[#Headers],0),0)/100</f>
        <v>0.21325000000000002</v>
      </c>
      <c r="G1851" s="13">
        <f t="shared" si="142"/>
        <v>2301493206.0977545</v>
      </c>
      <c r="H1851" s="89">
        <f>VLOOKUP(D1851,Average_Distance_by_kilometre_grouping_for_mode_type[#All],MATCH(A1851,Average_Distance_by_kilometre_grouping_for_mode_type[#Headers],0),0)</f>
        <v>7</v>
      </c>
      <c r="I1851" s="89">
        <f>VLOOKUP(D1851,Average_Distance_by_kilometres_grouping_for_trip_purpose[#All],MATCH(A1851,Average_Distance_by_kilometres_grouping_for_trip_purpose[#Headers],0),0)</f>
        <v>7</v>
      </c>
      <c r="J1851" s="89">
        <f t="shared" si="143"/>
        <v>7</v>
      </c>
      <c r="K1851" s="89">
        <f t="shared" si="144"/>
        <v>0.16298020954598369</v>
      </c>
      <c r="L1851" s="89">
        <v>1</v>
      </c>
      <c r="M1851" s="13">
        <f t="shared" si="145"/>
        <v>375097844.99846983</v>
      </c>
      <c r="N1851" s="11">
        <f t="shared" si="146"/>
        <v>5.7295281982799639E-3</v>
      </c>
    </row>
    <row r="1852" spans="1:14" x14ac:dyDescent="0.25">
      <c r="A1852" s="79" t="s">
        <v>39</v>
      </c>
      <c r="B1852" s="89" t="s">
        <v>6</v>
      </c>
      <c r="C1852" s="89" t="s">
        <v>42</v>
      </c>
      <c r="D1852" s="13" t="s">
        <v>1</v>
      </c>
      <c r="E1852" s="35">
        <f>VLOOKUP(B1852, Passenger_Kilometre_by_mode_type[#All],MATCH(A1852, Passenger_Kilometre_by_mode_type[#Headers],0),0)</f>
        <v>10792465210.306</v>
      </c>
      <c r="F1852" s="89">
        <f>VLOOKUP(C1852, Reason_for_car_journeys_by_percentage[#All],MATCH(A1852, Reason_for_car_journeys_by_percentage[#Headers],0),0)/100</f>
        <v>0.21325000000000002</v>
      </c>
      <c r="G1852" s="13">
        <f t="shared" si="142"/>
        <v>2301493206.0977545</v>
      </c>
      <c r="H1852" s="89">
        <f>VLOOKUP(D1852,Average_Distance_by_kilometre_grouping_for_mode_type[#All],MATCH(A1852,Average_Distance_by_kilometre_grouping_for_mode_type[#Headers],0),0)</f>
        <v>25.7</v>
      </c>
      <c r="I1852" s="89">
        <f>VLOOKUP(D1852,Average_Distance_by_kilometres_grouping_for_trip_purpose[#All],MATCH(A1852,Average_Distance_by_kilometres_grouping_for_trip_purpose[#Headers],0),0)</f>
        <v>28.2</v>
      </c>
      <c r="J1852" s="89">
        <f t="shared" si="143"/>
        <v>26.95</v>
      </c>
      <c r="K1852" s="89">
        <f t="shared" si="144"/>
        <v>0.62747380675203723</v>
      </c>
      <c r="L1852" s="89">
        <v>1</v>
      </c>
      <c r="M1852" s="13">
        <f t="shared" si="145"/>
        <v>1444126703.2441089</v>
      </c>
      <c r="N1852" s="11">
        <f t="shared" si="146"/>
        <v>2.2058683563377864E-2</v>
      </c>
    </row>
    <row r="1853" spans="1:14" x14ac:dyDescent="0.25">
      <c r="A1853" s="79" t="s">
        <v>39</v>
      </c>
      <c r="B1853" s="89" t="s">
        <v>6</v>
      </c>
      <c r="C1853" s="89" t="s">
        <v>43</v>
      </c>
      <c r="D1853" s="13" t="s">
        <v>12</v>
      </c>
      <c r="E1853" s="35">
        <f>VLOOKUP(B1853, Passenger_Kilometre_by_mode_type[#All],MATCH(A1853, Passenger_Kilometre_by_mode_type[#Headers],0),0)</f>
        <v>10792465210.306</v>
      </c>
      <c r="F1853" s="89">
        <f>VLOOKUP(C1853, Reason_for_car_journeys_by_percentage[#All],MATCH(A1853, Reason_for_car_journeys_by_percentage[#Headers],0),0)/100</f>
        <v>2.0749999999999998E-2</v>
      </c>
      <c r="G1853" s="13">
        <f t="shared" si="142"/>
        <v>223943653.11384946</v>
      </c>
      <c r="H1853" s="89">
        <f>VLOOKUP(D1853,Average_Distance_by_kilometre_grouping_for_mode_type[#All],MATCH(A1853,Average_Distance_by_kilometre_grouping_for_mode_type[#Headers],0),0)</f>
        <v>1</v>
      </c>
      <c r="I1853" s="89">
        <f>VLOOKUP(D1853,Average_Distance_by_kilometres_grouping_for_trip_purpose[#All],MATCH(A1853,Average_Distance_by_kilometres_grouping_for_trip_purpose[#Headers],0),0)</f>
        <v>1</v>
      </c>
      <c r="J1853" s="89">
        <f t="shared" si="143"/>
        <v>1</v>
      </c>
      <c r="K1853" s="89">
        <f t="shared" si="144"/>
        <v>2.3282887077997669E-2</v>
      </c>
      <c r="L1853" s="89">
        <v>1</v>
      </c>
      <c r="M1853" s="13">
        <f t="shared" si="145"/>
        <v>5214054.787284038</v>
      </c>
      <c r="N1853" s="11">
        <f t="shared" si="146"/>
        <v>7.964341658972315E-5</v>
      </c>
    </row>
    <row r="1854" spans="1:14" x14ac:dyDescent="0.25">
      <c r="A1854" s="79" t="s">
        <v>39</v>
      </c>
      <c r="B1854" s="89" t="s">
        <v>6</v>
      </c>
      <c r="C1854" s="89" t="s">
        <v>43</v>
      </c>
      <c r="D1854" s="13" t="s">
        <v>181</v>
      </c>
      <c r="E1854" s="35">
        <f>VLOOKUP(B1854, Passenger_Kilometre_by_mode_type[#All],MATCH(A1854, Passenger_Kilometre_by_mode_type[#Headers],0),0)</f>
        <v>10792465210.306</v>
      </c>
      <c r="F1854" s="89">
        <f>VLOOKUP(C1854, Reason_for_car_journeys_by_percentage[#All],MATCH(A1854, Reason_for_car_journeys_by_percentage[#Headers],0),0)/100</f>
        <v>2.0749999999999998E-2</v>
      </c>
      <c r="G1854" s="13">
        <f t="shared" si="142"/>
        <v>223943653.11384946</v>
      </c>
      <c r="H1854" s="89">
        <f>VLOOKUP(D1854,Average_Distance_by_kilometre_grouping_for_mode_type[#All],MATCH(A1854,Average_Distance_by_kilometre_grouping_for_mode_type[#Headers],0),0)</f>
        <v>3</v>
      </c>
      <c r="I1854" s="89">
        <f>VLOOKUP(D1854,Average_Distance_by_kilometres_grouping_for_trip_purpose[#All],MATCH(A1854,Average_Distance_by_kilometres_grouping_for_trip_purpose[#Headers],0),0)</f>
        <v>3</v>
      </c>
      <c r="J1854" s="89">
        <f t="shared" si="143"/>
        <v>3</v>
      </c>
      <c r="K1854" s="89">
        <f t="shared" si="144"/>
        <v>6.9848661233993012E-2</v>
      </c>
      <c r="L1854" s="89">
        <v>1</v>
      </c>
      <c r="M1854" s="13">
        <f t="shared" si="145"/>
        <v>15642164.361852115</v>
      </c>
      <c r="N1854" s="11">
        <f t="shared" si="146"/>
        <v>2.3893024976916948E-4</v>
      </c>
    </row>
    <row r="1855" spans="1:14" x14ac:dyDescent="0.25">
      <c r="A1855" s="79" t="s">
        <v>39</v>
      </c>
      <c r="B1855" s="89" t="s">
        <v>6</v>
      </c>
      <c r="C1855" s="89" t="s">
        <v>43</v>
      </c>
      <c r="D1855" s="13" t="s">
        <v>180</v>
      </c>
      <c r="E1855" s="35">
        <f>VLOOKUP(B1855, Passenger_Kilometre_by_mode_type[#All],MATCH(A1855, Passenger_Kilometre_by_mode_type[#Headers],0),0)</f>
        <v>10792465210.306</v>
      </c>
      <c r="F1855" s="89">
        <f>VLOOKUP(C1855, Reason_for_car_journeys_by_percentage[#All],MATCH(A1855, Reason_for_car_journeys_by_percentage[#Headers],0),0)/100</f>
        <v>2.0749999999999998E-2</v>
      </c>
      <c r="G1855" s="13">
        <f t="shared" si="142"/>
        <v>223943653.11384946</v>
      </c>
      <c r="H1855" s="89">
        <f>VLOOKUP(D1855,Average_Distance_by_kilometre_grouping_for_mode_type[#All],MATCH(A1855,Average_Distance_by_kilometre_grouping_for_mode_type[#Headers],0),0)</f>
        <v>5</v>
      </c>
      <c r="I1855" s="89">
        <f>VLOOKUP(D1855,Average_Distance_by_kilometres_grouping_for_trip_purpose[#All],MATCH(A1855,Average_Distance_by_kilometres_grouping_for_trip_purpose[#Headers],0),0)</f>
        <v>5</v>
      </c>
      <c r="J1855" s="89">
        <f t="shared" si="143"/>
        <v>5</v>
      </c>
      <c r="K1855" s="89">
        <f t="shared" si="144"/>
        <v>0.11641443538998836</v>
      </c>
      <c r="L1855" s="89">
        <v>1</v>
      </c>
      <c r="M1855" s="13">
        <f t="shared" si="145"/>
        <v>26070273.936420195</v>
      </c>
      <c r="N1855" s="11">
        <f t="shared" si="146"/>
        <v>3.9821708294861583E-4</v>
      </c>
    </row>
    <row r="1856" spans="1:14" x14ac:dyDescent="0.25">
      <c r="A1856" s="79" t="s">
        <v>39</v>
      </c>
      <c r="B1856" s="89" t="s">
        <v>6</v>
      </c>
      <c r="C1856" s="89" t="s">
        <v>43</v>
      </c>
      <c r="D1856" s="13" t="s">
        <v>182</v>
      </c>
      <c r="E1856" s="35">
        <f>VLOOKUP(B1856, Passenger_Kilometre_by_mode_type[#All],MATCH(A1856, Passenger_Kilometre_by_mode_type[#Headers],0),0)</f>
        <v>10792465210.306</v>
      </c>
      <c r="F1856" s="89">
        <f>VLOOKUP(C1856, Reason_for_car_journeys_by_percentage[#All],MATCH(A1856, Reason_for_car_journeys_by_percentage[#Headers],0),0)/100</f>
        <v>2.0749999999999998E-2</v>
      </c>
      <c r="G1856" s="13">
        <f t="shared" si="142"/>
        <v>223943653.11384946</v>
      </c>
      <c r="H1856" s="89">
        <f>VLOOKUP(D1856,Average_Distance_by_kilometre_grouping_for_mode_type[#All],MATCH(A1856,Average_Distance_by_kilometre_grouping_for_mode_type[#Headers],0),0)</f>
        <v>7</v>
      </c>
      <c r="I1856" s="89">
        <f>VLOOKUP(D1856,Average_Distance_by_kilometres_grouping_for_trip_purpose[#All],MATCH(A1856,Average_Distance_by_kilometres_grouping_for_trip_purpose[#Headers],0),0)</f>
        <v>7</v>
      </c>
      <c r="J1856" s="89">
        <f t="shared" si="143"/>
        <v>7</v>
      </c>
      <c r="K1856" s="89">
        <f t="shared" si="144"/>
        <v>0.16298020954598369</v>
      </c>
      <c r="L1856" s="89">
        <v>1</v>
      </c>
      <c r="M1856" s="13">
        <f t="shared" si="145"/>
        <v>36498383.510988265</v>
      </c>
      <c r="N1856" s="11">
        <f t="shared" si="146"/>
        <v>5.5750391612806208E-4</v>
      </c>
    </row>
    <row r="1857" spans="1:14" x14ac:dyDescent="0.25">
      <c r="A1857" s="79" t="s">
        <v>39</v>
      </c>
      <c r="B1857" s="89" t="s">
        <v>6</v>
      </c>
      <c r="C1857" s="89" t="s">
        <v>43</v>
      </c>
      <c r="D1857" s="13" t="s">
        <v>1</v>
      </c>
      <c r="E1857" s="35">
        <f>VLOOKUP(B1857, Passenger_Kilometre_by_mode_type[#All],MATCH(A1857, Passenger_Kilometre_by_mode_type[#Headers],0),0)</f>
        <v>10792465210.306</v>
      </c>
      <c r="F1857" s="89">
        <f>VLOOKUP(C1857, Reason_for_car_journeys_by_percentage[#All],MATCH(A1857, Reason_for_car_journeys_by_percentage[#Headers],0),0)/100</f>
        <v>2.0749999999999998E-2</v>
      </c>
      <c r="G1857" s="13">
        <f t="shared" si="142"/>
        <v>223943653.11384946</v>
      </c>
      <c r="H1857" s="89">
        <f>VLOOKUP(D1857,Average_Distance_by_kilometre_grouping_for_mode_type[#All],MATCH(A1857,Average_Distance_by_kilometre_grouping_for_mode_type[#Headers],0),0)</f>
        <v>25.7</v>
      </c>
      <c r="I1857" s="89">
        <f>VLOOKUP(D1857,Average_Distance_by_kilometres_grouping_for_trip_purpose[#All],MATCH(A1857,Average_Distance_by_kilometres_grouping_for_trip_purpose[#Headers],0),0)</f>
        <v>28.2</v>
      </c>
      <c r="J1857" s="89">
        <f t="shared" si="143"/>
        <v>26.95</v>
      </c>
      <c r="K1857" s="89">
        <f t="shared" si="144"/>
        <v>0.62747380675203723</v>
      </c>
      <c r="L1857" s="89">
        <v>1</v>
      </c>
      <c r="M1857" s="13">
        <f t="shared" si="145"/>
        <v>140518776.51730484</v>
      </c>
      <c r="N1857" s="11">
        <f t="shared" si="146"/>
        <v>2.1463900770930392E-3</v>
      </c>
    </row>
    <row r="1858" spans="1:14" x14ac:dyDescent="0.25">
      <c r="A1858" s="79" t="s">
        <v>39</v>
      </c>
      <c r="B1858" s="89" t="s">
        <v>6</v>
      </c>
      <c r="C1858" s="89" t="s">
        <v>44</v>
      </c>
      <c r="D1858" s="13" t="s">
        <v>12</v>
      </c>
      <c r="E1858" s="35">
        <f>VLOOKUP(B1858, Passenger_Kilometre_by_mode_type[#All],MATCH(A1858, Passenger_Kilometre_by_mode_type[#Headers],0),0)</f>
        <v>10792465210.306</v>
      </c>
      <c r="F1858" s="89">
        <f>VLOOKUP(C1858, Reason_for_car_journeys_by_percentage[#All],MATCH(A1858, Reason_for_car_journeys_by_percentage[#Headers],0),0)/100</f>
        <v>0.21225000000000002</v>
      </c>
      <c r="G1858" s="13">
        <f t="shared" si="142"/>
        <v>2290700740.8874488</v>
      </c>
      <c r="H1858" s="89">
        <f>VLOOKUP(D1858,Average_Distance_by_kilometre_grouping_for_mode_type[#All],MATCH(A1858,Average_Distance_by_kilometre_grouping_for_mode_type[#Headers],0),0)</f>
        <v>1</v>
      </c>
      <c r="I1858" s="89">
        <f>VLOOKUP(D1858,Average_Distance_by_kilometres_grouping_for_trip_purpose[#All],MATCH(A1858,Average_Distance_by_kilometres_grouping_for_trip_purpose[#Headers],0),0)</f>
        <v>1</v>
      </c>
      <c r="J1858" s="89">
        <f t="shared" si="143"/>
        <v>1</v>
      </c>
      <c r="K1858" s="89">
        <f t="shared" si="144"/>
        <v>2.3282887077997669E-2</v>
      </c>
      <c r="L1858" s="89">
        <v>1</v>
      </c>
      <c r="M1858" s="13">
        <f t="shared" si="145"/>
        <v>53334126.679568067</v>
      </c>
      <c r="N1858" s="11">
        <f t="shared" si="146"/>
        <v>8.1466579138162625E-4</v>
      </c>
    </row>
    <row r="1859" spans="1:14" x14ac:dyDescent="0.25">
      <c r="A1859" s="79" t="s">
        <v>39</v>
      </c>
      <c r="B1859" s="89" t="s">
        <v>6</v>
      </c>
      <c r="C1859" s="89" t="s">
        <v>44</v>
      </c>
      <c r="D1859" s="13" t="s">
        <v>181</v>
      </c>
      <c r="E1859" s="35">
        <f>VLOOKUP(B1859, Passenger_Kilometre_by_mode_type[#All],MATCH(A1859, Passenger_Kilometre_by_mode_type[#Headers],0),0)</f>
        <v>10792465210.306</v>
      </c>
      <c r="F1859" s="89">
        <f>VLOOKUP(C1859, Reason_for_car_journeys_by_percentage[#All],MATCH(A1859, Reason_for_car_journeys_by_percentage[#Headers],0),0)/100</f>
        <v>0.21225000000000002</v>
      </c>
      <c r="G1859" s="13">
        <f t="shared" si="142"/>
        <v>2290700740.8874488</v>
      </c>
      <c r="H1859" s="89">
        <f>VLOOKUP(D1859,Average_Distance_by_kilometre_grouping_for_mode_type[#All],MATCH(A1859,Average_Distance_by_kilometre_grouping_for_mode_type[#Headers],0),0)</f>
        <v>3</v>
      </c>
      <c r="I1859" s="89">
        <f>VLOOKUP(D1859,Average_Distance_by_kilometres_grouping_for_trip_purpose[#All],MATCH(A1859,Average_Distance_by_kilometres_grouping_for_trip_purpose[#Headers],0),0)</f>
        <v>3</v>
      </c>
      <c r="J1859" s="89">
        <f t="shared" si="143"/>
        <v>3</v>
      </c>
      <c r="K1859" s="89">
        <f t="shared" si="144"/>
        <v>6.9848661233993012E-2</v>
      </c>
      <c r="L1859" s="89">
        <v>1</v>
      </c>
      <c r="M1859" s="13">
        <f t="shared" si="145"/>
        <v>160002380.03870422</v>
      </c>
      <c r="N1859" s="11">
        <f t="shared" si="146"/>
        <v>2.443997374144879E-3</v>
      </c>
    </row>
    <row r="1860" spans="1:14" x14ac:dyDescent="0.25">
      <c r="A1860" s="79" t="s">
        <v>39</v>
      </c>
      <c r="B1860" s="89" t="s">
        <v>6</v>
      </c>
      <c r="C1860" s="89" t="s">
        <v>44</v>
      </c>
      <c r="D1860" s="13" t="s">
        <v>180</v>
      </c>
      <c r="E1860" s="35">
        <f>VLOOKUP(B1860, Passenger_Kilometre_by_mode_type[#All],MATCH(A1860, Passenger_Kilometre_by_mode_type[#Headers],0),0)</f>
        <v>10792465210.306</v>
      </c>
      <c r="F1860" s="89">
        <f>VLOOKUP(C1860, Reason_for_car_journeys_by_percentage[#All],MATCH(A1860, Reason_for_car_journeys_by_percentage[#Headers],0),0)/100</f>
        <v>0.21225000000000002</v>
      </c>
      <c r="G1860" s="13">
        <f t="shared" ref="G1860:G1923" si="147">E1860*F1860</f>
        <v>2290700740.8874488</v>
      </c>
      <c r="H1860" s="89">
        <f>VLOOKUP(D1860,Average_Distance_by_kilometre_grouping_for_mode_type[#All],MATCH(A1860,Average_Distance_by_kilometre_grouping_for_mode_type[#Headers],0),0)</f>
        <v>5</v>
      </c>
      <c r="I1860" s="89">
        <f>VLOOKUP(D1860,Average_Distance_by_kilometres_grouping_for_trip_purpose[#All],MATCH(A1860,Average_Distance_by_kilometres_grouping_for_trip_purpose[#Headers],0),0)</f>
        <v>5</v>
      </c>
      <c r="J1860" s="89">
        <f t="shared" ref="J1860:J1923" si="148">AVERAGE(H1860:I1860)</f>
        <v>5</v>
      </c>
      <c r="K1860" s="89">
        <f t="shared" ref="K1860:K1923" si="149">J1860/SUM(J1860:J1864)</f>
        <v>0.11641443538998836</v>
      </c>
      <c r="L1860" s="89">
        <v>1</v>
      </c>
      <c r="M1860" s="13">
        <f t="shared" ref="M1860:M1923" si="150">G1860*K1860*L1860</f>
        <v>266670633.39784038</v>
      </c>
      <c r="N1860" s="11">
        <f t="shared" si="146"/>
        <v>4.0733289569081319E-3</v>
      </c>
    </row>
    <row r="1861" spans="1:14" x14ac:dyDescent="0.25">
      <c r="A1861" s="79" t="s">
        <v>39</v>
      </c>
      <c r="B1861" s="89" t="s">
        <v>6</v>
      </c>
      <c r="C1861" s="89" t="s">
        <v>44</v>
      </c>
      <c r="D1861" s="13" t="s">
        <v>182</v>
      </c>
      <c r="E1861" s="35">
        <f>VLOOKUP(B1861, Passenger_Kilometre_by_mode_type[#All],MATCH(A1861, Passenger_Kilometre_by_mode_type[#Headers],0),0)</f>
        <v>10792465210.306</v>
      </c>
      <c r="F1861" s="89">
        <f>VLOOKUP(C1861, Reason_for_car_journeys_by_percentage[#All],MATCH(A1861, Reason_for_car_journeys_by_percentage[#Headers],0),0)/100</f>
        <v>0.21225000000000002</v>
      </c>
      <c r="G1861" s="13">
        <f t="shared" si="147"/>
        <v>2290700740.8874488</v>
      </c>
      <c r="H1861" s="89">
        <f>VLOOKUP(D1861,Average_Distance_by_kilometre_grouping_for_mode_type[#All],MATCH(A1861,Average_Distance_by_kilometre_grouping_for_mode_type[#Headers],0),0)</f>
        <v>7</v>
      </c>
      <c r="I1861" s="89">
        <f>VLOOKUP(D1861,Average_Distance_by_kilometres_grouping_for_trip_purpose[#All],MATCH(A1861,Average_Distance_by_kilometres_grouping_for_trip_purpose[#Headers],0),0)</f>
        <v>7</v>
      </c>
      <c r="J1861" s="89">
        <f t="shared" si="148"/>
        <v>7</v>
      </c>
      <c r="K1861" s="89">
        <f t="shared" si="149"/>
        <v>0.16298020954598369</v>
      </c>
      <c r="L1861" s="89">
        <v>1</v>
      </c>
      <c r="M1861" s="13">
        <f t="shared" si="150"/>
        <v>373338886.75697649</v>
      </c>
      <c r="N1861" s="11">
        <f t="shared" si="146"/>
        <v>5.702660539671384E-3</v>
      </c>
    </row>
    <row r="1862" spans="1:14" x14ac:dyDescent="0.25">
      <c r="A1862" s="79" t="s">
        <v>39</v>
      </c>
      <c r="B1862" s="89" t="s">
        <v>6</v>
      </c>
      <c r="C1862" s="89" t="s">
        <v>44</v>
      </c>
      <c r="D1862" s="13" t="s">
        <v>1</v>
      </c>
      <c r="E1862" s="35">
        <f>VLOOKUP(B1862, Passenger_Kilometre_by_mode_type[#All],MATCH(A1862, Passenger_Kilometre_by_mode_type[#Headers],0),0)</f>
        <v>10792465210.306</v>
      </c>
      <c r="F1862" s="89">
        <f>VLOOKUP(C1862, Reason_for_car_journeys_by_percentage[#All],MATCH(A1862, Reason_for_car_journeys_by_percentage[#Headers],0),0)/100</f>
        <v>0.21225000000000002</v>
      </c>
      <c r="G1862" s="13">
        <f t="shared" si="147"/>
        <v>2290700740.8874488</v>
      </c>
      <c r="H1862" s="89">
        <f>VLOOKUP(D1862,Average_Distance_by_kilometre_grouping_for_mode_type[#All],MATCH(A1862,Average_Distance_by_kilometre_grouping_for_mode_type[#Headers],0),0)</f>
        <v>25.7</v>
      </c>
      <c r="I1862" s="89">
        <f>VLOOKUP(D1862,Average_Distance_by_kilometres_grouping_for_trip_purpose[#All],MATCH(A1862,Average_Distance_by_kilometres_grouping_for_trip_purpose[#Headers],0),0)</f>
        <v>28.2</v>
      </c>
      <c r="J1862" s="89">
        <f t="shared" si="148"/>
        <v>26.95</v>
      </c>
      <c r="K1862" s="89">
        <f t="shared" si="149"/>
        <v>0.62747380675203723</v>
      </c>
      <c r="L1862" s="89">
        <v>1</v>
      </c>
      <c r="M1862" s="13">
        <f t="shared" si="150"/>
        <v>1437354714.0143595</v>
      </c>
      <c r="N1862" s="11">
        <f t="shared" si="146"/>
        <v>2.1955243077734828E-2</v>
      </c>
    </row>
    <row r="1863" spans="1:14" x14ac:dyDescent="0.25">
      <c r="A1863" s="79" t="s">
        <v>39</v>
      </c>
      <c r="B1863" s="89" t="s">
        <v>6</v>
      </c>
      <c r="C1863" s="89" t="s">
        <v>45</v>
      </c>
      <c r="D1863" s="13" t="s">
        <v>12</v>
      </c>
      <c r="E1863" s="35">
        <f>VLOOKUP(B1863, Passenger_Kilometre_by_mode_type[#All],MATCH(A1863, Passenger_Kilometre_by_mode_type[#Headers],0),0)</f>
        <v>10792465210.306</v>
      </c>
      <c r="F1863" s="89">
        <f>VLOOKUP(C1863, Reason_for_car_journeys_by_percentage[#All],MATCH(A1863, Reason_for_car_journeys_by_percentage[#Headers],0),0)/100</f>
        <v>3.125E-2</v>
      </c>
      <c r="G1863" s="13">
        <f t="shared" si="147"/>
        <v>337264537.82206249</v>
      </c>
      <c r="H1863" s="89">
        <f>VLOOKUP(D1863,Average_Distance_by_kilometre_grouping_for_mode_type[#All],MATCH(A1863,Average_Distance_by_kilometre_grouping_for_mode_type[#Headers],0),0)</f>
        <v>1</v>
      </c>
      <c r="I1863" s="89">
        <f>VLOOKUP(D1863,Average_Distance_by_kilometres_grouping_for_trip_purpose[#All],MATCH(A1863,Average_Distance_by_kilometres_grouping_for_trip_purpose[#Headers],0),0)</f>
        <v>1</v>
      </c>
      <c r="J1863" s="89">
        <f t="shared" si="148"/>
        <v>1</v>
      </c>
      <c r="K1863" s="89">
        <f t="shared" si="149"/>
        <v>2.3282887077997669E-2</v>
      </c>
      <c r="L1863" s="89">
        <v>1</v>
      </c>
      <c r="M1863" s="13">
        <f t="shared" si="150"/>
        <v>7852492.1495241551</v>
      </c>
      <c r="N1863" s="11">
        <f t="shared" si="146"/>
        <v>1.1994490450259514E-4</v>
      </c>
    </row>
    <row r="1864" spans="1:14" x14ac:dyDescent="0.25">
      <c r="A1864" s="79" t="s">
        <v>39</v>
      </c>
      <c r="B1864" s="89" t="s">
        <v>6</v>
      </c>
      <c r="C1864" s="89" t="s">
        <v>45</v>
      </c>
      <c r="D1864" s="13" t="s">
        <v>181</v>
      </c>
      <c r="E1864" s="35">
        <f>VLOOKUP(B1864, Passenger_Kilometre_by_mode_type[#All],MATCH(A1864, Passenger_Kilometre_by_mode_type[#Headers],0),0)</f>
        <v>10792465210.306</v>
      </c>
      <c r="F1864" s="89">
        <f>VLOOKUP(C1864, Reason_for_car_journeys_by_percentage[#All],MATCH(A1864, Reason_for_car_journeys_by_percentage[#Headers],0),0)/100</f>
        <v>3.125E-2</v>
      </c>
      <c r="G1864" s="13">
        <f t="shared" si="147"/>
        <v>337264537.82206249</v>
      </c>
      <c r="H1864" s="89">
        <f>VLOOKUP(D1864,Average_Distance_by_kilometre_grouping_for_mode_type[#All],MATCH(A1864,Average_Distance_by_kilometre_grouping_for_mode_type[#Headers],0),0)</f>
        <v>3</v>
      </c>
      <c r="I1864" s="89">
        <f>VLOOKUP(D1864,Average_Distance_by_kilometres_grouping_for_trip_purpose[#All],MATCH(A1864,Average_Distance_by_kilometres_grouping_for_trip_purpose[#Headers],0),0)</f>
        <v>3</v>
      </c>
      <c r="J1864" s="89">
        <f t="shared" si="148"/>
        <v>3</v>
      </c>
      <c r="K1864" s="89">
        <f t="shared" si="149"/>
        <v>6.9848661233993012E-2</v>
      </c>
      <c r="L1864" s="89">
        <v>1</v>
      </c>
      <c r="M1864" s="13">
        <f t="shared" si="150"/>
        <v>23557476.448572468</v>
      </c>
      <c r="N1864" s="11">
        <f t="shared" si="146"/>
        <v>3.5983471350778547E-4</v>
      </c>
    </row>
    <row r="1865" spans="1:14" x14ac:dyDescent="0.25">
      <c r="A1865" s="79" t="s">
        <v>39</v>
      </c>
      <c r="B1865" s="89" t="s">
        <v>6</v>
      </c>
      <c r="C1865" s="89" t="s">
        <v>45</v>
      </c>
      <c r="D1865" s="13" t="s">
        <v>180</v>
      </c>
      <c r="E1865" s="35">
        <f>VLOOKUP(B1865, Passenger_Kilometre_by_mode_type[#All],MATCH(A1865, Passenger_Kilometre_by_mode_type[#Headers],0),0)</f>
        <v>10792465210.306</v>
      </c>
      <c r="F1865" s="89">
        <f>VLOOKUP(C1865, Reason_for_car_journeys_by_percentage[#All],MATCH(A1865, Reason_for_car_journeys_by_percentage[#Headers],0),0)/100</f>
        <v>3.125E-2</v>
      </c>
      <c r="G1865" s="13">
        <f t="shared" si="147"/>
        <v>337264537.82206249</v>
      </c>
      <c r="H1865" s="89">
        <f>VLOOKUP(D1865,Average_Distance_by_kilometre_grouping_for_mode_type[#All],MATCH(A1865,Average_Distance_by_kilometre_grouping_for_mode_type[#Headers],0),0)</f>
        <v>5</v>
      </c>
      <c r="I1865" s="89">
        <f>VLOOKUP(D1865,Average_Distance_by_kilometres_grouping_for_trip_purpose[#All],MATCH(A1865,Average_Distance_by_kilometres_grouping_for_trip_purpose[#Headers],0),0)</f>
        <v>5</v>
      </c>
      <c r="J1865" s="89">
        <f t="shared" si="148"/>
        <v>5</v>
      </c>
      <c r="K1865" s="89">
        <f t="shared" si="149"/>
        <v>0.11641443538998836</v>
      </c>
      <c r="L1865" s="89">
        <v>1</v>
      </c>
      <c r="M1865" s="13">
        <f t="shared" si="150"/>
        <v>39262460.747620776</v>
      </c>
      <c r="N1865" s="11">
        <f t="shared" si="146"/>
        <v>5.9972452251297564E-4</v>
      </c>
    </row>
    <row r="1866" spans="1:14" x14ac:dyDescent="0.25">
      <c r="A1866" s="79" t="s">
        <v>39</v>
      </c>
      <c r="B1866" s="89" t="s">
        <v>6</v>
      </c>
      <c r="C1866" s="89" t="s">
        <v>45</v>
      </c>
      <c r="D1866" s="13" t="s">
        <v>182</v>
      </c>
      <c r="E1866" s="35">
        <f>VLOOKUP(B1866, Passenger_Kilometre_by_mode_type[#All],MATCH(A1866, Passenger_Kilometre_by_mode_type[#Headers],0),0)</f>
        <v>10792465210.306</v>
      </c>
      <c r="F1866" s="89">
        <f>VLOOKUP(C1866, Reason_for_car_journeys_by_percentage[#All],MATCH(A1866, Reason_for_car_journeys_by_percentage[#Headers],0),0)/100</f>
        <v>3.125E-2</v>
      </c>
      <c r="G1866" s="13">
        <f t="shared" si="147"/>
        <v>337264537.82206249</v>
      </c>
      <c r="H1866" s="89">
        <f>VLOOKUP(D1866,Average_Distance_by_kilometre_grouping_for_mode_type[#All],MATCH(A1866,Average_Distance_by_kilometre_grouping_for_mode_type[#Headers],0),0)</f>
        <v>7</v>
      </c>
      <c r="I1866" s="89">
        <f>VLOOKUP(D1866,Average_Distance_by_kilometres_grouping_for_trip_purpose[#All],MATCH(A1866,Average_Distance_by_kilometres_grouping_for_trip_purpose[#Headers],0),0)</f>
        <v>7</v>
      </c>
      <c r="J1866" s="89">
        <f t="shared" si="148"/>
        <v>7</v>
      </c>
      <c r="K1866" s="89">
        <f t="shared" si="149"/>
        <v>0.16298020954598369</v>
      </c>
      <c r="L1866" s="89">
        <v>1</v>
      </c>
      <c r="M1866" s="13">
        <f t="shared" si="150"/>
        <v>54967445.046669088</v>
      </c>
      <c r="N1866" s="11">
        <f t="shared" si="146"/>
        <v>8.3961433151816603E-4</v>
      </c>
    </row>
    <row r="1867" spans="1:14" x14ac:dyDescent="0.25">
      <c r="A1867" s="79" t="s">
        <v>39</v>
      </c>
      <c r="B1867" s="89" t="s">
        <v>6</v>
      </c>
      <c r="C1867" s="89" t="s">
        <v>45</v>
      </c>
      <c r="D1867" s="13" t="s">
        <v>1</v>
      </c>
      <c r="E1867" s="35">
        <f>VLOOKUP(B1867, Passenger_Kilometre_by_mode_type[#All],MATCH(A1867, Passenger_Kilometre_by_mode_type[#Headers],0),0)</f>
        <v>10792465210.306</v>
      </c>
      <c r="F1867" s="89">
        <f>VLOOKUP(C1867, Reason_for_car_journeys_by_percentage[#All],MATCH(A1867, Reason_for_car_journeys_by_percentage[#Headers],0),0)/100</f>
        <v>3.125E-2</v>
      </c>
      <c r="G1867" s="13">
        <f t="shared" si="147"/>
        <v>337264537.82206249</v>
      </c>
      <c r="H1867" s="89">
        <f>VLOOKUP(D1867,Average_Distance_by_kilometre_grouping_for_mode_type[#All],MATCH(A1867,Average_Distance_by_kilometre_grouping_for_mode_type[#Headers],0),0)</f>
        <v>25.7</v>
      </c>
      <c r="I1867" s="89">
        <f>VLOOKUP(D1867,Average_Distance_by_kilometres_grouping_for_trip_purpose[#All],MATCH(A1867,Average_Distance_by_kilometres_grouping_for_trip_purpose[#Headers],0),0)</f>
        <v>28.2</v>
      </c>
      <c r="J1867" s="89">
        <f t="shared" si="148"/>
        <v>26.95</v>
      </c>
      <c r="K1867" s="89">
        <f t="shared" si="149"/>
        <v>0.62747380675203723</v>
      </c>
      <c r="L1867" s="89">
        <v>1</v>
      </c>
      <c r="M1867" s="13">
        <f t="shared" si="150"/>
        <v>211624663.429676</v>
      </c>
      <c r="N1867" s="11">
        <f t="shared" si="146"/>
        <v>3.2325151763449391E-3</v>
      </c>
    </row>
    <row r="1868" spans="1:14" x14ac:dyDescent="0.25">
      <c r="A1868" s="79" t="s">
        <v>39</v>
      </c>
      <c r="B1868" s="89" t="s">
        <v>6</v>
      </c>
      <c r="C1868" s="89" t="s">
        <v>56</v>
      </c>
      <c r="D1868" s="13" t="s">
        <v>12</v>
      </c>
      <c r="E1868" s="35">
        <f>VLOOKUP(B1868, Passenger_Kilometre_by_mode_type[#All],MATCH(A1868, Passenger_Kilometre_by_mode_type[#Headers],0),0)</f>
        <v>10792465210.306</v>
      </c>
      <c r="F1868" s="89">
        <f>VLOOKUP(C1868, Reason_for_car_journeys_by_percentage[#All],MATCH(A1868, Reason_for_car_journeys_by_percentage[#Headers],0),0)/100</f>
        <v>0.11175</v>
      </c>
      <c r="G1868" s="13">
        <f t="shared" si="147"/>
        <v>1206057987.2516954</v>
      </c>
      <c r="H1868" s="89">
        <f>VLOOKUP(D1868,Average_Distance_by_kilometre_grouping_for_mode_type[#All],MATCH(A1868,Average_Distance_by_kilometre_grouping_for_mode_type[#Headers],0),0)</f>
        <v>1</v>
      </c>
      <c r="I1868" s="89">
        <f>VLOOKUP(D1868,Average_Distance_by_kilometres_grouping_for_trip_purpose[#All],MATCH(A1868,Average_Distance_by_kilometres_grouping_for_trip_purpose[#Headers],0),0)</f>
        <v>1</v>
      </c>
      <c r="J1868" s="89">
        <f t="shared" si="148"/>
        <v>1</v>
      </c>
      <c r="K1868" s="89">
        <f t="shared" si="149"/>
        <v>2.3282887077997669E-2</v>
      </c>
      <c r="L1868" s="89">
        <v>1</v>
      </c>
      <c r="M1868" s="13">
        <f t="shared" si="150"/>
        <v>28080511.926698375</v>
      </c>
      <c r="N1868" s="11">
        <f t="shared" si="146"/>
        <v>4.2892297850128015E-4</v>
      </c>
    </row>
    <row r="1869" spans="1:14" x14ac:dyDescent="0.25">
      <c r="A1869" s="79" t="s">
        <v>39</v>
      </c>
      <c r="B1869" s="89" t="s">
        <v>6</v>
      </c>
      <c r="C1869" s="89" t="s">
        <v>56</v>
      </c>
      <c r="D1869" s="13" t="s">
        <v>181</v>
      </c>
      <c r="E1869" s="35">
        <f>VLOOKUP(B1869, Passenger_Kilometre_by_mode_type[#All],MATCH(A1869, Passenger_Kilometre_by_mode_type[#Headers],0),0)</f>
        <v>10792465210.306</v>
      </c>
      <c r="F1869" s="89">
        <f>VLOOKUP(C1869, Reason_for_car_journeys_by_percentage[#All],MATCH(A1869, Reason_for_car_journeys_by_percentage[#Headers],0),0)/100</f>
        <v>0.11175</v>
      </c>
      <c r="G1869" s="13">
        <f t="shared" si="147"/>
        <v>1206057987.2516954</v>
      </c>
      <c r="H1869" s="89">
        <f>VLOOKUP(D1869,Average_Distance_by_kilometre_grouping_for_mode_type[#All],MATCH(A1869,Average_Distance_by_kilometre_grouping_for_mode_type[#Headers],0),0)</f>
        <v>3</v>
      </c>
      <c r="I1869" s="89">
        <f>VLOOKUP(D1869,Average_Distance_by_kilometres_grouping_for_trip_purpose[#All],MATCH(A1869,Average_Distance_by_kilometres_grouping_for_trip_purpose[#Headers],0),0)</f>
        <v>3</v>
      </c>
      <c r="J1869" s="89">
        <f t="shared" si="148"/>
        <v>3</v>
      </c>
      <c r="K1869" s="89">
        <f t="shared" si="149"/>
        <v>6.9848661233993012E-2</v>
      </c>
      <c r="L1869" s="89">
        <v>1</v>
      </c>
      <c r="M1869" s="13">
        <f t="shared" si="150"/>
        <v>84241535.78009513</v>
      </c>
      <c r="N1869" s="11">
        <f t="shared" ref="N1869:N1932" si="151">M1869/SUM($M$1804:$M$2162)</f>
        <v>1.2867689355038406E-3</v>
      </c>
    </row>
    <row r="1870" spans="1:14" x14ac:dyDescent="0.25">
      <c r="A1870" s="79" t="s">
        <v>39</v>
      </c>
      <c r="B1870" s="89" t="s">
        <v>6</v>
      </c>
      <c r="C1870" s="89" t="s">
        <v>56</v>
      </c>
      <c r="D1870" s="13" t="s">
        <v>180</v>
      </c>
      <c r="E1870" s="35">
        <f>VLOOKUP(B1870, Passenger_Kilometre_by_mode_type[#All],MATCH(A1870, Passenger_Kilometre_by_mode_type[#Headers],0),0)</f>
        <v>10792465210.306</v>
      </c>
      <c r="F1870" s="89">
        <f>VLOOKUP(C1870, Reason_for_car_journeys_by_percentage[#All],MATCH(A1870, Reason_for_car_journeys_by_percentage[#Headers],0),0)/100</f>
        <v>0.11175</v>
      </c>
      <c r="G1870" s="13">
        <f t="shared" si="147"/>
        <v>1206057987.2516954</v>
      </c>
      <c r="H1870" s="89">
        <f>VLOOKUP(D1870,Average_Distance_by_kilometre_grouping_for_mode_type[#All],MATCH(A1870,Average_Distance_by_kilometre_grouping_for_mode_type[#Headers],0),0)</f>
        <v>5</v>
      </c>
      <c r="I1870" s="89">
        <f>VLOOKUP(D1870,Average_Distance_by_kilometres_grouping_for_trip_purpose[#All],MATCH(A1870,Average_Distance_by_kilometres_grouping_for_trip_purpose[#Headers],0),0)</f>
        <v>5</v>
      </c>
      <c r="J1870" s="89">
        <f t="shared" si="148"/>
        <v>5</v>
      </c>
      <c r="K1870" s="89">
        <f t="shared" si="149"/>
        <v>0.11641443538998836</v>
      </c>
      <c r="L1870" s="89">
        <v>1</v>
      </c>
      <c r="M1870" s="13">
        <f t="shared" si="150"/>
        <v>140402559.6334919</v>
      </c>
      <c r="N1870" s="11">
        <f t="shared" si="151"/>
        <v>2.1446148925064012E-3</v>
      </c>
    </row>
    <row r="1871" spans="1:14" x14ac:dyDescent="0.25">
      <c r="A1871" s="79" t="s">
        <v>39</v>
      </c>
      <c r="B1871" s="89" t="s">
        <v>6</v>
      </c>
      <c r="C1871" s="89" t="s">
        <v>56</v>
      </c>
      <c r="D1871" s="13" t="s">
        <v>182</v>
      </c>
      <c r="E1871" s="35">
        <f>VLOOKUP(B1871, Passenger_Kilometre_by_mode_type[#All],MATCH(A1871, Passenger_Kilometre_by_mode_type[#Headers],0),0)</f>
        <v>10792465210.306</v>
      </c>
      <c r="F1871" s="89">
        <f>VLOOKUP(C1871, Reason_for_car_journeys_by_percentage[#All],MATCH(A1871, Reason_for_car_journeys_by_percentage[#Headers],0),0)/100</f>
        <v>0.11175</v>
      </c>
      <c r="G1871" s="13">
        <f t="shared" si="147"/>
        <v>1206057987.2516954</v>
      </c>
      <c r="H1871" s="89">
        <f>VLOOKUP(D1871,Average_Distance_by_kilometre_grouping_for_mode_type[#All],MATCH(A1871,Average_Distance_by_kilometre_grouping_for_mode_type[#Headers],0),0)</f>
        <v>7</v>
      </c>
      <c r="I1871" s="89">
        <f>VLOOKUP(D1871,Average_Distance_by_kilometres_grouping_for_trip_purpose[#All],MATCH(A1871,Average_Distance_by_kilometres_grouping_for_trip_purpose[#Headers],0),0)</f>
        <v>7</v>
      </c>
      <c r="J1871" s="89">
        <f t="shared" si="148"/>
        <v>7</v>
      </c>
      <c r="K1871" s="89">
        <f t="shared" si="149"/>
        <v>0.16298020954598369</v>
      </c>
      <c r="L1871" s="89">
        <v>1</v>
      </c>
      <c r="M1871" s="13">
        <f t="shared" si="150"/>
        <v>196563583.48688865</v>
      </c>
      <c r="N1871" s="11">
        <f t="shared" si="151"/>
        <v>3.0024608495089612E-3</v>
      </c>
    </row>
    <row r="1872" spans="1:14" x14ac:dyDescent="0.25">
      <c r="A1872" s="79" t="s">
        <v>39</v>
      </c>
      <c r="B1872" s="89" t="s">
        <v>6</v>
      </c>
      <c r="C1872" s="89" t="s">
        <v>56</v>
      </c>
      <c r="D1872" s="13" t="s">
        <v>1</v>
      </c>
      <c r="E1872" s="35">
        <f>VLOOKUP(B1872, Passenger_Kilometre_by_mode_type[#All],MATCH(A1872, Passenger_Kilometre_by_mode_type[#Headers],0),0)</f>
        <v>10792465210.306</v>
      </c>
      <c r="F1872" s="89">
        <f>VLOOKUP(C1872, Reason_for_car_journeys_by_percentage[#All],MATCH(A1872, Reason_for_car_journeys_by_percentage[#Headers],0),0)/100</f>
        <v>0.11175</v>
      </c>
      <c r="G1872" s="13">
        <f t="shared" si="147"/>
        <v>1206057987.2516954</v>
      </c>
      <c r="H1872" s="89">
        <f>VLOOKUP(D1872,Average_Distance_by_kilometre_grouping_for_mode_type[#All],MATCH(A1872,Average_Distance_by_kilometre_grouping_for_mode_type[#Headers],0),0)</f>
        <v>25.7</v>
      </c>
      <c r="I1872" s="89">
        <f>VLOOKUP(D1872,Average_Distance_by_kilometres_grouping_for_trip_purpose[#All],MATCH(A1872,Average_Distance_by_kilometres_grouping_for_trip_purpose[#Headers],0),0)</f>
        <v>28.2</v>
      </c>
      <c r="J1872" s="89">
        <f t="shared" si="148"/>
        <v>26.95</v>
      </c>
      <c r="K1872" s="89">
        <f t="shared" si="149"/>
        <v>0.62747380675203723</v>
      </c>
      <c r="L1872" s="89">
        <v>1</v>
      </c>
      <c r="M1872" s="13">
        <f t="shared" si="150"/>
        <v>756769796.42452133</v>
      </c>
      <c r="N1872" s="11">
        <f t="shared" si="151"/>
        <v>1.1559474270609502E-2</v>
      </c>
    </row>
    <row r="1873" spans="1:14" x14ac:dyDescent="0.25">
      <c r="A1873" s="79" t="s">
        <v>39</v>
      </c>
      <c r="B1873" s="89" t="s">
        <v>6</v>
      </c>
      <c r="C1873" s="89" t="s">
        <v>57</v>
      </c>
      <c r="D1873" s="13" t="s">
        <v>12</v>
      </c>
      <c r="E1873" s="35">
        <f>VLOOKUP(B1873, Passenger_Kilometre_by_mode_type[#All],MATCH(A1873, Passenger_Kilometre_by_mode_type[#Headers],0),0)</f>
        <v>10792465210.306</v>
      </c>
      <c r="F1873" s="89">
        <f>VLOOKUP(C1873, Reason_for_car_journeys_by_percentage[#All],MATCH(A1873, Reason_for_car_journeys_by_percentage[#Headers],0),0)/100</f>
        <v>9.6500000000000002E-2</v>
      </c>
      <c r="G1873" s="13">
        <f t="shared" si="147"/>
        <v>1041472892.794529</v>
      </c>
      <c r="H1873" s="89">
        <f>VLOOKUP(D1873,Average_Distance_by_kilometre_grouping_for_mode_type[#All],MATCH(A1873,Average_Distance_by_kilometre_grouping_for_mode_type[#Headers],0),0)</f>
        <v>1</v>
      </c>
      <c r="I1873" s="89">
        <f>VLOOKUP(D1873,Average_Distance_by_kilometres_grouping_for_trip_purpose[#All],MATCH(A1873,Average_Distance_by_kilometres_grouping_for_trip_purpose[#Headers],0),0)</f>
        <v>1</v>
      </c>
      <c r="J1873" s="89">
        <f t="shared" si="148"/>
        <v>1</v>
      </c>
      <c r="K1873" s="89">
        <f t="shared" si="149"/>
        <v>2.3282887077997669E-2</v>
      </c>
      <c r="L1873" s="89">
        <v>1</v>
      </c>
      <c r="M1873" s="13">
        <f t="shared" si="150"/>
        <v>24248495.757730592</v>
      </c>
      <c r="N1873" s="11">
        <f t="shared" si="151"/>
        <v>3.7038986510401381E-4</v>
      </c>
    </row>
    <row r="1874" spans="1:14" x14ac:dyDescent="0.25">
      <c r="A1874" s="79" t="s">
        <v>39</v>
      </c>
      <c r="B1874" s="89" t="s">
        <v>6</v>
      </c>
      <c r="C1874" s="89" t="s">
        <v>57</v>
      </c>
      <c r="D1874" s="13" t="s">
        <v>181</v>
      </c>
      <c r="E1874" s="35">
        <f>VLOOKUP(B1874, Passenger_Kilometre_by_mode_type[#All],MATCH(A1874, Passenger_Kilometre_by_mode_type[#Headers],0),0)</f>
        <v>10792465210.306</v>
      </c>
      <c r="F1874" s="89">
        <f>VLOOKUP(C1874, Reason_for_car_journeys_by_percentage[#All],MATCH(A1874, Reason_for_car_journeys_by_percentage[#Headers],0),0)/100</f>
        <v>9.6500000000000002E-2</v>
      </c>
      <c r="G1874" s="13">
        <f t="shared" si="147"/>
        <v>1041472892.794529</v>
      </c>
      <c r="H1874" s="89">
        <f>VLOOKUP(D1874,Average_Distance_by_kilometre_grouping_for_mode_type[#All],MATCH(A1874,Average_Distance_by_kilometre_grouping_for_mode_type[#Headers],0),0)</f>
        <v>3</v>
      </c>
      <c r="I1874" s="89">
        <f>VLOOKUP(D1874,Average_Distance_by_kilometres_grouping_for_trip_purpose[#All],MATCH(A1874,Average_Distance_by_kilometres_grouping_for_trip_purpose[#Headers],0),0)</f>
        <v>3</v>
      </c>
      <c r="J1874" s="89">
        <f t="shared" si="148"/>
        <v>3</v>
      </c>
      <c r="K1874" s="89">
        <f t="shared" si="149"/>
        <v>6.9848661233993012E-2</v>
      </c>
      <c r="L1874" s="89">
        <v>1</v>
      </c>
      <c r="M1874" s="13">
        <f t="shared" si="150"/>
        <v>72745487.27319178</v>
      </c>
      <c r="N1874" s="11">
        <f t="shared" si="151"/>
        <v>1.1111695953120414E-3</v>
      </c>
    </row>
    <row r="1875" spans="1:14" x14ac:dyDescent="0.25">
      <c r="A1875" s="79" t="s">
        <v>39</v>
      </c>
      <c r="B1875" s="89" t="s">
        <v>6</v>
      </c>
      <c r="C1875" s="89" t="s">
        <v>57</v>
      </c>
      <c r="D1875" s="13" t="s">
        <v>180</v>
      </c>
      <c r="E1875" s="35">
        <f>VLOOKUP(B1875, Passenger_Kilometre_by_mode_type[#All],MATCH(A1875, Passenger_Kilometre_by_mode_type[#Headers],0),0)</f>
        <v>10792465210.306</v>
      </c>
      <c r="F1875" s="89">
        <f>VLOOKUP(C1875, Reason_for_car_journeys_by_percentage[#All],MATCH(A1875, Reason_for_car_journeys_by_percentage[#Headers],0),0)/100</f>
        <v>9.6500000000000002E-2</v>
      </c>
      <c r="G1875" s="13">
        <f t="shared" si="147"/>
        <v>1041472892.794529</v>
      </c>
      <c r="H1875" s="89">
        <f>VLOOKUP(D1875,Average_Distance_by_kilometre_grouping_for_mode_type[#All],MATCH(A1875,Average_Distance_by_kilometre_grouping_for_mode_type[#Headers],0),0)</f>
        <v>5</v>
      </c>
      <c r="I1875" s="89">
        <f>VLOOKUP(D1875,Average_Distance_by_kilometres_grouping_for_trip_purpose[#All],MATCH(A1875,Average_Distance_by_kilometres_grouping_for_trip_purpose[#Headers],0),0)</f>
        <v>5</v>
      </c>
      <c r="J1875" s="89">
        <f t="shared" si="148"/>
        <v>5</v>
      </c>
      <c r="K1875" s="89">
        <f t="shared" si="149"/>
        <v>0.11641443538998836</v>
      </c>
      <c r="L1875" s="89">
        <v>1</v>
      </c>
      <c r="M1875" s="13">
        <f t="shared" si="150"/>
        <v>121242478.78865296</v>
      </c>
      <c r="N1875" s="11">
        <f t="shared" si="151"/>
        <v>1.8519493255200689E-3</v>
      </c>
    </row>
    <row r="1876" spans="1:14" x14ac:dyDescent="0.25">
      <c r="A1876" s="79" t="s">
        <v>39</v>
      </c>
      <c r="B1876" s="89" t="s">
        <v>6</v>
      </c>
      <c r="C1876" s="89" t="s">
        <v>57</v>
      </c>
      <c r="D1876" s="13" t="s">
        <v>182</v>
      </c>
      <c r="E1876" s="35">
        <f>VLOOKUP(B1876, Passenger_Kilometre_by_mode_type[#All],MATCH(A1876, Passenger_Kilometre_by_mode_type[#Headers],0),0)</f>
        <v>10792465210.306</v>
      </c>
      <c r="F1876" s="89">
        <f>VLOOKUP(C1876, Reason_for_car_journeys_by_percentage[#All],MATCH(A1876, Reason_for_car_journeys_by_percentage[#Headers],0),0)/100</f>
        <v>9.6500000000000002E-2</v>
      </c>
      <c r="G1876" s="13">
        <f t="shared" si="147"/>
        <v>1041472892.794529</v>
      </c>
      <c r="H1876" s="89">
        <f>VLOOKUP(D1876,Average_Distance_by_kilometre_grouping_for_mode_type[#All],MATCH(A1876,Average_Distance_by_kilometre_grouping_for_mode_type[#Headers],0),0)</f>
        <v>7</v>
      </c>
      <c r="I1876" s="89">
        <f>VLOOKUP(D1876,Average_Distance_by_kilometres_grouping_for_trip_purpose[#All],MATCH(A1876,Average_Distance_by_kilometres_grouping_for_trip_purpose[#Headers],0),0)</f>
        <v>7</v>
      </c>
      <c r="J1876" s="89">
        <f t="shared" si="148"/>
        <v>7</v>
      </c>
      <c r="K1876" s="89">
        <f t="shared" si="149"/>
        <v>0.16298020954598369</v>
      </c>
      <c r="L1876" s="89">
        <v>1</v>
      </c>
      <c r="M1876" s="13">
        <f t="shared" si="150"/>
        <v>169739470.30411413</v>
      </c>
      <c r="N1876" s="11">
        <f t="shared" si="151"/>
        <v>2.5927290557280964E-3</v>
      </c>
    </row>
    <row r="1877" spans="1:14" x14ac:dyDescent="0.25">
      <c r="A1877" s="79" t="s">
        <v>39</v>
      </c>
      <c r="B1877" s="89" t="s">
        <v>6</v>
      </c>
      <c r="C1877" s="89" t="s">
        <v>57</v>
      </c>
      <c r="D1877" s="13" t="s">
        <v>1</v>
      </c>
      <c r="E1877" s="35">
        <f>VLOOKUP(B1877, Passenger_Kilometre_by_mode_type[#All],MATCH(A1877, Passenger_Kilometre_by_mode_type[#Headers],0),0)</f>
        <v>10792465210.306</v>
      </c>
      <c r="F1877" s="89">
        <f>VLOOKUP(C1877, Reason_for_car_journeys_by_percentage[#All],MATCH(A1877, Reason_for_car_journeys_by_percentage[#Headers],0),0)/100</f>
        <v>9.6500000000000002E-2</v>
      </c>
      <c r="G1877" s="13">
        <f t="shared" si="147"/>
        <v>1041472892.794529</v>
      </c>
      <c r="H1877" s="89">
        <f>VLOOKUP(D1877,Average_Distance_by_kilometre_grouping_for_mode_type[#All],MATCH(A1877,Average_Distance_by_kilometre_grouping_for_mode_type[#Headers],0),0)</f>
        <v>25.7</v>
      </c>
      <c r="I1877" s="89">
        <f>VLOOKUP(D1877,Average_Distance_by_kilometres_grouping_for_trip_purpose[#All],MATCH(A1877,Average_Distance_by_kilometres_grouping_for_trip_purpose[#Headers],0),0)</f>
        <v>28.2</v>
      </c>
      <c r="J1877" s="89">
        <f t="shared" si="148"/>
        <v>26.95</v>
      </c>
      <c r="K1877" s="89">
        <f t="shared" si="149"/>
        <v>0.62747380675203723</v>
      </c>
      <c r="L1877" s="89">
        <v>1</v>
      </c>
      <c r="M1877" s="13">
        <f t="shared" si="150"/>
        <v>653496960.67083943</v>
      </c>
      <c r="N1877" s="11">
        <f t="shared" si="151"/>
        <v>9.982006864553172E-3</v>
      </c>
    </row>
    <row r="1878" spans="1:14" x14ac:dyDescent="0.25">
      <c r="A1878" s="79" t="s">
        <v>39</v>
      </c>
      <c r="B1878" s="89" t="s">
        <v>6</v>
      </c>
      <c r="C1878" s="89" t="s">
        <v>93</v>
      </c>
      <c r="D1878" s="13" t="s">
        <v>12</v>
      </c>
      <c r="E1878" s="35">
        <f>VLOOKUP(B1878, Passenger_Kilometre_by_mode_type[#All],MATCH(A1878, Passenger_Kilometre_by_mode_type[#Headers],0),0)</f>
        <v>10792465210.306</v>
      </c>
      <c r="F1878" s="89">
        <f>VLOOKUP(C1878, Reason_for_car_journeys_by_percentage[#All],MATCH(A1878, Reason_for_car_journeys_by_percentage[#Headers],0),0)/100</f>
        <v>5.8999999999999997E-2</v>
      </c>
      <c r="G1878" s="13">
        <f t="shared" si="147"/>
        <v>636755447.40805399</v>
      </c>
      <c r="H1878" s="89">
        <f>VLOOKUP(D1878,Average_Distance_by_kilometre_grouping_for_mode_type[#All],MATCH(A1878,Average_Distance_by_kilometre_grouping_for_mode_type[#Headers],0),0)</f>
        <v>1</v>
      </c>
      <c r="I1878" s="89">
        <f>VLOOKUP(D1878,Average_Distance_by_kilometres_grouping_for_trip_purpose[#All],MATCH(A1878,Average_Distance_by_kilometres_grouping_for_trip_purpose[#Headers],0),0)</f>
        <v>1</v>
      </c>
      <c r="J1878" s="89">
        <f t="shared" si="148"/>
        <v>1</v>
      </c>
      <c r="K1878" s="89">
        <f t="shared" si="149"/>
        <v>2.3282887077997669E-2</v>
      </c>
      <c r="L1878" s="89">
        <v>1</v>
      </c>
      <c r="M1878" s="13">
        <f t="shared" si="150"/>
        <v>14825505.178301604</v>
      </c>
      <c r="N1878" s="11">
        <f t="shared" si="151"/>
        <v>2.2645597970089962E-4</v>
      </c>
    </row>
    <row r="1879" spans="1:14" x14ac:dyDescent="0.25">
      <c r="A1879" s="79" t="s">
        <v>39</v>
      </c>
      <c r="B1879" s="89" t="s">
        <v>6</v>
      </c>
      <c r="C1879" s="89" t="s">
        <v>93</v>
      </c>
      <c r="D1879" s="13" t="s">
        <v>181</v>
      </c>
      <c r="E1879" s="35">
        <f>VLOOKUP(B1879, Passenger_Kilometre_by_mode_type[#All],MATCH(A1879, Passenger_Kilometre_by_mode_type[#Headers],0),0)</f>
        <v>10792465210.306</v>
      </c>
      <c r="F1879" s="89">
        <f>VLOOKUP(C1879, Reason_for_car_journeys_by_percentage[#All],MATCH(A1879, Reason_for_car_journeys_by_percentage[#Headers],0),0)/100</f>
        <v>5.8999999999999997E-2</v>
      </c>
      <c r="G1879" s="13">
        <f t="shared" si="147"/>
        <v>636755447.40805399</v>
      </c>
      <c r="H1879" s="89">
        <f>VLOOKUP(D1879,Average_Distance_by_kilometre_grouping_for_mode_type[#All],MATCH(A1879,Average_Distance_by_kilometre_grouping_for_mode_type[#Headers],0),0)</f>
        <v>3</v>
      </c>
      <c r="I1879" s="89">
        <f>VLOOKUP(D1879,Average_Distance_by_kilometres_grouping_for_trip_purpose[#All],MATCH(A1879,Average_Distance_by_kilometres_grouping_for_trip_purpose[#Headers],0),0)</f>
        <v>3</v>
      </c>
      <c r="J1879" s="89">
        <f t="shared" si="148"/>
        <v>3</v>
      </c>
      <c r="K1879" s="89">
        <f t="shared" si="149"/>
        <v>6.9848661233993012E-2</v>
      </c>
      <c r="L1879" s="89">
        <v>1</v>
      </c>
      <c r="M1879" s="13">
        <f t="shared" si="150"/>
        <v>44476515.534904815</v>
      </c>
      <c r="N1879" s="11">
        <f t="shared" si="151"/>
        <v>6.7936793910269887E-4</v>
      </c>
    </row>
    <row r="1880" spans="1:14" x14ac:dyDescent="0.25">
      <c r="A1880" s="79" t="s">
        <v>39</v>
      </c>
      <c r="B1880" s="89" t="s">
        <v>6</v>
      </c>
      <c r="C1880" s="89" t="s">
        <v>93</v>
      </c>
      <c r="D1880" s="13" t="s">
        <v>180</v>
      </c>
      <c r="E1880" s="35">
        <f>VLOOKUP(B1880, Passenger_Kilometre_by_mode_type[#All],MATCH(A1880, Passenger_Kilometre_by_mode_type[#Headers],0),0)</f>
        <v>10792465210.306</v>
      </c>
      <c r="F1880" s="89">
        <f>VLOOKUP(C1880, Reason_for_car_journeys_by_percentage[#All],MATCH(A1880, Reason_for_car_journeys_by_percentage[#Headers],0),0)/100</f>
        <v>5.8999999999999997E-2</v>
      </c>
      <c r="G1880" s="13">
        <f t="shared" si="147"/>
        <v>636755447.40805399</v>
      </c>
      <c r="H1880" s="89">
        <f>VLOOKUP(D1880,Average_Distance_by_kilometre_grouping_for_mode_type[#All],MATCH(A1880,Average_Distance_by_kilometre_grouping_for_mode_type[#Headers],0),0)</f>
        <v>5</v>
      </c>
      <c r="I1880" s="89">
        <f>VLOOKUP(D1880,Average_Distance_by_kilometres_grouping_for_trip_purpose[#All],MATCH(A1880,Average_Distance_by_kilometres_grouping_for_trip_purpose[#Headers],0),0)</f>
        <v>5</v>
      </c>
      <c r="J1880" s="89">
        <f t="shared" si="148"/>
        <v>5</v>
      </c>
      <c r="K1880" s="89">
        <f t="shared" si="149"/>
        <v>0.11641443538998836</v>
      </c>
      <c r="L1880" s="89">
        <v>1</v>
      </c>
      <c r="M1880" s="13">
        <f t="shared" si="150"/>
        <v>74127525.891508028</v>
      </c>
      <c r="N1880" s="11">
        <f t="shared" si="151"/>
        <v>1.1322798985044982E-3</v>
      </c>
    </row>
    <row r="1881" spans="1:14" x14ac:dyDescent="0.25">
      <c r="A1881" s="79" t="s">
        <v>39</v>
      </c>
      <c r="B1881" s="89" t="s">
        <v>6</v>
      </c>
      <c r="C1881" s="89" t="s">
        <v>93</v>
      </c>
      <c r="D1881" s="13" t="s">
        <v>182</v>
      </c>
      <c r="E1881" s="35">
        <f>VLOOKUP(B1881, Passenger_Kilometre_by_mode_type[#All],MATCH(A1881, Passenger_Kilometre_by_mode_type[#Headers],0),0)</f>
        <v>10792465210.306</v>
      </c>
      <c r="F1881" s="89">
        <f>VLOOKUP(C1881, Reason_for_car_journeys_by_percentage[#All],MATCH(A1881, Reason_for_car_journeys_by_percentage[#Headers],0),0)/100</f>
        <v>5.8999999999999997E-2</v>
      </c>
      <c r="G1881" s="13">
        <f t="shared" si="147"/>
        <v>636755447.40805399</v>
      </c>
      <c r="H1881" s="89">
        <f>VLOOKUP(D1881,Average_Distance_by_kilometre_grouping_for_mode_type[#All],MATCH(A1881,Average_Distance_by_kilometre_grouping_for_mode_type[#Headers],0),0)</f>
        <v>7</v>
      </c>
      <c r="I1881" s="89">
        <f>VLOOKUP(D1881,Average_Distance_by_kilometres_grouping_for_trip_purpose[#All],MATCH(A1881,Average_Distance_by_kilometres_grouping_for_trip_purpose[#Headers],0),0)</f>
        <v>7</v>
      </c>
      <c r="J1881" s="89">
        <f t="shared" si="148"/>
        <v>7</v>
      </c>
      <c r="K1881" s="89">
        <f t="shared" si="149"/>
        <v>0.16298020954598369</v>
      </c>
      <c r="L1881" s="89">
        <v>1</v>
      </c>
      <c r="M1881" s="13">
        <f t="shared" si="150"/>
        <v>103778536.24811123</v>
      </c>
      <c r="N1881" s="11">
        <f t="shared" si="151"/>
        <v>1.5851918579062973E-3</v>
      </c>
    </row>
    <row r="1882" spans="1:14" x14ac:dyDescent="0.25">
      <c r="A1882" s="79" t="s">
        <v>39</v>
      </c>
      <c r="B1882" s="89" t="s">
        <v>6</v>
      </c>
      <c r="C1882" s="89" t="s">
        <v>93</v>
      </c>
      <c r="D1882" s="13" t="s">
        <v>1</v>
      </c>
      <c r="E1882" s="35">
        <f>VLOOKUP(B1882, Passenger_Kilometre_by_mode_type[#All],MATCH(A1882, Passenger_Kilometre_by_mode_type[#Headers],0),0)</f>
        <v>10792465210.306</v>
      </c>
      <c r="F1882" s="89">
        <f>VLOOKUP(C1882, Reason_for_car_journeys_by_percentage[#All],MATCH(A1882, Reason_for_car_journeys_by_percentage[#Headers],0),0)/100</f>
        <v>5.8999999999999997E-2</v>
      </c>
      <c r="G1882" s="13">
        <f t="shared" si="147"/>
        <v>636755447.40805399</v>
      </c>
      <c r="H1882" s="89">
        <f>VLOOKUP(D1882,Average_Distance_by_kilometre_grouping_for_mode_type[#All],MATCH(A1882,Average_Distance_by_kilometre_grouping_for_mode_type[#Headers],0),0)</f>
        <v>25.7</v>
      </c>
      <c r="I1882" s="89">
        <f>VLOOKUP(D1882,Average_Distance_by_kilometres_grouping_for_trip_purpose[#All],MATCH(A1882,Average_Distance_by_kilometres_grouping_for_trip_purpose[#Headers],0),0)</f>
        <v>28.2</v>
      </c>
      <c r="J1882" s="89">
        <f t="shared" si="148"/>
        <v>26.95</v>
      </c>
      <c r="K1882" s="89">
        <f t="shared" si="149"/>
        <v>0.62747380675203723</v>
      </c>
      <c r="L1882" s="89">
        <v>1</v>
      </c>
      <c r="M1882" s="13">
        <f t="shared" si="150"/>
        <v>399547364.55522829</v>
      </c>
      <c r="N1882" s="11">
        <f t="shared" si="151"/>
        <v>6.1029886529392454E-3</v>
      </c>
    </row>
    <row r="1883" spans="1:14" x14ac:dyDescent="0.25">
      <c r="A1883" s="79" t="s">
        <v>39</v>
      </c>
      <c r="B1883" s="89" t="s">
        <v>6</v>
      </c>
      <c r="C1883" s="89" t="s">
        <v>243</v>
      </c>
      <c r="D1883" s="13" t="s">
        <v>12</v>
      </c>
      <c r="E1883" s="35">
        <f>VLOOKUP(B1883, Passenger_Kilometre_by_mode_type[#All],MATCH(A1883, Passenger_Kilometre_by_mode_type[#Headers],0),0)</f>
        <v>10792465210.306</v>
      </c>
      <c r="F1883" s="89">
        <f>VLOOKUP(C1883, Reason_for_car_journeys_by_percentage[#All],MATCH(A1883, Reason_for_car_journeys_by_percentage[#Headers],0),0)/100</f>
        <v>0.22625000000000001</v>
      </c>
      <c r="G1883" s="13">
        <f t="shared" si="147"/>
        <v>2441795253.8317327</v>
      </c>
      <c r="H1883" s="89">
        <f>VLOOKUP(D1883,Average_Distance_by_kilometre_grouping_for_mode_type[#All],MATCH(A1883,Average_Distance_by_kilometre_grouping_for_mode_type[#Headers],0),0)</f>
        <v>1</v>
      </c>
      <c r="I1883" s="89">
        <f>VLOOKUP(D1883,Average_Distance_by_kilometres_grouping_for_trip_purpose[#All],MATCH(A1883,Average_Distance_by_kilometres_grouping_for_trip_purpose[#Headers],0),0)</f>
        <v>1</v>
      </c>
      <c r="J1883" s="89">
        <f t="shared" si="148"/>
        <v>1</v>
      </c>
      <c r="K1883" s="89">
        <f t="shared" si="149"/>
        <v>2.3282887077997669E-2</v>
      </c>
      <c r="L1883" s="89">
        <v>1</v>
      </c>
      <c r="M1883" s="13">
        <f t="shared" si="150"/>
        <v>56852043.16255489</v>
      </c>
      <c r="N1883" s="11">
        <f t="shared" si="151"/>
        <v>8.6840110859878891E-4</v>
      </c>
    </row>
    <row r="1884" spans="1:14" x14ac:dyDescent="0.25">
      <c r="A1884" s="79" t="s">
        <v>39</v>
      </c>
      <c r="B1884" s="89" t="s">
        <v>6</v>
      </c>
      <c r="C1884" s="89" t="s">
        <v>243</v>
      </c>
      <c r="D1884" s="13" t="s">
        <v>181</v>
      </c>
      <c r="E1884" s="35">
        <f>VLOOKUP(B1884, Passenger_Kilometre_by_mode_type[#All],MATCH(A1884, Passenger_Kilometre_by_mode_type[#Headers],0),0)</f>
        <v>10792465210.306</v>
      </c>
      <c r="F1884" s="89">
        <f>VLOOKUP(C1884, Reason_for_car_journeys_by_percentage[#All],MATCH(A1884, Reason_for_car_journeys_by_percentage[#Headers],0),0)/100</f>
        <v>0.22625000000000001</v>
      </c>
      <c r="G1884" s="13">
        <f t="shared" si="147"/>
        <v>2441795253.8317327</v>
      </c>
      <c r="H1884" s="89">
        <f>VLOOKUP(D1884,Average_Distance_by_kilometre_grouping_for_mode_type[#All],MATCH(A1884,Average_Distance_by_kilometre_grouping_for_mode_type[#Headers],0),0)</f>
        <v>3</v>
      </c>
      <c r="I1884" s="89">
        <f>VLOOKUP(D1884,Average_Distance_by_kilometres_grouping_for_trip_purpose[#All],MATCH(A1884,Average_Distance_by_kilometres_grouping_for_trip_purpose[#Headers],0),0)</f>
        <v>3</v>
      </c>
      <c r="J1884" s="89">
        <f t="shared" si="148"/>
        <v>3</v>
      </c>
      <c r="K1884" s="89">
        <f t="shared" si="149"/>
        <v>6.9848661233993012E-2</v>
      </c>
      <c r="L1884" s="89">
        <v>1</v>
      </c>
      <c r="M1884" s="13">
        <f t="shared" si="150"/>
        <v>170556129.48766467</v>
      </c>
      <c r="N1884" s="11">
        <f t="shared" si="151"/>
        <v>2.6052033257963668E-3</v>
      </c>
    </row>
    <row r="1885" spans="1:14" x14ac:dyDescent="0.25">
      <c r="A1885" s="79" t="s">
        <v>39</v>
      </c>
      <c r="B1885" s="89" t="s">
        <v>6</v>
      </c>
      <c r="C1885" s="89" t="s">
        <v>243</v>
      </c>
      <c r="D1885" s="13" t="s">
        <v>180</v>
      </c>
      <c r="E1885" s="35">
        <f>VLOOKUP(B1885, Passenger_Kilometre_by_mode_type[#All],MATCH(A1885, Passenger_Kilometre_by_mode_type[#Headers],0),0)</f>
        <v>10792465210.306</v>
      </c>
      <c r="F1885" s="89">
        <f>VLOOKUP(C1885, Reason_for_car_journeys_by_percentage[#All],MATCH(A1885, Reason_for_car_journeys_by_percentage[#Headers],0),0)/100</f>
        <v>0.22625000000000001</v>
      </c>
      <c r="G1885" s="13">
        <f t="shared" si="147"/>
        <v>2441795253.8317327</v>
      </c>
      <c r="H1885" s="89">
        <f>VLOOKUP(D1885,Average_Distance_by_kilometre_grouping_for_mode_type[#All],MATCH(A1885,Average_Distance_by_kilometre_grouping_for_mode_type[#Headers],0),0)</f>
        <v>5</v>
      </c>
      <c r="I1885" s="89">
        <f>VLOOKUP(D1885,Average_Distance_by_kilometres_grouping_for_trip_purpose[#All],MATCH(A1885,Average_Distance_by_kilometres_grouping_for_trip_purpose[#Headers],0),0)</f>
        <v>5</v>
      </c>
      <c r="J1885" s="89">
        <f t="shared" si="148"/>
        <v>5</v>
      </c>
      <c r="K1885" s="89">
        <f t="shared" si="149"/>
        <v>0.11641443538998836</v>
      </c>
      <c r="L1885" s="89">
        <v>1</v>
      </c>
      <c r="M1885" s="13">
        <f t="shared" si="150"/>
        <v>284260215.81277448</v>
      </c>
      <c r="N1885" s="11">
        <f t="shared" si="151"/>
        <v>4.3420055429939453E-3</v>
      </c>
    </row>
    <row r="1886" spans="1:14" x14ac:dyDescent="0.25">
      <c r="A1886" s="79" t="s">
        <v>39</v>
      </c>
      <c r="B1886" s="89" t="s">
        <v>6</v>
      </c>
      <c r="C1886" s="89" t="s">
        <v>243</v>
      </c>
      <c r="D1886" s="13" t="s">
        <v>182</v>
      </c>
      <c r="E1886" s="35">
        <f>VLOOKUP(B1886, Passenger_Kilometre_by_mode_type[#All],MATCH(A1886, Passenger_Kilometre_by_mode_type[#Headers],0),0)</f>
        <v>10792465210.306</v>
      </c>
      <c r="F1886" s="89">
        <f>VLOOKUP(C1886, Reason_for_car_journeys_by_percentage[#All],MATCH(A1886, Reason_for_car_journeys_by_percentage[#Headers],0),0)/100</f>
        <v>0.22625000000000001</v>
      </c>
      <c r="G1886" s="13">
        <f t="shared" si="147"/>
        <v>2441795253.8317327</v>
      </c>
      <c r="H1886" s="89">
        <f>VLOOKUP(D1886,Average_Distance_by_kilometre_grouping_for_mode_type[#All],MATCH(A1886,Average_Distance_by_kilometre_grouping_for_mode_type[#Headers],0),0)</f>
        <v>7</v>
      </c>
      <c r="I1886" s="89">
        <f>VLOOKUP(D1886,Average_Distance_by_kilometres_grouping_for_trip_purpose[#All],MATCH(A1886,Average_Distance_by_kilometres_grouping_for_trip_purpose[#Headers],0),0)</f>
        <v>7</v>
      </c>
      <c r="J1886" s="89">
        <f t="shared" si="148"/>
        <v>7</v>
      </c>
      <c r="K1886" s="89">
        <f t="shared" si="149"/>
        <v>0.16298020954598369</v>
      </c>
      <c r="L1886" s="89">
        <v>1</v>
      </c>
      <c r="M1886" s="13">
        <f t="shared" si="150"/>
        <v>397964302.13788426</v>
      </c>
      <c r="N1886" s="11">
        <f t="shared" si="151"/>
        <v>6.0788077601915229E-3</v>
      </c>
    </row>
    <row r="1887" spans="1:14" x14ac:dyDescent="0.25">
      <c r="A1887" s="79" t="s">
        <v>39</v>
      </c>
      <c r="B1887" s="89" t="s">
        <v>6</v>
      </c>
      <c r="C1887" s="89" t="s">
        <v>243</v>
      </c>
      <c r="D1887" s="13" t="s">
        <v>1</v>
      </c>
      <c r="E1887" s="35">
        <f>VLOOKUP(B1887, Passenger_Kilometre_by_mode_type[#All],MATCH(A1887, Passenger_Kilometre_by_mode_type[#Headers],0),0)</f>
        <v>10792465210.306</v>
      </c>
      <c r="F1887" s="89">
        <f>VLOOKUP(C1887, Reason_for_car_journeys_by_percentage[#All],MATCH(A1887, Reason_for_car_journeys_by_percentage[#Headers],0),0)/100</f>
        <v>0.22625000000000001</v>
      </c>
      <c r="G1887" s="13">
        <f t="shared" si="147"/>
        <v>2441795253.8317327</v>
      </c>
      <c r="H1887" s="89">
        <f>VLOOKUP(D1887,Average_Distance_by_kilometre_grouping_for_mode_type[#All],MATCH(A1887,Average_Distance_by_kilometre_grouping_for_mode_type[#Headers],0),0)</f>
        <v>25.7</v>
      </c>
      <c r="I1887" s="89">
        <f>VLOOKUP(D1887,Average_Distance_by_kilometres_grouping_for_trip_purpose[#All],MATCH(A1887,Average_Distance_by_kilometres_grouping_for_trip_purpose[#Headers],0),0)</f>
        <v>28.2</v>
      </c>
      <c r="J1887" s="89">
        <f t="shared" si="148"/>
        <v>26.95</v>
      </c>
      <c r="K1887" s="89">
        <f t="shared" si="149"/>
        <v>0.62747380675203723</v>
      </c>
      <c r="L1887" s="89">
        <v>1</v>
      </c>
      <c r="M1887" s="13">
        <f t="shared" si="150"/>
        <v>1532162563.2308543</v>
      </c>
      <c r="N1887" s="11">
        <f t="shared" si="151"/>
        <v>2.340340987673736E-2</v>
      </c>
    </row>
    <row r="1888" spans="1:14" x14ac:dyDescent="0.25">
      <c r="A1888" s="79" t="s">
        <v>39</v>
      </c>
      <c r="B1888" s="89" t="s">
        <v>6</v>
      </c>
      <c r="C1888" s="89" t="s">
        <v>50</v>
      </c>
      <c r="D1888" s="13" t="s">
        <v>12</v>
      </c>
      <c r="E1888" s="35">
        <f>VLOOKUP(B1888, Passenger_Kilometre_by_mode_type[#All],MATCH(A1888, Passenger_Kilometre_by_mode_type[#Headers],0),0)</f>
        <v>10792465210.306</v>
      </c>
      <c r="F1888" s="89">
        <f>VLOOKUP(C1888, Reason_for_car_journeys_by_percentage[#All],MATCH(A1888, Reason_for_car_journeys_by_percentage[#Headers],0),0)/100</f>
        <v>2.8999999999999998E-2</v>
      </c>
      <c r="G1888" s="13">
        <f t="shared" si="147"/>
        <v>312981491.09887397</v>
      </c>
      <c r="H1888" s="89">
        <f>VLOOKUP(D1888,Average_Distance_by_kilometre_grouping_for_mode_type[#All],MATCH(A1888,Average_Distance_by_kilometre_grouping_for_mode_type[#Headers],0),0)</f>
        <v>1</v>
      </c>
      <c r="I1888" s="89">
        <f>VLOOKUP(D1888,Average_Distance_by_kilometres_grouping_for_trip_purpose[#All],MATCH(A1888,Average_Distance_by_kilometres_grouping_for_trip_purpose[#Headers],0),0)</f>
        <v>1</v>
      </c>
      <c r="J1888" s="89">
        <f t="shared" si="148"/>
        <v>1</v>
      </c>
      <c r="K1888" s="89">
        <f t="shared" si="149"/>
        <v>2.3282887077997669E-2</v>
      </c>
      <c r="L1888" s="89">
        <v>1</v>
      </c>
      <c r="M1888" s="13">
        <f t="shared" si="150"/>
        <v>7287112.7147584157</v>
      </c>
      <c r="N1888" s="11">
        <f t="shared" si="151"/>
        <v>1.1130887137840828E-4</v>
      </c>
    </row>
    <row r="1889" spans="1:14" x14ac:dyDescent="0.25">
      <c r="A1889" s="79" t="s">
        <v>39</v>
      </c>
      <c r="B1889" s="89" t="s">
        <v>6</v>
      </c>
      <c r="C1889" s="89" t="s">
        <v>50</v>
      </c>
      <c r="D1889" s="13" t="s">
        <v>181</v>
      </c>
      <c r="E1889" s="35">
        <f>VLOOKUP(B1889, Passenger_Kilometre_by_mode_type[#All],MATCH(A1889, Passenger_Kilometre_by_mode_type[#Headers],0),0)</f>
        <v>10792465210.306</v>
      </c>
      <c r="F1889" s="89">
        <f>VLOOKUP(C1889, Reason_for_car_journeys_by_percentage[#All],MATCH(A1889, Reason_for_car_journeys_by_percentage[#Headers],0),0)/100</f>
        <v>2.8999999999999998E-2</v>
      </c>
      <c r="G1889" s="13">
        <f t="shared" si="147"/>
        <v>312981491.09887397</v>
      </c>
      <c r="H1889" s="89">
        <f>VLOOKUP(D1889,Average_Distance_by_kilometre_grouping_for_mode_type[#All],MATCH(A1889,Average_Distance_by_kilometre_grouping_for_mode_type[#Headers],0),0)</f>
        <v>3</v>
      </c>
      <c r="I1889" s="89">
        <f>VLOOKUP(D1889,Average_Distance_by_kilometres_grouping_for_trip_purpose[#All],MATCH(A1889,Average_Distance_by_kilometres_grouping_for_trip_purpose[#Headers],0),0)</f>
        <v>3</v>
      </c>
      <c r="J1889" s="89">
        <f t="shared" si="148"/>
        <v>3</v>
      </c>
      <c r="K1889" s="89">
        <f t="shared" si="149"/>
        <v>6.9848661233993012E-2</v>
      </c>
      <c r="L1889" s="89">
        <v>1</v>
      </c>
      <c r="M1889" s="13">
        <f t="shared" si="150"/>
        <v>21861338.144275248</v>
      </c>
      <c r="N1889" s="11">
        <f t="shared" si="151"/>
        <v>3.3392661413522484E-4</v>
      </c>
    </row>
    <row r="1890" spans="1:14" x14ac:dyDescent="0.25">
      <c r="A1890" s="79" t="s">
        <v>39</v>
      </c>
      <c r="B1890" s="89" t="s">
        <v>6</v>
      </c>
      <c r="C1890" s="89" t="s">
        <v>50</v>
      </c>
      <c r="D1890" s="13" t="s">
        <v>180</v>
      </c>
      <c r="E1890" s="35">
        <f>VLOOKUP(B1890, Passenger_Kilometre_by_mode_type[#All],MATCH(A1890, Passenger_Kilometre_by_mode_type[#Headers],0),0)</f>
        <v>10792465210.306</v>
      </c>
      <c r="F1890" s="89">
        <f>VLOOKUP(C1890, Reason_for_car_journeys_by_percentage[#All],MATCH(A1890, Reason_for_car_journeys_by_percentage[#Headers],0),0)/100</f>
        <v>2.8999999999999998E-2</v>
      </c>
      <c r="G1890" s="13">
        <f t="shared" si="147"/>
        <v>312981491.09887397</v>
      </c>
      <c r="H1890" s="89">
        <f>VLOOKUP(D1890,Average_Distance_by_kilometre_grouping_for_mode_type[#All],MATCH(A1890,Average_Distance_by_kilometre_grouping_for_mode_type[#Headers],0),0)</f>
        <v>5</v>
      </c>
      <c r="I1890" s="89">
        <f>VLOOKUP(D1890,Average_Distance_by_kilometres_grouping_for_trip_purpose[#All],MATCH(A1890,Average_Distance_by_kilometres_grouping_for_trip_purpose[#Headers],0),0)</f>
        <v>5</v>
      </c>
      <c r="J1890" s="89">
        <f t="shared" si="148"/>
        <v>5</v>
      </c>
      <c r="K1890" s="89">
        <f t="shared" si="149"/>
        <v>0.11641443538998836</v>
      </c>
      <c r="L1890" s="89">
        <v>1</v>
      </c>
      <c r="M1890" s="13">
        <f t="shared" si="150"/>
        <v>36435563.573792078</v>
      </c>
      <c r="N1890" s="11">
        <f t="shared" si="151"/>
        <v>5.5654435689204138E-4</v>
      </c>
    </row>
    <row r="1891" spans="1:14" x14ac:dyDescent="0.25">
      <c r="A1891" s="79" t="s">
        <v>39</v>
      </c>
      <c r="B1891" s="89" t="s">
        <v>6</v>
      </c>
      <c r="C1891" s="89" t="s">
        <v>50</v>
      </c>
      <c r="D1891" s="13" t="s">
        <v>182</v>
      </c>
      <c r="E1891" s="35">
        <f>VLOOKUP(B1891, Passenger_Kilometre_by_mode_type[#All],MATCH(A1891, Passenger_Kilometre_by_mode_type[#Headers],0),0)</f>
        <v>10792465210.306</v>
      </c>
      <c r="F1891" s="89">
        <f>VLOOKUP(C1891, Reason_for_car_journeys_by_percentage[#All],MATCH(A1891, Reason_for_car_journeys_by_percentage[#Headers],0),0)/100</f>
        <v>2.8999999999999998E-2</v>
      </c>
      <c r="G1891" s="13">
        <f t="shared" si="147"/>
        <v>312981491.09887397</v>
      </c>
      <c r="H1891" s="89">
        <f>VLOOKUP(D1891,Average_Distance_by_kilometre_grouping_for_mode_type[#All],MATCH(A1891,Average_Distance_by_kilometre_grouping_for_mode_type[#Headers],0),0)</f>
        <v>7</v>
      </c>
      <c r="I1891" s="89">
        <f>VLOOKUP(D1891,Average_Distance_by_kilometres_grouping_for_trip_purpose[#All],MATCH(A1891,Average_Distance_by_kilometres_grouping_for_trip_purpose[#Headers],0),0)</f>
        <v>7</v>
      </c>
      <c r="J1891" s="89">
        <f t="shared" si="148"/>
        <v>7</v>
      </c>
      <c r="K1891" s="89">
        <f t="shared" si="149"/>
        <v>0.16298020954598369</v>
      </c>
      <c r="L1891" s="89">
        <v>1</v>
      </c>
      <c r="M1891" s="13">
        <f t="shared" si="150"/>
        <v>51009789.003308907</v>
      </c>
      <c r="N1891" s="11">
        <f t="shared" si="151"/>
        <v>7.7916209964885798E-4</v>
      </c>
    </row>
    <row r="1892" spans="1:14" x14ac:dyDescent="0.25">
      <c r="A1892" s="79" t="s">
        <v>39</v>
      </c>
      <c r="B1892" s="89" t="s">
        <v>6</v>
      </c>
      <c r="C1892" s="89" t="s">
        <v>50</v>
      </c>
      <c r="D1892" s="13" t="s">
        <v>1</v>
      </c>
      <c r="E1892" s="35">
        <f>VLOOKUP(B1892, Passenger_Kilometre_by_mode_type[#All],MATCH(A1892, Passenger_Kilometre_by_mode_type[#Headers],0),0)</f>
        <v>10792465210.306</v>
      </c>
      <c r="F1892" s="89">
        <f>VLOOKUP(C1892, Reason_for_car_journeys_by_percentage[#All],MATCH(A1892, Reason_for_car_journeys_by_percentage[#Headers],0),0)/100</f>
        <v>2.8999999999999998E-2</v>
      </c>
      <c r="G1892" s="13">
        <f t="shared" si="147"/>
        <v>312981491.09887397</v>
      </c>
      <c r="H1892" s="89">
        <f>VLOOKUP(D1892,Average_Distance_by_kilometre_grouping_for_mode_type[#All],MATCH(A1892,Average_Distance_by_kilometre_grouping_for_mode_type[#Headers],0),0)</f>
        <v>25.7</v>
      </c>
      <c r="I1892" s="89">
        <f>VLOOKUP(D1892,Average_Distance_by_kilometres_grouping_for_trip_purpose[#All],MATCH(A1892,Average_Distance_by_kilometres_grouping_for_trip_purpose[#Headers],0),0)</f>
        <v>28.2</v>
      </c>
      <c r="J1892" s="89">
        <f t="shared" si="148"/>
        <v>26.95</v>
      </c>
      <c r="K1892" s="89">
        <f t="shared" si="149"/>
        <v>0.62747380675203723</v>
      </c>
      <c r="L1892" s="89">
        <v>1</v>
      </c>
      <c r="M1892" s="13">
        <f t="shared" si="150"/>
        <v>196387687.66273931</v>
      </c>
      <c r="N1892" s="11">
        <f t="shared" si="151"/>
        <v>2.9997740836481034E-3</v>
      </c>
    </row>
    <row r="1893" spans="1:14" x14ac:dyDescent="0.25">
      <c r="A1893" s="79" t="s">
        <v>39</v>
      </c>
      <c r="B1893" s="89" t="s">
        <v>7</v>
      </c>
      <c r="C1893" s="89" t="s">
        <v>42</v>
      </c>
      <c r="D1893" s="13" t="s">
        <v>12</v>
      </c>
      <c r="E1893" s="35">
        <f>VLOOKUP(B1893, Passenger_Kilometre_by_mode_type[#All],MATCH(A1893, Passenger_Kilometre_by_mode_type[#Headers],0),0)</f>
        <v>303409408.69538796</v>
      </c>
      <c r="F1893" s="89">
        <f>VLOOKUP(C1893, Reason_for_walking_cycling_journeys_by_percentage[#All],MATCH(A1893, Reason_for_walking_cycling_journeys_by_percentage[#Headers],0),0)/100</f>
        <v>0.20975000000000002</v>
      </c>
      <c r="G1893" s="13">
        <f t="shared" si="147"/>
        <v>63640123.473857634</v>
      </c>
      <c r="H1893" s="89">
        <f>VLOOKUP(D1893,Average_Distance_by_kilometre_grouping_for_mode_type[#All],MATCH(A1893,Average_Distance_by_kilometre_grouping_for_mode_type[#Headers],0),0)</f>
        <v>1</v>
      </c>
      <c r="I1893" s="89">
        <f>VLOOKUP(D1893,Average_Distance_by_kilometres_grouping_for_trip_purpose[#All],MATCH(A1893,Average_Distance_by_kilometres_grouping_for_trip_purpose[#Headers],0),0)</f>
        <v>1</v>
      </c>
      <c r="J1893" s="89">
        <f t="shared" si="148"/>
        <v>1</v>
      </c>
      <c r="K1893" s="89">
        <f t="shared" si="149"/>
        <v>2.3282887077997669E-2</v>
      </c>
      <c r="L1893" s="89">
        <v>1</v>
      </c>
      <c r="M1893" s="13">
        <f t="shared" si="150"/>
        <v>1481725.8084716562</v>
      </c>
      <c r="N1893" s="11">
        <f t="shared" si="151"/>
        <v>2.2633000735560516E-5</v>
      </c>
    </row>
    <row r="1894" spans="1:14" x14ac:dyDescent="0.25">
      <c r="A1894" s="79" t="s">
        <v>39</v>
      </c>
      <c r="B1894" s="89" t="s">
        <v>7</v>
      </c>
      <c r="C1894" s="89" t="s">
        <v>42</v>
      </c>
      <c r="D1894" s="13" t="s">
        <v>181</v>
      </c>
      <c r="E1894" s="35">
        <f>VLOOKUP(B1894, Passenger_Kilometre_by_mode_type[#All],MATCH(A1894, Passenger_Kilometre_by_mode_type[#Headers],0),0)</f>
        <v>303409408.69538796</v>
      </c>
      <c r="F1894" s="89">
        <f>VLOOKUP(C1894, Reason_for_walking_cycling_journeys_by_percentage[#All],MATCH(A1894, Reason_for_walking_cycling_journeys_by_percentage[#Headers],0),0)/100</f>
        <v>0.20975000000000002</v>
      </c>
      <c r="G1894" s="13">
        <f t="shared" si="147"/>
        <v>63640123.473857634</v>
      </c>
      <c r="H1894" s="89">
        <f>VLOOKUP(D1894,Average_Distance_by_kilometre_grouping_for_mode_type[#All],MATCH(A1894,Average_Distance_by_kilometre_grouping_for_mode_type[#Headers],0),0)</f>
        <v>3</v>
      </c>
      <c r="I1894" s="89">
        <f>VLOOKUP(D1894,Average_Distance_by_kilometres_grouping_for_trip_purpose[#All],MATCH(A1894,Average_Distance_by_kilometres_grouping_for_trip_purpose[#Headers],0),0)</f>
        <v>3</v>
      </c>
      <c r="J1894" s="89">
        <f t="shared" si="148"/>
        <v>3</v>
      </c>
      <c r="K1894" s="89">
        <f t="shared" si="149"/>
        <v>6.9848661233993012E-2</v>
      </c>
      <c r="L1894" s="89">
        <v>1</v>
      </c>
      <c r="M1894" s="13">
        <f t="shared" si="150"/>
        <v>4445177.4254149683</v>
      </c>
      <c r="N1894" s="11">
        <f t="shared" si="151"/>
        <v>6.7899002206681542E-5</v>
      </c>
    </row>
    <row r="1895" spans="1:14" x14ac:dyDescent="0.25">
      <c r="A1895" s="79" t="s">
        <v>39</v>
      </c>
      <c r="B1895" s="89" t="s">
        <v>7</v>
      </c>
      <c r="C1895" s="89" t="s">
        <v>42</v>
      </c>
      <c r="D1895" s="13" t="s">
        <v>180</v>
      </c>
      <c r="E1895" s="35">
        <f>VLOOKUP(B1895, Passenger_Kilometre_by_mode_type[#All],MATCH(A1895, Passenger_Kilometre_by_mode_type[#Headers],0),0)</f>
        <v>303409408.69538796</v>
      </c>
      <c r="F1895" s="89">
        <f>VLOOKUP(C1895, Reason_for_walking_cycling_journeys_by_percentage[#All],MATCH(A1895, Reason_for_walking_cycling_journeys_by_percentage[#Headers],0),0)/100</f>
        <v>0.20975000000000002</v>
      </c>
      <c r="G1895" s="13">
        <f t="shared" si="147"/>
        <v>63640123.473857634</v>
      </c>
      <c r="H1895" s="89">
        <f>VLOOKUP(D1895,Average_Distance_by_kilometre_grouping_for_mode_type[#All],MATCH(A1895,Average_Distance_by_kilometre_grouping_for_mode_type[#Headers],0),0)</f>
        <v>5</v>
      </c>
      <c r="I1895" s="89">
        <f>VLOOKUP(D1895,Average_Distance_by_kilometres_grouping_for_trip_purpose[#All],MATCH(A1895,Average_Distance_by_kilometres_grouping_for_trip_purpose[#Headers],0),0)</f>
        <v>5</v>
      </c>
      <c r="J1895" s="89">
        <f t="shared" si="148"/>
        <v>5</v>
      </c>
      <c r="K1895" s="89">
        <f t="shared" si="149"/>
        <v>0.11641443538998836</v>
      </c>
      <c r="L1895" s="89">
        <v>1</v>
      </c>
      <c r="M1895" s="13">
        <f t="shared" si="150"/>
        <v>7408629.0423582811</v>
      </c>
      <c r="N1895" s="11">
        <f t="shared" si="151"/>
        <v>1.1316500367780257E-4</v>
      </c>
    </row>
    <row r="1896" spans="1:14" x14ac:dyDescent="0.25">
      <c r="A1896" s="79" t="s">
        <v>39</v>
      </c>
      <c r="B1896" s="89" t="s">
        <v>7</v>
      </c>
      <c r="C1896" s="89" t="s">
        <v>42</v>
      </c>
      <c r="D1896" s="13" t="s">
        <v>182</v>
      </c>
      <c r="E1896" s="35">
        <f>VLOOKUP(B1896, Passenger_Kilometre_by_mode_type[#All],MATCH(A1896, Passenger_Kilometre_by_mode_type[#Headers],0),0)</f>
        <v>303409408.69538796</v>
      </c>
      <c r="F1896" s="89">
        <f>VLOOKUP(C1896, Reason_for_walking_cycling_journeys_by_percentage[#All],MATCH(A1896, Reason_for_walking_cycling_journeys_by_percentage[#Headers],0),0)/100</f>
        <v>0.20975000000000002</v>
      </c>
      <c r="G1896" s="13">
        <f t="shared" si="147"/>
        <v>63640123.473857634</v>
      </c>
      <c r="H1896" s="89">
        <f>VLOOKUP(D1896,Average_Distance_by_kilometre_grouping_for_mode_type[#All],MATCH(A1896,Average_Distance_by_kilometre_grouping_for_mode_type[#Headers],0),0)</f>
        <v>7</v>
      </c>
      <c r="I1896" s="89">
        <f>VLOOKUP(D1896,Average_Distance_by_kilometres_grouping_for_trip_purpose[#All],MATCH(A1896,Average_Distance_by_kilometres_grouping_for_trip_purpose[#Headers],0),0)</f>
        <v>7</v>
      </c>
      <c r="J1896" s="89">
        <f t="shared" si="148"/>
        <v>7</v>
      </c>
      <c r="K1896" s="89">
        <f t="shared" si="149"/>
        <v>0.16298020954598369</v>
      </c>
      <c r="L1896" s="89">
        <v>1</v>
      </c>
      <c r="M1896" s="13">
        <f t="shared" si="150"/>
        <v>10372080.659301592</v>
      </c>
      <c r="N1896" s="11">
        <f t="shared" si="151"/>
        <v>1.5843100514892358E-4</v>
      </c>
    </row>
    <row r="1897" spans="1:14" x14ac:dyDescent="0.25">
      <c r="A1897" s="79" t="s">
        <v>39</v>
      </c>
      <c r="B1897" s="89" t="s">
        <v>7</v>
      </c>
      <c r="C1897" s="89" t="s">
        <v>42</v>
      </c>
      <c r="D1897" s="13" t="s">
        <v>1</v>
      </c>
      <c r="E1897" s="35">
        <f>VLOOKUP(B1897, Passenger_Kilometre_by_mode_type[#All],MATCH(A1897, Passenger_Kilometre_by_mode_type[#Headers],0),0)</f>
        <v>303409408.69538796</v>
      </c>
      <c r="F1897" s="89">
        <f>VLOOKUP(C1897, Reason_for_walking_cycling_journeys_by_percentage[#All],MATCH(A1897, Reason_for_walking_cycling_journeys_by_percentage[#Headers],0),0)/100</f>
        <v>0.20975000000000002</v>
      </c>
      <c r="G1897" s="13">
        <f t="shared" si="147"/>
        <v>63640123.473857634</v>
      </c>
      <c r="H1897" s="89">
        <f>VLOOKUP(D1897,Average_Distance_by_kilometre_grouping_for_mode_type[#All],MATCH(A1897,Average_Distance_by_kilometre_grouping_for_mode_type[#Headers],0),0)</f>
        <v>25.7</v>
      </c>
      <c r="I1897" s="89">
        <f>VLOOKUP(D1897,Average_Distance_by_kilometres_grouping_for_trip_purpose[#All],MATCH(A1897,Average_Distance_by_kilometres_grouping_for_trip_purpose[#Headers],0),0)</f>
        <v>28.2</v>
      </c>
      <c r="J1897" s="89">
        <f t="shared" si="148"/>
        <v>26.95</v>
      </c>
      <c r="K1897" s="89">
        <f t="shared" si="149"/>
        <v>0.62747380675203723</v>
      </c>
      <c r="L1897" s="89">
        <v>1</v>
      </c>
      <c r="M1897" s="13">
        <f t="shared" si="150"/>
        <v>39932510.538311131</v>
      </c>
      <c r="N1897" s="11">
        <f t="shared" si="151"/>
        <v>6.0995936982335584E-4</v>
      </c>
    </row>
    <row r="1898" spans="1:14" x14ac:dyDescent="0.25">
      <c r="A1898" s="79" t="s">
        <v>39</v>
      </c>
      <c r="B1898" s="89" t="s">
        <v>7</v>
      </c>
      <c r="C1898" s="89" t="s">
        <v>43</v>
      </c>
      <c r="D1898" s="13" t="s">
        <v>12</v>
      </c>
      <c r="E1898" s="35">
        <f>VLOOKUP(B1898, Passenger_Kilometre_by_mode_type[#All],MATCH(A1898, Passenger_Kilometre_by_mode_type[#Headers],0),0)</f>
        <v>303409408.69538796</v>
      </c>
      <c r="F1898" s="89">
        <f>VLOOKUP(C1898, Reason_for_walking_cycling_journeys_by_percentage[#All],MATCH(A1898, Reason_for_walking_cycling_journeys_by_percentage[#Headers],0),0)/100</f>
        <v>3.6749999999999998E-2</v>
      </c>
      <c r="G1898" s="13">
        <f t="shared" si="147"/>
        <v>11150295.769555507</v>
      </c>
      <c r="H1898" s="89">
        <f>VLOOKUP(D1898,Average_Distance_by_kilometre_grouping_for_mode_type[#All],MATCH(A1898,Average_Distance_by_kilometre_grouping_for_mode_type[#Headers],0),0)</f>
        <v>1</v>
      </c>
      <c r="I1898" s="89">
        <f>VLOOKUP(D1898,Average_Distance_by_kilometres_grouping_for_trip_purpose[#All],MATCH(A1898,Average_Distance_by_kilometres_grouping_for_trip_purpose[#Headers],0),0)</f>
        <v>1</v>
      </c>
      <c r="J1898" s="89">
        <f t="shared" si="148"/>
        <v>1</v>
      </c>
      <c r="K1898" s="89">
        <f t="shared" si="149"/>
        <v>2.3282887077997669E-2</v>
      </c>
      <c r="L1898" s="89">
        <v>1</v>
      </c>
      <c r="M1898" s="13">
        <f t="shared" si="150"/>
        <v>259611.07728883601</v>
      </c>
      <c r="N1898" s="11">
        <f t="shared" si="151"/>
        <v>3.9654959572436177E-6</v>
      </c>
    </row>
    <row r="1899" spans="1:14" x14ac:dyDescent="0.25">
      <c r="A1899" s="79" t="s">
        <v>39</v>
      </c>
      <c r="B1899" s="89" t="s">
        <v>7</v>
      </c>
      <c r="C1899" s="89" t="s">
        <v>43</v>
      </c>
      <c r="D1899" s="13" t="s">
        <v>181</v>
      </c>
      <c r="E1899" s="35">
        <f>VLOOKUP(B1899, Passenger_Kilometre_by_mode_type[#All],MATCH(A1899, Passenger_Kilometre_by_mode_type[#Headers],0),0)</f>
        <v>303409408.69538796</v>
      </c>
      <c r="F1899" s="89">
        <f>VLOOKUP(C1899, Reason_for_walking_cycling_journeys_by_percentage[#All],MATCH(A1899, Reason_for_walking_cycling_journeys_by_percentage[#Headers],0),0)/100</f>
        <v>3.6749999999999998E-2</v>
      </c>
      <c r="G1899" s="13">
        <f t="shared" si="147"/>
        <v>11150295.769555507</v>
      </c>
      <c r="H1899" s="89">
        <f>VLOOKUP(D1899,Average_Distance_by_kilometre_grouping_for_mode_type[#All],MATCH(A1899,Average_Distance_by_kilometre_grouping_for_mode_type[#Headers],0),0)</f>
        <v>3</v>
      </c>
      <c r="I1899" s="89">
        <f>VLOOKUP(D1899,Average_Distance_by_kilometres_grouping_for_trip_purpose[#All],MATCH(A1899,Average_Distance_by_kilometres_grouping_for_trip_purpose[#Headers],0),0)</f>
        <v>3</v>
      </c>
      <c r="J1899" s="89">
        <f t="shared" si="148"/>
        <v>3</v>
      </c>
      <c r="K1899" s="89">
        <f t="shared" si="149"/>
        <v>6.9848661233993012E-2</v>
      </c>
      <c r="L1899" s="89">
        <v>1</v>
      </c>
      <c r="M1899" s="13">
        <f t="shared" si="150"/>
        <v>778833.23186650802</v>
      </c>
      <c r="N1899" s="11">
        <f t="shared" si="151"/>
        <v>1.1896487871730852E-5</v>
      </c>
    </row>
    <row r="1900" spans="1:14" x14ac:dyDescent="0.25">
      <c r="A1900" s="79" t="s">
        <v>39</v>
      </c>
      <c r="B1900" s="89" t="s">
        <v>7</v>
      </c>
      <c r="C1900" s="89" t="s">
        <v>43</v>
      </c>
      <c r="D1900" s="13" t="s">
        <v>180</v>
      </c>
      <c r="E1900" s="35">
        <f>VLOOKUP(B1900, Passenger_Kilometre_by_mode_type[#All],MATCH(A1900, Passenger_Kilometre_by_mode_type[#Headers],0),0)</f>
        <v>303409408.69538796</v>
      </c>
      <c r="F1900" s="89">
        <f>VLOOKUP(C1900, Reason_for_walking_cycling_journeys_by_percentage[#All],MATCH(A1900, Reason_for_walking_cycling_journeys_by_percentage[#Headers],0),0)/100</f>
        <v>3.6749999999999998E-2</v>
      </c>
      <c r="G1900" s="13">
        <f t="shared" si="147"/>
        <v>11150295.769555507</v>
      </c>
      <c r="H1900" s="89">
        <f>VLOOKUP(D1900,Average_Distance_by_kilometre_grouping_for_mode_type[#All],MATCH(A1900,Average_Distance_by_kilometre_grouping_for_mode_type[#Headers],0),0)</f>
        <v>5</v>
      </c>
      <c r="I1900" s="89">
        <f>VLOOKUP(D1900,Average_Distance_by_kilometres_grouping_for_trip_purpose[#All],MATCH(A1900,Average_Distance_by_kilometres_grouping_for_trip_purpose[#Headers],0),0)</f>
        <v>5</v>
      </c>
      <c r="J1900" s="89">
        <f t="shared" si="148"/>
        <v>5</v>
      </c>
      <c r="K1900" s="89">
        <f t="shared" si="149"/>
        <v>0.11641443538998836</v>
      </c>
      <c r="L1900" s="89">
        <v>1</v>
      </c>
      <c r="M1900" s="13">
        <f t="shared" si="150"/>
        <v>1298055.38644418</v>
      </c>
      <c r="N1900" s="11">
        <f t="shared" si="151"/>
        <v>1.9827479786218088E-5</v>
      </c>
    </row>
    <row r="1901" spans="1:14" x14ac:dyDescent="0.25">
      <c r="A1901" s="79" t="s">
        <v>39</v>
      </c>
      <c r="B1901" s="89" t="s">
        <v>7</v>
      </c>
      <c r="C1901" s="89" t="s">
        <v>43</v>
      </c>
      <c r="D1901" s="13" t="s">
        <v>182</v>
      </c>
      <c r="E1901" s="35">
        <f>VLOOKUP(B1901, Passenger_Kilometre_by_mode_type[#All],MATCH(A1901, Passenger_Kilometre_by_mode_type[#Headers],0),0)</f>
        <v>303409408.69538796</v>
      </c>
      <c r="F1901" s="89">
        <f>VLOOKUP(C1901, Reason_for_walking_cycling_journeys_by_percentage[#All],MATCH(A1901, Reason_for_walking_cycling_journeys_by_percentage[#Headers],0),0)/100</f>
        <v>3.6749999999999998E-2</v>
      </c>
      <c r="G1901" s="13">
        <f t="shared" si="147"/>
        <v>11150295.769555507</v>
      </c>
      <c r="H1901" s="89">
        <f>VLOOKUP(D1901,Average_Distance_by_kilometre_grouping_for_mode_type[#All],MATCH(A1901,Average_Distance_by_kilometre_grouping_for_mode_type[#Headers],0),0)</f>
        <v>7</v>
      </c>
      <c r="I1901" s="89">
        <f>VLOOKUP(D1901,Average_Distance_by_kilometres_grouping_for_trip_purpose[#All],MATCH(A1901,Average_Distance_by_kilometres_grouping_for_trip_purpose[#Headers],0),0)</f>
        <v>7</v>
      </c>
      <c r="J1901" s="89">
        <f t="shared" si="148"/>
        <v>7</v>
      </c>
      <c r="K1901" s="89">
        <f t="shared" si="149"/>
        <v>0.16298020954598369</v>
      </c>
      <c r="L1901" s="89">
        <v>1</v>
      </c>
      <c r="M1901" s="13">
        <f t="shared" si="150"/>
        <v>1817277.5410218521</v>
      </c>
      <c r="N1901" s="11">
        <f t="shared" si="151"/>
        <v>2.7758471700705321E-5</v>
      </c>
    </row>
    <row r="1902" spans="1:14" x14ac:dyDescent="0.25">
      <c r="A1902" s="79" t="s">
        <v>39</v>
      </c>
      <c r="B1902" s="89" t="s">
        <v>7</v>
      </c>
      <c r="C1902" s="89" t="s">
        <v>43</v>
      </c>
      <c r="D1902" s="13" t="s">
        <v>1</v>
      </c>
      <c r="E1902" s="35">
        <f>VLOOKUP(B1902, Passenger_Kilometre_by_mode_type[#All],MATCH(A1902, Passenger_Kilometre_by_mode_type[#Headers],0),0)</f>
        <v>303409408.69538796</v>
      </c>
      <c r="F1902" s="89">
        <f>VLOOKUP(C1902, Reason_for_walking_cycling_journeys_by_percentage[#All],MATCH(A1902, Reason_for_walking_cycling_journeys_by_percentage[#Headers],0),0)/100</f>
        <v>3.6749999999999998E-2</v>
      </c>
      <c r="G1902" s="13">
        <f t="shared" si="147"/>
        <v>11150295.769555507</v>
      </c>
      <c r="H1902" s="89">
        <f>VLOOKUP(D1902,Average_Distance_by_kilometre_grouping_for_mode_type[#All],MATCH(A1902,Average_Distance_by_kilometre_grouping_for_mode_type[#Headers],0),0)</f>
        <v>25.7</v>
      </c>
      <c r="I1902" s="89">
        <f>VLOOKUP(D1902,Average_Distance_by_kilometres_grouping_for_trip_purpose[#All],MATCH(A1902,Average_Distance_by_kilometres_grouping_for_trip_purpose[#Headers],0),0)</f>
        <v>28.2</v>
      </c>
      <c r="J1902" s="89">
        <f t="shared" si="148"/>
        <v>26.95</v>
      </c>
      <c r="K1902" s="89">
        <f t="shared" si="149"/>
        <v>0.62747380675203723</v>
      </c>
      <c r="L1902" s="89">
        <v>1</v>
      </c>
      <c r="M1902" s="13">
        <f t="shared" si="150"/>
        <v>6996518.5329341302</v>
      </c>
      <c r="N1902" s="11">
        <f t="shared" si="151"/>
        <v>1.0687011604771549E-4</v>
      </c>
    </row>
    <row r="1903" spans="1:14" x14ac:dyDescent="0.25">
      <c r="A1903" s="79" t="s">
        <v>39</v>
      </c>
      <c r="B1903" s="89" t="s">
        <v>7</v>
      </c>
      <c r="C1903" s="89" t="s">
        <v>44</v>
      </c>
      <c r="D1903" s="13" t="s">
        <v>12</v>
      </c>
      <c r="E1903" s="35">
        <f>VLOOKUP(B1903, Passenger_Kilometre_by_mode_type[#All],MATCH(A1903, Passenger_Kilometre_by_mode_type[#Headers],0),0)</f>
        <v>303409408.69538796</v>
      </c>
      <c r="F1903" s="89">
        <f>VLOOKUP(C1903, Reason_for_walking_cycling_journeys_by_percentage[#All],MATCH(A1903, Reason_for_walking_cycling_journeys_by_percentage[#Headers],0),0)/100</f>
        <v>0.24875</v>
      </c>
      <c r="G1903" s="13">
        <f t="shared" si="147"/>
        <v>75473090.412977755</v>
      </c>
      <c r="H1903" s="89">
        <f>VLOOKUP(D1903,Average_Distance_by_kilometre_grouping_for_mode_type[#All],MATCH(A1903,Average_Distance_by_kilometre_grouping_for_mode_type[#Headers],0),0)</f>
        <v>1</v>
      </c>
      <c r="I1903" s="89">
        <f>VLOOKUP(D1903,Average_Distance_by_kilometres_grouping_for_trip_purpose[#All],MATCH(A1903,Average_Distance_by_kilometres_grouping_for_trip_purpose[#Headers],0),0)</f>
        <v>1</v>
      </c>
      <c r="J1903" s="89">
        <f t="shared" si="148"/>
        <v>1</v>
      </c>
      <c r="K1903" s="89">
        <f t="shared" si="149"/>
        <v>2.3282887077997669E-2</v>
      </c>
      <c r="L1903" s="89">
        <v>1</v>
      </c>
      <c r="M1903" s="13">
        <f t="shared" si="150"/>
        <v>1757231.4415128697</v>
      </c>
      <c r="N1903" s="11">
        <f t="shared" si="151"/>
        <v>2.6841282159574147E-5</v>
      </c>
    </row>
    <row r="1904" spans="1:14" x14ac:dyDescent="0.25">
      <c r="A1904" s="79" t="s">
        <v>39</v>
      </c>
      <c r="B1904" s="89" t="s">
        <v>7</v>
      </c>
      <c r="C1904" s="89" t="s">
        <v>44</v>
      </c>
      <c r="D1904" s="13" t="s">
        <v>181</v>
      </c>
      <c r="E1904" s="35">
        <f>VLOOKUP(B1904, Passenger_Kilometre_by_mode_type[#All],MATCH(A1904, Passenger_Kilometre_by_mode_type[#Headers],0),0)</f>
        <v>303409408.69538796</v>
      </c>
      <c r="F1904" s="89">
        <f>VLOOKUP(C1904, Reason_for_walking_cycling_journeys_by_percentage[#All],MATCH(A1904, Reason_for_walking_cycling_journeys_by_percentage[#Headers],0),0)/100</f>
        <v>0.24875</v>
      </c>
      <c r="G1904" s="13">
        <f t="shared" si="147"/>
        <v>75473090.412977755</v>
      </c>
      <c r="H1904" s="89">
        <f>VLOOKUP(D1904,Average_Distance_by_kilometre_grouping_for_mode_type[#All],MATCH(A1904,Average_Distance_by_kilometre_grouping_for_mode_type[#Headers],0),0)</f>
        <v>3</v>
      </c>
      <c r="I1904" s="89">
        <f>VLOOKUP(D1904,Average_Distance_by_kilometres_grouping_for_trip_purpose[#All],MATCH(A1904,Average_Distance_by_kilometres_grouping_for_trip_purpose[#Headers],0),0)</f>
        <v>3</v>
      </c>
      <c r="J1904" s="89">
        <f t="shared" si="148"/>
        <v>3</v>
      </c>
      <c r="K1904" s="89">
        <f t="shared" si="149"/>
        <v>6.9848661233993012E-2</v>
      </c>
      <c r="L1904" s="89">
        <v>1</v>
      </c>
      <c r="M1904" s="13">
        <f t="shared" si="150"/>
        <v>5271694.324538609</v>
      </c>
      <c r="N1904" s="11">
        <f t="shared" si="151"/>
        <v>8.0523846478722445E-5</v>
      </c>
    </row>
    <row r="1905" spans="1:14" x14ac:dyDescent="0.25">
      <c r="A1905" s="79" t="s">
        <v>39</v>
      </c>
      <c r="B1905" s="89" t="s">
        <v>7</v>
      </c>
      <c r="C1905" s="89" t="s">
        <v>44</v>
      </c>
      <c r="D1905" s="13" t="s">
        <v>180</v>
      </c>
      <c r="E1905" s="35">
        <f>VLOOKUP(B1905, Passenger_Kilometre_by_mode_type[#All],MATCH(A1905, Passenger_Kilometre_by_mode_type[#Headers],0),0)</f>
        <v>303409408.69538796</v>
      </c>
      <c r="F1905" s="89">
        <f>VLOOKUP(C1905, Reason_for_walking_cycling_journeys_by_percentage[#All],MATCH(A1905, Reason_for_walking_cycling_journeys_by_percentage[#Headers],0),0)/100</f>
        <v>0.24875</v>
      </c>
      <c r="G1905" s="13">
        <f t="shared" si="147"/>
        <v>75473090.412977755</v>
      </c>
      <c r="H1905" s="89">
        <f>VLOOKUP(D1905,Average_Distance_by_kilometre_grouping_for_mode_type[#All],MATCH(A1905,Average_Distance_by_kilometre_grouping_for_mode_type[#Headers],0),0)</f>
        <v>5</v>
      </c>
      <c r="I1905" s="89">
        <f>VLOOKUP(D1905,Average_Distance_by_kilometres_grouping_for_trip_purpose[#All],MATCH(A1905,Average_Distance_by_kilometres_grouping_for_trip_purpose[#Headers],0),0)</f>
        <v>5</v>
      </c>
      <c r="J1905" s="89">
        <f t="shared" si="148"/>
        <v>5</v>
      </c>
      <c r="K1905" s="89">
        <f t="shared" si="149"/>
        <v>0.11641443538998836</v>
      </c>
      <c r="L1905" s="89">
        <v>1</v>
      </c>
      <c r="M1905" s="13">
        <f t="shared" si="150"/>
        <v>8786157.2075643484</v>
      </c>
      <c r="N1905" s="11">
        <f t="shared" si="151"/>
        <v>1.3420641079787073E-4</v>
      </c>
    </row>
    <row r="1906" spans="1:14" x14ac:dyDescent="0.25">
      <c r="A1906" s="79" t="s">
        <v>39</v>
      </c>
      <c r="B1906" s="89" t="s">
        <v>7</v>
      </c>
      <c r="C1906" s="89" t="s">
        <v>44</v>
      </c>
      <c r="D1906" s="13" t="s">
        <v>182</v>
      </c>
      <c r="E1906" s="35">
        <f>VLOOKUP(B1906, Passenger_Kilometre_by_mode_type[#All],MATCH(A1906, Passenger_Kilometre_by_mode_type[#Headers],0),0)</f>
        <v>303409408.69538796</v>
      </c>
      <c r="F1906" s="89">
        <f>VLOOKUP(C1906, Reason_for_walking_cycling_journeys_by_percentage[#All],MATCH(A1906, Reason_for_walking_cycling_journeys_by_percentage[#Headers],0),0)/100</f>
        <v>0.24875</v>
      </c>
      <c r="G1906" s="13">
        <f t="shared" si="147"/>
        <v>75473090.412977755</v>
      </c>
      <c r="H1906" s="89">
        <f>VLOOKUP(D1906,Average_Distance_by_kilometre_grouping_for_mode_type[#All],MATCH(A1906,Average_Distance_by_kilometre_grouping_for_mode_type[#Headers],0),0)</f>
        <v>7</v>
      </c>
      <c r="I1906" s="89">
        <f>VLOOKUP(D1906,Average_Distance_by_kilometres_grouping_for_trip_purpose[#All],MATCH(A1906,Average_Distance_by_kilometres_grouping_for_trip_purpose[#Headers],0),0)</f>
        <v>7</v>
      </c>
      <c r="J1906" s="89">
        <f t="shared" si="148"/>
        <v>7</v>
      </c>
      <c r="K1906" s="89">
        <f t="shared" si="149"/>
        <v>0.16298020954598369</v>
      </c>
      <c r="L1906" s="89">
        <v>1</v>
      </c>
      <c r="M1906" s="13">
        <f t="shared" si="150"/>
        <v>12300620.090590088</v>
      </c>
      <c r="N1906" s="11">
        <f t="shared" si="151"/>
        <v>1.8788897511701902E-4</v>
      </c>
    </row>
    <row r="1907" spans="1:14" x14ac:dyDescent="0.25">
      <c r="A1907" s="79" t="s">
        <v>39</v>
      </c>
      <c r="B1907" s="89" t="s">
        <v>7</v>
      </c>
      <c r="C1907" s="89" t="s">
        <v>44</v>
      </c>
      <c r="D1907" s="13" t="s">
        <v>1</v>
      </c>
      <c r="E1907" s="35">
        <f>VLOOKUP(B1907, Passenger_Kilometre_by_mode_type[#All],MATCH(A1907, Passenger_Kilometre_by_mode_type[#Headers],0),0)</f>
        <v>303409408.69538796</v>
      </c>
      <c r="F1907" s="89">
        <f>VLOOKUP(C1907, Reason_for_walking_cycling_journeys_by_percentage[#All],MATCH(A1907, Reason_for_walking_cycling_journeys_by_percentage[#Headers],0),0)/100</f>
        <v>0.24875</v>
      </c>
      <c r="G1907" s="13">
        <f t="shared" si="147"/>
        <v>75473090.412977755</v>
      </c>
      <c r="H1907" s="89">
        <f>VLOOKUP(D1907,Average_Distance_by_kilometre_grouping_for_mode_type[#All],MATCH(A1907,Average_Distance_by_kilometre_grouping_for_mode_type[#Headers],0),0)</f>
        <v>25.7</v>
      </c>
      <c r="I1907" s="89">
        <f>VLOOKUP(D1907,Average_Distance_by_kilometres_grouping_for_trip_purpose[#All],MATCH(A1907,Average_Distance_by_kilometres_grouping_for_trip_purpose[#Headers],0),0)</f>
        <v>28.2</v>
      </c>
      <c r="J1907" s="89">
        <f t="shared" si="148"/>
        <v>26.95</v>
      </c>
      <c r="K1907" s="89">
        <f t="shared" si="149"/>
        <v>0.62747380675203723</v>
      </c>
      <c r="L1907" s="89">
        <v>1</v>
      </c>
      <c r="M1907" s="13">
        <f t="shared" si="150"/>
        <v>47357387.34877184</v>
      </c>
      <c r="N1907" s="11">
        <f t="shared" si="151"/>
        <v>7.2337255420052327E-4</v>
      </c>
    </row>
    <row r="1908" spans="1:14" x14ac:dyDescent="0.25">
      <c r="A1908" s="79" t="s">
        <v>39</v>
      </c>
      <c r="B1908" s="89" t="s">
        <v>7</v>
      </c>
      <c r="C1908" s="89" t="s">
        <v>45</v>
      </c>
      <c r="D1908" s="13" t="s">
        <v>12</v>
      </c>
      <c r="E1908" s="35">
        <f>VLOOKUP(B1908, Passenger_Kilometre_by_mode_type[#All],MATCH(A1908, Passenger_Kilometre_by_mode_type[#Headers],0),0)</f>
        <v>303409408.69538796</v>
      </c>
      <c r="F1908" s="89">
        <f>VLOOKUP(C1908, Reason_for_walking_cycling_journeys_by_percentage[#All],MATCH(A1908, Reason_for_walking_cycling_journeys_by_percentage[#Headers],0),0)/100</f>
        <v>5.8249999999999996E-2</v>
      </c>
      <c r="G1908" s="13">
        <f t="shared" si="147"/>
        <v>17673598.056506347</v>
      </c>
      <c r="H1908" s="89">
        <f>VLOOKUP(D1908,Average_Distance_by_kilometre_grouping_for_mode_type[#All],MATCH(A1908,Average_Distance_by_kilometre_grouping_for_mode_type[#Headers],0),0)</f>
        <v>1</v>
      </c>
      <c r="I1908" s="89">
        <f>VLOOKUP(D1908,Average_Distance_by_kilometres_grouping_for_trip_purpose[#All],MATCH(A1908,Average_Distance_by_kilometres_grouping_for_trip_purpose[#Headers],0),0)</f>
        <v>1</v>
      </c>
      <c r="J1908" s="89">
        <f t="shared" si="148"/>
        <v>1</v>
      </c>
      <c r="K1908" s="89">
        <f t="shared" si="149"/>
        <v>2.3282887077997669E-2</v>
      </c>
      <c r="L1908" s="89">
        <v>1</v>
      </c>
      <c r="M1908" s="13">
        <f t="shared" si="150"/>
        <v>411492.38781155634</v>
      </c>
      <c r="N1908" s="11">
        <f t="shared" si="151"/>
        <v>6.2854459730460047E-6</v>
      </c>
    </row>
    <row r="1909" spans="1:14" x14ac:dyDescent="0.25">
      <c r="A1909" s="79" t="s">
        <v>39</v>
      </c>
      <c r="B1909" s="89" t="s">
        <v>7</v>
      </c>
      <c r="C1909" s="89" t="s">
        <v>45</v>
      </c>
      <c r="D1909" s="13" t="s">
        <v>181</v>
      </c>
      <c r="E1909" s="35">
        <f>VLOOKUP(B1909, Passenger_Kilometre_by_mode_type[#All],MATCH(A1909, Passenger_Kilometre_by_mode_type[#Headers],0),0)</f>
        <v>303409408.69538796</v>
      </c>
      <c r="F1909" s="89">
        <f>VLOOKUP(C1909, Reason_for_walking_cycling_journeys_by_percentage[#All],MATCH(A1909, Reason_for_walking_cycling_journeys_by_percentage[#Headers],0),0)/100</f>
        <v>5.8249999999999996E-2</v>
      </c>
      <c r="G1909" s="13">
        <f t="shared" si="147"/>
        <v>17673598.056506347</v>
      </c>
      <c r="H1909" s="89">
        <f>VLOOKUP(D1909,Average_Distance_by_kilometre_grouping_for_mode_type[#All],MATCH(A1909,Average_Distance_by_kilometre_grouping_for_mode_type[#Headers],0),0)</f>
        <v>3</v>
      </c>
      <c r="I1909" s="89">
        <f>VLOOKUP(D1909,Average_Distance_by_kilometres_grouping_for_trip_purpose[#All],MATCH(A1909,Average_Distance_by_kilometres_grouping_for_trip_purpose[#Headers],0),0)</f>
        <v>3</v>
      </c>
      <c r="J1909" s="89">
        <f t="shared" si="148"/>
        <v>3</v>
      </c>
      <c r="K1909" s="89">
        <f t="shared" si="149"/>
        <v>6.9848661233993012E-2</v>
      </c>
      <c r="L1909" s="89">
        <v>1</v>
      </c>
      <c r="M1909" s="13">
        <f t="shared" si="150"/>
        <v>1234477.1634346691</v>
      </c>
      <c r="N1909" s="11">
        <f t="shared" si="151"/>
        <v>1.8856337919138015E-5</v>
      </c>
    </row>
    <row r="1910" spans="1:14" x14ac:dyDescent="0.25">
      <c r="A1910" s="79" t="s">
        <v>39</v>
      </c>
      <c r="B1910" s="89" t="s">
        <v>7</v>
      </c>
      <c r="C1910" s="89" t="s">
        <v>45</v>
      </c>
      <c r="D1910" s="13" t="s">
        <v>180</v>
      </c>
      <c r="E1910" s="35">
        <f>VLOOKUP(B1910, Passenger_Kilometre_by_mode_type[#All],MATCH(A1910, Passenger_Kilometre_by_mode_type[#Headers],0),0)</f>
        <v>303409408.69538796</v>
      </c>
      <c r="F1910" s="89">
        <f>VLOOKUP(C1910, Reason_for_walking_cycling_journeys_by_percentage[#All],MATCH(A1910, Reason_for_walking_cycling_journeys_by_percentage[#Headers],0),0)/100</f>
        <v>5.8249999999999996E-2</v>
      </c>
      <c r="G1910" s="13">
        <f t="shared" si="147"/>
        <v>17673598.056506347</v>
      </c>
      <c r="H1910" s="89">
        <f>VLOOKUP(D1910,Average_Distance_by_kilometre_grouping_for_mode_type[#All],MATCH(A1910,Average_Distance_by_kilometre_grouping_for_mode_type[#Headers],0),0)</f>
        <v>5</v>
      </c>
      <c r="I1910" s="89">
        <f>VLOOKUP(D1910,Average_Distance_by_kilometres_grouping_for_trip_purpose[#All],MATCH(A1910,Average_Distance_by_kilometres_grouping_for_trip_purpose[#Headers],0),0)</f>
        <v>5</v>
      </c>
      <c r="J1910" s="89">
        <f t="shared" si="148"/>
        <v>5</v>
      </c>
      <c r="K1910" s="89">
        <f t="shared" si="149"/>
        <v>0.11641443538998836</v>
      </c>
      <c r="L1910" s="89">
        <v>1</v>
      </c>
      <c r="M1910" s="13">
        <f t="shared" si="150"/>
        <v>2057461.9390577818</v>
      </c>
      <c r="N1910" s="11">
        <f t="shared" si="151"/>
        <v>3.1427229865230029E-5</v>
      </c>
    </row>
    <row r="1911" spans="1:14" x14ac:dyDescent="0.25">
      <c r="A1911" s="79" t="s">
        <v>39</v>
      </c>
      <c r="B1911" s="89" t="s">
        <v>7</v>
      </c>
      <c r="C1911" s="89" t="s">
        <v>45</v>
      </c>
      <c r="D1911" s="13" t="s">
        <v>182</v>
      </c>
      <c r="E1911" s="35">
        <f>VLOOKUP(B1911, Passenger_Kilometre_by_mode_type[#All],MATCH(A1911, Passenger_Kilometre_by_mode_type[#Headers],0),0)</f>
        <v>303409408.69538796</v>
      </c>
      <c r="F1911" s="89">
        <f>VLOOKUP(C1911, Reason_for_walking_cycling_journeys_by_percentage[#All],MATCH(A1911, Reason_for_walking_cycling_journeys_by_percentage[#Headers],0),0)/100</f>
        <v>5.8249999999999996E-2</v>
      </c>
      <c r="G1911" s="13">
        <f t="shared" si="147"/>
        <v>17673598.056506347</v>
      </c>
      <c r="H1911" s="89">
        <f>VLOOKUP(D1911,Average_Distance_by_kilometre_grouping_for_mode_type[#All],MATCH(A1911,Average_Distance_by_kilometre_grouping_for_mode_type[#Headers],0),0)</f>
        <v>7</v>
      </c>
      <c r="I1911" s="89">
        <f>VLOOKUP(D1911,Average_Distance_by_kilometres_grouping_for_trip_purpose[#All],MATCH(A1911,Average_Distance_by_kilometres_grouping_for_trip_purpose[#Headers],0),0)</f>
        <v>7</v>
      </c>
      <c r="J1911" s="89">
        <f t="shared" si="148"/>
        <v>7</v>
      </c>
      <c r="K1911" s="89">
        <f t="shared" si="149"/>
        <v>0.16298020954598369</v>
      </c>
      <c r="L1911" s="89">
        <v>1</v>
      </c>
      <c r="M1911" s="13">
        <f t="shared" si="150"/>
        <v>2880446.7146808943</v>
      </c>
      <c r="N1911" s="11">
        <f t="shared" si="151"/>
        <v>4.399812181132203E-5</v>
      </c>
    </row>
    <row r="1912" spans="1:14" x14ac:dyDescent="0.25">
      <c r="A1912" s="79" t="s">
        <v>39</v>
      </c>
      <c r="B1912" s="89" t="s">
        <v>7</v>
      </c>
      <c r="C1912" s="89" t="s">
        <v>45</v>
      </c>
      <c r="D1912" s="13" t="s">
        <v>1</v>
      </c>
      <c r="E1912" s="35">
        <f>VLOOKUP(B1912, Passenger_Kilometre_by_mode_type[#All],MATCH(A1912, Passenger_Kilometre_by_mode_type[#Headers],0),0)</f>
        <v>303409408.69538796</v>
      </c>
      <c r="F1912" s="89">
        <f>VLOOKUP(C1912, Reason_for_walking_cycling_journeys_by_percentage[#All],MATCH(A1912, Reason_for_walking_cycling_journeys_by_percentage[#Headers],0),0)/100</f>
        <v>5.8249999999999996E-2</v>
      </c>
      <c r="G1912" s="13">
        <f t="shared" si="147"/>
        <v>17673598.056506347</v>
      </c>
      <c r="H1912" s="89">
        <f>VLOOKUP(D1912,Average_Distance_by_kilometre_grouping_for_mode_type[#All],MATCH(A1912,Average_Distance_by_kilometre_grouping_for_mode_type[#Headers],0),0)</f>
        <v>25.7</v>
      </c>
      <c r="I1912" s="89">
        <f>VLOOKUP(D1912,Average_Distance_by_kilometres_grouping_for_trip_purpose[#All],MATCH(A1912,Average_Distance_by_kilometres_grouping_for_trip_purpose[#Headers],0),0)</f>
        <v>28.2</v>
      </c>
      <c r="J1912" s="89">
        <f t="shared" si="148"/>
        <v>26.95</v>
      </c>
      <c r="K1912" s="89">
        <f t="shared" si="149"/>
        <v>0.62747380675203723</v>
      </c>
      <c r="L1912" s="89">
        <v>1</v>
      </c>
      <c r="M1912" s="13">
        <f t="shared" si="150"/>
        <v>11089719.851521444</v>
      </c>
      <c r="N1912" s="11">
        <f t="shared" si="151"/>
        <v>1.6939276897358984E-4</v>
      </c>
    </row>
    <row r="1913" spans="1:14" x14ac:dyDescent="0.25">
      <c r="A1913" s="79" t="s">
        <v>39</v>
      </c>
      <c r="B1913" s="89" t="s">
        <v>7</v>
      </c>
      <c r="C1913" s="89" t="s">
        <v>56</v>
      </c>
      <c r="D1913" s="13" t="s">
        <v>12</v>
      </c>
      <c r="E1913" s="35">
        <f>VLOOKUP(B1913, Passenger_Kilometre_by_mode_type[#All],MATCH(A1913, Passenger_Kilometre_by_mode_type[#Headers],0),0)</f>
        <v>303409408.69538796</v>
      </c>
      <c r="F1913" s="89">
        <f>VLOOKUP(C1913, Reason_for_walking_cycling_journeys_by_percentage[#All],MATCH(A1913, Reason_for_walking_cycling_journeys_by_percentage[#Headers],0),0)/100</f>
        <v>8.0499999999999988E-2</v>
      </c>
      <c r="G1913" s="13">
        <f t="shared" si="147"/>
        <v>24424457.399978727</v>
      </c>
      <c r="H1913" s="89">
        <f>VLOOKUP(D1913,Average_Distance_by_kilometre_grouping_for_mode_type[#All],MATCH(A1913,Average_Distance_by_kilometre_grouping_for_mode_type[#Headers],0),0)</f>
        <v>1</v>
      </c>
      <c r="I1913" s="89">
        <f>VLOOKUP(D1913,Average_Distance_by_kilometres_grouping_for_trip_purpose[#All],MATCH(A1913,Average_Distance_by_kilometres_grouping_for_trip_purpose[#Headers],0),0)</f>
        <v>1</v>
      </c>
      <c r="J1913" s="89">
        <f t="shared" si="148"/>
        <v>1</v>
      </c>
      <c r="K1913" s="89">
        <f t="shared" si="149"/>
        <v>2.3282887077997669E-2</v>
      </c>
      <c r="L1913" s="89">
        <v>1</v>
      </c>
      <c r="M1913" s="13">
        <f t="shared" si="150"/>
        <v>568671.88358506921</v>
      </c>
      <c r="N1913" s="11">
        <f t="shared" si="151"/>
        <v>8.6863244777717316E-6</v>
      </c>
    </row>
    <row r="1914" spans="1:14" x14ac:dyDescent="0.25">
      <c r="A1914" s="79" t="s">
        <v>39</v>
      </c>
      <c r="B1914" s="89" t="s">
        <v>7</v>
      </c>
      <c r="C1914" s="89" t="s">
        <v>56</v>
      </c>
      <c r="D1914" s="13" t="s">
        <v>181</v>
      </c>
      <c r="E1914" s="35">
        <f>VLOOKUP(B1914, Passenger_Kilometre_by_mode_type[#All],MATCH(A1914, Passenger_Kilometre_by_mode_type[#Headers],0),0)</f>
        <v>303409408.69538796</v>
      </c>
      <c r="F1914" s="89">
        <f>VLOOKUP(C1914, Reason_for_walking_cycling_journeys_by_percentage[#All],MATCH(A1914, Reason_for_walking_cycling_journeys_by_percentage[#Headers],0),0)/100</f>
        <v>8.0499999999999988E-2</v>
      </c>
      <c r="G1914" s="13">
        <f t="shared" si="147"/>
        <v>24424457.399978727</v>
      </c>
      <c r="H1914" s="89">
        <f>VLOOKUP(D1914,Average_Distance_by_kilometre_grouping_for_mode_type[#All],MATCH(A1914,Average_Distance_by_kilometre_grouping_for_mode_type[#Headers],0),0)</f>
        <v>3</v>
      </c>
      <c r="I1914" s="89">
        <f>VLOOKUP(D1914,Average_Distance_by_kilometres_grouping_for_trip_purpose[#All],MATCH(A1914,Average_Distance_by_kilometres_grouping_for_trip_purpose[#Headers],0),0)</f>
        <v>3</v>
      </c>
      <c r="J1914" s="89">
        <f t="shared" si="148"/>
        <v>3</v>
      </c>
      <c r="K1914" s="89">
        <f t="shared" si="149"/>
        <v>6.9848661233993012E-2</v>
      </c>
      <c r="L1914" s="89">
        <v>1</v>
      </c>
      <c r="M1914" s="13">
        <f t="shared" si="150"/>
        <v>1706015.6507552078</v>
      </c>
      <c r="N1914" s="11">
        <f t="shared" si="151"/>
        <v>2.6058973433315197E-5</v>
      </c>
    </row>
    <row r="1915" spans="1:14" x14ac:dyDescent="0.25">
      <c r="A1915" s="79" t="s">
        <v>39</v>
      </c>
      <c r="B1915" s="89" t="s">
        <v>7</v>
      </c>
      <c r="C1915" s="89" t="s">
        <v>56</v>
      </c>
      <c r="D1915" s="13" t="s">
        <v>180</v>
      </c>
      <c r="E1915" s="35">
        <f>VLOOKUP(B1915, Passenger_Kilometre_by_mode_type[#All],MATCH(A1915, Passenger_Kilometre_by_mode_type[#Headers],0),0)</f>
        <v>303409408.69538796</v>
      </c>
      <c r="F1915" s="89">
        <f>VLOOKUP(C1915, Reason_for_walking_cycling_journeys_by_percentage[#All],MATCH(A1915, Reason_for_walking_cycling_journeys_by_percentage[#Headers],0),0)/100</f>
        <v>8.0499999999999988E-2</v>
      </c>
      <c r="G1915" s="13">
        <f t="shared" si="147"/>
        <v>24424457.399978727</v>
      </c>
      <c r="H1915" s="89">
        <f>VLOOKUP(D1915,Average_Distance_by_kilometre_grouping_for_mode_type[#All],MATCH(A1915,Average_Distance_by_kilometre_grouping_for_mode_type[#Headers],0),0)</f>
        <v>5</v>
      </c>
      <c r="I1915" s="89">
        <f>VLOOKUP(D1915,Average_Distance_by_kilometres_grouping_for_trip_purpose[#All],MATCH(A1915,Average_Distance_by_kilometres_grouping_for_trip_purpose[#Headers],0),0)</f>
        <v>5</v>
      </c>
      <c r="J1915" s="89">
        <f t="shared" si="148"/>
        <v>5</v>
      </c>
      <c r="K1915" s="89">
        <f t="shared" si="149"/>
        <v>0.11641443538998836</v>
      </c>
      <c r="L1915" s="89">
        <v>1</v>
      </c>
      <c r="M1915" s="13">
        <f t="shared" si="150"/>
        <v>2843359.4179253466</v>
      </c>
      <c r="N1915" s="11">
        <f t="shared" si="151"/>
        <v>4.3431622388858663E-5</v>
      </c>
    </row>
    <row r="1916" spans="1:14" x14ac:dyDescent="0.25">
      <c r="A1916" s="79" t="s">
        <v>39</v>
      </c>
      <c r="B1916" s="89" t="s">
        <v>7</v>
      </c>
      <c r="C1916" s="89" t="s">
        <v>56</v>
      </c>
      <c r="D1916" s="13" t="s">
        <v>182</v>
      </c>
      <c r="E1916" s="35">
        <f>VLOOKUP(B1916, Passenger_Kilometre_by_mode_type[#All],MATCH(A1916, Passenger_Kilometre_by_mode_type[#Headers],0),0)</f>
        <v>303409408.69538796</v>
      </c>
      <c r="F1916" s="89">
        <f>VLOOKUP(C1916, Reason_for_walking_cycling_journeys_by_percentage[#All],MATCH(A1916, Reason_for_walking_cycling_journeys_by_percentage[#Headers],0),0)/100</f>
        <v>8.0499999999999988E-2</v>
      </c>
      <c r="G1916" s="13">
        <f t="shared" si="147"/>
        <v>24424457.399978727</v>
      </c>
      <c r="H1916" s="89">
        <f>VLOOKUP(D1916,Average_Distance_by_kilometre_grouping_for_mode_type[#All],MATCH(A1916,Average_Distance_by_kilometre_grouping_for_mode_type[#Headers],0),0)</f>
        <v>7</v>
      </c>
      <c r="I1916" s="89">
        <f>VLOOKUP(D1916,Average_Distance_by_kilometres_grouping_for_trip_purpose[#All],MATCH(A1916,Average_Distance_by_kilometres_grouping_for_trip_purpose[#Headers],0),0)</f>
        <v>7</v>
      </c>
      <c r="J1916" s="89">
        <f t="shared" si="148"/>
        <v>7</v>
      </c>
      <c r="K1916" s="89">
        <f t="shared" si="149"/>
        <v>0.16298020954598369</v>
      </c>
      <c r="L1916" s="89">
        <v>1</v>
      </c>
      <c r="M1916" s="13">
        <f t="shared" si="150"/>
        <v>3980703.1850954848</v>
      </c>
      <c r="N1916" s="11">
        <f t="shared" si="151"/>
        <v>6.0804271344402123E-5</v>
      </c>
    </row>
    <row r="1917" spans="1:14" x14ac:dyDescent="0.25">
      <c r="A1917" s="79" t="s">
        <v>39</v>
      </c>
      <c r="B1917" s="89" t="s">
        <v>7</v>
      </c>
      <c r="C1917" s="89" t="s">
        <v>56</v>
      </c>
      <c r="D1917" s="13" t="s">
        <v>1</v>
      </c>
      <c r="E1917" s="35">
        <f>VLOOKUP(B1917, Passenger_Kilometre_by_mode_type[#All],MATCH(A1917, Passenger_Kilometre_by_mode_type[#Headers],0),0)</f>
        <v>303409408.69538796</v>
      </c>
      <c r="F1917" s="89">
        <f>VLOOKUP(C1917, Reason_for_walking_cycling_journeys_by_percentage[#All],MATCH(A1917, Reason_for_walking_cycling_journeys_by_percentage[#Headers],0),0)/100</f>
        <v>8.0499999999999988E-2</v>
      </c>
      <c r="G1917" s="13">
        <f t="shared" si="147"/>
        <v>24424457.399978727</v>
      </c>
      <c r="H1917" s="89">
        <f>VLOOKUP(D1917,Average_Distance_by_kilometre_grouping_for_mode_type[#All],MATCH(A1917,Average_Distance_by_kilometre_grouping_for_mode_type[#Headers],0),0)</f>
        <v>25.7</v>
      </c>
      <c r="I1917" s="89">
        <f>VLOOKUP(D1917,Average_Distance_by_kilometres_grouping_for_trip_purpose[#All],MATCH(A1917,Average_Distance_by_kilometres_grouping_for_trip_purpose[#Headers],0),0)</f>
        <v>28.2</v>
      </c>
      <c r="J1917" s="89">
        <f t="shared" si="148"/>
        <v>26.95</v>
      </c>
      <c r="K1917" s="89">
        <f t="shared" si="149"/>
        <v>0.62747380675203723</v>
      </c>
      <c r="L1917" s="89">
        <v>1</v>
      </c>
      <c r="M1917" s="13">
        <f t="shared" si="150"/>
        <v>15325707.262617618</v>
      </c>
      <c r="N1917" s="11">
        <f t="shared" si="151"/>
        <v>2.3409644467594818E-4</v>
      </c>
    </row>
    <row r="1918" spans="1:14" x14ac:dyDescent="0.25">
      <c r="A1918" s="79" t="s">
        <v>39</v>
      </c>
      <c r="B1918" s="89" t="s">
        <v>7</v>
      </c>
      <c r="C1918" s="89" t="s">
        <v>57</v>
      </c>
      <c r="D1918" s="13" t="s">
        <v>12</v>
      </c>
      <c r="E1918" s="35">
        <f>VLOOKUP(B1918, Passenger_Kilometre_by_mode_type[#All],MATCH(A1918, Passenger_Kilometre_by_mode_type[#Headers],0),0)</f>
        <v>303409408.69538796</v>
      </c>
      <c r="F1918" s="89">
        <f>VLOOKUP(C1918, Reason_for_walking_cycling_journeys_by_percentage[#All],MATCH(A1918, Reason_for_walking_cycling_journeys_by_percentage[#Headers],0),0)/100</f>
        <v>0.10050000000000001</v>
      </c>
      <c r="G1918" s="13">
        <f t="shared" si="147"/>
        <v>30492645.573886491</v>
      </c>
      <c r="H1918" s="89">
        <f>VLOOKUP(D1918,Average_Distance_by_kilometre_grouping_for_mode_type[#All],MATCH(A1918,Average_Distance_by_kilometre_grouping_for_mode_type[#Headers],0),0)</f>
        <v>1</v>
      </c>
      <c r="I1918" s="89">
        <f>VLOOKUP(D1918,Average_Distance_by_kilometres_grouping_for_trip_purpose[#All],MATCH(A1918,Average_Distance_by_kilometres_grouping_for_trip_purpose[#Headers],0),0)</f>
        <v>1</v>
      </c>
      <c r="J1918" s="89">
        <f t="shared" si="148"/>
        <v>1</v>
      </c>
      <c r="K1918" s="89">
        <f t="shared" si="149"/>
        <v>2.3282887077997669E-2</v>
      </c>
      <c r="L1918" s="89">
        <v>1</v>
      </c>
      <c r="M1918" s="13">
        <f t="shared" si="150"/>
        <v>709956.82360620459</v>
      </c>
      <c r="N1918" s="11">
        <f t="shared" si="151"/>
        <v>1.0844417515727444E-5</v>
      </c>
    </row>
    <row r="1919" spans="1:14" x14ac:dyDescent="0.25">
      <c r="A1919" s="79" t="s">
        <v>39</v>
      </c>
      <c r="B1919" s="89" t="s">
        <v>7</v>
      </c>
      <c r="C1919" s="89" t="s">
        <v>57</v>
      </c>
      <c r="D1919" s="13" t="s">
        <v>181</v>
      </c>
      <c r="E1919" s="35">
        <f>VLOOKUP(B1919, Passenger_Kilometre_by_mode_type[#All],MATCH(A1919, Passenger_Kilometre_by_mode_type[#Headers],0),0)</f>
        <v>303409408.69538796</v>
      </c>
      <c r="F1919" s="89">
        <f>VLOOKUP(C1919, Reason_for_walking_cycling_journeys_by_percentage[#All],MATCH(A1919, Reason_for_walking_cycling_journeys_by_percentage[#Headers],0),0)/100</f>
        <v>0.10050000000000001</v>
      </c>
      <c r="G1919" s="13">
        <f t="shared" si="147"/>
        <v>30492645.573886491</v>
      </c>
      <c r="H1919" s="89">
        <f>VLOOKUP(D1919,Average_Distance_by_kilometre_grouping_for_mode_type[#All],MATCH(A1919,Average_Distance_by_kilometre_grouping_for_mode_type[#Headers],0),0)</f>
        <v>3</v>
      </c>
      <c r="I1919" s="89">
        <f>VLOOKUP(D1919,Average_Distance_by_kilometres_grouping_for_trip_purpose[#All],MATCH(A1919,Average_Distance_by_kilometres_grouping_for_trip_purpose[#Headers],0),0)</f>
        <v>3</v>
      </c>
      <c r="J1919" s="89">
        <f t="shared" si="148"/>
        <v>3</v>
      </c>
      <c r="K1919" s="89">
        <f t="shared" si="149"/>
        <v>6.9848661233993012E-2</v>
      </c>
      <c r="L1919" s="89">
        <v>1</v>
      </c>
      <c r="M1919" s="13">
        <f t="shared" si="150"/>
        <v>2129870.4708186141</v>
      </c>
      <c r="N1919" s="11">
        <f t="shared" si="151"/>
        <v>3.2533252547182333E-5</v>
      </c>
    </row>
    <row r="1920" spans="1:14" x14ac:dyDescent="0.25">
      <c r="A1920" s="79" t="s">
        <v>39</v>
      </c>
      <c r="B1920" s="89" t="s">
        <v>7</v>
      </c>
      <c r="C1920" s="89" t="s">
        <v>57</v>
      </c>
      <c r="D1920" s="13" t="s">
        <v>180</v>
      </c>
      <c r="E1920" s="35">
        <f>VLOOKUP(B1920, Passenger_Kilometre_by_mode_type[#All],MATCH(A1920, Passenger_Kilometre_by_mode_type[#Headers],0),0)</f>
        <v>303409408.69538796</v>
      </c>
      <c r="F1920" s="89">
        <f>VLOOKUP(C1920, Reason_for_walking_cycling_journeys_by_percentage[#All],MATCH(A1920, Reason_for_walking_cycling_journeys_by_percentage[#Headers],0),0)/100</f>
        <v>0.10050000000000001</v>
      </c>
      <c r="G1920" s="13">
        <f t="shared" si="147"/>
        <v>30492645.573886491</v>
      </c>
      <c r="H1920" s="89">
        <f>VLOOKUP(D1920,Average_Distance_by_kilometre_grouping_for_mode_type[#All],MATCH(A1920,Average_Distance_by_kilometre_grouping_for_mode_type[#Headers],0),0)</f>
        <v>5</v>
      </c>
      <c r="I1920" s="89">
        <f>VLOOKUP(D1920,Average_Distance_by_kilometres_grouping_for_trip_purpose[#All],MATCH(A1920,Average_Distance_by_kilometres_grouping_for_trip_purpose[#Headers],0),0)</f>
        <v>5</v>
      </c>
      <c r="J1920" s="89">
        <f t="shared" si="148"/>
        <v>5</v>
      </c>
      <c r="K1920" s="89">
        <f t="shared" si="149"/>
        <v>0.11641443538998836</v>
      </c>
      <c r="L1920" s="89">
        <v>1</v>
      </c>
      <c r="M1920" s="13">
        <f t="shared" si="150"/>
        <v>3549784.1180310235</v>
      </c>
      <c r="N1920" s="11">
        <f t="shared" si="151"/>
        <v>5.4222087578637224E-5</v>
      </c>
    </row>
    <row r="1921" spans="1:14" x14ac:dyDescent="0.25">
      <c r="A1921" s="79" t="s">
        <v>39</v>
      </c>
      <c r="B1921" s="89" t="s">
        <v>7</v>
      </c>
      <c r="C1921" s="89" t="s">
        <v>57</v>
      </c>
      <c r="D1921" s="13" t="s">
        <v>182</v>
      </c>
      <c r="E1921" s="35">
        <f>VLOOKUP(B1921, Passenger_Kilometre_by_mode_type[#All],MATCH(A1921, Passenger_Kilometre_by_mode_type[#Headers],0),0)</f>
        <v>303409408.69538796</v>
      </c>
      <c r="F1921" s="89">
        <f>VLOOKUP(C1921, Reason_for_walking_cycling_journeys_by_percentage[#All],MATCH(A1921, Reason_for_walking_cycling_journeys_by_percentage[#Headers],0),0)/100</f>
        <v>0.10050000000000001</v>
      </c>
      <c r="G1921" s="13">
        <f t="shared" si="147"/>
        <v>30492645.573886491</v>
      </c>
      <c r="H1921" s="89">
        <f>VLOOKUP(D1921,Average_Distance_by_kilometre_grouping_for_mode_type[#All],MATCH(A1921,Average_Distance_by_kilometre_grouping_for_mode_type[#Headers],0),0)</f>
        <v>7</v>
      </c>
      <c r="I1921" s="89">
        <f>VLOOKUP(D1921,Average_Distance_by_kilometres_grouping_for_trip_purpose[#All],MATCH(A1921,Average_Distance_by_kilometres_grouping_for_trip_purpose[#Headers],0),0)</f>
        <v>7</v>
      </c>
      <c r="J1921" s="89">
        <f t="shared" si="148"/>
        <v>7</v>
      </c>
      <c r="K1921" s="89">
        <f t="shared" si="149"/>
        <v>0.16298020954598369</v>
      </c>
      <c r="L1921" s="89">
        <v>1</v>
      </c>
      <c r="M1921" s="13">
        <f t="shared" si="150"/>
        <v>4969697.7652434325</v>
      </c>
      <c r="N1921" s="11">
        <f t="shared" si="151"/>
        <v>7.5910922610092108E-5</v>
      </c>
    </row>
    <row r="1922" spans="1:14" x14ac:dyDescent="0.25">
      <c r="A1922" s="79" t="s">
        <v>39</v>
      </c>
      <c r="B1922" s="89" t="s">
        <v>7</v>
      </c>
      <c r="C1922" s="89" t="s">
        <v>57</v>
      </c>
      <c r="D1922" s="13" t="s">
        <v>1</v>
      </c>
      <c r="E1922" s="35">
        <f>VLOOKUP(B1922, Passenger_Kilometre_by_mode_type[#All],MATCH(A1922, Passenger_Kilometre_by_mode_type[#Headers],0),0)</f>
        <v>303409408.69538796</v>
      </c>
      <c r="F1922" s="89">
        <f>VLOOKUP(C1922, Reason_for_walking_cycling_journeys_by_percentage[#All],MATCH(A1922, Reason_for_walking_cycling_journeys_by_percentage[#Headers],0),0)/100</f>
        <v>0.10050000000000001</v>
      </c>
      <c r="G1922" s="13">
        <f t="shared" si="147"/>
        <v>30492645.573886491</v>
      </c>
      <c r="H1922" s="89">
        <f>VLOOKUP(D1922,Average_Distance_by_kilometre_grouping_for_mode_type[#All],MATCH(A1922,Average_Distance_by_kilometre_grouping_for_mode_type[#Headers],0),0)</f>
        <v>25.7</v>
      </c>
      <c r="I1922" s="89">
        <f>VLOOKUP(D1922,Average_Distance_by_kilometres_grouping_for_trip_purpose[#All],MATCH(A1922,Average_Distance_by_kilometres_grouping_for_trip_purpose[#Headers],0),0)</f>
        <v>28.2</v>
      </c>
      <c r="J1922" s="89">
        <f t="shared" si="148"/>
        <v>26.95</v>
      </c>
      <c r="K1922" s="89">
        <f t="shared" si="149"/>
        <v>0.62747380675203723</v>
      </c>
      <c r="L1922" s="89">
        <v>1</v>
      </c>
      <c r="M1922" s="13">
        <f t="shared" si="150"/>
        <v>19133336.396187216</v>
      </c>
      <c r="N1922" s="11">
        <f t="shared" si="151"/>
        <v>2.9225705204885462E-4</v>
      </c>
    </row>
    <row r="1923" spans="1:14" x14ac:dyDescent="0.25">
      <c r="A1923" s="79" t="s">
        <v>39</v>
      </c>
      <c r="B1923" s="89" t="s">
        <v>7</v>
      </c>
      <c r="C1923" s="89" t="s">
        <v>93</v>
      </c>
      <c r="D1923" s="13" t="s">
        <v>12</v>
      </c>
      <c r="E1923" s="35">
        <f>VLOOKUP(B1923, Passenger_Kilometre_by_mode_type[#All],MATCH(A1923, Passenger_Kilometre_by_mode_type[#Headers],0),0)</f>
        <v>303409408.69538796</v>
      </c>
      <c r="F1923" s="89">
        <f>VLOOKUP(C1923, Reason_for_walking_cycling_journeys_by_percentage[#All],MATCH(A1923, Reason_for_walking_cycling_journeys_by_percentage[#Headers],0),0)/100</f>
        <v>4.4999999999999998E-2</v>
      </c>
      <c r="G1923" s="13">
        <f t="shared" si="147"/>
        <v>13653423.391292458</v>
      </c>
      <c r="H1923" s="89">
        <f>VLOOKUP(D1923,Average_Distance_by_kilometre_grouping_for_mode_type[#All],MATCH(A1923,Average_Distance_by_kilometre_grouping_for_mode_type[#Headers],0),0)</f>
        <v>1</v>
      </c>
      <c r="I1923" s="89">
        <f>VLOOKUP(D1923,Average_Distance_by_kilometres_grouping_for_trip_purpose[#All],MATCH(A1923,Average_Distance_by_kilometres_grouping_for_trip_purpose[#Headers],0),0)</f>
        <v>1</v>
      </c>
      <c r="J1923" s="89">
        <f t="shared" si="148"/>
        <v>1</v>
      </c>
      <c r="K1923" s="89">
        <f t="shared" si="149"/>
        <v>2.3282887077997669E-2</v>
      </c>
      <c r="L1923" s="89">
        <v>1</v>
      </c>
      <c r="M1923" s="13">
        <f t="shared" si="150"/>
        <v>317891.11504755431</v>
      </c>
      <c r="N1923" s="11">
        <f t="shared" si="151"/>
        <v>4.855709335400348E-6</v>
      </c>
    </row>
    <row r="1924" spans="1:14" x14ac:dyDescent="0.25">
      <c r="A1924" s="79" t="s">
        <v>39</v>
      </c>
      <c r="B1924" s="89" t="s">
        <v>7</v>
      </c>
      <c r="C1924" s="89" t="s">
        <v>93</v>
      </c>
      <c r="D1924" s="13" t="s">
        <v>181</v>
      </c>
      <c r="E1924" s="35">
        <f>VLOOKUP(B1924, Passenger_Kilometre_by_mode_type[#All],MATCH(A1924, Passenger_Kilometre_by_mode_type[#Headers],0),0)</f>
        <v>303409408.69538796</v>
      </c>
      <c r="F1924" s="89">
        <f>VLOOKUP(C1924, Reason_for_walking_cycling_journeys_by_percentage[#All],MATCH(A1924, Reason_for_walking_cycling_journeys_by_percentage[#Headers],0),0)/100</f>
        <v>4.4999999999999998E-2</v>
      </c>
      <c r="G1924" s="13">
        <f t="shared" ref="G1924:G1987" si="152">E1924*F1924</f>
        <v>13653423.391292458</v>
      </c>
      <c r="H1924" s="89">
        <f>VLOOKUP(D1924,Average_Distance_by_kilometre_grouping_for_mode_type[#All],MATCH(A1924,Average_Distance_by_kilometre_grouping_for_mode_type[#Headers],0),0)</f>
        <v>3</v>
      </c>
      <c r="I1924" s="89">
        <f>VLOOKUP(D1924,Average_Distance_by_kilometres_grouping_for_trip_purpose[#All],MATCH(A1924,Average_Distance_by_kilometres_grouping_for_trip_purpose[#Headers],0),0)</f>
        <v>3</v>
      </c>
      <c r="J1924" s="89">
        <f t="shared" ref="J1924:J1987" si="153">AVERAGE(H1924:I1924)</f>
        <v>3</v>
      </c>
      <c r="K1924" s="89">
        <f t="shared" ref="K1924:K1987" si="154">J1924/SUM(J1924:J1928)</f>
        <v>6.9848661233993012E-2</v>
      </c>
      <c r="L1924" s="89">
        <v>1</v>
      </c>
      <c r="M1924" s="13">
        <f t="shared" ref="M1924:M1987" si="155">G1924*K1924*L1924</f>
        <v>953673.34514266299</v>
      </c>
      <c r="N1924" s="11">
        <f t="shared" si="151"/>
        <v>1.4567128006201045E-5</v>
      </c>
    </row>
    <row r="1925" spans="1:14" x14ac:dyDescent="0.25">
      <c r="A1925" s="79" t="s">
        <v>39</v>
      </c>
      <c r="B1925" s="89" t="s">
        <v>7</v>
      </c>
      <c r="C1925" s="89" t="s">
        <v>93</v>
      </c>
      <c r="D1925" s="13" t="s">
        <v>180</v>
      </c>
      <c r="E1925" s="35">
        <f>VLOOKUP(B1925, Passenger_Kilometre_by_mode_type[#All],MATCH(A1925, Passenger_Kilometre_by_mode_type[#Headers],0),0)</f>
        <v>303409408.69538796</v>
      </c>
      <c r="F1925" s="89">
        <f>VLOOKUP(C1925, Reason_for_walking_cycling_journeys_by_percentage[#All],MATCH(A1925, Reason_for_walking_cycling_journeys_by_percentage[#Headers],0),0)/100</f>
        <v>4.4999999999999998E-2</v>
      </c>
      <c r="G1925" s="13">
        <f t="shared" si="152"/>
        <v>13653423.391292458</v>
      </c>
      <c r="H1925" s="89">
        <f>VLOOKUP(D1925,Average_Distance_by_kilometre_grouping_for_mode_type[#All],MATCH(A1925,Average_Distance_by_kilometre_grouping_for_mode_type[#Headers],0),0)</f>
        <v>5</v>
      </c>
      <c r="I1925" s="89">
        <f>VLOOKUP(D1925,Average_Distance_by_kilometres_grouping_for_trip_purpose[#All],MATCH(A1925,Average_Distance_by_kilometres_grouping_for_trip_purpose[#Headers],0),0)</f>
        <v>5</v>
      </c>
      <c r="J1925" s="89">
        <f t="shared" si="153"/>
        <v>5</v>
      </c>
      <c r="K1925" s="89">
        <f t="shared" si="154"/>
        <v>0.11641443538998836</v>
      </c>
      <c r="L1925" s="89">
        <v>1</v>
      </c>
      <c r="M1925" s="13">
        <f t="shared" si="155"/>
        <v>1589455.5752377717</v>
      </c>
      <c r="N1925" s="11">
        <f t="shared" si="151"/>
        <v>2.4278546677001743E-5</v>
      </c>
    </row>
    <row r="1926" spans="1:14" x14ac:dyDescent="0.25">
      <c r="A1926" s="79" t="s">
        <v>39</v>
      </c>
      <c r="B1926" s="89" t="s">
        <v>7</v>
      </c>
      <c r="C1926" s="89" t="s">
        <v>93</v>
      </c>
      <c r="D1926" s="13" t="s">
        <v>182</v>
      </c>
      <c r="E1926" s="35">
        <f>VLOOKUP(B1926, Passenger_Kilometre_by_mode_type[#All],MATCH(A1926, Passenger_Kilometre_by_mode_type[#Headers],0),0)</f>
        <v>303409408.69538796</v>
      </c>
      <c r="F1926" s="89">
        <f>VLOOKUP(C1926, Reason_for_walking_cycling_journeys_by_percentage[#All],MATCH(A1926, Reason_for_walking_cycling_journeys_by_percentage[#Headers],0),0)/100</f>
        <v>4.4999999999999998E-2</v>
      </c>
      <c r="G1926" s="13">
        <f t="shared" si="152"/>
        <v>13653423.391292458</v>
      </c>
      <c r="H1926" s="89">
        <f>VLOOKUP(D1926,Average_Distance_by_kilometre_grouping_for_mode_type[#All],MATCH(A1926,Average_Distance_by_kilometre_grouping_for_mode_type[#Headers],0),0)</f>
        <v>7</v>
      </c>
      <c r="I1926" s="89">
        <f>VLOOKUP(D1926,Average_Distance_by_kilometres_grouping_for_trip_purpose[#All],MATCH(A1926,Average_Distance_by_kilometres_grouping_for_trip_purpose[#Headers],0),0)</f>
        <v>7</v>
      </c>
      <c r="J1926" s="89">
        <f t="shared" si="153"/>
        <v>7</v>
      </c>
      <c r="K1926" s="89">
        <f t="shared" si="154"/>
        <v>0.16298020954598369</v>
      </c>
      <c r="L1926" s="89">
        <v>1</v>
      </c>
      <c r="M1926" s="13">
        <f t="shared" si="155"/>
        <v>2225237.80533288</v>
      </c>
      <c r="N1926" s="11">
        <f t="shared" si="151"/>
        <v>3.398996534780243E-5</v>
      </c>
    </row>
    <row r="1927" spans="1:14" x14ac:dyDescent="0.25">
      <c r="A1927" s="79" t="s">
        <v>39</v>
      </c>
      <c r="B1927" s="89" t="s">
        <v>7</v>
      </c>
      <c r="C1927" s="89" t="s">
        <v>93</v>
      </c>
      <c r="D1927" s="13" t="s">
        <v>1</v>
      </c>
      <c r="E1927" s="35">
        <f>VLOOKUP(B1927, Passenger_Kilometre_by_mode_type[#All],MATCH(A1927, Passenger_Kilometre_by_mode_type[#Headers],0),0)</f>
        <v>303409408.69538796</v>
      </c>
      <c r="F1927" s="89">
        <f>VLOOKUP(C1927, Reason_for_walking_cycling_journeys_by_percentage[#All],MATCH(A1927, Reason_for_walking_cycling_journeys_by_percentage[#Headers],0),0)/100</f>
        <v>4.4999999999999998E-2</v>
      </c>
      <c r="G1927" s="13">
        <f t="shared" si="152"/>
        <v>13653423.391292458</v>
      </c>
      <c r="H1927" s="89">
        <f>VLOOKUP(D1927,Average_Distance_by_kilometre_grouping_for_mode_type[#All],MATCH(A1927,Average_Distance_by_kilometre_grouping_for_mode_type[#Headers],0),0)</f>
        <v>25.7</v>
      </c>
      <c r="I1927" s="89">
        <f>VLOOKUP(D1927,Average_Distance_by_kilometres_grouping_for_trip_purpose[#All],MATCH(A1927,Average_Distance_by_kilometres_grouping_for_trip_purpose[#Headers],0),0)</f>
        <v>28.2</v>
      </c>
      <c r="J1927" s="89">
        <f t="shared" si="153"/>
        <v>26.95</v>
      </c>
      <c r="K1927" s="89">
        <f t="shared" si="154"/>
        <v>0.62747380675203723</v>
      </c>
      <c r="L1927" s="89">
        <v>1</v>
      </c>
      <c r="M1927" s="13">
        <f t="shared" si="155"/>
        <v>8567165.5505315885</v>
      </c>
      <c r="N1927" s="11">
        <f t="shared" si="151"/>
        <v>1.3086136658903936E-4</v>
      </c>
    </row>
    <row r="1928" spans="1:14" x14ac:dyDescent="0.25">
      <c r="A1928" s="79" t="s">
        <v>39</v>
      </c>
      <c r="B1928" s="89" t="s">
        <v>7</v>
      </c>
      <c r="C1928" s="89" t="s">
        <v>243</v>
      </c>
      <c r="D1928" s="13" t="s">
        <v>12</v>
      </c>
      <c r="E1928" s="35">
        <f>VLOOKUP(B1928, Passenger_Kilometre_by_mode_type[#All],MATCH(A1928, Passenger_Kilometre_by_mode_type[#Headers],0),0)</f>
        <v>303409408.69538796</v>
      </c>
      <c r="F1928" s="89">
        <f>VLOOKUP(C1928, Reason_for_walking_cycling_journeys_by_percentage[#All],MATCH(A1928, Reason_for_walking_cycling_journeys_by_percentage[#Headers],0),0)/100</f>
        <v>0.1525</v>
      </c>
      <c r="G1928" s="13">
        <f t="shared" si="152"/>
        <v>46269934.826046661</v>
      </c>
      <c r="H1928" s="89">
        <f>VLOOKUP(D1928,Average_Distance_by_kilometre_grouping_for_mode_type[#All],MATCH(A1928,Average_Distance_by_kilometre_grouping_for_mode_type[#Headers],0),0)</f>
        <v>1</v>
      </c>
      <c r="I1928" s="89">
        <f>VLOOKUP(D1928,Average_Distance_by_kilometres_grouping_for_trip_purpose[#All],MATCH(A1928,Average_Distance_by_kilometres_grouping_for_trip_purpose[#Headers],0),0)</f>
        <v>1</v>
      </c>
      <c r="J1928" s="89">
        <f t="shared" si="153"/>
        <v>1</v>
      </c>
      <c r="K1928" s="89">
        <f t="shared" si="154"/>
        <v>2.3282887077997669E-2</v>
      </c>
      <c r="L1928" s="89">
        <v>1</v>
      </c>
      <c r="M1928" s="13">
        <f t="shared" si="155"/>
        <v>1077297.667661156</v>
      </c>
      <c r="N1928" s="11">
        <f t="shared" si="151"/>
        <v>1.6455459414412285E-5</v>
      </c>
    </row>
    <row r="1929" spans="1:14" x14ac:dyDescent="0.25">
      <c r="A1929" s="79" t="s">
        <v>39</v>
      </c>
      <c r="B1929" s="89" t="s">
        <v>7</v>
      </c>
      <c r="C1929" s="89" t="s">
        <v>243</v>
      </c>
      <c r="D1929" s="13" t="s">
        <v>181</v>
      </c>
      <c r="E1929" s="35">
        <f>VLOOKUP(B1929, Passenger_Kilometre_by_mode_type[#All],MATCH(A1929, Passenger_Kilometre_by_mode_type[#Headers],0),0)</f>
        <v>303409408.69538796</v>
      </c>
      <c r="F1929" s="89">
        <f>VLOOKUP(C1929, Reason_for_walking_cycling_journeys_by_percentage[#All],MATCH(A1929, Reason_for_walking_cycling_journeys_by_percentage[#Headers],0),0)/100</f>
        <v>0.1525</v>
      </c>
      <c r="G1929" s="13">
        <f t="shared" si="152"/>
        <v>46269934.826046661</v>
      </c>
      <c r="H1929" s="89">
        <f>VLOOKUP(D1929,Average_Distance_by_kilometre_grouping_for_mode_type[#All],MATCH(A1929,Average_Distance_by_kilometre_grouping_for_mode_type[#Headers],0),0)</f>
        <v>3</v>
      </c>
      <c r="I1929" s="89">
        <f>VLOOKUP(D1929,Average_Distance_by_kilometres_grouping_for_trip_purpose[#All],MATCH(A1929,Average_Distance_by_kilometres_grouping_for_trip_purpose[#Headers],0),0)</f>
        <v>3</v>
      </c>
      <c r="J1929" s="89">
        <f t="shared" si="153"/>
        <v>3</v>
      </c>
      <c r="K1929" s="89">
        <f t="shared" si="154"/>
        <v>6.9848661233993012E-2</v>
      </c>
      <c r="L1929" s="89">
        <v>1</v>
      </c>
      <c r="M1929" s="13">
        <f t="shared" si="155"/>
        <v>3231893.0029834686</v>
      </c>
      <c r="N1929" s="11">
        <f t="shared" si="151"/>
        <v>4.936637824323687E-5</v>
      </c>
    </row>
    <row r="1930" spans="1:14" x14ac:dyDescent="0.25">
      <c r="A1930" s="79" t="s">
        <v>39</v>
      </c>
      <c r="B1930" s="89" t="s">
        <v>7</v>
      </c>
      <c r="C1930" s="89" t="s">
        <v>243</v>
      </c>
      <c r="D1930" s="13" t="s">
        <v>180</v>
      </c>
      <c r="E1930" s="35">
        <f>VLOOKUP(B1930, Passenger_Kilometre_by_mode_type[#All],MATCH(A1930, Passenger_Kilometre_by_mode_type[#Headers],0),0)</f>
        <v>303409408.69538796</v>
      </c>
      <c r="F1930" s="89">
        <f>VLOOKUP(C1930, Reason_for_walking_cycling_journeys_by_percentage[#All],MATCH(A1930, Reason_for_walking_cycling_journeys_by_percentage[#Headers],0),0)/100</f>
        <v>0.1525</v>
      </c>
      <c r="G1930" s="13">
        <f t="shared" si="152"/>
        <v>46269934.826046661</v>
      </c>
      <c r="H1930" s="89">
        <f>VLOOKUP(D1930,Average_Distance_by_kilometre_grouping_for_mode_type[#All],MATCH(A1930,Average_Distance_by_kilometre_grouping_for_mode_type[#Headers],0),0)</f>
        <v>5</v>
      </c>
      <c r="I1930" s="89">
        <f>VLOOKUP(D1930,Average_Distance_by_kilometres_grouping_for_trip_purpose[#All],MATCH(A1930,Average_Distance_by_kilometres_grouping_for_trip_purpose[#Headers],0),0)</f>
        <v>5</v>
      </c>
      <c r="J1930" s="89">
        <f t="shared" si="153"/>
        <v>5</v>
      </c>
      <c r="K1930" s="89">
        <f t="shared" si="154"/>
        <v>0.11641443538998836</v>
      </c>
      <c r="L1930" s="89">
        <v>1</v>
      </c>
      <c r="M1930" s="13">
        <f t="shared" si="155"/>
        <v>5386488.3383057816</v>
      </c>
      <c r="N1930" s="11">
        <f t="shared" si="151"/>
        <v>8.2277297072061461E-5</v>
      </c>
    </row>
    <row r="1931" spans="1:14" x14ac:dyDescent="0.25">
      <c r="A1931" s="79" t="s">
        <v>39</v>
      </c>
      <c r="B1931" s="89" t="s">
        <v>7</v>
      </c>
      <c r="C1931" s="89" t="s">
        <v>243</v>
      </c>
      <c r="D1931" s="13" t="s">
        <v>182</v>
      </c>
      <c r="E1931" s="35">
        <f>VLOOKUP(B1931, Passenger_Kilometre_by_mode_type[#All],MATCH(A1931, Passenger_Kilometre_by_mode_type[#Headers],0),0)</f>
        <v>303409408.69538796</v>
      </c>
      <c r="F1931" s="89">
        <f>VLOOKUP(C1931, Reason_for_walking_cycling_journeys_by_percentage[#All],MATCH(A1931, Reason_for_walking_cycling_journeys_by_percentage[#Headers],0),0)/100</f>
        <v>0.1525</v>
      </c>
      <c r="G1931" s="13">
        <f t="shared" si="152"/>
        <v>46269934.826046661</v>
      </c>
      <c r="H1931" s="89">
        <f>VLOOKUP(D1931,Average_Distance_by_kilometre_grouping_for_mode_type[#All],MATCH(A1931,Average_Distance_by_kilometre_grouping_for_mode_type[#Headers],0),0)</f>
        <v>7</v>
      </c>
      <c r="I1931" s="89">
        <f>VLOOKUP(D1931,Average_Distance_by_kilometres_grouping_for_trip_purpose[#All],MATCH(A1931,Average_Distance_by_kilometres_grouping_for_trip_purpose[#Headers],0),0)</f>
        <v>7</v>
      </c>
      <c r="J1931" s="89">
        <f t="shared" si="153"/>
        <v>7</v>
      </c>
      <c r="K1931" s="89">
        <f t="shared" si="154"/>
        <v>0.16298020954598369</v>
      </c>
      <c r="L1931" s="89">
        <v>1</v>
      </c>
      <c r="M1931" s="13">
        <f t="shared" si="155"/>
        <v>7541083.6736280927</v>
      </c>
      <c r="N1931" s="11">
        <f t="shared" si="151"/>
        <v>1.1518821590088602E-4</v>
      </c>
    </row>
    <row r="1932" spans="1:14" x14ac:dyDescent="0.25">
      <c r="A1932" s="79" t="s">
        <v>39</v>
      </c>
      <c r="B1932" s="89" t="s">
        <v>7</v>
      </c>
      <c r="C1932" s="89" t="s">
        <v>243</v>
      </c>
      <c r="D1932" s="13" t="s">
        <v>1</v>
      </c>
      <c r="E1932" s="35">
        <f>VLOOKUP(B1932, Passenger_Kilometre_by_mode_type[#All],MATCH(A1932, Passenger_Kilometre_by_mode_type[#Headers],0),0)</f>
        <v>303409408.69538796</v>
      </c>
      <c r="F1932" s="89">
        <f>VLOOKUP(C1932, Reason_for_walking_cycling_journeys_by_percentage[#All],MATCH(A1932, Reason_for_walking_cycling_journeys_by_percentage[#Headers],0),0)/100</f>
        <v>0.1525</v>
      </c>
      <c r="G1932" s="13">
        <f t="shared" si="152"/>
        <v>46269934.826046661</v>
      </c>
      <c r="H1932" s="89">
        <f>VLOOKUP(D1932,Average_Distance_by_kilometre_grouping_for_mode_type[#All],MATCH(A1932,Average_Distance_by_kilometre_grouping_for_mode_type[#Headers],0),0)</f>
        <v>25.7</v>
      </c>
      <c r="I1932" s="89">
        <f>VLOOKUP(D1932,Average_Distance_by_kilometres_grouping_for_trip_purpose[#All],MATCH(A1932,Average_Distance_by_kilometres_grouping_for_trip_purpose[#Headers],0),0)</f>
        <v>28.2</v>
      </c>
      <c r="J1932" s="89">
        <f t="shared" si="153"/>
        <v>26.95</v>
      </c>
      <c r="K1932" s="89">
        <f t="shared" si="154"/>
        <v>0.62747380675203723</v>
      </c>
      <c r="L1932" s="89">
        <v>1</v>
      </c>
      <c r="M1932" s="13">
        <f t="shared" si="155"/>
        <v>29033172.14346816</v>
      </c>
      <c r="N1932" s="11">
        <f t="shared" si="151"/>
        <v>4.4347463121841122E-4</v>
      </c>
    </row>
    <row r="1933" spans="1:14" x14ac:dyDescent="0.25">
      <c r="A1933" s="79" t="s">
        <v>39</v>
      </c>
      <c r="B1933" s="89" t="s">
        <v>7</v>
      </c>
      <c r="C1933" s="89" t="s">
        <v>50</v>
      </c>
      <c r="D1933" s="13" t="s">
        <v>12</v>
      </c>
      <c r="E1933" s="35">
        <f>VLOOKUP(B1933, Passenger_Kilometre_by_mode_type[#All],MATCH(A1933, Passenger_Kilometre_by_mode_type[#Headers],0),0)</f>
        <v>303409408.69538796</v>
      </c>
      <c r="F1933" s="89">
        <f>VLOOKUP(C1933, Reason_for_walking_cycling_journeys_by_percentage[#All],MATCH(A1933, Reason_for_walking_cycling_journeys_by_percentage[#Headers],0),0)/100</f>
        <v>6.724999999999999E-2</v>
      </c>
      <c r="G1933" s="13">
        <f t="shared" si="152"/>
        <v>20404282.734764837</v>
      </c>
      <c r="H1933" s="89">
        <f>VLOOKUP(D1933,Average_Distance_by_kilometre_grouping_for_mode_type[#All],MATCH(A1933,Average_Distance_by_kilometre_grouping_for_mode_type[#Headers],0),0)</f>
        <v>1</v>
      </c>
      <c r="I1933" s="89">
        <f>VLOOKUP(D1933,Average_Distance_by_kilometres_grouping_for_trip_purpose[#All],MATCH(A1933,Average_Distance_by_kilometres_grouping_for_trip_purpose[#Headers],0),0)</f>
        <v>1</v>
      </c>
      <c r="J1933" s="89">
        <f t="shared" si="153"/>
        <v>1</v>
      </c>
      <c r="K1933" s="89">
        <f t="shared" si="154"/>
        <v>2.3282887077997669E-2</v>
      </c>
      <c r="L1933" s="89">
        <v>1</v>
      </c>
      <c r="M1933" s="13">
        <f t="shared" si="155"/>
        <v>475070.61082106718</v>
      </c>
      <c r="N1933" s="11">
        <f t="shared" ref="N1933:N1996" si="156">M1933/SUM($M$1804:$M$2162)</f>
        <v>7.2565878401260741E-6</v>
      </c>
    </row>
    <row r="1934" spans="1:14" x14ac:dyDescent="0.25">
      <c r="A1934" s="79" t="s">
        <v>39</v>
      </c>
      <c r="B1934" s="89" t="s">
        <v>7</v>
      </c>
      <c r="C1934" s="89" t="s">
        <v>50</v>
      </c>
      <c r="D1934" s="13" t="s">
        <v>181</v>
      </c>
      <c r="E1934" s="35">
        <f>VLOOKUP(B1934, Passenger_Kilometre_by_mode_type[#All],MATCH(A1934, Passenger_Kilometre_by_mode_type[#Headers],0),0)</f>
        <v>303409408.69538796</v>
      </c>
      <c r="F1934" s="89">
        <f>VLOOKUP(C1934, Reason_for_walking_cycling_journeys_by_percentage[#All],MATCH(A1934, Reason_for_walking_cycling_journeys_by_percentage[#Headers],0),0)/100</f>
        <v>6.724999999999999E-2</v>
      </c>
      <c r="G1934" s="13">
        <f t="shared" si="152"/>
        <v>20404282.734764837</v>
      </c>
      <c r="H1934" s="89">
        <f>VLOOKUP(D1934,Average_Distance_by_kilometre_grouping_for_mode_type[#All],MATCH(A1934,Average_Distance_by_kilometre_grouping_for_mode_type[#Headers],0),0)</f>
        <v>3</v>
      </c>
      <c r="I1934" s="89">
        <f>VLOOKUP(D1934,Average_Distance_by_kilometres_grouping_for_trip_purpose[#All],MATCH(A1934,Average_Distance_by_kilometres_grouping_for_trip_purpose[#Headers],0),0)</f>
        <v>3</v>
      </c>
      <c r="J1934" s="89">
        <f t="shared" si="153"/>
        <v>3</v>
      </c>
      <c r="K1934" s="89">
        <f t="shared" si="154"/>
        <v>6.9848661233993012E-2</v>
      </c>
      <c r="L1934" s="89">
        <v>1</v>
      </c>
      <c r="M1934" s="13">
        <f t="shared" si="155"/>
        <v>1425211.8324632016</v>
      </c>
      <c r="N1934" s="11">
        <f t="shared" si="156"/>
        <v>2.1769763520378223E-5</v>
      </c>
    </row>
    <row r="1935" spans="1:14" x14ac:dyDescent="0.25">
      <c r="A1935" s="79" t="s">
        <v>39</v>
      </c>
      <c r="B1935" s="89" t="s">
        <v>7</v>
      </c>
      <c r="C1935" s="89" t="s">
        <v>50</v>
      </c>
      <c r="D1935" s="13" t="s">
        <v>180</v>
      </c>
      <c r="E1935" s="35">
        <f>VLOOKUP(B1935, Passenger_Kilometre_by_mode_type[#All],MATCH(A1935, Passenger_Kilometre_by_mode_type[#Headers],0),0)</f>
        <v>303409408.69538796</v>
      </c>
      <c r="F1935" s="89">
        <f>VLOOKUP(C1935, Reason_for_walking_cycling_journeys_by_percentage[#All],MATCH(A1935, Reason_for_walking_cycling_journeys_by_percentage[#Headers],0),0)/100</f>
        <v>6.724999999999999E-2</v>
      </c>
      <c r="G1935" s="13">
        <f t="shared" si="152"/>
        <v>20404282.734764837</v>
      </c>
      <c r="H1935" s="89">
        <f>VLOOKUP(D1935,Average_Distance_by_kilometre_grouping_for_mode_type[#All],MATCH(A1935,Average_Distance_by_kilometre_grouping_for_mode_type[#Headers],0),0)</f>
        <v>5</v>
      </c>
      <c r="I1935" s="89">
        <f>VLOOKUP(D1935,Average_Distance_by_kilometres_grouping_for_trip_purpose[#All],MATCH(A1935,Average_Distance_by_kilometres_grouping_for_trip_purpose[#Headers],0),0)</f>
        <v>5</v>
      </c>
      <c r="J1935" s="89">
        <f t="shared" si="153"/>
        <v>5</v>
      </c>
      <c r="K1935" s="89">
        <f t="shared" si="154"/>
        <v>0.11641443538998836</v>
      </c>
      <c r="L1935" s="89">
        <v>1</v>
      </c>
      <c r="M1935" s="13">
        <f t="shared" si="155"/>
        <v>2375353.0541053358</v>
      </c>
      <c r="N1935" s="11">
        <f t="shared" si="156"/>
        <v>3.628293920063037E-5</v>
      </c>
    </row>
    <row r="1936" spans="1:14" x14ac:dyDescent="0.25">
      <c r="A1936" s="79" t="s">
        <v>39</v>
      </c>
      <c r="B1936" s="89" t="s">
        <v>7</v>
      </c>
      <c r="C1936" s="89" t="s">
        <v>50</v>
      </c>
      <c r="D1936" s="13" t="s">
        <v>182</v>
      </c>
      <c r="E1936" s="35">
        <f>VLOOKUP(B1936, Passenger_Kilometre_by_mode_type[#All],MATCH(A1936, Passenger_Kilometre_by_mode_type[#Headers],0),0)</f>
        <v>303409408.69538796</v>
      </c>
      <c r="F1936" s="89">
        <f>VLOOKUP(C1936, Reason_for_walking_cycling_journeys_by_percentage[#All],MATCH(A1936, Reason_for_walking_cycling_journeys_by_percentage[#Headers],0),0)/100</f>
        <v>6.724999999999999E-2</v>
      </c>
      <c r="G1936" s="13">
        <f t="shared" si="152"/>
        <v>20404282.734764837</v>
      </c>
      <c r="H1936" s="89">
        <f>VLOOKUP(D1936,Average_Distance_by_kilometre_grouping_for_mode_type[#All],MATCH(A1936,Average_Distance_by_kilometre_grouping_for_mode_type[#Headers],0),0)</f>
        <v>7</v>
      </c>
      <c r="I1936" s="89">
        <f>VLOOKUP(D1936,Average_Distance_by_kilometres_grouping_for_trip_purpose[#All],MATCH(A1936,Average_Distance_by_kilometres_grouping_for_trip_purpose[#Headers],0),0)</f>
        <v>7</v>
      </c>
      <c r="J1936" s="89">
        <f t="shared" si="153"/>
        <v>7</v>
      </c>
      <c r="K1936" s="89">
        <f t="shared" si="154"/>
        <v>0.16298020954598369</v>
      </c>
      <c r="L1936" s="89">
        <v>1</v>
      </c>
      <c r="M1936" s="13">
        <f t="shared" si="155"/>
        <v>3325494.2757474701</v>
      </c>
      <c r="N1936" s="11">
        <f t="shared" si="156"/>
        <v>5.0796114880882516E-5</v>
      </c>
    </row>
    <row r="1937" spans="1:14" x14ac:dyDescent="0.25">
      <c r="A1937" s="79" t="s">
        <v>39</v>
      </c>
      <c r="B1937" s="89" t="s">
        <v>7</v>
      </c>
      <c r="C1937" s="89" t="s">
        <v>50</v>
      </c>
      <c r="D1937" s="13" t="s">
        <v>1</v>
      </c>
      <c r="E1937" s="35">
        <f>VLOOKUP(B1937, Passenger_Kilometre_by_mode_type[#All],MATCH(A1937, Passenger_Kilometre_by_mode_type[#Headers],0),0)</f>
        <v>303409408.69538796</v>
      </c>
      <c r="F1937" s="89">
        <f>VLOOKUP(C1937, Reason_for_walking_cycling_journeys_by_percentage[#All],MATCH(A1937, Reason_for_walking_cycling_journeys_by_percentage[#Headers],0),0)/100</f>
        <v>6.724999999999999E-2</v>
      </c>
      <c r="G1937" s="13">
        <f t="shared" si="152"/>
        <v>20404282.734764837</v>
      </c>
      <c r="H1937" s="89">
        <f>VLOOKUP(D1937,Average_Distance_by_kilometre_grouping_for_mode_type[#All],MATCH(A1937,Average_Distance_by_kilometre_grouping_for_mode_type[#Headers],0),0)</f>
        <v>25.7</v>
      </c>
      <c r="I1937" s="89">
        <f>VLOOKUP(D1937,Average_Distance_by_kilometres_grouping_for_trip_purpose[#All],MATCH(A1937,Average_Distance_by_kilometres_grouping_for_trip_purpose[#Headers],0),0)</f>
        <v>28.2</v>
      </c>
      <c r="J1937" s="89">
        <f t="shared" si="153"/>
        <v>26.95</v>
      </c>
      <c r="K1937" s="89">
        <f t="shared" si="154"/>
        <v>0.62747380675203723</v>
      </c>
      <c r="L1937" s="89">
        <v>1</v>
      </c>
      <c r="M1937" s="13">
        <f t="shared" si="155"/>
        <v>12803152.961627761</v>
      </c>
      <c r="N1937" s="11">
        <f t="shared" si="156"/>
        <v>1.9556504229139771E-4</v>
      </c>
    </row>
    <row r="1938" spans="1:14" x14ac:dyDescent="0.25">
      <c r="A1938" s="79" t="s">
        <v>39</v>
      </c>
      <c r="B1938" s="89" t="s">
        <v>8</v>
      </c>
      <c r="C1938" s="89" t="s">
        <v>42</v>
      </c>
      <c r="D1938" s="13" t="s">
        <v>12</v>
      </c>
      <c r="E1938" s="35">
        <f>VLOOKUP(B1938, Passenger_Kilometre_by_mode_type[#All],MATCH(A1938, Passenger_Kilometre_by_mode_type[#Headers],0),0)</f>
        <v>3642740747.0555634</v>
      </c>
      <c r="F1938" s="89">
        <f>VLOOKUP(C1938, Reason_for_public_transport_journeys_by_percentage[#All],MATCH(A1938, Reason_for_public_transport_journeys_by_percentage[#Headers],0),0)/100</f>
        <v>0.35425000000000006</v>
      </c>
      <c r="G1938" s="13">
        <f t="shared" si="152"/>
        <v>1290440909.6444335</v>
      </c>
      <c r="H1938" s="89">
        <f>VLOOKUP(D1938,Average_Distance_by_kilometre_grouping_for_mode_type[#All],MATCH(A1938,Average_Distance_by_kilometre_grouping_for_mode_type[#Headers],0),0)</f>
        <v>1</v>
      </c>
      <c r="I1938" s="89">
        <f>VLOOKUP(D1938,Average_Distance_by_kilometres_grouping_for_trip_purpose[#All],MATCH(A1938,Average_Distance_by_kilometres_grouping_for_trip_purpose[#Headers],0),0)</f>
        <v>1</v>
      </c>
      <c r="J1938" s="89">
        <f t="shared" si="153"/>
        <v>1</v>
      </c>
      <c r="K1938" s="89">
        <f t="shared" si="154"/>
        <v>2.3282887077997669E-2</v>
      </c>
      <c r="L1938" s="89">
        <v>1</v>
      </c>
      <c r="M1938" s="13">
        <f t="shared" si="155"/>
        <v>30045189.980079938</v>
      </c>
      <c r="N1938" s="11">
        <f t="shared" si="156"/>
        <v>4.5893295711749258E-4</v>
      </c>
    </row>
    <row r="1939" spans="1:14" x14ac:dyDescent="0.25">
      <c r="A1939" s="79" t="s">
        <v>39</v>
      </c>
      <c r="B1939" s="89" t="s">
        <v>8</v>
      </c>
      <c r="C1939" s="89" t="s">
        <v>42</v>
      </c>
      <c r="D1939" s="13" t="s">
        <v>181</v>
      </c>
      <c r="E1939" s="35">
        <f>VLOOKUP(B1939, Passenger_Kilometre_by_mode_type[#All],MATCH(A1939, Passenger_Kilometre_by_mode_type[#Headers],0),0)</f>
        <v>3642740747.0555634</v>
      </c>
      <c r="F1939" s="89">
        <f>VLOOKUP(C1939, Reason_for_public_transport_journeys_by_percentage[#All],MATCH(A1939, Reason_for_public_transport_journeys_by_percentage[#Headers],0),0)/100</f>
        <v>0.35425000000000006</v>
      </c>
      <c r="G1939" s="13">
        <f t="shared" si="152"/>
        <v>1290440909.6444335</v>
      </c>
      <c r="H1939" s="89">
        <f>VLOOKUP(D1939,Average_Distance_by_kilometre_grouping_for_mode_type[#All],MATCH(A1939,Average_Distance_by_kilometre_grouping_for_mode_type[#Headers],0),0)</f>
        <v>3</v>
      </c>
      <c r="I1939" s="89">
        <f>VLOOKUP(D1939,Average_Distance_by_kilometres_grouping_for_trip_purpose[#All],MATCH(A1939,Average_Distance_by_kilometres_grouping_for_trip_purpose[#Headers],0),0)</f>
        <v>3</v>
      </c>
      <c r="J1939" s="89">
        <f t="shared" si="153"/>
        <v>3</v>
      </c>
      <c r="K1939" s="89">
        <f t="shared" si="154"/>
        <v>6.9848661233993012E-2</v>
      </c>
      <c r="L1939" s="89">
        <v>1</v>
      </c>
      <c r="M1939" s="13">
        <f t="shared" si="155"/>
        <v>90135569.940239817</v>
      </c>
      <c r="N1939" s="11">
        <f t="shared" si="156"/>
        <v>1.3767988713524778E-3</v>
      </c>
    </row>
    <row r="1940" spans="1:14" x14ac:dyDescent="0.25">
      <c r="A1940" s="79" t="s">
        <v>39</v>
      </c>
      <c r="B1940" s="89" t="s">
        <v>8</v>
      </c>
      <c r="C1940" s="89" t="s">
        <v>42</v>
      </c>
      <c r="D1940" s="13" t="s">
        <v>180</v>
      </c>
      <c r="E1940" s="35">
        <f>VLOOKUP(B1940, Passenger_Kilometre_by_mode_type[#All],MATCH(A1940, Passenger_Kilometre_by_mode_type[#Headers],0),0)</f>
        <v>3642740747.0555634</v>
      </c>
      <c r="F1940" s="89">
        <f>VLOOKUP(C1940, Reason_for_public_transport_journeys_by_percentage[#All],MATCH(A1940, Reason_for_public_transport_journeys_by_percentage[#Headers],0),0)/100</f>
        <v>0.35425000000000006</v>
      </c>
      <c r="G1940" s="13">
        <f t="shared" si="152"/>
        <v>1290440909.6444335</v>
      </c>
      <c r="H1940" s="89">
        <f>VLOOKUP(D1940,Average_Distance_by_kilometre_grouping_for_mode_type[#All],MATCH(A1940,Average_Distance_by_kilometre_grouping_for_mode_type[#Headers],0),0)</f>
        <v>5</v>
      </c>
      <c r="I1940" s="89">
        <f>VLOOKUP(D1940,Average_Distance_by_kilometres_grouping_for_trip_purpose[#All],MATCH(A1940,Average_Distance_by_kilometres_grouping_for_trip_purpose[#Headers],0),0)</f>
        <v>5</v>
      </c>
      <c r="J1940" s="89">
        <f t="shared" si="153"/>
        <v>5</v>
      </c>
      <c r="K1940" s="89">
        <f t="shared" si="154"/>
        <v>0.11641443538998836</v>
      </c>
      <c r="L1940" s="89">
        <v>1</v>
      </c>
      <c r="M1940" s="13">
        <f t="shared" si="155"/>
        <v>150225949.90039971</v>
      </c>
      <c r="N1940" s="11">
        <f t="shared" si="156"/>
        <v>2.2946647855874632E-3</v>
      </c>
    </row>
    <row r="1941" spans="1:14" x14ac:dyDescent="0.25">
      <c r="A1941" s="79" t="s">
        <v>39</v>
      </c>
      <c r="B1941" s="89" t="s">
        <v>8</v>
      </c>
      <c r="C1941" s="89" t="s">
        <v>42</v>
      </c>
      <c r="D1941" s="13" t="s">
        <v>182</v>
      </c>
      <c r="E1941" s="35">
        <f>VLOOKUP(B1941, Passenger_Kilometre_by_mode_type[#All],MATCH(A1941, Passenger_Kilometre_by_mode_type[#Headers],0),0)</f>
        <v>3642740747.0555634</v>
      </c>
      <c r="F1941" s="89">
        <f>VLOOKUP(C1941, Reason_for_public_transport_journeys_by_percentage[#All],MATCH(A1941, Reason_for_public_transport_journeys_by_percentage[#Headers],0),0)/100</f>
        <v>0.35425000000000006</v>
      </c>
      <c r="G1941" s="13">
        <f t="shared" si="152"/>
        <v>1290440909.6444335</v>
      </c>
      <c r="H1941" s="89">
        <f>VLOOKUP(D1941,Average_Distance_by_kilometre_grouping_for_mode_type[#All],MATCH(A1941,Average_Distance_by_kilometre_grouping_for_mode_type[#Headers],0),0)</f>
        <v>7</v>
      </c>
      <c r="I1941" s="89">
        <f>VLOOKUP(D1941,Average_Distance_by_kilometres_grouping_for_trip_purpose[#All],MATCH(A1941,Average_Distance_by_kilometres_grouping_for_trip_purpose[#Headers],0),0)</f>
        <v>7</v>
      </c>
      <c r="J1941" s="89">
        <f t="shared" si="153"/>
        <v>7</v>
      </c>
      <c r="K1941" s="89">
        <f t="shared" si="154"/>
        <v>0.16298020954598369</v>
      </c>
      <c r="L1941" s="89">
        <v>1</v>
      </c>
      <c r="M1941" s="13">
        <f t="shared" si="155"/>
        <v>210316329.86055958</v>
      </c>
      <c r="N1941" s="11">
        <f t="shared" si="156"/>
        <v>3.2125306998224486E-3</v>
      </c>
    </row>
    <row r="1942" spans="1:14" x14ac:dyDescent="0.25">
      <c r="A1942" s="79" t="s">
        <v>39</v>
      </c>
      <c r="B1942" s="89" t="s">
        <v>8</v>
      </c>
      <c r="C1942" s="89" t="s">
        <v>42</v>
      </c>
      <c r="D1942" s="13" t="s">
        <v>1</v>
      </c>
      <c r="E1942" s="35">
        <f>VLOOKUP(B1942, Passenger_Kilometre_by_mode_type[#All],MATCH(A1942, Passenger_Kilometre_by_mode_type[#Headers],0),0)</f>
        <v>3642740747.0555634</v>
      </c>
      <c r="F1942" s="89">
        <f>VLOOKUP(C1942, Reason_for_public_transport_journeys_by_percentage[#All],MATCH(A1942, Reason_for_public_transport_journeys_by_percentage[#Headers],0),0)/100</f>
        <v>0.35425000000000006</v>
      </c>
      <c r="G1942" s="13">
        <f t="shared" si="152"/>
        <v>1290440909.6444335</v>
      </c>
      <c r="H1942" s="89">
        <f>VLOOKUP(D1942,Average_Distance_by_kilometre_grouping_for_mode_type[#All],MATCH(A1942,Average_Distance_by_kilometre_grouping_for_mode_type[#Headers],0),0)</f>
        <v>25.7</v>
      </c>
      <c r="I1942" s="89">
        <f>VLOOKUP(D1942,Average_Distance_by_kilometres_grouping_for_trip_purpose[#All],MATCH(A1942,Average_Distance_by_kilometres_grouping_for_trip_purpose[#Headers],0),0)</f>
        <v>28.2</v>
      </c>
      <c r="J1942" s="89">
        <f t="shared" si="153"/>
        <v>26.95</v>
      </c>
      <c r="K1942" s="89">
        <f t="shared" si="154"/>
        <v>0.62747380675203723</v>
      </c>
      <c r="L1942" s="89">
        <v>1</v>
      </c>
      <c r="M1942" s="13">
        <f t="shared" si="155"/>
        <v>809717869.96315444</v>
      </c>
      <c r="N1942" s="11">
        <f t="shared" si="156"/>
        <v>1.2368243194316427E-2</v>
      </c>
    </row>
    <row r="1943" spans="1:14" x14ac:dyDescent="0.25">
      <c r="A1943" s="79" t="s">
        <v>39</v>
      </c>
      <c r="B1943" s="89" t="s">
        <v>8</v>
      </c>
      <c r="C1943" s="89" t="s">
        <v>43</v>
      </c>
      <c r="D1943" s="13" t="s">
        <v>12</v>
      </c>
      <c r="E1943" s="35">
        <f>VLOOKUP(B1943, Passenger_Kilometre_by_mode_type[#All],MATCH(A1943, Passenger_Kilometre_by_mode_type[#Headers],0),0)</f>
        <v>3642740747.0555634</v>
      </c>
      <c r="F1943" s="89">
        <f>VLOOKUP(C1943, Reason_for_public_transport_journeys_by_percentage[#All],MATCH(A1943, Reason_for_public_transport_journeys_by_percentage[#Headers],0),0)/100</f>
        <v>0.10475</v>
      </c>
      <c r="G1943" s="13">
        <f t="shared" si="152"/>
        <v>381577093.25407028</v>
      </c>
      <c r="H1943" s="89">
        <f>VLOOKUP(D1943,Average_Distance_by_kilometre_grouping_for_mode_type[#All],MATCH(A1943,Average_Distance_by_kilometre_grouping_for_mode_type[#Headers],0),0)</f>
        <v>1</v>
      </c>
      <c r="I1943" s="89">
        <f>VLOOKUP(D1943,Average_Distance_by_kilometres_grouping_for_trip_purpose[#All],MATCH(A1943,Average_Distance_by_kilometres_grouping_for_trip_purpose[#Headers],0),0)</f>
        <v>1</v>
      </c>
      <c r="J1943" s="89">
        <f t="shared" si="153"/>
        <v>1</v>
      </c>
      <c r="K1943" s="89">
        <f t="shared" si="154"/>
        <v>2.3282887077997669E-2</v>
      </c>
      <c r="L1943" s="89">
        <v>1</v>
      </c>
      <c r="M1943" s="13">
        <f t="shared" si="155"/>
        <v>8884216.3737851046</v>
      </c>
      <c r="N1943" s="11">
        <f t="shared" si="156"/>
        <v>1.3570424067200381E-4</v>
      </c>
    </row>
    <row r="1944" spans="1:14" x14ac:dyDescent="0.25">
      <c r="A1944" s="79" t="s">
        <v>39</v>
      </c>
      <c r="B1944" s="89" t="s">
        <v>8</v>
      </c>
      <c r="C1944" s="89" t="s">
        <v>43</v>
      </c>
      <c r="D1944" s="13" t="s">
        <v>181</v>
      </c>
      <c r="E1944" s="35">
        <f>VLOOKUP(B1944, Passenger_Kilometre_by_mode_type[#All],MATCH(A1944, Passenger_Kilometre_by_mode_type[#Headers],0),0)</f>
        <v>3642740747.0555634</v>
      </c>
      <c r="F1944" s="89">
        <f>VLOOKUP(C1944, Reason_for_public_transport_journeys_by_percentage[#All],MATCH(A1944, Reason_for_public_transport_journeys_by_percentage[#Headers],0),0)/100</f>
        <v>0.10475</v>
      </c>
      <c r="G1944" s="13">
        <f t="shared" si="152"/>
        <v>381577093.25407028</v>
      </c>
      <c r="H1944" s="89">
        <f>VLOOKUP(D1944,Average_Distance_by_kilometre_grouping_for_mode_type[#All],MATCH(A1944,Average_Distance_by_kilometre_grouping_for_mode_type[#Headers],0),0)</f>
        <v>3</v>
      </c>
      <c r="I1944" s="89">
        <f>VLOOKUP(D1944,Average_Distance_by_kilometres_grouping_for_trip_purpose[#All],MATCH(A1944,Average_Distance_by_kilometres_grouping_for_trip_purpose[#Headers],0),0)</f>
        <v>3</v>
      </c>
      <c r="J1944" s="89">
        <f t="shared" si="153"/>
        <v>3</v>
      </c>
      <c r="K1944" s="89">
        <f t="shared" si="154"/>
        <v>6.9848661233993012E-2</v>
      </c>
      <c r="L1944" s="89">
        <v>1</v>
      </c>
      <c r="M1944" s="13">
        <f t="shared" si="155"/>
        <v>26652649.121355314</v>
      </c>
      <c r="N1944" s="11">
        <f t="shared" si="156"/>
        <v>4.0711272201601143E-4</v>
      </c>
    </row>
    <row r="1945" spans="1:14" x14ac:dyDescent="0.25">
      <c r="A1945" s="79" t="s">
        <v>39</v>
      </c>
      <c r="B1945" s="89" t="s">
        <v>8</v>
      </c>
      <c r="C1945" s="89" t="s">
        <v>43</v>
      </c>
      <c r="D1945" s="13" t="s">
        <v>180</v>
      </c>
      <c r="E1945" s="35">
        <f>VLOOKUP(B1945, Passenger_Kilometre_by_mode_type[#All],MATCH(A1945, Passenger_Kilometre_by_mode_type[#Headers],0),0)</f>
        <v>3642740747.0555634</v>
      </c>
      <c r="F1945" s="89">
        <f>VLOOKUP(C1945, Reason_for_public_transport_journeys_by_percentage[#All],MATCH(A1945, Reason_for_public_transport_journeys_by_percentage[#Headers],0),0)/100</f>
        <v>0.10475</v>
      </c>
      <c r="G1945" s="13">
        <f t="shared" si="152"/>
        <v>381577093.25407028</v>
      </c>
      <c r="H1945" s="89">
        <f>VLOOKUP(D1945,Average_Distance_by_kilometre_grouping_for_mode_type[#All],MATCH(A1945,Average_Distance_by_kilometre_grouping_for_mode_type[#Headers],0),0)</f>
        <v>5</v>
      </c>
      <c r="I1945" s="89">
        <f>VLOOKUP(D1945,Average_Distance_by_kilometres_grouping_for_trip_purpose[#All],MATCH(A1945,Average_Distance_by_kilometres_grouping_for_trip_purpose[#Headers],0),0)</f>
        <v>5</v>
      </c>
      <c r="J1945" s="89">
        <f t="shared" si="153"/>
        <v>5</v>
      </c>
      <c r="K1945" s="89">
        <f t="shared" si="154"/>
        <v>0.11641443538998836</v>
      </c>
      <c r="L1945" s="89">
        <v>1</v>
      </c>
      <c r="M1945" s="13">
        <f t="shared" si="155"/>
        <v>44421081.868925527</v>
      </c>
      <c r="N1945" s="11">
        <f t="shared" si="156"/>
        <v>6.7852120336001911E-4</v>
      </c>
    </row>
    <row r="1946" spans="1:14" x14ac:dyDescent="0.25">
      <c r="A1946" s="79" t="s">
        <v>39</v>
      </c>
      <c r="B1946" s="89" t="s">
        <v>8</v>
      </c>
      <c r="C1946" s="89" t="s">
        <v>43</v>
      </c>
      <c r="D1946" s="13" t="s">
        <v>182</v>
      </c>
      <c r="E1946" s="35">
        <f>VLOOKUP(B1946, Passenger_Kilometre_by_mode_type[#All],MATCH(A1946, Passenger_Kilometre_by_mode_type[#Headers],0),0)</f>
        <v>3642740747.0555634</v>
      </c>
      <c r="F1946" s="89">
        <f>VLOOKUP(C1946, Reason_for_public_transport_journeys_by_percentage[#All],MATCH(A1946, Reason_for_public_transport_journeys_by_percentage[#Headers],0),0)/100</f>
        <v>0.10475</v>
      </c>
      <c r="G1946" s="13">
        <f t="shared" si="152"/>
        <v>381577093.25407028</v>
      </c>
      <c r="H1946" s="89">
        <f>VLOOKUP(D1946,Average_Distance_by_kilometre_grouping_for_mode_type[#All],MATCH(A1946,Average_Distance_by_kilometre_grouping_for_mode_type[#Headers],0),0)</f>
        <v>7</v>
      </c>
      <c r="I1946" s="89">
        <f>VLOOKUP(D1946,Average_Distance_by_kilometres_grouping_for_trip_purpose[#All],MATCH(A1946,Average_Distance_by_kilometres_grouping_for_trip_purpose[#Headers],0),0)</f>
        <v>7</v>
      </c>
      <c r="J1946" s="89">
        <f t="shared" si="153"/>
        <v>7</v>
      </c>
      <c r="K1946" s="89">
        <f t="shared" si="154"/>
        <v>0.16298020954598369</v>
      </c>
      <c r="L1946" s="89">
        <v>1</v>
      </c>
      <c r="M1946" s="13">
        <f t="shared" si="155"/>
        <v>62189514.616495736</v>
      </c>
      <c r="N1946" s="11">
        <f t="shared" si="156"/>
        <v>9.4992968470402673E-4</v>
      </c>
    </row>
    <row r="1947" spans="1:14" x14ac:dyDescent="0.25">
      <c r="A1947" s="79" t="s">
        <v>39</v>
      </c>
      <c r="B1947" s="89" t="s">
        <v>8</v>
      </c>
      <c r="C1947" s="89" t="s">
        <v>43</v>
      </c>
      <c r="D1947" s="13" t="s">
        <v>1</v>
      </c>
      <c r="E1947" s="35">
        <f>VLOOKUP(B1947, Passenger_Kilometre_by_mode_type[#All],MATCH(A1947, Passenger_Kilometre_by_mode_type[#Headers],0),0)</f>
        <v>3642740747.0555634</v>
      </c>
      <c r="F1947" s="89">
        <f>VLOOKUP(C1947, Reason_for_public_transport_journeys_by_percentage[#All],MATCH(A1947, Reason_for_public_transport_journeys_by_percentage[#Headers],0),0)/100</f>
        <v>0.10475</v>
      </c>
      <c r="G1947" s="13">
        <f t="shared" si="152"/>
        <v>381577093.25407028</v>
      </c>
      <c r="H1947" s="89">
        <f>VLOOKUP(D1947,Average_Distance_by_kilometre_grouping_for_mode_type[#All],MATCH(A1947,Average_Distance_by_kilometre_grouping_for_mode_type[#Headers],0),0)</f>
        <v>25.7</v>
      </c>
      <c r="I1947" s="89">
        <f>VLOOKUP(D1947,Average_Distance_by_kilometres_grouping_for_trip_purpose[#All],MATCH(A1947,Average_Distance_by_kilometres_grouping_for_trip_purpose[#Headers],0),0)</f>
        <v>28.2</v>
      </c>
      <c r="J1947" s="89">
        <f t="shared" si="153"/>
        <v>26.95</v>
      </c>
      <c r="K1947" s="89">
        <f t="shared" si="154"/>
        <v>0.62747380675203723</v>
      </c>
      <c r="L1947" s="89">
        <v>1</v>
      </c>
      <c r="M1947" s="13">
        <f t="shared" si="155"/>
        <v>239429631.27350858</v>
      </c>
      <c r="N1947" s="11">
        <f t="shared" si="156"/>
        <v>3.6572292861105026E-3</v>
      </c>
    </row>
    <row r="1948" spans="1:14" x14ac:dyDescent="0.25">
      <c r="A1948" s="79" t="s">
        <v>39</v>
      </c>
      <c r="B1948" s="89" t="s">
        <v>8</v>
      </c>
      <c r="C1948" s="89" t="s">
        <v>44</v>
      </c>
      <c r="D1948" s="13" t="s">
        <v>12</v>
      </c>
      <c r="E1948" s="35">
        <f>VLOOKUP(B1948, Passenger_Kilometre_by_mode_type[#All],MATCH(A1948, Passenger_Kilometre_by_mode_type[#Headers],0),0)</f>
        <v>3642740747.0555634</v>
      </c>
      <c r="F1948" s="89">
        <f>VLOOKUP(C1948, Reason_for_public_transport_journeys_by_percentage[#All],MATCH(A1948, Reason_for_public_transport_journeys_by_percentage[#Headers],0),0)/100</f>
        <v>0.27474999999999999</v>
      </c>
      <c r="G1948" s="13">
        <f t="shared" si="152"/>
        <v>1000843020.2535161</v>
      </c>
      <c r="H1948" s="89">
        <f>VLOOKUP(D1948,Average_Distance_by_kilometre_grouping_for_mode_type[#All],MATCH(A1948,Average_Distance_by_kilometre_grouping_for_mode_type[#Headers],0),0)</f>
        <v>1</v>
      </c>
      <c r="I1948" s="89">
        <f>VLOOKUP(D1948,Average_Distance_by_kilometres_grouping_for_trip_purpose[#All],MATCH(A1948,Average_Distance_by_kilometres_grouping_for_trip_purpose[#Headers],0),0)</f>
        <v>1</v>
      </c>
      <c r="J1948" s="89">
        <f t="shared" si="153"/>
        <v>1</v>
      </c>
      <c r="K1948" s="89">
        <f t="shared" si="154"/>
        <v>2.3282887077997669E-2</v>
      </c>
      <c r="L1948" s="89">
        <v>1</v>
      </c>
      <c r="M1948" s="13">
        <f t="shared" si="155"/>
        <v>23302515.023364749</v>
      </c>
      <c r="N1948" s="11">
        <f t="shared" si="156"/>
        <v>3.5594023985329875E-4</v>
      </c>
    </row>
    <row r="1949" spans="1:14" x14ac:dyDescent="0.25">
      <c r="A1949" s="79" t="s">
        <v>39</v>
      </c>
      <c r="B1949" s="89" t="s">
        <v>8</v>
      </c>
      <c r="C1949" s="89" t="s">
        <v>44</v>
      </c>
      <c r="D1949" s="13" t="s">
        <v>181</v>
      </c>
      <c r="E1949" s="35">
        <f>VLOOKUP(B1949, Passenger_Kilometre_by_mode_type[#All],MATCH(A1949, Passenger_Kilometre_by_mode_type[#Headers],0),0)</f>
        <v>3642740747.0555634</v>
      </c>
      <c r="F1949" s="89">
        <f>VLOOKUP(C1949, Reason_for_public_transport_journeys_by_percentage[#All],MATCH(A1949, Reason_for_public_transport_journeys_by_percentage[#Headers],0),0)/100</f>
        <v>0.27474999999999999</v>
      </c>
      <c r="G1949" s="13">
        <f t="shared" si="152"/>
        <v>1000843020.2535161</v>
      </c>
      <c r="H1949" s="89">
        <f>VLOOKUP(D1949,Average_Distance_by_kilometre_grouping_for_mode_type[#All],MATCH(A1949,Average_Distance_by_kilometre_grouping_for_mode_type[#Headers],0),0)</f>
        <v>3</v>
      </c>
      <c r="I1949" s="89">
        <f>VLOOKUP(D1949,Average_Distance_by_kilometres_grouping_for_trip_purpose[#All],MATCH(A1949,Average_Distance_by_kilometres_grouping_for_trip_purpose[#Headers],0),0)</f>
        <v>3</v>
      </c>
      <c r="J1949" s="89">
        <f t="shared" si="153"/>
        <v>3</v>
      </c>
      <c r="K1949" s="89">
        <f t="shared" si="154"/>
        <v>6.9848661233993012E-2</v>
      </c>
      <c r="L1949" s="89">
        <v>1</v>
      </c>
      <c r="M1949" s="13">
        <f t="shared" si="155"/>
        <v>69907545.070094258</v>
      </c>
      <c r="N1949" s="11">
        <f t="shared" si="156"/>
        <v>1.0678207195598964E-3</v>
      </c>
    </row>
    <row r="1950" spans="1:14" x14ac:dyDescent="0.25">
      <c r="A1950" s="79" t="s">
        <v>39</v>
      </c>
      <c r="B1950" s="89" t="s">
        <v>8</v>
      </c>
      <c r="C1950" s="89" t="s">
        <v>44</v>
      </c>
      <c r="D1950" s="13" t="s">
        <v>180</v>
      </c>
      <c r="E1950" s="35">
        <f>VLOOKUP(B1950, Passenger_Kilometre_by_mode_type[#All],MATCH(A1950, Passenger_Kilometre_by_mode_type[#Headers],0),0)</f>
        <v>3642740747.0555634</v>
      </c>
      <c r="F1950" s="89">
        <f>VLOOKUP(C1950, Reason_for_public_transport_journeys_by_percentage[#All],MATCH(A1950, Reason_for_public_transport_journeys_by_percentage[#Headers],0),0)/100</f>
        <v>0.27474999999999999</v>
      </c>
      <c r="G1950" s="13">
        <f t="shared" si="152"/>
        <v>1000843020.2535161</v>
      </c>
      <c r="H1950" s="89">
        <f>VLOOKUP(D1950,Average_Distance_by_kilometre_grouping_for_mode_type[#All],MATCH(A1950,Average_Distance_by_kilometre_grouping_for_mode_type[#Headers],0),0)</f>
        <v>5</v>
      </c>
      <c r="I1950" s="89">
        <f>VLOOKUP(D1950,Average_Distance_by_kilometres_grouping_for_trip_purpose[#All],MATCH(A1950,Average_Distance_by_kilometres_grouping_for_trip_purpose[#Headers],0),0)</f>
        <v>5</v>
      </c>
      <c r="J1950" s="89">
        <f t="shared" si="153"/>
        <v>5</v>
      </c>
      <c r="K1950" s="89">
        <f t="shared" si="154"/>
        <v>0.11641443538998836</v>
      </c>
      <c r="L1950" s="89">
        <v>1</v>
      </c>
      <c r="M1950" s="13">
        <f t="shared" si="155"/>
        <v>116512575.11682376</v>
      </c>
      <c r="N1950" s="11">
        <f t="shared" si="156"/>
        <v>1.779701199266494E-3</v>
      </c>
    </row>
    <row r="1951" spans="1:14" x14ac:dyDescent="0.25">
      <c r="A1951" s="79" t="s">
        <v>39</v>
      </c>
      <c r="B1951" s="89" t="s">
        <v>8</v>
      </c>
      <c r="C1951" s="89" t="s">
        <v>44</v>
      </c>
      <c r="D1951" s="13" t="s">
        <v>182</v>
      </c>
      <c r="E1951" s="35">
        <f>VLOOKUP(B1951, Passenger_Kilometre_by_mode_type[#All],MATCH(A1951, Passenger_Kilometre_by_mode_type[#Headers],0),0)</f>
        <v>3642740747.0555634</v>
      </c>
      <c r="F1951" s="89">
        <f>VLOOKUP(C1951, Reason_for_public_transport_journeys_by_percentage[#All],MATCH(A1951, Reason_for_public_transport_journeys_by_percentage[#Headers],0),0)/100</f>
        <v>0.27474999999999999</v>
      </c>
      <c r="G1951" s="13">
        <f t="shared" si="152"/>
        <v>1000843020.2535161</v>
      </c>
      <c r="H1951" s="89">
        <f>VLOOKUP(D1951,Average_Distance_by_kilometre_grouping_for_mode_type[#All],MATCH(A1951,Average_Distance_by_kilometre_grouping_for_mode_type[#Headers],0),0)</f>
        <v>7</v>
      </c>
      <c r="I1951" s="89">
        <f>VLOOKUP(D1951,Average_Distance_by_kilometres_grouping_for_trip_purpose[#All],MATCH(A1951,Average_Distance_by_kilometres_grouping_for_trip_purpose[#Headers],0),0)</f>
        <v>7</v>
      </c>
      <c r="J1951" s="89">
        <f t="shared" si="153"/>
        <v>7</v>
      </c>
      <c r="K1951" s="89">
        <f t="shared" si="154"/>
        <v>0.16298020954598369</v>
      </c>
      <c r="L1951" s="89">
        <v>1</v>
      </c>
      <c r="M1951" s="13">
        <f t="shared" si="155"/>
        <v>163117605.16355324</v>
      </c>
      <c r="N1951" s="11">
        <f t="shared" si="156"/>
        <v>2.4915816789730914E-3</v>
      </c>
    </row>
    <row r="1952" spans="1:14" x14ac:dyDescent="0.25">
      <c r="A1952" s="79" t="s">
        <v>39</v>
      </c>
      <c r="B1952" s="89" t="s">
        <v>8</v>
      </c>
      <c r="C1952" s="89" t="s">
        <v>44</v>
      </c>
      <c r="D1952" s="13" t="s">
        <v>1</v>
      </c>
      <c r="E1952" s="35">
        <f>VLOOKUP(B1952, Passenger_Kilometre_by_mode_type[#All],MATCH(A1952, Passenger_Kilometre_by_mode_type[#Headers],0),0)</f>
        <v>3642740747.0555634</v>
      </c>
      <c r="F1952" s="89">
        <f>VLOOKUP(C1952, Reason_for_public_transport_journeys_by_percentage[#All],MATCH(A1952, Reason_for_public_transport_journeys_by_percentage[#Headers],0),0)/100</f>
        <v>0.27474999999999999</v>
      </c>
      <c r="G1952" s="13">
        <f t="shared" si="152"/>
        <v>1000843020.2535161</v>
      </c>
      <c r="H1952" s="89">
        <f>VLOOKUP(D1952,Average_Distance_by_kilometre_grouping_for_mode_type[#All],MATCH(A1952,Average_Distance_by_kilometre_grouping_for_mode_type[#Headers],0),0)</f>
        <v>25.7</v>
      </c>
      <c r="I1952" s="89">
        <f>VLOOKUP(D1952,Average_Distance_by_kilometres_grouping_for_trip_purpose[#All],MATCH(A1952,Average_Distance_by_kilometres_grouping_for_trip_purpose[#Headers],0),0)</f>
        <v>28.2</v>
      </c>
      <c r="J1952" s="89">
        <f t="shared" si="153"/>
        <v>26.95</v>
      </c>
      <c r="K1952" s="89">
        <f t="shared" si="154"/>
        <v>0.62747380675203723</v>
      </c>
      <c r="L1952" s="89">
        <v>1</v>
      </c>
      <c r="M1952" s="13">
        <f t="shared" si="155"/>
        <v>628002779.87968004</v>
      </c>
      <c r="N1952" s="11">
        <f t="shared" si="156"/>
        <v>9.5925894640464023E-3</v>
      </c>
    </row>
    <row r="1953" spans="1:14" x14ac:dyDescent="0.25">
      <c r="A1953" s="79" t="s">
        <v>39</v>
      </c>
      <c r="B1953" s="89" t="s">
        <v>8</v>
      </c>
      <c r="C1953" s="89" t="s">
        <v>45</v>
      </c>
      <c r="D1953" s="13" t="s">
        <v>12</v>
      </c>
      <c r="E1953" s="35">
        <f>VLOOKUP(B1953, Passenger_Kilometre_by_mode_type[#All],MATCH(A1953, Passenger_Kilometre_by_mode_type[#Headers],0),0)</f>
        <v>3642740747.0555634</v>
      </c>
      <c r="F1953" s="89">
        <f>VLOOKUP(C1953, Reason_for_public_transport_journeys_by_percentage[#All],MATCH(A1953, Reason_for_public_transport_journeys_by_percentage[#Headers],0),0)/100</f>
        <v>2.9499999999999998E-2</v>
      </c>
      <c r="G1953" s="13">
        <f t="shared" si="152"/>
        <v>107460852.03813912</v>
      </c>
      <c r="H1953" s="89">
        <f>VLOOKUP(D1953,Average_Distance_by_kilometre_grouping_for_mode_type[#All],MATCH(A1953,Average_Distance_by_kilometre_grouping_for_mode_type[#Headers],0),0)</f>
        <v>1</v>
      </c>
      <c r="I1953" s="89">
        <f>VLOOKUP(D1953,Average_Distance_by_kilometres_grouping_for_trip_purpose[#All],MATCH(A1953,Average_Distance_by_kilometres_grouping_for_trip_purpose[#Headers],0),0)</f>
        <v>1</v>
      </c>
      <c r="J1953" s="89">
        <f t="shared" si="153"/>
        <v>1</v>
      </c>
      <c r="K1953" s="89">
        <f t="shared" si="154"/>
        <v>2.3282887077997669E-2</v>
      </c>
      <c r="L1953" s="89">
        <v>1</v>
      </c>
      <c r="M1953" s="13">
        <f t="shared" si="155"/>
        <v>2501998.883309409</v>
      </c>
      <c r="N1953" s="11">
        <f t="shared" si="156"/>
        <v>3.821742338734236E-5</v>
      </c>
    </row>
    <row r="1954" spans="1:14" x14ac:dyDescent="0.25">
      <c r="A1954" s="79" t="s">
        <v>39</v>
      </c>
      <c r="B1954" s="89" t="s">
        <v>8</v>
      </c>
      <c r="C1954" s="89" t="s">
        <v>45</v>
      </c>
      <c r="D1954" s="13" t="s">
        <v>181</v>
      </c>
      <c r="E1954" s="35">
        <f>VLOOKUP(B1954, Passenger_Kilometre_by_mode_type[#All],MATCH(A1954, Passenger_Kilometre_by_mode_type[#Headers],0),0)</f>
        <v>3642740747.0555634</v>
      </c>
      <c r="F1954" s="89">
        <f>VLOOKUP(C1954, Reason_for_public_transport_journeys_by_percentage[#All],MATCH(A1954, Reason_for_public_transport_journeys_by_percentage[#Headers],0),0)/100</f>
        <v>2.9499999999999998E-2</v>
      </c>
      <c r="G1954" s="13">
        <f t="shared" si="152"/>
        <v>107460852.03813912</v>
      </c>
      <c r="H1954" s="89">
        <f>VLOOKUP(D1954,Average_Distance_by_kilometre_grouping_for_mode_type[#All],MATCH(A1954,Average_Distance_by_kilometre_grouping_for_mode_type[#Headers],0),0)</f>
        <v>3</v>
      </c>
      <c r="I1954" s="89">
        <f>VLOOKUP(D1954,Average_Distance_by_kilometres_grouping_for_trip_purpose[#All],MATCH(A1954,Average_Distance_by_kilometres_grouping_for_trip_purpose[#Headers],0),0)</f>
        <v>3</v>
      </c>
      <c r="J1954" s="89">
        <f t="shared" si="153"/>
        <v>3</v>
      </c>
      <c r="K1954" s="89">
        <f t="shared" si="154"/>
        <v>6.9848661233993012E-2</v>
      </c>
      <c r="L1954" s="89">
        <v>1</v>
      </c>
      <c r="M1954" s="13">
        <f t="shared" si="155"/>
        <v>7505996.6499282271</v>
      </c>
      <c r="N1954" s="11">
        <f t="shared" si="156"/>
        <v>1.1465227016202708E-4</v>
      </c>
    </row>
    <row r="1955" spans="1:14" x14ac:dyDescent="0.25">
      <c r="A1955" s="79" t="s">
        <v>39</v>
      </c>
      <c r="B1955" s="89" t="s">
        <v>8</v>
      </c>
      <c r="C1955" s="89" t="s">
        <v>45</v>
      </c>
      <c r="D1955" s="13" t="s">
        <v>180</v>
      </c>
      <c r="E1955" s="35">
        <f>VLOOKUP(B1955, Passenger_Kilometre_by_mode_type[#All],MATCH(A1955, Passenger_Kilometre_by_mode_type[#Headers],0),0)</f>
        <v>3642740747.0555634</v>
      </c>
      <c r="F1955" s="89">
        <f>VLOOKUP(C1955, Reason_for_public_transport_journeys_by_percentage[#All],MATCH(A1955, Reason_for_public_transport_journeys_by_percentage[#Headers],0),0)/100</f>
        <v>2.9499999999999998E-2</v>
      </c>
      <c r="G1955" s="13">
        <f t="shared" si="152"/>
        <v>107460852.03813912</v>
      </c>
      <c r="H1955" s="89">
        <f>VLOOKUP(D1955,Average_Distance_by_kilometre_grouping_for_mode_type[#All],MATCH(A1955,Average_Distance_by_kilometre_grouping_for_mode_type[#Headers],0),0)</f>
        <v>5</v>
      </c>
      <c r="I1955" s="89">
        <f>VLOOKUP(D1955,Average_Distance_by_kilometres_grouping_for_trip_purpose[#All],MATCH(A1955,Average_Distance_by_kilometres_grouping_for_trip_purpose[#Headers],0),0)</f>
        <v>5</v>
      </c>
      <c r="J1955" s="89">
        <f t="shared" si="153"/>
        <v>5</v>
      </c>
      <c r="K1955" s="89">
        <f t="shared" si="154"/>
        <v>0.11641443538998836</v>
      </c>
      <c r="L1955" s="89">
        <v>1</v>
      </c>
      <c r="M1955" s="13">
        <f t="shared" si="155"/>
        <v>12509994.416547045</v>
      </c>
      <c r="N1955" s="11">
        <f t="shared" si="156"/>
        <v>1.910871169367118E-4</v>
      </c>
    </row>
    <row r="1956" spans="1:14" x14ac:dyDescent="0.25">
      <c r="A1956" s="79" t="s">
        <v>39</v>
      </c>
      <c r="B1956" s="89" t="s">
        <v>8</v>
      </c>
      <c r="C1956" s="89" t="s">
        <v>45</v>
      </c>
      <c r="D1956" s="13" t="s">
        <v>182</v>
      </c>
      <c r="E1956" s="35">
        <f>VLOOKUP(B1956, Passenger_Kilometre_by_mode_type[#All],MATCH(A1956, Passenger_Kilometre_by_mode_type[#Headers],0),0)</f>
        <v>3642740747.0555634</v>
      </c>
      <c r="F1956" s="89">
        <f>VLOOKUP(C1956, Reason_for_public_transport_journeys_by_percentage[#All],MATCH(A1956, Reason_for_public_transport_journeys_by_percentage[#Headers],0),0)/100</f>
        <v>2.9499999999999998E-2</v>
      </c>
      <c r="G1956" s="13">
        <f t="shared" si="152"/>
        <v>107460852.03813912</v>
      </c>
      <c r="H1956" s="89">
        <f>VLOOKUP(D1956,Average_Distance_by_kilometre_grouping_for_mode_type[#All],MATCH(A1956,Average_Distance_by_kilometre_grouping_for_mode_type[#Headers],0),0)</f>
        <v>7</v>
      </c>
      <c r="I1956" s="89">
        <f>VLOOKUP(D1956,Average_Distance_by_kilometres_grouping_for_trip_purpose[#All],MATCH(A1956,Average_Distance_by_kilometres_grouping_for_trip_purpose[#Headers],0),0)</f>
        <v>7</v>
      </c>
      <c r="J1956" s="89">
        <f t="shared" si="153"/>
        <v>7</v>
      </c>
      <c r="K1956" s="89">
        <f t="shared" si="154"/>
        <v>0.16298020954598369</v>
      </c>
      <c r="L1956" s="89">
        <v>1</v>
      </c>
      <c r="M1956" s="13">
        <f t="shared" si="155"/>
        <v>17513992.183165863</v>
      </c>
      <c r="N1956" s="11">
        <f t="shared" si="156"/>
        <v>2.6752196371139655E-4</v>
      </c>
    </row>
    <row r="1957" spans="1:14" x14ac:dyDescent="0.25">
      <c r="A1957" s="79" t="s">
        <v>39</v>
      </c>
      <c r="B1957" s="89" t="s">
        <v>8</v>
      </c>
      <c r="C1957" s="89" t="s">
        <v>45</v>
      </c>
      <c r="D1957" s="13" t="s">
        <v>1</v>
      </c>
      <c r="E1957" s="35">
        <f>VLOOKUP(B1957, Passenger_Kilometre_by_mode_type[#All],MATCH(A1957, Passenger_Kilometre_by_mode_type[#Headers],0),0)</f>
        <v>3642740747.0555634</v>
      </c>
      <c r="F1957" s="89">
        <f>VLOOKUP(C1957, Reason_for_public_transport_journeys_by_percentage[#All],MATCH(A1957, Reason_for_public_transport_journeys_by_percentage[#Headers],0),0)/100</f>
        <v>2.9499999999999998E-2</v>
      </c>
      <c r="G1957" s="13">
        <f t="shared" si="152"/>
        <v>107460852.03813912</v>
      </c>
      <c r="H1957" s="89">
        <f>VLOOKUP(D1957,Average_Distance_by_kilometre_grouping_for_mode_type[#All],MATCH(A1957,Average_Distance_by_kilometre_grouping_for_mode_type[#Headers],0),0)</f>
        <v>25.7</v>
      </c>
      <c r="I1957" s="89">
        <f>VLOOKUP(D1957,Average_Distance_by_kilometres_grouping_for_trip_purpose[#All],MATCH(A1957,Average_Distance_by_kilometres_grouping_for_trip_purpose[#Headers],0),0)</f>
        <v>28.2</v>
      </c>
      <c r="J1957" s="89">
        <f t="shared" si="153"/>
        <v>26.95</v>
      </c>
      <c r="K1957" s="89">
        <f t="shared" si="154"/>
        <v>0.62747380675203723</v>
      </c>
      <c r="L1957" s="89">
        <v>1</v>
      </c>
      <c r="M1957" s="13">
        <f t="shared" si="155"/>
        <v>67428869.905188575</v>
      </c>
      <c r="N1957" s="11">
        <f t="shared" si="156"/>
        <v>1.0299595602888767E-3</v>
      </c>
    </row>
    <row r="1958" spans="1:14" x14ac:dyDescent="0.25">
      <c r="A1958" s="79" t="s">
        <v>39</v>
      </c>
      <c r="B1958" s="89" t="s">
        <v>8</v>
      </c>
      <c r="C1958" s="89" t="s">
        <v>56</v>
      </c>
      <c r="D1958" s="13" t="s">
        <v>12</v>
      </c>
      <c r="E1958" s="35">
        <f>VLOOKUP(B1958, Passenger_Kilometre_by_mode_type[#All],MATCH(A1958, Passenger_Kilometre_by_mode_type[#Headers],0),0)</f>
        <v>3642740747.0555634</v>
      </c>
      <c r="F1958" s="89">
        <f>VLOOKUP(C1958, Reason_for_public_transport_journeys_by_percentage[#All],MATCH(A1958, Reason_for_public_transport_journeys_by_percentage[#Headers],0),0)/100</f>
        <v>7.0999999999999994E-2</v>
      </c>
      <c r="G1958" s="13">
        <f t="shared" si="152"/>
        <v>258634593.04094499</v>
      </c>
      <c r="H1958" s="89">
        <f>VLOOKUP(D1958,Average_Distance_by_kilometre_grouping_for_mode_type[#All],MATCH(A1958,Average_Distance_by_kilometre_grouping_for_mode_type[#Headers],0),0)</f>
        <v>1</v>
      </c>
      <c r="I1958" s="89">
        <f>VLOOKUP(D1958,Average_Distance_by_kilometres_grouping_for_trip_purpose[#All],MATCH(A1958,Average_Distance_by_kilometres_grouping_for_trip_purpose[#Headers],0),0)</f>
        <v>1</v>
      </c>
      <c r="J1958" s="89">
        <f t="shared" si="153"/>
        <v>1</v>
      </c>
      <c r="K1958" s="89">
        <f t="shared" si="154"/>
        <v>2.3282887077997669E-2</v>
      </c>
      <c r="L1958" s="89">
        <v>1</v>
      </c>
      <c r="M1958" s="13">
        <f t="shared" si="155"/>
        <v>6021760.0242362041</v>
      </c>
      <c r="N1958" s="11">
        <f t="shared" si="156"/>
        <v>9.1980917305129069E-5</v>
      </c>
    </row>
    <row r="1959" spans="1:14" x14ac:dyDescent="0.25">
      <c r="A1959" s="79" t="s">
        <v>39</v>
      </c>
      <c r="B1959" s="89" t="s">
        <v>8</v>
      </c>
      <c r="C1959" s="89" t="s">
        <v>56</v>
      </c>
      <c r="D1959" s="13" t="s">
        <v>181</v>
      </c>
      <c r="E1959" s="35">
        <f>VLOOKUP(B1959, Passenger_Kilometre_by_mode_type[#All],MATCH(A1959, Passenger_Kilometre_by_mode_type[#Headers],0),0)</f>
        <v>3642740747.0555634</v>
      </c>
      <c r="F1959" s="89">
        <f>VLOOKUP(C1959, Reason_for_public_transport_journeys_by_percentage[#All],MATCH(A1959, Reason_for_public_transport_journeys_by_percentage[#Headers],0),0)/100</f>
        <v>7.0999999999999994E-2</v>
      </c>
      <c r="G1959" s="13">
        <f t="shared" si="152"/>
        <v>258634593.04094499</v>
      </c>
      <c r="H1959" s="89">
        <f>VLOOKUP(D1959,Average_Distance_by_kilometre_grouping_for_mode_type[#All],MATCH(A1959,Average_Distance_by_kilometre_grouping_for_mode_type[#Headers],0),0)</f>
        <v>3</v>
      </c>
      <c r="I1959" s="89">
        <f>VLOOKUP(D1959,Average_Distance_by_kilometres_grouping_for_trip_purpose[#All],MATCH(A1959,Average_Distance_by_kilometres_grouping_for_trip_purpose[#Headers],0),0)</f>
        <v>3</v>
      </c>
      <c r="J1959" s="89">
        <f t="shared" si="153"/>
        <v>3</v>
      </c>
      <c r="K1959" s="89">
        <f t="shared" si="154"/>
        <v>6.9848661233993012E-2</v>
      </c>
      <c r="L1959" s="89">
        <v>1</v>
      </c>
      <c r="M1959" s="13">
        <f t="shared" si="155"/>
        <v>18065280.072708614</v>
      </c>
      <c r="N1959" s="11">
        <f t="shared" si="156"/>
        <v>2.7594275191538721E-4</v>
      </c>
    </row>
    <row r="1960" spans="1:14" x14ac:dyDescent="0.25">
      <c r="A1960" s="79" t="s">
        <v>39</v>
      </c>
      <c r="B1960" s="89" t="s">
        <v>8</v>
      </c>
      <c r="C1960" s="89" t="s">
        <v>56</v>
      </c>
      <c r="D1960" s="13" t="s">
        <v>180</v>
      </c>
      <c r="E1960" s="35">
        <f>VLOOKUP(B1960, Passenger_Kilometre_by_mode_type[#All],MATCH(A1960, Passenger_Kilometre_by_mode_type[#Headers],0),0)</f>
        <v>3642740747.0555634</v>
      </c>
      <c r="F1960" s="89">
        <f>VLOOKUP(C1960, Reason_for_public_transport_journeys_by_percentage[#All],MATCH(A1960, Reason_for_public_transport_journeys_by_percentage[#Headers],0),0)/100</f>
        <v>7.0999999999999994E-2</v>
      </c>
      <c r="G1960" s="13">
        <f t="shared" si="152"/>
        <v>258634593.04094499</v>
      </c>
      <c r="H1960" s="89">
        <f>VLOOKUP(D1960,Average_Distance_by_kilometre_grouping_for_mode_type[#All],MATCH(A1960,Average_Distance_by_kilometre_grouping_for_mode_type[#Headers],0),0)</f>
        <v>5</v>
      </c>
      <c r="I1960" s="89">
        <f>VLOOKUP(D1960,Average_Distance_by_kilometres_grouping_for_trip_purpose[#All],MATCH(A1960,Average_Distance_by_kilometres_grouping_for_trip_purpose[#Headers],0),0)</f>
        <v>5</v>
      </c>
      <c r="J1960" s="89">
        <f t="shared" si="153"/>
        <v>5</v>
      </c>
      <c r="K1960" s="89">
        <f t="shared" si="154"/>
        <v>0.11641443538998836</v>
      </c>
      <c r="L1960" s="89">
        <v>1</v>
      </c>
      <c r="M1960" s="13">
        <f t="shared" si="155"/>
        <v>30108800.121181022</v>
      </c>
      <c r="N1960" s="11">
        <f t="shared" si="156"/>
        <v>4.5990458652564535E-4</v>
      </c>
    </row>
    <row r="1961" spans="1:14" x14ac:dyDescent="0.25">
      <c r="A1961" s="79" t="s">
        <v>39</v>
      </c>
      <c r="B1961" s="89" t="s">
        <v>8</v>
      </c>
      <c r="C1961" s="89" t="s">
        <v>56</v>
      </c>
      <c r="D1961" s="13" t="s">
        <v>182</v>
      </c>
      <c r="E1961" s="35">
        <f>VLOOKUP(B1961, Passenger_Kilometre_by_mode_type[#All],MATCH(A1961, Passenger_Kilometre_by_mode_type[#Headers],0),0)</f>
        <v>3642740747.0555634</v>
      </c>
      <c r="F1961" s="89">
        <f>VLOOKUP(C1961, Reason_for_public_transport_journeys_by_percentage[#All],MATCH(A1961, Reason_for_public_transport_journeys_by_percentage[#Headers],0),0)/100</f>
        <v>7.0999999999999994E-2</v>
      </c>
      <c r="G1961" s="13">
        <f t="shared" si="152"/>
        <v>258634593.04094499</v>
      </c>
      <c r="H1961" s="89">
        <f>VLOOKUP(D1961,Average_Distance_by_kilometre_grouping_for_mode_type[#All],MATCH(A1961,Average_Distance_by_kilometre_grouping_for_mode_type[#Headers],0),0)</f>
        <v>7</v>
      </c>
      <c r="I1961" s="89">
        <f>VLOOKUP(D1961,Average_Distance_by_kilometres_grouping_for_trip_purpose[#All],MATCH(A1961,Average_Distance_by_kilometres_grouping_for_trip_purpose[#Headers],0),0)</f>
        <v>7</v>
      </c>
      <c r="J1961" s="89">
        <f t="shared" si="153"/>
        <v>7</v>
      </c>
      <c r="K1961" s="89">
        <f t="shared" si="154"/>
        <v>0.16298020954598369</v>
      </c>
      <c r="L1961" s="89">
        <v>1</v>
      </c>
      <c r="M1961" s="13">
        <f t="shared" si="155"/>
        <v>42152320.169653431</v>
      </c>
      <c r="N1961" s="11">
        <f t="shared" si="156"/>
        <v>6.4386642113590349E-4</v>
      </c>
    </row>
    <row r="1962" spans="1:14" x14ac:dyDescent="0.25">
      <c r="A1962" s="79" t="s">
        <v>39</v>
      </c>
      <c r="B1962" s="89" t="s">
        <v>8</v>
      </c>
      <c r="C1962" s="89" t="s">
        <v>56</v>
      </c>
      <c r="D1962" s="13" t="s">
        <v>1</v>
      </c>
      <c r="E1962" s="35">
        <f>VLOOKUP(B1962, Passenger_Kilometre_by_mode_type[#All],MATCH(A1962, Passenger_Kilometre_by_mode_type[#Headers],0),0)</f>
        <v>3642740747.0555634</v>
      </c>
      <c r="F1962" s="89">
        <f>VLOOKUP(C1962, Reason_for_public_transport_journeys_by_percentage[#All],MATCH(A1962, Reason_for_public_transport_journeys_by_percentage[#Headers],0),0)/100</f>
        <v>7.0999999999999994E-2</v>
      </c>
      <c r="G1962" s="13">
        <f t="shared" si="152"/>
        <v>258634593.04094499</v>
      </c>
      <c r="H1962" s="89">
        <f>VLOOKUP(D1962,Average_Distance_by_kilometre_grouping_for_mode_type[#All],MATCH(A1962,Average_Distance_by_kilometre_grouping_for_mode_type[#Headers],0),0)</f>
        <v>25.7</v>
      </c>
      <c r="I1962" s="89">
        <f>VLOOKUP(D1962,Average_Distance_by_kilometres_grouping_for_trip_purpose[#All],MATCH(A1962,Average_Distance_by_kilometres_grouping_for_trip_purpose[#Headers],0),0)</f>
        <v>28.2</v>
      </c>
      <c r="J1962" s="89">
        <f t="shared" si="153"/>
        <v>26.95</v>
      </c>
      <c r="K1962" s="89">
        <f t="shared" si="154"/>
        <v>0.62747380675203723</v>
      </c>
      <c r="L1962" s="89">
        <v>1</v>
      </c>
      <c r="M1962" s="13">
        <f t="shared" si="155"/>
        <v>162286432.6531657</v>
      </c>
      <c r="N1962" s="11">
        <f t="shared" si="156"/>
        <v>2.4788857213732282E-3</v>
      </c>
    </row>
    <row r="1963" spans="1:14" x14ac:dyDescent="0.25">
      <c r="A1963" s="79" t="s">
        <v>39</v>
      </c>
      <c r="B1963" s="89" t="s">
        <v>8</v>
      </c>
      <c r="C1963" s="89" t="s">
        <v>57</v>
      </c>
      <c r="D1963" s="13" t="s">
        <v>12</v>
      </c>
      <c r="E1963" s="35">
        <f>VLOOKUP(B1963, Passenger_Kilometre_by_mode_type[#All],MATCH(A1963, Passenger_Kilometre_by_mode_type[#Headers],0),0)</f>
        <v>3642740747.0555634</v>
      </c>
      <c r="F1963" s="89">
        <f>VLOOKUP(C1963, Reason_for_public_transport_journeys_by_percentage[#All],MATCH(A1963, Reason_for_public_transport_journeys_by_percentage[#Headers],0),0)/100</f>
        <v>5.1749999999999997E-2</v>
      </c>
      <c r="G1963" s="13">
        <f t="shared" si="152"/>
        <v>188511833.6601254</v>
      </c>
      <c r="H1963" s="89">
        <f>VLOOKUP(D1963,Average_Distance_by_kilometre_grouping_for_mode_type[#All],MATCH(A1963,Average_Distance_by_kilometre_grouping_for_mode_type[#Headers],0),0)</f>
        <v>1</v>
      </c>
      <c r="I1963" s="89">
        <f>VLOOKUP(D1963,Average_Distance_by_kilometres_grouping_for_trip_purpose[#All],MATCH(A1963,Average_Distance_by_kilometres_grouping_for_trip_purpose[#Headers],0),0)</f>
        <v>1</v>
      </c>
      <c r="J1963" s="89">
        <f t="shared" si="153"/>
        <v>1</v>
      </c>
      <c r="K1963" s="89">
        <f t="shared" si="154"/>
        <v>2.3282887077997669E-2</v>
      </c>
      <c r="L1963" s="89">
        <v>1</v>
      </c>
      <c r="M1963" s="13">
        <f t="shared" si="155"/>
        <v>4389099.7359749796</v>
      </c>
      <c r="N1963" s="11">
        <f t="shared" si="156"/>
        <v>6.7042429162541252E-5</v>
      </c>
    </row>
    <row r="1964" spans="1:14" x14ac:dyDescent="0.25">
      <c r="A1964" s="79" t="s">
        <v>39</v>
      </c>
      <c r="B1964" s="89" t="s">
        <v>8</v>
      </c>
      <c r="C1964" s="89" t="s">
        <v>57</v>
      </c>
      <c r="D1964" s="13" t="s">
        <v>181</v>
      </c>
      <c r="E1964" s="35">
        <f>VLOOKUP(B1964, Passenger_Kilometre_by_mode_type[#All],MATCH(A1964, Passenger_Kilometre_by_mode_type[#Headers],0),0)</f>
        <v>3642740747.0555634</v>
      </c>
      <c r="F1964" s="89">
        <f>VLOOKUP(C1964, Reason_for_public_transport_journeys_by_percentage[#All],MATCH(A1964, Reason_for_public_transport_journeys_by_percentage[#Headers],0),0)/100</f>
        <v>5.1749999999999997E-2</v>
      </c>
      <c r="G1964" s="13">
        <f t="shared" si="152"/>
        <v>188511833.6601254</v>
      </c>
      <c r="H1964" s="89">
        <f>VLOOKUP(D1964,Average_Distance_by_kilometre_grouping_for_mode_type[#All],MATCH(A1964,Average_Distance_by_kilometre_grouping_for_mode_type[#Headers],0),0)</f>
        <v>3</v>
      </c>
      <c r="I1964" s="89">
        <f>VLOOKUP(D1964,Average_Distance_by_kilometres_grouping_for_trip_purpose[#All],MATCH(A1964,Average_Distance_by_kilometres_grouping_for_trip_purpose[#Headers],0),0)</f>
        <v>3</v>
      </c>
      <c r="J1964" s="89">
        <f t="shared" si="153"/>
        <v>3</v>
      </c>
      <c r="K1964" s="89">
        <f t="shared" si="154"/>
        <v>6.9848661233993012E-2</v>
      </c>
      <c r="L1964" s="89">
        <v>1</v>
      </c>
      <c r="M1964" s="13">
        <f t="shared" si="155"/>
        <v>13167299.20792494</v>
      </c>
      <c r="N1964" s="11">
        <f t="shared" si="156"/>
        <v>2.0112728748762377E-4</v>
      </c>
    </row>
    <row r="1965" spans="1:14" x14ac:dyDescent="0.25">
      <c r="A1965" s="79" t="s">
        <v>39</v>
      </c>
      <c r="B1965" s="89" t="s">
        <v>8</v>
      </c>
      <c r="C1965" s="89" t="s">
        <v>57</v>
      </c>
      <c r="D1965" s="13" t="s">
        <v>180</v>
      </c>
      <c r="E1965" s="35">
        <f>VLOOKUP(B1965, Passenger_Kilometre_by_mode_type[#All],MATCH(A1965, Passenger_Kilometre_by_mode_type[#Headers],0),0)</f>
        <v>3642740747.0555634</v>
      </c>
      <c r="F1965" s="89">
        <f>VLOOKUP(C1965, Reason_for_public_transport_journeys_by_percentage[#All],MATCH(A1965, Reason_for_public_transport_journeys_by_percentage[#Headers],0),0)/100</f>
        <v>5.1749999999999997E-2</v>
      </c>
      <c r="G1965" s="13">
        <f t="shared" si="152"/>
        <v>188511833.6601254</v>
      </c>
      <c r="H1965" s="89">
        <f>VLOOKUP(D1965,Average_Distance_by_kilometre_grouping_for_mode_type[#All],MATCH(A1965,Average_Distance_by_kilometre_grouping_for_mode_type[#Headers],0),0)</f>
        <v>5</v>
      </c>
      <c r="I1965" s="89">
        <f>VLOOKUP(D1965,Average_Distance_by_kilometres_grouping_for_trip_purpose[#All],MATCH(A1965,Average_Distance_by_kilometres_grouping_for_trip_purpose[#Headers],0),0)</f>
        <v>5</v>
      </c>
      <c r="J1965" s="89">
        <f t="shared" si="153"/>
        <v>5</v>
      </c>
      <c r="K1965" s="89">
        <f t="shared" si="154"/>
        <v>0.11641443538998836</v>
      </c>
      <c r="L1965" s="89">
        <v>1</v>
      </c>
      <c r="M1965" s="13">
        <f t="shared" si="155"/>
        <v>21945498.679874901</v>
      </c>
      <c r="N1965" s="11">
        <f t="shared" si="156"/>
        <v>3.352121458127063E-4</v>
      </c>
    </row>
    <row r="1966" spans="1:14" x14ac:dyDescent="0.25">
      <c r="A1966" s="79" t="s">
        <v>39</v>
      </c>
      <c r="B1966" s="89" t="s">
        <v>8</v>
      </c>
      <c r="C1966" s="89" t="s">
        <v>57</v>
      </c>
      <c r="D1966" s="13" t="s">
        <v>182</v>
      </c>
      <c r="E1966" s="35">
        <f>VLOOKUP(B1966, Passenger_Kilometre_by_mode_type[#All],MATCH(A1966, Passenger_Kilometre_by_mode_type[#Headers],0),0)</f>
        <v>3642740747.0555634</v>
      </c>
      <c r="F1966" s="89">
        <f>VLOOKUP(C1966, Reason_for_public_transport_journeys_by_percentage[#All],MATCH(A1966, Reason_for_public_transport_journeys_by_percentage[#Headers],0),0)/100</f>
        <v>5.1749999999999997E-2</v>
      </c>
      <c r="G1966" s="13">
        <f t="shared" si="152"/>
        <v>188511833.6601254</v>
      </c>
      <c r="H1966" s="89">
        <f>VLOOKUP(D1966,Average_Distance_by_kilometre_grouping_for_mode_type[#All],MATCH(A1966,Average_Distance_by_kilometre_grouping_for_mode_type[#Headers],0),0)</f>
        <v>7</v>
      </c>
      <c r="I1966" s="89">
        <f>VLOOKUP(D1966,Average_Distance_by_kilometres_grouping_for_trip_purpose[#All],MATCH(A1966,Average_Distance_by_kilometres_grouping_for_trip_purpose[#Headers],0),0)</f>
        <v>7</v>
      </c>
      <c r="J1966" s="89">
        <f t="shared" si="153"/>
        <v>7</v>
      </c>
      <c r="K1966" s="89">
        <f t="shared" si="154"/>
        <v>0.16298020954598369</v>
      </c>
      <c r="L1966" s="89">
        <v>1</v>
      </c>
      <c r="M1966" s="13">
        <f t="shared" si="155"/>
        <v>30723698.151824858</v>
      </c>
      <c r="N1966" s="11">
        <f t="shared" si="156"/>
        <v>4.6929700413778877E-4</v>
      </c>
    </row>
    <row r="1967" spans="1:14" x14ac:dyDescent="0.25">
      <c r="A1967" s="79" t="s">
        <v>39</v>
      </c>
      <c r="B1967" s="89" t="s">
        <v>8</v>
      </c>
      <c r="C1967" s="89" t="s">
        <v>57</v>
      </c>
      <c r="D1967" s="13" t="s">
        <v>1</v>
      </c>
      <c r="E1967" s="35">
        <f>VLOOKUP(B1967, Passenger_Kilometre_by_mode_type[#All],MATCH(A1967, Passenger_Kilometre_by_mode_type[#Headers],0),0)</f>
        <v>3642740747.0555634</v>
      </c>
      <c r="F1967" s="89">
        <f>VLOOKUP(C1967, Reason_for_public_transport_journeys_by_percentage[#All],MATCH(A1967, Reason_for_public_transport_journeys_by_percentage[#Headers],0),0)/100</f>
        <v>5.1749999999999997E-2</v>
      </c>
      <c r="G1967" s="13">
        <f t="shared" si="152"/>
        <v>188511833.6601254</v>
      </c>
      <c r="H1967" s="89">
        <f>VLOOKUP(D1967,Average_Distance_by_kilometre_grouping_for_mode_type[#All],MATCH(A1967,Average_Distance_by_kilometre_grouping_for_mode_type[#Headers],0),0)</f>
        <v>25.7</v>
      </c>
      <c r="I1967" s="89">
        <f>VLOOKUP(D1967,Average_Distance_by_kilometres_grouping_for_trip_purpose[#All],MATCH(A1967,Average_Distance_by_kilometres_grouping_for_trip_purpose[#Headers],0),0)</f>
        <v>28.2</v>
      </c>
      <c r="J1967" s="89">
        <f t="shared" si="153"/>
        <v>26.95</v>
      </c>
      <c r="K1967" s="89">
        <f t="shared" si="154"/>
        <v>0.62747380675203723</v>
      </c>
      <c r="L1967" s="89">
        <v>1</v>
      </c>
      <c r="M1967" s="13">
        <f t="shared" si="155"/>
        <v>118286237.88452572</v>
      </c>
      <c r="N1967" s="11">
        <f t="shared" si="156"/>
        <v>1.806793465930487E-3</v>
      </c>
    </row>
    <row r="1968" spans="1:14" x14ac:dyDescent="0.25">
      <c r="A1968" s="79" t="s">
        <v>39</v>
      </c>
      <c r="B1968" s="89" t="s">
        <v>8</v>
      </c>
      <c r="C1968" s="89" t="s">
        <v>93</v>
      </c>
      <c r="D1968" s="13" t="s">
        <v>12</v>
      </c>
      <c r="E1968" s="35">
        <f>VLOOKUP(B1968, Passenger_Kilometre_by_mode_type[#All],MATCH(A1968, Passenger_Kilometre_by_mode_type[#Headers],0),0)</f>
        <v>3642740747.0555634</v>
      </c>
      <c r="F1968" s="89">
        <f>VLOOKUP(C1968, Reason_for_public_transport_journeys_by_percentage[#All],MATCH(A1968, Reason_for_public_transport_journeys_by_percentage[#Headers],0),0)/100</f>
        <v>4.2999999999999997E-2</v>
      </c>
      <c r="G1968" s="13">
        <f t="shared" si="152"/>
        <v>156637852.12338921</v>
      </c>
      <c r="H1968" s="89">
        <f>VLOOKUP(D1968,Average_Distance_by_kilometre_grouping_for_mode_type[#All],MATCH(A1968,Average_Distance_by_kilometre_grouping_for_mode_type[#Headers],0),0)</f>
        <v>1</v>
      </c>
      <c r="I1968" s="89">
        <f>VLOOKUP(D1968,Average_Distance_by_kilometres_grouping_for_trip_purpose[#All],MATCH(A1968,Average_Distance_by_kilometres_grouping_for_trip_purpose[#Headers],0),0)</f>
        <v>1</v>
      </c>
      <c r="J1968" s="89">
        <f t="shared" si="153"/>
        <v>1</v>
      </c>
      <c r="K1968" s="89">
        <f t="shared" si="154"/>
        <v>2.3282887077997669E-2</v>
      </c>
      <c r="L1968" s="89">
        <v>1</v>
      </c>
      <c r="M1968" s="13">
        <f t="shared" si="155"/>
        <v>3646981.4231289686</v>
      </c>
      <c r="N1968" s="11">
        <f t="shared" si="156"/>
        <v>5.5706752734092246E-5</v>
      </c>
    </row>
    <row r="1969" spans="1:14" x14ac:dyDescent="0.25">
      <c r="A1969" s="79" t="s">
        <v>39</v>
      </c>
      <c r="B1969" s="89" t="s">
        <v>8</v>
      </c>
      <c r="C1969" s="89" t="s">
        <v>93</v>
      </c>
      <c r="D1969" s="13" t="s">
        <v>181</v>
      </c>
      <c r="E1969" s="35">
        <f>VLOOKUP(B1969, Passenger_Kilometre_by_mode_type[#All],MATCH(A1969, Passenger_Kilometre_by_mode_type[#Headers],0),0)</f>
        <v>3642740747.0555634</v>
      </c>
      <c r="F1969" s="89">
        <f>VLOOKUP(C1969, Reason_for_public_transport_journeys_by_percentage[#All],MATCH(A1969, Reason_for_public_transport_journeys_by_percentage[#Headers],0),0)/100</f>
        <v>4.2999999999999997E-2</v>
      </c>
      <c r="G1969" s="13">
        <f t="shared" si="152"/>
        <v>156637852.12338921</v>
      </c>
      <c r="H1969" s="89">
        <f>VLOOKUP(D1969,Average_Distance_by_kilometre_grouping_for_mode_type[#All],MATCH(A1969,Average_Distance_by_kilometre_grouping_for_mode_type[#Headers],0),0)</f>
        <v>3</v>
      </c>
      <c r="I1969" s="89">
        <f>VLOOKUP(D1969,Average_Distance_by_kilometres_grouping_for_trip_purpose[#All],MATCH(A1969,Average_Distance_by_kilometres_grouping_for_trip_purpose[#Headers],0),0)</f>
        <v>3</v>
      </c>
      <c r="J1969" s="89">
        <f t="shared" si="153"/>
        <v>3</v>
      </c>
      <c r="K1969" s="89">
        <f t="shared" si="154"/>
        <v>6.9848661233993012E-2</v>
      </c>
      <c r="L1969" s="89">
        <v>1</v>
      </c>
      <c r="M1969" s="13">
        <f t="shared" si="155"/>
        <v>10940944.269386906</v>
      </c>
      <c r="N1969" s="11">
        <f t="shared" si="156"/>
        <v>1.6712025820227674E-4</v>
      </c>
    </row>
    <row r="1970" spans="1:14" x14ac:dyDescent="0.25">
      <c r="A1970" s="79" t="s">
        <v>39</v>
      </c>
      <c r="B1970" s="89" t="s">
        <v>8</v>
      </c>
      <c r="C1970" s="89" t="s">
        <v>93</v>
      </c>
      <c r="D1970" s="13" t="s">
        <v>180</v>
      </c>
      <c r="E1970" s="35">
        <f>VLOOKUP(B1970, Passenger_Kilometre_by_mode_type[#All],MATCH(A1970, Passenger_Kilometre_by_mode_type[#Headers],0),0)</f>
        <v>3642740747.0555634</v>
      </c>
      <c r="F1970" s="89">
        <f>VLOOKUP(C1970, Reason_for_public_transport_journeys_by_percentage[#All],MATCH(A1970, Reason_for_public_transport_journeys_by_percentage[#Headers],0),0)/100</f>
        <v>4.2999999999999997E-2</v>
      </c>
      <c r="G1970" s="13">
        <f t="shared" si="152"/>
        <v>156637852.12338921</v>
      </c>
      <c r="H1970" s="89">
        <f>VLOOKUP(D1970,Average_Distance_by_kilometre_grouping_for_mode_type[#All],MATCH(A1970,Average_Distance_by_kilometre_grouping_for_mode_type[#Headers],0),0)</f>
        <v>5</v>
      </c>
      <c r="I1970" s="89">
        <f>VLOOKUP(D1970,Average_Distance_by_kilometres_grouping_for_trip_purpose[#All],MATCH(A1970,Average_Distance_by_kilometres_grouping_for_trip_purpose[#Headers],0),0)</f>
        <v>5</v>
      </c>
      <c r="J1970" s="89">
        <f t="shared" si="153"/>
        <v>5</v>
      </c>
      <c r="K1970" s="89">
        <f t="shared" si="154"/>
        <v>0.11641443538998836</v>
      </c>
      <c r="L1970" s="89">
        <v>1</v>
      </c>
      <c r="M1970" s="13">
        <f t="shared" si="155"/>
        <v>18234907.115644846</v>
      </c>
      <c r="N1970" s="11">
        <f t="shared" si="156"/>
        <v>2.7853376367046131E-4</v>
      </c>
    </row>
    <row r="1971" spans="1:14" x14ac:dyDescent="0.25">
      <c r="A1971" s="79" t="s">
        <v>39</v>
      </c>
      <c r="B1971" s="89" t="s">
        <v>8</v>
      </c>
      <c r="C1971" s="89" t="s">
        <v>93</v>
      </c>
      <c r="D1971" s="13" t="s">
        <v>182</v>
      </c>
      <c r="E1971" s="35">
        <f>VLOOKUP(B1971, Passenger_Kilometre_by_mode_type[#All],MATCH(A1971, Passenger_Kilometre_by_mode_type[#Headers],0),0)</f>
        <v>3642740747.0555634</v>
      </c>
      <c r="F1971" s="89">
        <f>VLOOKUP(C1971, Reason_for_public_transport_journeys_by_percentage[#All],MATCH(A1971, Reason_for_public_transport_journeys_by_percentage[#Headers],0),0)/100</f>
        <v>4.2999999999999997E-2</v>
      </c>
      <c r="G1971" s="13">
        <f t="shared" si="152"/>
        <v>156637852.12338921</v>
      </c>
      <c r="H1971" s="89">
        <f>VLOOKUP(D1971,Average_Distance_by_kilometre_grouping_for_mode_type[#All],MATCH(A1971,Average_Distance_by_kilometre_grouping_for_mode_type[#Headers],0),0)</f>
        <v>7</v>
      </c>
      <c r="I1971" s="89">
        <f>VLOOKUP(D1971,Average_Distance_by_kilometres_grouping_for_trip_purpose[#All],MATCH(A1971,Average_Distance_by_kilometres_grouping_for_trip_purpose[#Headers],0),0)</f>
        <v>7</v>
      </c>
      <c r="J1971" s="89">
        <f t="shared" si="153"/>
        <v>7</v>
      </c>
      <c r="K1971" s="89">
        <f t="shared" si="154"/>
        <v>0.16298020954598369</v>
      </c>
      <c r="L1971" s="89">
        <v>1</v>
      </c>
      <c r="M1971" s="13">
        <f t="shared" si="155"/>
        <v>25528869.961902779</v>
      </c>
      <c r="N1971" s="11">
        <f t="shared" si="156"/>
        <v>3.8994726913864569E-4</v>
      </c>
    </row>
    <row r="1972" spans="1:14" x14ac:dyDescent="0.25">
      <c r="A1972" s="79" t="s">
        <v>39</v>
      </c>
      <c r="B1972" s="89" t="s">
        <v>8</v>
      </c>
      <c r="C1972" s="89" t="s">
        <v>93</v>
      </c>
      <c r="D1972" s="13" t="s">
        <v>1</v>
      </c>
      <c r="E1972" s="35">
        <f>VLOOKUP(B1972, Passenger_Kilometre_by_mode_type[#All],MATCH(A1972, Passenger_Kilometre_by_mode_type[#Headers],0),0)</f>
        <v>3642740747.0555634</v>
      </c>
      <c r="F1972" s="89">
        <f>VLOOKUP(C1972, Reason_for_public_transport_journeys_by_percentage[#All],MATCH(A1972, Reason_for_public_transport_journeys_by_percentage[#Headers],0),0)/100</f>
        <v>4.2999999999999997E-2</v>
      </c>
      <c r="G1972" s="13">
        <f t="shared" si="152"/>
        <v>156637852.12338921</v>
      </c>
      <c r="H1972" s="89">
        <f>VLOOKUP(D1972,Average_Distance_by_kilometre_grouping_for_mode_type[#All],MATCH(A1972,Average_Distance_by_kilometre_grouping_for_mode_type[#Headers],0),0)</f>
        <v>25.7</v>
      </c>
      <c r="I1972" s="89">
        <f>VLOOKUP(D1972,Average_Distance_by_kilometres_grouping_for_trip_purpose[#All],MATCH(A1972,Average_Distance_by_kilometres_grouping_for_trip_purpose[#Headers],0),0)</f>
        <v>28.2</v>
      </c>
      <c r="J1972" s="89">
        <f t="shared" si="153"/>
        <v>26.95</v>
      </c>
      <c r="K1972" s="89">
        <f t="shared" si="154"/>
        <v>0.62747380675203723</v>
      </c>
      <c r="L1972" s="89">
        <v>1</v>
      </c>
      <c r="M1972" s="13">
        <f t="shared" si="155"/>
        <v>98286149.35332571</v>
      </c>
      <c r="N1972" s="11">
        <f t="shared" si="156"/>
        <v>1.5012969861837862E-3</v>
      </c>
    </row>
    <row r="1973" spans="1:14" x14ac:dyDescent="0.25">
      <c r="A1973" s="79" t="s">
        <v>39</v>
      </c>
      <c r="B1973" s="89" t="s">
        <v>8</v>
      </c>
      <c r="C1973" s="89" t="s">
        <v>243</v>
      </c>
      <c r="D1973" s="13" t="s">
        <v>12</v>
      </c>
      <c r="E1973" s="35">
        <f>VLOOKUP(B1973, Passenger_Kilometre_by_mode_type[#All],MATCH(A1973, Passenger_Kilometre_by_mode_type[#Headers],0),0)</f>
        <v>3642740747.0555634</v>
      </c>
      <c r="F1973" s="89">
        <f>VLOOKUP(C1973, Reason_for_public_transport_journeys_by_percentage[#All],MATCH(A1973, Reason_for_public_transport_journeys_by_percentage[#Headers],0),0)/100</f>
        <v>3.7749999999999999E-2</v>
      </c>
      <c r="G1973" s="13">
        <f t="shared" si="152"/>
        <v>137513463.20134753</v>
      </c>
      <c r="H1973" s="89">
        <f>VLOOKUP(D1973,Average_Distance_by_kilometre_grouping_for_mode_type[#All],MATCH(A1973,Average_Distance_by_kilometre_grouping_for_mode_type[#Headers],0),0)</f>
        <v>1</v>
      </c>
      <c r="I1973" s="89">
        <f>VLOOKUP(D1973,Average_Distance_by_kilometres_grouping_for_trip_purpose[#All],MATCH(A1973,Average_Distance_by_kilometres_grouping_for_trip_purpose[#Headers],0),0)</f>
        <v>1</v>
      </c>
      <c r="J1973" s="89">
        <f t="shared" si="153"/>
        <v>1</v>
      </c>
      <c r="K1973" s="89">
        <f t="shared" si="154"/>
        <v>2.3282887077997669E-2</v>
      </c>
      <c r="L1973" s="89">
        <v>1</v>
      </c>
      <c r="M1973" s="13">
        <f t="shared" si="155"/>
        <v>3201710.4354213625</v>
      </c>
      <c r="N1973" s="11">
        <f t="shared" si="156"/>
        <v>4.8905346877022853E-5</v>
      </c>
    </row>
    <row r="1974" spans="1:14" x14ac:dyDescent="0.25">
      <c r="A1974" s="79" t="s">
        <v>39</v>
      </c>
      <c r="B1974" s="89" t="s">
        <v>8</v>
      </c>
      <c r="C1974" s="89" t="s">
        <v>243</v>
      </c>
      <c r="D1974" s="13" t="s">
        <v>181</v>
      </c>
      <c r="E1974" s="35">
        <f>VLOOKUP(B1974, Passenger_Kilometre_by_mode_type[#All],MATCH(A1974, Passenger_Kilometre_by_mode_type[#Headers],0),0)</f>
        <v>3642740747.0555634</v>
      </c>
      <c r="F1974" s="89">
        <f>VLOOKUP(C1974, Reason_for_public_transport_journeys_by_percentage[#All],MATCH(A1974, Reason_for_public_transport_journeys_by_percentage[#Headers],0),0)/100</f>
        <v>3.7749999999999999E-2</v>
      </c>
      <c r="G1974" s="13">
        <f t="shared" si="152"/>
        <v>137513463.20134753</v>
      </c>
      <c r="H1974" s="89">
        <f>VLOOKUP(D1974,Average_Distance_by_kilometre_grouping_for_mode_type[#All],MATCH(A1974,Average_Distance_by_kilometre_grouping_for_mode_type[#Headers],0),0)</f>
        <v>3</v>
      </c>
      <c r="I1974" s="89">
        <f>VLOOKUP(D1974,Average_Distance_by_kilometres_grouping_for_trip_purpose[#All],MATCH(A1974,Average_Distance_by_kilometres_grouping_for_trip_purpose[#Headers],0),0)</f>
        <v>3</v>
      </c>
      <c r="J1974" s="89">
        <f t="shared" si="153"/>
        <v>3</v>
      </c>
      <c r="K1974" s="89">
        <f t="shared" si="154"/>
        <v>6.9848661233993012E-2</v>
      </c>
      <c r="L1974" s="89">
        <v>1</v>
      </c>
      <c r="M1974" s="13">
        <f t="shared" si="155"/>
        <v>9605131.3062640876</v>
      </c>
      <c r="N1974" s="11">
        <f t="shared" si="156"/>
        <v>1.4671604063106857E-4</v>
      </c>
    </row>
    <row r="1975" spans="1:14" x14ac:dyDescent="0.25">
      <c r="A1975" s="79" t="s">
        <v>39</v>
      </c>
      <c r="B1975" s="89" t="s">
        <v>8</v>
      </c>
      <c r="C1975" s="89" t="s">
        <v>243</v>
      </c>
      <c r="D1975" s="13" t="s">
        <v>180</v>
      </c>
      <c r="E1975" s="35">
        <f>VLOOKUP(B1975, Passenger_Kilometre_by_mode_type[#All],MATCH(A1975, Passenger_Kilometre_by_mode_type[#Headers],0),0)</f>
        <v>3642740747.0555634</v>
      </c>
      <c r="F1975" s="89">
        <f>VLOOKUP(C1975, Reason_for_public_transport_journeys_by_percentage[#All],MATCH(A1975, Reason_for_public_transport_journeys_by_percentage[#Headers],0),0)/100</f>
        <v>3.7749999999999999E-2</v>
      </c>
      <c r="G1975" s="13">
        <f t="shared" si="152"/>
        <v>137513463.20134753</v>
      </c>
      <c r="H1975" s="89">
        <f>VLOOKUP(D1975,Average_Distance_by_kilometre_grouping_for_mode_type[#All],MATCH(A1975,Average_Distance_by_kilometre_grouping_for_mode_type[#Headers],0),0)</f>
        <v>5</v>
      </c>
      <c r="I1975" s="89">
        <f>VLOOKUP(D1975,Average_Distance_by_kilometres_grouping_for_trip_purpose[#All],MATCH(A1975,Average_Distance_by_kilometres_grouping_for_trip_purpose[#Headers],0),0)</f>
        <v>5</v>
      </c>
      <c r="J1975" s="89">
        <f t="shared" si="153"/>
        <v>5</v>
      </c>
      <c r="K1975" s="89">
        <f t="shared" si="154"/>
        <v>0.11641443538998836</v>
      </c>
      <c r="L1975" s="89">
        <v>1</v>
      </c>
      <c r="M1975" s="13">
        <f t="shared" si="155"/>
        <v>16008552.177106814</v>
      </c>
      <c r="N1975" s="11">
        <f t="shared" si="156"/>
        <v>2.4452673438511431E-4</v>
      </c>
    </row>
    <row r="1976" spans="1:14" x14ac:dyDescent="0.25">
      <c r="A1976" s="79" t="s">
        <v>39</v>
      </c>
      <c r="B1976" s="89" t="s">
        <v>8</v>
      </c>
      <c r="C1976" s="89" t="s">
        <v>243</v>
      </c>
      <c r="D1976" s="13" t="s">
        <v>182</v>
      </c>
      <c r="E1976" s="35">
        <f>VLOOKUP(B1976, Passenger_Kilometre_by_mode_type[#All],MATCH(A1976, Passenger_Kilometre_by_mode_type[#Headers],0),0)</f>
        <v>3642740747.0555634</v>
      </c>
      <c r="F1976" s="89">
        <f>VLOOKUP(C1976, Reason_for_public_transport_journeys_by_percentage[#All],MATCH(A1976, Reason_for_public_transport_journeys_by_percentage[#Headers],0),0)/100</f>
        <v>3.7749999999999999E-2</v>
      </c>
      <c r="G1976" s="13">
        <f t="shared" si="152"/>
        <v>137513463.20134753</v>
      </c>
      <c r="H1976" s="89">
        <f>VLOOKUP(D1976,Average_Distance_by_kilometre_grouping_for_mode_type[#All],MATCH(A1976,Average_Distance_by_kilometre_grouping_for_mode_type[#Headers],0),0)</f>
        <v>7</v>
      </c>
      <c r="I1976" s="89">
        <f>VLOOKUP(D1976,Average_Distance_by_kilometres_grouping_for_trip_purpose[#All],MATCH(A1976,Average_Distance_by_kilometres_grouping_for_trip_purpose[#Headers],0),0)</f>
        <v>7</v>
      </c>
      <c r="J1976" s="89">
        <f t="shared" si="153"/>
        <v>7</v>
      </c>
      <c r="K1976" s="89">
        <f t="shared" si="154"/>
        <v>0.16298020954598369</v>
      </c>
      <c r="L1976" s="89">
        <v>1</v>
      </c>
      <c r="M1976" s="13">
        <f t="shared" si="155"/>
        <v>22411973.047949538</v>
      </c>
      <c r="N1976" s="11">
        <f t="shared" si="156"/>
        <v>3.4233742813915999E-4</v>
      </c>
    </row>
    <row r="1977" spans="1:14" x14ac:dyDescent="0.25">
      <c r="A1977" s="79" t="s">
        <v>39</v>
      </c>
      <c r="B1977" s="89" t="s">
        <v>8</v>
      </c>
      <c r="C1977" s="89" t="s">
        <v>243</v>
      </c>
      <c r="D1977" s="13" t="s">
        <v>1</v>
      </c>
      <c r="E1977" s="35">
        <f>VLOOKUP(B1977, Passenger_Kilometre_by_mode_type[#All],MATCH(A1977, Passenger_Kilometre_by_mode_type[#Headers],0),0)</f>
        <v>3642740747.0555634</v>
      </c>
      <c r="F1977" s="89">
        <f>VLOOKUP(C1977, Reason_for_public_transport_journeys_by_percentage[#All],MATCH(A1977, Reason_for_public_transport_journeys_by_percentage[#Headers],0),0)/100</f>
        <v>3.7749999999999999E-2</v>
      </c>
      <c r="G1977" s="13">
        <f t="shared" si="152"/>
        <v>137513463.20134753</v>
      </c>
      <c r="H1977" s="89">
        <f>VLOOKUP(D1977,Average_Distance_by_kilometre_grouping_for_mode_type[#All],MATCH(A1977,Average_Distance_by_kilometre_grouping_for_mode_type[#Headers],0),0)</f>
        <v>25.7</v>
      </c>
      <c r="I1977" s="89">
        <f>VLOOKUP(D1977,Average_Distance_by_kilometres_grouping_for_trip_purpose[#All],MATCH(A1977,Average_Distance_by_kilometres_grouping_for_trip_purpose[#Headers],0),0)</f>
        <v>28.2</v>
      </c>
      <c r="J1977" s="89">
        <f t="shared" si="153"/>
        <v>26.95</v>
      </c>
      <c r="K1977" s="89">
        <f t="shared" si="154"/>
        <v>0.62747380675203723</v>
      </c>
      <c r="L1977" s="89">
        <v>1</v>
      </c>
      <c r="M1977" s="13">
        <f t="shared" si="155"/>
        <v>86286096.23460573</v>
      </c>
      <c r="N1977" s="11">
        <f t="shared" si="156"/>
        <v>1.317999098335766E-3</v>
      </c>
    </row>
    <row r="1978" spans="1:14" x14ac:dyDescent="0.25">
      <c r="A1978" s="79" t="s">
        <v>39</v>
      </c>
      <c r="B1978" s="89" t="s">
        <v>8</v>
      </c>
      <c r="C1978" s="89" t="s">
        <v>50</v>
      </c>
      <c r="D1978" s="13" t="s">
        <v>12</v>
      </c>
      <c r="E1978" s="35">
        <f>VLOOKUP(B1978, Passenger_Kilometre_by_mode_type[#All],MATCH(A1978, Passenger_Kilometre_by_mode_type[#Headers],0),0)</f>
        <v>3642740747.0555634</v>
      </c>
      <c r="F1978" s="89">
        <f>VLOOKUP(C1978, Reason_for_public_transport_journeys_by_percentage[#All],MATCH(A1978, Reason_for_public_transport_journeys_by_percentage[#Headers],0),0)/100</f>
        <v>3.2500000000000001E-2</v>
      </c>
      <c r="G1978" s="13">
        <f t="shared" si="152"/>
        <v>118389074.27930582</v>
      </c>
      <c r="H1978" s="89">
        <f>VLOOKUP(D1978,Average_Distance_by_kilometre_grouping_for_mode_type[#All],MATCH(A1978,Average_Distance_by_kilometre_grouping_for_mode_type[#Headers],0),0)</f>
        <v>1</v>
      </c>
      <c r="I1978" s="89">
        <f>VLOOKUP(D1978,Average_Distance_by_kilometres_grouping_for_trip_purpose[#All],MATCH(A1978,Average_Distance_by_kilometres_grouping_for_trip_purpose[#Headers],0),0)</f>
        <v>1</v>
      </c>
      <c r="J1978" s="89">
        <f t="shared" si="153"/>
        <v>1</v>
      </c>
      <c r="K1978" s="89">
        <f t="shared" si="154"/>
        <v>2.3282887077997669E-2</v>
      </c>
      <c r="L1978" s="89">
        <v>1</v>
      </c>
      <c r="M1978" s="13">
        <f t="shared" si="155"/>
        <v>2756439.4477137555</v>
      </c>
      <c r="N1978" s="11">
        <f t="shared" si="156"/>
        <v>4.2103941019953447E-5</v>
      </c>
    </row>
    <row r="1979" spans="1:14" x14ac:dyDescent="0.25">
      <c r="A1979" s="79" t="s">
        <v>39</v>
      </c>
      <c r="B1979" s="89" t="s">
        <v>8</v>
      </c>
      <c r="C1979" s="89" t="s">
        <v>50</v>
      </c>
      <c r="D1979" s="13" t="s">
        <v>181</v>
      </c>
      <c r="E1979" s="35">
        <f>VLOOKUP(B1979, Passenger_Kilometre_by_mode_type[#All],MATCH(A1979, Passenger_Kilometre_by_mode_type[#Headers],0),0)</f>
        <v>3642740747.0555634</v>
      </c>
      <c r="F1979" s="89">
        <f>VLOOKUP(C1979, Reason_for_public_transport_journeys_by_percentage[#All],MATCH(A1979, Reason_for_public_transport_journeys_by_percentage[#Headers],0),0)/100</f>
        <v>3.2500000000000001E-2</v>
      </c>
      <c r="G1979" s="13">
        <f t="shared" si="152"/>
        <v>118389074.27930582</v>
      </c>
      <c r="H1979" s="89">
        <f>VLOOKUP(D1979,Average_Distance_by_kilometre_grouping_for_mode_type[#All],MATCH(A1979,Average_Distance_by_kilometre_grouping_for_mode_type[#Headers],0),0)</f>
        <v>3</v>
      </c>
      <c r="I1979" s="89">
        <f>VLOOKUP(D1979,Average_Distance_by_kilometres_grouping_for_trip_purpose[#All],MATCH(A1979,Average_Distance_by_kilometres_grouping_for_trip_purpose[#Headers],0),0)</f>
        <v>3</v>
      </c>
      <c r="J1979" s="89">
        <f t="shared" si="153"/>
        <v>3</v>
      </c>
      <c r="K1979" s="89">
        <f t="shared" si="154"/>
        <v>6.9848661233993012E-2</v>
      </c>
      <c r="L1979" s="89">
        <v>1</v>
      </c>
      <c r="M1979" s="13">
        <f t="shared" si="155"/>
        <v>8269318.3431412671</v>
      </c>
      <c r="N1979" s="11">
        <f t="shared" si="156"/>
        <v>1.2631182305986036E-4</v>
      </c>
    </row>
    <row r="1980" spans="1:14" x14ac:dyDescent="0.25">
      <c r="A1980" s="79" t="s">
        <v>39</v>
      </c>
      <c r="B1980" s="89" t="s">
        <v>8</v>
      </c>
      <c r="C1980" s="89" t="s">
        <v>50</v>
      </c>
      <c r="D1980" s="13" t="s">
        <v>180</v>
      </c>
      <c r="E1980" s="35">
        <f>VLOOKUP(B1980, Passenger_Kilometre_by_mode_type[#All],MATCH(A1980, Passenger_Kilometre_by_mode_type[#Headers],0),0)</f>
        <v>3642740747.0555634</v>
      </c>
      <c r="F1980" s="89">
        <f>VLOOKUP(C1980, Reason_for_public_transport_journeys_by_percentage[#All],MATCH(A1980, Reason_for_public_transport_journeys_by_percentage[#Headers],0),0)/100</f>
        <v>3.2500000000000001E-2</v>
      </c>
      <c r="G1980" s="13">
        <f t="shared" si="152"/>
        <v>118389074.27930582</v>
      </c>
      <c r="H1980" s="89">
        <f>VLOOKUP(D1980,Average_Distance_by_kilometre_grouping_for_mode_type[#All],MATCH(A1980,Average_Distance_by_kilometre_grouping_for_mode_type[#Headers],0),0)</f>
        <v>5</v>
      </c>
      <c r="I1980" s="89">
        <f>VLOOKUP(D1980,Average_Distance_by_kilometres_grouping_for_trip_purpose[#All],MATCH(A1980,Average_Distance_by_kilometres_grouping_for_trip_purpose[#Headers],0),0)</f>
        <v>5</v>
      </c>
      <c r="J1980" s="89">
        <f t="shared" si="153"/>
        <v>5</v>
      </c>
      <c r="K1980" s="89">
        <f t="shared" si="154"/>
        <v>0.11641443538998836</v>
      </c>
      <c r="L1980" s="89">
        <v>1</v>
      </c>
      <c r="M1980" s="13">
        <f t="shared" si="155"/>
        <v>13782197.238568779</v>
      </c>
      <c r="N1980" s="11">
        <f t="shared" si="156"/>
        <v>2.1051970509976725E-4</v>
      </c>
    </row>
    <row r="1981" spans="1:14" x14ac:dyDescent="0.25">
      <c r="A1981" s="79" t="s">
        <v>39</v>
      </c>
      <c r="B1981" s="89" t="s">
        <v>8</v>
      </c>
      <c r="C1981" s="89" t="s">
        <v>50</v>
      </c>
      <c r="D1981" s="13" t="s">
        <v>182</v>
      </c>
      <c r="E1981" s="35">
        <f>VLOOKUP(B1981, Passenger_Kilometre_by_mode_type[#All],MATCH(A1981, Passenger_Kilometre_by_mode_type[#Headers],0),0)</f>
        <v>3642740747.0555634</v>
      </c>
      <c r="F1981" s="89">
        <f>VLOOKUP(C1981, Reason_for_public_transport_journeys_by_percentage[#All],MATCH(A1981, Reason_for_public_transport_journeys_by_percentage[#Headers],0),0)/100</f>
        <v>3.2500000000000001E-2</v>
      </c>
      <c r="G1981" s="13">
        <f t="shared" si="152"/>
        <v>118389074.27930582</v>
      </c>
      <c r="H1981" s="89">
        <f>VLOOKUP(D1981,Average_Distance_by_kilometre_grouping_for_mode_type[#All],MATCH(A1981,Average_Distance_by_kilometre_grouping_for_mode_type[#Headers],0),0)</f>
        <v>7</v>
      </c>
      <c r="I1981" s="89">
        <f>VLOOKUP(D1981,Average_Distance_by_kilometres_grouping_for_trip_purpose[#All],MATCH(A1981,Average_Distance_by_kilometres_grouping_for_trip_purpose[#Headers],0),0)</f>
        <v>7</v>
      </c>
      <c r="J1981" s="89">
        <f t="shared" si="153"/>
        <v>7</v>
      </c>
      <c r="K1981" s="89">
        <f t="shared" si="154"/>
        <v>0.16298020954598369</v>
      </c>
      <c r="L1981" s="89">
        <v>1</v>
      </c>
      <c r="M1981" s="13">
        <f t="shared" si="155"/>
        <v>19295076.133996289</v>
      </c>
      <c r="N1981" s="11">
        <f t="shared" si="156"/>
        <v>2.9472758713967412E-4</v>
      </c>
    </row>
    <row r="1982" spans="1:14" x14ac:dyDescent="0.25">
      <c r="A1982" s="79" t="s">
        <v>39</v>
      </c>
      <c r="B1982" s="89" t="s">
        <v>8</v>
      </c>
      <c r="C1982" s="89" t="s">
        <v>50</v>
      </c>
      <c r="D1982" s="13" t="s">
        <v>1</v>
      </c>
      <c r="E1982" s="35">
        <f>VLOOKUP(B1982, Passenger_Kilometre_by_mode_type[#All],MATCH(A1982, Passenger_Kilometre_by_mode_type[#Headers],0),0)</f>
        <v>3642740747.0555634</v>
      </c>
      <c r="F1982" s="89">
        <f>VLOOKUP(C1982, Reason_for_public_transport_journeys_by_percentage[#All],MATCH(A1982, Reason_for_public_transport_journeys_by_percentage[#Headers],0),0)/100</f>
        <v>3.2500000000000001E-2</v>
      </c>
      <c r="G1982" s="13">
        <f t="shared" si="152"/>
        <v>118389074.27930582</v>
      </c>
      <c r="H1982" s="89">
        <f>VLOOKUP(D1982,Average_Distance_by_kilometre_grouping_for_mode_type[#All],MATCH(A1982,Average_Distance_by_kilometre_grouping_for_mode_type[#Headers],0),0)</f>
        <v>25.7</v>
      </c>
      <c r="I1982" s="89">
        <f>VLOOKUP(D1982,Average_Distance_by_kilometres_grouping_for_trip_purpose[#All],MATCH(A1982,Average_Distance_by_kilometres_grouping_for_trip_purpose[#Headers],0),0)</f>
        <v>28.2</v>
      </c>
      <c r="J1982" s="89">
        <f t="shared" si="153"/>
        <v>26.95</v>
      </c>
      <c r="K1982" s="89">
        <f t="shared" si="154"/>
        <v>0.62747380675203723</v>
      </c>
      <c r="L1982" s="89">
        <v>1</v>
      </c>
      <c r="M1982" s="13">
        <f t="shared" si="155"/>
        <v>74286043.11588572</v>
      </c>
      <c r="N1982" s="11">
        <f t="shared" si="156"/>
        <v>1.1347012104877454E-3</v>
      </c>
    </row>
    <row r="1983" spans="1:14" x14ac:dyDescent="0.25">
      <c r="A1983" s="79" t="s">
        <v>39</v>
      </c>
      <c r="B1983" s="89" t="s">
        <v>9</v>
      </c>
      <c r="C1983" s="89" t="s">
        <v>42</v>
      </c>
      <c r="D1983" s="13" t="s">
        <v>12</v>
      </c>
      <c r="E1983" s="35">
        <f>VLOOKUP(B1983, Passenger_Kilometre_by_mode_type[#All],MATCH(A1983, Passenger_Kilometre_by_mode_type[#Headers],0),0)</f>
        <v>233080616.05569208</v>
      </c>
      <c r="F1983" s="89">
        <f>VLOOKUP(C1983, Reason_for_walking_cycling_journeys_by_percentage[#All],MATCH(A1983, Reason_for_walking_cycling_journeys_by_percentage[#Headers],0),0)/100</f>
        <v>0.20975000000000002</v>
      </c>
      <c r="G1983" s="13">
        <f t="shared" si="152"/>
        <v>48888659.217681415</v>
      </c>
      <c r="H1983" s="89">
        <f>VLOOKUP(D1983,Average_Distance_by_kilometre_grouping_for_mode_type[#All],MATCH(A1983,Average_Distance_by_kilometre_grouping_for_mode_type[#Headers],0),0)</f>
        <v>1</v>
      </c>
      <c r="I1983" s="89">
        <f>VLOOKUP(D1983,Average_Distance_by_kilometres_grouping_for_trip_purpose[#All],MATCH(A1983,Average_Distance_by_kilometres_grouping_for_trip_purpose[#Headers],0),0)</f>
        <v>1</v>
      </c>
      <c r="J1983" s="89">
        <f t="shared" si="153"/>
        <v>1</v>
      </c>
      <c r="K1983" s="89">
        <f t="shared" si="154"/>
        <v>2.3282887077997669E-2</v>
      </c>
      <c r="L1983" s="89">
        <v>1</v>
      </c>
      <c r="M1983" s="13">
        <f t="shared" si="155"/>
        <v>1138269.1319599862</v>
      </c>
      <c r="N1983" s="11">
        <f t="shared" si="156"/>
        <v>1.7386783677264269E-5</v>
      </c>
    </row>
    <row r="1984" spans="1:14" x14ac:dyDescent="0.25">
      <c r="A1984" s="79" t="s">
        <v>39</v>
      </c>
      <c r="B1984" s="89" t="s">
        <v>9</v>
      </c>
      <c r="C1984" s="89" t="s">
        <v>42</v>
      </c>
      <c r="D1984" s="13" t="s">
        <v>181</v>
      </c>
      <c r="E1984" s="35">
        <f>VLOOKUP(B1984, Passenger_Kilometre_by_mode_type[#All],MATCH(A1984, Passenger_Kilometre_by_mode_type[#Headers],0),0)</f>
        <v>233080616.05569208</v>
      </c>
      <c r="F1984" s="89">
        <f>VLOOKUP(C1984, Reason_for_walking_cycling_journeys_by_percentage[#All],MATCH(A1984, Reason_for_walking_cycling_journeys_by_percentage[#Headers],0),0)/100</f>
        <v>0.20975000000000002</v>
      </c>
      <c r="G1984" s="13">
        <f t="shared" si="152"/>
        <v>48888659.217681415</v>
      </c>
      <c r="H1984" s="89">
        <f>VLOOKUP(D1984,Average_Distance_by_kilometre_grouping_for_mode_type[#All],MATCH(A1984,Average_Distance_by_kilometre_grouping_for_mode_type[#Headers],0),0)</f>
        <v>3</v>
      </c>
      <c r="I1984" s="89">
        <f>VLOOKUP(D1984,Average_Distance_by_kilometres_grouping_for_trip_purpose[#All],MATCH(A1984,Average_Distance_by_kilometres_grouping_for_trip_purpose[#Headers],0),0)</f>
        <v>3</v>
      </c>
      <c r="J1984" s="89">
        <f t="shared" si="153"/>
        <v>3</v>
      </c>
      <c r="K1984" s="89">
        <f t="shared" si="154"/>
        <v>6.9848661233993012E-2</v>
      </c>
      <c r="L1984" s="89">
        <v>1</v>
      </c>
      <c r="M1984" s="13">
        <f t="shared" si="155"/>
        <v>3414807.3958799592</v>
      </c>
      <c r="N1984" s="11">
        <f t="shared" si="156"/>
        <v>5.2160351031792821E-5</v>
      </c>
    </row>
    <row r="1985" spans="1:14" x14ac:dyDescent="0.25">
      <c r="A1985" s="79" t="s">
        <v>39</v>
      </c>
      <c r="B1985" s="89" t="s">
        <v>9</v>
      </c>
      <c r="C1985" s="89" t="s">
        <v>42</v>
      </c>
      <c r="D1985" s="13" t="s">
        <v>180</v>
      </c>
      <c r="E1985" s="35">
        <f>VLOOKUP(B1985, Passenger_Kilometre_by_mode_type[#All],MATCH(A1985, Passenger_Kilometre_by_mode_type[#Headers],0),0)</f>
        <v>233080616.05569208</v>
      </c>
      <c r="F1985" s="89">
        <f>VLOOKUP(C1985, Reason_for_walking_cycling_journeys_by_percentage[#All],MATCH(A1985, Reason_for_walking_cycling_journeys_by_percentage[#Headers],0),0)/100</f>
        <v>0.20975000000000002</v>
      </c>
      <c r="G1985" s="13">
        <f t="shared" si="152"/>
        <v>48888659.217681415</v>
      </c>
      <c r="H1985" s="89">
        <f>VLOOKUP(D1985,Average_Distance_by_kilometre_grouping_for_mode_type[#All],MATCH(A1985,Average_Distance_by_kilometre_grouping_for_mode_type[#Headers],0),0)</f>
        <v>5</v>
      </c>
      <c r="I1985" s="89">
        <f>VLOOKUP(D1985,Average_Distance_by_kilometres_grouping_for_trip_purpose[#All],MATCH(A1985,Average_Distance_by_kilometres_grouping_for_trip_purpose[#Headers],0),0)</f>
        <v>5</v>
      </c>
      <c r="J1985" s="89">
        <f t="shared" si="153"/>
        <v>5</v>
      </c>
      <c r="K1985" s="89">
        <f t="shared" si="154"/>
        <v>0.11641443538998836</v>
      </c>
      <c r="L1985" s="89">
        <v>1</v>
      </c>
      <c r="M1985" s="13">
        <f t="shared" si="155"/>
        <v>5691345.6597999316</v>
      </c>
      <c r="N1985" s="11">
        <f t="shared" si="156"/>
        <v>8.6933918386321367E-5</v>
      </c>
    </row>
    <row r="1986" spans="1:14" x14ac:dyDescent="0.25">
      <c r="A1986" s="79" t="s">
        <v>39</v>
      </c>
      <c r="B1986" s="89" t="s">
        <v>9</v>
      </c>
      <c r="C1986" s="89" t="s">
        <v>42</v>
      </c>
      <c r="D1986" s="13" t="s">
        <v>182</v>
      </c>
      <c r="E1986" s="35">
        <f>VLOOKUP(B1986, Passenger_Kilometre_by_mode_type[#All],MATCH(A1986, Passenger_Kilometre_by_mode_type[#Headers],0),0)</f>
        <v>233080616.05569208</v>
      </c>
      <c r="F1986" s="89">
        <f>VLOOKUP(C1986, Reason_for_walking_cycling_journeys_by_percentage[#All],MATCH(A1986, Reason_for_walking_cycling_journeys_by_percentage[#Headers],0),0)/100</f>
        <v>0.20975000000000002</v>
      </c>
      <c r="G1986" s="13">
        <f t="shared" si="152"/>
        <v>48888659.217681415</v>
      </c>
      <c r="H1986" s="89">
        <f>VLOOKUP(D1986,Average_Distance_by_kilometre_grouping_for_mode_type[#All],MATCH(A1986,Average_Distance_by_kilometre_grouping_for_mode_type[#Headers],0),0)</f>
        <v>7</v>
      </c>
      <c r="I1986" s="89">
        <f>VLOOKUP(D1986,Average_Distance_by_kilometres_grouping_for_trip_purpose[#All],MATCH(A1986,Average_Distance_by_kilometres_grouping_for_trip_purpose[#Headers],0),0)</f>
        <v>7</v>
      </c>
      <c r="J1986" s="89">
        <f t="shared" si="153"/>
        <v>7</v>
      </c>
      <c r="K1986" s="89">
        <f t="shared" si="154"/>
        <v>0.16298020954598369</v>
      </c>
      <c r="L1986" s="89">
        <v>1</v>
      </c>
      <c r="M1986" s="13">
        <f t="shared" si="155"/>
        <v>7967883.9237199044</v>
      </c>
      <c r="N1986" s="11">
        <f t="shared" si="156"/>
        <v>1.2170748574084991E-4</v>
      </c>
    </row>
    <row r="1987" spans="1:14" x14ac:dyDescent="0.25">
      <c r="A1987" s="79" t="s">
        <v>39</v>
      </c>
      <c r="B1987" s="89" t="s">
        <v>9</v>
      </c>
      <c r="C1987" s="89" t="s">
        <v>42</v>
      </c>
      <c r="D1987" s="13" t="s">
        <v>1</v>
      </c>
      <c r="E1987" s="35">
        <f>VLOOKUP(B1987, Passenger_Kilometre_by_mode_type[#All],MATCH(A1987, Passenger_Kilometre_by_mode_type[#Headers],0),0)</f>
        <v>233080616.05569208</v>
      </c>
      <c r="F1987" s="89">
        <f>VLOOKUP(C1987, Reason_for_walking_cycling_journeys_by_percentage[#All],MATCH(A1987, Reason_for_walking_cycling_journeys_by_percentage[#Headers],0),0)/100</f>
        <v>0.20975000000000002</v>
      </c>
      <c r="G1987" s="13">
        <f t="shared" si="152"/>
        <v>48888659.217681415</v>
      </c>
      <c r="H1987" s="89">
        <f>VLOOKUP(D1987,Average_Distance_by_kilometre_grouping_for_mode_type[#All],MATCH(A1987,Average_Distance_by_kilometre_grouping_for_mode_type[#Headers],0),0)</f>
        <v>25.7</v>
      </c>
      <c r="I1987" s="89">
        <f>VLOOKUP(D1987,Average_Distance_by_kilometres_grouping_for_trip_purpose[#All],MATCH(A1987,Average_Distance_by_kilometres_grouping_for_trip_purpose[#Headers],0),0)</f>
        <v>28.2</v>
      </c>
      <c r="J1987" s="89">
        <f t="shared" si="153"/>
        <v>26.95</v>
      </c>
      <c r="K1987" s="89">
        <f t="shared" si="154"/>
        <v>0.62747380675203723</v>
      </c>
      <c r="L1987" s="89">
        <v>1</v>
      </c>
      <c r="M1987" s="13">
        <f t="shared" si="155"/>
        <v>30676353.106321633</v>
      </c>
      <c r="N1987" s="11">
        <f t="shared" si="156"/>
        <v>4.6857382010227219E-4</v>
      </c>
    </row>
    <row r="1988" spans="1:14" x14ac:dyDescent="0.25">
      <c r="A1988" s="79" t="s">
        <v>39</v>
      </c>
      <c r="B1988" s="89" t="s">
        <v>9</v>
      </c>
      <c r="C1988" s="89" t="s">
        <v>43</v>
      </c>
      <c r="D1988" s="13" t="s">
        <v>12</v>
      </c>
      <c r="E1988" s="35">
        <f>VLOOKUP(B1988, Passenger_Kilometre_by_mode_type[#All],MATCH(A1988, Passenger_Kilometre_by_mode_type[#Headers],0),0)</f>
        <v>233080616.05569208</v>
      </c>
      <c r="F1988" s="89">
        <f>VLOOKUP(C1988, Reason_for_walking_cycling_journeys_by_percentage[#All],MATCH(A1988, Reason_for_walking_cycling_journeys_by_percentage[#Headers],0),0)/100</f>
        <v>3.6749999999999998E-2</v>
      </c>
      <c r="G1988" s="13">
        <f t="shared" ref="G1988:G2051" si="157">E1988*F1988</f>
        <v>8565712.6400466841</v>
      </c>
      <c r="H1988" s="89">
        <f>VLOOKUP(D1988,Average_Distance_by_kilometre_grouping_for_mode_type[#All],MATCH(A1988,Average_Distance_by_kilometre_grouping_for_mode_type[#Headers],0),0)</f>
        <v>1</v>
      </c>
      <c r="I1988" s="89">
        <f>VLOOKUP(D1988,Average_Distance_by_kilometres_grouping_for_trip_purpose[#All],MATCH(A1988,Average_Distance_by_kilometres_grouping_for_trip_purpose[#Headers],0),0)</f>
        <v>1</v>
      </c>
      <c r="J1988" s="89">
        <f t="shared" ref="J1988:J2051" si="158">AVERAGE(H1988:I1988)</f>
        <v>1</v>
      </c>
      <c r="K1988" s="89">
        <f t="shared" ref="K1988:K2051" si="159">J1988/SUM(J1988:J1992)</f>
        <v>2.3282887077997669E-2</v>
      </c>
      <c r="L1988" s="89">
        <v>1</v>
      </c>
      <c r="M1988" s="13">
        <f t="shared" ref="M1988:M2051" si="160">G1988*K1988*L1988</f>
        <v>199434.52014078424</v>
      </c>
      <c r="N1988" s="11">
        <f t="shared" si="156"/>
        <v>3.0463137074586982E-6</v>
      </c>
    </row>
    <row r="1989" spans="1:14" x14ac:dyDescent="0.25">
      <c r="A1989" s="79" t="s">
        <v>39</v>
      </c>
      <c r="B1989" s="89" t="s">
        <v>9</v>
      </c>
      <c r="C1989" s="89" t="s">
        <v>43</v>
      </c>
      <c r="D1989" s="13" t="s">
        <v>181</v>
      </c>
      <c r="E1989" s="35">
        <f>VLOOKUP(B1989, Passenger_Kilometre_by_mode_type[#All],MATCH(A1989, Passenger_Kilometre_by_mode_type[#Headers],0),0)</f>
        <v>233080616.05569208</v>
      </c>
      <c r="F1989" s="89">
        <f>VLOOKUP(C1989, Reason_for_walking_cycling_journeys_by_percentage[#All],MATCH(A1989, Reason_for_walking_cycling_journeys_by_percentage[#Headers],0),0)/100</f>
        <v>3.6749999999999998E-2</v>
      </c>
      <c r="G1989" s="13">
        <f t="shared" si="157"/>
        <v>8565712.6400466841</v>
      </c>
      <c r="H1989" s="89">
        <f>VLOOKUP(D1989,Average_Distance_by_kilometre_grouping_for_mode_type[#All],MATCH(A1989,Average_Distance_by_kilometre_grouping_for_mode_type[#Headers],0),0)</f>
        <v>3</v>
      </c>
      <c r="I1989" s="89">
        <f>VLOOKUP(D1989,Average_Distance_by_kilometres_grouping_for_trip_purpose[#All],MATCH(A1989,Average_Distance_by_kilometres_grouping_for_trip_purpose[#Headers],0),0)</f>
        <v>3</v>
      </c>
      <c r="J1989" s="89">
        <f t="shared" si="158"/>
        <v>3</v>
      </c>
      <c r="K1989" s="89">
        <f t="shared" si="159"/>
        <v>6.9848661233993012E-2</v>
      </c>
      <c r="L1989" s="89">
        <v>1</v>
      </c>
      <c r="M1989" s="13">
        <f t="shared" si="160"/>
        <v>598303.56042235275</v>
      </c>
      <c r="N1989" s="11">
        <f t="shared" si="156"/>
        <v>9.1389411223760951E-6</v>
      </c>
    </row>
    <row r="1990" spans="1:14" x14ac:dyDescent="0.25">
      <c r="A1990" s="79" t="s">
        <v>39</v>
      </c>
      <c r="B1990" s="89" t="s">
        <v>9</v>
      </c>
      <c r="C1990" s="89" t="s">
        <v>43</v>
      </c>
      <c r="D1990" s="13" t="s">
        <v>180</v>
      </c>
      <c r="E1990" s="35">
        <f>VLOOKUP(B1990, Passenger_Kilometre_by_mode_type[#All],MATCH(A1990, Passenger_Kilometre_by_mode_type[#Headers],0),0)</f>
        <v>233080616.05569208</v>
      </c>
      <c r="F1990" s="89">
        <f>VLOOKUP(C1990, Reason_for_walking_cycling_journeys_by_percentage[#All],MATCH(A1990, Reason_for_walking_cycling_journeys_by_percentage[#Headers],0),0)/100</f>
        <v>3.6749999999999998E-2</v>
      </c>
      <c r="G1990" s="13">
        <f t="shared" si="157"/>
        <v>8565712.6400466841</v>
      </c>
      <c r="H1990" s="89">
        <f>VLOOKUP(D1990,Average_Distance_by_kilometre_grouping_for_mode_type[#All],MATCH(A1990,Average_Distance_by_kilometre_grouping_for_mode_type[#Headers],0),0)</f>
        <v>5</v>
      </c>
      <c r="I1990" s="89">
        <f>VLOOKUP(D1990,Average_Distance_by_kilometres_grouping_for_trip_purpose[#All],MATCH(A1990,Average_Distance_by_kilometres_grouping_for_trip_purpose[#Headers],0),0)</f>
        <v>5</v>
      </c>
      <c r="J1990" s="89">
        <f t="shared" si="158"/>
        <v>5</v>
      </c>
      <c r="K1990" s="89">
        <f t="shared" si="159"/>
        <v>0.11641443538998836</v>
      </c>
      <c r="L1990" s="89">
        <v>1</v>
      </c>
      <c r="M1990" s="13">
        <f t="shared" si="160"/>
        <v>997172.60070392129</v>
      </c>
      <c r="N1990" s="11">
        <f t="shared" si="156"/>
        <v>1.5231568537293492E-5</v>
      </c>
    </row>
    <row r="1991" spans="1:14" x14ac:dyDescent="0.25">
      <c r="A1991" s="79" t="s">
        <v>39</v>
      </c>
      <c r="B1991" s="89" t="s">
        <v>9</v>
      </c>
      <c r="C1991" s="89" t="s">
        <v>43</v>
      </c>
      <c r="D1991" s="13" t="s">
        <v>182</v>
      </c>
      <c r="E1991" s="35">
        <f>VLOOKUP(B1991, Passenger_Kilometre_by_mode_type[#All],MATCH(A1991, Passenger_Kilometre_by_mode_type[#Headers],0),0)</f>
        <v>233080616.05569208</v>
      </c>
      <c r="F1991" s="89">
        <f>VLOOKUP(C1991, Reason_for_walking_cycling_journeys_by_percentage[#All],MATCH(A1991, Reason_for_walking_cycling_journeys_by_percentage[#Headers],0),0)/100</f>
        <v>3.6749999999999998E-2</v>
      </c>
      <c r="G1991" s="13">
        <f t="shared" si="157"/>
        <v>8565712.6400466841</v>
      </c>
      <c r="H1991" s="89">
        <f>VLOOKUP(D1991,Average_Distance_by_kilometre_grouping_for_mode_type[#All],MATCH(A1991,Average_Distance_by_kilometre_grouping_for_mode_type[#Headers],0),0)</f>
        <v>7</v>
      </c>
      <c r="I1991" s="89">
        <f>VLOOKUP(D1991,Average_Distance_by_kilometres_grouping_for_trip_purpose[#All],MATCH(A1991,Average_Distance_by_kilometres_grouping_for_trip_purpose[#Headers],0),0)</f>
        <v>7</v>
      </c>
      <c r="J1991" s="89">
        <f t="shared" si="158"/>
        <v>7</v>
      </c>
      <c r="K1991" s="89">
        <f t="shared" si="159"/>
        <v>0.16298020954598369</v>
      </c>
      <c r="L1991" s="89">
        <v>1</v>
      </c>
      <c r="M1991" s="13">
        <f t="shared" si="160"/>
        <v>1396041.6409854898</v>
      </c>
      <c r="N1991" s="11">
        <f t="shared" si="156"/>
        <v>2.132419595221089E-5</v>
      </c>
    </row>
    <row r="1992" spans="1:14" x14ac:dyDescent="0.25">
      <c r="A1992" s="79" t="s">
        <v>39</v>
      </c>
      <c r="B1992" s="89" t="s">
        <v>9</v>
      </c>
      <c r="C1992" s="89" t="s">
        <v>43</v>
      </c>
      <c r="D1992" s="13" t="s">
        <v>1</v>
      </c>
      <c r="E1992" s="35">
        <f>VLOOKUP(B1992, Passenger_Kilometre_by_mode_type[#All],MATCH(A1992, Passenger_Kilometre_by_mode_type[#Headers],0),0)</f>
        <v>233080616.05569208</v>
      </c>
      <c r="F1992" s="89">
        <f>VLOOKUP(C1992, Reason_for_walking_cycling_journeys_by_percentage[#All],MATCH(A1992, Reason_for_walking_cycling_journeys_by_percentage[#Headers],0),0)/100</f>
        <v>3.6749999999999998E-2</v>
      </c>
      <c r="G1992" s="13">
        <f t="shared" si="157"/>
        <v>8565712.6400466841</v>
      </c>
      <c r="H1992" s="89">
        <f>VLOOKUP(D1992,Average_Distance_by_kilometre_grouping_for_mode_type[#All],MATCH(A1992,Average_Distance_by_kilometre_grouping_for_mode_type[#Headers],0),0)</f>
        <v>25.7</v>
      </c>
      <c r="I1992" s="89">
        <f>VLOOKUP(D1992,Average_Distance_by_kilometres_grouping_for_trip_purpose[#All],MATCH(A1992,Average_Distance_by_kilometres_grouping_for_trip_purpose[#Headers],0),0)</f>
        <v>28.2</v>
      </c>
      <c r="J1992" s="89">
        <f t="shared" si="158"/>
        <v>26.95</v>
      </c>
      <c r="K1992" s="89">
        <f t="shared" si="159"/>
        <v>0.62747380675203723</v>
      </c>
      <c r="L1992" s="89">
        <v>1</v>
      </c>
      <c r="M1992" s="13">
        <f t="shared" si="160"/>
        <v>5374760.3177941358</v>
      </c>
      <c r="N1992" s="11">
        <f t="shared" si="156"/>
        <v>8.2098154416011931E-5</v>
      </c>
    </row>
    <row r="1993" spans="1:14" x14ac:dyDescent="0.25">
      <c r="A1993" s="79" t="s">
        <v>39</v>
      </c>
      <c r="B1993" s="89" t="s">
        <v>9</v>
      </c>
      <c r="C1993" s="89" t="s">
        <v>44</v>
      </c>
      <c r="D1993" s="13" t="s">
        <v>12</v>
      </c>
      <c r="E1993" s="35">
        <f>VLOOKUP(B1993, Passenger_Kilometre_by_mode_type[#All],MATCH(A1993, Passenger_Kilometre_by_mode_type[#Headers],0),0)</f>
        <v>233080616.05569208</v>
      </c>
      <c r="F1993" s="89">
        <f>VLOOKUP(C1993, Reason_for_walking_cycling_journeys_by_percentage[#All],MATCH(A1993, Reason_for_walking_cycling_journeys_by_percentage[#Headers],0),0)/100</f>
        <v>0.24875</v>
      </c>
      <c r="G1993" s="13">
        <f t="shared" si="157"/>
        <v>57978803.243853405</v>
      </c>
      <c r="H1993" s="89">
        <f>VLOOKUP(D1993,Average_Distance_by_kilometre_grouping_for_mode_type[#All],MATCH(A1993,Average_Distance_by_kilometre_grouping_for_mode_type[#Headers],0),0)</f>
        <v>1</v>
      </c>
      <c r="I1993" s="89">
        <f>VLOOKUP(D1993,Average_Distance_by_kilometres_grouping_for_trip_purpose[#All],MATCH(A1993,Average_Distance_by_kilometres_grouping_for_trip_purpose[#Headers],0),0)</f>
        <v>1</v>
      </c>
      <c r="J1993" s="89">
        <f t="shared" si="158"/>
        <v>1</v>
      </c>
      <c r="K1993" s="89">
        <f t="shared" si="159"/>
        <v>2.3282887077997669E-2</v>
      </c>
      <c r="L1993" s="89">
        <v>1</v>
      </c>
      <c r="M1993" s="13">
        <f t="shared" si="160"/>
        <v>1349913.9288440838</v>
      </c>
      <c r="N1993" s="11">
        <f t="shared" si="156"/>
        <v>2.0619606387220442E-5</v>
      </c>
    </row>
    <row r="1994" spans="1:14" x14ac:dyDescent="0.25">
      <c r="A1994" s="79" t="s">
        <v>39</v>
      </c>
      <c r="B1994" s="89" t="s">
        <v>9</v>
      </c>
      <c r="C1994" s="89" t="s">
        <v>44</v>
      </c>
      <c r="D1994" s="13" t="s">
        <v>181</v>
      </c>
      <c r="E1994" s="35">
        <f>VLOOKUP(B1994, Passenger_Kilometre_by_mode_type[#All],MATCH(A1994, Passenger_Kilometre_by_mode_type[#Headers],0),0)</f>
        <v>233080616.05569208</v>
      </c>
      <c r="F1994" s="89">
        <f>VLOOKUP(C1994, Reason_for_walking_cycling_journeys_by_percentage[#All],MATCH(A1994, Reason_for_walking_cycling_journeys_by_percentage[#Headers],0),0)/100</f>
        <v>0.24875</v>
      </c>
      <c r="G1994" s="13">
        <f t="shared" si="157"/>
        <v>57978803.243853405</v>
      </c>
      <c r="H1994" s="89">
        <f>VLOOKUP(D1994,Average_Distance_by_kilometre_grouping_for_mode_type[#All],MATCH(A1994,Average_Distance_by_kilometre_grouping_for_mode_type[#Headers],0),0)</f>
        <v>3</v>
      </c>
      <c r="I1994" s="89">
        <f>VLOOKUP(D1994,Average_Distance_by_kilometres_grouping_for_trip_purpose[#All],MATCH(A1994,Average_Distance_by_kilometres_grouping_for_trip_purpose[#Headers],0),0)</f>
        <v>3</v>
      </c>
      <c r="J1994" s="89">
        <f t="shared" si="158"/>
        <v>3</v>
      </c>
      <c r="K1994" s="89">
        <f t="shared" si="159"/>
        <v>6.9848661233993012E-2</v>
      </c>
      <c r="L1994" s="89">
        <v>1</v>
      </c>
      <c r="M1994" s="13">
        <f t="shared" si="160"/>
        <v>4049741.7865322516</v>
      </c>
      <c r="N1994" s="11">
        <f t="shared" si="156"/>
        <v>6.185881916166133E-5</v>
      </c>
    </row>
    <row r="1995" spans="1:14" x14ac:dyDescent="0.25">
      <c r="A1995" s="79" t="s">
        <v>39</v>
      </c>
      <c r="B1995" s="89" t="s">
        <v>9</v>
      </c>
      <c r="C1995" s="89" t="s">
        <v>44</v>
      </c>
      <c r="D1995" s="13" t="s">
        <v>180</v>
      </c>
      <c r="E1995" s="35">
        <f>VLOOKUP(B1995, Passenger_Kilometre_by_mode_type[#All],MATCH(A1995, Passenger_Kilometre_by_mode_type[#Headers],0),0)</f>
        <v>233080616.05569208</v>
      </c>
      <c r="F1995" s="89">
        <f>VLOOKUP(C1995, Reason_for_walking_cycling_journeys_by_percentage[#All],MATCH(A1995, Reason_for_walking_cycling_journeys_by_percentage[#Headers],0),0)/100</f>
        <v>0.24875</v>
      </c>
      <c r="G1995" s="13">
        <f t="shared" si="157"/>
        <v>57978803.243853405</v>
      </c>
      <c r="H1995" s="89">
        <f>VLOOKUP(D1995,Average_Distance_by_kilometre_grouping_for_mode_type[#All],MATCH(A1995,Average_Distance_by_kilometre_grouping_for_mode_type[#Headers],0),0)</f>
        <v>5</v>
      </c>
      <c r="I1995" s="89">
        <f>VLOOKUP(D1995,Average_Distance_by_kilometres_grouping_for_trip_purpose[#All],MATCH(A1995,Average_Distance_by_kilometres_grouping_for_trip_purpose[#Headers],0),0)</f>
        <v>5</v>
      </c>
      <c r="J1995" s="89">
        <f t="shared" si="158"/>
        <v>5</v>
      </c>
      <c r="K1995" s="89">
        <f t="shared" si="159"/>
        <v>0.11641443538998836</v>
      </c>
      <c r="L1995" s="89">
        <v>1</v>
      </c>
      <c r="M1995" s="13">
        <f t="shared" si="160"/>
        <v>6749569.6442204192</v>
      </c>
      <c r="N1995" s="11">
        <f t="shared" si="156"/>
        <v>1.0309803193610221E-4</v>
      </c>
    </row>
    <row r="1996" spans="1:14" x14ac:dyDescent="0.25">
      <c r="A1996" s="79" t="s">
        <v>39</v>
      </c>
      <c r="B1996" s="89" t="s">
        <v>9</v>
      </c>
      <c r="C1996" s="89" t="s">
        <v>44</v>
      </c>
      <c r="D1996" s="13" t="s">
        <v>182</v>
      </c>
      <c r="E1996" s="35">
        <f>VLOOKUP(B1996, Passenger_Kilometre_by_mode_type[#All],MATCH(A1996, Passenger_Kilometre_by_mode_type[#Headers],0),0)</f>
        <v>233080616.05569208</v>
      </c>
      <c r="F1996" s="89">
        <f>VLOOKUP(C1996, Reason_for_walking_cycling_journeys_by_percentage[#All],MATCH(A1996, Reason_for_walking_cycling_journeys_by_percentage[#Headers],0),0)/100</f>
        <v>0.24875</v>
      </c>
      <c r="G1996" s="13">
        <f t="shared" si="157"/>
        <v>57978803.243853405</v>
      </c>
      <c r="H1996" s="89">
        <f>VLOOKUP(D1996,Average_Distance_by_kilometre_grouping_for_mode_type[#All],MATCH(A1996,Average_Distance_by_kilometre_grouping_for_mode_type[#Headers],0),0)</f>
        <v>7</v>
      </c>
      <c r="I1996" s="89">
        <f>VLOOKUP(D1996,Average_Distance_by_kilometres_grouping_for_trip_purpose[#All],MATCH(A1996,Average_Distance_by_kilometres_grouping_for_trip_purpose[#Headers],0),0)</f>
        <v>7</v>
      </c>
      <c r="J1996" s="89">
        <f t="shared" si="158"/>
        <v>7</v>
      </c>
      <c r="K1996" s="89">
        <f t="shared" si="159"/>
        <v>0.16298020954598369</v>
      </c>
      <c r="L1996" s="89">
        <v>1</v>
      </c>
      <c r="M1996" s="13">
        <f t="shared" si="160"/>
        <v>9449397.5019085873</v>
      </c>
      <c r="N1996" s="11">
        <f t="shared" si="156"/>
        <v>1.4433724471054309E-4</v>
      </c>
    </row>
    <row r="1997" spans="1:14" x14ac:dyDescent="0.25">
      <c r="A1997" s="79" t="s">
        <v>39</v>
      </c>
      <c r="B1997" s="89" t="s">
        <v>9</v>
      </c>
      <c r="C1997" s="89" t="s">
        <v>44</v>
      </c>
      <c r="D1997" s="13" t="s">
        <v>1</v>
      </c>
      <c r="E1997" s="35">
        <f>VLOOKUP(B1997, Passenger_Kilometre_by_mode_type[#All],MATCH(A1997, Passenger_Kilometre_by_mode_type[#Headers],0),0)</f>
        <v>233080616.05569208</v>
      </c>
      <c r="F1997" s="89">
        <f>VLOOKUP(C1997, Reason_for_walking_cycling_journeys_by_percentage[#All],MATCH(A1997, Reason_for_walking_cycling_journeys_by_percentage[#Headers],0),0)/100</f>
        <v>0.24875</v>
      </c>
      <c r="G1997" s="13">
        <f t="shared" si="157"/>
        <v>57978803.243853405</v>
      </c>
      <c r="H1997" s="89">
        <f>VLOOKUP(D1997,Average_Distance_by_kilometre_grouping_for_mode_type[#All],MATCH(A1997,Average_Distance_by_kilometre_grouping_for_mode_type[#Headers],0),0)</f>
        <v>25.7</v>
      </c>
      <c r="I1997" s="89">
        <f>VLOOKUP(D1997,Average_Distance_by_kilometres_grouping_for_trip_purpose[#All],MATCH(A1997,Average_Distance_by_kilometres_grouping_for_trip_purpose[#Headers],0),0)</f>
        <v>28.2</v>
      </c>
      <c r="J1997" s="89">
        <f t="shared" si="158"/>
        <v>26.95</v>
      </c>
      <c r="K1997" s="89">
        <f t="shared" si="159"/>
        <v>0.62747380675203723</v>
      </c>
      <c r="L1997" s="89">
        <v>1</v>
      </c>
      <c r="M1997" s="13">
        <f t="shared" si="160"/>
        <v>36380180.382348061</v>
      </c>
      <c r="N1997" s="11">
        <f t="shared" ref="N1997:N2060" si="161">M1997/SUM($M$1804:$M$2162)</f>
        <v>5.556983921355909E-4</v>
      </c>
    </row>
    <row r="1998" spans="1:14" x14ac:dyDescent="0.25">
      <c r="A1998" s="79" t="s">
        <v>39</v>
      </c>
      <c r="B1998" s="89" t="s">
        <v>9</v>
      </c>
      <c r="C1998" s="89" t="s">
        <v>45</v>
      </c>
      <c r="D1998" s="13" t="s">
        <v>12</v>
      </c>
      <c r="E1998" s="35">
        <f>VLOOKUP(B1998, Passenger_Kilometre_by_mode_type[#All],MATCH(A1998, Passenger_Kilometre_by_mode_type[#Headers],0),0)</f>
        <v>233080616.05569208</v>
      </c>
      <c r="F1998" s="89">
        <f>VLOOKUP(C1998, Reason_for_walking_cycling_journeys_by_percentage[#All],MATCH(A1998, Reason_for_walking_cycling_journeys_by_percentage[#Headers],0),0)/100</f>
        <v>5.8249999999999996E-2</v>
      </c>
      <c r="G1998" s="13">
        <f t="shared" si="157"/>
        <v>13576945.885244062</v>
      </c>
      <c r="H1998" s="89">
        <f>VLOOKUP(D1998,Average_Distance_by_kilometre_grouping_for_mode_type[#All],MATCH(A1998,Average_Distance_by_kilometre_grouping_for_mode_type[#Headers],0),0)</f>
        <v>1</v>
      </c>
      <c r="I1998" s="89">
        <f>VLOOKUP(D1998,Average_Distance_by_kilometres_grouping_for_trip_purpose[#All],MATCH(A1998,Average_Distance_by_kilometres_grouping_for_trip_purpose[#Headers],0),0)</f>
        <v>1</v>
      </c>
      <c r="J1998" s="89">
        <f t="shared" si="158"/>
        <v>1</v>
      </c>
      <c r="K1998" s="89">
        <f t="shared" si="159"/>
        <v>2.3282887077997669E-2</v>
      </c>
      <c r="L1998" s="89">
        <v>1</v>
      </c>
      <c r="M1998" s="13">
        <f t="shared" si="160"/>
        <v>316110.49791022262</v>
      </c>
      <c r="N1998" s="11">
        <f t="shared" si="161"/>
        <v>4.8285108424345353E-6</v>
      </c>
    </row>
    <row r="1999" spans="1:14" x14ac:dyDescent="0.25">
      <c r="A1999" s="79" t="s">
        <v>39</v>
      </c>
      <c r="B1999" s="89" t="s">
        <v>9</v>
      </c>
      <c r="C1999" s="89" t="s">
        <v>45</v>
      </c>
      <c r="D1999" s="13" t="s">
        <v>181</v>
      </c>
      <c r="E1999" s="35">
        <f>VLOOKUP(B1999, Passenger_Kilometre_by_mode_type[#All],MATCH(A1999, Passenger_Kilometre_by_mode_type[#Headers],0),0)</f>
        <v>233080616.05569208</v>
      </c>
      <c r="F1999" s="89">
        <f>VLOOKUP(C1999, Reason_for_walking_cycling_journeys_by_percentage[#All],MATCH(A1999, Reason_for_walking_cycling_journeys_by_percentage[#Headers],0),0)/100</f>
        <v>5.8249999999999996E-2</v>
      </c>
      <c r="G1999" s="13">
        <f t="shared" si="157"/>
        <v>13576945.885244062</v>
      </c>
      <c r="H1999" s="89">
        <f>VLOOKUP(D1999,Average_Distance_by_kilometre_grouping_for_mode_type[#All],MATCH(A1999,Average_Distance_by_kilometre_grouping_for_mode_type[#Headers],0),0)</f>
        <v>3</v>
      </c>
      <c r="I1999" s="89">
        <f>VLOOKUP(D1999,Average_Distance_by_kilometres_grouping_for_trip_purpose[#All],MATCH(A1999,Average_Distance_by_kilometres_grouping_for_trip_purpose[#Headers],0),0)</f>
        <v>3</v>
      </c>
      <c r="J1999" s="89">
        <f t="shared" si="158"/>
        <v>3</v>
      </c>
      <c r="K1999" s="89">
        <f t="shared" si="159"/>
        <v>6.9848661233993012E-2</v>
      </c>
      <c r="L1999" s="89">
        <v>1</v>
      </c>
      <c r="M1999" s="13">
        <f t="shared" si="160"/>
        <v>948331.49373066786</v>
      </c>
      <c r="N1999" s="11">
        <f t="shared" si="161"/>
        <v>1.4485532527303605E-5</v>
      </c>
    </row>
    <row r="2000" spans="1:14" x14ac:dyDescent="0.25">
      <c r="A2000" s="79" t="s">
        <v>39</v>
      </c>
      <c r="B2000" s="89" t="s">
        <v>9</v>
      </c>
      <c r="C2000" s="89" t="s">
        <v>45</v>
      </c>
      <c r="D2000" s="13" t="s">
        <v>180</v>
      </c>
      <c r="E2000" s="35">
        <f>VLOOKUP(B2000, Passenger_Kilometre_by_mode_type[#All],MATCH(A2000, Passenger_Kilometre_by_mode_type[#Headers],0),0)</f>
        <v>233080616.05569208</v>
      </c>
      <c r="F2000" s="89">
        <f>VLOOKUP(C2000, Reason_for_walking_cycling_journeys_by_percentage[#All],MATCH(A2000, Reason_for_walking_cycling_journeys_by_percentage[#Headers],0),0)/100</f>
        <v>5.8249999999999996E-2</v>
      </c>
      <c r="G2000" s="13">
        <f t="shared" si="157"/>
        <v>13576945.885244062</v>
      </c>
      <c r="H2000" s="89">
        <f>VLOOKUP(D2000,Average_Distance_by_kilometre_grouping_for_mode_type[#All],MATCH(A2000,Average_Distance_by_kilometre_grouping_for_mode_type[#Headers],0),0)</f>
        <v>5</v>
      </c>
      <c r="I2000" s="89">
        <f>VLOOKUP(D2000,Average_Distance_by_kilometres_grouping_for_trip_purpose[#All],MATCH(A2000,Average_Distance_by_kilometres_grouping_for_trip_purpose[#Headers],0),0)</f>
        <v>5</v>
      </c>
      <c r="J2000" s="89">
        <f t="shared" si="158"/>
        <v>5</v>
      </c>
      <c r="K2000" s="89">
        <f t="shared" si="159"/>
        <v>0.11641443538998836</v>
      </c>
      <c r="L2000" s="89">
        <v>1</v>
      </c>
      <c r="M2000" s="13">
        <f t="shared" si="160"/>
        <v>1580552.4895511132</v>
      </c>
      <c r="N2000" s="11">
        <f t="shared" si="161"/>
        <v>2.4142554212172676E-5</v>
      </c>
    </row>
    <row r="2001" spans="1:14" x14ac:dyDescent="0.25">
      <c r="A2001" s="79" t="s">
        <v>39</v>
      </c>
      <c r="B2001" s="89" t="s">
        <v>9</v>
      </c>
      <c r="C2001" s="89" t="s">
        <v>45</v>
      </c>
      <c r="D2001" s="13" t="s">
        <v>182</v>
      </c>
      <c r="E2001" s="35">
        <f>VLOOKUP(B2001, Passenger_Kilometre_by_mode_type[#All],MATCH(A2001, Passenger_Kilometre_by_mode_type[#Headers],0),0)</f>
        <v>233080616.05569208</v>
      </c>
      <c r="F2001" s="89">
        <f>VLOOKUP(C2001, Reason_for_walking_cycling_journeys_by_percentage[#All],MATCH(A2001, Reason_for_walking_cycling_journeys_by_percentage[#Headers],0),0)/100</f>
        <v>5.8249999999999996E-2</v>
      </c>
      <c r="G2001" s="13">
        <f t="shared" si="157"/>
        <v>13576945.885244062</v>
      </c>
      <c r="H2001" s="89">
        <f>VLOOKUP(D2001,Average_Distance_by_kilometre_grouping_for_mode_type[#All],MATCH(A2001,Average_Distance_by_kilometre_grouping_for_mode_type[#Headers],0),0)</f>
        <v>7</v>
      </c>
      <c r="I2001" s="89">
        <f>VLOOKUP(D2001,Average_Distance_by_kilometres_grouping_for_trip_purpose[#All],MATCH(A2001,Average_Distance_by_kilometres_grouping_for_trip_purpose[#Headers],0),0)</f>
        <v>7</v>
      </c>
      <c r="J2001" s="89">
        <f t="shared" si="158"/>
        <v>7</v>
      </c>
      <c r="K2001" s="89">
        <f t="shared" si="159"/>
        <v>0.16298020954598369</v>
      </c>
      <c r="L2001" s="89">
        <v>1</v>
      </c>
      <c r="M2001" s="13">
        <f t="shared" si="160"/>
        <v>2212773.4853715585</v>
      </c>
      <c r="N2001" s="11">
        <f t="shared" si="161"/>
        <v>3.3799575897041744E-5</v>
      </c>
    </row>
    <row r="2002" spans="1:14" x14ac:dyDescent="0.25">
      <c r="A2002" s="79" t="s">
        <v>39</v>
      </c>
      <c r="B2002" s="89" t="s">
        <v>9</v>
      </c>
      <c r="C2002" s="89" t="s">
        <v>45</v>
      </c>
      <c r="D2002" s="13" t="s">
        <v>1</v>
      </c>
      <c r="E2002" s="35">
        <f>VLOOKUP(B2002, Passenger_Kilometre_by_mode_type[#All],MATCH(A2002, Passenger_Kilometre_by_mode_type[#Headers],0),0)</f>
        <v>233080616.05569208</v>
      </c>
      <c r="F2002" s="89">
        <f>VLOOKUP(C2002, Reason_for_walking_cycling_journeys_by_percentage[#All],MATCH(A2002, Reason_for_walking_cycling_journeys_by_percentage[#Headers],0),0)/100</f>
        <v>5.8249999999999996E-2</v>
      </c>
      <c r="G2002" s="13">
        <f t="shared" si="157"/>
        <v>13576945.885244062</v>
      </c>
      <c r="H2002" s="89">
        <f>VLOOKUP(D2002,Average_Distance_by_kilometre_grouping_for_mode_type[#All],MATCH(A2002,Average_Distance_by_kilometre_grouping_for_mode_type[#Headers],0),0)</f>
        <v>25.7</v>
      </c>
      <c r="I2002" s="89">
        <f>VLOOKUP(D2002,Average_Distance_by_kilometres_grouping_for_trip_purpose[#All],MATCH(A2002,Average_Distance_by_kilometres_grouping_for_trip_purpose[#Headers],0),0)</f>
        <v>28.2</v>
      </c>
      <c r="J2002" s="89">
        <f t="shared" si="158"/>
        <v>26.95</v>
      </c>
      <c r="K2002" s="89">
        <f t="shared" si="159"/>
        <v>0.62747380675203723</v>
      </c>
      <c r="L2002" s="89">
        <v>1</v>
      </c>
      <c r="M2002" s="13">
        <f t="shared" si="160"/>
        <v>8519177.9186805002</v>
      </c>
      <c r="N2002" s="11">
        <f t="shared" si="161"/>
        <v>1.3012836720361072E-4</v>
      </c>
    </row>
    <row r="2003" spans="1:14" x14ac:dyDescent="0.25">
      <c r="A2003" s="79" t="s">
        <v>39</v>
      </c>
      <c r="B2003" s="89" t="s">
        <v>9</v>
      </c>
      <c r="C2003" s="89" t="s">
        <v>56</v>
      </c>
      <c r="D2003" s="13" t="s">
        <v>12</v>
      </c>
      <c r="E2003" s="35">
        <f>VLOOKUP(B2003, Passenger_Kilometre_by_mode_type[#All],MATCH(A2003, Passenger_Kilometre_by_mode_type[#Headers],0),0)</f>
        <v>233080616.05569208</v>
      </c>
      <c r="F2003" s="89">
        <f>VLOOKUP(C2003, Reason_for_walking_cycling_journeys_by_percentage[#All],MATCH(A2003, Reason_for_walking_cycling_journeys_by_percentage[#Headers],0),0)/100</f>
        <v>8.0499999999999988E-2</v>
      </c>
      <c r="G2003" s="13">
        <f t="shared" si="157"/>
        <v>18762989.592483208</v>
      </c>
      <c r="H2003" s="89">
        <f>VLOOKUP(D2003,Average_Distance_by_kilometre_grouping_for_mode_type[#All],MATCH(A2003,Average_Distance_by_kilometre_grouping_for_mode_type[#Headers],0),0)</f>
        <v>1</v>
      </c>
      <c r="I2003" s="89">
        <f>VLOOKUP(D2003,Average_Distance_by_kilometres_grouping_for_trip_purpose[#All],MATCH(A2003,Average_Distance_by_kilometres_grouping_for_trip_purpose[#Headers],0),0)</f>
        <v>1</v>
      </c>
      <c r="J2003" s="89">
        <f t="shared" si="158"/>
        <v>1</v>
      </c>
      <c r="K2003" s="89">
        <f t="shared" si="159"/>
        <v>2.3282887077997669E-2</v>
      </c>
      <c r="L2003" s="89">
        <v>1</v>
      </c>
      <c r="M2003" s="13">
        <f t="shared" si="160"/>
        <v>436856.56792743201</v>
      </c>
      <c r="N2003" s="11">
        <f t="shared" si="161"/>
        <v>6.6728776449095278E-6</v>
      </c>
    </row>
    <row r="2004" spans="1:14" x14ac:dyDescent="0.25">
      <c r="A2004" s="79" t="s">
        <v>39</v>
      </c>
      <c r="B2004" s="89" t="s">
        <v>9</v>
      </c>
      <c r="C2004" s="89" t="s">
        <v>56</v>
      </c>
      <c r="D2004" s="13" t="s">
        <v>181</v>
      </c>
      <c r="E2004" s="35">
        <f>VLOOKUP(B2004, Passenger_Kilometre_by_mode_type[#All],MATCH(A2004, Passenger_Kilometre_by_mode_type[#Headers],0),0)</f>
        <v>233080616.05569208</v>
      </c>
      <c r="F2004" s="89">
        <f>VLOOKUP(C2004, Reason_for_walking_cycling_journeys_by_percentage[#All],MATCH(A2004, Reason_for_walking_cycling_journeys_by_percentage[#Headers],0),0)/100</f>
        <v>8.0499999999999988E-2</v>
      </c>
      <c r="G2004" s="13">
        <f t="shared" si="157"/>
        <v>18762989.592483208</v>
      </c>
      <c r="H2004" s="89">
        <f>VLOOKUP(D2004,Average_Distance_by_kilometre_grouping_for_mode_type[#All],MATCH(A2004,Average_Distance_by_kilometre_grouping_for_mode_type[#Headers],0),0)</f>
        <v>3</v>
      </c>
      <c r="I2004" s="89">
        <f>VLOOKUP(D2004,Average_Distance_by_kilometres_grouping_for_trip_purpose[#All],MATCH(A2004,Average_Distance_by_kilometres_grouping_for_trip_purpose[#Headers],0),0)</f>
        <v>3</v>
      </c>
      <c r="J2004" s="89">
        <f t="shared" si="158"/>
        <v>3</v>
      </c>
      <c r="K2004" s="89">
        <f t="shared" si="159"/>
        <v>6.9848661233993012E-2</v>
      </c>
      <c r="L2004" s="89">
        <v>1</v>
      </c>
      <c r="M2004" s="13">
        <f t="shared" si="160"/>
        <v>1310569.7037822963</v>
      </c>
      <c r="N2004" s="11">
        <f t="shared" si="161"/>
        <v>2.0018632934728585E-5</v>
      </c>
    </row>
    <row r="2005" spans="1:14" x14ac:dyDescent="0.25">
      <c r="A2005" s="79" t="s">
        <v>39</v>
      </c>
      <c r="B2005" s="89" t="s">
        <v>9</v>
      </c>
      <c r="C2005" s="89" t="s">
        <v>56</v>
      </c>
      <c r="D2005" s="13" t="s">
        <v>180</v>
      </c>
      <c r="E2005" s="35">
        <f>VLOOKUP(B2005, Passenger_Kilometre_by_mode_type[#All],MATCH(A2005, Passenger_Kilometre_by_mode_type[#Headers],0),0)</f>
        <v>233080616.05569208</v>
      </c>
      <c r="F2005" s="89">
        <f>VLOOKUP(C2005, Reason_for_walking_cycling_journeys_by_percentage[#All],MATCH(A2005, Reason_for_walking_cycling_journeys_by_percentage[#Headers],0),0)/100</f>
        <v>8.0499999999999988E-2</v>
      </c>
      <c r="G2005" s="13">
        <f t="shared" si="157"/>
        <v>18762989.592483208</v>
      </c>
      <c r="H2005" s="89">
        <f>VLOOKUP(D2005,Average_Distance_by_kilometre_grouping_for_mode_type[#All],MATCH(A2005,Average_Distance_by_kilometre_grouping_for_mode_type[#Headers],0),0)</f>
        <v>5</v>
      </c>
      <c r="I2005" s="89">
        <f>VLOOKUP(D2005,Average_Distance_by_kilometres_grouping_for_trip_purpose[#All],MATCH(A2005,Average_Distance_by_kilometres_grouping_for_trip_purpose[#Headers],0),0)</f>
        <v>5</v>
      </c>
      <c r="J2005" s="89">
        <f t="shared" si="158"/>
        <v>5</v>
      </c>
      <c r="K2005" s="89">
        <f t="shared" si="159"/>
        <v>0.11641443538998836</v>
      </c>
      <c r="L2005" s="89">
        <v>1</v>
      </c>
      <c r="M2005" s="13">
        <f t="shared" si="160"/>
        <v>2184282.8396371603</v>
      </c>
      <c r="N2005" s="11">
        <f t="shared" si="161"/>
        <v>3.3364388224547644E-5</v>
      </c>
    </row>
    <row r="2006" spans="1:14" x14ac:dyDescent="0.25">
      <c r="A2006" s="79" t="s">
        <v>39</v>
      </c>
      <c r="B2006" s="89" t="s">
        <v>9</v>
      </c>
      <c r="C2006" s="89" t="s">
        <v>56</v>
      </c>
      <c r="D2006" s="13" t="s">
        <v>182</v>
      </c>
      <c r="E2006" s="35">
        <f>VLOOKUP(B2006, Passenger_Kilometre_by_mode_type[#All],MATCH(A2006, Passenger_Kilometre_by_mode_type[#Headers],0),0)</f>
        <v>233080616.05569208</v>
      </c>
      <c r="F2006" s="89">
        <f>VLOOKUP(C2006, Reason_for_walking_cycling_journeys_by_percentage[#All],MATCH(A2006, Reason_for_walking_cycling_journeys_by_percentage[#Headers],0),0)/100</f>
        <v>8.0499999999999988E-2</v>
      </c>
      <c r="G2006" s="13">
        <f t="shared" si="157"/>
        <v>18762989.592483208</v>
      </c>
      <c r="H2006" s="89">
        <f>VLOOKUP(D2006,Average_Distance_by_kilometre_grouping_for_mode_type[#All],MATCH(A2006,Average_Distance_by_kilometre_grouping_for_mode_type[#Headers],0),0)</f>
        <v>7</v>
      </c>
      <c r="I2006" s="89">
        <f>VLOOKUP(D2006,Average_Distance_by_kilometres_grouping_for_trip_purpose[#All],MATCH(A2006,Average_Distance_by_kilometres_grouping_for_trip_purpose[#Headers],0),0)</f>
        <v>7</v>
      </c>
      <c r="J2006" s="89">
        <f t="shared" si="158"/>
        <v>7</v>
      </c>
      <c r="K2006" s="89">
        <f t="shared" si="159"/>
        <v>0.16298020954598369</v>
      </c>
      <c r="L2006" s="89">
        <v>1</v>
      </c>
      <c r="M2006" s="13">
        <f t="shared" si="160"/>
        <v>3057995.9754920243</v>
      </c>
      <c r="N2006" s="11">
        <f t="shared" si="161"/>
        <v>4.6710143514366696E-5</v>
      </c>
    </row>
    <row r="2007" spans="1:14" x14ac:dyDescent="0.25">
      <c r="A2007" s="79" t="s">
        <v>39</v>
      </c>
      <c r="B2007" s="89" t="s">
        <v>9</v>
      </c>
      <c r="C2007" s="89" t="s">
        <v>56</v>
      </c>
      <c r="D2007" s="13" t="s">
        <v>1</v>
      </c>
      <c r="E2007" s="35">
        <f>VLOOKUP(B2007, Passenger_Kilometre_by_mode_type[#All],MATCH(A2007, Passenger_Kilometre_by_mode_type[#Headers],0),0)</f>
        <v>233080616.05569208</v>
      </c>
      <c r="F2007" s="89">
        <f>VLOOKUP(C2007, Reason_for_walking_cycling_journeys_by_percentage[#All],MATCH(A2007, Reason_for_walking_cycling_journeys_by_percentage[#Headers],0),0)/100</f>
        <v>8.0499999999999988E-2</v>
      </c>
      <c r="G2007" s="13">
        <f t="shared" si="157"/>
        <v>18762989.592483208</v>
      </c>
      <c r="H2007" s="89">
        <f>VLOOKUP(D2007,Average_Distance_by_kilometre_grouping_for_mode_type[#All],MATCH(A2007,Average_Distance_by_kilometre_grouping_for_mode_type[#Headers],0),0)</f>
        <v>25.7</v>
      </c>
      <c r="I2007" s="89">
        <f>VLOOKUP(D2007,Average_Distance_by_kilometres_grouping_for_trip_purpose[#All],MATCH(A2007,Average_Distance_by_kilometres_grouping_for_trip_purpose[#Headers],0),0)</f>
        <v>28.2</v>
      </c>
      <c r="J2007" s="89">
        <f t="shared" si="158"/>
        <v>26.95</v>
      </c>
      <c r="K2007" s="89">
        <f t="shared" si="159"/>
        <v>0.62747380675203723</v>
      </c>
      <c r="L2007" s="89">
        <v>1</v>
      </c>
      <c r="M2007" s="13">
        <f t="shared" si="160"/>
        <v>11773284.505644294</v>
      </c>
      <c r="N2007" s="11">
        <f t="shared" si="161"/>
        <v>1.7983405253031178E-4</v>
      </c>
    </row>
    <row r="2008" spans="1:14" x14ac:dyDescent="0.25">
      <c r="A2008" s="79" t="s">
        <v>39</v>
      </c>
      <c r="B2008" s="89" t="s">
        <v>9</v>
      </c>
      <c r="C2008" s="89" t="s">
        <v>57</v>
      </c>
      <c r="D2008" s="13" t="s">
        <v>12</v>
      </c>
      <c r="E2008" s="35">
        <f>VLOOKUP(B2008, Passenger_Kilometre_by_mode_type[#All],MATCH(A2008, Passenger_Kilometre_by_mode_type[#Headers],0),0)</f>
        <v>233080616.05569208</v>
      </c>
      <c r="F2008" s="89">
        <f>VLOOKUP(C2008, Reason_for_walking_cycling_journeys_by_percentage[#All],MATCH(A2008, Reason_for_walking_cycling_journeys_by_percentage[#Headers],0),0)/100</f>
        <v>0.10050000000000001</v>
      </c>
      <c r="G2008" s="13">
        <f t="shared" si="157"/>
        <v>23424601.913597055</v>
      </c>
      <c r="H2008" s="89">
        <f>VLOOKUP(D2008,Average_Distance_by_kilometre_grouping_for_mode_type[#All],MATCH(A2008,Average_Distance_by_kilometre_grouping_for_mode_type[#Headers],0),0)</f>
        <v>1</v>
      </c>
      <c r="I2008" s="89">
        <f>VLOOKUP(D2008,Average_Distance_by_kilometres_grouping_for_trip_purpose[#All],MATCH(A2008,Average_Distance_by_kilometres_grouping_for_trip_purpose[#Headers],0),0)</f>
        <v>1</v>
      </c>
      <c r="J2008" s="89">
        <f t="shared" si="158"/>
        <v>1</v>
      </c>
      <c r="K2008" s="89">
        <f t="shared" si="159"/>
        <v>2.3282887077997669E-2</v>
      </c>
      <c r="L2008" s="89">
        <v>1</v>
      </c>
      <c r="M2008" s="13">
        <f t="shared" si="160"/>
        <v>545392.36120132834</v>
      </c>
      <c r="N2008" s="11">
        <f t="shared" si="161"/>
        <v>8.3307354448870527E-6</v>
      </c>
    </row>
    <row r="2009" spans="1:14" x14ac:dyDescent="0.25">
      <c r="A2009" s="79" t="s">
        <v>39</v>
      </c>
      <c r="B2009" s="89" t="s">
        <v>9</v>
      </c>
      <c r="C2009" s="89" t="s">
        <v>57</v>
      </c>
      <c r="D2009" s="13" t="s">
        <v>181</v>
      </c>
      <c r="E2009" s="35">
        <f>VLOOKUP(B2009, Passenger_Kilometre_by_mode_type[#All],MATCH(A2009, Passenger_Kilometre_by_mode_type[#Headers],0),0)</f>
        <v>233080616.05569208</v>
      </c>
      <c r="F2009" s="89">
        <f>VLOOKUP(C2009, Reason_for_walking_cycling_journeys_by_percentage[#All],MATCH(A2009, Reason_for_walking_cycling_journeys_by_percentage[#Headers],0),0)/100</f>
        <v>0.10050000000000001</v>
      </c>
      <c r="G2009" s="13">
        <f t="shared" si="157"/>
        <v>23424601.913597055</v>
      </c>
      <c r="H2009" s="89">
        <f>VLOOKUP(D2009,Average_Distance_by_kilometre_grouping_for_mode_type[#All],MATCH(A2009,Average_Distance_by_kilometre_grouping_for_mode_type[#Headers],0),0)</f>
        <v>3</v>
      </c>
      <c r="I2009" s="89">
        <f>VLOOKUP(D2009,Average_Distance_by_kilometres_grouping_for_trip_purpose[#All],MATCH(A2009,Average_Distance_by_kilometres_grouping_for_trip_purpose[#Headers],0),0)</f>
        <v>3</v>
      </c>
      <c r="J2009" s="89">
        <f t="shared" si="158"/>
        <v>3</v>
      </c>
      <c r="K2009" s="89">
        <f t="shared" si="159"/>
        <v>6.9848661233993012E-2</v>
      </c>
      <c r="L2009" s="89">
        <v>1</v>
      </c>
      <c r="M2009" s="13">
        <f t="shared" si="160"/>
        <v>1636177.0836039851</v>
      </c>
      <c r="N2009" s="11">
        <f t="shared" si="161"/>
        <v>2.499220633466116E-5</v>
      </c>
    </row>
    <row r="2010" spans="1:14" x14ac:dyDescent="0.25">
      <c r="A2010" s="79" t="s">
        <v>39</v>
      </c>
      <c r="B2010" s="89" t="s">
        <v>9</v>
      </c>
      <c r="C2010" s="89" t="s">
        <v>57</v>
      </c>
      <c r="D2010" s="13" t="s">
        <v>180</v>
      </c>
      <c r="E2010" s="35">
        <f>VLOOKUP(B2010, Passenger_Kilometre_by_mode_type[#All],MATCH(A2010, Passenger_Kilometre_by_mode_type[#Headers],0),0)</f>
        <v>233080616.05569208</v>
      </c>
      <c r="F2010" s="89">
        <f>VLOOKUP(C2010, Reason_for_walking_cycling_journeys_by_percentage[#All],MATCH(A2010, Reason_for_walking_cycling_journeys_by_percentage[#Headers],0),0)/100</f>
        <v>0.10050000000000001</v>
      </c>
      <c r="G2010" s="13">
        <f t="shared" si="157"/>
        <v>23424601.913597055</v>
      </c>
      <c r="H2010" s="89">
        <f>VLOOKUP(D2010,Average_Distance_by_kilometre_grouping_for_mode_type[#All],MATCH(A2010,Average_Distance_by_kilometre_grouping_for_mode_type[#Headers],0),0)</f>
        <v>5</v>
      </c>
      <c r="I2010" s="89">
        <f>VLOOKUP(D2010,Average_Distance_by_kilometres_grouping_for_trip_purpose[#All],MATCH(A2010,Average_Distance_by_kilometres_grouping_for_trip_purpose[#Headers],0),0)</f>
        <v>5</v>
      </c>
      <c r="J2010" s="89">
        <f t="shared" si="158"/>
        <v>5</v>
      </c>
      <c r="K2010" s="89">
        <f t="shared" si="159"/>
        <v>0.11641443538998836</v>
      </c>
      <c r="L2010" s="89">
        <v>1</v>
      </c>
      <c r="M2010" s="13">
        <f t="shared" si="160"/>
        <v>2726961.8060066421</v>
      </c>
      <c r="N2010" s="11">
        <f t="shared" si="161"/>
        <v>4.1653677224435272E-5</v>
      </c>
    </row>
    <row r="2011" spans="1:14" x14ac:dyDescent="0.25">
      <c r="A2011" s="79" t="s">
        <v>39</v>
      </c>
      <c r="B2011" s="89" t="s">
        <v>9</v>
      </c>
      <c r="C2011" s="89" t="s">
        <v>57</v>
      </c>
      <c r="D2011" s="13" t="s">
        <v>182</v>
      </c>
      <c r="E2011" s="35">
        <f>VLOOKUP(B2011, Passenger_Kilometre_by_mode_type[#All],MATCH(A2011, Passenger_Kilometre_by_mode_type[#Headers],0),0)</f>
        <v>233080616.05569208</v>
      </c>
      <c r="F2011" s="89">
        <f>VLOOKUP(C2011, Reason_for_walking_cycling_journeys_by_percentage[#All],MATCH(A2011, Reason_for_walking_cycling_journeys_by_percentage[#Headers],0),0)/100</f>
        <v>0.10050000000000001</v>
      </c>
      <c r="G2011" s="13">
        <f t="shared" si="157"/>
        <v>23424601.913597055</v>
      </c>
      <c r="H2011" s="89">
        <f>VLOOKUP(D2011,Average_Distance_by_kilometre_grouping_for_mode_type[#All],MATCH(A2011,Average_Distance_by_kilometre_grouping_for_mode_type[#Headers],0),0)</f>
        <v>7</v>
      </c>
      <c r="I2011" s="89">
        <f>VLOOKUP(D2011,Average_Distance_by_kilometres_grouping_for_trip_purpose[#All],MATCH(A2011,Average_Distance_by_kilometres_grouping_for_trip_purpose[#Headers],0),0)</f>
        <v>7</v>
      </c>
      <c r="J2011" s="89">
        <f t="shared" si="158"/>
        <v>7</v>
      </c>
      <c r="K2011" s="89">
        <f t="shared" si="159"/>
        <v>0.16298020954598369</v>
      </c>
      <c r="L2011" s="89">
        <v>1</v>
      </c>
      <c r="M2011" s="13">
        <f t="shared" si="160"/>
        <v>3817746.5284092985</v>
      </c>
      <c r="N2011" s="11">
        <f t="shared" si="161"/>
        <v>5.8315148114209367E-5</v>
      </c>
    </row>
    <row r="2012" spans="1:14" x14ac:dyDescent="0.25">
      <c r="A2012" s="79" t="s">
        <v>39</v>
      </c>
      <c r="B2012" s="89" t="s">
        <v>9</v>
      </c>
      <c r="C2012" s="89" t="s">
        <v>57</v>
      </c>
      <c r="D2012" s="13" t="s">
        <v>1</v>
      </c>
      <c r="E2012" s="35">
        <f>VLOOKUP(B2012, Passenger_Kilometre_by_mode_type[#All],MATCH(A2012, Passenger_Kilometre_by_mode_type[#Headers],0),0)</f>
        <v>233080616.05569208</v>
      </c>
      <c r="F2012" s="89">
        <f>VLOOKUP(C2012, Reason_for_walking_cycling_journeys_by_percentage[#All],MATCH(A2012, Reason_for_walking_cycling_journeys_by_percentage[#Headers],0),0)/100</f>
        <v>0.10050000000000001</v>
      </c>
      <c r="G2012" s="13">
        <f t="shared" si="157"/>
        <v>23424601.913597055</v>
      </c>
      <c r="H2012" s="89">
        <f>VLOOKUP(D2012,Average_Distance_by_kilometre_grouping_for_mode_type[#All],MATCH(A2012,Average_Distance_by_kilometre_grouping_for_mode_type[#Headers],0),0)</f>
        <v>25.7</v>
      </c>
      <c r="I2012" s="89">
        <f>VLOOKUP(D2012,Average_Distance_by_kilometres_grouping_for_trip_purpose[#All],MATCH(A2012,Average_Distance_by_kilometres_grouping_for_trip_purpose[#Headers],0),0)</f>
        <v>28.2</v>
      </c>
      <c r="J2012" s="89">
        <f t="shared" si="158"/>
        <v>26.95</v>
      </c>
      <c r="K2012" s="89">
        <f t="shared" si="159"/>
        <v>0.62747380675203723</v>
      </c>
      <c r="L2012" s="89">
        <v>1</v>
      </c>
      <c r="M2012" s="13">
        <f t="shared" si="160"/>
        <v>14698324.134375799</v>
      </c>
      <c r="N2012" s="11">
        <f t="shared" si="161"/>
        <v>2.2451332023970609E-4</v>
      </c>
    </row>
    <row r="2013" spans="1:14" x14ac:dyDescent="0.25">
      <c r="A2013" s="79" t="s">
        <v>39</v>
      </c>
      <c r="B2013" s="89" t="s">
        <v>9</v>
      </c>
      <c r="C2013" s="89" t="s">
        <v>93</v>
      </c>
      <c r="D2013" s="13" t="s">
        <v>12</v>
      </c>
      <c r="E2013" s="35">
        <f>VLOOKUP(B2013, Passenger_Kilometre_by_mode_type[#All],MATCH(A2013, Passenger_Kilometre_by_mode_type[#Headers],0),0)</f>
        <v>233080616.05569208</v>
      </c>
      <c r="F2013" s="89">
        <f>VLOOKUP(C2013, Reason_for_walking_cycling_journeys_by_percentage[#All],MATCH(A2013, Reason_for_walking_cycling_journeys_by_percentage[#Headers],0),0)/100</f>
        <v>4.4999999999999998E-2</v>
      </c>
      <c r="G2013" s="13">
        <f t="shared" si="157"/>
        <v>10488627.722506143</v>
      </c>
      <c r="H2013" s="89">
        <f>VLOOKUP(D2013,Average_Distance_by_kilometre_grouping_for_mode_type[#All],MATCH(A2013,Average_Distance_by_kilometre_grouping_for_mode_type[#Headers],0),0)</f>
        <v>1</v>
      </c>
      <c r="I2013" s="89">
        <f>VLOOKUP(D2013,Average_Distance_by_kilometres_grouping_for_trip_purpose[#All],MATCH(A2013,Average_Distance_by_kilometres_grouping_for_trip_purpose[#Headers],0),0)</f>
        <v>1</v>
      </c>
      <c r="J2013" s="89">
        <f t="shared" si="158"/>
        <v>1</v>
      </c>
      <c r="K2013" s="89">
        <f t="shared" si="159"/>
        <v>2.3282887077997669E-2</v>
      </c>
      <c r="L2013" s="89">
        <v>1</v>
      </c>
      <c r="M2013" s="13">
        <f t="shared" si="160"/>
        <v>244205.53486626642</v>
      </c>
      <c r="N2013" s="11">
        <f t="shared" si="161"/>
        <v>3.7301800499494263E-6</v>
      </c>
    </row>
    <row r="2014" spans="1:14" x14ac:dyDescent="0.25">
      <c r="A2014" s="79" t="s">
        <v>39</v>
      </c>
      <c r="B2014" s="89" t="s">
        <v>9</v>
      </c>
      <c r="C2014" s="89" t="s">
        <v>93</v>
      </c>
      <c r="D2014" s="13" t="s">
        <v>181</v>
      </c>
      <c r="E2014" s="35">
        <f>VLOOKUP(B2014, Passenger_Kilometre_by_mode_type[#All],MATCH(A2014, Passenger_Kilometre_by_mode_type[#Headers],0),0)</f>
        <v>233080616.05569208</v>
      </c>
      <c r="F2014" s="89">
        <f>VLOOKUP(C2014, Reason_for_walking_cycling_journeys_by_percentage[#All],MATCH(A2014, Reason_for_walking_cycling_journeys_by_percentage[#Headers],0),0)/100</f>
        <v>4.4999999999999998E-2</v>
      </c>
      <c r="G2014" s="13">
        <f t="shared" si="157"/>
        <v>10488627.722506143</v>
      </c>
      <c r="H2014" s="89">
        <f>VLOOKUP(D2014,Average_Distance_by_kilometre_grouping_for_mode_type[#All],MATCH(A2014,Average_Distance_by_kilometre_grouping_for_mode_type[#Headers],0),0)</f>
        <v>3</v>
      </c>
      <c r="I2014" s="89">
        <f>VLOOKUP(D2014,Average_Distance_by_kilometres_grouping_for_trip_purpose[#All],MATCH(A2014,Average_Distance_by_kilometres_grouping_for_trip_purpose[#Headers],0),0)</f>
        <v>3</v>
      </c>
      <c r="J2014" s="89">
        <f t="shared" si="158"/>
        <v>3</v>
      </c>
      <c r="K2014" s="89">
        <f t="shared" si="159"/>
        <v>6.9848661233993012E-2</v>
      </c>
      <c r="L2014" s="89">
        <v>1</v>
      </c>
      <c r="M2014" s="13">
        <f t="shared" si="160"/>
        <v>732616.60459879925</v>
      </c>
      <c r="N2014" s="11">
        <f t="shared" si="161"/>
        <v>1.119054014984828E-5</v>
      </c>
    </row>
    <row r="2015" spans="1:14" x14ac:dyDescent="0.25">
      <c r="A2015" s="79" t="s">
        <v>39</v>
      </c>
      <c r="B2015" s="89" t="s">
        <v>9</v>
      </c>
      <c r="C2015" s="89" t="s">
        <v>93</v>
      </c>
      <c r="D2015" s="13" t="s">
        <v>180</v>
      </c>
      <c r="E2015" s="35">
        <f>VLOOKUP(B2015, Passenger_Kilometre_by_mode_type[#All],MATCH(A2015, Passenger_Kilometre_by_mode_type[#Headers],0),0)</f>
        <v>233080616.05569208</v>
      </c>
      <c r="F2015" s="89">
        <f>VLOOKUP(C2015, Reason_for_walking_cycling_journeys_by_percentage[#All],MATCH(A2015, Reason_for_walking_cycling_journeys_by_percentage[#Headers],0),0)/100</f>
        <v>4.4999999999999998E-2</v>
      </c>
      <c r="G2015" s="13">
        <f t="shared" si="157"/>
        <v>10488627.722506143</v>
      </c>
      <c r="H2015" s="89">
        <f>VLOOKUP(D2015,Average_Distance_by_kilometre_grouping_for_mode_type[#All],MATCH(A2015,Average_Distance_by_kilometre_grouping_for_mode_type[#Headers],0),0)</f>
        <v>5</v>
      </c>
      <c r="I2015" s="89">
        <f>VLOOKUP(D2015,Average_Distance_by_kilometres_grouping_for_trip_purpose[#All],MATCH(A2015,Average_Distance_by_kilometres_grouping_for_trip_purpose[#Headers],0),0)</f>
        <v>5</v>
      </c>
      <c r="J2015" s="89">
        <f t="shared" si="158"/>
        <v>5</v>
      </c>
      <c r="K2015" s="89">
        <f t="shared" si="159"/>
        <v>0.11641443538998836</v>
      </c>
      <c r="L2015" s="89">
        <v>1</v>
      </c>
      <c r="M2015" s="13">
        <f t="shared" si="160"/>
        <v>1221027.6743313321</v>
      </c>
      <c r="N2015" s="11">
        <f t="shared" si="161"/>
        <v>1.8650900249747134E-5</v>
      </c>
    </row>
    <row r="2016" spans="1:14" x14ac:dyDescent="0.25">
      <c r="A2016" s="79" t="s">
        <v>39</v>
      </c>
      <c r="B2016" s="89" t="s">
        <v>9</v>
      </c>
      <c r="C2016" s="89" t="s">
        <v>93</v>
      </c>
      <c r="D2016" s="13" t="s">
        <v>182</v>
      </c>
      <c r="E2016" s="35">
        <f>VLOOKUP(B2016, Passenger_Kilometre_by_mode_type[#All],MATCH(A2016, Passenger_Kilometre_by_mode_type[#Headers],0),0)</f>
        <v>233080616.05569208</v>
      </c>
      <c r="F2016" s="89">
        <f>VLOOKUP(C2016, Reason_for_walking_cycling_journeys_by_percentage[#All],MATCH(A2016, Reason_for_walking_cycling_journeys_by_percentage[#Headers],0),0)/100</f>
        <v>4.4999999999999998E-2</v>
      </c>
      <c r="G2016" s="13">
        <f t="shared" si="157"/>
        <v>10488627.722506143</v>
      </c>
      <c r="H2016" s="89">
        <f>VLOOKUP(D2016,Average_Distance_by_kilometre_grouping_for_mode_type[#All],MATCH(A2016,Average_Distance_by_kilometre_grouping_for_mode_type[#Headers],0),0)</f>
        <v>7</v>
      </c>
      <c r="I2016" s="89">
        <f>VLOOKUP(D2016,Average_Distance_by_kilometres_grouping_for_trip_purpose[#All],MATCH(A2016,Average_Distance_by_kilometres_grouping_for_trip_purpose[#Headers],0),0)</f>
        <v>7</v>
      </c>
      <c r="J2016" s="89">
        <f t="shared" si="158"/>
        <v>7</v>
      </c>
      <c r="K2016" s="89">
        <f t="shared" si="159"/>
        <v>0.16298020954598369</v>
      </c>
      <c r="L2016" s="89">
        <v>1</v>
      </c>
      <c r="M2016" s="13">
        <f t="shared" si="160"/>
        <v>1709438.7440638649</v>
      </c>
      <c r="N2016" s="11">
        <f t="shared" si="161"/>
        <v>2.6111260349645984E-5</v>
      </c>
    </row>
    <row r="2017" spans="1:14" x14ac:dyDescent="0.25">
      <c r="A2017" s="79" t="s">
        <v>39</v>
      </c>
      <c r="B2017" s="89" t="s">
        <v>9</v>
      </c>
      <c r="C2017" s="89" t="s">
        <v>93</v>
      </c>
      <c r="D2017" s="13" t="s">
        <v>1</v>
      </c>
      <c r="E2017" s="35">
        <f>VLOOKUP(B2017, Passenger_Kilometre_by_mode_type[#All],MATCH(A2017, Passenger_Kilometre_by_mode_type[#Headers],0),0)</f>
        <v>233080616.05569208</v>
      </c>
      <c r="F2017" s="89">
        <f>VLOOKUP(C2017, Reason_for_walking_cycling_journeys_by_percentage[#All],MATCH(A2017, Reason_for_walking_cycling_journeys_by_percentage[#Headers],0),0)/100</f>
        <v>4.4999999999999998E-2</v>
      </c>
      <c r="G2017" s="13">
        <f t="shared" si="157"/>
        <v>10488627.722506143</v>
      </c>
      <c r="H2017" s="89">
        <f>VLOOKUP(D2017,Average_Distance_by_kilometre_grouping_for_mode_type[#All],MATCH(A2017,Average_Distance_by_kilometre_grouping_for_mode_type[#Headers],0),0)</f>
        <v>25.7</v>
      </c>
      <c r="I2017" s="89">
        <f>VLOOKUP(D2017,Average_Distance_by_kilometres_grouping_for_trip_purpose[#All],MATCH(A2017,Average_Distance_by_kilometres_grouping_for_trip_purpose[#Headers],0),0)</f>
        <v>28.2</v>
      </c>
      <c r="J2017" s="89">
        <f t="shared" si="158"/>
        <v>26.95</v>
      </c>
      <c r="K2017" s="89">
        <f t="shared" si="159"/>
        <v>0.62747380675203723</v>
      </c>
      <c r="L2017" s="89">
        <v>1</v>
      </c>
      <c r="M2017" s="13">
        <f t="shared" si="160"/>
        <v>6581339.1646458805</v>
      </c>
      <c r="N2017" s="11">
        <f t="shared" si="161"/>
        <v>1.0052835234613705E-4</v>
      </c>
    </row>
    <row r="2018" spans="1:14" x14ac:dyDescent="0.25">
      <c r="A2018" s="79" t="s">
        <v>39</v>
      </c>
      <c r="B2018" s="89" t="s">
        <v>9</v>
      </c>
      <c r="C2018" s="89" t="s">
        <v>243</v>
      </c>
      <c r="D2018" s="13" t="s">
        <v>12</v>
      </c>
      <c r="E2018" s="35">
        <f>VLOOKUP(B2018, Passenger_Kilometre_by_mode_type[#All],MATCH(A2018, Passenger_Kilometre_by_mode_type[#Headers],0),0)</f>
        <v>233080616.05569208</v>
      </c>
      <c r="F2018" s="89">
        <f>VLOOKUP(C2018, Reason_for_walking_cycling_journeys_by_percentage[#All],MATCH(A2018, Reason_for_walking_cycling_journeys_by_percentage[#Headers],0),0)/100</f>
        <v>0.1525</v>
      </c>
      <c r="G2018" s="13">
        <f t="shared" si="157"/>
        <v>35544793.948493041</v>
      </c>
      <c r="H2018" s="89">
        <f>VLOOKUP(D2018,Average_Distance_by_kilometre_grouping_for_mode_type[#All],MATCH(A2018,Average_Distance_by_kilometre_grouping_for_mode_type[#Headers],0),0)</f>
        <v>1</v>
      </c>
      <c r="I2018" s="89">
        <f>VLOOKUP(D2018,Average_Distance_by_kilometres_grouping_for_trip_purpose[#All],MATCH(A2018,Average_Distance_by_kilometres_grouping_for_trip_purpose[#Headers],0),0)</f>
        <v>1</v>
      </c>
      <c r="J2018" s="89">
        <f t="shared" si="158"/>
        <v>1</v>
      </c>
      <c r="K2018" s="89">
        <f t="shared" si="159"/>
        <v>2.3282887077997669E-2</v>
      </c>
      <c r="L2018" s="89">
        <v>1</v>
      </c>
      <c r="M2018" s="13">
        <f t="shared" si="160"/>
        <v>827585.42371345835</v>
      </c>
      <c r="N2018" s="11">
        <f t="shared" si="161"/>
        <v>1.2641165724828612E-5</v>
      </c>
    </row>
    <row r="2019" spans="1:14" x14ac:dyDescent="0.25">
      <c r="A2019" s="79" t="s">
        <v>39</v>
      </c>
      <c r="B2019" s="89" t="s">
        <v>9</v>
      </c>
      <c r="C2019" s="89" t="s">
        <v>243</v>
      </c>
      <c r="D2019" s="13" t="s">
        <v>181</v>
      </c>
      <c r="E2019" s="35">
        <f>VLOOKUP(B2019, Passenger_Kilometre_by_mode_type[#All],MATCH(A2019, Passenger_Kilometre_by_mode_type[#Headers],0),0)</f>
        <v>233080616.05569208</v>
      </c>
      <c r="F2019" s="89">
        <f>VLOOKUP(C2019, Reason_for_walking_cycling_journeys_by_percentage[#All],MATCH(A2019, Reason_for_walking_cycling_journeys_by_percentage[#Headers],0),0)/100</f>
        <v>0.1525</v>
      </c>
      <c r="G2019" s="13">
        <f t="shared" si="157"/>
        <v>35544793.948493041</v>
      </c>
      <c r="H2019" s="89">
        <f>VLOOKUP(D2019,Average_Distance_by_kilometre_grouping_for_mode_type[#All],MATCH(A2019,Average_Distance_by_kilometre_grouping_for_mode_type[#Headers],0),0)</f>
        <v>3</v>
      </c>
      <c r="I2019" s="89">
        <f>VLOOKUP(D2019,Average_Distance_by_kilometres_grouping_for_trip_purpose[#All],MATCH(A2019,Average_Distance_by_kilometres_grouping_for_trip_purpose[#Headers],0),0)</f>
        <v>3</v>
      </c>
      <c r="J2019" s="89">
        <f t="shared" si="158"/>
        <v>3</v>
      </c>
      <c r="K2019" s="89">
        <f t="shared" si="159"/>
        <v>6.9848661233993012E-2</v>
      </c>
      <c r="L2019" s="89">
        <v>1</v>
      </c>
      <c r="M2019" s="13">
        <f t="shared" si="160"/>
        <v>2482756.2711403752</v>
      </c>
      <c r="N2019" s="11">
        <f t="shared" si="161"/>
        <v>3.7923497174485835E-5</v>
      </c>
    </row>
    <row r="2020" spans="1:14" x14ac:dyDescent="0.25">
      <c r="A2020" s="79" t="s">
        <v>39</v>
      </c>
      <c r="B2020" s="89" t="s">
        <v>9</v>
      </c>
      <c r="C2020" s="89" t="s">
        <v>243</v>
      </c>
      <c r="D2020" s="13" t="s">
        <v>180</v>
      </c>
      <c r="E2020" s="35">
        <f>VLOOKUP(B2020, Passenger_Kilometre_by_mode_type[#All],MATCH(A2020, Passenger_Kilometre_by_mode_type[#Headers],0),0)</f>
        <v>233080616.05569208</v>
      </c>
      <c r="F2020" s="89">
        <f>VLOOKUP(C2020, Reason_for_walking_cycling_journeys_by_percentage[#All],MATCH(A2020, Reason_for_walking_cycling_journeys_by_percentage[#Headers],0),0)/100</f>
        <v>0.1525</v>
      </c>
      <c r="G2020" s="13">
        <f t="shared" si="157"/>
        <v>35544793.948493041</v>
      </c>
      <c r="H2020" s="89">
        <f>VLOOKUP(D2020,Average_Distance_by_kilometre_grouping_for_mode_type[#All],MATCH(A2020,Average_Distance_by_kilometre_grouping_for_mode_type[#Headers],0),0)</f>
        <v>5</v>
      </c>
      <c r="I2020" s="89">
        <f>VLOOKUP(D2020,Average_Distance_by_kilometres_grouping_for_trip_purpose[#All],MATCH(A2020,Average_Distance_by_kilometres_grouping_for_trip_purpose[#Headers],0),0)</f>
        <v>5</v>
      </c>
      <c r="J2020" s="89">
        <f t="shared" si="158"/>
        <v>5</v>
      </c>
      <c r="K2020" s="89">
        <f t="shared" si="159"/>
        <v>0.11641443538998836</v>
      </c>
      <c r="L2020" s="89">
        <v>1</v>
      </c>
      <c r="M2020" s="13">
        <f t="shared" si="160"/>
        <v>4137927.1185672921</v>
      </c>
      <c r="N2020" s="11">
        <f t="shared" si="161"/>
        <v>6.3205828624143058E-5</v>
      </c>
    </row>
    <row r="2021" spans="1:14" x14ac:dyDescent="0.25">
      <c r="A2021" s="79" t="s">
        <v>39</v>
      </c>
      <c r="B2021" s="89" t="s">
        <v>9</v>
      </c>
      <c r="C2021" s="89" t="s">
        <v>243</v>
      </c>
      <c r="D2021" s="13" t="s">
        <v>182</v>
      </c>
      <c r="E2021" s="35">
        <f>VLOOKUP(B2021, Passenger_Kilometre_by_mode_type[#All],MATCH(A2021, Passenger_Kilometre_by_mode_type[#Headers],0),0)</f>
        <v>233080616.05569208</v>
      </c>
      <c r="F2021" s="89">
        <f>VLOOKUP(C2021, Reason_for_walking_cycling_journeys_by_percentage[#All],MATCH(A2021, Reason_for_walking_cycling_journeys_by_percentage[#Headers],0),0)/100</f>
        <v>0.1525</v>
      </c>
      <c r="G2021" s="13">
        <f t="shared" si="157"/>
        <v>35544793.948493041</v>
      </c>
      <c r="H2021" s="89">
        <f>VLOOKUP(D2021,Average_Distance_by_kilometre_grouping_for_mode_type[#All],MATCH(A2021,Average_Distance_by_kilometre_grouping_for_mode_type[#Headers],0),0)</f>
        <v>7</v>
      </c>
      <c r="I2021" s="89">
        <f>VLOOKUP(D2021,Average_Distance_by_kilometres_grouping_for_trip_purpose[#All],MATCH(A2021,Average_Distance_by_kilometres_grouping_for_trip_purpose[#Headers],0),0)</f>
        <v>7</v>
      </c>
      <c r="J2021" s="89">
        <f t="shared" si="158"/>
        <v>7</v>
      </c>
      <c r="K2021" s="89">
        <f t="shared" si="159"/>
        <v>0.16298020954598369</v>
      </c>
      <c r="L2021" s="89">
        <v>1</v>
      </c>
      <c r="M2021" s="13">
        <f t="shared" si="160"/>
        <v>5793097.9659942091</v>
      </c>
      <c r="N2021" s="11">
        <f t="shared" si="161"/>
        <v>8.8488160073800281E-5</v>
      </c>
    </row>
    <row r="2022" spans="1:14" x14ac:dyDescent="0.25">
      <c r="A2022" s="79" t="s">
        <v>39</v>
      </c>
      <c r="B2022" s="89" t="s">
        <v>9</v>
      </c>
      <c r="C2022" s="89" t="s">
        <v>243</v>
      </c>
      <c r="D2022" s="13" t="s">
        <v>1</v>
      </c>
      <c r="E2022" s="35">
        <f>VLOOKUP(B2022, Passenger_Kilometre_by_mode_type[#All],MATCH(A2022, Passenger_Kilometre_by_mode_type[#Headers],0),0)</f>
        <v>233080616.05569208</v>
      </c>
      <c r="F2022" s="89">
        <f>VLOOKUP(C2022, Reason_for_walking_cycling_journeys_by_percentage[#All],MATCH(A2022, Reason_for_walking_cycling_journeys_by_percentage[#Headers],0),0)/100</f>
        <v>0.1525</v>
      </c>
      <c r="G2022" s="13">
        <f t="shared" si="157"/>
        <v>35544793.948493041</v>
      </c>
      <c r="H2022" s="89">
        <f>VLOOKUP(D2022,Average_Distance_by_kilometre_grouping_for_mode_type[#All],MATCH(A2022,Average_Distance_by_kilometre_grouping_for_mode_type[#Headers],0),0)</f>
        <v>25.7</v>
      </c>
      <c r="I2022" s="89">
        <f>VLOOKUP(D2022,Average_Distance_by_kilometres_grouping_for_trip_purpose[#All],MATCH(A2022,Average_Distance_by_kilometres_grouping_for_trip_purpose[#Headers],0),0)</f>
        <v>28.2</v>
      </c>
      <c r="J2022" s="89">
        <f t="shared" si="158"/>
        <v>26.95</v>
      </c>
      <c r="K2022" s="89">
        <f t="shared" si="159"/>
        <v>0.62747380675203723</v>
      </c>
      <c r="L2022" s="89">
        <v>1</v>
      </c>
      <c r="M2022" s="13">
        <f t="shared" si="160"/>
        <v>22303427.169077706</v>
      </c>
      <c r="N2022" s="11">
        <f t="shared" si="161"/>
        <v>3.4067941628413112E-4</v>
      </c>
    </row>
    <row r="2023" spans="1:14" x14ac:dyDescent="0.25">
      <c r="A2023" s="79" t="s">
        <v>39</v>
      </c>
      <c r="B2023" s="89" t="s">
        <v>9</v>
      </c>
      <c r="C2023" s="89" t="s">
        <v>50</v>
      </c>
      <c r="D2023" s="13" t="s">
        <v>12</v>
      </c>
      <c r="E2023" s="35">
        <f>VLOOKUP(B2023, Passenger_Kilometre_by_mode_type[#All],MATCH(A2023, Passenger_Kilometre_by_mode_type[#Headers],0),0)</f>
        <v>233080616.05569208</v>
      </c>
      <c r="F2023" s="89">
        <f>VLOOKUP(C2023, Reason_for_walking_cycling_journeys_by_percentage[#All],MATCH(A2023, Reason_for_walking_cycling_journeys_by_percentage[#Headers],0),0)/100</f>
        <v>6.724999999999999E-2</v>
      </c>
      <c r="G2023" s="13">
        <f t="shared" si="157"/>
        <v>15674671.42974529</v>
      </c>
      <c r="H2023" s="89">
        <f>VLOOKUP(D2023,Average_Distance_by_kilometre_grouping_for_mode_type[#All],MATCH(A2023,Average_Distance_by_kilometre_grouping_for_mode_type[#Headers],0),0)</f>
        <v>1</v>
      </c>
      <c r="I2023" s="89">
        <f>VLOOKUP(D2023,Average_Distance_by_kilometres_grouping_for_trip_purpose[#All],MATCH(A2023,Average_Distance_by_kilometres_grouping_for_trip_purpose[#Headers],0),0)</f>
        <v>1</v>
      </c>
      <c r="J2023" s="89">
        <f t="shared" si="158"/>
        <v>1</v>
      </c>
      <c r="K2023" s="89">
        <f t="shared" si="159"/>
        <v>2.3282887077997669E-2</v>
      </c>
      <c r="L2023" s="89">
        <v>1</v>
      </c>
      <c r="M2023" s="13">
        <f t="shared" si="160"/>
        <v>364951.60488347587</v>
      </c>
      <c r="N2023" s="11">
        <f t="shared" si="161"/>
        <v>5.5745468524244201E-6</v>
      </c>
    </row>
    <row r="2024" spans="1:14" x14ac:dyDescent="0.25">
      <c r="A2024" s="79" t="s">
        <v>39</v>
      </c>
      <c r="B2024" s="89" t="s">
        <v>9</v>
      </c>
      <c r="C2024" s="89" t="s">
        <v>50</v>
      </c>
      <c r="D2024" s="13" t="s">
        <v>181</v>
      </c>
      <c r="E2024" s="35">
        <f>VLOOKUP(B2024, Passenger_Kilometre_by_mode_type[#All],MATCH(A2024, Passenger_Kilometre_by_mode_type[#Headers],0),0)</f>
        <v>233080616.05569208</v>
      </c>
      <c r="F2024" s="89">
        <f>VLOOKUP(C2024, Reason_for_walking_cycling_journeys_by_percentage[#All],MATCH(A2024, Reason_for_walking_cycling_journeys_by_percentage[#Headers],0),0)/100</f>
        <v>6.724999999999999E-2</v>
      </c>
      <c r="G2024" s="13">
        <f t="shared" si="157"/>
        <v>15674671.42974529</v>
      </c>
      <c r="H2024" s="89">
        <f>VLOOKUP(D2024,Average_Distance_by_kilometre_grouping_for_mode_type[#All],MATCH(A2024,Average_Distance_by_kilometre_grouping_for_mode_type[#Headers],0),0)</f>
        <v>3</v>
      </c>
      <c r="I2024" s="89">
        <f>VLOOKUP(D2024,Average_Distance_by_kilometres_grouping_for_trip_purpose[#All],MATCH(A2024,Average_Distance_by_kilometres_grouping_for_trip_purpose[#Headers],0),0)</f>
        <v>3</v>
      </c>
      <c r="J2024" s="89">
        <f t="shared" si="158"/>
        <v>3</v>
      </c>
      <c r="K2024" s="89">
        <f t="shared" si="159"/>
        <v>6.9848661233993012E-2</v>
      </c>
      <c r="L2024" s="89">
        <v>1</v>
      </c>
      <c r="M2024" s="13">
        <f t="shared" si="160"/>
        <v>1094854.8146504278</v>
      </c>
      <c r="N2024" s="11">
        <f t="shared" si="161"/>
        <v>1.6723640557273262E-5</v>
      </c>
    </row>
    <row r="2025" spans="1:14" x14ac:dyDescent="0.25">
      <c r="A2025" s="79" t="s">
        <v>39</v>
      </c>
      <c r="B2025" s="89" t="s">
        <v>9</v>
      </c>
      <c r="C2025" s="89" t="s">
        <v>50</v>
      </c>
      <c r="D2025" s="13" t="s">
        <v>180</v>
      </c>
      <c r="E2025" s="35">
        <f>VLOOKUP(B2025, Passenger_Kilometre_by_mode_type[#All],MATCH(A2025, Passenger_Kilometre_by_mode_type[#Headers],0),0)</f>
        <v>233080616.05569208</v>
      </c>
      <c r="F2025" s="89">
        <f>VLOOKUP(C2025, Reason_for_walking_cycling_journeys_by_percentage[#All],MATCH(A2025, Reason_for_walking_cycling_journeys_by_percentage[#Headers],0),0)/100</f>
        <v>6.724999999999999E-2</v>
      </c>
      <c r="G2025" s="13">
        <f t="shared" si="157"/>
        <v>15674671.42974529</v>
      </c>
      <c r="H2025" s="89">
        <f>VLOOKUP(D2025,Average_Distance_by_kilometre_grouping_for_mode_type[#All],MATCH(A2025,Average_Distance_by_kilometre_grouping_for_mode_type[#Headers],0),0)</f>
        <v>5</v>
      </c>
      <c r="I2025" s="89">
        <f>VLOOKUP(D2025,Average_Distance_by_kilometres_grouping_for_trip_purpose[#All],MATCH(A2025,Average_Distance_by_kilometres_grouping_for_trip_purpose[#Headers],0),0)</f>
        <v>5</v>
      </c>
      <c r="J2025" s="89">
        <f t="shared" si="158"/>
        <v>5</v>
      </c>
      <c r="K2025" s="89">
        <f t="shared" si="159"/>
        <v>0.11641443538998836</v>
      </c>
      <c r="L2025" s="89">
        <v>1</v>
      </c>
      <c r="M2025" s="13">
        <f t="shared" si="160"/>
        <v>1824758.0244173796</v>
      </c>
      <c r="N2025" s="11">
        <f t="shared" si="161"/>
        <v>2.7872734262122102E-5</v>
      </c>
    </row>
    <row r="2026" spans="1:14" x14ac:dyDescent="0.25">
      <c r="A2026" s="79" t="s">
        <v>39</v>
      </c>
      <c r="B2026" s="89" t="s">
        <v>9</v>
      </c>
      <c r="C2026" s="89" t="s">
        <v>50</v>
      </c>
      <c r="D2026" s="13" t="s">
        <v>182</v>
      </c>
      <c r="E2026" s="35">
        <f>VLOOKUP(B2026, Passenger_Kilometre_by_mode_type[#All],MATCH(A2026, Passenger_Kilometre_by_mode_type[#Headers],0),0)</f>
        <v>233080616.05569208</v>
      </c>
      <c r="F2026" s="89">
        <f>VLOOKUP(C2026, Reason_for_walking_cycling_journeys_by_percentage[#All],MATCH(A2026, Reason_for_walking_cycling_journeys_by_percentage[#Headers],0),0)/100</f>
        <v>6.724999999999999E-2</v>
      </c>
      <c r="G2026" s="13">
        <f t="shared" si="157"/>
        <v>15674671.42974529</v>
      </c>
      <c r="H2026" s="89">
        <f>VLOOKUP(D2026,Average_Distance_by_kilometre_grouping_for_mode_type[#All],MATCH(A2026,Average_Distance_by_kilometre_grouping_for_mode_type[#Headers],0),0)</f>
        <v>7</v>
      </c>
      <c r="I2026" s="89">
        <f>VLOOKUP(D2026,Average_Distance_by_kilometres_grouping_for_trip_purpose[#All],MATCH(A2026,Average_Distance_by_kilometres_grouping_for_trip_purpose[#Headers],0),0)</f>
        <v>7</v>
      </c>
      <c r="J2026" s="89">
        <f t="shared" si="158"/>
        <v>7</v>
      </c>
      <c r="K2026" s="89">
        <f t="shared" si="159"/>
        <v>0.16298020954598369</v>
      </c>
      <c r="L2026" s="89">
        <v>1</v>
      </c>
      <c r="M2026" s="13">
        <f t="shared" si="160"/>
        <v>2554661.2341843313</v>
      </c>
      <c r="N2026" s="11">
        <f t="shared" si="161"/>
        <v>3.9021827966970943E-5</v>
      </c>
    </row>
    <row r="2027" spans="1:14" x14ac:dyDescent="0.25">
      <c r="A2027" s="79" t="s">
        <v>39</v>
      </c>
      <c r="B2027" s="89" t="s">
        <v>9</v>
      </c>
      <c r="C2027" s="89" t="s">
        <v>50</v>
      </c>
      <c r="D2027" s="13" t="s">
        <v>1</v>
      </c>
      <c r="E2027" s="35">
        <f>VLOOKUP(B2027, Passenger_Kilometre_by_mode_type[#All],MATCH(A2027, Passenger_Kilometre_by_mode_type[#Headers],0),0)</f>
        <v>233080616.05569208</v>
      </c>
      <c r="F2027" s="89">
        <f>VLOOKUP(C2027, Reason_for_walking_cycling_journeys_by_percentage[#All],MATCH(A2027, Reason_for_walking_cycling_journeys_by_percentage[#Headers],0),0)/100</f>
        <v>6.724999999999999E-2</v>
      </c>
      <c r="G2027" s="13">
        <f t="shared" si="157"/>
        <v>15674671.42974529</v>
      </c>
      <c r="H2027" s="89">
        <f>VLOOKUP(D2027,Average_Distance_by_kilometre_grouping_for_mode_type[#All],MATCH(A2027,Average_Distance_by_kilometre_grouping_for_mode_type[#Headers],0),0)</f>
        <v>25.7</v>
      </c>
      <c r="I2027" s="89">
        <f>VLOOKUP(D2027,Average_Distance_by_kilometres_grouping_for_trip_purpose[#All],MATCH(A2027,Average_Distance_by_kilometres_grouping_for_trip_purpose[#Headers],0),0)</f>
        <v>28.2</v>
      </c>
      <c r="J2027" s="89">
        <f t="shared" si="158"/>
        <v>26.95</v>
      </c>
      <c r="K2027" s="89">
        <f t="shared" si="159"/>
        <v>0.62747380675203723</v>
      </c>
      <c r="L2027" s="89">
        <v>1</v>
      </c>
      <c r="M2027" s="13">
        <f t="shared" si="160"/>
        <v>9835445.7516096756</v>
      </c>
      <c r="N2027" s="11">
        <f t="shared" si="161"/>
        <v>1.5023403767283814E-4</v>
      </c>
    </row>
    <row r="2028" spans="1:14" x14ac:dyDescent="0.25">
      <c r="A2028" s="79" t="s">
        <v>39</v>
      </c>
      <c r="B2028" s="89" t="s">
        <v>10</v>
      </c>
      <c r="C2028" s="89" t="s">
        <v>42</v>
      </c>
      <c r="D2028" s="13" t="s">
        <v>12</v>
      </c>
      <c r="E2028" s="35">
        <f>VLOOKUP(B2028, Passenger_Kilometre_by_mode_type[#All],MATCH(A2028, Passenger_Kilometre_by_mode_type[#Headers],0),0)</f>
        <v>3948009846.44596</v>
      </c>
      <c r="F2028" s="89">
        <f>VLOOKUP(C2028, Reason_for_public_transport_journeys_by_percentage[#All],MATCH(A2028, Reason_for_public_transport_journeys_by_percentage[#Headers],0),0)/100</f>
        <v>0.35425000000000006</v>
      </c>
      <c r="G2028" s="13">
        <f t="shared" si="157"/>
        <v>1398582488.1034815</v>
      </c>
      <c r="H2028" s="89">
        <f>VLOOKUP(D2028,Average_Distance_by_kilometre_grouping_for_mode_type[#All],MATCH(A2028,Average_Distance_by_kilometre_grouping_for_mode_type[#Headers],0),0)</f>
        <v>1</v>
      </c>
      <c r="I2028" s="89">
        <f>VLOOKUP(D2028,Average_Distance_by_kilometres_grouping_for_trip_purpose[#All],MATCH(A2028,Average_Distance_by_kilometres_grouping_for_trip_purpose[#Headers],0),0)</f>
        <v>1</v>
      </c>
      <c r="J2028" s="89">
        <f t="shared" si="158"/>
        <v>1</v>
      </c>
      <c r="K2028" s="89">
        <f t="shared" si="159"/>
        <v>2.3282887077997669E-2</v>
      </c>
      <c r="L2028" s="89">
        <v>1</v>
      </c>
      <c r="M2028" s="13">
        <f t="shared" si="160"/>
        <v>32563038.139778379</v>
      </c>
      <c r="N2028" s="11">
        <f t="shared" si="161"/>
        <v>4.9739247434036119E-4</v>
      </c>
    </row>
    <row r="2029" spans="1:14" x14ac:dyDescent="0.25">
      <c r="A2029" s="79" t="s">
        <v>39</v>
      </c>
      <c r="B2029" s="89" t="s">
        <v>10</v>
      </c>
      <c r="C2029" s="89" t="s">
        <v>42</v>
      </c>
      <c r="D2029" s="13" t="s">
        <v>181</v>
      </c>
      <c r="E2029" s="35">
        <f>VLOOKUP(B2029, Passenger_Kilometre_by_mode_type[#All],MATCH(A2029, Passenger_Kilometre_by_mode_type[#Headers],0),0)</f>
        <v>3948009846.44596</v>
      </c>
      <c r="F2029" s="89">
        <f>VLOOKUP(C2029, Reason_for_public_transport_journeys_by_percentage[#All],MATCH(A2029, Reason_for_public_transport_journeys_by_percentage[#Headers],0),0)/100</f>
        <v>0.35425000000000006</v>
      </c>
      <c r="G2029" s="13">
        <f t="shared" si="157"/>
        <v>1398582488.1034815</v>
      </c>
      <c r="H2029" s="89">
        <f>VLOOKUP(D2029,Average_Distance_by_kilometre_grouping_for_mode_type[#All],MATCH(A2029,Average_Distance_by_kilometre_grouping_for_mode_type[#Headers],0),0)</f>
        <v>3</v>
      </c>
      <c r="I2029" s="89">
        <f>VLOOKUP(D2029,Average_Distance_by_kilometres_grouping_for_trip_purpose[#All],MATCH(A2029,Average_Distance_by_kilometres_grouping_for_trip_purpose[#Headers],0),0)</f>
        <v>3</v>
      </c>
      <c r="J2029" s="89">
        <f t="shared" si="158"/>
        <v>3</v>
      </c>
      <c r="K2029" s="89">
        <f t="shared" si="159"/>
        <v>6.9848661233993012E-2</v>
      </c>
      <c r="L2029" s="89">
        <v>1</v>
      </c>
      <c r="M2029" s="13">
        <f t="shared" si="160"/>
        <v>97689114.419335142</v>
      </c>
      <c r="N2029" s="11">
        <f t="shared" si="161"/>
        <v>1.4921774230210836E-3</v>
      </c>
    </row>
    <row r="2030" spans="1:14" x14ac:dyDescent="0.25">
      <c r="A2030" s="79" t="s">
        <v>39</v>
      </c>
      <c r="B2030" s="89" t="s">
        <v>10</v>
      </c>
      <c r="C2030" s="89" t="s">
        <v>42</v>
      </c>
      <c r="D2030" s="13" t="s">
        <v>180</v>
      </c>
      <c r="E2030" s="35">
        <f>VLOOKUP(B2030, Passenger_Kilometre_by_mode_type[#All],MATCH(A2030, Passenger_Kilometre_by_mode_type[#Headers],0),0)</f>
        <v>3948009846.44596</v>
      </c>
      <c r="F2030" s="89">
        <f>VLOOKUP(C2030, Reason_for_public_transport_journeys_by_percentage[#All],MATCH(A2030, Reason_for_public_transport_journeys_by_percentage[#Headers],0),0)/100</f>
        <v>0.35425000000000006</v>
      </c>
      <c r="G2030" s="13">
        <f t="shared" si="157"/>
        <v>1398582488.1034815</v>
      </c>
      <c r="H2030" s="89">
        <f>VLOOKUP(D2030,Average_Distance_by_kilometre_grouping_for_mode_type[#All],MATCH(A2030,Average_Distance_by_kilometre_grouping_for_mode_type[#Headers],0),0)</f>
        <v>5</v>
      </c>
      <c r="I2030" s="89">
        <f>VLOOKUP(D2030,Average_Distance_by_kilometres_grouping_for_trip_purpose[#All],MATCH(A2030,Average_Distance_by_kilometres_grouping_for_trip_purpose[#Headers],0),0)</f>
        <v>5</v>
      </c>
      <c r="J2030" s="89">
        <f t="shared" si="158"/>
        <v>5</v>
      </c>
      <c r="K2030" s="89">
        <f t="shared" si="159"/>
        <v>0.11641443538998836</v>
      </c>
      <c r="L2030" s="89">
        <v>1</v>
      </c>
      <c r="M2030" s="13">
        <f t="shared" si="160"/>
        <v>162815190.69889191</v>
      </c>
      <c r="N2030" s="11">
        <f t="shared" si="161"/>
        <v>2.4869623717018062E-3</v>
      </c>
    </row>
    <row r="2031" spans="1:14" x14ac:dyDescent="0.25">
      <c r="A2031" s="79" t="s">
        <v>39</v>
      </c>
      <c r="B2031" s="89" t="s">
        <v>10</v>
      </c>
      <c r="C2031" s="89" t="s">
        <v>42</v>
      </c>
      <c r="D2031" s="13" t="s">
        <v>182</v>
      </c>
      <c r="E2031" s="35">
        <f>VLOOKUP(B2031, Passenger_Kilometre_by_mode_type[#All],MATCH(A2031, Passenger_Kilometre_by_mode_type[#Headers],0),0)</f>
        <v>3948009846.44596</v>
      </c>
      <c r="F2031" s="89">
        <f>VLOOKUP(C2031, Reason_for_public_transport_journeys_by_percentage[#All],MATCH(A2031, Reason_for_public_transport_journeys_by_percentage[#Headers],0),0)/100</f>
        <v>0.35425000000000006</v>
      </c>
      <c r="G2031" s="13">
        <f t="shared" si="157"/>
        <v>1398582488.1034815</v>
      </c>
      <c r="H2031" s="89">
        <f>VLOOKUP(D2031,Average_Distance_by_kilometre_grouping_for_mode_type[#All],MATCH(A2031,Average_Distance_by_kilometre_grouping_for_mode_type[#Headers],0),0)</f>
        <v>7</v>
      </c>
      <c r="I2031" s="89">
        <f>VLOOKUP(D2031,Average_Distance_by_kilometres_grouping_for_trip_purpose[#All],MATCH(A2031,Average_Distance_by_kilometres_grouping_for_trip_purpose[#Headers],0),0)</f>
        <v>7</v>
      </c>
      <c r="J2031" s="89">
        <f t="shared" si="158"/>
        <v>7</v>
      </c>
      <c r="K2031" s="89">
        <f t="shared" si="159"/>
        <v>0.16298020954598369</v>
      </c>
      <c r="L2031" s="89">
        <v>1</v>
      </c>
      <c r="M2031" s="13">
        <f t="shared" si="160"/>
        <v>227941266.97844866</v>
      </c>
      <c r="N2031" s="11">
        <f t="shared" si="161"/>
        <v>3.4817473203825281E-3</v>
      </c>
    </row>
    <row r="2032" spans="1:14" x14ac:dyDescent="0.25">
      <c r="A2032" s="79" t="s">
        <v>39</v>
      </c>
      <c r="B2032" s="89" t="s">
        <v>10</v>
      </c>
      <c r="C2032" s="89" t="s">
        <v>42</v>
      </c>
      <c r="D2032" s="13" t="s">
        <v>1</v>
      </c>
      <c r="E2032" s="35">
        <f>VLOOKUP(B2032, Passenger_Kilometre_by_mode_type[#All],MATCH(A2032, Passenger_Kilometre_by_mode_type[#Headers],0),0)</f>
        <v>3948009846.44596</v>
      </c>
      <c r="F2032" s="89">
        <f>VLOOKUP(C2032, Reason_for_public_transport_journeys_by_percentage[#All],MATCH(A2032, Reason_for_public_transport_journeys_by_percentage[#Headers],0),0)/100</f>
        <v>0.35425000000000006</v>
      </c>
      <c r="G2032" s="13">
        <f t="shared" si="157"/>
        <v>1398582488.1034815</v>
      </c>
      <c r="H2032" s="89">
        <f>VLOOKUP(D2032,Average_Distance_by_kilometre_grouping_for_mode_type[#All],MATCH(A2032,Average_Distance_by_kilometre_grouping_for_mode_type[#Headers],0),0)</f>
        <v>25.7</v>
      </c>
      <c r="I2032" s="89">
        <f>VLOOKUP(D2032,Average_Distance_by_kilometres_grouping_for_trip_purpose[#All],MATCH(A2032,Average_Distance_by_kilometres_grouping_for_trip_purpose[#Headers],0),0)</f>
        <v>28.2</v>
      </c>
      <c r="J2032" s="89">
        <f t="shared" si="158"/>
        <v>26.95</v>
      </c>
      <c r="K2032" s="89">
        <f t="shared" si="159"/>
        <v>0.62747380675203723</v>
      </c>
      <c r="L2032" s="89">
        <v>1</v>
      </c>
      <c r="M2032" s="13">
        <f t="shared" si="160"/>
        <v>877573877.8670274</v>
      </c>
      <c r="N2032" s="11">
        <f t="shared" si="161"/>
        <v>1.3404727183472735E-2</v>
      </c>
    </row>
    <row r="2033" spans="1:14" x14ac:dyDescent="0.25">
      <c r="A2033" s="79" t="s">
        <v>39</v>
      </c>
      <c r="B2033" s="89" t="s">
        <v>10</v>
      </c>
      <c r="C2033" s="89" t="s">
        <v>43</v>
      </c>
      <c r="D2033" s="13" t="s">
        <v>12</v>
      </c>
      <c r="E2033" s="35">
        <f>VLOOKUP(B2033, Passenger_Kilometre_by_mode_type[#All],MATCH(A2033, Passenger_Kilometre_by_mode_type[#Headers],0),0)</f>
        <v>3948009846.44596</v>
      </c>
      <c r="F2033" s="89">
        <f>VLOOKUP(C2033, Reason_for_public_transport_journeys_by_percentage[#All],MATCH(A2033, Reason_for_public_transport_journeys_by_percentage[#Headers],0),0)/100</f>
        <v>0.10475</v>
      </c>
      <c r="G2033" s="13">
        <f t="shared" si="157"/>
        <v>413554031.4152143</v>
      </c>
      <c r="H2033" s="89">
        <f>VLOOKUP(D2033,Average_Distance_by_kilometre_grouping_for_mode_type[#All],MATCH(A2033,Average_Distance_by_kilometre_grouping_for_mode_type[#Headers],0),0)</f>
        <v>1</v>
      </c>
      <c r="I2033" s="89">
        <f>VLOOKUP(D2033,Average_Distance_by_kilometres_grouping_for_trip_purpose[#All],MATCH(A2033,Average_Distance_by_kilometres_grouping_for_trip_purpose[#Headers],0),0)</f>
        <v>1</v>
      </c>
      <c r="J2033" s="89">
        <f t="shared" si="158"/>
        <v>1</v>
      </c>
      <c r="K2033" s="89">
        <f t="shared" si="159"/>
        <v>2.3282887077997669E-2</v>
      </c>
      <c r="L2033" s="89">
        <v>1</v>
      </c>
      <c r="M2033" s="13">
        <f t="shared" si="160"/>
        <v>9628731.8140911348</v>
      </c>
      <c r="N2033" s="11">
        <f t="shared" si="161"/>
        <v>1.4707653263839894E-4</v>
      </c>
    </row>
    <row r="2034" spans="1:14" x14ac:dyDescent="0.25">
      <c r="A2034" s="79" t="s">
        <v>39</v>
      </c>
      <c r="B2034" s="89" t="s">
        <v>10</v>
      </c>
      <c r="C2034" s="89" t="s">
        <v>43</v>
      </c>
      <c r="D2034" s="13" t="s">
        <v>181</v>
      </c>
      <c r="E2034" s="35">
        <f>VLOOKUP(B2034, Passenger_Kilometre_by_mode_type[#All],MATCH(A2034, Passenger_Kilometre_by_mode_type[#Headers],0),0)</f>
        <v>3948009846.44596</v>
      </c>
      <c r="F2034" s="89">
        <f>VLOOKUP(C2034, Reason_for_public_transport_journeys_by_percentage[#All],MATCH(A2034, Reason_for_public_transport_journeys_by_percentage[#Headers],0),0)/100</f>
        <v>0.10475</v>
      </c>
      <c r="G2034" s="13">
        <f t="shared" si="157"/>
        <v>413554031.4152143</v>
      </c>
      <c r="H2034" s="89">
        <f>VLOOKUP(D2034,Average_Distance_by_kilometre_grouping_for_mode_type[#All],MATCH(A2034,Average_Distance_by_kilometre_grouping_for_mode_type[#Headers],0),0)</f>
        <v>3</v>
      </c>
      <c r="I2034" s="89">
        <f>VLOOKUP(D2034,Average_Distance_by_kilometres_grouping_for_trip_purpose[#All],MATCH(A2034,Average_Distance_by_kilometres_grouping_for_trip_purpose[#Headers],0),0)</f>
        <v>3</v>
      </c>
      <c r="J2034" s="89">
        <f t="shared" si="158"/>
        <v>3</v>
      </c>
      <c r="K2034" s="89">
        <f t="shared" si="159"/>
        <v>6.9848661233993012E-2</v>
      </c>
      <c r="L2034" s="89">
        <v>1</v>
      </c>
      <c r="M2034" s="13">
        <f t="shared" si="160"/>
        <v>28886195.442273408</v>
      </c>
      <c r="N2034" s="11">
        <f t="shared" si="161"/>
        <v>4.4122959791519686E-4</v>
      </c>
    </row>
    <row r="2035" spans="1:14" x14ac:dyDescent="0.25">
      <c r="A2035" s="79" t="s">
        <v>39</v>
      </c>
      <c r="B2035" s="89" t="s">
        <v>10</v>
      </c>
      <c r="C2035" s="89" t="s">
        <v>43</v>
      </c>
      <c r="D2035" s="13" t="s">
        <v>180</v>
      </c>
      <c r="E2035" s="35">
        <f>VLOOKUP(B2035, Passenger_Kilometre_by_mode_type[#All],MATCH(A2035, Passenger_Kilometre_by_mode_type[#Headers],0),0)</f>
        <v>3948009846.44596</v>
      </c>
      <c r="F2035" s="89">
        <f>VLOOKUP(C2035, Reason_for_public_transport_journeys_by_percentage[#All],MATCH(A2035, Reason_for_public_transport_journeys_by_percentage[#Headers],0),0)/100</f>
        <v>0.10475</v>
      </c>
      <c r="G2035" s="13">
        <f t="shared" si="157"/>
        <v>413554031.4152143</v>
      </c>
      <c r="H2035" s="89">
        <f>VLOOKUP(D2035,Average_Distance_by_kilometre_grouping_for_mode_type[#All],MATCH(A2035,Average_Distance_by_kilometre_grouping_for_mode_type[#Headers],0),0)</f>
        <v>5</v>
      </c>
      <c r="I2035" s="89">
        <f>VLOOKUP(D2035,Average_Distance_by_kilometres_grouping_for_trip_purpose[#All],MATCH(A2035,Average_Distance_by_kilometres_grouping_for_trip_purpose[#Headers],0),0)</f>
        <v>5</v>
      </c>
      <c r="J2035" s="89">
        <f t="shared" si="158"/>
        <v>5</v>
      </c>
      <c r="K2035" s="89">
        <f t="shared" si="159"/>
        <v>0.11641443538998836</v>
      </c>
      <c r="L2035" s="89">
        <v>1</v>
      </c>
      <c r="M2035" s="13">
        <f t="shared" si="160"/>
        <v>48143659.070455678</v>
      </c>
      <c r="N2035" s="11">
        <f t="shared" si="161"/>
        <v>7.3538266319199473E-4</v>
      </c>
    </row>
    <row r="2036" spans="1:14" x14ac:dyDescent="0.25">
      <c r="A2036" s="79" t="s">
        <v>39</v>
      </c>
      <c r="B2036" s="89" t="s">
        <v>10</v>
      </c>
      <c r="C2036" s="89" t="s">
        <v>43</v>
      </c>
      <c r="D2036" s="13" t="s">
        <v>182</v>
      </c>
      <c r="E2036" s="35">
        <f>VLOOKUP(B2036, Passenger_Kilometre_by_mode_type[#All],MATCH(A2036, Passenger_Kilometre_by_mode_type[#Headers],0),0)</f>
        <v>3948009846.44596</v>
      </c>
      <c r="F2036" s="89">
        <f>VLOOKUP(C2036, Reason_for_public_transport_journeys_by_percentage[#All],MATCH(A2036, Reason_for_public_transport_journeys_by_percentage[#Headers],0),0)/100</f>
        <v>0.10475</v>
      </c>
      <c r="G2036" s="13">
        <f t="shared" si="157"/>
        <v>413554031.4152143</v>
      </c>
      <c r="H2036" s="89">
        <f>VLOOKUP(D2036,Average_Distance_by_kilometre_grouping_for_mode_type[#All],MATCH(A2036,Average_Distance_by_kilometre_grouping_for_mode_type[#Headers],0),0)</f>
        <v>7</v>
      </c>
      <c r="I2036" s="89">
        <f>VLOOKUP(D2036,Average_Distance_by_kilometres_grouping_for_trip_purpose[#All],MATCH(A2036,Average_Distance_by_kilometres_grouping_for_trip_purpose[#Headers],0),0)</f>
        <v>7</v>
      </c>
      <c r="J2036" s="89">
        <f t="shared" si="158"/>
        <v>7</v>
      </c>
      <c r="K2036" s="89">
        <f t="shared" si="159"/>
        <v>0.16298020954598369</v>
      </c>
      <c r="L2036" s="89">
        <v>1</v>
      </c>
      <c r="M2036" s="13">
        <f t="shared" si="160"/>
        <v>67401122.698637947</v>
      </c>
      <c r="N2036" s="11">
        <f t="shared" si="161"/>
        <v>1.0295357284687925E-3</v>
      </c>
    </row>
    <row r="2037" spans="1:14" x14ac:dyDescent="0.25">
      <c r="A2037" s="79" t="s">
        <v>39</v>
      </c>
      <c r="B2037" s="89" t="s">
        <v>10</v>
      </c>
      <c r="C2037" s="89" t="s">
        <v>43</v>
      </c>
      <c r="D2037" s="13" t="s">
        <v>1</v>
      </c>
      <c r="E2037" s="35">
        <f>VLOOKUP(B2037, Passenger_Kilometre_by_mode_type[#All],MATCH(A2037, Passenger_Kilometre_by_mode_type[#Headers],0),0)</f>
        <v>3948009846.44596</v>
      </c>
      <c r="F2037" s="89">
        <f>VLOOKUP(C2037, Reason_for_public_transport_journeys_by_percentage[#All],MATCH(A2037, Reason_for_public_transport_journeys_by_percentage[#Headers],0),0)/100</f>
        <v>0.10475</v>
      </c>
      <c r="G2037" s="13">
        <f t="shared" si="157"/>
        <v>413554031.4152143</v>
      </c>
      <c r="H2037" s="89">
        <f>VLOOKUP(D2037,Average_Distance_by_kilometre_grouping_for_mode_type[#All],MATCH(A2037,Average_Distance_by_kilometre_grouping_for_mode_type[#Headers],0),0)</f>
        <v>25.7</v>
      </c>
      <c r="I2037" s="89">
        <f>VLOOKUP(D2037,Average_Distance_by_kilometres_grouping_for_trip_purpose[#All],MATCH(A2037,Average_Distance_by_kilometres_grouping_for_trip_purpose[#Headers],0),0)</f>
        <v>28.2</v>
      </c>
      <c r="J2037" s="89">
        <f t="shared" si="158"/>
        <v>26.95</v>
      </c>
      <c r="K2037" s="89">
        <f t="shared" si="159"/>
        <v>0.62747380675203723</v>
      </c>
      <c r="L2037" s="89">
        <v>1</v>
      </c>
      <c r="M2037" s="13">
        <f t="shared" si="160"/>
        <v>259494322.38975611</v>
      </c>
      <c r="N2037" s="11">
        <f t="shared" si="161"/>
        <v>3.9637125546048519E-3</v>
      </c>
    </row>
    <row r="2038" spans="1:14" x14ac:dyDescent="0.25">
      <c r="A2038" s="79" t="s">
        <v>39</v>
      </c>
      <c r="B2038" s="89" t="s">
        <v>10</v>
      </c>
      <c r="C2038" s="89" t="s">
        <v>44</v>
      </c>
      <c r="D2038" s="13" t="s">
        <v>12</v>
      </c>
      <c r="E2038" s="35">
        <f>VLOOKUP(B2038, Passenger_Kilometre_by_mode_type[#All],MATCH(A2038, Passenger_Kilometre_by_mode_type[#Headers],0),0)</f>
        <v>3948009846.44596</v>
      </c>
      <c r="F2038" s="89">
        <f>VLOOKUP(C2038, Reason_for_public_transport_journeys_by_percentage[#All],MATCH(A2038, Reason_for_public_transport_journeys_by_percentage[#Headers],0),0)/100</f>
        <v>0.27474999999999999</v>
      </c>
      <c r="G2038" s="13">
        <f t="shared" si="157"/>
        <v>1084715705.3110275</v>
      </c>
      <c r="H2038" s="89">
        <f>VLOOKUP(D2038,Average_Distance_by_kilometre_grouping_for_mode_type[#All],MATCH(A2038,Average_Distance_by_kilometre_grouping_for_mode_type[#Headers],0),0)</f>
        <v>1</v>
      </c>
      <c r="I2038" s="89">
        <f>VLOOKUP(D2038,Average_Distance_by_kilometres_grouping_for_trip_purpose[#All],MATCH(A2038,Average_Distance_by_kilometres_grouping_for_trip_purpose[#Headers],0),0)</f>
        <v>1</v>
      </c>
      <c r="J2038" s="89">
        <f t="shared" si="158"/>
        <v>1</v>
      </c>
      <c r="K2038" s="89">
        <f t="shared" si="159"/>
        <v>2.3282887077997669E-2</v>
      </c>
      <c r="L2038" s="89">
        <v>1</v>
      </c>
      <c r="M2038" s="13">
        <f t="shared" si="160"/>
        <v>25255313.27848725</v>
      </c>
      <c r="N2038" s="11">
        <f t="shared" si="161"/>
        <v>3.857687574453471E-4</v>
      </c>
    </row>
    <row r="2039" spans="1:14" x14ac:dyDescent="0.25">
      <c r="A2039" s="79" t="s">
        <v>39</v>
      </c>
      <c r="B2039" s="89" t="s">
        <v>10</v>
      </c>
      <c r="C2039" s="89" t="s">
        <v>44</v>
      </c>
      <c r="D2039" s="13" t="s">
        <v>181</v>
      </c>
      <c r="E2039" s="35">
        <f>VLOOKUP(B2039, Passenger_Kilometre_by_mode_type[#All],MATCH(A2039, Passenger_Kilometre_by_mode_type[#Headers],0),0)</f>
        <v>3948009846.44596</v>
      </c>
      <c r="F2039" s="89">
        <f>VLOOKUP(C2039, Reason_for_public_transport_journeys_by_percentage[#All],MATCH(A2039, Reason_for_public_transport_journeys_by_percentage[#Headers],0),0)/100</f>
        <v>0.27474999999999999</v>
      </c>
      <c r="G2039" s="13">
        <f t="shared" si="157"/>
        <v>1084715705.3110275</v>
      </c>
      <c r="H2039" s="89">
        <f>VLOOKUP(D2039,Average_Distance_by_kilometre_grouping_for_mode_type[#All],MATCH(A2039,Average_Distance_by_kilometre_grouping_for_mode_type[#Headers],0),0)</f>
        <v>3</v>
      </c>
      <c r="I2039" s="89">
        <f>VLOOKUP(D2039,Average_Distance_by_kilometres_grouping_for_trip_purpose[#All],MATCH(A2039,Average_Distance_by_kilometres_grouping_for_trip_purpose[#Headers],0),0)</f>
        <v>3</v>
      </c>
      <c r="J2039" s="89">
        <f t="shared" si="158"/>
        <v>3</v>
      </c>
      <c r="K2039" s="89">
        <f t="shared" si="159"/>
        <v>6.9848661233993012E-2</v>
      </c>
      <c r="L2039" s="89">
        <v>1</v>
      </c>
      <c r="M2039" s="13">
        <f t="shared" si="160"/>
        <v>75765939.835461751</v>
      </c>
      <c r="N2039" s="11">
        <f t="shared" si="161"/>
        <v>1.1573062723360414E-3</v>
      </c>
    </row>
    <row r="2040" spans="1:14" x14ac:dyDescent="0.25">
      <c r="A2040" s="79" t="s">
        <v>39</v>
      </c>
      <c r="B2040" s="89" t="s">
        <v>10</v>
      </c>
      <c r="C2040" s="89" t="s">
        <v>44</v>
      </c>
      <c r="D2040" s="13" t="s">
        <v>180</v>
      </c>
      <c r="E2040" s="35">
        <f>VLOOKUP(B2040, Passenger_Kilometre_by_mode_type[#All],MATCH(A2040, Passenger_Kilometre_by_mode_type[#Headers],0),0)</f>
        <v>3948009846.44596</v>
      </c>
      <c r="F2040" s="89">
        <f>VLOOKUP(C2040, Reason_for_public_transport_journeys_by_percentage[#All],MATCH(A2040, Reason_for_public_transport_journeys_by_percentage[#Headers],0),0)/100</f>
        <v>0.27474999999999999</v>
      </c>
      <c r="G2040" s="13">
        <f t="shared" si="157"/>
        <v>1084715705.3110275</v>
      </c>
      <c r="H2040" s="89">
        <f>VLOOKUP(D2040,Average_Distance_by_kilometre_grouping_for_mode_type[#All],MATCH(A2040,Average_Distance_by_kilometre_grouping_for_mode_type[#Headers],0),0)</f>
        <v>5</v>
      </c>
      <c r="I2040" s="89">
        <f>VLOOKUP(D2040,Average_Distance_by_kilometres_grouping_for_trip_purpose[#All],MATCH(A2040,Average_Distance_by_kilometres_grouping_for_trip_purpose[#Headers],0),0)</f>
        <v>5</v>
      </c>
      <c r="J2040" s="89">
        <f t="shared" si="158"/>
        <v>5</v>
      </c>
      <c r="K2040" s="89">
        <f t="shared" si="159"/>
        <v>0.11641443538998836</v>
      </c>
      <c r="L2040" s="89">
        <v>1</v>
      </c>
      <c r="M2040" s="13">
        <f t="shared" si="160"/>
        <v>126276566.39243627</v>
      </c>
      <c r="N2040" s="11">
        <f t="shared" si="161"/>
        <v>1.9288437872267358E-3</v>
      </c>
    </row>
    <row r="2041" spans="1:14" x14ac:dyDescent="0.25">
      <c r="A2041" s="79" t="s">
        <v>39</v>
      </c>
      <c r="B2041" s="89" t="s">
        <v>10</v>
      </c>
      <c r="C2041" s="89" t="s">
        <v>44</v>
      </c>
      <c r="D2041" s="13" t="s">
        <v>182</v>
      </c>
      <c r="E2041" s="35">
        <f>VLOOKUP(B2041, Passenger_Kilometre_by_mode_type[#All],MATCH(A2041, Passenger_Kilometre_by_mode_type[#Headers],0),0)</f>
        <v>3948009846.44596</v>
      </c>
      <c r="F2041" s="89">
        <f>VLOOKUP(C2041, Reason_for_public_transport_journeys_by_percentage[#All],MATCH(A2041, Reason_for_public_transport_journeys_by_percentage[#Headers],0),0)/100</f>
        <v>0.27474999999999999</v>
      </c>
      <c r="G2041" s="13">
        <f t="shared" si="157"/>
        <v>1084715705.3110275</v>
      </c>
      <c r="H2041" s="89">
        <f>VLOOKUP(D2041,Average_Distance_by_kilometre_grouping_for_mode_type[#All],MATCH(A2041,Average_Distance_by_kilometre_grouping_for_mode_type[#Headers],0),0)</f>
        <v>7</v>
      </c>
      <c r="I2041" s="89">
        <f>VLOOKUP(D2041,Average_Distance_by_kilometres_grouping_for_trip_purpose[#All],MATCH(A2041,Average_Distance_by_kilometres_grouping_for_trip_purpose[#Headers],0),0)</f>
        <v>7</v>
      </c>
      <c r="J2041" s="89">
        <f t="shared" si="158"/>
        <v>7</v>
      </c>
      <c r="K2041" s="89">
        <f t="shared" si="159"/>
        <v>0.16298020954598369</v>
      </c>
      <c r="L2041" s="89">
        <v>1</v>
      </c>
      <c r="M2041" s="13">
        <f t="shared" si="160"/>
        <v>176787192.94941077</v>
      </c>
      <c r="N2041" s="11">
        <f t="shared" si="161"/>
        <v>2.70038130211743E-3</v>
      </c>
    </row>
    <row r="2042" spans="1:14" x14ac:dyDescent="0.25">
      <c r="A2042" s="79" t="s">
        <v>39</v>
      </c>
      <c r="B2042" s="89" t="s">
        <v>10</v>
      </c>
      <c r="C2042" s="89" t="s">
        <v>44</v>
      </c>
      <c r="D2042" s="13" t="s">
        <v>1</v>
      </c>
      <c r="E2042" s="35">
        <f>VLOOKUP(B2042, Passenger_Kilometre_by_mode_type[#All],MATCH(A2042, Passenger_Kilometre_by_mode_type[#Headers],0),0)</f>
        <v>3948009846.44596</v>
      </c>
      <c r="F2042" s="89">
        <f>VLOOKUP(C2042, Reason_for_public_transport_journeys_by_percentage[#All],MATCH(A2042, Reason_for_public_transport_journeys_by_percentage[#Headers],0),0)/100</f>
        <v>0.27474999999999999</v>
      </c>
      <c r="G2042" s="13">
        <f t="shared" si="157"/>
        <v>1084715705.3110275</v>
      </c>
      <c r="H2042" s="89">
        <f>VLOOKUP(D2042,Average_Distance_by_kilometre_grouping_for_mode_type[#All],MATCH(A2042,Average_Distance_by_kilometre_grouping_for_mode_type[#Headers],0),0)</f>
        <v>25.7</v>
      </c>
      <c r="I2042" s="89">
        <f>VLOOKUP(D2042,Average_Distance_by_kilometres_grouping_for_trip_purpose[#All],MATCH(A2042,Average_Distance_by_kilometres_grouping_for_trip_purpose[#Headers],0),0)</f>
        <v>28.2</v>
      </c>
      <c r="J2042" s="89">
        <f t="shared" si="158"/>
        <v>26.95</v>
      </c>
      <c r="K2042" s="89">
        <f t="shared" si="159"/>
        <v>0.62747380675203723</v>
      </c>
      <c r="L2042" s="89">
        <v>1</v>
      </c>
      <c r="M2042" s="13">
        <f t="shared" si="160"/>
        <v>680630692.8552314</v>
      </c>
      <c r="N2042" s="11">
        <f t="shared" si="161"/>
        <v>1.0396468013152105E-2</v>
      </c>
    </row>
    <row r="2043" spans="1:14" x14ac:dyDescent="0.25">
      <c r="A2043" s="79" t="s">
        <v>39</v>
      </c>
      <c r="B2043" s="89" t="s">
        <v>10</v>
      </c>
      <c r="C2043" s="89" t="s">
        <v>45</v>
      </c>
      <c r="D2043" s="13" t="s">
        <v>12</v>
      </c>
      <c r="E2043" s="35">
        <f>VLOOKUP(B2043, Passenger_Kilometre_by_mode_type[#All],MATCH(A2043, Passenger_Kilometre_by_mode_type[#Headers],0),0)</f>
        <v>3948009846.44596</v>
      </c>
      <c r="F2043" s="89">
        <f>VLOOKUP(C2043, Reason_for_public_transport_journeys_by_percentage[#All],MATCH(A2043, Reason_for_public_transport_journeys_by_percentage[#Headers],0),0)/100</f>
        <v>2.9499999999999998E-2</v>
      </c>
      <c r="G2043" s="13">
        <f t="shared" si="157"/>
        <v>116466290.47015582</v>
      </c>
      <c r="H2043" s="89">
        <f>VLOOKUP(D2043,Average_Distance_by_kilometre_grouping_for_mode_type[#All],MATCH(A2043,Average_Distance_by_kilometre_grouping_for_mode_type[#Headers],0),0)</f>
        <v>1</v>
      </c>
      <c r="I2043" s="89">
        <f>VLOOKUP(D2043,Average_Distance_by_kilometres_grouping_for_trip_purpose[#All],MATCH(A2043,Average_Distance_by_kilometres_grouping_for_trip_purpose[#Headers],0),0)</f>
        <v>1</v>
      </c>
      <c r="J2043" s="89">
        <f t="shared" si="158"/>
        <v>1</v>
      </c>
      <c r="K2043" s="89">
        <f t="shared" si="159"/>
        <v>2.3282887077997669E-2</v>
      </c>
      <c r="L2043" s="89">
        <v>1</v>
      </c>
      <c r="M2043" s="13">
        <f t="shared" si="160"/>
        <v>2711671.4894099142</v>
      </c>
      <c r="N2043" s="11">
        <f t="shared" si="161"/>
        <v>4.1420121363558654E-5</v>
      </c>
    </row>
    <row r="2044" spans="1:14" x14ac:dyDescent="0.25">
      <c r="A2044" s="79" t="s">
        <v>39</v>
      </c>
      <c r="B2044" s="89" t="s">
        <v>10</v>
      </c>
      <c r="C2044" s="89" t="s">
        <v>45</v>
      </c>
      <c r="D2044" s="13" t="s">
        <v>181</v>
      </c>
      <c r="E2044" s="35">
        <f>VLOOKUP(B2044, Passenger_Kilometre_by_mode_type[#All],MATCH(A2044, Passenger_Kilometre_by_mode_type[#Headers],0),0)</f>
        <v>3948009846.44596</v>
      </c>
      <c r="F2044" s="89">
        <f>VLOOKUP(C2044, Reason_for_public_transport_journeys_by_percentage[#All],MATCH(A2044, Reason_for_public_transport_journeys_by_percentage[#Headers],0),0)/100</f>
        <v>2.9499999999999998E-2</v>
      </c>
      <c r="G2044" s="13">
        <f t="shared" si="157"/>
        <v>116466290.47015582</v>
      </c>
      <c r="H2044" s="89">
        <f>VLOOKUP(D2044,Average_Distance_by_kilometre_grouping_for_mode_type[#All],MATCH(A2044,Average_Distance_by_kilometre_grouping_for_mode_type[#Headers],0),0)</f>
        <v>3</v>
      </c>
      <c r="I2044" s="89">
        <f>VLOOKUP(D2044,Average_Distance_by_kilometres_grouping_for_trip_purpose[#All],MATCH(A2044,Average_Distance_by_kilometres_grouping_for_trip_purpose[#Headers],0),0)</f>
        <v>3</v>
      </c>
      <c r="J2044" s="89">
        <f t="shared" si="158"/>
        <v>3</v>
      </c>
      <c r="K2044" s="89">
        <f t="shared" si="159"/>
        <v>6.9848661233993012E-2</v>
      </c>
      <c r="L2044" s="89">
        <v>1</v>
      </c>
      <c r="M2044" s="13">
        <f t="shared" si="160"/>
        <v>8135014.4682297427</v>
      </c>
      <c r="N2044" s="11">
        <f t="shared" si="161"/>
        <v>1.2426036409067596E-4</v>
      </c>
    </row>
    <row r="2045" spans="1:14" x14ac:dyDescent="0.25">
      <c r="A2045" s="79" t="s">
        <v>39</v>
      </c>
      <c r="B2045" s="89" t="s">
        <v>10</v>
      </c>
      <c r="C2045" s="89" t="s">
        <v>45</v>
      </c>
      <c r="D2045" s="13" t="s">
        <v>180</v>
      </c>
      <c r="E2045" s="35">
        <f>VLOOKUP(B2045, Passenger_Kilometre_by_mode_type[#All],MATCH(A2045, Passenger_Kilometre_by_mode_type[#Headers],0),0)</f>
        <v>3948009846.44596</v>
      </c>
      <c r="F2045" s="89">
        <f>VLOOKUP(C2045, Reason_for_public_transport_journeys_by_percentage[#All],MATCH(A2045, Reason_for_public_transport_journeys_by_percentage[#Headers],0),0)/100</f>
        <v>2.9499999999999998E-2</v>
      </c>
      <c r="G2045" s="13">
        <f t="shared" si="157"/>
        <v>116466290.47015582</v>
      </c>
      <c r="H2045" s="89">
        <f>VLOOKUP(D2045,Average_Distance_by_kilometre_grouping_for_mode_type[#All],MATCH(A2045,Average_Distance_by_kilometre_grouping_for_mode_type[#Headers],0),0)</f>
        <v>5</v>
      </c>
      <c r="I2045" s="89">
        <f>VLOOKUP(D2045,Average_Distance_by_kilometres_grouping_for_trip_purpose[#All],MATCH(A2045,Average_Distance_by_kilometres_grouping_for_trip_purpose[#Headers],0),0)</f>
        <v>5</v>
      </c>
      <c r="J2045" s="89">
        <f t="shared" si="158"/>
        <v>5</v>
      </c>
      <c r="K2045" s="89">
        <f t="shared" si="159"/>
        <v>0.11641443538998836</v>
      </c>
      <c r="L2045" s="89">
        <v>1</v>
      </c>
      <c r="M2045" s="13">
        <f t="shared" si="160"/>
        <v>13558357.447049571</v>
      </c>
      <c r="N2045" s="11">
        <f t="shared" si="161"/>
        <v>2.0710060681779327E-4</v>
      </c>
    </row>
    <row r="2046" spans="1:14" x14ac:dyDescent="0.25">
      <c r="A2046" s="79" t="s">
        <v>39</v>
      </c>
      <c r="B2046" s="89" t="s">
        <v>10</v>
      </c>
      <c r="C2046" s="89" t="s">
        <v>45</v>
      </c>
      <c r="D2046" s="13" t="s">
        <v>182</v>
      </c>
      <c r="E2046" s="35">
        <f>VLOOKUP(B2046, Passenger_Kilometre_by_mode_type[#All],MATCH(A2046, Passenger_Kilometre_by_mode_type[#Headers],0),0)</f>
        <v>3948009846.44596</v>
      </c>
      <c r="F2046" s="89">
        <f>VLOOKUP(C2046, Reason_for_public_transport_journeys_by_percentage[#All],MATCH(A2046, Reason_for_public_transport_journeys_by_percentage[#Headers],0),0)/100</f>
        <v>2.9499999999999998E-2</v>
      </c>
      <c r="G2046" s="13">
        <f t="shared" si="157"/>
        <v>116466290.47015582</v>
      </c>
      <c r="H2046" s="89">
        <f>VLOOKUP(D2046,Average_Distance_by_kilometre_grouping_for_mode_type[#All],MATCH(A2046,Average_Distance_by_kilometre_grouping_for_mode_type[#Headers],0),0)</f>
        <v>7</v>
      </c>
      <c r="I2046" s="89">
        <f>VLOOKUP(D2046,Average_Distance_by_kilometres_grouping_for_trip_purpose[#All],MATCH(A2046,Average_Distance_by_kilometres_grouping_for_trip_purpose[#Headers],0),0)</f>
        <v>7</v>
      </c>
      <c r="J2046" s="89">
        <f t="shared" si="158"/>
        <v>7</v>
      </c>
      <c r="K2046" s="89">
        <f t="shared" si="159"/>
        <v>0.16298020954598369</v>
      </c>
      <c r="L2046" s="89">
        <v>1</v>
      </c>
      <c r="M2046" s="13">
        <f t="shared" si="160"/>
        <v>18981700.425869398</v>
      </c>
      <c r="N2046" s="11">
        <f t="shared" si="161"/>
        <v>2.8994084954491058E-4</v>
      </c>
    </row>
    <row r="2047" spans="1:14" x14ac:dyDescent="0.25">
      <c r="A2047" s="79" t="s">
        <v>39</v>
      </c>
      <c r="B2047" s="89" t="s">
        <v>10</v>
      </c>
      <c r="C2047" s="89" t="s">
        <v>45</v>
      </c>
      <c r="D2047" s="13" t="s">
        <v>1</v>
      </c>
      <c r="E2047" s="35">
        <f>VLOOKUP(B2047, Passenger_Kilometre_by_mode_type[#All],MATCH(A2047, Passenger_Kilometre_by_mode_type[#Headers],0),0)</f>
        <v>3948009846.44596</v>
      </c>
      <c r="F2047" s="89">
        <f>VLOOKUP(C2047, Reason_for_public_transport_journeys_by_percentage[#All],MATCH(A2047, Reason_for_public_transport_journeys_by_percentage[#Headers],0),0)/100</f>
        <v>2.9499999999999998E-2</v>
      </c>
      <c r="G2047" s="13">
        <f t="shared" si="157"/>
        <v>116466290.47015582</v>
      </c>
      <c r="H2047" s="89">
        <f>VLOOKUP(D2047,Average_Distance_by_kilometre_grouping_for_mode_type[#All],MATCH(A2047,Average_Distance_by_kilometre_grouping_for_mode_type[#Headers],0),0)</f>
        <v>25.7</v>
      </c>
      <c r="I2047" s="89">
        <f>VLOOKUP(D2047,Average_Distance_by_kilometres_grouping_for_trip_purpose[#All],MATCH(A2047,Average_Distance_by_kilometres_grouping_for_trip_purpose[#Headers],0),0)</f>
        <v>28.2</v>
      </c>
      <c r="J2047" s="89">
        <f t="shared" si="158"/>
        <v>26.95</v>
      </c>
      <c r="K2047" s="89">
        <f t="shared" si="159"/>
        <v>0.62747380675203723</v>
      </c>
      <c r="L2047" s="89">
        <v>1</v>
      </c>
      <c r="M2047" s="13">
        <f t="shared" si="160"/>
        <v>73079546.639597192</v>
      </c>
      <c r="N2047" s="11">
        <f t="shared" si="161"/>
        <v>1.1162722707479058E-3</v>
      </c>
    </row>
    <row r="2048" spans="1:14" x14ac:dyDescent="0.25">
      <c r="A2048" s="79" t="s">
        <v>39</v>
      </c>
      <c r="B2048" s="89" t="s">
        <v>10</v>
      </c>
      <c r="C2048" s="89" t="s">
        <v>56</v>
      </c>
      <c r="D2048" s="13" t="s">
        <v>12</v>
      </c>
      <c r="E2048" s="35">
        <f>VLOOKUP(B2048, Passenger_Kilometre_by_mode_type[#All],MATCH(A2048, Passenger_Kilometre_by_mode_type[#Headers],0),0)</f>
        <v>3948009846.44596</v>
      </c>
      <c r="F2048" s="89">
        <f>VLOOKUP(C2048, Reason_for_public_transport_journeys_by_percentage[#All],MATCH(A2048, Reason_for_public_transport_journeys_by_percentage[#Headers],0),0)/100</f>
        <v>7.0999999999999994E-2</v>
      </c>
      <c r="G2048" s="13">
        <f t="shared" si="157"/>
        <v>280308699.09766316</v>
      </c>
      <c r="H2048" s="89">
        <f>VLOOKUP(D2048,Average_Distance_by_kilometre_grouping_for_mode_type[#All],MATCH(A2048,Average_Distance_by_kilometre_grouping_for_mode_type[#Headers],0),0)</f>
        <v>1</v>
      </c>
      <c r="I2048" s="89">
        <f>VLOOKUP(D2048,Average_Distance_by_kilometres_grouping_for_trip_purpose[#All],MATCH(A2048,Average_Distance_by_kilometres_grouping_for_trip_purpose[#Headers],0),0)</f>
        <v>1</v>
      </c>
      <c r="J2048" s="89">
        <f t="shared" si="158"/>
        <v>1</v>
      </c>
      <c r="K2048" s="89">
        <f t="shared" si="159"/>
        <v>2.3282887077997669E-2</v>
      </c>
      <c r="L2048" s="89">
        <v>1</v>
      </c>
      <c r="M2048" s="13">
        <f t="shared" si="160"/>
        <v>6526395.7880713185</v>
      </c>
      <c r="N2048" s="11">
        <f t="shared" si="161"/>
        <v>9.9689105654666589E-5</v>
      </c>
    </row>
    <row r="2049" spans="1:14" x14ac:dyDescent="0.25">
      <c r="A2049" s="79" t="s">
        <v>39</v>
      </c>
      <c r="B2049" s="89" t="s">
        <v>10</v>
      </c>
      <c r="C2049" s="89" t="s">
        <v>56</v>
      </c>
      <c r="D2049" s="13" t="s">
        <v>181</v>
      </c>
      <c r="E2049" s="35">
        <f>VLOOKUP(B2049, Passenger_Kilometre_by_mode_type[#All],MATCH(A2049, Passenger_Kilometre_by_mode_type[#Headers],0),0)</f>
        <v>3948009846.44596</v>
      </c>
      <c r="F2049" s="89">
        <f>VLOOKUP(C2049, Reason_for_public_transport_journeys_by_percentage[#All],MATCH(A2049, Reason_for_public_transport_journeys_by_percentage[#Headers],0),0)/100</f>
        <v>7.0999999999999994E-2</v>
      </c>
      <c r="G2049" s="13">
        <f t="shared" si="157"/>
        <v>280308699.09766316</v>
      </c>
      <c r="H2049" s="89">
        <f>VLOOKUP(D2049,Average_Distance_by_kilometre_grouping_for_mode_type[#All],MATCH(A2049,Average_Distance_by_kilometre_grouping_for_mode_type[#Headers],0),0)</f>
        <v>3</v>
      </c>
      <c r="I2049" s="89">
        <f>VLOOKUP(D2049,Average_Distance_by_kilometres_grouping_for_trip_purpose[#All],MATCH(A2049,Average_Distance_by_kilometres_grouping_for_trip_purpose[#Headers],0),0)</f>
        <v>3</v>
      </c>
      <c r="J2049" s="89">
        <f t="shared" si="158"/>
        <v>3</v>
      </c>
      <c r="K2049" s="89">
        <f t="shared" si="159"/>
        <v>6.9848661233993012E-2</v>
      </c>
      <c r="L2049" s="89">
        <v>1</v>
      </c>
      <c r="M2049" s="13">
        <f t="shared" si="160"/>
        <v>19579187.364213958</v>
      </c>
      <c r="N2049" s="11">
        <f t="shared" si="161"/>
        <v>2.9906731696399978E-4</v>
      </c>
    </row>
    <row r="2050" spans="1:14" x14ac:dyDescent="0.25">
      <c r="A2050" s="79" t="s">
        <v>39</v>
      </c>
      <c r="B2050" s="89" t="s">
        <v>10</v>
      </c>
      <c r="C2050" s="89" t="s">
        <v>56</v>
      </c>
      <c r="D2050" s="13" t="s">
        <v>180</v>
      </c>
      <c r="E2050" s="35">
        <f>VLOOKUP(B2050, Passenger_Kilometre_by_mode_type[#All],MATCH(A2050, Passenger_Kilometre_by_mode_type[#Headers],0),0)</f>
        <v>3948009846.44596</v>
      </c>
      <c r="F2050" s="89">
        <f>VLOOKUP(C2050, Reason_for_public_transport_journeys_by_percentage[#All],MATCH(A2050, Reason_for_public_transport_journeys_by_percentage[#Headers],0),0)/100</f>
        <v>7.0999999999999994E-2</v>
      </c>
      <c r="G2050" s="13">
        <f t="shared" si="157"/>
        <v>280308699.09766316</v>
      </c>
      <c r="H2050" s="89">
        <f>VLOOKUP(D2050,Average_Distance_by_kilometre_grouping_for_mode_type[#All],MATCH(A2050,Average_Distance_by_kilometre_grouping_for_mode_type[#Headers],0),0)</f>
        <v>5</v>
      </c>
      <c r="I2050" s="89">
        <f>VLOOKUP(D2050,Average_Distance_by_kilometres_grouping_for_trip_purpose[#All],MATCH(A2050,Average_Distance_by_kilometres_grouping_for_trip_purpose[#Headers],0),0)</f>
        <v>5</v>
      </c>
      <c r="J2050" s="89">
        <f t="shared" si="158"/>
        <v>5</v>
      </c>
      <c r="K2050" s="89">
        <f t="shared" si="159"/>
        <v>0.11641443538998836</v>
      </c>
      <c r="L2050" s="89">
        <v>1</v>
      </c>
      <c r="M2050" s="13">
        <f t="shared" si="160"/>
        <v>32631978.940356597</v>
      </c>
      <c r="N2050" s="11">
        <f t="shared" si="161"/>
        <v>4.9844552827333299E-4</v>
      </c>
    </row>
    <row r="2051" spans="1:14" x14ac:dyDescent="0.25">
      <c r="A2051" s="79" t="s">
        <v>39</v>
      </c>
      <c r="B2051" s="89" t="s">
        <v>10</v>
      </c>
      <c r="C2051" s="89" t="s">
        <v>56</v>
      </c>
      <c r="D2051" s="13" t="s">
        <v>182</v>
      </c>
      <c r="E2051" s="35">
        <f>VLOOKUP(B2051, Passenger_Kilometre_by_mode_type[#All],MATCH(A2051, Passenger_Kilometre_by_mode_type[#Headers],0),0)</f>
        <v>3948009846.44596</v>
      </c>
      <c r="F2051" s="89">
        <f>VLOOKUP(C2051, Reason_for_public_transport_journeys_by_percentage[#All],MATCH(A2051, Reason_for_public_transport_journeys_by_percentage[#Headers],0),0)/100</f>
        <v>7.0999999999999994E-2</v>
      </c>
      <c r="G2051" s="13">
        <f t="shared" si="157"/>
        <v>280308699.09766316</v>
      </c>
      <c r="H2051" s="89">
        <f>VLOOKUP(D2051,Average_Distance_by_kilometre_grouping_for_mode_type[#All],MATCH(A2051,Average_Distance_by_kilometre_grouping_for_mode_type[#Headers],0),0)</f>
        <v>7</v>
      </c>
      <c r="I2051" s="89">
        <f>VLOOKUP(D2051,Average_Distance_by_kilometres_grouping_for_trip_purpose[#All],MATCH(A2051,Average_Distance_by_kilometres_grouping_for_trip_purpose[#Headers],0),0)</f>
        <v>7</v>
      </c>
      <c r="J2051" s="89">
        <f t="shared" si="158"/>
        <v>7</v>
      </c>
      <c r="K2051" s="89">
        <f t="shared" si="159"/>
        <v>0.16298020954598369</v>
      </c>
      <c r="L2051" s="89">
        <v>1</v>
      </c>
      <c r="M2051" s="13">
        <f t="shared" si="160"/>
        <v>45684770.516499229</v>
      </c>
      <c r="N2051" s="11">
        <f t="shared" si="161"/>
        <v>6.9782373958266614E-4</v>
      </c>
    </row>
    <row r="2052" spans="1:14" x14ac:dyDescent="0.25">
      <c r="A2052" s="79" t="s">
        <v>39</v>
      </c>
      <c r="B2052" s="89" t="s">
        <v>10</v>
      </c>
      <c r="C2052" s="89" t="s">
        <v>56</v>
      </c>
      <c r="D2052" s="13" t="s">
        <v>1</v>
      </c>
      <c r="E2052" s="35">
        <f>VLOOKUP(B2052, Passenger_Kilometre_by_mode_type[#All],MATCH(A2052, Passenger_Kilometre_by_mode_type[#Headers],0),0)</f>
        <v>3948009846.44596</v>
      </c>
      <c r="F2052" s="89">
        <f>VLOOKUP(C2052, Reason_for_public_transport_journeys_by_percentage[#All],MATCH(A2052, Reason_for_public_transport_journeys_by_percentage[#Headers],0),0)/100</f>
        <v>7.0999999999999994E-2</v>
      </c>
      <c r="G2052" s="13">
        <f t="shared" ref="G2052:G2115" si="162">E2052*F2052</f>
        <v>280308699.09766316</v>
      </c>
      <c r="H2052" s="89">
        <f>VLOOKUP(D2052,Average_Distance_by_kilometre_grouping_for_mode_type[#All],MATCH(A2052,Average_Distance_by_kilometre_grouping_for_mode_type[#Headers],0),0)</f>
        <v>25.7</v>
      </c>
      <c r="I2052" s="89">
        <f>VLOOKUP(D2052,Average_Distance_by_kilometres_grouping_for_trip_purpose[#All],MATCH(A2052,Average_Distance_by_kilometres_grouping_for_trip_purpose[#Headers],0),0)</f>
        <v>28.2</v>
      </c>
      <c r="J2052" s="89">
        <f t="shared" ref="J2052:J2115" si="163">AVERAGE(H2052:I2052)</f>
        <v>26.95</v>
      </c>
      <c r="K2052" s="89">
        <f t="shared" ref="K2052:K2115" si="164">J2052/SUM(J2052:J2056)</f>
        <v>0.62747380675203723</v>
      </c>
      <c r="L2052" s="89">
        <v>1</v>
      </c>
      <c r="M2052" s="13">
        <f t="shared" ref="M2052:M2115" si="165">G2052*K2052*L2052</f>
        <v>175886366.48852205</v>
      </c>
      <c r="N2052" s="11">
        <f t="shared" si="161"/>
        <v>2.6866213973932647E-3</v>
      </c>
    </row>
    <row r="2053" spans="1:14" x14ac:dyDescent="0.25">
      <c r="A2053" s="79" t="s">
        <v>39</v>
      </c>
      <c r="B2053" s="89" t="s">
        <v>10</v>
      </c>
      <c r="C2053" s="89" t="s">
        <v>57</v>
      </c>
      <c r="D2053" s="13" t="s">
        <v>12</v>
      </c>
      <c r="E2053" s="35">
        <f>VLOOKUP(B2053, Passenger_Kilometre_by_mode_type[#All],MATCH(A2053, Passenger_Kilometre_by_mode_type[#Headers],0),0)</f>
        <v>3948009846.44596</v>
      </c>
      <c r="F2053" s="89">
        <f>VLOOKUP(C2053, Reason_for_public_transport_journeys_by_percentage[#All],MATCH(A2053, Reason_for_public_transport_journeys_by_percentage[#Headers],0),0)/100</f>
        <v>5.1749999999999997E-2</v>
      </c>
      <c r="G2053" s="13">
        <f t="shared" si="162"/>
        <v>204309509.55357844</v>
      </c>
      <c r="H2053" s="89">
        <f>VLOOKUP(D2053,Average_Distance_by_kilometre_grouping_for_mode_type[#All],MATCH(A2053,Average_Distance_by_kilometre_grouping_for_mode_type[#Headers],0),0)</f>
        <v>1</v>
      </c>
      <c r="I2053" s="89">
        <f>VLOOKUP(D2053,Average_Distance_by_kilometres_grouping_for_trip_purpose[#All],MATCH(A2053,Average_Distance_by_kilometres_grouping_for_trip_purpose[#Headers],0),0)</f>
        <v>1</v>
      </c>
      <c r="J2053" s="89">
        <f t="shared" si="163"/>
        <v>1</v>
      </c>
      <c r="K2053" s="89">
        <f t="shared" si="164"/>
        <v>2.3282887077997669E-2</v>
      </c>
      <c r="L2053" s="89">
        <v>1</v>
      </c>
      <c r="M2053" s="13">
        <f t="shared" si="165"/>
        <v>4756915.2398970528</v>
      </c>
      <c r="N2053" s="11">
        <f t="shared" si="161"/>
        <v>7.2660721375056287E-5</v>
      </c>
    </row>
    <row r="2054" spans="1:14" x14ac:dyDescent="0.25">
      <c r="A2054" s="79" t="s">
        <v>39</v>
      </c>
      <c r="B2054" s="89" t="s">
        <v>10</v>
      </c>
      <c r="C2054" s="89" t="s">
        <v>57</v>
      </c>
      <c r="D2054" s="13" t="s">
        <v>181</v>
      </c>
      <c r="E2054" s="35">
        <f>VLOOKUP(B2054, Passenger_Kilometre_by_mode_type[#All],MATCH(A2054, Passenger_Kilometre_by_mode_type[#Headers],0),0)</f>
        <v>3948009846.44596</v>
      </c>
      <c r="F2054" s="89">
        <f>VLOOKUP(C2054, Reason_for_public_transport_journeys_by_percentage[#All],MATCH(A2054, Reason_for_public_transport_journeys_by_percentage[#Headers],0),0)/100</f>
        <v>5.1749999999999997E-2</v>
      </c>
      <c r="G2054" s="13">
        <f t="shared" si="162"/>
        <v>204309509.55357844</v>
      </c>
      <c r="H2054" s="89">
        <f>VLOOKUP(D2054,Average_Distance_by_kilometre_grouping_for_mode_type[#All],MATCH(A2054,Average_Distance_by_kilometre_grouping_for_mode_type[#Headers],0),0)</f>
        <v>3</v>
      </c>
      <c r="I2054" s="89">
        <f>VLOOKUP(D2054,Average_Distance_by_kilometres_grouping_for_trip_purpose[#All],MATCH(A2054,Average_Distance_by_kilometres_grouping_for_trip_purpose[#Headers],0),0)</f>
        <v>3</v>
      </c>
      <c r="J2054" s="89">
        <f t="shared" si="163"/>
        <v>3</v>
      </c>
      <c r="K2054" s="89">
        <f t="shared" si="164"/>
        <v>6.9848661233993012E-2</v>
      </c>
      <c r="L2054" s="89">
        <v>1</v>
      </c>
      <c r="M2054" s="13">
        <f t="shared" si="165"/>
        <v>14270745.719691159</v>
      </c>
      <c r="N2054" s="11">
        <f t="shared" si="161"/>
        <v>2.1798216412516886E-4</v>
      </c>
    </row>
    <row r="2055" spans="1:14" x14ac:dyDescent="0.25">
      <c r="A2055" s="79" t="s">
        <v>39</v>
      </c>
      <c r="B2055" s="89" t="s">
        <v>10</v>
      </c>
      <c r="C2055" s="89" t="s">
        <v>57</v>
      </c>
      <c r="D2055" s="13" t="s">
        <v>180</v>
      </c>
      <c r="E2055" s="35">
        <f>VLOOKUP(B2055, Passenger_Kilometre_by_mode_type[#All],MATCH(A2055, Passenger_Kilometre_by_mode_type[#Headers],0),0)</f>
        <v>3948009846.44596</v>
      </c>
      <c r="F2055" s="89">
        <f>VLOOKUP(C2055, Reason_for_public_transport_journeys_by_percentage[#All],MATCH(A2055, Reason_for_public_transport_journeys_by_percentage[#Headers],0),0)/100</f>
        <v>5.1749999999999997E-2</v>
      </c>
      <c r="G2055" s="13">
        <f t="shared" si="162"/>
        <v>204309509.55357844</v>
      </c>
      <c r="H2055" s="89">
        <f>VLOOKUP(D2055,Average_Distance_by_kilometre_grouping_for_mode_type[#All],MATCH(A2055,Average_Distance_by_kilometre_grouping_for_mode_type[#Headers],0),0)</f>
        <v>5</v>
      </c>
      <c r="I2055" s="89">
        <f>VLOOKUP(D2055,Average_Distance_by_kilometres_grouping_for_trip_purpose[#All],MATCH(A2055,Average_Distance_by_kilometres_grouping_for_trip_purpose[#Headers],0),0)</f>
        <v>5</v>
      </c>
      <c r="J2055" s="89">
        <f t="shared" si="163"/>
        <v>5</v>
      </c>
      <c r="K2055" s="89">
        <f t="shared" si="164"/>
        <v>0.11641443538998836</v>
      </c>
      <c r="L2055" s="89">
        <v>1</v>
      </c>
      <c r="M2055" s="13">
        <f t="shared" si="165"/>
        <v>23784576.199485265</v>
      </c>
      <c r="N2055" s="11">
        <f t="shared" si="161"/>
        <v>3.6330360687528141E-4</v>
      </c>
    </row>
    <row r="2056" spans="1:14" x14ac:dyDescent="0.25">
      <c r="A2056" s="79" t="s">
        <v>39</v>
      </c>
      <c r="B2056" s="89" t="s">
        <v>10</v>
      </c>
      <c r="C2056" s="89" t="s">
        <v>57</v>
      </c>
      <c r="D2056" s="13" t="s">
        <v>182</v>
      </c>
      <c r="E2056" s="35">
        <f>VLOOKUP(B2056, Passenger_Kilometre_by_mode_type[#All],MATCH(A2056, Passenger_Kilometre_by_mode_type[#Headers],0),0)</f>
        <v>3948009846.44596</v>
      </c>
      <c r="F2056" s="89">
        <f>VLOOKUP(C2056, Reason_for_public_transport_journeys_by_percentage[#All],MATCH(A2056, Reason_for_public_transport_journeys_by_percentage[#Headers],0),0)/100</f>
        <v>5.1749999999999997E-2</v>
      </c>
      <c r="G2056" s="13">
        <f t="shared" si="162"/>
        <v>204309509.55357844</v>
      </c>
      <c r="H2056" s="89">
        <f>VLOOKUP(D2056,Average_Distance_by_kilometre_grouping_for_mode_type[#All],MATCH(A2056,Average_Distance_by_kilometre_grouping_for_mode_type[#Headers],0),0)</f>
        <v>7</v>
      </c>
      <c r="I2056" s="89">
        <f>VLOOKUP(D2056,Average_Distance_by_kilometres_grouping_for_trip_purpose[#All],MATCH(A2056,Average_Distance_by_kilometres_grouping_for_trip_purpose[#Headers],0),0)</f>
        <v>7</v>
      </c>
      <c r="J2056" s="89">
        <f t="shared" si="163"/>
        <v>7</v>
      </c>
      <c r="K2056" s="89">
        <f t="shared" si="164"/>
        <v>0.16298020954598369</v>
      </c>
      <c r="L2056" s="89">
        <v>1</v>
      </c>
      <c r="M2056" s="13">
        <f t="shared" si="165"/>
        <v>33298406.679279368</v>
      </c>
      <c r="N2056" s="11">
        <f t="shared" si="161"/>
        <v>5.0862504962539393E-4</v>
      </c>
    </row>
    <row r="2057" spans="1:14" x14ac:dyDescent="0.25">
      <c r="A2057" s="79" t="s">
        <v>39</v>
      </c>
      <c r="B2057" s="89" t="s">
        <v>10</v>
      </c>
      <c r="C2057" s="89" t="s">
        <v>57</v>
      </c>
      <c r="D2057" s="13" t="s">
        <v>1</v>
      </c>
      <c r="E2057" s="35">
        <f>VLOOKUP(B2057, Passenger_Kilometre_by_mode_type[#All],MATCH(A2057, Passenger_Kilometre_by_mode_type[#Headers],0),0)</f>
        <v>3948009846.44596</v>
      </c>
      <c r="F2057" s="89">
        <f>VLOOKUP(C2057, Reason_for_public_transport_journeys_by_percentage[#All],MATCH(A2057, Reason_for_public_transport_journeys_by_percentage[#Headers],0),0)/100</f>
        <v>5.1749999999999997E-2</v>
      </c>
      <c r="G2057" s="13">
        <f t="shared" si="162"/>
        <v>204309509.55357844</v>
      </c>
      <c r="H2057" s="89">
        <f>VLOOKUP(D2057,Average_Distance_by_kilometre_grouping_for_mode_type[#All],MATCH(A2057,Average_Distance_by_kilometre_grouping_for_mode_type[#Headers],0),0)</f>
        <v>25.7</v>
      </c>
      <c r="I2057" s="89">
        <f>VLOOKUP(D2057,Average_Distance_by_kilometres_grouping_for_trip_purpose[#All],MATCH(A2057,Average_Distance_by_kilometres_grouping_for_trip_purpose[#Headers],0),0)</f>
        <v>28.2</v>
      </c>
      <c r="J2057" s="89">
        <f t="shared" si="163"/>
        <v>26.95</v>
      </c>
      <c r="K2057" s="89">
        <f t="shared" si="164"/>
        <v>0.62747380675203723</v>
      </c>
      <c r="L2057" s="89">
        <v>1</v>
      </c>
      <c r="M2057" s="13">
        <f t="shared" si="165"/>
        <v>128198865.71522558</v>
      </c>
      <c r="N2057" s="11">
        <f t="shared" si="161"/>
        <v>1.9582064410577668E-3</v>
      </c>
    </row>
    <row r="2058" spans="1:14" x14ac:dyDescent="0.25">
      <c r="A2058" s="79" t="s">
        <v>39</v>
      </c>
      <c r="B2058" s="89" t="s">
        <v>10</v>
      </c>
      <c r="C2058" s="89" t="s">
        <v>93</v>
      </c>
      <c r="D2058" s="13" t="s">
        <v>12</v>
      </c>
      <c r="E2058" s="35">
        <f>VLOOKUP(B2058, Passenger_Kilometre_by_mode_type[#All],MATCH(A2058, Passenger_Kilometre_by_mode_type[#Headers],0),0)</f>
        <v>3948009846.44596</v>
      </c>
      <c r="F2058" s="89">
        <f>VLOOKUP(C2058, Reason_for_public_transport_journeys_by_percentage[#All],MATCH(A2058, Reason_for_public_transport_journeys_by_percentage[#Headers],0),0)/100</f>
        <v>4.2999999999999997E-2</v>
      </c>
      <c r="G2058" s="13">
        <f t="shared" si="162"/>
        <v>169764423.39717627</v>
      </c>
      <c r="H2058" s="89">
        <f>VLOOKUP(D2058,Average_Distance_by_kilometre_grouping_for_mode_type[#All],MATCH(A2058,Average_Distance_by_kilometre_grouping_for_mode_type[#Headers],0),0)</f>
        <v>1</v>
      </c>
      <c r="I2058" s="89">
        <f>VLOOKUP(D2058,Average_Distance_by_kilometres_grouping_for_trip_purpose[#All],MATCH(A2058,Average_Distance_by_kilometres_grouping_for_trip_purpose[#Headers],0),0)</f>
        <v>1</v>
      </c>
      <c r="J2058" s="89">
        <f t="shared" si="163"/>
        <v>1</v>
      </c>
      <c r="K2058" s="89">
        <f t="shared" si="164"/>
        <v>2.3282887077997669E-2</v>
      </c>
      <c r="L2058" s="89">
        <v>1</v>
      </c>
      <c r="M2058" s="13">
        <f t="shared" si="165"/>
        <v>3952605.8998178407</v>
      </c>
      <c r="N2058" s="11">
        <f t="shared" si="161"/>
        <v>6.0375092157051593E-5</v>
      </c>
    </row>
    <row r="2059" spans="1:14" x14ac:dyDescent="0.25">
      <c r="A2059" s="79" t="s">
        <v>39</v>
      </c>
      <c r="B2059" s="89" t="s">
        <v>10</v>
      </c>
      <c r="C2059" s="89" t="s">
        <v>93</v>
      </c>
      <c r="D2059" s="13" t="s">
        <v>181</v>
      </c>
      <c r="E2059" s="35">
        <f>VLOOKUP(B2059, Passenger_Kilometre_by_mode_type[#All],MATCH(A2059, Passenger_Kilometre_by_mode_type[#Headers],0),0)</f>
        <v>3948009846.44596</v>
      </c>
      <c r="F2059" s="89">
        <f>VLOOKUP(C2059, Reason_for_public_transport_journeys_by_percentage[#All],MATCH(A2059, Reason_for_public_transport_journeys_by_percentage[#Headers],0),0)/100</f>
        <v>4.2999999999999997E-2</v>
      </c>
      <c r="G2059" s="13">
        <f t="shared" si="162"/>
        <v>169764423.39717627</v>
      </c>
      <c r="H2059" s="89">
        <f>VLOOKUP(D2059,Average_Distance_by_kilometre_grouping_for_mode_type[#All],MATCH(A2059,Average_Distance_by_kilometre_grouping_for_mode_type[#Headers],0),0)</f>
        <v>3</v>
      </c>
      <c r="I2059" s="89">
        <f>VLOOKUP(D2059,Average_Distance_by_kilometres_grouping_for_trip_purpose[#All],MATCH(A2059,Average_Distance_by_kilometres_grouping_for_trip_purpose[#Headers],0),0)</f>
        <v>3</v>
      </c>
      <c r="J2059" s="89">
        <f t="shared" si="163"/>
        <v>3</v>
      </c>
      <c r="K2059" s="89">
        <f t="shared" si="164"/>
        <v>6.9848661233993012E-2</v>
      </c>
      <c r="L2059" s="89">
        <v>1</v>
      </c>
      <c r="M2059" s="13">
        <f t="shared" si="165"/>
        <v>11857817.699453522</v>
      </c>
      <c r="N2059" s="11">
        <f t="shared" si="161"/>
        <v>1.8112527647115478E-4</v>
      </c>
    </row>
    <row r="2060" spans="1:14" x14ac:dyDescent="0.25">
      <c r="A2060" s="79" t="s">
        <v>39</v>
      </c>
      <c r="B2060" s="89" t="s">
        <v>10</v>
      </c>
      <c r="C2060" s="89" t="s">
        <v>93</v>
      </c>
      <c r="D2060" s="13" t="s">
        <v>180</v>
      </c>
      <c r="E2060" s="35">
        <f>VLOOKUP(B2060, Passenger_Kilometre_by_mode_type[#All],MATCH(A2060, Passenger_Kilometre_by_mode_type[#Headers],0),0)</f>
        <v>3948009846.44596</v>
      </c>
      <c r="F2060" s="89">
        <f>VLOOKUP(C2060, Reason_for_public_transport_journeys_by_percentage[#All],MATCH(A2060, Reason_for_public_transport_journeys_by_percentage[#Headers],0),0)/100</f>
        <v>4.2999999999999997E-2</v>
      </c>
      <c r="G2060" s="13">
        <f t="shared" si="162"/>
        <v>169764423.39717627</v>
      </c>
      <c r="H2060" s="89">
        <f>VLOOKUP(D2060,Average_Distance_by_kilometre_grouping_for_mode_type[#All],MATCH(A2060,Average_Distance_by_kilometre_grouping_for_mode_type[#Headers],0),0)</f>
        <v>5</v>
      </c>
      <c r="I2060" s="89">
        <f>VLOOKUP(D2060,Average_Distance_by_kilometres_grouping_for_trip_purpose[#All],MATCH(A2060,Average_Distance_by_kilometres_grouping_for_trip_purpose[#Headers],0),0)</f>
        <v>5</v>
      </c>
      <c r="J2060" s="89">
        <f t="shared" si="163"/>
        <v>5</v>
      </c>
      <c r="K2060" s="89">
        <f t="shared" si="164"/>
        <v>0.11641443538998836</v>
      </c>
      <c r="L2060" s="89">
        <v>1</v>
      </c>
      <c r="M2060" s="13">
        <f t="shared" si="165"/>
        <v>19763029.499089204</v>
      </c>
      <c r="N2060" s="11">
        <f t="shared" si="161"/>
        <v>3.0187546078525799E-4</v>
      </c>
    </row>
    <row r="2061" spans="1:14" x14ac:dyDescent="0.25">
      <c r="A2061" s="79" t="s">
        <v>39</v>
      </c>
      <c r="B2061" s="89" t="s">
        <v>10</v>
      </c>
      <c r="C2061" s="89" t="s">
        <v>93</v>
      </c>
      <c r="D2061" s="13" t="s">
        <v>182</v>
      </c>
      <c r="E2061" s="35">
        <f>VLOOKUP(B2061, Passenger_Kilometre_by_mode_type[#All],MATCH(A2061, Passenger_Kilometre_by_mode_type[#Headers],0),0)</f>
        <v>3948009846.44596</v>
      </c>
      <c r="F2061" s="89">
        <f>VLOOKUP(C2061, Reason_for_public_transport_journeys_by_percentage[#All],MATCH(A2061, Reason_for_public_transport_journeys_by_percentage[#Headers],0),0)/100</f>
        <v>4.2999999999999997E-2</v>
      </c>
      <c r="G2061" s="13">
        <f t="shared" si="162"/>
        <v>169764423.39717627</v>
      </c>
      <c r="H2061" s="89">
        <f>VLOOKUP(D2061,Average_Distance_by_kilometre_grouping_for_mode_type[#All],MATCH(A2061,Average_Distance_by_kilometre_grouping_for_mode_type[#Headers],0),0)</f>
        <v>7</v>
      </c>
      <c r="I2061" s="89">
        <f>VLOOKUP(D2061,Average_Distance_by_kilometres_grouping_for_trip_purpose[#All],MATCH(A2061,Average_Distance_by_kilometres_grouping_for_trip_purpose[#Headers],0),0)</f>
        <v>7</v>
      </c>
      <c r="J2061" s="89">
        <f t="shared" si="163"/>
        <v>7</v>
      </c>
      <c r="K2061" s="89">
        <f t="shared" si="164"/>
        <v>0.16298020954598369</v>
      </c>
      <c r="L2061" s="89">
        <v>1</v>
      </c>
      <c r="M2061" s="13">
        <f t="shared" si="165"/>
        <v>27668241.298724882</v>
      </c>
      <c r="N2061" s="11">
        <f t="shared" ref="N2061:N2124" si="166">M2061/SUM($M$1804:$M$2162)</f>
        <v>4.2262564509936112E-4</v>
      </c>
    </row>
    <row r="2062" spans="1:14" x14ac:dyDescent="0.25">
      <c r="A2062" s="79" t="s">
        <v>39</v>
      </c>
      <c r="B2062" s="89" t="s">
        <v>10</v>
      </c>
      <c r="C2062" s="89" t="s">
        <v>93</v>
      </c>
      <c r="D2062" s="13" t="s">
        <v>1</v>
      </c>
      <c r="E2062" s="35">
        <f>VLOOKUP(B2062, Passenger_Kilometre_by_mode_type[#All],MATCH(A2062, Passenger_Kilometre_by_mode_type[#Headers],0),0)</f>
        <v>3948009846.44596</v>
      </c>
      <c r="F2062" s="89">
        <f>VLOOKUP(C2062, Reason_for_public_transport_journeys_by_percentage[#All],MATCH(A2062, Reason_for_public_transport_journeys_by_percentage[#Headers],0),0)/100</f>
        <v>4.2999999999999997E-2</v>
      </c>
      <c r="G2062" s="13">
        <f t="shared" si="162"/>
        <v>169764423.39717627</v>
      </c>
      <c r="H2062" s="89">
        <f>VLOOKUP(D2062,Average_Distance_by_kilometre_grouping_for_mode_type[#All],MATCH(A2062,Average_Distance_by_kilometre_grouping_for_mode_type[#Headers],0),0)</f>
        <v>25.7</v>
      </c>
      <c r="I2062" s="89">
        <f>VLOOKUP(D2062,Average_Distance_by_kilometres_grouping_for_trip_purpose[#All],MATCH(A2062,Average_Distance_by_kilometres_grouping_for_trip_purpose[#Headers],0),0)</f>
        <v>28.2</v>
      </c>
      <c r="J2062" s="89">
        <f t="shared" si="163"/>
        <v>26.95</v>
      </c>
      <c r="K2062" s="89">
        <f t="shared" si="164"/>
        <v>0.62747380675203723</v>
      </c>
      <c r="L2062" s="89">
        <v>1</v>
      </c>
      <c r="M2062" s="13">
        <f t="shared" si="165"/>
        <v>106522729.00009081</v>
      </c>
      <c r="N2062" s="11">
        <f t="shared" si="166"/>
        <v>1.6271087336325405E-3</v>
      </c>
    </row>
    <row r="2063" spans="1:14" x14ac:dyDescent="0.25">
      <c r="A2063" s="79" t="s">
        <v>39</v>
      </c>
      <c r="B2063" s="89" t="s">
        <v>10</v>
      </c>
      <c r="C2063" s="89" t="s">
        <v>243</v>
      </c>
      <c r="D2063" s="13" t="s">
        <v>12</v>
      </c>
      <c r="E2063" s="35">
        <f>VLOOKUP(B2063, Passenger_Kilometre_by_mode_type[#All],MATCH(A2063, Passenger_Kilometre_by_mode_type[#Headers],0),0)</f>
        <v>3948009846.44596</v>
      </c>
      <c r="F2063" s="89">
        <f>VLOOKUP(C2063, Reason_for_public_transport_journeys_by_percentage[#All],MATCH(A2063, Reason_for_public_transport_journeys_by_percentage[#Headers],0),0)/100</f>
        <v>3.7749999999999999E-2</v>
      </c>
      <c r="G2063" s="13">
        <f t="shared" si="162"/>
        <v>149037371.70333499</v>
      </c>
      <c r="H2063" s="89">
        <f>VLOOKUP(D2063,Average_Distance_by_kilometre_grouping_for_mode_type[#All],MATCH(A2063,Average_Distance_by_kilometre_grouping_for_mode_type[#Headers],0),0)</f>
        <v>1</v>
      </c>
      <c r="I2063" s="89">
        <f>VLOOKUP(D2063,Average_Distance_by_kilometres_grouping_for_trip_purpose[#All],MATCH(A2063,Average_Distance_by_kilometres_grouping_for_trip_purpose[#Headers],0),0)</f>
        <v>1</v>
      </c>
      <c r="J2063" s="89">
        <f t="shared" si="163"/>
        <v>1</v>
      </c>
      <c r="K2063" s="89">
        <f t="shared" si="164"/>
        <v>2.3282887077997669E-2</v>
      </c>
      <c r="L2063" s="89">
        <v>1</v>
      </c>
      <c r="M2063" s="13">
        <f t="shared" si="165"/>
        <v>3470020.2957703136</v>
      </c>
      <c r="N2063" s="11">
        <f t="shared" si="166"/>
        <v>5.3003714626248782E-5</v>
      </c>
    </row>
    <row r="2064" spans="1:14" x14ac:dyDescent="0.25">
      <c r="A2064" s="79" t="s">
        <v>39</v>
      </c>
      <c r="B2064" s="89" t="s">
        <v>10</v>
      </c>
      <c r="C2064" s="89" t="s">
        <v>243</v>
      </c>
      <c r="D2064" s="13" t="s">
        <v>181</v>
      </c>
      <c r="E2064" s="35">
        <f>VLOOKUP(B2064, Passenger_Kilometre_by_mode_type[#All],MATCH(A2064, Passenger_Kilometre_by_mode_type[#Headers],0),0)</f>
        <v>3948009846.44596</v>
      </c>
      <c r="F2064" s="89">
        <f>VLOOKUP(C2064, Reason_for_public_transport_journeys_by_percentage[#All],MATCH(A2064, Reason_for_public_transport_journeys_by_percentage[#Headers],0),0)/100</f>
        <v>3.7749999999999999E-2</v>
      </c>
      <c r="G2064" s="13">
        <f t="shared" si="162"/>
        <v>149037371.70333499</v>
      </c>
      <c r="H2064" s="89">
        <f>VLOOKUP(D2064,Average_Distance_by_kilometre_grouping_for_mode_type[#All],MATCH(A2064,Average_Distance_by_kilometre_grouping_for_mode_type[#Headers],0),0)</f>
        <v>3</v>
      </c>
      <c r="I2064" s="89">
        <f>VLOOKUP(D2064,Average_Distance_by_kilometres_grouping_for_trip_purpose[#All],MATCH(A2064,Average_Distance_by_kilometres_grouping_for_trip_purpose[#Headers],0),0)</f>
        <v>3</v>
      </c>
      <c r="J2064" s="89">
        <f t="shared" si="163"/>
        <v>3</v>
      </c>
      <c r="K2064" s="89">
        <f t="shared" si="164"/>
        <v>6.9848661233993012E-2</v>
      </c>
      <c r="L2064" s="89">
        <v>1</v>
      </c>
      <c r="M2064" s="13">
        <f t="shared" si="165"/>
        <v>10410060.887310941</v>
      </c>
      <c r="N2064" s="11">
        <f t="shared" si="166"/>
        <v>1.5901114387874635E-4</v>
      </c>
    </row>
    <row r="2065" spans="1:14" x14ac:dyDescent="0.25">
      <c r="A2065" s="79" t="s">
        <v>39</v>
      </c>
      <c r="B2065" s="89" t="s">
        <v>10</v>
      </c>
      <c r="C2065" s="89" t="s">
        <v>243</v>
      </c>
      <c r="D2065" s="13" t="s">
        <v>180</v>
      </c>
      <c r="E2065" s="35">
        <f>VLOOKUP(B2065, Passenger_Kilometre_by_mode_type[#All],MATCH(A2065, Passenger_Kilometre_by_mode_type[#Headers],0),0)</f>
        <v>3948009846.44596</v>
      </c>
      <c r="F2065" s="89">
        <f>VLOOKUP(C2065, Reason_for_public_transport_journeys_by_percentage[#All],MATCH(A2065, Reason_for_public_transport_journeys_by_percentage[#Headers],0),0)/100</f>
        <v>3.7749999999999999E-2</v>
      </c>
      <c r="G2065" s="13">
        <f t="shared" si="162"/>
        <v>149037371.70333499</v>
      </c>
      <c r="H2065" s="89">
        <f>VLOOKUP(D2065,Average_Distance_by_kilometre_grouping_for_mode_type[#All],MATCH(A2065,Average_Distance_by_kilometre_grouping_for_mode_type[#Headers],0),0)</f>
        <v>5</v>
      </c>
      <c r="I2065" s="89">
        <f>VLOOKUP(D2065,Average_Distance_by_kilometres_grouping_for_trip_purpose[#All],MATCH(A2065,Average_Distance_by_kilometres_grouping_for_trip_purpose[#Headers],0),0)</f>
        <v>5</v>
      </c>
      <c r="J2065" s="89">
        <f t="shared" si="163"/>
        <v>5</v>
      </c>
      <c r="K2065" s="89">
        <f t="shared" si="164"/>
        <v>0.11641443538998836</v>
      </c>
      <c r="L2065" s="89">
        <v>1</v>
      </c>
      <c r="M2065" s="13">
        <f t="shared" si="165"/>
        <v>17350101.478851572</v>
      </c>
      <c r="N2065" s="11">
        <f t="shared" si="166"/>
        <v>2.6501857313124396E-4</v>
      </c>
    </row>
    <row r="2066" spans="1:14" x14ac:dyDescent="0.25">
      <c r="A2066" s="79" t="s">
        <v>39</v>
      </c>
      <c r="B2066" s="89" t="s">
        <v>10</v>
      </c>
      <c r="C2066" s="89" t="s">
        <v>243</v>
      </c>
      <c r="D2066" s="13" t="s">
        <v>182</v>
      </c>
      <c r="E2066" s="35">
        <f>VLOOKUP(B2066, Passenger_Kilometre_by_mode_type[#All],MATCH(A2066, Passenger_Kilometre_by_mode_type[#Headers],0),0)</f>
        <v>3948009846.44596</v>
      </c>
      <c r="F2066" s="89">
        <f>VLOOKUP(C2066, Reason_for_public_transport_journeys_by_percentage[#All],MATCH(A2066, Reason_for_public_transport_journeys_by_percentage[#Headers],0),0)/100</f>
        <v>3.7749999999999999E-2</v>
      </c>
      <c r="G2066" s="13">
        <f t="shared" si="162"/>
        <v>149037371.70333499</v>
      </c>
      <c r="H2066" s="89">
        <f>VLOOKUP(D2066,Average_Distance_by_kilometre_grouping_for_mode_type[#All],MATCH(A2066,Average_Distance_by_kilometre_grouping_for_mode_type[#Headers],0),0)</f>
        <v>7</v>
      </c>
      <c r="I2066" s="89">
        <f>VLOOKUP(D2066,Average_Distance_by_kilometres_grouping_for_trip_purpose[#All],MATCH(A2066,Average_Distance_by_kilometres_grouping_for_trip_purpose[#Headers],0),0)</f>
        <v>7</v>
      </c>
      <c r="J2066" s="89">
        <f t="shared" si="163"/>
        <v>7</v>
      </c>
      <c r="K2066" s="89">
        <f t="shared" si="164"/>
        <v>0.16298020954598369</v>
      </c>
      <c r="L2066" s="89">
        <v>1</v>
      </c>
      <c r="M2066" s="13">
        <f t="shared" si="165"/>
        <v>24290142.070392195</v>
      </c>
      <c r="N2066" s="11">
        <f t="shared" si="166"/>
        <v>3.7102600238374147E-4</v>
      </c>
    </row>
    <row r="2067" spans="1:14" x14ac:dyDescent="0.25">
      <c r="A2067" s="79" t="s">
        <v>39</v>
      </c>
      <c r="B2067" s="89" t="s">
        <v>10</v>
      </c>
      <c r="C2067" s="89" t="s">
        <v>243</v>
      </c>
      <c r="D2067" s="13" t="s">
        <v>1</v>
      </c>
      <c r="E2067" s="35">
        <f>VLOOKUP(B2067, Passenger_Kilometre_by_mode_type[#All],MATCH(A2067, Passenger_Kilometre_by_mode_type[#Headers],0),0)</f>
        <v>3948009846.44596</v>
      </c>
      <c r="F2067" s="89">
        <f>VLOOKUP(C2067, Reason_for_public_transport_journeys_by_percentage[#All],MATCH(A2067, Reason_for_public_transport_journeys_by_percentage[#Headers],0),0)/100</f>
        <v>3.7749999999999999E-2</v>
      </c>
      <c r="G2067" s="13">
        <f t="shared" si="162"/>
        <v>149037371.70333499</v>
      </c>
      <c r="H2067" s="89">
        <f>VLOOKUP(D2067,Average_Distance_by_kilometre_grouping_for_mode_type[#All],MATCH(A2067,Average_Distance_by_kilometre_grouping_for_mode_type[#Headers],0),0)</f>
        <v>25.7</v>
      </c>
      <c r="I2067" s="89">
        <f>VLOOKUP(D2067,Average_Distance_by_kilometres_grouping_for_trip_purpose[#All],MATCH(A2067,Average_Distance_by_kilometres_grouping_for_trip_purpose[#Headers],0),0)</f>
        <v>28.2</v>
      </c>
      <c r="J2067" s="89">
        <f t="shared" si="163"/>
        <v>26.95</v>
      </c>
      <c r="K2067" s="89">
        <f t="shared" si="164"/>
        <v>0.62747380675203723</v>
      </c>
      <c r="L2067" s="89">
        <v>1</v>
      </c>
      <c r="M2067" s="13">
        <f t="shared" si="165"/>
        <v>93517046.971009955</v>
      </c>
      <c r="N2067" s="11">
        <f t="shared" si="166"/>
        <v>1.4284501091774047E-3</v>
      </c>
    </row>
    <row r="2068" spans="1:14" x14ac:dyDescent="0.25">
      <c r="A2068" s="79" t="s">
        <v>39</v>
      </c>
      <c r="B2068" s="89" t="s">
        <v>10</v>
      </c>
      <c r="C2068" s="89" t="s">
        <v>50</v>
      </c>
      <c r="D2068" s="13" t="s">
        <v>12</v>
      </c>
      <c r="E2068" s="35">
        <f>VLOOKUP(B2068, Passenger_Kilometre_by_mode_type[#All],MATCH(A2068, Passenger_Kilometre_by_mode_type[#Headers],0),0)</f>
        <v>3948009846.44596</v>
      </c>
      <c r="F2068" s="89">
        <f>VLOOKUP(C2068, Reason_for_public_transport_journeys_by_percentage[#All],MATCH(A2068, Reason_for_public_transport_journeys_by_percentage[#Headers],0),0)/100</f>
        <v>3.2500000000000001E-2</v>
      </c>
      <c r="G2068" s="13">
        <f t="shared" si="162"/>
        <v>128310320.00949371</v>
      </c>
      <c r="H2068" s="89">
        <f>VLOOKUP(D2068,Average_Distance_by_kilometre_grouping_for_mode_type[#All],MATCH(A2068,Average_Distance_by_kilometre_grouping_for_mode_type[#Headers],0),0)</f>
        <v>1</v>
      </c>
      <c r="I2068" s="89">
        <f>VLOOKUP(D2068,Average_Distance_by_kilometres_grouping_for_trip_purpose[#All],MATCH(A2068,Average_Distance_by_kilometres_grouping_for_trip_purpose[#Headers],0),0)</f>
        <v>1</v>
      </c>
      <c r="J2068" s="89">
        <f t="shared" si="163"/>
        <v>1</v>
      </c>
      <c r="K2068" s="89">
        <f t="shared" si="164"/>
        <v>2.3282887077997669E-2</v>
      </c>
      <c r="L2068" s="89">
        <v>1</v>
      </c>
      <c r="M2068" s="13">
        <f t="shared" si="165"/>
        <v>2987434.691722787</v>
      </c>
      <c r="N2068" s="11">
        <f t="shared" si="166"/>
        <v>4.5632337095445978E-5</v>
      </c>
    </row>
    <row r="2069" spans="1:14" x14ac:dyDescent="0.25">
      <c r="A2069" s="79" t="s">
        <v>39</v>
      </c>
      <c r="B2069" s="89" t="s">
        <v>10</v>
      </c>
      <c r="C2069" s="89" t="s">
        <v>50</v>
      </c>
      <c r="D2069" s="13" t="s">
        <v>181</v>
      </c>
      <c r="E2069" s="35">
        <f>VLOOKUP(B2069, Passenger_Kilometre_by_mode_type[#All],MATCH(A2069, Passenger_Kilometre_by_mode_type[#Headers],0),0)</f>
        <v>3948009846.44596</v>
      </c>
      <c r="F2069" s="89">
        <f>VLOOKUP(C2069, Reason_for_public_transport_journeys_by_percentage[#All],MATCH(A2069, Reason_for_public_transport_journeys_by_percentage[#Headers],0),0)/100</f>
        <v>3.2500000000000001E-2</v>
      </c>
      <c r="G2069" s="13">
        <f t="shared" si="162"/>
        <v>128310320.00949371</v>
      </c>
      <c r="H2069" s="89">
        <f>VLOOKUP(D2069,Average_Distance_by_kilometre_grouping_for_mode_type[#All],MATCH(A2069,Average_Distance_by_kilometre_grouping_for_mode_type[#Headers],0),0)</f>
        <v>3</v>
      </c>
      <c r="I2069" s="89">
        <f>VLOOKUP(D2069,Average_Distance_by_kilometres_grouping_for_trip_purpose[#All],MATCH(A2069,Average_Distance_by_kilometres_grouping_for_trip_purpose[#Headers],0),0)</f>
        <v>3</v>
      </c>
      <c r="J2069" s="89">
        <f t="shared" si="163"/>
        <v>3</v>
      </c>
      <c r="K2069" s="89">
        <f t="shared" si="164"/>
        <v>6.9848661233993012E-2</v>
      </c>
      <c r="L2069" s="89">
        <v>1</v>
      </c>
      <c r="M2069" s="13">
        <f t="shared" si="165"/>
        <v>8962304.0751683619</v>
      </c>
      <c r="N2069" s="11">
        <f t="shared" si="166"/>
        <v>1.3689701128633794E-4</v>
      </c>
    </row>
    <row r="2070" spans="1:14" x14ac:dyDescent="0.25">
      <c r="A2070" s="79" t="s">
        <v>39</v>
      </c>
      <c r="B2070" s="89" t="s">
        <v>10</v>
      </c>
      <c r="C2070" s="89" t="s">
        <v>50</v>
      </c>
      <c r="D2070" s="13" t="s">
        <v>180</v>
      </c>
      <c r="E2070" s="35">
        <f>VLOOKUP(B2070, Passenger_Kilometre_by_mode_type[#All],MATCH(A2070, Passenger_Kilometre_by_mode_type[#Headers],0),0)</f>
        <v>3948009846.44596</v>
      </c>
      <c r="F2070" s="89">
        <f>VLOOKUP(C2070, Reason_for_public_transport_journeys_by_percentage[#All],MATCH(A2070, Reason_for_public_transport_journeys_by_percentage[#Headers],0),0)/100</f>
        <v>3.2500000000000001E-2</v>
      </c>
      <c r="G2070" s="13">
        <f t="shared" si="162"/>
        <v>128310320.00949371</v>
      </c>
      <c r="H2070" s="89">
        <f>VLOOKUP(D2070,Average_Distance_by_kilometre_grouping_for_mode_type[#All],MATCH(A2070,Average_Distance_by_kilometre_grouping_for_mode_type[#Headers],0),0)</f>
        <v>5</v>
      </c>
      <c r="I2070" s="89">
        <f>VLOOKUP(D2070,Average_Distance_by_kilometres_grouping_for_trip_purpose[#All],MATCH(A2070,Average_Distance_by_kilometres_grouping_for_trip_purpose[#Headers],0),0)</f>
        <v>5</v>
      </c>
      <c r="J2070" s="89">
        <f t="shared" si="163"/>
        <v>5</v>
      </c>
      <c r="K2070" s="89">
        <f t="shared" si="164"/>
        <v>0.11641443538998836</v>
      </c>
      <c r="L2070" s="89">
        <v>1</v>
      </c>
      <c r="M2070" s="13">
        <f t="shared" si="165"/>
        <v>14937173.458613936</v>
      </c>
      <c r="N2070" s="11">
        <f t="shared" si="166"/>
        <v>2.2816168547722991E-4</v>
      </c>
    </row>
    <row r="2071" spans="1:14" x14ac:dyDescent="0.25">
      <c r="A2071" s="79" t="s">
        <v>39</v>
      </c>
      <c r="B2071" s="89" t="s">
        <v>10</v>
      </c>
      <c r="C2071" s="89" t="s">
        <v>50</v>
      </c>
      <c r="D2071" s="13" t="s">
        <v>182</v>
      </c>
      <c r="E2071" s="35">
        <f>VLOOKUP(B2071, Passenger_Kilometre_by_mode_type[#All],MATCH(A2071, Passenger_Kilometre_by_mode_type[#Headers],0),0)</f>
        <v>3948009846.44596</v>
      </c>
      <c r="F2071" s="89">
        <f>VLOOKUP(C2071, Reason_for_public_transport_journeys_by_percentage[#All],MATCH(A2071, Reason_for_public_transport_journeys_by_percentage[#Headers],0),0)/100</f>
        <v>3.2500000000000001E-2</v>
      </c>
      <c r="G2071" s="13">
        <f t="shared" si="162"/>
        <v>128310320.00949371</v>
      </c>
      <c r="H2071" s="89">
        <f>VLOOKUP(D2071,Average_Distance_by_kilometre_grouping_for_mode_type[#All],MATCH(A2071,Average_Distance_by_kilometre_grouping_for_mode_type[#Headers],0),0)</f>
        <v>7</v>
      </c>
      <c r="I2071" s="89">
        <f>VLOOKUP(D2071,Average_Distance_by_kilometres_grouping_for_trip_purpose[#All],MATCH(A2071,Average_Distance_by_kilometres_grouping_for_trip_purpose[#Headers],0),0)</f>
        <v>7</v>
      </c>
      <c r="J2071" s="89">
        <f t="shared" si="163"/>
        <v>7</v>
      </c>
      <c r="K2071" s="89">
        <f t="shared" si="164"/>
        <v>0.16298020954598369</v>
      </c>
      <c r="L2071" s="89">
        <v>1</v>
      </c>
      <c r="M2071" s="13">
        <f t="shared" si="165"/>
        <v>20912042.842059508</v>
      </c>
      <c r="N2071" s="11">
        <f t="shared" si="166"/>
        <v>3.1942635966812182E-4</v>
      </c>
    </row>
    <row r="2072" spans="1:14" x14ac:dyDescent="0.25">
      <c r="A2072" s="79" t="s">
        <v>39</v>
      </c>
      <c r="B2072" s="89" t="s">
        <v>10</v>
      </c>
      <c r="C2072" s="89" t="s">
        <v>50</v>
      </c>
      <c r="D2072" s="13" t="s">
        <v>1</v>
      </c>
      <c r="E2072" s="35">
        <f>VLOOKUP(B2072, Passenger_Kilometre_by_mode_type[#All],MATCH(A2072, Passenger_Kilometre_by_mode_type[#Headers],0),0)</f>
        <v>3948009846.44596</v>
      </c>
      <c r="F2072" s="89">
        <f>VLOOKUP(C2072, Reason_for_public_transport_journeys_by_percentage[#All],MATCH(A2072, Reason_for_public_transport_journeys_by_percentage[#Headers],0),0)/100</f>
        <v>3.2500000000000001E-2</v>
      </c>
      <c r="G2072" s="13">
        <f t="shared" si="162"/>
        <v>128310320.00949371</v>
      </c>
      <c r="H2072" s="89">
        <f>VLOOKUP(D2072,Average_Distance_by_kilometre_grouping_for_mode_type[#All],MATCH(A2072,Average_Distance_by_kilometre_grouping_for_mode_type[#Headers],0),0)</f>
        <v>25.7</v>
      </c>
      <c r="I2072" s="89">
        <f>VLOOKUP(D2072,Average_Distance_by_kilometres_grouping_for_trip_purpose[#All],MATCH(A2072,Average_Distance_by_kilometres_grouping_for_trip_purpose[#Headers],0),0)</f>
        <v>28.2</v>
      </c>
      <c r="J2072" s="89">
        <f t="shared" si="163"/>
        <v>26.95</v>
      </c>
      <c r="K2072" s="89">
        <f t="shared" si="164"/>
        <v>0.62747380675203723</v>
      </c>
      <c r="L2072" s="89">
        <v>1</v>
      </c>
      <c r="M2072" s="13">
        <f t="shared" si="165"/>
        <v>80511364.941929117</v>
      </c>
      <c r="N2072" s="11">
        <f t="shared" si="166"/>
        <v>1.2297914847222693E-3</v>
      </c>
    </row>
    <row r="2073" spans="1:14" x14ac:dyDescent="0.25">
      <c r="A2073" s="79" t="s">
        <v>39</v>
      </c>
      <c r="B2073" s="89" t="s">
        <v>11</v>
      </c>
      <c r="C2073" s="89" t="s">
        <v>42</v>
      </c>
      <c r="D2073" s="13" t="s">
        <v>12</v>
      </c>
      <c r="E2073" s="35">
        <f>VLOOKUP(B2073, Passenger_Kilometre_by_mode_type[#All],MATCH(A2073, Passenger_Kilometre_by_mode_type[#Headers],0),0)</f>
        <v>302040792.60850525</v>
      </c>
      <c r="F2073" s="89">
        <f>VLOOKUP(C2073, Reason_for_public_transport_journeys_by_percentage[#All],MATCH(A2073, Reason_for_public_transport_journeys_by_percentage[#Headers],0),0)/100</f>
        <v>0.35425000000000006</v>
      </c>
      <c r="G2073" s="13">
        <f t="shared" si="162"/>
        <v>106997950.781563</v>
      </c>
      <c r="H2073" s="89">
        <f>VLOOKUP(D2073,Average_Distance_by_kilometre_grouping_for_mode_type[#All],MATCH(A2073,Average_Distance_by_kilometre_grouping_for_mode_type[#Headers],0),0)</f>
        <v>1</v>
      </c>
      <c r="I2073" s="89">
        <f>VLOOKUP(D2073,Average_Distance_by_kilometres_grouping_for_trip_purpose[#All],MATCH(A2073,Average_Distance_by_kilometres_grouping_for_trip_purpose[#Headers],0),0)</f>
        <v>1</v>
      </c>
      <c r="J2073" s="89">
        <f t="shared" si="163"/>
        <v>1</v>
      </c>
      <c r="K2073" s="89">
        <f t="shared" si="164"/>
        <v>2.3282887077997669E-2</v>
      </c>
      <c r="L2073" s="89">
        <v>1</v>
      </c>
      <c r="M2073" s="13">
        <f t="shared" si="165"/>
        <v>2491221.2056242838</v>
      </c>
      <c r="N2073" s="11">
        <f t="shared" si="166"/>
        <v>3.8052796986438489E-5</v>
      </c>
    </row>
    <row r="2074" spans="1:14" x14ac:dyDescent="0.25">
      <c r="A2074" s="79" t="s">
        <v>39</v>
      </c>
      <c r="B2074" s="89" t="s">
        <v>11</v>
      </c>
      <c r="C2074" s="89" t="s">
        <v>42</v>
      </c>
      <c r="D2074" s="13" t="s">
        <v>181</v>
      </c>
      <c r="E2074" s="35">
        <f>VLOOKUP(B2074, Passenger_Kilometre_by_mode_type[#All],MATCH(A2074, Passenger_Kilometre_by_mode_type[#Headers],0),0)</f>
        <v>302040792.60850525</v>
      </c>
      <c r="F2074" s="89">
        <f>VLOOKUP(C2074, Reason_for_public_transport_journeys_by_percentage[#All],MATCH(A2074, Reason_for_public_transport_journeys_by_percentage[#Headers],0),0)/100</f>
        <v>0.35425000000000006</v>
      </c>
      <c r="G2074" s="13">
        <f t="shared" si="162"/>
        <v>106997950.781563</v>
      </c>
      <c r="H2074" s="89">
        <f>VLOOKUP(D2074,Average_Distance_by_kilometre_grouping_for_mode_type[#All],MATCH(A2074,Average_Distance_by_kilometre_grouping_for_mode_type[#Headers],0),0)</f>
        <v>3</v>
      </c>
      <c r="I2074" s="89">
        <f>VLOOKUP(D2074,Average_Distance_by_kilometres_grouping_for_trip_purpose[#All],MATCH(A2074,Average_Distance_by_kilometres_grouping_for_trip_purpose[#Headers],0),0)</f>
        <v>3</v>
      </c>
      <c r="J2074" s="89">
        <f t="shared" si="163"/>
        <v>3</v>
      </c>
      <c r="K2074" s="89">
        <f t="shared" si="164"/>
        <v>6.9848661233993012E-2</v>
      </c>
      <c r="L2074" s="89">
        <v>1</v>
      </c>
      <c r="M2074" s="13">
        <f t="shared" si="165"/>
        <v>7473663.6168728517</v>
      </c>
      <c r="N2074" s="11">
        <f t="shared" si="166"/>
        <v>1.1415839095931546E-4</v>
      </c>
    </row>
    <row r="2075" spans="1:14" x14ac:dyDescent="0.25">
      <c r="A2075" s="79" t="s">
        <v>39</v>
      </c>
      <c r="B2075" s="89" t="s">
        <v>11</v>
      </c>
      <c r="C2075" s="89" t="s">
        <v>42</v>
      </c>
      <c r="D2075" s="13" t="s">
        <v>180</v>
      </c>
      <c r="E2075" s="35">
        <f>VLOOKUP(B2075, Passenger_Kilometre_by_mode_type[#All],MATCH(A2075, Passenger_Kilometre_by_mode_type[#Headers],0),0)</f>
        <v>302040792.60850525</v>
      </c>
      <c r="F2075" s="89">
        <f>VLOOKUP(C2075, Reason_for_public_transport_journeys_by_percentage[#All],MATCH(A2075, Reason_for_public_transport_journeys_by_percentage[#Headers],0),0)/100</f>
        <v>0.35425000000000006</v>
      </c>
      <c r="G2075" s="13">
        <f t="shared" si="162"/>
        <v>106997950.781563</v>
      </c>
      <c r="H2075" s="89">
        <f>VLOOKUP(D2075,Average_Distance_by_kilometre_grouping_for_mode_type[#All],MATCH(A2075,Average_Distance_by_kilometre_grouping_for_mode_type[#Headers],0),0)</f>
        <v>5</v>
      </c>
      <c r="I2075" s="89">
        <f>VLOOKUP(D2075,Average_Distance_by_kilometres_grouping_for_trip_purpose[#All],MATCH(A2075,Average_Distance_by_kilometres_grouping_for_trip_purpose[#Headers],0),0)</f>
        <v>5</v>
      </c>
      <c r="J2075" s="89">
        <f t="shared" si="163"/>
        <v>5</v>
      </c>
      <c r="K2075" s="89">
        <f t="shared" si="164"/>
        <v>0.11641443538998836</v>
      </c>
      <c r="L2075" s="89">
        <v>1</v>
      </c>
      <c r="M2075" s="13">
        <f t="shared" si="165"/>
        <v>12456106.028121419</v>
      </c>
      <c r="N2075" s="11">
        <f t="shared" si="166"/>
        <v>1.9026398493219242E-4</v>
      </c>
    </row>
    <row r="2076" spans="1:14" x14ac:dyDescent="0.25">
      <c r="A2076" s="79" t="s">
        <v>39</v>
      </c>
      <c r="B2076" s="89" t="s">
        <v>11</v>
      </c>
      <c r="C2076" s="89" t="s">
        <v>42</v>
      </c>
      <c r="D2076" s="13" t="s">
        <v>182</v>
      </c>
      <c r="E2076" s="35">
        <f>VLOOKUP(B2076, Passenger_Kilometre_by_mode_type[#All],MATCH(A2076, Passenger_Kilometre_by_mode_type[#Headers],0),0)</f>
        <v>302040792.60850525</v>
      </c>
      <c r="F2076" s="89">
        <f>VLOOKUP(C2076, Reason_for_public_transport_journeys_by_percentage[#All],MATCH(A2076, Reason_for_public_transport_journeys_by_percentage[#Headers],0),0)/100</f>
        <v>0.35425000000000006</v>
      </c>
      <c r="G2076" s="13">
        <f t="shared" si="162"/>
        <v>106997950.781563</v>
      </c>
      <c r="H2076" s="89">
        <f>VLOOKUP(D2076,Average_Distance_by_kilometre_grouping_for_mode_type[#All],MATCH(A2076,Average_Distance_by_kilometre_grouping_for_mode_type[#Headers],0),0)</f>
        <v>7</v>
      </c>
      <c r="I2076" s="89">
        <f>VLOOKUP(D2076,Average_Distance_by_kilometres_grouping_for_trip_purpose[#All],MATCH(A2076,Average_Distance_by_kilometres_grouping_for_trip_purpose[#Headers],0),0)</f>
        <v>7</v>
      </c>
      <c r="J2076" s="89">
        <f t="shared" si="163"/>
        <v>7</v>
      </c>
      <c r="K2076" s="89">
        <f t="shared" si="164"/>
        <v>0.16298020954598369</v>
      </c>
      <c r="L2076" s="89">
        <v>1</v>
      </c>
      <c r="M2076" s="13">
        <f t="shared" si="165"/>
        <v>17438548.439369988</v>
      </c>
      <c r="N2076" s="11">
        <f t="shared" si="166"/>
        <v>2.6636957890506941E-4</v>
      </c>
    </row>
    <row r="2077" spans="1:14" x14ac:dyDescent="0.25">
      <c r="A2077" s="79" t="s">
        <v>39</v>
      </c>
      <c r="B2077" s="89" t="s">
        <v>11</v>
      </c>
      <c r="C2077" s="89" t="s">
        <v>42</v>
      </c>
      <c r="D2077" s="13" t="s">
        <v>1</v>
      </c>
      <c r="E2077" s="35">
        <f>VLOOKUP(B2077, Passenger_Kilometre_by_mode_type[#All],MATCH(A2077, Passenger_Kilometre_by_mode_type[#Headers],0),0)</f>
        <v>302040792.60850525</v>
      </c>
      <c r="F2077" s="89">
        <f>VLOOKUP(C2077, Reason_for_public_transport_journeys_by_percentage[#All],MATCH(A2077, Reason_for_public_transport_journeys_by_percentage[#Headers],0),0)/100</f>
        <v>0.35425000000000006</v>
      </c>
      <c r="G2077" s="13">
        <f t="shared" si="162"/>
        <v>106997950.781563</v>
      </c>
      <c r="H2077" s="89">
        <f>VLOOKUP(D2077,Average_Distance_by_kilometre_grouping_for_mode_type[#All],MATCH(A2077,Average_Distance_by_kilometre_grouping_for_mode_type[#Headers],0),0)</f>
        <v>25.7</v>
      </c>
      <c r="I2077" s="89">
        <f>VLOOKUP(D2077,Average_Distance_by_kilometres_grouping_for_trip_purpose[#All],MATCH(A2077,Average_Distance_by_kilometres_grouping_for_trip_purpose[#Headers],0),0)</f>
        <v>28.2</v>
      </c>
      <c r="J2077" s="89">
        <f t="shared" si="163"/>
        <v>26.95</v>
      </c>
      <c r="K2077" s="89">
        <f t="shared" si="164"/>
        <v>0.62747380675203723</v>
      </c>
      <c r="L2077" s="89">
        <v>1</v>
      </c>
      <c r="M2077" s="13">
        <f t="shared" si="165"/>
        <v>67138411.491574451</v>
      </c>
      <c r="N2077" s="11">
        <f t="shared" si="166"/>
        <v>1.0255228787845172E-3</v>
      </c>
    </row>
    <row r="2078" spans="1:14" x14ac:dyDescent="0.25">
      <c r="A2078" s="79" t="s">
        <v>39</v>
      </c>
      <c r="B2078" s="89" t="s">
        <v>11</v>
      </c>
      <c r="C2078" s="89" t="s">
        <v>43</v>
      </c>
      <c r="D2078" s="13" t="s">
        <v>12</v>
      </c>
      <c r="E2078" s="35">
        <f>VLOOKUP(B2078, Passenger_Kilometre_by_mode_type[#All],MATCH(A2078, Passenger_Kilometre_by_mode_type[#Headers],0),0)</f>
        <v>302040792.60850525</v>
      </c>
      <c r="F2078" s="89">
        <f>VLOOKUP(C2078, Reason_for_public_transport_journeys_by_percentage[#All],MATCH(A2078, Reason_for_public_transport_journeys_by_percentage[#Headers],0),0)/100</f>
        <v>0.10475</v>
      </c>
      <c r="G2078" s="13">
        <f t="shared" si="162"/>
        <v>31638773.025740925</v>
      </c>
      <c r="H2078" s="89">
        <f>VLOOKUP(D2078,Average_Distance_by_kilometre_grouping_for_mode_type[#All],MATCH(A2078,Average_Distance_by_kilometre_grouping_for_mode_type[#Headers],0),0)</f>
        <v>1</v>
      </c>
      <c r="I2078" s="89">
        <f>VLOOKUP(D2078,Average_Distance_by_kilometres_grouping_for_trip_purpose[#All],MATCH(A2078,Average_Distance_by_kilometres_grouping_for_trip_purpose[#Headers],0),0)</f>
        <v>1</v>
      </c>
      <c r="J2078" s="89">
        <f t="shared" si="163"/>
        <v>1</v>
      </c>
      <c r="K2078" s="89">
        <f t="shared" si="164"/>
        <v>2.3282887077997669E-2</v>
      </c>
      <c r="L2078" s="89">
        <v>1</v>
      </c>
      <c r="M2078" s="13">
        <f t="shared" si="165"/>
        <v>736641.97964472463</v>
      </c>
      <c r="N2078" s="11">
        <f t="shared" si="166"/>
        <v>1.1252026772983573E-5</v>
      </c>
    </row>
    <row r="2079" spans="1:14" x14ac:dyDescent="0.25">
      <c r="A2079" s="79" t="s">
        <v>39</v>
      </c>
      <c r="B2079" s="89" t="s">
        <v>11</v>
      </c>
      <c r="C2079" s="89" t="s">
        <v>43</v>
      </c>
      <c r="D2079" s="13" t="s">
        <v>181</v>
      </c>
      <c r="E2079" s="35">
        <f>VLOOKUP(B2079, Passenger_Kilometre_by_mode_type[#All],MATCH(A2079, Passenger_Kilometre_by_mode_type[#Headers],0),0)</f>
        <v>302040792.60850525</v>
      </c>
      <c r="F2079" s="89">
        <f>VLOOKUP(C2079, Reason_for_public_transport_journeys_by_percentage[#All],MATCH(A2079, Reason_for_public_transport_journeys_by_percentage[#Headers],0),0)/100</f>
        <v>0.10475</v>
      </c>
      <c r="G2079" s="13">
        <f t="shared" si="162"/>
        <v>31638773.025740925</v>
      </c>
      <c r="H2079" s="89">
        <f>VLOOKUP(D2079,Average_Distance_by_kilometre_grouping_for_mode_type[#All],MATCH(A2079,Average_Distance_by_kilometre_grouping_for_mode_type[#Headers],0),0)</f>
        <v>3</v>
      </c>
      <c r="I2079" s="89">
        <f>VLOOKUP(D2079,Average_Distance_by_kilometres_grouping_for_trip_purpose[#All],MATCH(A2079,Average_Distance_by_kilometres_grouping_for_trip_purpose[#Headers],0),0)</f>
        <v>3</v>
      </c>
      <c r="J2079" s="89">
        <f t="shared" si="163"/>
        <v>3</v>
      </c>
      <c r="K2079" s="89">
        <f t="shared" si="164"/>
        <v>6.9848661233993012E-2</v>
      </c>
      <c r="L2079" s="89">
        <v>1</v>
      </c>
      <c r="M2079" s="13">
        <f t="shared" si="165"/>
        <v>2209925.9389341739</v>
      </c>
      <c r="N2079" s="11">
        <f t="shared" si="166"/>
        <v>3.3756080318950723E-5</v>
      </c>
    </row>
    <row r="2080" spans="1:14" x14ac:dyDescent="0.25">
      <c r="A2080" s="79" t="s">
        <v>39</v>
      </c>
      <c r="B2080" s="89" t="s">
        <v>11</v>
      </c>
      <c r="C2080" s="89" t="s">
        <v>43</v>
      </c>
      <c r="D2080" s="13" t="s">
        <v>180</v>
      </c>
      <c r="E2080" s="35">
        <f>VLOOKUP(B2080, Passenger_Kilometre_by_mode_type[#All],MATCH(A2080, Passenger_Kilometre_by_mode_type[#Headers],0),0)</f>
        <v>302040792.60850525</v>
      </c>
      <c r="F2080" s="89">
        <f>VLOOKUP(C2080, Reason_for_public_transport_journeys_by_percentage[#All],MATCH(A2080, Reason_for_public_transport_journeys_by_percentage[#Headers],0),0)/100</f>
        <v>0.10475</v>
      </c>
      <c r="G2080" s="13">
        <f t="shared" si="162"/>
        <v>31638773.025740925</v>
      </c>
      <c r="H2080" s="89">
        <f>VLOOKUP(D2080,Average_Distance_by_kilometre_grouping_for_mode_type[#All],MATCH(A2080,Average_Distance_by_kilometre_grouping_for_mode_type[#Headers],0),0)</f>
        <v>5</v>
      </c>
      <c r="I2080" s="89">
        <f>VLOOKUP(D2080,Average_Distance_by_kilometres_grouping_for_trip_purpose[#All],MATCH(A2080,Average_Distance_by_kilometres_grouping_for_trip_purpose[#Headers],0),0)</f>
        <v>5</v>
      </c>
      <c r="J2080" s="89">
        <f t="shared" si="163"/>
        <v>5</v>
      </c>
      <c r="K2080" s="89">
        <f t="shared" si="164"/>
        <v>0.11641443538998836</v>
      </c>
      <c r="L2080" s="89">
        <v>1</v>
      </c>
      <c r="M2080" s="13">
        <f t="shared" si="165"/>
        <v>3683209.8982236232</v>
      </c>
      <c r="N2080" s="11">
        <f t="shared" si="166"/>
        <v>5.6260133864917869E-5</v>
      </c>
    </row>
    <row r="2081" spans="1:14" x14ac:dyDescent="0.25">
      <c r="A2081" s="79" t="s">
        <v>39</v>
      </c>
      <c r="B2081" s="89" t="s">
        <v>11</v>
      </c>
      <c r="C2081" s="89" t="s">
        <v>43</v>
      </c>
      <c r="D2081" s="13" t="s">
        <v>182</v>
      </c>
      <c r="E2081" s="35">
        <f>VLOOKUP(B2081, Passenger_Kilometre_by_mode_type[#All],MATCH(A2081, Passenger_Kilometre_by_mode_type[#Headers],0),0)</f>
        <v>302040792.60850525</v>
      </c>
      <c r="F2081" s="89">
        <f>VLOOKUP(C2081, Reason_for_public_transport_journeys_by_percentage[#All],MATCH(A2081, Reason_for_public_transport_journeys_by_percentage[#Headers],0),0)/100</f>
        <v>0.10475</v>
      </c>
      <c r="G2081" s="13">
        <f t="shared" si="162"/>
        <v>31638773.025740925</v>
      </c>
      <c r="H2081" s="89">
        <f>VLOOKUP(D2081,Average_Distance_by_kilometre_grouping_for_mode_type[#All],MATCH(A2081,Average_Distance_by_kilometre_grouping_for_mode_type[#Headers],0),0)</f>
        <v>7</v>
      </c>
      <c r="I2081" s="89">
        <f>VLOOKUP(D2081,Average_Distance_by_kilometres_grouping_for_trip_purpose[#All],MATCH(A2081,Average_Distance_by_kilometres_grouping_for_trip_purpose[#Headers],0),0)</f>
        <v>7</v>
      </c>
      <c r="J2081" s="89">
        <f t="shared" si="163"/>
        <v>7</v>
      </c>
      <c r="K2081" s="89">
        <f t="shared" si="164"/>
        <v>0.16298020954598369</v>
      </c>
      <c r="L2081" s="89">
        <v>1</v>
      </c>
      <c r="M2081" s="13">
        <f t="shared" si="165"/>
        <v>5156493.857513072</v>
      </c>
      <c r="N2081" s="11">
        <f t="shared" si="166"/>
        <v>7.8764187410885008E-5</v>
      </c>
    </row>
    <row r="2082" spans="1:14" x14ac:dyDescent="0.25">
      <c r="A2082" s="79" t="s">
        <v>39</v>
      </c>
      <c r="B2082" s="89" t="s">
        <v>11</v>
      </c>
      <c r="C2082" s="89" t="s">
        <v>43</v>
      </c>
      <c r="D2082" s="13" t="s">
        <v>1</v>
      </c>
      <c r="E2082" s="35">
        <f>VLOOKUP(B2082, Passenger_Kilometre_by_mode_type[#All],MATCH(A2082, Passenger_Kilometre_by_mode_type[#Headers],0),0)</f>
        <v>302040792.60850525</v>
      </c>
      <c r="F2082" s="89">
        <f>VLOOKUP(C2082, Reason_for_public_transport_journeys_by_percentage[#All],MATCH(A2082, Reason_for_public_transport_journeys_by_percentage[#Headers],0),0)/100</f>
        <v>0.10475</v>
      </c>
      <c r="G2082" s="13">
        <f t="shared" si="162"/>
        <v>31638773.025740925</v>
      </c>
      <c r="H2082" s="89">
        <f>VLOOKUP(D2082,Average_Distance_by_kilometre_grouping_for_mode_type[#All],MATCH(A2082,Average_Distance_by_kilometre_grouping_for_mode_type[#Headers],0),0)</f>
        <v>25.7</v>
      </c>
      <c r="I2082" s="89">
        <f>VLOOKUP(D2082,Average_Distance_by_kilometres_grouping_for_trip_purpose[#All],MATCH(A2082,Average_Distance_by_kilometres_grouping_for_trip_purpose[#Headers],0),0)</f>
        <v>28.2</v>
      </c>
      <c r="J2082" s="89">
        <f t="shared" si="163"/>
        <v>26.95</v>
      </c>
      <c r="K2082" s="89">
        <f t="shared" si="164"/>
        <v>0.62747380675203723</v>
      </c>
      <c r="L2082" s="89">
        <v>1</v>
      </c>
      <c r="M2082" s="13">
        <f t="shared" si="165"/>
        <v>19852501.351425331</v>
      </c>
      <c r="N2082" s="11">
        <f t="shared" si="166"/>
        <v>3.0324212153190732E-4</v>
      </c>
    </row>
    <row r="2083" spans="1:14" x14ac:dyDescent="0.25">
      <c r="A2083" s="79" t="s">
        <v>39</v>
      </c>
      <c r="B2083" s="89" t="s">
        <v>11</v>
      </c>
      <c r="C2083" s="89" t="s">
        <v>44</v>
      </c>
      <c r="D2083" s="13" t="s">
        <v>12</v>
      </c>
      <c r="E2083" s="35">
        <f>VLOOKUP(B2083, Passenger_Kilometre_by_mode_type[#All],MATCH(A2083, Passenger_Kilometre_by_mode_type[#Headers],0),0)</f>
        <v>302040792.60850525</v>
      </c>
      <c r="F2083" s="89">
        <f>VLOOKUP(C2083, Reason_for_public_transport_journeys_by_percentage[#All],MATCH(A2083, Reason_for_public_transport_journeys_by_percentage[#Headers],0),0)/100</f>
        <v>0.27474999999999999</v>
      </c>
      <c r="G2083" s="13">
        <f t="shared" si="162"/>
        <v>82985707.76918681</v>
      </c>
      <c r="H2083" s="89">
        <f>VLOOKUP(D2083,Average_Distance_by_kilometre_grouping_for_mode_type[#All],MATCH(A2083,Average_Distance_by_kilometre_grouping_for_mode_type[#Headers],0),0)</f>
        <v>1</v>
      </c>
      <c r="I2083" s="89">
        <f>VLOOKUP(D2083,Average_Distance_by_kilometres_grouping_for_trip_purpose[#All],MATCH(A2083,Average_Distance_by_kilometres_grouping_for_trip_purpose[#Headers],0),0)</f>
        <v>1</v>
      </c>
      <c r="J2083" s="89">
        <f t="shared" si="163"/>
        <v>1</v>
      </c>
      <c r="K2083" s="89">
        <f t="shared" si="164"/>
        <v>2.3282887077997669E-2</v>
      </c>
      <c r="L2083" s="89">
        <v>1</v>
      </c>
      <c r="M2083" s="13">
        <f t="shared" si="165"/>
        <v>1932146.8630776904</v>
      </c>
      <c r="N2083" s="11">
        <f t="shared" si="166"/>
        <v>2.9513072609806555E-5</v>
      </c>
    </row>
    <row r="2084" spans="1:14" x14ac:dyDescent="0.25">
      <c r="A2084" s="79" t="s">
        <v>39</v>
      </c>
      <c r="B2084" s="89" t="s">
        <v>11</v>
      </c>
      <c r="C2084" s="89" t="s">
        <v>44</v>
      </c>
      <c r="D2084" s="13" t="s">
        <v>181</v>
      </c>
      <c r="E2084" s="35">
        <f>VLOOKUP(B2084, Passenger_Kilometre_by_mode_type[#All],MATCH(A2084, Passenger_Kilometre_by_mode_type[#Headers],0),0)</f>
        <v>302040792.60850525</v>
      </c>
      <c r="F2084" s="89">
        <f>VLOOKUP(C2084, Reason_for_public_transport_journeys_by_percentage[#All],MATCH(A2084, Reason_for_public_transport_journeys_by_percentage[#Headers],0),0)/100</f>
        <v>0.27474999999999999</v>
      </c>
      <c r="G2084" s="13">
        <f t="shared" si="162"/>
        <v>82985707.76918681</v>
      </c>
      <c r="H2084" s="89">
        <f>VLOOKUP(D2084,Average_Distance_by_kilometre_grouping_for_mode_type[#All],MATCH(A2084,Average_Distance_by_kilometre_grouping_for_mode_type[#Headers],0),0)</f>
        <v>3</v>
      </c>
      <c r="I2084" s="89">
        <f>VLOOKUP(D2084,Average_Distance_by_kilometres_grouping_for_trip_purpose[#All],MATCH(A2084,Average_Distance_by_kilometres_grouping_for_trip_purpose[#Headers],0),0)</f>
        <v>3</v>
      </c>
      <c r="J2084" s="89">
        <f t="shared" si="163"/>
        <v>3</v>
      </c>
      <c r="K2084" s="89">
        <f t="shared" si="164"/>
        <v>6.9848661233993012E-2</v>
      </c>
      <c r="L2084" s="89">
        <v>1</v>
      </c>
      <c r="M2084" s="13">
        <f t="shared" si="165"/>
        <v>5796440.5892330715</v>
      </c>
      <c r="N2084" s="11">
        <f t="shared" si="166"/>
        <v>8.8539217829419664E-5</v>
      </c>
    </row>
    <row r="2085" spans="1:14" x14ac:dyDescent="0.25">
      <c r="A2085" s="79" t="s">
        <v>39</v>
      </c>
      <c r="B2085" s="89" t="s">
        <v>11</v>
      </c>
      <c r="C2085" s="89" t="s">
        <v>44</v>
      </c>
      <c r="D2085" s="13" t="s">
        <v>180</v>
      </c>
      <c r="E2085" s="35">
        <f>VLOOKUP(B2085, Passenger_Kilometre_by_mode_type[#All],MATCH(A2085, Passenger_Kilometre_by_mode_type[#Headers],0),0)</f>
        <v>302040792.60850525</v>
      </c>
      <c r="F2085" s="89">
        <f>VLOOKUP(C2085, Reason_for_public_transport_journeys_by_percentage[#All],MATCH(A2085, Reason_for_public_transport_journeys_by_percentage[#Headers],0),0)/100</f>
        <v>0.27474999999999999</v>
      </c>
      <c r="G2085" s="13">
        <f t="shared" si="162"/>
        <v>82985707.76918681</v>
      </c>
      <c r="H2085" s="89">
        <f>VLOOKUP(D2085,Average_Distance_by_kilometre_grouping_for_mode_type[#All],MATCH(A2085,Average_Distance_by_kilometre_grouping_for_mode_type[#Headers],0),0)</f>
        <v>5</v>
      </c>
      <c r="I2085" s="89">
        <f>VLOOKUP(D2085,Average_Distance_by_kilometres_grouping_for_trip_purpose[#All],MATCH(A2085,Average_Distance_by_kilometres_grouping_for_trip_purpose[#Headers],0),0)</f>
        <v>5</v>
      </c>
      <c r="J2085" s="89">
        <f t="shared" si="163"/>
        <v>5</v>
      </c>
      <c r="K2085" s="89">
        <f t="shared" si="164"/>
        <v>0.11641443538998836</v>
      </c>
      <c r="L2085" s="89">
        <v>1</v>
      </c>
      <c r="M2085" s="13">
        <f t="shared" si="165"/>
        <v>9660734.3153884523</v>
      </c>
      <c r="N2085" s="11">
        <f t="shared" si="166"/>
        <v>1.4756536304903279E-4</v>
      </c>
    </row>
    <row r="2086" spans="1:14" x14ac:dyDescent="0.25">
      <c r="A2086" s="79" t="s">
        <v>39</v>
      </c>
      <c r="B2086" s="89" t="s">
        <v>11</v>
      </c>
      <c r="C2086" s="89" t="s">
        <v>44</v>
      </c>
      <c r="D2086" s="13" t="s">
        <v>182</v>
      </c>
      <c r="E2086" s="35">
        <f>VLOOKUP(B2086, Passenger_Kilometre_by_mode_type[#All],MATCH(A2086, Passenger_Kilometre_by_mode_type[#Headers],0),0)</f>
        <v>302040792.60850525</v>
      </c>
      <c r="F2086" s="89">
        <f>VLOOKUP(C2086, Reason_for_public_transport_journeys_by_percentage[#All],MATCH(A2086, Reason_for_public_transport_journeys_by_percentage[#Headers],0),0)/100</f>
        <v>0.27474999999999999</v>
      </c>
      <c r="G2086" s="13">
        <f t="shared" si="162"/>
        <v>82985707.76918681</v>
      </c>
      <c r="H2086" s="89">
        <f>VLOOKUP(D2086,Average_Distance_by_kilometre_grouping_for_mode_type[#All],MATCH(A2086,Average_Distance_by_kilometre_grouping_for_mode_type[#Headers],0),0)</f>
        <v>7</v>
      </c>
      <c r="I2086" s="89">
        <f>VLOOKUP(D2086,Average_Distance_by_kilometres_grouping_for_trip_purpose[#All],MATCH(A2086,Average_Distance_by_kilometres_grouping_for_trip_purpose[#Headers],0),0)</f>
        <v>7</v>
      </c>
      <c r="J2086" s="89">
        <f t="shared" si="163"/>
        <v>7</v>
      </c>
      <c r="K2086" s="89">
        <f t="shared" si="164"/>
        <v>0.16298020954598369</v>
      </c>
      <c r="L2086" s="89">
        <v>1</v>
      </c>
      <c r="M2086" s="13">
        <f t="shared" si="165"/>
        <v>13525028.041543832</v>
      </c>
      <c r="N2086" s="11">
        <f t="shared" si="166"/>
        <v>2.0659150826864587E-4</v>
      </c>
    </row>
    <row r="2087" spans="1:14" x14ac:dyDescent="0.25">
      <c r="A2087" s="79" t="s">
        <v>39</v>
      </c>
      <c r="B2087" s="89" t="s">
        <v>11</v>
      </c>
      <c r="C2087" s="89" t="s">
        <v>44</v>
      </c>
      <c r="D2087" s="13" t="s">
        <v>1</v>
      </c>
      <c r="E2087" s="35">
        <f>VLOOKUP(B2087, Passenger_Kilometre_by_mode_type[#All],MATCH(A2087, Passenger_Kilometre_by_mode_type[#Headers],0),0)</f>
        <v>302040792.60850525</v>
      </c>
      <c r="F2087" s="89">
        <f>VLOOKUP(C2087, Reason_for_public_transport_journeys_by_percentage[#All],MATCH(A2087, Reason_for_public_transport_journeys_by_percentage[#Headers],0),0)/100</f>
        <v>0.27474999999999999</v>
      </c>
      <c r="G2087" s="13">
        <f t="shared" si="162"/>
        <v>82985707.76918681</v>
      </c>
      <c r="H2087" s="89">
        <f>VLOOKUP(D2087,Average_Distance_by_kilometre_grouping_for_mode_type[#All],MATCH(A2087,Average_Distance_by_kilometre_grouping_for_mode_type[#Headers],0),0)</f>
        <v>25.7</v>
      </c>
      <c r="I2087" s="89">
        <f>VLOOKUP(D2087,Average_Distance_by_kilometres_grouping_for_trip_purpose[#All],MATCH(A2087,Average_Distance_by_kilometres_grouping_for_trip_purpose[#Headers],0),0)</f>
        <v>28.2</v>
      </c>
      <c r="J2087" s="89">
        <f t="shared" si="163"/>
        <v>26.95</v>
      </c>
      <c r="K2087" s="89">
        <f t="shared" si="164"/>
        <v>0.62747380675203723</v>
      </c>
      <c r="L2087" s="89">
        <v>1</v>
      </c>
      <c r="M2087" s="13">
        <f t="shared" si="165"/>
        <v>52071357.959943756</v>
      </c>
      <c r="N2087" s="11">
        <f t="shared" si="166"/>
        <v>7.953773068342866E-4</v>
      </c>
    </row>
    <row r="2088" spans="1:14" x14ac:dyDescent="0.25">
      <c r="A2088" s="79" t="s">
        <v>39</v>
      </c>
      <c r="B2088" s="89" t="s">
        <v>11</v>
      </c>
      <c r="C2088" s="89" t="s">
        <v>45</v>
      </c>
      <c r="D2088" s="13" t="s">
        <v>12</v>
      </c>
      <c r="E2088" s="35">
        <f>VLOOKUP(B2088, Passenger_Kilometre_by_mode_type[#All],MATCH(A2088, Passenger_Kilometre_by_mode_type[#Headers],0),0)</f>
        <v>302040792.60850525</v>
      </c>
      <c r="F2088" s="89">
        <f>VLOOKUP(C2088, Reason_for_public_transport_journeys_by_percentage[#All],MATCH(A2088, Reason_for_public_transport_journeys_by_percentage[#Headers],0),0)/100</f>
        <v>2.9499999999999998E-2</v>
      </c>
      <c r="G2088" s="13">
        <f t="shared" si="162"/>
        <v>8910203.3819509037</v>
      </c>
      <c r="H2088" s="89">
        <f>VLOOKUP(D2088,Average_Distance_by_kilometre_grouping_for_mode_type[#All],MATCH(A2088,Average_Distance_by_kilometre_grouping_for_mode_type[#Headers],0),0)</f>
        <v>1</v>
      </c>
      <c r="I2088" s="89">
        <f>VLOOKUP(D2088,Average_Distance_by_kilometres_grouping_for_trip_purpose[#All],MATCH(A2088,Average_Distance_by_kilometres_grouping_for_trip_purpose[#Headers],0),0)</f>
        <v>1</v>
      </c>
      <c r="J2088" s="89">
        <f t="shared" si="163"/>
        <v>1</v>
      </c>
      <c r="K2088" s="89">
        <f t="shared" si="164"/>
        <v>2.3282887077997669E-2</v>
      </c>
      <c r="L2088" s="89">
        <v>1</v>
      </c>
      <c r="M2088" s="13">
        <f t="shared" si="165"/>
        <v>207455.25918395582</v>
      </c>
      <c r="N2088" s="11">
        <f t="shared" si="166"/>
        <v>3.1688285422722229E-6</v>
      </c>
    </row>
    <row r="2089" spans="1:14" x14ac:dyDescent="0.25">
      <c r="A2089" s="79" t="s">
        <v>39</v>
      </c>
      <c r="B2089" s="89" t="s">
        <v>11</v>
      </c>
      <c r="C2089" s="89" t="s">
        <v>45</v>
      </c>
      <c r="D2089" s="13" t="s">
        <v>181</v>
      </c>
      <c r="E2089" s="35">
        <f>VLOOKUP(B2089, Passenger_Kilometre_by_mode_type[#All],MATCH(A2089, Passenger_Kilometre_by_mode_type[#Headers],0),0)</f>
        <v>302040792.60850525</v>
      </c>
      <c r="F2089" s="89">
        <f>VLOOKUP(C2089, Reason_for_public_transport_journeys_by_percentage[#All],MATCH(A2089, Reason_for_public_transport_journeys_by_percentage[#Headers],0),0)/100</f>
        <v>2.9499999999999998E-2</v>
      </c>
      <c r="G2089" s="13">
        <f t="shared" si="162"/>
        <v>8910203.3819509037</v>
      </c>
      <c r="H2089" s="89">
        <f>VLOOKUP(D2089,Average_Distance_by_kilometre_grouping_for_mode_type[#All],MATCH(A2089,Average_Distance_by_kilometre_grouping_for_mode_type[#Headers],0),0)</f>
        <v>3</v>
      </c>
      <c r="I2089" s="89">
        <f>VLOOKUP(D2089,Average_Distance_by_kilometres_grouping_for_trip_purpose[#All],MATCH(A2089,Average_Distance_by_kilometres_grouping_for_trip_purpose[#Headers],0),0)</f>
        <v>3</v>
      </c>
      <c r="J2089" s="89">
        <f t="shared" si="163"/>
        <v>3</v>
      </c>
      <c r="K2089" s="89">
        <f t="shared" si="164"/>
        <v>6.9848661233993012E-2</v>
      </c>
      <c r="L2089" s="89">
        <v>1</v>
      </c>
      <c r="M2089" s="13">
        <f t="shared" si="165"/>
        <v>622365.77755186753</v>
      </c>
      <c r="N2089" s="11">
        <f t="shared" si="166"/>
        <v>9.5064856268166699E-6</v>
      </c>
    </row>
    <row r="2090" spans="1:14" x14ac:dyDescent="0.25">
      <c r="A2090" s="79" t="s">
        <v>39</v>
      </c>
      <c r="B2090" s="89" t="s">
        <v>11</v>
      </c>
      <c r="C2090" s="89" t="s">
        <v>45</v>
      </c>
      <c r="D2090" s="13" t="s">
        <v>180</v>
      </c>
      <c r="E2090" s="35">
        <f>VLOOKUP(B2090, Passenger_Kilometre_by_mode_type[#All],MATCH(A2090, Passenger_Kilometre_by_mode_type[#Headers],0),0)</f>
        <v>302040792.60850525</v>
      </c>
      <c r="F2090" s="89">
        <f>VLOOKUP(C2090, Reason_for_public_transport_journeys_by_percentage[#All],MATCH(A2090, Reason_for_public_transport_journeys_by_percentage[#Headers],0),0)/100</f>
        <v>2.9499999999999998E-2</v>
      </c>
      <c r="G2090" s="13">
        <f t="shared" si="162"/>
        <v>8910203.3819509037</v>
      </c>
      <c r="H2090" s="89">
        <f>VLOOKUP(D2090,Average_Distance_by_kilometre_grouping_for_mode_type[#All],MATCH(A2090,Average_Distance_by_kilometre_grouping_for_mode_type[#Headers],0),0)</f>
        <v>5</v>
      </c>
      <c r="I2090" s="89">
        <f>VLOOKUP(D2090,Average_Distance_by_kilometres_grouping_for_trip_purpose[#All],MATCH(A2090,Average_Distance_by_kilometres_grouping_for_trip_purpose[#Headers],0),0)</f>
        <v>5</v>
      </c>
      <c r="J2090" s="89">
        <f t="shared" si="163"/>
        <v>5</v>
      </c>
      <c r="K2090" s="89">
        <f t="shared" si="164"/>
        <v>0.11641443538998836</v>
      </c>
      <c r="L2090" s="89">
        <v>1</v>
      </c>
      <c r="M2090" s="13">
        <f t="shared" si="165"/>
        <v>1037276.2959197792</v>
      </c>
      <c r="N2090" s="11">
        <f t="shared" si="166"/>
        <v>1.5844142711361116E-5</v>
      </c>
    </row>
    <row r="2091" spans="1:14" x14ac:dyDescent="0.25">
      <c r="A2091" s="79" t="s">
        <v>39</v>
      </c>
      <c r="B2091" s="89" t="s">
        <v>11</v>
      </c>
      <c r="C2091" s="89" t="s">
        <v>45</v>
      </c>
      <c r="D2091" s="13" t="s">
        <v>182</v>
      </c>
      <c r="E2091" s="35">
        <f>VLOOKUP(B2091, Passenger_Kilometre_by_mode_type[#All],MATCH(A2091, Passenger_Kilometre_by_mode_type[#Headers],0),0)</f>
        <v>302040792.60850525</v>
      </c>
      <c r="F2091" s="89">
        <f>VLOOKUP(C2091, Reason_for_public_transport_journeys_by_percentage[#All],MATCH(A2091, Reason_for_public_transport_journeys_by_percentage[#Headers],0),0)/100</f>
        <v>2.9499999999999998E-2</v>
      </c>
      <c r="G2091" s="13">
        <f t="shared" si="162"/>
        <v>8910203.3819509037</v>
      </c>
      <c r="H2091" s="89">
        <f>VLOOKUP(D2091,Average_Distance_by_kilometre_grouping_for_mode_type[#All],MATCH(A2091,Average_Distance_by_kilometre_grouping_for_mode_type[#Headers],0),0)</f>
        <v>7</v>
      </c>
      <c r="I2091" s="89">
        <f>VLOOKUP(D2091,Average_Distance_by_kilometres_grouping_for_trip_purpose[#All],MATCH(A2091,Average_Distance_by_kilometres_grouping_for_trip_purpose[#Headers],0),0)</f>
        <v>7</v>
      </c>
      <c r="J2091" s="89">
        <f t="shared" si="163"/>
        <v>7</v>
      </c>
      <c r="K2091" s="89">
        <f t="shared" si="164"/>
        <v>0.16298020954598369</v>
      </c>
      <c r="L2091" s="89">
        <v>1</v>
      </c>
      <c r="M2091" s="13">
        <f t="shared" si="165"/>
        <v>1452186.8142876909</v>
      </c>
      <c r="N2091" s="11">
        <f t="shared" si="166"/>
        <v>2.2181799795905563E-5</v>
      </c>
    </row>
    <row r="2092" spans="1:14" x14ac:dyDescent="0.25">
      <c r="A2092" s="79" t="s">
        <v>39</v>
      </c>
      <c r="B2092" s="89" t="s">
        <v>11</v>
      </c>
      <c r="C2092" s="89" t="s">
        <v>45</v>
      </c>
      <c r="D2092" s="13" t="s">
        <v>1</v>
      </c>
      <c r="E2092" s="35">
        <f>VLOOKUP(B2092, Passenger_Kilometre_by_mode_type[#All],MATCH(A2092, Passenger_Kilometre_by_mode_type[#Headers],0),0)</f>
        <v>302040792.60850525</v>
      </c>
      <c r="F2092" s="89">
        <f>VLOOKUP(C2092, Reason_for_public_transport_journeys_by_percentage[#All],MATCH(A2092, Reason_for_public_transport_journeys_by_percentage[#Headers],0),0)/100</f>
        <v>2.9499999999999998E-2</v>
      </c>
      <c r="G2092" s="13">
        <f t="shared" si="162"/>
        <v>8910203.3819509037</v>
      </c>
      <c r="H2092" s="89">
        <f>VLOOKUP(D2092,Average_Distance_by_kilometre_grouping_for_mode_type[#All],MATCH(A2092,Average_Distance_by_kilometre_grouping_for_mode_type[#Headers],0),0)</f>
        <v>25.7</v>
      </c>
      <c r="I2092" s="89">
        <f>VLOOKUP(D2092,Average_Distance_by_kilometres_grouping_for_trip_purpose[#All],MATCH(A2092,Average_Distance_by_kilometres_grouping_for_trip_purpose[#Headers],0),0)</f>
        <v>28.2</v>
      </c>
      <c r="J2092" s="89">
        <f t="shared" si="163"/>
        <v>26.95</v>
      </c>
      <c r="K2092" s="89">
        <f t="shared" si="164"/>
        <v>0.62747380675203723</v>
      </c>
      <c r="L2092" s="89">
        <v>1</v>
      </c>
      <c r="M2092" s="13">
        <f t="shared" si="165"/>
        <v>5590919.2350076102</v>
      </c>
      <c r="N2092" s="11">
        <f t="shared" si="166"/>
        <v>8.5399929214236426E-5</v>
      </c>
    </row>
    <row r="2093" spans="1:14" x14ac:dyDescent="0.25">
      <c r="A2093" s="79" t="s">
        <v>39</v>
      </c>
      <c r="B2093" s="89" t="s">
        <v>11</v>
      </c>
      <c r="C2093" s="89" t="s">
        <v>56</v>
      </c>
      <c r="D2093" s="13" t="s">
        <v>12</v>
      </c>
      <c r="E2093" s="35">
        <f>VLOOKUP(B2093, Passenger_Kilometre_by_mode_type[#All],MATCH(A2093, Passenger_Kilometre_by_mode_type[#Headers],0),0)</f>
        <v>302040792.60850525</v>
      </c>
      <c r="F2093" s="89">
        <f>VLOOKUP(C2093, Reason_for_public_transport_journeys_by_percentage[#All],MATCH(A2093, Reason_for_public_transport_journeys_by_percentage[#Headers],0),0)/100</f>
        <v>7.0999999999999994E-2</v>
      </c>
      <c r="G2093" s="13">
        <f t="shared" si="162"/>
        <v>21444896.275203872</v>
      </c>
      <c r="H2093" s="89">
        <f>VLOOKUP(D2093,Average_Distance_by_kilometre_grouping_for_mode_type[#All],MATCH(A2093,Average_Distance_by_kilometre_grouping_for_mode_type[#Headers],0),0)</f>
        <v>1</v>
      </c>
      <c r="I2093" s="89">
        <f>VLOOKUP(D2093,Average_Distance_by_kilometres_grouping_for_trip_purpose[#All],MATCH(A2093,Average_Distance_by_kilometres_grouping_for_trip_purpose[#Headers],0),0)</f>
        <v>1</v>
      </c>
      <c r="J2093" s="89">
        <f t="shared" si="163"/>
        <v>1</v>
      </c>
      <c r="K2093" s="89">
        <f t="shared" si="164"/>
        <v>2.3282887077997669E-2</v>
      </c>
      <c r="L2093" s="89">
        <v>1</v>
      </c>
      <c r="M2093" s="13">
        <f t="shared" si="165"/>
        <v>499299.09837494459</v>
      </c>
      <c r="N2093" s="11">
        <f t="shared" si="166"/>
        <v>7.6266720847907748E-6</v>
      </c>
    </row>
    <row r="2094" spans="1:14" x14ac:dyDescent="0.25">
      <c r="A2094" s="79" t="s">
        <v>39</v>
      </c>
      <c r="B2094" s="89" t="s">
        <v>11</v>
      </c>
      <c r="C2094" s="89" t="s">
        <v>56</v>
      </c>
      <c r="D2094" s="13" t="s">
        <v>181</v>
      </c>
      <c r="E2094" s="35">
        <f>VLOOKUP(B2094, Passenger_Kilometre_by_mode_type[#All],MATCH(A2094, Passenger_Kilometre_by_mode_type[#Headers],0),0)</f>
        <v>302040792.60850525</v>
      </c>
      <c r="F2094" s="89">
        <f>VLOOKUP(C2094, Reason_for_public_transport_journeys_by_percentage[#All],MATCH(A2094, Reason_for_public_transport_journeys_by_percentage[#Headers],0),0)/100</f>
        <v>7.0999999999999994E-2</v>
      </c>
      <c r="G2094" s="13">
        <f t="shared" si="162"/>
        <v>21444896.275203872</v>
      </c>
      <c r="H2094" s="89">
        <f>VLOOKUP(D2094,Average_Distance_by_kilometre_grouping_for_mode_type[#All],MATCH(A2094,Average_Distance_by_kilometre_grouping_for_mode_type[#Headers],0),0)</f>
        <v>3</v>
      </c>
      <c r="I2094" s="89">
        <f>VLOOKUP(D2094,Average_Distance_by_kilometres_grouping_for_trip_purpose[#All],MATCH(A2094,Average_Distance_by_kilometres_grouping_for_trip_purpose[#Headers],0),0)</f>
        <v>3</v>
      </c>
      <c r="J2094" s="89">
        <f t="shared" si="163"/>
        <v>3</v>
      </c>
      <c r="K2094" s="89">
        <f t="shared" si="164"/>
        <v>6.9848661233993012E-2</v>
      </c>
      <c r="L2094" s="89">
        <v>1</v>
      </c>
      <c r="M2094" s="13">
        <f t="shared" si="165"/>
        <v>1497897.2951248339</v>
      </c>
      <c r="N2094" s="11">
        <f t="shared" si="166"/>
        <v>2.2880016254372327E-5</v>
      </c>
    </row>
    <row r="2095" spans="1:14" x14ac:dyDescent="0.25">
      <c r="A2095" s="79" t="s">
        <v>39</v>
      </c>
      <c r="B2095" s="89" t="s">
        <v>11</v>
      </c>
      <c r="C2095" s="89" t="s">
        <v>56</v>
      </c>
      <c r="D2095" s="13" t="s">
        <v>180</v>
      </c>
      <c r="E2095" s="35">
        <f>VLOOKUP(B2095, Passenger_Kilometre_by_mode_type[#All],MATCH(A2095, Passenger_Kilometre_by_mode_type[#Headers],0),0)</f>
        <v>302040792.60850525</v>
      </c>
      <c r="F2095" s="89">
        <f>VLOOKUP(C2095, Reason_for_public_transport_journeys_by_percentage[#All],MATCH(A2095, Reason_for_public_transport_journeys_by_percentage[#Headers],0),0)/100</f>
        <v>7.0999999999999994E-2</v>
      </c>
      <c r="G2095" s="13">
        <f t="shared" si="162"/>
        <v>21444896.275203872</v>
      </c>
      <c r="H2095" s="89">
        <f>VLOOKUP(D2095,Average_Distance_by_kilometre_grouping_for_mode_type[#All],MATCH(A2095,Average_Distance_by_kilometre_grouping_for_mode_type[#Headers],0),0)</f>
        <v>5</v>
      </c>
      <c r="I2095" s="89">
        <f>VLOOKUP(D2095,Average_Distance_by_kilometres_grouping_for_trip_purpose[#All],MATCH(A2095,Average_Distance_by_kilometres_grouping_for_trip_purpose[#Headers],0),0)</f>
        <v>5</v>
      </c>
      <c r="J2095" s="89">
        <f t="shared" si="163"/>
        <v>5</v>
      </c>
      <c r="K2095" s="89">
        <f t="shared" si="164"/>
        <v>0.11641443538998836</v>
      </c>
      <c r="L2095" s="89">
        <v>1</v>
      </c>
      <c r="M2095" s="13">
        <f t="shared" si="165"/>
        <v>2496495.4918747232</v>
      </c>
      <c r="N2095" s="11">
        <f t="shared" si="166"/>
        <v>3.8133360423953882E-5</v>
      </c>
    </row>
    <row r="2096" spans="1:14" x14ac:dyDescent="0.25">
      <c r="A2096" s="79" t="s">
        <v>39</v>
      </c>
      <c r="B2096" s="89" t="s">
        <v>11</v>
      </c>
      <c r="C2096" s="89" t="s">
        <v>56</v>
      </c>
      <c r="D2096" s="13" t="s">
        <v>182</v>
      </c>
      <c r="E2096" s="35">
        <f>VLOOKUP(B2096, Passenger_Kilometre_by_mode_type[#All],MATCH(A2096, Passenger_Kilometre_by_mode_type[#Headers],0),0)</f>
        <v>302040792.60850525</v>
      </c>
      <c r="F2096" s="89">
        <f>VLOOKUP(C2096, Reason_for_public_transport_journeys_by_percentage[#All],MATCH(A2096, Reason_for_public_transport_journeys_by_percentage[#Headers],0),0)/100</f>
        <v>7.0999999999999994E-2</v>
      </c>
      <c r="G2096" s="13">
        <f t="shared" si="162"/>
        <v>21444896.275203872</v>
      </c>
      <c r="H2096" s="89">
        <f>VLOOKUP(D2096,Average_Distance_by_kilometre_grouping_for_mode_type[#All],MATCH(A2096,Average_Distance_by_kilometre_grouping_for_mode_type[#Headers],0),0)</f>
        <v>7</v>
      </c>
      <c r="I2096" s="89">
        <f>VLOOKUP(D2096,Average_Distance_by_kilometres_grouping_for_trip_purpose[#All],MATCH(A2096,Average_Distance_by_kilometres_grouping_for_trip_purpose[#Headers],0),0)</f>
        <v>7</v>
      </c>
      <c r="J2096" s="89">
        <f t="shared" si="163"/>
        <v>7</v>
      </c>
      <c r="K2096" s="89">
        <f t="shared" si="164"/>
        <v>0.16298020954598369</v>
      </c>
      <c r="L2096" s="89">
        <v>1</v>
      </c>
      <c r="M2096" s="13">
        <f t="shared" si="165"/>
        <v>3495093.6886246121</v>
      </c>
      <c r="N2096" s="11">
        <f t="shared" si="166"/>
        <v>5.3386704593535426E-5</v>
      </c>
    </row>
    <row r="2097" spans="1:14" x14ac:dyDescent="0.25">
      <c r="A2097" s="79" t="s">
        <v>39</v>
      </c>
      <c r="B2097" s="89" t="s">
        <v>11</v>
      </c>
      <c r="C2097" s="89" t="s">
        <v>56</v>
      </c>
      <c r="D2097" s="13" t="s">
        <v>1</v>
      </c>
      <c r="E2097" s="35">
        <f>VLOOKUP(B2097, Passenger_Kilometre_by_mode_type[#All],MATCH(A2097, Passenger_Kilometre_by_mode_type[#Headers],0),0)</f>
        <v>302040792.60850525</v>
      </c>
      <c r="F2097" s="89">
        <f>VLOOKUP(C2097, Reason_for_public_transport_journeys_by_percentage[#All],MATCH(A2097, Reason_for_public_transport_journeys_by_percentage[#Headers],0),0)/100</f>
        <v>7.0999999999999994E-2</v>
      </c>
      <c r="G2097" s="13">
        <f t="shared" si="162"/>
        <v>21444896.275203872</v>
      </c>
      <c r="H2097" s="89">
        <f>VLOOKUP(D2097,Average_Distance_by_kilometre_grouping_for_mode_type[#All],MATCH(A2097,Average_Distance_by_kilometre_grouping_for_mode_type[#Headers],0),0)</f>
        <v>25.7</v>
      </c>
      <c r="I2097" s="89">
        <f>VLOOKUP(D2097,Average_Distance_by_kilometres_grouping_for_trip_purpose[#All],MATCH(A2097,Average_Distance_by_kilometres_grouping_for_trip_purpose[#Headers],0),0)</f>
        <v>28.2</v>
      </c>
      <c r="J2097" s="89">
        <f t="shared" si="163"/>
        <v>26.95</v>
      </c>
      <c r="K2097" s="89">
        <f t="shared" si="164"/>
        <v>0.62747380675203723</v>
      </c>
      <c r="L2097" s="89">
        <v>1</v>
      </c>
      <c r="M2097" s="13">
        <f t="shared" si="165"/>
        <v>13456110.701204758</v>
      </c>
      <c r="N2097" s="11">
        <f t="shared" si="166"/>
        <v>2.0553881268511141E-4</v>
      </c>
    </row>
    <row r="2098" spans="1:14" x14ac:dyDescent="0.25">
      <c r="A2098" s="79" t="s">
        <v>39</v>
      </c>
      <c r="B2098" s="89" t="s">
        <v>11</v>
      </c>
      <c r="C2098" s="89" t="s">
        <v>57</v>
      </c>
      <c r="D2098" s="13" t="s">
        <v>12</v>
      </c>
      <c r="E2098" s="35">
        <f>VLOOKUP(B2098, Passenger_Kilometre_by_mode_type[#All],MATCH(A2098, Passenger_Kilometre_by_mode_type[#Headers],0),0)</f>
        <v>302040792.60850525</v>
      </c>
      <c r="F2098" s="89">
        <f>VLOOKUP(C2098, Reason_for_public_transport_journeys_by_percentage[#All],MATCH(A2098, Reason_for_public_transport_journeys_by_percentage[#Headers],0),0)/100</f>
        <v>5.1749999999999997E-2</v>
      </c>
      <c r="G2098" s="13">
        <f t="shared" si="162"/>
        <v>15630611.017490147</v>
      </c>
      <c r="H2098" s="89">
        <f>VLOOKUP(D2098,Average_Distance_by_kilometre_grouping_for_mode_type[#All],MATCH(A2098,Average_Distance_by_kilometre_grouping_for_mode_type[#Headers],0),0)</f>
        <v>1</v>
      </c>
      <c r="I2098" s="89">
        <f>VLOOKUP(D2098,Average_Distance_by_kilometres_grouping_for_trip_purpose[#All],MATCH(A2098,Average_Distance_by_kilometres_grouping_for_trip_purpose[#Headers],0),0)</f>
        <v>1</v>
      </c>
      <c r="J2098" s="89">
        <f t="shared" si="163"/>
        <v>1</v>
      </c>
      <c r="K2098" s="89">
        <f t="shared" si="164"/>
        <v>2.3282887077997669E-2</v>
      </c>
      <c r="L2098" s="89">
        <v>1</v>
      </c>
      <c r="M2098" s="13">
        <f t="shared" si="165"/>
        <v>363925.75128032936</v>
      </c>
      <c r="N2098" s="11">
        <f t="shared" si="166"/>
        <v>5.5588771885622911E-6</v>
      </c>
    </row>
    <row r="2099" spans="1:14" x14ac:dyDescent="0.25">
      <c r="A2099" s="79" t="s">
        <v>39</v>
      </c>
      <c r="B2099" s="89" t="s">
        <v>11</v>
      </c>
      <c r="C2099" s="89" t="s">
        <v>57</v>
      </c>
      <c r="D2099" s="13" t="s">
        <v>181</v>
      </c>
      <c r="E2099" s="35">
        <f>VLOOKUP(B2099, Passenger_Kilometre_by_mode_type[#All],MATCH(A2099, Passenger_Kilometre_by_mode_type[#Headers],0),0)</f>
        <v>302040792.60850525</v>
      </c>
      <c r="F2099" s="89">
        <f>VLOOKUP(C2099, Reason_for_public_transport_journeys_by_percentage[#All],MATCH(A2099, Reason_for_public_transport_journeys_by_percentage[#Headers],0),0)/100</f>
        <v>5.1749999999999997E-2</v>
      </c>
      <c r="G2099" s="13">
        <f t="shared" si="162"/>
        <v>15630611.017490147</v>
      </c>
      <c r="H2099" s="89">
        <f>VLOOKUP(D2099,Average_Distance_by_kilometre_grouping_for_mode_type[#All],MATCH(A2099,Average_Distance_by_kilometre_grouping_for_mode_type[#Headers],0),0)</f>
        <v>3</v>
      </c>
      <c r="I2099" s="89">
        <f>VLOOKUP(D2099,Average_Distance_by_kilometres_grouping_for_trip_purpose[#All],MATCH(A2099,Average_Distance_by_kilometres_grouping_for_trip_purpose[#Headers],0),0)</f>
        <v>3</v>
      </c>
      <c r="J2099" s="89">
        <f t="shared" si="163"/>
        <v>3</v>
      </c>
      <c r="K2099" s="89">
        <f t="shared" si="164"/>
        <v>6.9848661233993012E-2</v>
      </c>
      <c r="L2099" s="89">
        <v>1</v>
      </c>
      <c r="M2099" s="13">
        <f t="shared" si="165"/>
        <v>1091777.253840988</v>
      </c>
      <c r="N2099" s="11">
        <f t="shared" si="166"/>
        <v>1.6676631565686871E-5</v>
      </c>
    </row>
    <row r="2100" spans="1:14" x14ac:dyDescent="0.25">
      <c r="A2100" s="79" t="s">
        <v>39</v>
      </c>
      <c r="B2100" s="89" t="s">
        <v>11</v>
      </c>
      <c r="C2100" s="89" t="s">
        <v>57</v>
      </c>
      <c r="D2100" s="13" t="s">
        <v>180</v>
      </c>
      <c r="E2100" s="35">
        <f>VLOOKUP(B2100, Passenger_Kilometre_by_mode_type[#All],MATCH(A2100, Passenger_Kilometre_by_mode_type[#Headers],0),0)</f>
        <v>302040792.60850525</v>
      </c>
      <c r="F2100" s="89">
        <f>VLOOKUP(C2100, Reason_for_public_transport_journeys_by_percentage[#All],MATCH(A2100, Reason_for_public_transport_journeys_by_percentage[#Headers],0),0)/100</f>
        <v>5.1749999999999997E-2</v>
      </c>
      <c r="G2100" s="13">
        <f t="shared" si="162"/>
        <v>15630611.017490147</v>
      </c>
      <c r="H2100" s="89">
        <f>VLOOKUP(D2100,Average_Distance_by_kilometre_grouping_for_mode_type[#All],MATCH(A2100,Average_Distance_by_kilometre_grouping_for_mode_type[#Headers],0),0)</f>
        <v>5</v>
      </c>
      <c r="I2100" s="89">
        <f>VLOOKUP(D2100,Average_Distance_by_kilometres_grouping_for_trip_purpose[#All],MATCH(A2100,Average_Distance_by_kilometres_grouping_for_trip_purpose[#Headers],0),0)</f>
        <v>5</v>
      </c>
      <c r="J2100" s="89">
        <f t="shared" si="163"/>
        <v>5</v>
      </c>
      <c r="K2100" s="89">
        <f t="shared" si="164"/>
        <v>0.11641443538998836</v>
      </c>
      <c r="L2100" s="89">
        <v>1</v>
      </c>
      <c r="M2100" s="13">
        <f t="shared" si="165"/>
        <v>1819628.7564016469</v>
      </c>
      <c r="N2100" s="11">
        <f t="shared" si="166"/>
        <v>2.7794385942811454E-5</v>
      </c>
    </row>
    <row r="2101" spans="1:14" x14ac:dyDescent="0.25">
      <c r="A2101" s="79" t="s">
        <v>39</v>
      </c>
      <c r="B2101" s="89" t="s">
        <v>11</v>
      </c>
      <c r="C2101" s="89" t="s">
        <v>57</v>
      </c>
      <c r="D2101" s="13" t="s">
        <v>182</v>
      </c>
      <c r="E2101" s="35">
        <f>VLOOKUP(B2101, Passenger_Kilometre_by_mode_type[#All],MATCH(A2101, Passenger_Kilometre_by_mode_type[#Headers],0),0)</f>
        <v>302040792.60850525</v>
      </c>
      <c r="F2101" s="89">
        <f>VLOOKUP(C2101, Reason_for_public_transport_journeys_by_percentage[#All],MATCH(A2101, Reason_for_public_transport_journeys_by_percentage[#Headers],0),0)/100</f>
        <v>5.1749999999999997E-2</v>
      </c>
      <c r="G2101" s="13">
        <f t="shared" si="162"/>
        <v>15630611.017490147</v>
      </c>
      <c r="H2101" s="89">
        <f>VLOOKUP(D2101,Average_Distance_by_kilometre_grouping_for_mode_type[#All],MATCH(A2101,Average_Distance_by_kilometre_grouping_for_mode_type[#Headers],0),0)</f>
        <v>7</v>
      </c>
      <c r="I2101" s="89">
        <f>VLOOKUP(D2101,Average_Distance_by_kilometres_grouping_for_trip_purpose[#All],MATCH(A2101,Average_Distance_by_kilometres_grouping_for_trip_purpose[#Headers],0),0)</f>
        <v>7</v>
      </c>
      <c r="J2101" s="89">
        <f t="shared" si="163"/>
        <v>7</v>
      </c>
      <c r="K2101" s="89">
        <f t="shared" si="164"/>
        <v>0.16298020954598369</v>
      </c>
      <c r="L2101" s="89">
        <v>1</v>
      </c>
      <c r="M2101" s="13">
        <f t="shared" si="165"/>
        <v>2547480.2589623053</v>
      </c>
      <c r="N2101" s="11">
        <f t="shared" si="166"/>
        <v>3.8912140319936032E-5</v>
      </c>
    </row>
    <row r="2102" spans="1:14" x14ac:dyDescent="0.25">
      <c r="A2102" s="79" t="s">
        <v>39</v>
      </c>
      <c r="B2102" s="89" t="s">
        <v>11</v>
      </c>
      <c r="C2102" s="89" t="s">
        <v>57</v>
      </c>
      <c r="D2102" s="13" t="s">
        <v>1</v>
      </c>
      <c r="E2102" s="35">
        <f>VLOOKUP(B2102, Passenger_Kilometre_by_mode_type[#All],MATCH(A2102, Passenger_Kilometre_by_mode_type[#Headers],0),0)</f>
        <v>302040792.60850525</v>
      </c>
      <c r="F2102" s="89">
        <f>VLOOKUP(C2102, Reason_for_public_transport_journeys_by_percentage[#All],MATCH(A2102, Reason_for_public_transport_journeys_by_percentage[#Headers],0),0)/100</f>
        <v>5.1749999999999997E-2</v>
      </c>
      <c r="G2102" s="13">
        <f t="shared" si="162"/>
        <v>15630611.017490147</v>
      </c>
      <c r="H2102" s="89">
        <f>VLOOKUP(D2102,Average_Distance_by_kilometre_grouping_for_mode_type[#All],MATCH(A2102,Average_Distance_by_kilometre_grouping_for_mode_type[#Headers],0),0)</f>
        <v>25.7</v>
      </c>
      <c r="I2102" s="89">
        <f>VLOOKUP(D2102,Average_Distance_by_kilometres_grouping_for_trip_purpose[#All],MATCH(A2102,Average_Distance_by_kilometres_grouping_for_trip_purpose[#Headers],0),0)</f>
        <v>28.2</v>
      </c>
      <c r="J2102" s="89">
        <f t="shared" si="163"/>
        <v>26.95</v>
      </c>
      <c r="K2102" s="89">
        <f t="shared" si="164"/>
        <v>0.62747380675203723</v>
      </c>
      <c r="L2102" s="89">
        <v>1</v>
      </c>
      <c r="M2102" s="13">
        <f t="shared" si="165"/>
        <v>9807798.9970048759</v>
      </c>
      <c r="N2102" s="11">
        <f t="shared" si="166"/>
        <v>1.4981174023175373E-4</v>
      </c>
    </row>
    <row r="2103" spans="1:14" x14ac:dyDescent="0.25">
      <c r="A2103" s="79" t="s">
        <v>39</v>
      </c>
      <c r="B2103" s="89" t="s">
        <v>11</v>
      </c>
      <c r="C2103" s="89" t="s">
        <v>93</v>
      </c>
      <c r="D2103" s="13" t="s">
        <v>12</v>
      </c>
      <c r="E2103" s="35">
        <f>VLOOKUP(B2103, Passenger_Kilometre_by_mode_type[#All],MATCH(A2103, Passenger_Kilometre_by_mode_type[#Headers],0),0)</f>
        <v>302040792.60850525</v>
      </c>
      <c r="F2103" s="89">
        <f>VLOOKUP(C2103, Reason_for_public_transport_journeys_by_percentage[#All],MATCH(A2103, Reason_for_public_transport_journeys_by_percentage[#Headers],0),0)/100</f>
        <v>4.2999999999999997E-2</v>
      </c>
      <c r="G2103" s="13">
        <f t="shared" si="162"/>
        <v>12987754.082165726</v>
      </c>
      <c r="H2103" s="89">
        <f>VLOOKUP(D2103,Average_Distance_by_kilometre_grouping_for_mode_type[#All],MATCH(A2103,Average_Distance_by_kilometre_grouping_for_mode_type[#Headers],0),0)</f>
        <v>1</v>
      </c>
      <c r="I2103" s="89">
        <f>VLOOKUP(D2103,Average_Distance_by_kilometres_grouping_for_trip_purpose[#All],MATCH(A2103,Average_Distance_by_kilometres_grouping_for_trip_purpose[#Headers],0),0)</f>
        <v>1</v>
      </c>
      <c r="J2103" s="89">
        <f t="shared" si="163"/>
        <v>1</v>
      </c>
      <c r="K2103" s="89">
        <f t="shared" si="164"/>
        <v>2.3282887077997669E-2</v>
      </c>
      <c r="L2103" s="89">
        <v>1</v>
      </c>
      <c r="M2103" s="13">
        <f t="shared" si="165"/>
        <v>302392.41169186786</v>
      </c>
      <c r="N2103" s="11">
        <f t="shared" si="166"/>
        <v>4.6189704175493431E-6</v>
      </c>
    </row>
    <row r="2104" spans="1:14" x14ac:dyDescent="0.25">
      <c r="A2104" s="79" t="s">
        <v>39</v>
      </c>
      <c r="B2104" s="89" t="s">
        <v>11</v>
      </c>
      <c r="C2104" s="89" t="s">
        <v>93</v>
      </c>
      <c r="D2104" s="13" t="s">
        <v>181</v>
      </c>
      <c r="E2104" s="35">
        <f>VLOOKUP(B2104, Passenger_Kilometre_by_mode_type[#All],MATCH(A2104, Passenger_Kilometre_by_mode_type[#Headers],0),0)</f>
        <v>302040792.60850525</v>
      </c>
      <c r="F2104" s="89">
        <f>VLOOKUP(C2104, Reason_for_public_transport_journeys_by_percentage[#All],MATCH(A2104, Reason_for_public_transport_journeys_by_percentage[#Headers],0),0)/100</f>
        <v>4.2999999999999997E-2</v>
      </c>
      <c r="G2104" s="13">
        <f t="shared" si="162"/>
        <v>12987754.082165726</v>
      </c>
      <c r="H2104" s="89">
        <f>VLOOKUP(D2104,Average_Distance_by_kilometre_grouping_for_mode_type[#All],MATCH(A2104,Average_Distance_by_kilometre_grouping_for_mode_type[#Headers],0),0)</f>
        <v>3</v>
      </c>
      <c r="I2104" s="89">
        <f>VLOOKUP(D2104,Average_Distance_by_kilometres_grouping_for_trip_purpose[#All],MATCH(A2104,Average_Distance_by_kilometres_grouping_for_trip_purpose[#Headers],0),0)</f>
        <v>3</v>
      </c>
      <c r="J2104" s="89">
        <f t="shared" si="163"/>
        <v>3</v>
      </c>
      <c r="K2104" s="89">
        <f t="shared" si="164"/>
        <v>6.9848661233993012E-2</v>
      </c>
      <c r="L2104" s="89">
        <v>1</v>
      </c>
      <c r="M2104" s="13">
        <f t="shared" si="165"/>
        <v>907177.23507560359</v>
      </c>
      <c r="N2104" s="11">
        <f t="shared" si="166"/>
        <v>1.3856911252648028E-5</v>
      </c>
    </row>
    <row r="2105" spans="1:14" x14ac:dyDescent="0.25">
      <c r="A2105" s="79" t="s">
        <v>39</v>
      </c>
      <c r="B2105" s="89" t="s">
        <v>11</v>
      </c>
      <c r="C2105" s="89" t="s">
        <v>93</v>
      </c>
      <c r="D2105" s="13" t="s">
        <v>180</v>
      </c>
      <c r="E2105" s="35">
        <f>VLOOKUP(B2105, Passenger_Kilometre_by_mode_type[#All],MATCH(A2105, Passenger_Kilometre_by_mode_type[#Headers],0),0)</f>
        <v>302040792.60850525</v>
      </c>
      <c r="F2105" s="89">
        <f>VLOOKUP(C2105, Reason_for_public_transport_journeys_by_percentage[#All],MATCH(A2105, Reason_for_public_transport_journeys_by_percentage[#Headers],0),0)/100</f>
        <v>4.2999999999999997E-2</v>
      </c>
      <c r="G2105" s="13">
        <f t="shared" si="162"/>
        <v>12987754.082165726</v>
      </c>
      <c r="H2105" s="89">
        <f>VLOOKUP(D2105,Average_Distance_by_kilometre_grouping_for_mode_type[#All],MATCH(A2105,Average_Distance_by_kilometre_grouping_for_mode_type[#Headers],0),0)</f>
        <v>5</v>
      </c>
      <c r="I2105" s="89">
        <f>VLOOKUP(D2105,Average_Distance_by_kilometres_grouping_for_trip_purpose[#All],MATCH(A2105,Average_Distance_by_kilometres_grouping_for_trip_purpose[#Headers],0),0)</f>
        <v>5</v>
      </c>
      <c r="J2105" s="89">
        <f t="shared" si="163"/>
        <v>5</v>
      </c>
      <c r="K2105" s="89">
        <f t="shared" si="164"/>
        <v>0.11641443538998836</v>
      </c>
      <c r="L2105" s="89">
        <v>1</v>
      </c>
      <c r="M2105" s="13">
        <f t="shared" si="165"/>
        <v>1511962.0584593394</v>
      </c>
      <c r="N2105" s="11">
        <f t="shared" si="166"/>
        <v>2.3094852087746715E-5</v>
      </c>
    </row>
    <row r="2106" spans="1:14" x14ac:dyDescent="0.25">
      <c r="A2106" s="79" t="s">
        <v>39</v>
      </c>
      <c r="B2106" s="89" t="s">
        <v>11</v>
      </c>
      <c r="C2106" s="89" t="s">
        <v>93</v>
      </c>
      <c r="D2106" s="13" t="s">
        <v>182</v>
      </c>
      <c r="E2106" s="35">
        <f>VLOOKUP(B2106, Passenger_Kilometre_by_mode_type[#All],MATCH(A2106, Passenger_Kilometre_by_mode_type[#Headers],0),0)</f>
        <v>302040792.60850525</v>
      </c>
      <c r="F2106" s="89">
        <f>VLOOKUP(C2106, Reason_for_public_transport_journeys_by_percentage[#All],MATCH(A2106, Reason_for_public_transport_journeys_by_percentage[#Headers],0),0)/100</f>
        <v>4.2999999999999997E-2</v>
      </c>
      <c r="G2106" s="13">
        <f t="shared" si="162"/>
        <v>12987754.082165726</v>
      </c>
      <c r="H2106" s="89">
        <f>VLOOKUP(D2106,Average_Distance_by_kilometre_grouping_for_mode_type[#All],MATCH(A2106,Average_Distance_by_kilometre_grouping_for_mode_type[#Headers],0),0)</f>
        <v>7</v>
      </c>
      <c r="I2106" s="89">
        <f>VLOOKUP(D2106,Average_Distance_by_kilometres_grouping_for_trip_purpose[#All],MATCH(A2106,Average_Distance_by_kilometres_grouping_for_trip_purpose[#Headers],0),0)</f>
        <v>7</v>
      </c>
      <c r="J2106" s="89">
        <f t="shared" si="163"/>
        <v>7</v>
      </c>
      <c r="K2106" s="89">
        <f t="shared" si="164"/>
        <v>0.16298020954598369</v>
      </c>
      <c r="L2106" s="89">
        <v>1</v>
      </c>
      <c r="M2106" s="13">
        <f t="shared" si="165"/>
        <v>2116746.8818430752</v>
      </c>
      <c r="N2106" s="11">
        <f t="shared" si="166"/>
        <v>3.2332792922845399E-5</v>
      </c>
    </row>
    <row r="2107" spans="1:14" x14ac:dyDescent="0.25">
      <c r="A2107" s="79" t="s">
        <v>39</v>
      </c>
      <c r="B2107" s="89" t="s">
        <v>11</v>
      </c>
      <c r="C2107" s="89" t="s">
        <v>93</v>
      </c>
      <c r="D2107" s="13" t="s">
        <v>1</v>
      </c>
      <c r="E2107" s="35">
        <f>VLOOKUP(B2107, Passenger_Kilometre_by_mode_type[#All],MATCH(A2107, Passenger_Kilometre_by_mode_type[#Headers],0),0)</f>
        <v>302040792.60850525</v>
      </c>
      <c r="F2107" s="89">
        <f>VLOOKUP(C2107, Reason_for_public_transport_journeys_by_percentage[#All],MATCH(A2107, Reason_for_public_transport_journeys_by_percentage[#Headers],0),0)/100</f>
        <v>4.2999999999999997E-2</v>
      </c>
      <c r="G2107" s="13">
        <f t="shared" si="162"/>
        <v>12987754.082165726</v>
      </c>
      <c r="H2107" s="89">
        <f>VLOOKUP(D2107,Average_Distance_by_kilometre_grouping_for_mode_type[#All],MATCH(A2107,Average_Distance_by_kilometre_grouping_for_mode_type[#Headers],0),0)</f>
        <v>25.7</v>
      </c>
      <c r="I2107" s="89">
        <f>VLOOKUP(D2107,Average_Distance_by_kilometres_grouping_for_trip_purpose[#All],MATCH(A2107,Average_Distance_by_kilometres_grouping_for_trip_purpose[#Headers],0),0)</f>
        <v>28.2</v>
      </c>
      <c r="J2107" s="89">
        <f t="shared" si="163"/>
        <v>26.95</v>
      </c>
      <c r="K2107" s="89">
        <f t="shared" si="164"/>
        <v>0.62747380675203723</v>
      </c>
      <c r="L2107" s="89">
        <v>1</v>
      </c>
      <c r="M2107" s="13">
        <f t="shared" si="165"/>
        <v>8149475.4950958388</v>
      </c>
      <c r="N2107" s="11">
        <f t="shared" si="166"/>
        <v>1.2448125275295479E-4</v>
      </c>
    </row>
    <row r="2108" spans="1:14" x14ac:dyDescent="0.25">
      <c r="A2108" s="79" t="s">
        <v>39</v>
      </c>
      <c r="B2108" s="89" t="s">
        <v>11</v>
      </c>
      <c r="C2108" s="89" t="s">
        <v>243</v>
      </c>
      <c r="D2108" s="13" t="s">
        <v>12</v>
      </c>
      <c r="E2108" s="35">
        <f>VLOOKUP(B2108, Passenger_Kilometre_by_mode_type[#All],MATCH(A2108, Passenger_Kilometre_by_mode_type[#Headers],0),0)</f>
        <v>302040792.60850525</v>
      </c>
      <c r="F2108" s="89">
        <f>VLOOKUP(C2108, Reason_for_public_transport_journeys_by_percentage[#All],MATCH(A2108, Reason_for_public_transport_journeys_by_percentage[#Headers],0),0)/100</f>
        <v>3.7749999999999999E-2</v>
      </c>
      <c r="G2108" s="13">
        <f t="shared" si="162"/>
        <v>11402039.920971073</v>
      </c>
      <c r="H2108" s="89">
        <f>VLOOKUP(D2108,Average_Distance_by_kilometre_grouping_for_mode_type[#All],MATCH(A2108,Average_Distance_by_kilometre_grouping_for_mode_type[#Headers],0),0)</f>
        <v>1</v>
      </c>
      <c r="I2108" s="89">
        <f>VLOOKUP(D2108,Average_Distance_by_kilometres_grouping_for_trip_purpose[#All],MATCH(A2108,Average_Distance_by_kilometres_grouping_for_trip_purpose[#Headers],0),0)</f>
        <v>1</v>
      </c>
      <c r="J2108" s="89">
        <f t="shared" si="163"/>
        <v>1</v>
      </c>
      <c r="K2108" s="89">
        <f t="shared" si="164"/>
        <v>2.3282887077997669E-2</v>
      </c>
      <c r="L2108" s="89">
        <v>1</v>
      </c>
      <c r="M2108" s="13">
        <f t="shared" si="165"/>
        <v>265472.40793879097</v>
      </c>
      <c r="N2108" s="11">
        <f t="shared" si="166"/>
        <v>4.0550263549415743E-6</v>
      </c>
    </row>
    <row r="2109" spans="1:14" x14ac:dyDescent="0.25">
      <c r="A2109" s="79" t="s">
        <v>39</v>
      </c>
      <c r="B2109" s="89" t="s">
        <v>11</v>
      </c>
      <c r="C2109" s="89" t="s">
        <v>243</v>
      </c>
      <c r="D2109" s="13" t="s">
        <v>181</v>
      </c>
      <c r="E2109" s="35">
        <f>VLOOKUP(B2109, Passenger_Kilometre_by_mode_type[#All],MATCH(A2109, Passenger_Kilometre_by_mode_type[#Headers],0),0)</f>
        <v>302040792.60850525</v>
      </c>
      <c r="F2109" s="89">
        <f>VLOOKUP(C2109, Reason_for_public_transport_journeys_by_percentage[#All],MATCH(A2109, Reason_for_public_transport_journeys_by_percentage[#Headers],0),0)/100</f>
        <v>3.7749999999999999E-2</v>
      </c>
      <c r="G2109" s="13">
        <f t="shared" si="162"/>
        <v>11402039.920971073</v>
      </c>
      <c r="H2109" s="89">
        <f>VLOOKUP(D2109,Average_Distance_by_kilometre_grouping_for_mode_type[#All],MATCH(A2109,Average_Distance_by_kilometre_grouping_for_mode_type[#Headers],0),0)</f>
        <v>3</v>
      </c>
      <c r="I2109" s="89">
        <f>VLOOKUP(D2109,Average_Distance_by_kilometres_grouping_for_trip_purpose[#All],MATCH(A2109,Average_Distance_by_kilometres_grouping_for_trip_purpose[#Headers],0),0)</f>
        <v>3</v>
      </c>
      <c r="J2109" s="89">
        <f t="shared" si="163"/>
        <v>3</v>
      </c>
      <c r="K2109" s="89">
        <f t="shared" si="164"/>
        <v>6.9848661233993012E-2</v>
      </c>
      <c r="L2109" s="89">
        <v>1</v>
      </c>
      <c r="M2109" s="13">
        <f t="shared" si="165"/>
        <v>796417.22381637292</v>
      </c>
      <c r="N2109" s="11">
        <f t="shared" si="166"/>
        <v>1.2165079064824723E-5</v>
      </c>
    </row>
    <row r="2110" spans="1:14" x14ac:dyDescent="0.25">
      <c r="A2110" s="79" t="s">
        <v>39</v>
      </c>
      <c r="B2110" s="89" t="s">
        <v>11</v>
      </c>
      <c r="C2110" s="89" t="s">
        <v>243</v>
      </c>
      <c r="D2110" s="13" t="s">
        <v>180</v>
      </c>
      <c r="E2110" s="35">
        <f>VLOOKUP(B2110, Passenger_Kilometre_by_mode_type[#All],MATCH(A2110, Passenger_Kilometre_by_mode_type[#Headers],0),0)</f>
        <v>302040792.60850525</v>
      </c>
      <c r="F2110" s="89">
        <f>VLOOKUP(C2110, Reason_for_public_transport_journeys_by_percentage[#All],MATCH(A2110, Reason_for_public_transport_journeys_by_percentage[#Headers],0),0)/100</f>
        <v>3.7749999999999999E-2</v>
      </c>
      <c r="G2110" s="13">
        <f t="shared" si="162"/>
        <v>11402039.920971073</v>
      </c>
      <c r="H2110" s="89">
        <f>VLOOKUP(D2110,Average_Distance_by_kilometre_grouping_for_mode_type[#All],MATCH(A2110,Average_Distance_by_kilometre_grouping_for_mode_type[#Headers],0),0)</f>
        <v>5</v>
      </c>
      <c r="I2110" s="89">
        <f>VLOOKUP(D2110,Average_Distance_by_kilometres_grouping_for_trip_purpose[#All],MATCH(A2110,Average_Distance_by_kilometres_grouping_for_trip_purpose[#Headers],0),0)</f>
        <v>5</v>
      </c>
      <c r="J2110" s="89">
        <f t="shared" si="163"/>
        <v>5</v>
      </c>
      <c r="K2110" s="89">
        <f t="shared" si="164"/>
        <v>0.11641443538998836</v>
      </c>
      <c r="L2110" s="89">
        <v>1</v>
      </c>
      <c r="M2110" s="13">
        <f t="shared" si="165"/>
        <v>1327362.0396939549</v>
      </c>
      <c r="N2110" s="11">
        <f t="shared" si="166"/>
        <v>2.027513177470787E-5</v>
      </c>
    </row>
    <row r="2111" spans="1:14" x14ac:dyDescent="0.25">
      <c r="A2111" s="79" t="s">
        <v>39</v>
      </c>
      <c r="B2111" s="89" t="s">
        <v>11</v>
      </c>
      <c r="C2111" s="89" t="s">
        <v>243</v>
      </c>
      <c r="D2111" s="13" t="s">
        <v>182</v>
      </c>
      <c r="E2111" s="35">
        <f>VLOOKUP(B2111, Passenger_Kilometre_by_mode_type[#All],MATCH(A2111, Passenger_Kilometre_by_mode_type[#Headers],0),0)</f>
        <v>302040792.60850525</v>
      </c>
      <c r="F2111" s="89">
        <f>VLOOKUP(C2111, Reason_for_public_transport_journeys_by_percentage[#All],MATCH(A2111, Reason_for_public_transport_journeys_by_percentage[#Headers],0),0)/100</f>
        <v>3.7749999999999999E-2</v>
      </c>
      <c r="G2111" s="13">
        <f t="shared" si="162"/>
        <v>11402039.920971073</v>
      </c>
      <c r="H2111" s="89">
        <f>VLOOKUP(D2111,Average_Distance_by_kilometre_grouping_for_mode_type[#All],MATCH(A2111,Average_Distance_by_kilometre_grouping_for_mode_type[#Headers],0),0)</f>
        <v>7</v>
      </c>
      <c r="I2111" s="89">
        <f>VLOOKUP(D2111,Average_Distance_by_kilometres_grouping_for_trip_purpose[#All],MATCH(A2111,Average_Distance_by_kilometres_grouping_for_trip_purpose[#Headers],0),0)</f>
        <v>7</v>
      </c>
      <c r="J2111" s="89">
        <f t="shared" si="163"/>
        <v>7</v>
      </c>
      <c r="K2111" s="89">
        <f t="shared" si="164"/>
        <v>0.16298020954598369</v>
      </c>
      <c r="L2111" s="89">
        <v>1</v>
      </c>
      <c r="M2111" s="13">
        <f t="shared" si="165"/>
        <v>1858306.8555715368</v>
      </c>
      <c r="N2111" s="11">
        <f t="shared" si="166"/>
        <v>2.8385184484591019E-5</v>
      </c>
    </row>
    <row r="2112" spans="1:14" x14ac:dyDescent="0.25">
      <c r="A2112" s="79" t="s">
        <v>39</v>
      </c>
      <c r="B2112" s="89" t="s">
        <v>11</v>
      </c>
      <c r="C2112" s="89" t="s">
        <v>243</v>
      </c>
      <c r="D2112" s="13" t="s">
        <v>1</v>
      </c>
      <c r="E2112" s="35">
        <f>VLOOKUP(B2112, Passenger_Kilometre_by_mode_type[#All],MATCH(A2112, Passenger_Kilometre_by_mode_type[#Headers],0),0)</f>
        <v>302040792.60850525</v>
      </c>
      <c r="F2112" s="89">
        <f>VLOOKUP(C2112, Reason_for_public_transport_journeys_by_percentage[#All],MATCH(A2112, Reason_for_public_transport_journeys_by_percentage[#Headers],0),0)/100</f>
        <v>3.7749999999999999E-2</v>
      </c>
      <c r="G2112" s="13">
        <f t="shared" si="162"/>
        <v>11402039.920971073</v>
      </c>
      <c r="H2112" s="89">
        <f>VLOOKUP(D2112,Average_Distance_by_kilometre_grouping_for_mode_type[#All],MATCH(A2112,Average_Distance_by_kilometre_grouping_for_mode_type[#Headers],0),0)</f>
        <v>25.7</v>
      </c>
      <c r="I2112" s="89">
        <f>VLOOKUP(D2112,Average_Distance_by_kilometres_grouping_for_trip_purpose[#All],MATCH(A2112,Average_Distance_by_kilometres_grouping_for_trip_purpose[#Headers],0),0)</f>
        <v>28.2</v>
      </c>
      <c r="J2112" s="89">
        <f t="shared" si="163"/>
        <v>26.95</v>
      </c>
      <c r="K2112" s="89">
        <f t="shared" si="164"/>
        <v>0.62747380675203723</v>
      </c>
      <c r="L2112" s="89">
        <v>1</v>
      </c>
      <c r="M2112" s="13">
        <f t="shared" si="165"/>
        <v>7154481.3939504167</v>
      </c>
      <c r="N2112" s="11">
        <f t="shared" si="166"/>
        <v>1.0928296026567542E-4</v>
      </c>
    </row>
    <row r="2113" spans="1:14" x14ac:dyDescent="0.25">
      <c r="A2113" s="79" t="s">
        <v>39</v>
      </c>
      <c r="B2113" s="89" t="s">
        <v>11</v>
      </c>
      <c r="C2113" s="89" t="s">
        <v>50</v>
      </c>
      <c r="D2113" s="13" t="s">
        <v>12</v>
      </c>
      <c r="E2113" s="35">
        <f>VLOOKUP(B2113, Passenger_Kilometre_by_mode_type[#All],MATCH(A2113, Passenger_Kilometre_by_mode_type[#Headers],0),0)</f>
        <v>302040792.60850525</v>
      </c>
      <c r="F2113" s="89">
        <f>VLOOKUP(C2113, Reason_for_public_transport_journeys_by_percentage[#All],MATCH(A2113, Reason_for_public_transport_journeys_by_percentage[#Headers],0),0)/100</f>
        <v>3.2500000000000001E-2</v>
      </c>
      <c r="G2113" s="13">
        <f t="shared" si="162"/>
        <v>9816325.7597764209</v>
      </c>
      <c r="H2113" s="89">
        <f>VLOOKUP(D2113,Average_Distance_by_kilometre_grouping_for_mode_type[#All],MATCH(A2113,Average_Distance_by_kilometre_grouping_for_mode_type[#Headers],0),0)</f>
        <v>1</v>
      </c>
      <c r="I2113" s="89">
        <f>VLOOKUP(D2113,Average_Distance_by_kilometres_grouping_for_trip_purpose[#All],MATCH(A2113,Average_Distance_by_kilometres_grouping_for_trip_purpose[#Headers],0),0)</f>
        <v>1</v>
      </c>
      <c r="J2113" s="89">
        <f t="shared" si="163"/>
        <v>1</v>
      </c>
      <c r="K2113" s="89">
        <f t="shared" si="164"/>
        <v>2.3282887077997669E-2</v>
      </c>
      <c r="L2113" s="89">
        <v>1</v>
      </c>
      <c r="M2113" s="13">
        <f t="shared" si="165"/>
        <v>228552.40418571408</v>
      </c>
      <c r="N2113" s="11">
        <f t="shared" si="166"/>
        <v>3.4910822923338056E-6</v>
      </c>
    </row>
    <row r="2114" spans="1:14" x14ac:dyDescent="0.25">
      <c r="A2114" s="79" t="s">
        <v>39</v>
      </c>
      <c r="B2114" s="89" t="s">
        <v>11</v>
      </c>
      <c r="C2114" s="89" t="s">
        <v>50</v>
      </c>
      <c r="D2114" s="13" t="s">
        <v>181</v>
      </c>
      <c r="E2114" s="35">
        <f>VLOOKUP(B2114, Passenger_Kilometre_by_mode_type[#All],MATCH(A2114, Passenger_Kilometre_by_mode_type[#Headers],0),0)</f>
        <v>302040792.60850525</v>
      </c>
      <c r="F2114" s="89">
        <f>VLOOKUP(C2114, Reason_for_public_transport_journeys_by_percentage[#All],MATCH(A2114, Reason_for_public_transport_journeys_by_percentage[#Headers],0),0)/100</f>
        <v>3.2500000000000001E-2</v>
      </c>
      <c r="G2114" s="13">
        <f t="shared" si="162"/>
        <v>9816325.7597764209</v>
      </c>
      <c r="H2114" s="89">
        <f>VLOOKUP(D2114,Average_Distance_by_kilometre_grouping_for_mode_type[#All],MATCH(A2114,Average_Distance_by_kilometre_grouping_for_mode_type[#Headers],0),0)</f>
        <v>3</v>
      </c>
      <c r="I2114" s="89">
        <f>VLOOKUP(D2114,Average_Distance_by_kilometres_grouping_for_trip_purpose[#All],MATCH(A2114,Average_Distance_by_kilometres_grouping_for_trip_purpose[#Headers],0),0)</f>
        <v>3</v>
      </c>
      <c r="J2114" s="89">
        <f t="shared" si="163"/>
        <v>3</v>
      </c>
      <c r="K2114" s="89">
        <f t="shared" si="164"/>
        <v>6.9848661233993012E-2</v>
      </c>
      <c r="L2114" s="89">
        <v>1</v>
      </c>
      <c r="M2114" s="13">
        <f t="shared" si="165"/>
        <v>685657.21255714225</v>
      </c>
      <c r="N2114" s="11">
        <f t="shared" si="166"/>
        <v>1.0473246877001418E-5</v>
      </c>
    </row>
    <row r="2115" spans="1:14" x14ac:dyDescent="0.25">
      <c r="A2115" s="79" t="s">
        <v>39</v>
      </c>
      <c r="B2115" s="89" t="s">
        <v>11</v>
      </c>
      <c r="C2115" s="89" t="s">
        <v>50</v>
      </c>
      <c r="D2115" s="13" t="s">
        <v>180</v>
      </c>
      <c r="E2115" s="35">
        <f>VLOOKUP(B2115, Passenger_Kilometre_by_mode_type[#All],MATCH(A2115, Passenger_Kilometre_by_mode_type[#Headers],0),0)</f>
        <v>302040792.60850525</v>
      </c>
      <c r="F2115" s="89">
        <f>VLOOKUP(C2115, Reason_for_public_transport_journeys_by_percentage[#All],MATCH(A2115, Reason_for_public_transport_journeys_by_percentage[#Headers],0),0)/100</f>
        <v>3.2500000000000001E-2</v>
      </c>
      <c r="G2115" s="13">
        <f t="shared" si="162"/>
        <v>9816325.7597764209</v>
      </c>
      <c r="H2115" s="89">
        <f>VLOOKUP(D2115,Average_Distance_by_kilometre_grouping_for_mode_type[#All],MATCH(A2115,Average_Distance_by_kilometre_grouping_for_mode_type[#Headers],0),0)</f>
        <v>5</v>
      </c>
      <c r="I2115" s="89">
        <f>VLOOKUP(D2115,Average_Distance_by_kilometres_grouping_for_trip_purpose[#All],MATCH(A2115,Average_Distance_by_kilometres_grouping_for_trip_purpose[#Headers],0),0)</f>
        <v>5</v>
      </c>
      <c r="J2115" s="89">
        <f t="shared" si="163"/>
        <v>5</v>
      </c>
      <c r="K2115" s="89">
        <f t="shared" si="164"/>
        <v>0.11641443538998836</v>
      </c>
      <c r="L2115" s="89">
        <v>1</v>
      </c>
      <c r="M2115" s="13">
        <f t="shared" si="165"/>
        <v>1142762.0209285705</v>
      </c>
      <c r="N2115" s="11">
        <f t="shared" si="166"/>
        <v>1.7455411461669029E-5</v>
      </c>
    </row>
    <row r="2116" spans="1:14" x14ac:dyDescent="0.25">
      <c r="A2116" s="79" t="s">
        <v>39</v>
      </c>
      <c r="B2116" s="89" t="s">
        <v>11</v>
      </c>
      <c r="C2116" s="89" t="s">
        <v>50</v>
      </c>
      <c r="D2116" s="13" t="s">
        <v>182</v>
      </c>
      <c r="E2116" s="35">
        <f>VLOOKUP(B2116, Passenger_Kilometre_by_mode_type[#All],MATCH(A2116, Passenger_Kilometre_by_mode_type[#Headers],0),0)</f>
        <v>302040792.60850525</v>
      </c>
      <c r="F2116" s="89">
        <f>VLOOKUP(C2116, Reason_for_public_transport_journeys_by_percentage[#All],MATCH(A2116, Reason_for_public_transport_journeys_by_percentage[#Headers],0),0)/100</f>
        <v>3.2500000000000001E-2</v>
      </c>
      <c r="G2116" s="13">
        <f t="shared" ref="G2116:G2162" si="167">E2116*F2116</f>
        <v>9816325.7597764209</v>
      </c>
      <c r="H2116" s="89">
        <f>VLOOKUP(D2116,Average_Distance_by_kilometre_grouping_for_mode_type[#All],MATCH(A2116,Average_Distance_by_kilometre_grouping_for_mode_type[#Headers],0),0)</f>
        <v>7</v>
      </c>
      <c r="I2116" s="89">
        <f>VLOOKUP(D2116,Average_Distance_by_kilometres_grouping_for_trip_purpose[#All],MATCH(A2116,Average_Distance_by_kilometres_grouping_for_trip_purpose[#Headers],0),0)</f>
        <v>7</v>
      </c>
      <c r="J2116" s="89">
        <f t="shared" ref="J2116:J2162" si="168">AVERAGE(H2116:I2116)</f>
        <v>7</v>
      </c>
      <c r="K2116" s="89">
        <f t="shared" ref="K2116:K2161" si="169">J2116/SUM(J2116:J2120)</f>
        <v>0.16298020954598369</v>
      </c>
      <c r="L2116" s="89">
        <v>1</v>
      </c>
      <c r="M2116" s="13">
        <f t="shared" ref="M2116:M2162" si="170">G2116*K2116*L2116</f>
        <v>1599866.8292999987</v>
      </c>
      <c r="N2116" s="11">
        <f t="shared" si="166"/>
        <v>2.4437576046336642E-5</v>
      </c>
    </row>
    <row r="2117" spans="1:14" x14ac:dyDescent="0.25">
      <c r="A2117" s="79" t="s">
        <v>39</v>
      </c>
      <c r="B2117" s="89" t="s">
        <v>11</v>
      </c>
      <c r="C2117" s="89" t="s">
        <v>50</v>
      </c>
      <c r="D2117" s="13" t="s">
        <v>1</v>
      </c>
      <c r="E2117" s="35">
        <f>VLOOKUP(B2117, Passenger_Kilometre_by_mode_type[#All],MATCH(A2117, Passenger_Kilometre_by_mode_type[#Headers],0),0)</f>
        <v>302040792.60850525</v>
      </c>
      <c r="F2117" s="89">
        <f>VLOOKUP(C2117, Reason_for_public_transport_journeys_by_percentage[#All],MATCH(A2117, Reason_for_public_transport_journeys_by_percentage[#Headers],0),0)/100</f>
        <v>3.2500000000000001E-2</v>
      </c>
      <c r="G2117" s="13">
        <f t="shared" si="167"/>
        <v>9816325.7597764209</v>
      </c>
      <c r="H2117" s="89">
        <f>VLOOKUP(D2117,Average_Distance_by_kilometre_grouping_for_mode_type[#All],MATCH(A2117,Average_Distance_by_kilometre_grouping_for_mode_type[#Headers],0),0)</f>
        <v>25.7</v>
      </c>
      <c r="I2117" s="89">
        <f>VLOOKUP(D2117,Average_Distance_by_kilometres_grouping_for_trip_purpose[#All],MATCH(A2117,Average_Distance_by_kilometres_grouping_for_trip_purpose[#Headers],0),0)</f>
        <v>28.2</v>
      </c>
      <c r="J2117" s="89">
        <f t="shared" si="168"/>
        <v>26.95</v>
      </c>
      <c r="K2117" s="89">
        <f t="shared" si="169"/>
        <v>0.62747380675203723</v>
      </c>
      <c r="L2117" s="89">
        <v>1</v>
      </c>
      <c r="M2117" s="13">
        <f t="shared" si="170"/>
        <v>6159487.2928049946</v>
      </c>
      <c r="N2117" s="11">
        <f t="shared" si="166"/>
        <v>9.4084667778396059E-5</v>
      </c>
    </row>
    <row r="2118" spans="1:14" x14ac:dyDescent="0.25">
      <c r="A2118" s="79" t="s">
        <v>39</v>
      </c>
      <c r="B2118" s="89" t="s">
        <v>90</v>
      </c>
      <c r="C2118" s="89" t="s">
        <v>42</v>
      </c>
      <c r="D2118" s="13" t="s">
        <v>12</v>
      </c>
      <c r="E2118" s="35">
        <f>VLOOKUP(B2118, Passenger_Kilometre_by_mode_type[#All],MATCH(A2118, Passenger_Kilometre_by_mode_type[#Headers],0),0)</f>
        <v>3335786464.3653483</v>
      </c>
      <c r="F2118" s="89">
        <f>VLOOKUP(C2118, Reason_for_lorry_motorcycle_other_journeys_by_percentage[#All],MATCH(A2118, Reason_for_lorry_motorcycle_other_journeys_by_percentage[#Headers],0),0)/100</f>
        <v>0.48249999999999993</v>
      </c>
      <c r="G2118" s="13">
        <f t="shared" si="167"/>
        <v>1609516969.0562804</v>
      </c>
      <c r="H2118" s="89">
        <f>VLOOKUP(D2118,Average_Distance_by_kilometre_grouping_for_mode_type[#All],MATCH(A2118,Average_Distance_by_kilometre_grouping_for_mode_type[#Headers],0),0)</f>
        <v>1</v>
      </c>
      <c r="I2118" s="89">
        <f>VLOOKUP(D2118,Average_Distance_by_kilometres_grouping_for_trip_purpose[#All],MATCH(A2118,Average_Distance_by_kilometres_grouping_for_trip_purpose[#Headers],0),0)</f>
        <v>1</v>
      </c>
      <c r="J2118" s="89">
        <f t="shared" si="168"/>
        <v>1</v>
      </c>
      <c r="K2118" s="89">
        <f t="shared" si="169"/>
        <v>2.3282887077997669E-2</v>
      </c>
      <c r="L2118" s="89">
        <v>1</v>
      </c>
      <c r="M2118" s="13">
        <f t="shared" si="170"/>
        <v>37474201.840658449</v>
      </c>
      <c r="N2118" s="11">
        <f t="shared" si="166"/>
        <v>5.7240930337779843E-4</v>
      </c>
    </row>
    <row r="2119" spans="1:14" x14ac:dyDescent="0.25">
      <c r="A2119" s="79" t="s">
        <v>39</v>
      </c>
      <c r="B2119" s="89" t="s">
        <v>90</v>
      </c>
      <c r="C2119" s="89" t="s">
        <v>42</v>
      </c>
      <c r="D2119" s="13" t="s">
        <v>181</v>
      </c>
      <c r="E2119" s="35">
        <f>VLOOKUP(B2119, Passenger_Kilometre_by_mode_type[#All],MATCH(A2119, Passenger_Kilometre_by_mode_type[#Headers],0),0)</f>
        <v>3335786464.3653483</v>
      </c>
      <c r="F2119" s="89">
        <f>VLOOKUP(C2119, Reason_for_lorry_motorcycle_other_journeys_by_percentage[#All],MATCH(A2119, Reason_for_lorry_motorcycle_other_journeys_by_percentage[#Headers],0),0)/100</f>
        <v>0.48249999999999993</v>
      </c>
      <c r="G2119" s="13">
        <f t="shared" si="167"/>
        <v>1609516969.0562804</v>
      </c>
      <c r="H2119" s="89">
        <f>VLOOKUP(D2119,Average_Distance_by_kilometre_grouping_for_mode_type[#All],MATCH(A2119,Average_Distance_by_kilometre_grouping_for_mode_type[#Headers],0),0)</f>
        <v>3</v>
      </c>
      <c r="I2119" s="89">
        <f>VLOOKUP(D2119,Average_Distance_by_kilometres_grouping_for_trip_purpose[#All],MATCH(A2119,Average_Distance_by_kilometres_grouping_for_trip_purpose[#Headers],0),0)</f>
        <v>3</v>
      </c>
      <c r="J2119" s="89">
        <f t="shared" si="168"/>
        <v>3</v>
      </c>
      <c r="K2119" s="89">
        <f t="shared" si="169"/>
        <v>6.9848661233993012E-2</v>
      </c>
      <c r="L2119" s="89">
        <v>1</v>
      </c>
      <c r="M2119" s="13">
        <f t="shared" si="170"/>
        <v>112422605.52197534</v>
      </c>
      <c r="N2119" s="11">
        <f t="shared" si="166"/>
        <v>1.7172279101333951E-3</v>
      </c>
    </row>
    <row r="2120" spans="1:14" x14ac:dyDescent="0.25">
      <c r="A2120" s="79" t="s">
        <v>39</v>
      </c>
      <c r="B2120" s="89" t="s">
        <v>90</v>
      </c>
      <c r="C2120" s="89" t="s">
        <v>42</v>
      </c>
      <c r="D2120" s="13" t="s">
        <v>180</v>
      </c>
      <c r="E2120" s="35">
        <f>VLOOKUP(B2120, Passenger_Kilometre_by_mode_type[#All],MATCH(A2120, Passenger_Kilometre_by_mode_type[#Headers],0),0)</f>
        <v>3335786464.3653483</v>
      </c>
      <c r="F2120" s="89">
        <f>VLOOKUP(C2120, Reason_for_lorry_motorcycle_other_journeys_by_percentage[#All],MATCH(A2120, Reason_for_lorry_motorcycle_other_journeys_by_percentage[#Headers],0),0)/100</f>
        <v>0.48249999999999993</v>
      </c>
      <c r="G2120" s="13">
        <f t="shared" si="167"/>
        <v>1609516969.0562804</v>
      </c>
      <c r="H2120" s="89">
        <f>VLOOKUP(D2120,Average_Distance_by_kilometre_grouping_for_mode_type[#All],MATCH(A2120,Average_Distance_by_kilometre_grouping_for_mode_type[#Headers],0),0)</f>
        <v>5</v>
      </c>
      <c r="I2120" s="89">
        <f>VLOOKUP(D2120,Average_Distance_by_kilometres_grouping_for_trip_purpose[#All],MATCH(A2120,Average_Distance_by_kilometres_grouping_for_trip_purpose[#Headers],0),0)</f>
        <v>5</v>
      </c>
      <c r="J2120" s="89">
        <f t="shared" si="168"/>
        <v>5</v>
      </c>
      <c r="K2120" s="89">
        <f t="shared" si="169"/>
        <v>0.11641443538998836</v>
      </c>
      <c r="L2120" s="89">
        <v>1</v>
      </c>
      <c r="M2120" s="13">
        <f t="shared" si="170"/>
        <v>187371009.20329225</v>
      </c>
      <c r="N2120" s="11">
        <f t="shared" si="166"/>
        <v>2.8620465168889921E-3</v>
      </c>
    </row>
    <row r="2121" spans="1:14" x14ac:dyDescent="0.25">
      <c r="A2121" s="79" t="s">
        <v>39</v>
      </c>
      <c r="B2121" s="89" t="s">
        <v>90</v>
      </c>
      <c r="C2121" s="89" t="s">
        <v>42</v>
      </c>
      <c r="D2121" s="13" t="s">
        <v>182</v>
      </c>
      <c r="E2121" s="35">
        <f>VLOOKUP(B2121, Passenger_Kilometre_by_mode_type[#All],MATCH(A2121, Passenger_Kilometre_by_mode_type[#Headers],0),0)</f>
        <v>3335786464.3653483</v>
      </c>
      <c r="F2121" s="89">
        <f>VLOOKUP(C2121, Reason_for_lorry_motorcycle_other_journeys_by_percentage[#All],MATCH(A2121, Reason_for_lorry_motorcycle_other_journeys_by_percentage[#Headers],0),0)/100</f>
        <v>0.48249999999999993</v>
      </c>
      <c r="G2121" s="13">
        <f t="shared" si="167"/>
        <v>1609516969.0562804</v>
      </c>
      <c r="H2121" s="89">
        <f>VLOOKUP(D2121,Average_Distance_by_kilometre_grouping_for_mode_type[#All],MATCH(A2121,Average_Distance_by_kilometre_grouping_for_mode_type[#Headers],0),0)</f>
        <v>7</v>
      </c>
      <c r="I2121" s="89">
        <f>VLOOKUP(D2121,Average_Distance_by_kilometres_grouping_for_trip_purpose[#All],MATCH(A2121,Average_Distance_by_kilometres_grouping_for_trip_purpose[#Headers],0),0)</f>
        <v>7</v>
      </c>
      <c r="J2121" s="89">
        <f t="shared" si="168"/>
        <v>7</v>
      </c>
      <c r="K2121" s="89">
        <f t="shared" si="169"/>
        <v>0.16298020954598369</v>
      </c>
      <c r="L2121" s="89">
        <v>1</v>
      </c>
      <c r="M2121" s="13">
        <f t="shared" si="170"/>
        <v>262319412.88460913</v>
      </c>
      <c r="N2121" s="11">
        <f t="shared" si="166"/>
        <v>4.0068651236445886E-3</v>
      </c>
    </row>
    <row r="2122" spans="1:14" x14ac:dyDescent="0.25">
      <c r="A2122" s="79" t="s">
        <v>39</v>
      </c>
      <c r="B2122" s="89" t="s">
        <v>90</v>
      </c>
      <c r="C2122" s="89" t="s">
        <v>42</v>
      </c>
      <c r="D2122" s="13" t="s">
        <v>1</v>
      </c>
      <c r="E2122" s="35">
        <f>VLOOKUP(B2122, Passenger_Kilometre_by_mode_type[#All],MATCH(A2122, Passenger_Kilometre_by_mode_type[#Headers],0),0)</f>
        <v>3335786464.3653483</v>
      </c>
      <c r="F2122" s="89">
        <f>VLOOKUP(C2122, Reason_for_lorry_motorcycle_other_journeys_by_percentage[#All],MATCH(A2122, Reason_for_lorry_motorcycle_other_journeys_by_percentage[#Headers],0),0)/100</f>
        <v>0.48249999999999993</v>
      </c>
      <c r="G2122" s="13">
        <f t="shared" si="167"/>
        <v>1609516969.0562804</v>
      </c>
      <c r="H2122" s="89">
        <f>VLOOKUP(D2122,Average_Distance_by_kilometre_grouping_for_mode_type[#All],MATCH(A2122,Average_Distance_by_kilometre_grouping_for_mode_type[#Headers],0),0)</f>
        <v>25.7</v>
      </c>
      <c r="I2122" s="89">
        <f>VLOOKUP(D2122,Average_Distance_by_kilometres_grouping_for_trip_purpose[#All],MATCH(A2122,Average_Distance_by_kilometres_grouping_for_trip_purpose[#Headers],0),0)</f>
        <v>28.2</v>
      </c>
      <c r="J2122" s="89">
        <f t="shared" si="168"/>
        <v>26.95</v>
      </c>
      <c r="K2122" s="89">
        <f t="shared" si="169"/>
        <v>0.62747380675203723</v>
      </c>
      <c r="L2122" s="89">
        <v>1</v>
      </c>
      <c r="M2122" s="13">
        <f t="shared" si="170"/>
        <v>1009929739.6057452</v>
      </c>
      <c r="N2122" s="11">
        <f t="shared" si="166"/>
        <v>1.5426430726031667E-2</v>
      </c>
    </row>
    <row r="2123" spans="1:14" x14ac:dyDescent="0.25">
      <c r="A2123" s="79" t="s">
        <v>39</v>
      </c>
      <c r="B2123" s="89" t="s">
        <v>90</v>
      </c>
      <c r="C2123" s="89" t="s">
        <v>43</v>
      </c>
      <c r="D2123" s="13" t="s">
        <v>12</v>
      </c>
      <c r="E2123" s="35">
        <f>VLOOKUP(B2123, Passenger_Kilometre_by_mode_type[#All],MATCH(A2123, Passenger_Kilometre_by_mode_type[#Headers],0),0)</f>
        <v>3335786464.3653483</v>
      </c>
      <c r="F2123" s="89">
        <f>VLOOKUP(C2123, Reason_for_lorry_motorcycle_other_journeys_by_percentage[#All],MATCH(A2123, Reason_for_lorry_motorcycle_other_journeys_by_percentage[#Headers],0),0)/100</f>
        <v>0</v>
      </c>
      <c r="G2123" s="13">
        <f t="shared" si="167"/>
        <v>0</v>
      </c>
      <c r="H2123" s="89">
        <f>VLOOKUP(D2123,Average_Distance_by_kilometre_grouping_for_mode_type[#All],MATCH(A2123,Average_Distance_by_kilometre_grouping_for_mode_type[#Headers],0),0)</f>
        <v>1</v>
      </c>
      <c r="I2123" s="89">
        <f>VLOOKUP(D2123,Average_Distance_by_kilometres_grouping_for_trip_purpose[#All],MATCH(A2123,Average_Distance_by_kilometres_grouping_for_trip_purpose[#Headers],0),0)</f>
        <v>1</v>
      </c>
      <c r="J2123" s="89">
        <f t="shared" si="168"/>
        <v>1</v>
      </c>
      <c r="K2123" s="89">
        <f t="shared" si="169"/>
        <v>2.3282887077997669E-2</v>
      </c>
      <c r="L2123" s="89">
        <v>1</v>
      </c>
      <c r="M2123" s="13">
        <f t="shared" si="170"/>
        <v>0</v>
      </c>
      <c r="N2123" s="11">
        <f t="shared" si="166"/>
        <v>0</v>
      </c>
    </row>
    <row r="2124" spans="1:14" x14ac:dyDescent="0.25">
      <c r="A2124" s="79" t="s">
        <v>39</v>
      </c>
      <c r="B2124" s="89" t="s">
        <v>90</v>
      </c>
      <c r="C2124" s="89" t="s">
        <v>43</v>
      </c>
      <c r="D2124" s="13" t="s">
        <v>181</v>
      </c>
      <c r="E2124" s="35">
        <f>VLOOKUP(B2124, Passenger_Kilometre_by_mode_type[#All],MATCH(A2124, Passenger_Kilometre_by_mode_type[#Headers],0),0)</f>
        <v>3335786464.3653483</v>
      </c>
      <c r="F2124" s="89">
        <f>VLOOKUP(C2124, Reason_for_lorry_motorcycle_other_journeys_by_percentage[#All],MATCH(A2124, Reason_for_lorry_motorcycle_other_journeys_by_percentage[#Headers],0),0)/100</f>
        <v>0</v>
      </c>
      <c r="G2124" s="13">
        <f t="shared" si="167"/>
        <v>0</v>
      </c>
      <c r="H2124" s="89">
        <f>VLOOKUP(D2124,Average_Distance_by_kilometre_grouping_for_mode_type[#All],MATCH(A2124,Average_Distance_by_kilometre_grouping_for_mode_type[#Headers],0),0)</f>
        <v>3</v>
      </c>
      <c r="I2124" s="89">
        <f>VLOOKUP(D2124,Average_Distance_by_kilometres_grouping_for_trip_purpose[#All],MATCH(A2124,Average_Distance_by_kilometres_grouping_for_trip_purpose[#Headers],0),0)</f>
        <v>3</v>
      </c>
      <c r="J2124" s="89">
        <f t="shared" si="168"/>
        <v>3</v>
      </c>
      <c r="K2124" s="89">
        <f t="shared" si="169"/>
        <v>6.9848661233993012E-2</v>
      </c>
      <c r="L2124" s="89">
        <v>1</v>
      </c>
      <c r="M2124" s="13">
        <f t="shared" si="170"/>
        <v>0</v>
      </c>
      <c r="N2124" s="11">
        <f t="shared" si="166"/>
        <v>0</v>
      </c>
    </row>
    <row r="2125" spans="1:14" x14ac:dyDescent="0.25">
      <c r="A2125" s="79" t="s">
        <v>39</v>
      </c>
      <c r="B2125" s="89" t="s">
        <v>90</v>
      </c>
      <c r="C2125" s="89" t="s">
        <v>43</v>
      </c>
      <c r="D2125" s="13" t="s">
        <v>180</v>
      </c>
      <c r="E2125" s="35">
        <f>VLOOKUP(B2125, Passenger_Kilometre_by_mode_type[#All],MATCH(A2125, Passenger_Kilometre_by_mode_type[#Headers],0),0)</f>
        <v>3335786464.3653483</v>
      </c>
      <c r="F2125" s="89">
        <f>VLOOKUP(C2125, Reason_for_lorry_motorcycle_other_journeys_by_percentage[#All],MATCH(A2125, Reason_for_lorry_motorcycle_other_journeys_by_percentage[#Headers],0),0)/100</f>
        <v>0</v>
      </c>
      <c r="G2125" s="13">
        <f t="shared" si="167"/>
        <v>0</v>
      </c>
      <c r="H2125" s="89">
        <f>VLOOKUP(D2125,Average_Distance_by_kilometre_grouping_for_mode_type[#All],MATCH(A2125,Average_Distance_by_kilometre_grouping_for_mode_type[#Headers],0),0)</f>
        <v>5</v>
      </c>
      <c r="I2125" s="89">
        <f>VLOOKUP(D2125,Average_Distance_by_kilometres_grouping_for_trip_purpose[#All],MATCH(A2125,Average_Distance_by_kilometres_grouping_for_trip_purpose[#Headers],0),0)</f>
        <v>5</v>
      </c>
      <c r="J2125" s="89">
        <f t="shared" si="168"/>
        <v>5</v>
      </c>
      <c r="K2125" s="89">
        <f t="shared" si="169"/>
        <v>0.11641443538998836</v>
      </c>
      <c r="L2125" s="89">
        <v>1</v>
      </c>
      <c r="M2125" s="13">
        <f t="shared" si="170"/>
        <v>0</v>
      </c>
      <c r="N2125" s="11">
        <f t="shared" ref="N2125:N2162" si="171">M2125/SUM($M$1804:$M$2162)</f>
        <v>0</v>
      </c>
    </row>
    <row r="2126" spans="1:14" x14ac:dyDescent="0.25">
      <c r="A2126" s="79" t="s">
        <v>39</v>
      </c>
      <c r="B2126" s="89" t="s">
        <v>90</v>
      </c>
      <c r="C2126" s="89" t="s">
        <v>43</v>
      </c>
      <c r="D2126" s="13" t="s">
        <v>182</v>
      </c>
      <c r="E2126" s="35">
        <f>VLOOKUP(B2126, Passenger_Kilometre_by_mode_type[#All],MATCH(A2126, Passenger_Kilometre_by_mode_type[#Headers],0),0)</f>
        <v>3335786464.3653483</v>
      </c>
      <c r="F2126" s="89">
        <f>VLOOKUP(C2126, Reason_for_lorry_motorcycle_other_journeys_by_percentage[#All],MATCH(A2126, Reason_for_lorry_motorcycle_other_journeys_by_percentage[#Headers],0),0)/100</f>
        <v>0</v>
      </c>
      <c r="G2126" s="13">
        <f t="shared" si="167"/>
        <v>0</v>
      </c>
      <c r="H2126" s="89">
        <f>VLOOKUP(D2126,Average_Distance_by_kilometre_grouping_for_mode_type[#All],MATCH(A2126,Average_Distance_by_kilometre_grouping_for_mode_type[#Headers],0),0)</f>
        <v>7</v>
      </c>
      <c r="I2126" s="89">
        <f>VLOOKUP(D2126,Average_Distance_by_kilometres_grouping_for_trip_purpose[#All],MATCH(A2126,Average_Distance_by_kilometres_grouping_for_trip_purpose[#Headers],0),0)</f>
        <v>7</v>
      </c>
      <c r="J2126" s="89">
        <f t="shared" si="168"/>
        <v>7</v>
      </c>
      <c r="K2126" s="89">
        <f t="shared" si="169"/>
        <v>0.16298020954598369</v>
      </c>
      <c r="L2126" s="89">
        <v>1</v>
      </c>
      <c r="M2126" s="13">
        <f t="shared" si="170"/>
        <v>0</v>
      </c>
      <c r="N2126" s="11">
        <f t="shared" si="171"/>
        <v>0</v>
      </c>
    </row>
    <row r="2127" spans="1:14" x14ac:dyDescent="0.25">
      <c r="A2127" s="79" t="s">
        <v>39</v>
      </c>
      <c r="B2127" s="89" t="s">
        <v>90</v>
      </c>
      <c r="C2127" s="89" t="s">
        <v>43</v>
      </c>
      <c r="D2127" s="13" t="s">
        <v>1</v>
      </c>
      <c r="E2127" s="35">
        <f>VLOOKUP(B2127, Passenger_Kilometre_by_mode_type[#All],MATCH(A2127, Passenger_Kilometre_by_mode_type[#Headers],0),0)</f>
        <v>3335786464.3653483</v>
      </c>
      <c r="F2127" s="89">
        <f>VLOOKUP(C2127, Reason_for_lorry_motorcycle_other_journeys_by_percentage[#All],MATCH(A2127, Reason_for_lorry_motorcycle_other_journeys_by_percentage[#Headers],0),0)/100</f>
        <v>0</v>
      </c>
      <c r="G2127" s="13">
        <f t="shared" si="167"/>
        <v>0</v>
      </c>
      <c r="H2127" s="89">
        <f>VLOOKUP(D2127,Average_Distance_by_kilometre_grouping_for_mode_type[#All],MATCH(A2127,Average_Distance_by_kilometre_grouping_for_mode_type[#Headers],0),0)</f>
        <v>25.7</v>
      </c>
      <c r="I2127" s="89">
        <f>VLOOKUP(D2127,Average_Distance_by_kilometres_grouping_for_trip_purpose[#All],MATCH(A2127,Average_Distance_by_kilometres_grouping_for_trip_purpose[#Headers],0),0)</f>
        <v>28.2</v>
      </c>
      <c r="J2127" s="89">
        <f t="shared" si="168"/>
        <v>26.95</v>
      </c>
      <c r="K2127" s="89">
        <f t="shared" si="169"/>
        <v>0.62747380675203723</v>
      </c>
      <c r="L2127" s="89">
        <v>1</v>
      </c>
      <c r="M2127" s="13">
        <f t="shared" si="170"/>
        <v>0</v>
      </c>
      <c r="N2127" s="11">
        <f t="shared" si="171"/>
        <v>0</v>
      </c>
    </row>
    <row r="2128" spans="1:14" x14ac:dyDescent="0.25">
      <c r="A2128" s="79" t="s">
        <v>39</v>
      </c>
      <c r="B2128" s="89" t="s">
        <v>90</v>
      </c>
      <c r="C2128" s="89" t="s">
        <v>44</v>
      </c>
      <c r="D2128" s="13" t="s">
        <v>12</v>
      </c>
      <c r="E2128" s="35">
        <f>VLOOKUP(B2128, Passenger_Kilometre_by_mode_type[#All],MATCH(A2128, Passenger_Kilometre_by_mode_type[#Headers],0),0)</f>
        <v>3335786464.3653483</v>
      </c>
      <c r="F2128" s="89">
        <f>VLOOKUP(C2128, Reason_for_lorry_motorcycle_other_journeys_by_percentage[#All],MATCH(A2128, Reason_for_lorry_motorcycle_other_journeys_by_percentage[#Headers],0),0)/100</f>
        <v>0.10549999999999998</v>
      </c>
      <c r="G2128" s="13">
        <f t="shared" si="167"/>
        <v>351925471.9905442</v>
      </c>
      <c r="H2128" s="89">
        <f>VLOOKUP(D2128,Average_Distance_by_kilometre_grouping_for_mode_type[#All],MATCH(A2128,Average_Distance_by_kilometre_grouping_for_mode_type[#Headers],0),0)</f>
        <v>1</v>
      </c>
      <c r="I2128" s="89">
        <f>VLOOKUP(D2128,Average_Distance_by_kilometres_grouping_for_trip_purpose[#All],MATCH(A2128,Average_Distance_by_kilometres_grouping_for_trip_purpose[#Headers],0),0)</f>
        <v>1</v>
      </c>
      <c r="J2128" s="89">
        <f t="shared" si="168"/>
        <v>1</v>
      </c>
      <c r="K2128" s="89">
        <f t="shared" si="169"/>
        <v>2.3282887077997669E-2</v>
      </c>
      <c r="L2128" s="89">
        <v>1</v>
      </c>
      <c r="M2128" s="13">
        <f t="shared" si="170"/>
        <v>8193841.0242268723</v>
      </c>
      <c r="N2128" s="11">
        <f t="shared" si="171"/>
        <v>1.2515892540177766E-4</v>
      </c>
    </row>
    <row r="2129" spans="1:14" x14ac:dyDescent="0.25">
      <c r="A2129" s="79" t="s">
        <v>39</v>
      </c>
      <c r="B2129" s="89" t="s">
        <v>90</v>
      </c>
      <c r="C2129" s="89" t="s">
        <v>44</v>
      </c>
      <c r="D2129" s="13" t="s">
        <v>181</v>
      </c>
      <c r="E2129" s="35">
        <f>VLOOKUP(B2129, Passenger_Kilometre_by_mode_type[#All],MATCH(A2129, Passenger_Kilometre_by_mode_type[#Headers],0),0)</f>
        <v>3335786464.3653483</v>
      </c>
      <c r="F2129" s="89">
        <f>VLOOKUP(C2129, Reason_for_lorry_motorcycle_other_journeys_by_percentage[#All],MATCH(A2129, Reason_for_lorry_motorcycle_other_journeys_by_percentage[#Headers],0),0)/100</f>
        <v>0.10549999999999998</v>
      </c>
      <c r="G2129" s="13">
        <f t="shared" si="167"/>
        <v>351925471.9905442</v>
      </c>
      <c r="H2129" s="89">
        <f>VLOOKUP(D2129,Average_Distance_by_kilometre_grouping_for_mode_type[#All],MATCH(A2129,Average_Distance_by_kilometre_grouping_for_mode_type[#Headers],0),0)</f>
        <v>3</v>
      </c>
      <c r="I2129" s="89">
        <f>VLOOKUP(D2129,Average_Distance_by_kilometres_grouping_for_trip_purpose[#All],MATCH(A2129,Average_Distance_by_kilometres_grouping_for_trip_purpose[#Headers],0),0)</f>
        <v>3</v>
      </c>
      <c r="J2129" s="89">
        <f t="shared" si="168"/>
        <v>3</v>
      </c>
      <c r="K2129" s="89">
        <f t="shared" si="169"/>
        <v>6.9848661233993012E-2</v>
      </c>
      <c r="L2129" s="89">
        <v>1</v>
      </c>
      <c r="M2129" s="13">
        <f t="shared" si="170"/>
        <v>24581523.072680619</v>
      </c>
      <c r="N2129" s="11">
        <f t="shared" si="171"/>
        <v>3.7547677620533305E-4</v>
      </c>
    </row>
    <row r="2130" spans="1:14" x14ac:dyDescent="0.25">
      <c r="A2130" s="79" t="s">
        <v>39</v>
      </c>
      <c r="B2130" s="89" t="s">
        <v>90</v>
      </c>
      <c r="C2130" s="89" t="s">
        <v>44</v>
      </c>
      <c r="D2130" s="13" t="s">
        <v>180</v>
      </c>
      <c r="E2130" s="35">
        <f>VLOOKUP(B2130, Passenger_Kilometre_by_mode_type[#All],MATCH(A2130, Passenger_Kilometre_by_mode_type[#Headers],0),0)</f>
        <v>3335786464.3653483</v>
      </c>
      <c r="F2130" s="89">
        <f>VLOOKUP(C2130, Reason_for_lorry_motorcycle_other_journeys_by_percentage[#All],MATCH(A2130, Reason_for_lorry_motorcycle_other_journeys_by_percentage[#Headers],0),0)/100</f>
        <v>0.10549999999999998</v>
      </c>
      <c r="G2130" s="13">
        <f t="shared" si="167"/>
        <v>351925471.9905442</v>
      </c>
      <c r="H2130" s="89">
        <f>VLOOKUP(D2130,Average_Distance_by_kilometre_grouping_for_mode_type[#All],MATCH(A2130,Average_Distance_by_kilometre_grouping_for_mode_type[#Headers],0),0)</f>
        <v>5</v>
      </c>
      <c r="I2130" s="89">
        <f>VLOOKUP(D2130,Average_Distance_by_kilometres_grouping_for_trip_purpose[#All],MATCH(A2130,Average_Distance_by_kilometres_grouping_for_trip_purpose[#Headers],0),0)</f>
        <v>5</v>
      </c>
      <c r="J2130" s="89">
        <f t="shared" si="168"/>
        <v>5</v>
      </c>
      <c r="K2130" s="89">
        <f t="shared" si="169"/>
        <v>0.11641443538998836</v>
      </c>
      <c r="L2130" s="89">
        <v>1</v>
      </c>
      <c r="M2130" s="13">
        <f t="shared" si="170"/>
        <v>40969205.121134363</v>
      </c>
      <c r="N2130" s="11">
        <f t="shared" si="171"/>
        <v>6.2579462700888832E-4</v>
      </c>
    </row>
    <row r="2131" spans="1:14" x14ac:dyDescent="0.25">
      <c r="A2131" s="79" t="s">
        <v>39</v>
      </c>
      <c r="B2131" s="89" t="s">
        <v>90</v>
      </c>
      <c r="C2131" s="89" t="s">
        <v>44</v>
      </c>
      <c r="D2131" s="13" t="s">
        <v>182</v>
      </c>
      <c r="E2131" s="35">
        <f>VLOOKUP(B2131, Passenger_Kilometre_by_mode_type[#All],MATCH(A2131, Passenger_Kilometre_by_mode_type[#Headers],0),0)</f>
        <v>3335786464.3653483</v>
      </c>
      <c r="F2131" s="89">
        <f>VLOOKUP(C2131, Reason_for_lorry_motorcycle_other_journeys_by_percentage[#All],MATCH(A2131, Reason_for_lorry_motorcycle_other_journeys_by_percentage[#Headers],0),0)/100</f>
        <v>0.10549999999999998</v>
      </c>
      <c r="G2131" s="13">
        <f t="shared" si="167"/>
        <v>351925471.9905442</v>
      </c>
      <c r="H2131" s="89">
        <f>VLOOKUP(D2131,Average_Distance_by_kilometre_grouping_for_mode_type[#All],MATCH(A2131,Average_Distance_by_kilometre_grouping_for_mode_type[#Headers],0),0)</f>
        <v>7</v>
      </c>
      <c r="I2131" s="89">
        <f>VLOOKUP(D2131,Average_Distance_by_kilometres_grouping_for_trip_purpose[#All],MATCH(A2131,Average_Distance_by_kilometres_grouping_for_trip_purpose[#Headers],0),0)</f>
        <v>7</v>
      </c>
      <c r="J2131" s="89">
        <f t="shared" si="168"/>
        <v>7</v>
      </c>
      <c r="K2131" s="89">
        <f t="shared" si="169"/>
        <v>0.16298020954598369</v>
      </c>
      <c r="L2131" s="89">
        <v>1</v>
      </c>
      <c r="M2131" s="13">
        <f t="shared" si="170"/>
        <v>57356887.169588104</v>
      </c>
      <c r="N2131" s="11">
        <f t="shared" si="171"/>
        <v>8.7611247781244365E-4</v>
      </c>
    </row>
    <row r="2132" spans="1:14" x14ac:dyDescent="0.25">
      <c r="A2132" s="79" t="s">
        <v>39</v>
      </c>
      <c r="B2132" s="89" t="s">
        <v>90</v>
      </c>
      <c r="C2132" s="89" t="s">
        <v>44</v>
      </c>
      <c r="D2132" s="13" t="s">
        <v>1</v>
      </c>
      <c r="E2132" s="35">
        <f>VLOOKUP(B2132, Passenger_Kilometre_by_mode_type[#All],MATCH(A2132, Passenger_Kilometre_by_mode_type[#Headers],0),0)</f>
        <v>3335786464.3653483</v>
      </c>
      <c r="F2132" s="89">
        <f>VLOOKUP(C2132, Reason_for_lorry_motorcycle_other_journeys_by_percentage[#All],MATCH(A2132, Reason_for_lorry_motorcycle_other_journeys_by_percentage[#Headers],0),0)/100</f>
        <v>0.10549999999999998</v>
      </c>
      <c r="G2132" s="13">
        <f t="shared" si="167"/>
        <v>351925471.9905442</v>
      </c>
      <c r="H2132" s="89">
        <f>VLOOKUP(D2132,Average_Distance_by_kilometre_grouping_for_mode_type[#All],MATCH(A2132,Average_Distance_by_kilometre_grouping_for_mode_type[#Headers],0),0)</f>
        <v>25.7</v>
      </c>
      <c r="I2132" s="89">
        <f>VLOOKUP(D2132,Average_Distance_by_kilometres_grouping_for_trip_purpose[#All],MATCH(A2132,Average_Distance_by_kilometres_grouping_for_trip_purpose[#Headers],0),0)</f>
        <v>28.2</v>
      </c>
      <c r="J2132" s="89">
        <f t="shared" si="168"/>
        <v>26.95</v>
      </c>
      <c r="K2132" s="89">
        <f t="shared" si="169"/>
        <v>0.62747380675203723</v>
      </c>
      <c r="L2132" s="89">
        <v>1</v>
      </c>
      <c r="M2132" s="13">
        <f t="shared" si="170"/>
        <v>220824015.60291421</v>
      </c>
      <c r="N2132" s="11">
        <f t="shared" si="171"/>
        <v>3.3730330395779083E-3</v>
      </c>
    </row>
    <row r="2133" spans="1:14" x14ac:dyDescent="0.25">
      <c r="A2133" s="79" t="s">
        <v>39</v>
      </c>
      <c r="B2133" s="89" t="s">
        <v>90</v>
      </c>
      <c r="C2133" s="89" t="s">
        <v>45</v>
      </c>
      <c r="D2133" s="13" t="s">
        <v>12</v>
      </c>
      <c r="E2133" s="35">
        <f>VLOOKUP(B2133, Passenger_Kilometre_by_mode_type[#All],MATCH(A2133, Passenger_Kilometre_by_mode_type[#Headers],0),0)</f>
        <v>3335786464.3653483</v>
      </c>
      <c r="F2133" s="89">
        <f>VLOOKUP(C2133, Reason_for_lorry_motorcycle_other_journeys_by_percentage[#All],MATCH(A2133, Reason_for_lorry_motorcycle_other_journeys_by_percentage[#Headers],0),0)/100</f>
        <v>3.6249999999999998E-2</v>
      </c>
      <c r="G2133" s="13">
        <f t="shared" si="167"/>
        <v>120922259.33324386</v>
      </c>
      <c r="H2133" s="89">
        <f>VLOOKUP(D2133,Average_Distance_by_kilometre_grouping_for_mode_type[#All],MATCH(A2133,Average_Distance_by_kilometre_grouping_for_mode_type[#Headers],0),0)</f>
        <v>1</v>
      </c>
      <c r="I2133" s="89">
        <f>VLOOKUP(D2133,Average_Distance_by_kilometres_grouping_for_trip_purpose[#All],MATCH(A2133,Average_Distance_by_kilometres_grouping_for_trip_purpose[#Headers],0),0)</f>
        <v>1</v>
      </c>
      <c r="J2133" s="89">
        <f t="shared" si="168"/>
        <v>1</v>
      </c>
      <c r="K2133" s="89">
        <f t="shared" si="169"/>
        <v>2.3282887077997669E-2</v>
      </c>
      <c r="L2133" s="89">
        <v>1</v>
      </c>
      <c r="M2133" s="13">
        <f t="shared" si="170"/>
        <v>2815419.3092722665</v>
      </c>
      <c r="N2133" s="11">
        <f t="shared" si="171"/>
        <v>4.3004844036155831E-5</v>
      </c>
    </row>
    <row r="2134" spans="1:14" x14ac:dyDescent="0.25">
      <c r="A2134" s="79" t="s">
        <v>39</v>
      </c>
      <c r="B2134" s="89" t="s">
        <v>90</v>
      </c>
      <c r="C2134" s="89" t="s">
        <v>45</v>
      </c>
      <c r="D2134" s="13" t="s">
        <v>181</v>
      </c>
      <c r="E2134" s="35">
        <f>VLOOKUP(B2134, Passenger_Kilometre_by_mode_type[#All],MATCH(A2134, Passenger_Kilometre_by_mode_type[#Headers],0),0)</f>
        <v>3335786464.3653483</v>
      </c>
      <c r="F2134" s="89">
        <f>VLOOKUP(C2134, Reason_for_lorry_motorcycle_other_journeys_by_percentage[#All],MATCH(A2134, Reason_for_lorry_motorcycle_other_journeys_by_percentage[#Headers],0),0)/100</f>
        <v>3.6249999999999998E-2</v>
      </c>
      <c r="G2134" s="13">
        <f t="shared" si="167"/>
        <v>120922259.33324386</v>
      </c>
      <c r="H2134" s="89">
        <f>VLOOKUP(D2134,Average_Distance_by_kilometre_grouping_for_mode_type[#All],MATCH(A2134,Average_Distance_by_kilometre_grouping_for_mode_type[#Headers],0),0)</f>
        <v>3</v>
      </c>
      <c r="I2134" s="89">
        <f>VLOOKUP(D2134,Average_Distance_by_kilometres_grouping_for_trip_purpose[#All],MATCH(A2134,Average_Distance_by_kilometres_grouping_for_trip_purpose[#Headers],0),0)</f>
        <v>3</v>
      </c>
      <c r="J2134" s="89">
        <f t="shared" si="168"/>
        <v>3</v>
      </c>
      <c r="K2134" s="89">
        <f t="shared" si="169"/>
        <v>6.9848661233993012E-2</v>
      </c>
      <c r="L2134" s="89">
        <v>1</v>
      </c>
      <c r="M2134" s="13">
        <f t="shared" si="170"/>
        <v>8446257.9278168008</v>
      </c>
      <c r="N2134" s="11">
        <f t="shared" si="171"/>
        <v>1.2901453210846753E-4</v>
      </c>
    </row>
    <row r="2135" spans="1:14" x14ac:dyDescent="0.25">
      <c r="A2135" s="79" t="s">
        <v>39</v>
      </c>
      <c r="B2135" s="89" t="s">
        <v>90</v>
      </c>
      <c r="C2135" s="89" t="s">
        <v>45</v>
      </c>
      <c r="D2135" s="13" t="s">
        <v>180</v>
      </c>
      <c r="E2135" s="35">
        <f>VLOOKUP(B2135, Passenger_Kilometre_by_mode_type[#All],MATCH(A2135, Passenger_Kilometre_by_mode_type[#Headers],0),0)</f>
        <v>3335786464.3653483</v>
      </c>
      <c r="F2135" s="89">
        <f>VLOOKUP(C2135, Reason_for_lorry_motorcycle_other_journeys_by_percentage[#All],MATCH(A2135, Reason_for_lorry_motorcycle_other_journeys_by_percentage[#Headers],0),0)/100</f>
        <v>3.6249999999999998E-2</v>
      </c>
      <c r="G2135" s="13">
        <f t="shared" si="167"/>
        <v>120922259.33324386</v>
      </c>
      <c r="H2135" s="89">
        <f>VLOOKUP(D2135,Average_Distance_by_kilometre_grouping_for_mode_type[#All],MATCH(A2135,Average_Distance_by_kilometre_grouping_for_mode_type[#Headers],0),0)</f>
        <v>5</v>
      </c>
      <c r="I2135" s="89">
        <f>VLOOKUP(D2135,Average_Distance_by_kilometres_grouping_for_trip_purpose[#All],MATCH(A2135,Average_Distance_by_kilometres_grouping_for_trip_purpose[#Headers],0),0)</f>
        <v>5</v>
      </c>
      <c r="J2135" s="89">
        <f t="shared" si="168"/>
        <v>5</v>
      </c>
      <c r="K2135" s="89">
        <f t="shared" si="169"/>
        <v>0.11641443538998836</v>
      </c>
      <c r="L2135" s="89">
        <v>1</v>
      </c>
      <c r="M2135" s="13">
        <f t="shared" si="170"/>
        <v>14077096.546361335</v>
      </c>
      <c r="N2135" s="11">
        <f t="shared" si="171"/>
        <v>2.150242201807792E-4</v>
      </c>
    </row>
    <row r="2136" spans="1:14" x14ac:dyDescent="0.25">
      <c r="A2136" s="79" t="s">
        <v>39</v>
      </c>
      <c r="B2136" s="89" t="s">
        <v>90</v>
      </c>
      <c r="C2136" s="89" t="s">
        <v>45</v>
      </c>
      <c r="D2136" s="13" t="s">
        <v>182</v>
      </c>
      <c r="E2136" s="35">
        <f>VLOOKUP(B2136, Passenger_Kilometre_by_mode_type[#All],MATCH(A2136, Passenger_Kilometre_by_mode_type[#Headers],0),0)</f>
        <v>3335786464.3653483</v>
      </c>
      <c r="F2136" s="89">
        <f>VLOOKUP(C2136, Reason_for_lorry_motorcycle_other_journeys_by_percentage[#All],MATCH(A2136, Reason_for_lorry_motorcycle_other_journeys_by_percentage[#Headers],0),0)/100</f>
        <v>3.6249999999999998E-2</v>
      </c>
      <c r="G2136" s="13">
        <f t="shared" si="167"/>
        <v>120922259.33324386</v>
      </c>
      <c r="H2136" s="89">
        <f>VLOOKUP(D2136,Average_Distance_by_kilometre_grouping_for_mode_type[#All],MATCH(A2136,Average_Distance_by_kilometre_grouping_for_mode_type[#Headers],0),0)</f>
        <v>7</v>
      </c>
      <c r="I2136" s="89">
        <f>VLOOKUP(D2136,Average_Distance_by_kilometres_grouping_for_trip_purpose[#All],MATCH(A2136,Average_Distance_by_kilometres_grouping_for_trip_purpose[#Headers],0),0)</f>
        <v>7</v>
      </c>
      <c r="J2136" s="89">
        <f t="shared" si="168"/>
        <v>7</v>
      </c>
      <c r="K2136" s="89">
        <f t="shared" si="169"/>
        <v>0.16298020954598369</v>
      </c>
      <c r="L2136" s="89">
        <v>1</v>
      </c>
      <c r="M2136" s="13">
        <f t="shared" si="170"/>
        <v>19707935.164905865</v>
      </c>
      <c r="N2136" s="11">
        <f t="shared" si="171"/>
        <v>3.0103390825309082E-4</v>
      </c>
    </row>
    <row r="2137" spans="1:14" x14ac:dyDescent="0.25">
      <c r="A2137" s="79" t="s">
        <v>39</v>
      </c>
      <c r="B2137" s="89" t="s">
        <v>90</v>
      </c>
      <c r="C2137" s="89" t="s">
        <v>45</v>
      </c>
      <c r="D2137" s="13" t="s">
        <v>1</v>
      </c>
      <c r="E2137" s="35">
        <f>VLOOKUP(B2137, Passenger_Kilometre_by_mode_type[#All],MATCH(A2137, Passenger_Kilometre_by_mode_type[#Headers],0),0)</f>
        <v>3335786464.3653483</v>
      </c>
      <c r="F2137" s="89">
        <f>VLOOKUP(C2137, Reason_for_lorry_motorcycle_other_journeys_by_percentage[#All],MATCH(A2137, Reason_for_lorry_motorcycle_other_journeys_by_percentage[#Headers],0),0)/100</f>
        <v>3.6249999999999998E-2</v>
      </c>
      <c r="G2137" s="13">
        <f t="shared" si="167"/>
        <v>120922259.33324386</v>
      </c>
      <c r="H2137" s="89">
        <f>VLOOKUP(D2137,Average_Distance_by_kilometre_grouping_for_mode_type[#All],MATCH(A2137,Average_Distance_by_kilometre_grouping_for_mode_type[#Headers],0),0)</f>
        <v>25.7</v>
      </c>
      <c r="I2137" s="89">
        <f>VLOOKUP(D2137,Average_Distance_by_kilometres_grouping_for_trip_purpose[#All],MATCH(A2137,Average_Distance_by_kilometres_grouping_for_trip_purpose[#Headers],0),0)</f>
        <v>28.2</v>
      </c>
      <c r="J2137" s="89">
        <f t="shared" si="168"/>
        <v>26.95</v>
      </c>
      <c r="K2137" s="89">
        <f t="shared" si="169"/>
        <v>0.62747380675203723</v>
      </c>
      <c r="L2137" s="89">
        <v>1</v>
      </c>
      <c r="M2137" s="13">
        <f t="shared" si="170"/>
        <v>75875550.384887591</v>
      </c>
      <c r="N2137" s="11">
        <f t="shared" si="171"/>
        <v>1.1589805467743998E-3</v>
      </c>
    </row>
    <row r="2138" spans="1:14" x14ac:dyDescent="0.25">
      <c r="A2138" s="79" t="s">
        <v>39</v>
      </c>
      <c r="B2138" s="89" t="s">
        <v>90</v>
      </c>
      <c r="C2138" s="89" t="s">
        <v>56</v>
      </c>
      <c r="D2138" s="13" t="s">
        <v>12</v>
      </c>
      <c r="E2138" s="35">
        <f>VLOOKUP(B2138, Passenger_Kilometre_by_mode_type[#All],MATCH(A2138, Passenger_Kilometre_by_mode_type[#Headers],0),0)</f>
        <v>3335786464.3653483</v>
      </c>
      <c r="F2138" s="89">
        <f>VLOOKUP(C2138, Reason_for_lorry_motorcycle_other_journeys_by_percentage[#All],MATCH(A2138, Reason_for_lorry_motorcycle_other_journeys_by_percentage[#Headers],0),0)/100</f>
        <v>0.105</v>
      </c>
      <c r="G2138" s="13">
        <f t="shared" si="167"/>
        <v>350257578.75836158</v>
      </c>
      <c r="H2138" s="89">
        <f>VLOOKUP(D2138,Average_Distance_by_kilometre_grouping_for_mode_type[#All],MATCH(A2138,Average_Distance_by_kilometre_grouping_for_mode_type[#Headers],0),0)</f>
        <v>1</v>
      </c>
      <c r="I2138" s="89">
        <f>VLOOKUP(D2138,Average_Distance_by_kilometres_grouping_for_trip_purpose[#All],MATCH(A2138,Average_Distance_by_kilometres_grouping_for_trip_purpose[#Headers],0),0)</f>
        <v>1</v>
      </c>
      <c r="J2138" s="89">
        <f t="shared" si="168"/>
        <v>1</v>
      </c>
      <c r="K2138" s="89">
        <f t="shared" si="169"/>
        <v>2.3282887077997669E-2</v>
      </c>
      <c r="L2138" s="89">
        <v>1</v>
      </c>
      <c r="M2138" s="13">
        <f t="shared" si="170"/>
        <v>8155007.6544438079</v>
      </c>
      <c r="N2138" s="11">
        <f t="shared" si="171"/>
        <v>1.2456575513921002E-4</v>
      </c>
    </row>
    <row r="2139" spans="1:14" x14ac:dyDescent="0.25">
      <c r="A2139" s="79" t="s">
        <v>39</v>
      </c>
      <c r="B2139" s="89" t="s">
        <v>90</v>
      </c>
      <c r="C2139" s="89" t="s">
        <v>56</v>
      </c>
      <c r="D2139" s="13" t="s">
        <v>181</v>
      </c>
      <c r="E2139" s="35">
        <f>VLOOKUP(B2139, Passenger_Kilometre_by_mode_type[#All],MATCH(A2139, Passenger_Kilometre_by_mode_type[#Headers],0),0)</f>
        <v>3335786464.3653483</v>
      </c>
      <c r="F2139" s="89">
        <f>VLOOKUP(C2139, Reason_for_lorry_motorcycle_other_journeys_by_percentage[#All],MATCH(A2139, Reason_for_lorry_motorcycle_other_journeys_by_percentage[#Headers],0),0)/100</f>
        <v>0.105</v>
      </c>
      <c r="G2139" s="13">
        <f t="shared" si="167"/>
        <v>350257578.75836158</v>
      </c>
      <c r="H2139" s="89">
        <f>VLOOKUP(D2139,Average_Distance_by_kilometre_grouping_for_mode_type[#All],MATCH(A2139,Average_Distance_by_kilometre_grouping_for_mode_type[#Headers],0),0)</f>
        <v>3</v>
      </c>
      <c r="I2139" s="89">
        <f>VLOOKUP(D2139,Average_Distance_by_kilometres_grouping_for_trip_purpose[#All],MATCH(A2139,Average_Distance_by_kilometres_grouping_for_trip_purpose[#Headers],0),0)</f>
        <v>3</v>
      </c>
      <c r="J2139" s="89">
        <f t="shared" si="168"/>
        <v>3</v>
      </c>
      <c r="K2139" s="89">
        <f t="shared" si="169"/>
        <v>6.9848661233993012E-2</v>
      </c>
      <c r="L2139" s="89">
        <v>1</v>
      </c>
      <c r="M2139" s="13">
        <f t="shared" si="170"/>
        <v>24465022.963331424</v>
      </c>
      <c r="N2139" s="11">
        <f t="shared" si="171"/>
        <v>3.7369726541763008E-4</v>
      </c>
    </row>
    <row r="2140" spans="1:14" x14ac:dyDescent="0.25">
      <c r="A2140" s="79" t="s">
        <v>39</v>
      </c>
      <c r="B2140" s="89" t="s">
        <v>90</v>
      </c>
      <c r="C2140" s="89" t="s">
        <v>56</v>
      </c>
      <c r="D2140" s="13" t="s">
        <v>180</v>
      </c>
      <c r="E2140" s="35">
        <f>VLOOKUP(B2140, Passenger_Kilometre_by_mode_type[#All],MATCH(A2140, Passenger_Kilometre_by_mode_type[#Headers],0),0)</f>
        <v>3335786464.3653483</v>
      </c>
      <c r="F2140" s="89">
        <f>VLOOKUP(C2140, Reason_for_lorry_motorcycle_other_journeys_by_percentage[#All],MATCH(A2140, Reason_for_lorry_motorcycle_other_journeys_by_percentage[#Headers],0),0)/100</f>
        <v>0.105</v>
      </c>
      <c r="G2140" s="13">
        <f t="shared" si="167"/>
        <v>350257578.75836158</v>
      </c>
      <c r="H2140" s="89">
        <f>VLOOKUP(D2140,Average_Distance_by_kilometre_grouping_for_mode_type[#All],MATCH(A2140,Average_Distance_by_kilometre_grouping_for_mode_type[#Headers],0),0)</f>
        <v>5</v>
      </c>
      <c r="I2140" s="89">
        <f>VLOOKUP(D2140,Average_Distance_by_kilometres_grouping_for_trip_purpose[#All],MATCH(A2140,Average_Distance_by_kilometres_grouping_for_trip_purpose[#Headers],0),0)</f>
        <v>5</v>
      </c>
      <c r="J2140" s="89">
        <f t="shared" si="168"/>
        <v>5</v>
      </c>
      <c r="K2140" s="89">
        <f t="shared" si="169"/>
        <v>0.11641443538998836</v>
      </c>
      <c r="L2140" s="89">
        <v>1</v>
      </c>
      <c r="M2140" s="13">
        <f t="shared" si="170"/>
        <v>40775038.272219039</v>
      </c>
      <c r="N2140" s="11">
        <f t="shared" si="171"/>
        <v>6.2282877569605011E-4</v>
      </c>
    </row>
    <row r="2141" spans="1:14" x14ac:dyDescent="0.25">
      <c r="A2141" s="79" t="s">
        <v>39</v>
      </c>
      <c r="B2141" s="89" t="s">
        <v>90</v>
      </c>
      <c r="C2141" s="89" t="s">
        <v>56</v>
      </c>
      <c r="D2141" s="13" t="s">
        <v>182</v>
      </c>
      <c r="E2141" s="35">
        <f>VLOOKUP(B2141, Passenger_Kilometre_by_mode_type[#All],MATCH(A2141, Passenger_Kilometre_by_mode_type[#Headers],0),0)</f>
        <v>3335786464.3653483</v>
      </c>
      <c r="F2141" s="89">
        <f>VLOOKUP(C2141, Reason_for_lorry_motorcycle_other_journeys_by_percentage[#All],MATCH(A2141, Reason_for_lorry_motorcycle_other_journeys_by_percentage[#Headers],0),0)/100</f>
        <v>0.105</v>
      </c>
      <c r="G2141" s="13">
        <f t="shared" si="167"/>
        <v>350257578.75836158</v>
      </c>
      <c r="H2141" s="89">
        <f>VLOOKUP(D2141,Average_Distance_by_kilometre_grouping_for_mode_type[#All],MATCH(A2141,Average_Distance_by_kilometre_grouping_for_mode_type[#Headers],0),0)</f>
        <v>7</v>
      </c>
      <c r="I2141" s="89">
        <f>VLOOKUP(D2141,Average_Distance_by_kilometres_grouping_for_trip_purpose[#All],MATCH(A2141,Average_Distance_by_kilometres_grouping_for_trip_purpose[#Headers],0),0)</f>
        <v>7</v>
      </c>
      <c r="J2141" s="89">
        <f t="shared" si="168"/>
        <v>7</v>
      </c>
      <c r="K2141" s="89">
        <f t="shared" si="169"/>
        <v>0.16298020954598369</v>
      </c>
      <c r="L2141" s="89">
        <v>1</v>
      </c>
      <c r="M2141" s="13">
        <f t="shared" si="170"/>
        <v>57085053.581106655</v>
      </c>
      <c r="N2141" s="11">
        <f t="shared" si="171"/>
        <v>8.719602859744702E-4</v>
      </c>
    </row>
    <row r="2142" spans="1:14" x14ac:dyDescent="0.25">
      <c r="A2142" s="79" t="s">
        <v>39</v>
      </c>
      <c r="B2142" s="89" t="s">
        <v>90</v>
      </c>
      <c r="C2142" s="89" t="s">
        <v>56</v>
      </c>
      <c r="D2142" s="13" t="s">
        <v>1</v>
      </c>
      <c r="E2142" s="35">
        <f>VLOOKUP(B2142, Passenger_Kilometre_by_mode_type[#All],MATCH(A2142, Passenger_Kilometre_by_mode_type[#Headers],0),0)</f>
        <v>3335786464.3653483</v>
      </c>
      <c r="F2142" s="89">
        <f>VLOOKUP(C2142, Reason_for_lorry_motorcycle_other_journeys_by_percentage[#All],MATCH(A2142, Reason_for_lorry_motorcycle_other_journeys_by_percentage[#Headers],0),0)/100</f>
        <v>0.105</v>
      </c>
      <c r="G2142" s="13">
        <f t="shared" si="167"/>
        <v>350257578.75836158</v>
      </c>
      <c r="H2142" s="89">
        <f>VLOOKUP(D2142,Average_Distance_by_kilometre_grouping_for_mode_type[#All],MATCH(A2142,Average_Distance_by_kilometre_grouping_for_mode_type[#Headers],0),0)</f>
        <v>25.7</v>
      </c>
      <c r="I2142" s="89">
        <f>VLOOKUP(D2142,Average_Distance_by_kilometres_grouping_for_trip_purpose[#All],MATCH(A2142,Average_Distance_by_kilometres_grouping_for_trip_purpose[#Headers],0),0)</f>
        <v>28.2</v>
      </c>
      <c r="J2142" s="89">
        <f t="shared" si="168"/>
        <v>26.95</v>
      </c>
      <c r="K2142" s="89">
        <f t="shared" si="169"/>
        <v>0.62747380675203723</v>
      </c>
      <c r="L2142" s="89">
        <v>1</v>
      </c>
      <c r="M2142" s="13">
        <f t="shared" si="170"/>
        <v>219777456.28726062</v>
      </c>
      <c r="N2142" s="11">
        <f t="shared" si="171"/>
        <v>3.3570471010017102E-3</v>
      </c>
    </row>
    <row r="2143" spans="1:14" x14ac:dyDescent="0.25">
      <c r="A2143" s="79" t="s">
        <v>39</v>
      </c>
      <c r="B2143" s="89" t="s">
        <v>90</v>
      </c>
      <c r="C2143" s="89" t="s">
        <v>57</v>
      </c>
      <c r="D2143" s="13" t="s">
        <v>12</v>
      </c>
      <c r="E2143" s="35">
        <f>VLOOKUP(B2143, Passenger_Kilometre_by_mode_type[#All],MATCH(A2143, Passenger_Kilometre_by_mode_type[#Headers],0),0)</f>
        <v>3335786464.3653483</v>
      </c>
      <c r="F2143" s="89">
        <f>VLOOKUP(C2143, Reason_for_lorry_motorcycle_other_journeys_by_percentage[#All],MATCH(A2143, Reason_for_lorry_motorcycle_other_journeys_by_percentage[#Headers],0),0)/100</f>
        <v>4.5500000000000006E-2</v>
      </c>
      <c r="G2143" s="13">
        <f t="shared" si="167"/>
        <v>151778284.12862337</v>
      </c>
      <c r="H2143" s="89">
        <f>VLOOKUP(D2143,Average_Distance_by_kilometre_grouping_for_mode_type[#All],MATCH(A2143,Average_Distance_by_kilometre_grouping_for_mode_type[#Headers],0),0)</f>
        <v>1</v>
      </c>
      <c r="I2143" s="89">
        <f>VLOOKUP(D2143,Average_Distance_by_kilometres_grouping_for_trip_purpose[#All],MATCH(A2143,Average_Distance_by_kilometres_grouping_for_trip_purpose[#Headers],0),0)</f>
        <v>1</v>
      </c>
      <c r="J2143" s="89">
        <f t="shared" si="168"/>
        <v>1</v>
      </c>
      <c r="K2143" s="89">
        <f t="shared" si="169"/>
        <v>2.3282887077997669E-2</v>
      </c>
      <c r="L2143" s="89">
        <v>1</v>
      </c>
      <c r="M2143" s="13">
        <f t="shared" si="170"/>
        <v>3533836.650258984</v>
      </c>
      <c r="N2143" s="11">
        <f t="shared" si="171"/>
        <v>5.3978493893657685E-5</v>
      </c>
    </row>
    <row r="2144" spans="1:14" x14ac:dyDescent="0.25">
      <c r="A2144" s="79" t="s">
        <v>39</v>
      </c>
      <c r="B2144" s="89" t="s">
        <v>90</v>
      </c>
      <c r="C2144" s="89" t="s">
        <v>57</v>
      </c>
      <c r="D2144" s="13" t="s">
        <v>181</v>
      </c>
      <c r="E2144" s="35">
        <f>VLOOKUP(B2144, Passenger_Kilometre_by_mode_type[#All],MATCH(A2144, Passenger_Kilometre_by_mode_type[#Headers],0),0)</f>
        <v>3335786464.3653483</v>
      </c>
      <c r="F2144" s="89">
        <f>VLOOKUP(C2144, Reason_for_lorry_motorcycle_other_journeys_by_percentage[#All],MATCH(A2144, Reason_for_lorry_motorcycle_other_journeys_by_percentage[#Headers],0),0)/100</f>
        <v>4.5500000000000006E-2</v>
      </c>
      <c r="G2144" s="13">
        <f t="shared" si="167"/>
        <v>151778284.12862337</v>
      </c>
      <c r="H2144" s="89">
        <f>VLOOKUP(D2144,Average_Distance_by_kilometre_grouping_for_mode_type[#All],MATCH(A2144,Average_Distance_by_kilometre_grouping_for_mode_type[#Headers],0),0)</f>
        <v>3</v>
      </c>
      <c r="I2144" s="89">
        <f>VLOOKUP(D2144,Average_Distance_by_kilometres_grouping_for_trip_purpose[#All],MATCH(A2144,Average_Distance_by_kilometres_grouping_for_trip_purpose[#Headers],0),0)</f>
        <v>3</v>
      </c>
      <c r="J2144" s="89">
        <f t="shared" si="168"/>
        <v>3</v>
      </c>
      <c r="K2144" s="89">
        <f t="shared" si="169"/>
        <v>6.9848661233993012E-2</v>
      </c>
      <c r="L2144" s="89">
        <v>1</v>
      </c>
      <c r="M2144" s="13">
        <f t="shared" si="170"/>
        <v>10601509.950776951</v>
      </c>
      <c r="N2144" s="11">
        <f t="shared" si="171"/>
        <v>1.6193548168097304E-4</v>
      </c>
    </row>
    <row r="2145" spans="1:14" x14ac:dyDescent="0.25">
      <c r="A2145" s="79" t="s">
        <v>39</v>
      </c>
      <c r="B2145" s="89" t="s">
        <v>90</v>
      </c>
      <c r="C2145" s="89" t="s">
        <v>57</v>
      </c>
      <c r="D2145" s="13" t="s">
        <v>180</v>
      </c>
      <c r="E2145" s="35">
        <f>VLOOKUP(B2145, Passenger_Kilometre_by_mode_type[#All],MATCH(A2145, Passenger_Kilometre_by_mode_type[#Headers],0),0)</f>
        <v>3335786464.3653483</v>
      </c>
      <c r="F2145" s="89">
        <f>VLOOKUP(C2145, Reason_for_lorry_motorcycle_other_journeys_by_percentage[#All],MATCH(A2145, Reason_for_lorry_motorcycle_other_journeys_by_percentage[#Headers],0),0)/100</f>
        <v>4.5500000000000006E-2</v>
      </c>
      <c r="G2145" s="13">
        <f t="shared" si="167"/>
        <v>151778284.12862337</v>
      </c>
      <c r="H2145" s="89">
        <f>VLOOKUP(D2145,Average_Distance_by_kilometre_grouping_for_mode_type[#All],MATCH(A2145,Average_Distance_by_kilometre_grouping_for_mode_type[#Headers],0),0)</f>
        <v>5</v>
      </c>
      <c r="I2145" s="89">
        <f>VLOOKUP(D2145,Average_Distance_by_kilometres_grouping_for_trip_purpose[#All],MATCH(A2145,Average_Distance_by_kilometres_grouping_for_trip_purpose[#Headers],0),0)</f>
        <v>5</v>
      </c>
      <c r="J2145" s="89">
        <f t="shared" si="168"/>
        <v>5</v>
      </c>
      <c r="K2145" s="89">
        <f t="shared" si="169"/>
        <v>0.11641443538998836</v>
      </c>
      <c r="L2145" s="89">
        <v>1</v>
      </c>
      <c r="M2145" s="13">
        <f t="shared" si="170"/>
        <v>17669183.251294922</v>
      </c>
      <c r="N2145" s="11">
        <f t="shared" si="171"/>
        <v>2.6989246946828845E-4</v>
      </c>
    </row>
    <row r="2146" spans="1:14" x14ac:dyDescent="0.25">
      <c r="A2146" s="79" t="s">
        <v>39</v>
      </c>
      <c r="B2146" s="89" t="s">
        <v>90</v>
      </c>
      <c r="C2146" s="89" t="s">
        <v>57</v>
      </c>
      <c r="D2146" s="13" t="s">
        <v>182</v>
      </c>
      <c r="E2146" s="35">
        <f>VLOOKUP(B2146, Passenger_Kilometre_by_mode_type[#All],MATCH(A2146, Passenger_Kilometre_by_mode_type[#Headers],0),0)</f>
        <v>3335786464.3653483</v>
      </c>
      <c r="F2146" s="89">
        <f>VLOOKUP(C2146, Reason_for_lorry_motorcycle_other_journeys_by_percentage[#All],MATCH(A2146, Reason_for_lorry_motorcycle_other_journeys_by_percentage[#Headers],0),0)/100</f>
        <v>4.5500000000000006E-2</v>
      </c>
      <c r="G2146" s="13">
        <f t="shared" si="167"/>
        <v>151778284.12862337</v>
      </c>
      <c r="H2146" s="89">
        <f>VLOOKUP(D2146,Average_Distance_by_kilometre_grouping_for_mode_type[#All],MATCH(A2146,Average_Distance_by_kilometre_grouping_for_mode_type[#Headers],0),0)</f>
        <v>7</v>
      </c>
      <c r="I2146" s="89">
        <f>VLOOKUP(D2146,Average_Distance_by_kilometres_grouping_for_trip_purpose[#All],MATCH(A2146,Average_Distance_by_kilometres_grouping_for_trip_purpose[#Headers],0),0)</f>
        <v>7</v>
      </c>
      <c r="J2146" s="89">
        <f t="shared" si="168"/>
        <v>7</v>
      </c>
      <c r="K2146" s="89">
        <f t="shared" si="169"/>
        <v>0.16298020954598369</v>
      </c>
      <c r="L2146" s="89">
        <v>1</v>
      </c>
      <c r="M2146" s="13">
        <f t="shared" si="170"/>
        <v>24736856.551812887</v>
      </c>
      <c r="N2146" s="11">
        <f t="shared" si="171"/>
        <v>3.778494572556038E-4</v>
      </c>
    </row>
    <row r="2147" spans="1:14" x14ac:dyDescent="0.25">
      <c r="A2147" s="79" t="s">
        <v>39</v>
      </c>
      <c r="B2147" s="89" t="s">
        <v>90</v>
      </c>
      <c r="C2147" s="89" t="s">
        <v>57</v>
      </c>
      <c r="D2147" s="13" t="s">
        <v>1</v>
      </c>
      <c r="E2147" s="35">
        <f>VLOOKUP(B2147, Passenger_Kilometre_by_mode_type[#All],MATCH(A2147, Passenger_Kilometre_by_mode_type[#Headers],0),0)</f>
        <v>3335786464.3653483</v>
      </c>
      <c r="F2147" s="89">
        <f>VLOOKUP(C2147, Reason_for_lorry_motorcycle_other_journeys_by_percentage[#All],MATCH(A2147, Reason_for_lorry_motorcycle_other_journeys_by_percentage[#Headers],0),0)/100</f>
        <v>4.5500000000000006E-2</v>
      </c>
      <c r="G2147" s="13">
        <f t="shared" si="167"/>
        <v>151778284.12862337</v>
      </c>
      <c r="H2147" s="89">
        <f>VLOOKUP(D2147,Average_Distance_by_kilometre_grouping_for_mode_type[#All],MATCH(A2147,Average_Distance_by_kilometre_grouping_for_mode_type[#Headers],0),0)</f>
        <v>25.7</v>
      </c>
      <c r="I2147" s="89">
        <f>VLOOKUP(D2147,Average_Distance_by_kilometres_grouping_for_trip_purpose[#All],MATCH(A2147,Average_Distance_by_kilometres_grouping_for_trip_purpose[#Headers],0),0)</f>
        <v>28.2</v>
      </c>
      <c r="J2147" s="89">
        <f t="shared" si="168"/>
        <v>26.95</v>
      </c>
      <c r="K2147" s="89">
        <f t="shared" si="169"/>
        <v>0.62747380675203723</v>
      </c>
      <c r="L2147" s="89">
        <v>1</v>
      </c>
      <c r="M2147" s="13">
        <f t="shared" si="170"/>
        <v>95236897.724479616</v>
      </c>
      <c r="N2147" s="11">
        <f t="shared" si="171"/>
        <v>1.4547204104340746E-3</v>
      </c>
    </row>
    <row r="2148" spans="1:14" x14ac:dyDescent="0.25">
      <c r="A2148" s="79" t="s">
        <v>39</v>
      </c>
      <c r="B2148" s="89" t="s">
        <v>90</v>
      </c>
      <c r="C2148" s="89" t="s">
        <v>93</v>
      </c>
      <c r="D2148" s="13" t="s">
        <v>12</v>
      </c>
      <c r="E2148" s="35">
        <f>VLOOKUP(B2148, Passenger_Kilometre_by_mode_type[#All],MATCH(A2148, Passenger_Kilometre_by_mode_type[#Headers],0),0)</f>
        <v>3335786464.3653483</v>
      </c>
      <c r="F2148" s="89">
        <f>VLOOKUP(C2148, Reason_for_lorry_motorcycle_other_journeys_by_percentage[#All],MATCH(A2148, Reason_for_lorry_motorcycle_other_journeys_by_percentage[#Headers],0),0)/100</f>
        <v>1.7500000000000002E-2</v>
      </c>
      <c r="G2148" s="13">
        <f t="shared" si="167"/>
        <v>58376263.126393601</v>
      </c>
      <c r="H2148" s="89">
        <f>VLOOKUP(D2148,Average_Distance_by_kilometre_grouping_for_mode_type[#All],MATCH(A2148,Average_Distance_by_kilometre_grouping_for_mode_type[#Headers],0),0)</f>
        <v>1</v>
      </c>
      <c r="I2148" s="89">
        <f>VLOOKUP(D2148,Average_Distance_by_kilometres_grouping_for_trip_purpose[#All],MATCH(A2148,Average_Distance_by_kilometres_grouping_for_trip_purpose[#Headers],0),0)</f>
        <v>1</v>
      </c>
      <c r="J2148" s="89">
        <f t="shared" si="168"/>
        <v>1</v>
      </c>
      <c r="K2148" s="89">
        <f t="shared" si="169"/>
        <v>2.3282887077997669E-2</v>
      </c>
      <c r="L2148" s="89">
        <v>1</v>
      </c>
      <c r="M2148" s="13">
        <f t="shared" si="170"/>
        <v>1359167.9424073014</v>
      </c>
      <c r="N2148" s="11">
        <f t="shared" si="171"/>
        <v>2.0760959189868338E-5</v>
      </c>
    </row>
    <row r="2149" spans="1:14" x14ac:dyDescent="0.25">
      <c r="A2149" s="79" t="s">
        <v>39</v>
      </c>
      <c r="B2149" s="89" t="s">
        <v>90</v>
      </c>
      <c r="C2149" s="89" t="s">
        <v>93</v>
      </c>
      <c r="D2149" s="13" t="s">
        <v>181</v>
      </c>
      <c r="E2149" s="35">
        <f>VLOOKUP(B2149, Passenger_Kilometre_by_mode_type[#All],MATCH(A2149, Passenger_Kilometre_by_mode_type[#Headers],0),0)</f>
        <v>3335786464.3653483</v>
      </c>
      <c r="F2149" s="89">
        <f>VLOOKUP(C2149, Reason_for_lorry_motorcycle_other_journeys_by_percentage[#All],MATCH(A2149, Reason_for_lorry_motorcycle_other_journeys_by_percentage[#Headers],0),0)/100</f>
        <v>1.7500000000000002E-2</v>
      </c>
      <c r="G2149" s="13">
        <f t="shared" si="167"/>
        <v>58376263.126393601</v>
      </c>
      <c r="H2149" s="89">
        <f>VLOOKUP(D2149,Average_Distance_by_kilometre_grouping_for_mode_type[#All],MATCH(A2149,Average_Distance_by_kilometre_grouping_for_mode_type[#Headers],0),0)</f>
        <v>3</v>
      </c>
      <c r="I2149" s="89">
        <f>VLOOKUP(D2149,Average_Distance_by_kilometres_grouping_for_trip_purpose[#All],MATCH(A2149,Average_Distance_by_kilometres_grouping_for_trip_purpose[#Headers],0),0)</f>
        <v>3</v>
      </c>
      <c r="J2149" s="89">
        <f t="shared" si="168"/>
        <v>3</v>
      </c>
      <c r="K2149" s="89">
        <f t="shared" si="169"/>
        <v>6.9848661233993012E-2</v>
      </c>
      <c r="L2149" s="89">
        <v>1</v>
      </c>
      <c r="M2149" s="13">
        <f t="shared" si="170"/>
        <v>4077503.8272219044</v>
      </c>
      <c r="N2149" s="11">
        <f t="shared" si="171"/>
        <v>6.2282877569605022E-5</v>
      </c>
    </row>
    <row r="2150" spans="1:14" x14ac:dyDescent="0.25">
      <c r="A2150" s="79" t="s">
        <v>39</v>
      </c>
      <c r="B2150" s="89" t="s">
        <v>90</v>
      </c>
      <c r="C2150" s="89" t="s">
        <v>93</v>
      </c>
      <c r="D2150" s="13" t="s">
        <v>180</v>
      </c>
      <c r="E2150" s="35">
        <f>VLOOKUP(B2150, Passenger_Kilometre_by_mode_type[#All],MATCH(A2150, Passenger_Kilometre_by_mode_type[#Headers],0),0)</f>
        <v>3335786464.3653483</v>
      </c>
      <c r="F2150" s="89">
        <f>VLOOKUP(C2150, Reason_for_lorry_motorcycle_other_journeys_by_percentage[#All],MATCH(A2150, Reason_for_lorry_motorcycle_other_journeys_by_percentage[#Headers],0),0)/100</f>
        <v>1.7500000000000002E-2</v>
      </c>
      <c r="G2150" s="13">
        <f t="shared" si="167"/>
        <v>58376263.126393601</v>
      </c>
      <c r="H2150" s="89">
        <f>VLOOKUP(D2150,Average_Distance_by_kilometre_grouping_for_mode_type[#All],MATCH(A2150,Average_Distance_by_kilometre_grouping_for_mode_type[#Headers],0),0)</f>
        <v>5</v>
      </c>
      <c r="I2150" s="89">
        <f>VLOOKUP(D2150,Average_Distance_by_kilometres_grouping_for_trip_purpose[#All],MATCH(A2150,Average_Distance_by_kilometres_grouping_for_trip_purpose[#Headers],0),0)</f>
        <v>5</v>
      </c>
      <c r="J2150" s="89">
        <f t="shared" si="168"/>
        <v>5</v>
      </c>
      <c r="K2150" s="89">
        <f t="shared" si="169"/>
        <v>0.11641443538998836</v>
      </c>
      <c r="L2150" s="89">
        <v>1</v>
      </c>
      <c r="M2150" s="13">
        <f t="shared" si="170"/>
        <v>6795839.7120365072</v>
      </c>
      <c r="N2150" s="11">
        <f t="shared" si="171"/>
        <v>1.038047959493417E-4</v>
      </c>
    </row>
    <row r="2151" spans="1:14" x14ac:dyDescent="0.25">
      <c r="A2151" s="79" t="s">
        <v>39</v>
      </c>
      <c r="B2151" s="89" t="s">
        <v>90</v>
      </c>
      <c r="C2151" s="89" t="s">
        <v>93</v>
      </c>
      <c r="D2151" s="13" t="s">
        <v>182</v>
      </c>
      <c r="E2151" s="35">
        <f>VLOOKUP(B2151, Passenger_Kilometre_by_mode_type[#All],MATCH(A2151, Passenger_Kilometre_by_mode_type[#Headers],0),0)</f>
        <v>3335786464.3653483</v>
      </c>
      <c r="F2151" s="89">
        <f>VLOOKUP(C2151, Reason_for_lorry_motorcycle_other_journeys_by_percentage[#All],MATCH(A2151, Reason_for_lorry_motorcycle_other_journeys_by_percentage[#Headers],0),0)/100</f>
        <v>1.7500000000000002E-2</v>
      </c>
      <c r="G2151" s="13">
        <f t="shared" si="167"/>
        <v>58376263.126393601</v>
      </c>
      <c r="H2151" s="89">
        <f>VLOOKUP(D2151,Average_Distance_by_kilometre_grouping_for_mode_type[#All],MATCH(A2151,Average_Distance_by_kilometre_grouping_for_mode_type[#Headers],0),0)</f>
        <v>7</v>
      </c>
      <c r="I2151" s="89">
        <f>VLOOKUP(D2151,Average_Distance_by_kilometres_grouping_for_trip_purpose[#All],MATCH(A2151,Average_Distance_by_kilometres_grouping_for_trip_purpose[#Headers],0),0)</f>
        <v>7</v>
      </c>
      <c r="J2151" s="89">
        <f t="shared" si="168"/>
        <v>7</v>
      </c>
      <c r="K2151" s="89">
        <f t="shared" si="169"/>
        <v>0.16298020954598369</v>
      </c>
      <c r="L2151" s="89">
        <v>1</v>
      </c>
      <c r="M2151" s="13">
        <f t="shared" si="170"/>
        <v>9514175.5968511105</v>
      </c>
      <c r="N2151" s="11">
        <f t="shared" si="171"/>
        <v>1.4532671432907838E-4</v>
      </c>
    </row>
    <row r="2152" spans="1:14" x14ac:dyDescent="0.25">
      <c r="A2152" s="79" t="s">
        <v>39</v>
      </c>
      <c r="B2152" s="89" t="s">
        <v>90</v>
      </c>
      <c r="C2152" s="89" t="s">
        <v>93</v>
      </c>
      <c r="D2152" s="13" t="s">
        <v>1</v>
      </c>
      <c r="E2152" s="35">
        <f>VLOOKUP(B2152, Passenger_Kilometre_by_mode_type[#All],MATCH(A2152, Passenger_Kilometre_by_mode_type[#Headers],0),0)</f>
        <v>3335786464.3653483</v>
      </c>
      <c r="F2152" s="89">
        <f>VLOOKUP(C2152, Reason_for_lorry_motorcycle_other_journeys_by_percentage[#All],MATCH(A2152, Reason_for_lorry_motorcycle_other_journeys_by_percentage[#Headers],0),0)/100</f>
        <v>1.7500000000000002E-2</v>
      </c>
      <c r="G2152" s="13">
        <f t="shared" si="167"/>
        <v>58376263.126393601</v>
      </c>
      <c r="H2152" s="89">
        <f>VLOOKUP(D2152,Average_Distance_by_kilometre_grouping_for_mode_type[#All],MATCH(A2152,Average_Distance_by_kilometre_grouping_for_mode_type[#Headers],0),0)</f>
        <v>25.7</v>
      </c>
      <c r="I2152" s="89">
        <f>VLOOKUP(D2152,Average_Distance_by_kilometres_grouping_for_trip_purpose[#All],MATCH(A2152,Average_Distance_by_kilometres_grouping_for_trip_purpose[#Headers],0),0)</f>
        <v>28.2</v>
      </c>
      <c r="J2152" s="89">
        <f t="shared" si="168"/>
        <v>26.95</v>
      </c>
      <c r="K2152" s="89">
        <f t="shared" si="169"/>
        <v>0.62747380675203723</v>
      </c>
      <c r="L2152" s="89">
        <v>1</v>
      </c>
      <c r="M2152" s="13">
        <f t="shared" si="170"/>
        <v>36629576.047876775</v>
      </c>
      <c r="N2152" s="11">
        <f t="shared" si="171"/>
        <v>5.5950785016695181E-4</v>
      </c>
    </row>
    <row r="2153" spans="1:14" x14ac:dyDescent="0.25">
      <c r="A2153" s="79" t="s">
        <v>39</v>
      </c>
      <c r="B2153" s="89" t="s">
        <v>90</v>
      </c>
      <c r="C2153" s="89" t="s">
        <v>243</v>
      </c>
      <c r="D2153" s="13" t="s">
        <v>12</v>
      </c>
      <c r="E2153" s="35">
        <f>VLOOKUP(B2153, Passenger_Kilometre_by_mode_type[#All],MATCH(A2153, Passenger_Kilometre_by_mode_type[#Headers],0),0)</f>
        <v>3335786464.3653483</v>
      </c>
      <c r="F2153" s="89">
        <f>VLOOKUP(C2153, Reason_for_lorry_motorcycle_other_journeys_by_percentage[#All],MATCH(A2153, Reason_for_lorry_motorcycle_other_journeys_by_percentage[#Headers],0),0)/100</f>
        <v>0.10075000000000001</v>
      </c>
      <c r="G2153" s="13">
        <f t="shared" si="167"/>
        <v>336080486.28480887</v>
      </c>
      <c r="H2153" s="89">
        <f>VLOOKUP(D2153,Average_Distance_by_kilometre_grouping_for_mode_type[#All],MATCH(A2153,Average_Distance_by_kilometre_grouping_for_mode_type[#Headers],0),0)</f>
        <v>1</v>
      </c>
      <c r="I2153" s="89">
        <f>VLOOKUP(D2153,Average_Distance_by_kilometres_grouping_for_trip_purpose[#All],MATCH(A2153,Average_Distance_by_kilometres_grouping_for_trip_purpose[#Headers],0),0)</f>
        <v>1</v>
      </c>
      <c r="J2153" s="89">
        <f t="shared" si="168"/>
        <v>1</v>
      </c>
      <c r="K2153" s="89">
        <f t="shared" si="169"/>
        <v>2.3282887077997669E-2</v>
      </c>
      <c r="L2153" s="89">
        <v>1</v>
      </c>
      <c r="M2153" s="13">
        <f t="shared" si="170"/>
        <v>7824924.0112877497</v>
      </c>
      <c r="N2153" s="11">
        <f t="shared" si="171"/>
        <v>1.1952380790738487E-4</v>
      </c>
    </row>
    <row r="2154" spans="1:14" x14ac:dyDescent="0.25">
      <c r="A2154" s="79" t="s">
        <v>39</v>
      </c>
      <c r="B2154" s="89" t="s">
        <v>90</v>
      </c>
      <c r="C2154" s="89" t="s">
        <v>243</v>
      </c>
      <c r="D2154" s="13" t="s">
        <v>181</v>
      </c>
      <c r="E2154" s="35">
        <f>VLOOKUP(B2154, Passenger_Kilometre_by_mode_type[#All],MATCH(A2154, Passenger_Kilometre_by_mode_type[#Headers],0),0)</f>
        <v>3335786464.3653483</v>
      </c>
      <c r="F2154" s="89">
        <f>VLOOKUP(C2154, Reason_for_lorry_motorcycle_other_journeys_by_percentage[#All],MATCH(A2154, Reason_for_lorry_motorcycle_other_journeys_by_percentage[#Headers],0),0)/100</f>
        <v>0.10075000000000001</v>
      </c>
      <c r="G2154" s="13">
        <f t="shared" si="167"/>
        <v>336080486.28480887</v>
      </c>
      <c r="H2154" s="89">
        <f>VLOOKUP(D2154,Average_Distance_by_kilometre_grouping_for_mode_type[#All],MATCH(A2154,Average_Distance_by_kilometre_grouping_for_mode_type[#Headers],0),0)</f>
        <v>3</v>
      </c>
      <c r="I2154" s="89">
        <f>VLOOKUP(D2154,Average_Distance_by_kilometres_grouping_for_trip_purpose[#All],MATCH(A2154,Average_Distance_by_kilometres_grouping_for_trip_purpose[#Headers],0),0)</f>
        <v>3</v>
      </c>
      <c r="J2154" s="89">
        <f t="shared" si="168"/>
        <v>3</v>
      </c>
      <c r="K2154" s="89">
        <f t="shared" si="169"/>
        <v>6.9848661233993012E-2</v>
      </c>
      <c r="L2154" s="89">
        <v>1</v>
      </c>
      <c r="M2154" s="13">
        <f t="shared" si="170"/>
        <v>23474772.03386325</v>
      </c>
      <c r="N2154" s="11">
        <f t="shared" si="171"/>
        <v>3.5857142372215461E-4</v>
      </c>
    </row>
    <row r="2155" spans="1:14" x14ac:dyDescent="0.25">
      <c r="A2155" s="79" t="s">
        <v>39</v>
      </c>
      <c r="B2155" s="89" t="s">
        <v>90</v>
      </c>
      <c r="C2155" s="89" t="s">
        <v>243</v>
      </c>
      <c r="D2155" s="13" t="s">
        <v>180</v>
      </c>
      <c r="E2155" s="35">
        <f>VLOOKUP(B2155, Passenger_Kilometre_by_mode_type[#All],MATCH(A2155, Passenger_Kilometre_by_mode_type[#Headers],0),0)</f>
        <v>3335786464.3653483</v>
      </c>
      <c r="F2155" s="89">
        <f>VLOOKUP(C2155, Reason_for_lorry_motorcycle_other_journeys_by_percentage[#All],MATCH(A2155, Reason_for_lorry_motorcycle_other_journeys_by_percentage[#Headers],0),0)/100</f>
        <v>0.10075000000000001</v>
      </c>
      <c r="G2155" s="13">
        <f t="shared" si="167"/>
        <v>336080486.28480887</v>
      </c>
      <c r="H2155" s="89">
        <f>VLOOKUP(D2155,Average_Distance_by_kilometre_grouping_for_mode_type[#All],MATCH(A2155,Average_Distance_by_kilometre_grouping_for_mode_type[#Headers],0),0)</f>
        <v>5</v>
      </c>
      <c r="I2155" s="89">
        <f>VLOOKUP(D2155,Average_Distance_by_kilometres_grouping_for_trip_purpose[#All],MATCH(A2155,Average_Distance_by_kilometres_grouping_for_trip_purpose[#Headers],0),0)</f>
        <v>5</v>
      </c>
      <c r="J2155" s="89">
        <f t="shared" si="168"/>
        <v>5</v>
      </c>
      <c r="K2155" s="89">
        <f t="shared" si="169"/>
        <v>0.11641443538998836</v>
      </c>
      <c r="L2155" s="89">
        <v>1</v>
      </c>
      <c r="M2155" s="13">
        <f t="shared" si="170"/>
        <v>39124620.056438752</v>
      </c>
      <c r="N2155" s="11">
        <f t="shared" si="171"/>
        <v>5.9761903953692438E-4</v>
      </c>
    </row>
    <row r="2156" spans="1:14" x14ac:dyDescent="0.25">
      <c r="A2156" s="79" t="s">
        <v>39</v>
      </c>
      <c r="B2156" s="89" t="s">
        <v>90</v>
      </c>
      <c r="C2156" s="89" t="s">
        <v>243</v>
      </c>
      <c r="D2156" s="13" t="s">
        <v>182</v>
      </c>
      <c r="E2156" s="35">
        <f>VLOOKUP(B2156, Passenger_Kilometre_by_mode_type[#All],MATCH(A2156, Passenger_Kilometre_by_mode_type[#Headers],0),0)</f>
        <v>3335786464.3653483</v>
      </c>
      <c r="F2156" s="89">
        <f>VLOOKUP(C2156, Reason_for_lorry_motorcycle_other_journeys_by_percentage[#All],MATCH(A2156, Reason_for_lorry_motorcycle_other_journeys_by_percentage[#Headers],0),0)/100</f>
        <v>0.10075000000000001</v>
      </c>
      <c r="G2156" s="13">
        <f t="shared" si="167"/>
        <v>336080486.28480887</v>
      </c>
      <c r="H2156" s="89">
        <f>VLOOKUP(D2156,Average_Distance_by_kilometre_grouping_for_mode_type[#All],MATCH(A2156,Average_Distance_by_kilometre_grouping_for_mode_type[#Headers],0),0)</f>
        <v>7</v>
      </c>
      <c r="I2156" s="89">
        <f>VLOOKUP(D2156,Average_Distance_by_kilometres_grouping_for_trip_purpose[#All],MATCH(A2156,Average_Distance_by_kilometres_grouping_for_trip_purpose[#Headers],0),0)</f>
        <v>7</v>
      </c>
      <c r="J2156" s="89">
        <f t="shared" si="168"/>
        <v>7</v>
      </c>
      <c r="K2156" s="89">
        <f t="shared" si="169"/>
        <v>0.16298020954598369</v>
      </c>
      <c r="L2156" s="89">
        <v>1</v>
      </c>
      <c r="M2156" s="13">
        <f t="shared" si="170"/>
        <v>54774468.079014249</v>
      </c>
      <c r="N2156" s="11">
        <f t="shared" si="171"/>
        <v>8.3666665535169404E-4</v>
      </c>
    </row>
    <row r="2157" spans="1:14" x14ac:dyDescent="0.25">
      <c r="A2157" s="79" t="s">
        <v>39</v>
      </c>
      <c r="B2157" s="89" t="s">
        <v>90</v>
      </c>
      <c r="C2157" s="89" t="s">
        <v>243</v>
      </c>
      <c r="D2157" s="13" t="s">
        <v>1</v>
      </c>
      <c r="E2157" s="35">
        <f>VLOOKUP(B2157, Passenger_Kilometre_by_mode_type[#All],MATCH(A2157, Passenger_Kilometre_by_mode_type[#Headers],0),0)</f>
        <v>3335786464.3653483</v>
      </c>
      <c r="F2157" s="89">
        <f>VLOOKUP(C2157, Reason_for_lorry_motorcycle_other_journeys_by_percentage[#All],MATCH(A2157, Reason_for_lorry_motorcycle_other_journeys_by_percentage[#Headers],0),0)/100</f>
        <v>0.10075000000000001</v>
      </c>
      <c r="G2157" s="13">
        <f t="shared" si="167"/>
        <v>336080486.28480887</v>
      </c>
      <c r="H2157" s="89">
        <f>VLOOKUP(D2157,Average_Distance_by_kilometre_grouping_for_mode_type[#All],MATCH(A2157,Average_Distance_by_kilometre_grouping_for_mode_type[#Headers],0),0)</f>
        <v>25.7</v>
      </c>
      <c r="I2157" s="89">
        <f>VLOOKUP(D2157,Average_Distance_by_kilometres_grouping_for_trip_purpose[#All],MATCH(A2157,Average_Distance_by_kilometres_grouping_for_trip_purpose[#Headers],0),0)</f>
        <v>28.2</v>
      </c>
      <c r="J2157" s="89">
        <f t="shared" si="168"/>
        <v>26.95</v>
      </c>
      <c r="K2157" s="89">
        <f t="shared" si="169"/>
        <v>0.62747380675203723</v>
      </c>
      <c r="L2157" s="89">
        <v>1</v>
      </c>
      <c r="M2157" s="13">
        <f t="shared" si="170"/>
        <v>210881702.10420486</v>
      </c>
      <c r="N2157" s="11">
        <f t="shared" si="171"/>
        <v>3.2211666231040225E-3</v>
      </c>
    </row>
    <row r="2158" spans="1:14" x14ac:dyDescent="0.25">
      <c r="A2158" s="79" t="s">
        <v>39</v>
      </c>
      <c r="B2158" s="89" t="s">
        <v>90</v>
      </c>
      <c r="C2158" s="89" t="s">
        <v>50</v>
      </c>
      <c r="D2158" s="13" t="s">
        <v>12</v>
      </c>
      <c r="E2158" s="35">
        <f>VLOOKUP(B2158, Passenger_Kilometre_by_mode_type[#All],MATCH(A2158, Passenger_Kilometre_by_mode_type[#Headers],0),0)</f>
        <v>3335786464.3653483</v>
      </c>
      <c r="F2158" s="89">
        <f>VLOOKUP(C2158, Reason_for_lorry_motorcycle_other_journeys_by_percentage[#All],MATCH(A2158, Reason_for_lorry_motorcycle_other_journeys_by_percentage[#Headers],0),0)/100</f>
        <v>0.10700000000000001</v>
      </c>
      <c r="G2158" s="13">
        <f t="shared" si="167"/>
        <v>356929151.6870923</v>
      </c>
      <c r="H2158" s="89">
        <f>VLOOKUP(D2158,Average_Distance_by_kilometre_grouping_for_mode_type[#All],MATCH(A2158,Average_Distance_by_kilometre_grouping_for_mode_type[#Headers],0),0)</f>
        <v>1</v>
      </c>
      <c r="I2158" s="89">
        <f>VLOOKUP(D2158,Average_Distance_by_kilometres_grouping_for_trip_purpose[#All],MATCH(A2158,Average_Distance_by_kilometres_grouping_for_trip_purpose[#Headers],0),0)</f>
        <v>1</v>
      </c>
      <c r="J2158" s="89">
        <f t="shared" si="168"/>
        <v>1</v>
      </c>
      <c r="K2158" s="89">
        <f t="shared" si="169"/>
        <v>2.3282887077997669E-2</v>
      </c>
      <c r="L2158" s="89">
        <v>1</v>
      </c>
      <c r="M2158" s="13">
        <f t="shared" si="170"/>
        <v>8310341.1335760718</v>
      </c>
      <c r="N2158" s="11">
        <f t="shared" si="171"/>
        <v>1.2693843618948072E-4</v>
      </c>
    </row>
    <row r="2159" spans="1:14" x14ac:dyDescent="0.25">
      <c r="A2159" s="79" t="s">
        <v>39</v>
      </c>
      <c r="B2159" s="89" t="s">
        <v>90</v>
      </c>
      <c r="C2159" s="89" t="s">
        <v>50</v>
      </c>
      <c r="D2159" s="13" t="s">
        <v>181</v>
      </c>
      <c r="E2159" s="35">
        <f>VLOOKUP(B2159, Passenger_Kilometre_by_mode_type[#All],MATCH(A2159, Passenger_Kilometre_by_mode_type[#Headers],0),0)</f>
        <v>3335786464.3653483</v>
      </c>
      <c r="F2159" s="89">
        <f>VLOOKUP(C2159, Reason_for_lorry_motorcycle_other_journeys_by_percentage[#All],MATCH(A2159, Reason_for_lorry_motorcycle_other_journeys_by_percentage[#Headers],0),0)/100</f>
        <v>0.10700000000000001</v>
      </c>
      <c r="G2159" s="13">
        <f t="shared" si="167"/>
        <v>356929151.6870923</v>
      </c>
      <c r="H2159" s="89">
        <f>VLOOKUP(D2159,Average_Distance_by_kilometre_grouping_for_mode_type[#All],MATCH(A2159,Average_Distance_by_kilometre_grouping_for_mode_type[#Headers],0),0)</f>
        <v>3</v>
      </c>
      <c r="I2159" s="89">
        <f>VLOOKUP(D2159,Average_Distance_by_kilometres_grouping_for_trip_purpose[#All],MATCH(A2159,Average_Distance_by_kilometres_grouping_for_trip_purpose[#Headers],0),0)</f>
        <v>3</v>
      </c>
      <c r="J2159" s="89">
        <f t="shared" si="168"/>
        <v>3</v>
      </c>
      <c r="K2159" s="89">
        <f t="shared" si="169"/>
        <v>6.9848661233993012E-2</v>
      </c>
      <c r="L2159" s="89">
        <v>1</v>
      </c>
      <c r="M2159" s="13">
        <f t="shared" si="170"/>
        <v>24931023.400728215</v>
      </c>
      <c r="N2159" s="11">
        <f t="shared" si="171"/>
        <v>3.8081530856844212E-4</v>
      </c>
    </row>
    <row r="2160" spans="1:14" x14ac:dyDescent="0.25">
      <c r="A2160" s="79" t="s">
        <v>39</v>
      </c>
      <c r="B2160" s="89" t="s">
        <v>90</v>
      </c>
      <c r="C2160" s="89" t="s">
        <v>50</v>
      </c>
      <c r="D2160" s="13" t="s">
        <v>180</v>
      </c>
      <c r="E2160" s="35">
        <f>VLOOKUP(B2160, Passenger_Kilometre_by_mode_type[#All],MATCH(A2160, Passenger_Kilometre_by_mode_type[#Headers],0),0)</f>
        <v>3335786464.3653483</v>
      </c>
      <c r="F2160" s="89">
        <f>VLOOKUP(C2160, Reason_for_lorry_motorcycle_other_journeys_by_percentage[#All],MATCH(A2160, Reason_for_lorry_motorcycle_other_journeys_by_percentage[#Headers],0),0)/100</f>
        <v>0.10700000000000001</v>
      </c>
      <c r="G2160" s="13">
        <f t="shared" si="167"/>
        <v>356929151.6870923</v>
      </c>
      <c r="H2160" s="89">
        <f>VLOOKUP(D2160,Average_Distance_by_kilometre_grouping_for_mode_type[#All],MATCH(A2160,Average_Distance_by_kilometre_grouping_for_mode_type[#Headers],0),0)</f>
        <v>5</v>
      </c>
      <c r="I2160" s="89">
        <f>VLOOKUP(D2160,Average_Distance_by_kilometres_grouping_for_trip_purpose[#All],MATCH(A2160,Average_Distance_by_kilometres_grouping_for_trip_purpose[#Headers],0),0)</f>
        <v>5</v>
      </c>
      <c r="J2160" s="89">
        <f t="shared" si="168"/>
        <v>5</v>
      </c>
      <c r="K2160" s="89">
        <f t="shared" si="169"/>
        <v>0.11641443538998836</v>
      </c>
      <c r="L2160" s="89">
        <v>1</v>
      </c>
      <c r="M2160" s="13">
        <f t="shared" si="170"/>
        <v>41551705.667880364</v>
      </c>
      <c r="N2160" s="11">
        <f t="shared" si="171"/>
        <v>6.3469218094740361E-4</v>
      </c>
    </row>
    <row r="2161" spans="1:14" x14ac:dyDescent="0.25">
      <c r="A2161" s="79" t="s">
        <v>39</v>
      </c>
      <c r="B2161" s="89" t="s">
        <v>90</v>
      </c>
      <c r="C2161" s="89" t="s">
        <v>50</v>
      </c>
      <c r="D2161" s="13" t="s">
        <v>182</v>
      </c>
      <c r="E2161" s="35">
        <f>VLOOKUP(B2161, Passenger_Kilometre_by_mode_type[#All],MATCH(A2161, Passenger_Kilometre_by_mode_type[#Headers],0),0)</f>
        <v>3335786464.3653483</v>
      </c>
      <c r="F2161" s="89">
        <f>VLOOKUP(C2161, Reason_for_lorry_motorcycle_other_journeys_by_percentage[#All],MATCH(A2161, Reason_for_lorry_motorcycle_other_journeys_by_percentage[#Headers],0),0)/100</f>
        <v>0.10700000000000001</v>
      </c>
      <c r="G2161" s="13">
        <f t="shared" si="167"/>
        <v>356929151.6870923</v>
      </c>
      <c r="H2161" s="89">
        <f>VLOOKUP(D2161,Average_Distance_by_kilometre_grouping_for_mode_type[#All],MATCH(A2161,Average_Distance_by_kilometre_grouping_for_mode_type[#Headers],0),0)</f>
        <v>7</v>
      </c>
      <c r="I2161" s="89">
        <f>VLOOKUP(D2161,Average_Distance_by_kilometres_grouping_for_trip_purpose[#All],MATCH(A2161,Average_Distance_by_kilometres_grouping_for_trip_purpose[#Headers],0),0)</f>
        <v>7</v>
      </c>
      <c r="J2161" s="89">
        <f t="shared" si="168"/>
        <v>7</v>
      </c>
      <c r="K2161" s="89">
        <f t="shared" si="169"/>
        <v>0.16298020954598369</v>
      </c>
      <c r="L2161" s="89">
        <v>1</v>
      </c>
      <c r="M2161" s="13">
        <f t="shared" si="170"/>
        <v>58172387.935032502</v>
      </c>
      <c r="N2161" s="11">
        <f t="shared" si="171"/>
        <v>8.8856905332636489E-4</v>
      </c>
    </row>
    <row r="2162" spans="1:14" x14ac:dyDescent="0.25">
      <c r="A2162" s="79" t="s">
        <v>39</v>
      </c>
      <c r="B2162" s="89" t="s">
        <v>90</v>
      </c>
      <c r="C2162" s="89" t="s">
        <v>50</v>
      </c>
      <c r="D2162" s="13" t="s">
        <v>1</v>
      </c>
      <c r="E2162" s="35">
        <f>VLOOKUP(B2162, Passenger_Kilometre_by_mode_type[#All],MATCH(A2162, Passenger_Kilometre_by_mode_type[#Headers],0),0)</f>
        <v>3335786464.3653483</v>
      </c>
      <c r="F2162" s="89">
        <f>VLOOKUP(C2162, Reason_for_lorry_motorcycle_other_journeys_by_percentage[#All],MATCH(A2162, Reason_for_lorry_motorcycle_other_journeys_by_percentage[#Headers],0),0)/100</f>
        <v>0.10700000000000001</v>
      </c>
      <c r="G2162" s="13">
        <f t="shared" si="167"/>
        <v>356929151.6870923</v>
      </c>
      <c r="H2162" s="89">
        <f>VLOOKUP(D2162,Average_Distance_by_kilometre_grouping_for_mode_type[#All],MATCH(A2162,Average_Distance_by_kilometre_grouping_for_mode_type[#Headers],0),0)</f>
        <v>25.7</v>
      </c>
      <c r="I2162" s="89">
        <f>VLOOKUP(D2162,Average_Distance_by_kilometres_grouping_for_trip_purpose[#All],MATCH(A2162,Average_Distance_by_kilometres_grouping_for_trip_purpose[#Headers],0),0)</f>
        <v>28.2</v>
      </c>
      <c r="J2162" s="89">
        <f t="shared" si="168"/>
        <v>26.95</v>
      </c>
      <c r="K2162" s="89">
        <f>J2162/SUM(J2162:J2166)</f>
        <v>0.62747380675203723</v>
      </c>
      <c r="L2162" s="89">
        <v>1</v>
      </c>
      <c r="M2162" s="13">
        <f t="shared" si="170"/>
        <v>223963693.54987514</v>
      </c>
      <c r="N2162" s="169">
        <f t="shared" si="171"/>
        <v>3.4209908553065049E-3</v>
      </c>
    </row>
    <row r="2163" spans="1:14" x14ac:dyDescent="0.25">
      <c r="D2163" s="13"/>
      <c r="J2163" s="89">
        <v>1</v>
      </c>
    </row>
    <row r="2164" spans="1:14" x14ac:dyDescent="0.25">
      <c r="D2164" s="13"/>
      <c r="J2164" s="89">
        <v>3</v>
      </c>
    </row>
    <row r="2165" spans="1:14" x14ac:dyDescent="0.25">
      <c r="D2165" s="13"/>
      <c r="J2165" s="89">
        <v>5</v>
      </c>
    </row>
    <row r="2166" spans="1:14" x14ac:dyDescent="0.25">
      <c r="D2166" s="13"/>
      <c r="J2166" s="89">
        <v>7</v>
      </c>
    </row>
    <row r="2167" spans="1:14" x14ac:dyDescent="0.25">
      <c r="D2167" s="13"/>
    </row>
    <row r="2168" spans="1:14" x14ac:dyDescent="0.25">
      <c r="D2168" s="13"/>
    </row>
    <row r="2169" spans="1:14" x14ac:dyDescent="0.25">
      <c r="D2169" s="13"/>
    </row>
    <row r="2170" spans="1:14" x14ac:dyDescent="0.25">
      <c r="D2170" s="13"/>
    </row>
    <row r="2171" spans="1:14" x14ac:dyDescent="0.25">
      <c r="D2171" s="13"/>
    </row>
    <row r="2172" spans="1:14" x14ac:dyDescent="0.25">
      <c r="D2172" s="13"/>
    </row>
    <row r="2173" spans="1:14" x14ac:dyDescent="0.25">
      <c r="D2173" s="13"/>
    </row>
    <row r="2174" spans="1:14" x14ac:dyDescent="0.25">
      <c r="D2174" s="13"/>
    </row>
    <row r="2175" spans="1:14" x14ac:dyDescent="0.25">
      <c r="D2175" s="13"/>
    </row>
    <row r="2176" spans="1:14" x14ac:dyDescent="0.25">
      <c r="D2176" s="13"/>
    </row>
    <row r="2177" spans="4:4" x14ac:dyDescent="0.25">
      <c r="D2177" s="13"/>
    </row>
    <row r="2178" spans="4:4" x14ac:dyDescent="0.25">
      <c r="D2178" s="13"/>
    </row>
    <row r="2179" spans="4:4" x14ac:dyDescent="0.25">
      <c r="D2179" s="13"/>
    </row>
    <row r="2180" spans="4:4" x14ac:dyDescent="0.25">
      <c r="D2180" s="13"/>
    </row>
    <row r="2181" spans="4:4" x14ac:dyDescent="0.25">
      <c r="D2181" s="13"/>
    </row>
    <row r="2182" spans="4:4" x14ac:dyDescent="0.25">
      <c r="D2182" s="13"/>
    </row>
    <row r="2183" spans="4:4" x14ac:dyDescent="0.25">
      <c r="D2183" s="13"/>
    </row>
    <row r="2184" spans="4:4" x14ac:dyDescent="0.25">
      <c r="D2184" s="13"/>
    </row>
    <row r="2185" spans="4:4" x14ac:dyDescent="0.25">
      <c r="D2185" s="13"/>
    </row>
    <row r="2186" spans="4:4" x14ac:dyDescent="0.25">
      <c r="D2186" s="13"/>
    </row>
    <row r="2187" spans="4:4" x14ac:dyDescent="0.25">
      <c r="D2187" s="13"/>
    </row>
    <row r="2188" spans="4:4" x14ac:dyDescent="0.25">
      <c r="D2188" s="13"/>
    </row>
    <row r="2189" spans="4:4" x14ac:dyDescent="0.25">
      <c r="D2189" s="13"/>
    </row>
    <row r="2190" spans="4:4" x14ac:dyDescent="0.25">
      <c r="D2190" s="13"/>
    </row>
    <row r="2191" spans="4:4" x14ac:dyDescent="0.25">
      <c r="D2191" s="13"/>
    </row>
    <row r="2192" spans="4:4" x14ac:dyDescent="0.25">
      <c r="D2192" s="13"/>
    </row>
    <row r="2193" spans="4:4" x14ac:dyDescent="0.25">
      <c r="D2193" s="13"/>
    </row>
    <row r="2194" spans="4:4" x14ac:dyDescent="0.25">
      <c r="D2194" s="13"/>
    </row>
    <row r="2195" spans="4:4" x14ac:dyDescent="0.25">
      <c r="D2195" s="13"/>
    </row>
    <row r="2196" spans="4:4" x14ac:dyDescent="0.25">
      <c r="D2196" s="13"/>
    </row>
    <row r="2197" spans="4:4" x14ac:dyDescent="0.25">
      <c r="D2197" s="13"/>
    </row>
    <row r="2198" spans="4:4" x14ac:dyDescent="0.25">
      <c r="D2198" s="13"/>
    </row>
    <row r="2199" spans="4:4" x14ac:dyDescent="0.25">
      <c r="D2199" s="13"/>
    </row>
    <row r="2200" spans="4:4" x14ac:dyDescent="0.25">
      <c r="D2200" s="13"/>
    </row>
    <row r="2201" spans="4:4" x14ac:dyDescent="0.25">
      <c r="D2201" s="13"/>
    </row>
    <row r="2202" spans="4:4" x14ac:dyDescent="0.25">
      <c r="D2202" s="13"/>
    </row>
    <row r="2203" spans="4:4" x14ac:dyDescent="0.25">
      <c r="D2203" s="13"/>
    </row>
    <row r="2204" spans="4:4" x14ac:dyDescent="0.25">
      <c r="D2204" s="13"/>
    </row>
    <row r="2205" spans="4:4" x14ac:dyDescent="0.25">
      <c r="D2205" s="13"/>
    </row>
    <row r="2206" spans="4:4" x14ac:dyDescent="0.25">
      <c r="D2206" s="13"/>
    </row>
    <row r="2207" spans="4:4" x14ac:dyDescent="0.25">
      <c r="D2207" s="13"/>
    </row>
    <row r="2208" spans="4:4" x14ac:dyDescent="0.25">
      <c r="D2208" s="13"/>
    </row>
    <row r="2209" spans="4:4" x14ac:dyDescent="0.25">
      <c r="D2209" s="13"/>
    </row>
    <row r="2210" spans="4:4" x14ac:dyDescent="0.25">
      <c r="D2210" s="13"/>
    </row>
    <row r="2211" spans="4:4" x14ac:dyDescent="0.25">
      <c r="D2211" s="13"/>
    </row>
    <row r="2212" spans="4:4" x14ac:dyDescent="0.25">
      <c r="D2212" s="13"/>
    </row>
    <row r="2213" spans="4:4" x14ac:dyDescent="0.25">
      <c r="D2213" s="13"/>
    </row>
    <row r="2214" spans="4:4" x14ac:dyDescent="0.25">
      <c r="D2214" s="13"/>
    </row>
    <row r="2215" spans="4:4" x14ac:dyDescent="0.25">
      <c r="D2215" s="13"/>
    </row>
    <row r="2216" spans="4:4" x14ac:dyDescent="0.25">
      <c r="D2216" s="13"/>
    </row>
    <row r="2217" spans="4:4" x14ac:dyDescent="0.25">
      <c r="D2217" s="13"/>
    </row>
    <row r="2218" spans="4:4" x14ac:dyDescent="0.25">
      <c r="D2218" s="13"/>
    </row>
    <row r="2219" spans="4:4" x14ac:dyDescent="0.25">
      <c r="D2219" s="13"/>
    </row>
    <row r="2220" spans="4:4" x14ac:dyDescent="0.25">
      <c r="D2220" s="13"/>
    </row>
    <row r="2221" spans="4:4" x14ac:dyDescent="0.25">
      <c r="D2221" s="13"/>
    </row>
    <row r="2222" spans="4:4" x14ac:dyDescent="0.25">
      <c r="D2222" s="13"/>
    </row>
    <row r="2223" spans="4:4" x14ac:dyDescent="0.25">
      <c r="D2223" s="13"/>
    </row>
    <row r="2224" spans="4:4" x14ac:dyDescent="0.25">
      <c r="D2224" s="13"/>
    </row>
    <row r="2225" spans="4:4" x14ac:dyDescent="0.25">
      <c r="D2225" s="13"/>
    </row>
    <row r="2226" spans="4:4" x14ac:dyDescent="0.25">
      <c r="D2226" s="13"/>
    </row>
    <row r="2227" spans="4:4" x14ac:dyDescent="0.25">
      <c r="D2227" s="13"/>
    </row>
    <row r="2228" spans="4:4" x14ac:dyDescent="0.25">
      <c r="D2228" s="13"/>
    </row>
    <row r="2229" spans="4:4" x14ac:dyDescent="0.25">
      <c r="D2229" s="13"/>
    </row>
    <row r="2230" spans="4:4" x14ac:dyDescent="0.25">
      <c r="D2230" s="13"/>
    </row>
    <row r="2231" spans="4:4" x14ac:dyDescent="0.25">
      <c r="D2231" s="13"/>
    </row>
    <row r="2232" spans="4:4" x14ac:dyDescent="0.25">
      <c r="D2232" s="13"/>
    </row>
    <row r="2233" spans="4:4" x14ac:dyDescent="0.25">
      <c r="D2233" s="13"/>
    </row>
    <row r="2234" spans="4:4" x14ac:dyDescent="0.25">
      <c r="D2234" s="13"/>
    </row>
    <row r="2235" spans="4:4" x14ac:dyDescent="0.25">
      <c r="D2235" s="13"/>
    </row>
    <row r="2236" spans="4:4" x14ac:dyDescent="0.25">
      <c r="D2236" s="13"/>
    </row>
    <row r="2237" spans="4:4" x14ac:dyDescent="0.25">
      <c r="D2237" s="13"/>
    </row>
    <row r="2238" spans="4:4" x14ac:dyDescent="0.25">
      <c r="D2238" s="13"/>
    </row>
    <row r="2239" spans="4:4" x14ac:dyDescent="0.25">
      <c r="D2239" s="13"/>
    </row>
    <row r="2240" spans="4:4" x14ac:dyDescent="0.25">
      <c r="D2240" s="13"/>
    </row>
    <row r="2241" spans="4:4" x14ac:dyDescent="0.25">
      <c r="D2241" s="13"/>
    </row>
    <row r="2242" spans="4:4" x14ac:dyDescent="0.25">
      <c r="D2242" s="13"/>
    </row>
    <row r="2243" spans="4:4" x14ac:dyDescent="0.25">
      <c r="D2243" s="13"/>
    </row>
    <row r="2244" spans="4:4" x14ac:dyDescent="0.25">
      <c r="D2244" s="13"/>
    </row>
    <row r="2245" spans="4:4" x14ac:dyDescent="0.25">
      <c r="D2245" s="13"/>
    </row>
    <row r="2246" spans="4:4" x14ac:dyDescent="0.25">
      <c r="D2246" s="13"/>
    </row>
    <row r="2247" spans="4:4" x14ac:dyDescent="0.25">
      <c r="D2247" s="13"/>
    </row>
    <row r="2248" spans="4:4" x14ac:dyDescent="0.25">
      <c r="D2248" s="13"/>
    </row>
    <row r="2249" spans="4:4" x14ac:dyDescent="0.25">
      <c r="D2249" s="13"/>
    </row>
    <row r="2250" spans="4:4" x14ac:dyDescent="0.25">
      <c r="D2250" s="13"/>
    </row>
    <row r="2251" spans="4:4" x14ac:dyDescent="0.25">
      <c r="D2251" s="13"/>
    </row>
    <row r="2252" spans="4:4" x14ac:dyDescent="0.25">
      <c r="D2252" s="13"/>
    </row>
    <row r="2253" spans="4:4" x14ac:dyDescent="0.25">
      <c r="D2253" s="13"/>
    </row>
    <row r="2254" spans="4:4" x14ac:dyDescent="0.25">
      <c r="D2254" s="13"/>
    </row>
    <row r="2255" spans="4:4" x14ac:dyDescent="0.25">
      <c r="D2255" s="13"/>
    </row>
    <row r="2256" spans="4:4" x14ac:dyDescent="0.25">
      <c r="D2256" s="13"/>
    </row>
    <row r="2257" spans="4:4" x14ac:dyDescent="0.25">
      <c r="D2257" s="13"/>
    </row>
    <row r="2258" spans="4:4" x14ac:dyDescent="0.25">
      <c r="D2258" s="13"/>
    </row>
    <row r="2259" spans="4:4" x14ac:dyDescent="0.25">
      <c r="D2259" s="13"/>
    </row>
    <row r="2260" spans="4:4" x14ac:dyDescent="0.25">
      <c r="D2260" s="13"/>
    </row>
    <row r="2261" spans="4:4" x14ac:dyDescent="0.25">
      <c r="D2261" s="13"/>
    </row>
    <row r="2262" spans="4:4" x14ac:dyDescent="0.25">
      <c r="D2262" s="13"/>
    </row>
    <row r="2263" spans="4:4" x14ac:dyDescent="0.25">
      <c r="D2263" s="13"/>
    </row>
    <row r="2264" spans="4:4" x14ac:dyDescent="0.25">
      <c r="D2264" s="13"/>
    </row>
    <row r="2265" spans="4:4" x14ac:dyDescent="0.25">
      <c r="D2265" s="13"/>
    </row>
    <row r="2266" spans="4:4" x14ac:dyDescent="0.25">
      <c r="D2266" s="13"/>
    </row>
    <row r="2267" spans="4:4" x14ac:dyDescent="0.25">
      <c r="D2267" s="13"/>
    </row>
    <row r="2268" spans="4:4" x14ac:dyDescent="0.25">
      <c r="D2268" s="13"/>
    </row>
    <row r="2269" spans="4:4" x14ac:dyDescent="0.25">
      <c r="D2269" s="13"/>
    </row>
    <row r="2270" spans="4:4" x14ac:dyDescent="0.25">
      <c r="D2270" s="13"/>
    </row>
    <row r="2271" spans="4:4" x14ac:dyDescent="0.25">
      <c r="D2271" s="13"/>
    </row>
    <row r="2272" spans="4:4" x14ac:dyDescent="0.25">
      <c r="D2272" s="13"/>
    </row>
    <row r="2273" spans="4:4" x14ac:dyDescent="0.25">
      <c r="D2273" s="13"/>
    </row>
    <row r="2274" spans="4:4" x14ac:dyDescent="0.25">
      <c r="D2274" s="13"/>
    </row>
    <row r="2275" spans="4:4" x14ac:dyDescent="0.25">
      <c r="D2275" s="13"/>
    </row>
    <row r="2276" spans="4:4" x14ac:dyDescent="0.25">
      <c r="D2276" s="13"/>
    </row>
    <row r="2277" spans="4:4" x14ac:dyDescent="0.25">
      <c r="D2277" s="13"/>
    </row>
    <row r="2278" spans="4:4" x14ac:dyDescent="0.25">
      <c r="D2278" s="13"/>
    </row>
    <row r="2279" spans="4:4" x14ac:dyDescent="0.25">
      <c r="D2279" s="13"/>
    </row>
    <row r="2280" spans="4:4" x14ac:dyDescent="0.25">
      <c r="D2280" s="13"/>
    </row>
    <row r="2281" spans="4:4" x14ac:dyDescent="0.25">
      <c r="D2281" s="13"/>
    </row>
    <row r="2282" spans="4:4" x14ac:dyDescent="0.25">
      <c r="D2282" s="13"/>
    </row>
    <row r="2283" spans="4:4" x14ac:dyDescent="0.25">
      <c r="D2283" s="13"/>
    </row>
    <row r="2284" spans="4:4" x14ac:dyDescent="0.25">
      <c r="D2284" s="13"/>
    </row>
    <row r="2285" spans="4:4" x14ac:dyDescent="0.25">
      <c r="D2285" s="13"/>
    </row>
    <row r="2286" spans="4:4" x14ac:dyDescent="0.25">
      <c r="D2286" s="13"/>
    </row>
    <row r="2287" spans="4:4" x14ac:dyDescent="0.25">
      <c r="D2287" s="13"/>
    </row>
    <row r="2288" spans="4:4" x14ac:dyDescent="0.25">
      <c r="D2288" s="13"/>
    </row>
    <row r="2289" spans="4:4" x14ac:dyDescent="0.25">
      <c r="D2289" s="13"/>
    </row>
    <row r="2290" spans="4:4" x14ac:dyDescent="0.25">
      <c r="D2290" s="13"/>
    </row>
    <row r="2291" spans="4:4" x14ac:dyDescent="0.25">
      <c r="D2291" s="13"/>
    </row>
    <row r="2292" spans="4:4" x14ac:dyDescent="0.25">
      <c r="D2292" s="13"/>
    </row>
    <row r="2293" spans="4:4" x14ac:dyDescent="0.25">
      <c r="D2293" s="13"/>
    </row>
    <row r="2294" spans="4:4" x14ac:dyDescent="0.25">
      <c r="D2294" s="13"/>
    </row>
    <row r="2295" spans="4:4" x14ac:dyDescent="0.25">
      <c r="D2295" s="13"/>
    </row>
    <row r="2296" spans="4:4" x14ac:dyDescent="0.25">
      <c r="D2296" s="13"/>
    </row>
    <row r="2297" spans="4:4" x14ac:dyDescent="0.25">
      <c r="D2297" s="13"/>
    </row>
    <row r="2298" spans="4:4" x14ac:dyDescent="0.25">
      <c r="D2298" s="13"/>
    </row>
    <row r="2299" spans="4:4" x14ac:dyDescent="0.25">
      <c r="D2299" s="13"/>
    </row>
    <row r="2300" spans="4:4" x14ac:dyDescent="0.25">
      <c r="D2300" s="13"/>
    </row>
    <row r="2301" spans="4:4" x14ac:dyDescent="0.25">
      <c r="D2301" s="13"/>
    </row>
    <row r="2302" spans="4:4" x14ac:dyDescent="0.25">
      <c r="D2302" s="13"/>
    </row>
    <row r="2303" spans="4:4" x14ac:dyDescent="0.25">
      <c r="D2303" s="13"/>
    </row>
    <row r="2304" spans="4:4" x14ac:dyDescent="0.25">
      <c r="D2304" s="13"/>
    </row>
    <row r="2305" spans="4:4" x14ac:dyDescent="0.25">
      <c r="D2305" s="13"/>
    </row>
    <row r="2306" spans="4:4" x14ac:dyDescent="0.25">
      <c r="D2306" s="13"/>
    </row>
    <row r="2307" spans="4:4" x14ac:dyDescent="0.25">
      <c r="D2307" s="13"/>
    </row>
    <row r="2308" spans="4:4" x14ac:dyDescent="0.25">
      <c r="D2308" s="13"/>
    </row>
    <row r="2309" spans="4:4" x14ac:dyDescent="0.25">
      <c r="D2309" s="13"/>
    </row>
    <row r="2310" spans="4:4" x14ac:dyDescent="0.25">
      <c r="D2310" s="13"/>
    </row>
    <row r="2311" spans="4:4" x14ac:dyDescent="0.25">
      <c r="D2311" s="13"/>
    </row>
    <row r="2312" spans="4:4" x14ac:dyDescent="0.25">
      <c r="D2312" s="13"/>
    </row>
    <row r="2313" spans="4:4" x14ac:dyDescent="0.25">
      <c r="D2313" s="13"/>
    </row>
    <row r="2314" spans="4:4" x14ac:dyDescent="0.25">
      <c r="D2314" s="13"/>
    </row>
    <row r="2315" spans="4:4" x14ac:dyDescent="0.25">
      <c r="D2315" s="13"/>
    </row>
    <row r="2316" spans="4:4" x14ac:dyDescent="0.25">
      <c r="D2316" s="13"/>
    </row>
    <row r="2317" spans="4:4" x14ac:dyDescent="0.25">
      <c r="D2317" s="13"/>
    </row>
    <row r="2318" spans="4:4" x14ac:dyDescent="0.25">
      <c r="D2318" s="13"/>
    </row>
    <row r="2319" spans="4:4" x14ac:dyDescent="0.25">
      <c r="D2319" s="13"/>
    </row>
    <row r="2320" spans="4:4" x14ac:dyDescent="0.25">
      <c r="D2320" s="13"/>
    </row>
    <row r="2321" spans="4:4" x14ac:dyDescent="0.25">
      <c r="D2321" s="13"/>
    </row>
    <row r="2322" spans="4:4" x14ac:dyDescent="0.25">
      <c r="D2322" s="13"/>
    </row>
    <row r="2323" spans="4:4" x14ac:dyDescent="0.25">
      <c r="D2323" s="13"/>
    </row>
    <row r="2324" spans="4:4" x14ac:dyDescent="0.25">
      <c r="D2324" s="13"/>
    </row>
    <row r="2325" spans="4:4" x14ac:dyDescent="0.25">
      <c r="D2325" s="13"/>
    </row>
    <row r="2326" spans="4:4" x14ac:dyDescent="0.25">
      <c r="D2326" s="13"/>
    </row>
    <row r="2327" spans="4:4" x14ac:dyDescent="0.25">
      <c r="D2327" s="13"/>
    </row>
    <row r="2328" spans="4:4" x14ac:dyDescent="0.25">
      <c r="D2328" s="13"/>
    </row>
    <row r="2329" spans="4:4" x14ac:dyDescent="0.25">
      <c r="D2329" s="13"/>
    </row>
    <row r="2330" spans="4:4" x14ac:dyDescent="0.25">
      <c r="D2330" s="13"/>
    </row>
    <row r="2331" spans="4:4" x14ac:dyDescent="0.25">
      <c r="D2331" s="13"/>
    </row>
    <row r="2332" spans="4:4" x14ac:dyDescent="0.25">
      <c r="D2332" s="13"/>
    </row>
    <row r="2333" spans="4:4" x14ac:dyDescent="0.25">
      <c r="D2333" s="13"/>
    </row>
    <row r="2334" spans="4:4" x14ac:dyDescent="0.25">
      <c r="D2334" s="13"/>
    </row>
    <row r="2335" spans="4:4" x14ac:dyDescent="0.25">
      <c r="D2335" s="13"/>
    </row>
    <row r="2336" spans="4:4" x14ac:dyDescent="0.25">
      <c r="D2336" s="13"/>
    </row>
    <row r="2337" spans="4:4" x14ac:dyDescent="0.25">
      <c r="D2337" s="13"/>
    </row>
    <row r="2338" spans="4:4" x14ac:dyDescent="0.25">
      <c r="D2338" s="13"/>
    </row>
    <row r="2339" spans="4:4" x14ac:dyDescent="0.25">
      <c r="D2339" s="13"/>
    </row>
    <row r="2340" spans="4:4" x14ac:dyDescent="0.25">
      <c r="D2340" s="13"/>
    </row>
    <row r="2341" spans="4:4" x14ac:dyDescent="0.25">
      <c r="D2341" s="13"/>
    </row>
    <row r="2342" spans="4:4" x14ac:dyDescent="0.25">
      <c r="D2342" s="13"/>
    </row>
    <row r="2343" spans="4:4" x14ac:dyDescent="0.25">
      <c r="D2343" s="13"/>
    </row>
    <row r="2344" spans="4:4" x14ac:dyDescent="0.25">
      <c r="D2344" s="13"/>
    </row>
    <row r="2345" spans="4:4" x14ac:dyDescent="0.25">
      <c r="D2345" s="13"/>
    </row>
    <row r="2346" spans="4:4" x14ac:dyDescent="0.25">
      <c r="D2346" s="13"/>
    </row>
    <row r="2347" spans="4:4" x14ac:dyDescent="0.25">
      <c r="D2347" s="13"/>
    </row>
    <row r="2348" spans="4:4" x14ac:dyDescent="0.25">
      <c r="D2348" s="13"/>
    </row>
    <row r="2349" spans="4:4" x14ac:dyDescent="0.25">
      <c r="D2349" s="13"/>
    </row>
    <row r="2350" spans="4:4" x14ac:dyDescent="0.25">
      <c r="D2350" s="13"/>
    </row>
    <row r="2351" spans="4:4" x14ac:dyDescent="0.25">
      <c r="D2351" s="13"/>
    </row>
    <row r="2352" spans="4:4" x14ac:dyDescent="0.25">
      <c r="D2352" s="13"/>
    </row>
    <row r="2353" spans="4:4" x14ac:dyDescent="0.25">
      <c r="D2353" s="13"/>
    </row>
    <row r="2354" spans="4:4" x14ac:dyDescent="0.25">
      <c r="D2354" s="13"/>
    </row>
    <row r="2355" spans="4:4" x14ac:dyDescent="0.25">
      <c r="D2355" s="13"/>
    </row>
    <row r="2356" spans="4:4" x14ac:dyDescent="0.25">
      <c r="D2356" s="13"/>
    </row>
    <row r="2357" spans="4:4" x14ac:dyDescent="0.25">
      <c r="D2357" s="13"/>
    </row>
    <row r="2358" spans="4:4" x14ac:dyDescent="0.25">
      <c r="D2358" s="13"/>
    </row>
    <row r="2359" spans="4:4" x14ac:dyDescent="0.25">
      <c r="D2359" s="13"/>
    </row>
    <row r="2360" spans="4:4" x14ac:dyDescent="0.25">
      <c r="D2360" s="13"/>
    </row>
    <row r="2361" spans="4:4" x14ac:dyDescent="0.25">
      <c r="D2361" s="13"/>
    </row>
    <row r="2362" spans="4:4" x14ac:dyDescent="0.25">
      <c r="D2362" s="13"/>
    </row>
    <row r="2363" spans="4:4" x14ac:dyDescent="0.25">
      <c r="D2363" s="13"/>
    </row>
    <row r="2364" spans="4:4" x14ac:dyDescent="0.25">
      <c r="D2364" s="13"/>
    </row>
    <row r="2365" spans="4:4" x14ac:dyDescent="0.25">
      <c r="D2365" s="13"/>
    </row>
    <row r="2366" spans="4:4" x14ac:dyDescent="0.25">
      <c r="D2366" s="13"/>
    </row>
    <row r="2367" spans="4:4" x14ac:dyDescent="0.25">
      <c r="D2367" s="13"/>
    </row>
    <row r="2368" spans="4:4" x14ac:dyDescent="0.25">
      <c r="D2368" s="13"/>
    </row>
    <row r="2369" spans="4:4" x14ac:dyDescent="0.25">
      <c r="D2369" s="13"/>
    </row>
    <row r="2370" spans="4:4" x14ac:dyDescent="0.25">
      <c r="D2370" s="13"/>
    </row>
    <row r="2371" spans="4:4" x14ac:dyDescent="0.25">
      <c r="D2371" s="13"/>
    </row>
    <row r="2372" spans="4:4" x14ac:dyDescent="0.25">
      <c r="D2372" s="13"/>
    </row>
    <row r="2373" spans="4:4" x14ac:dyDescent="0.25">
      <c r="D2373" s="13"/>
    </row>
    <row r="2374" spans="4:4" x14ac:dyDescent="0.25">
      <c r="D2374" s="13"/>
    </row>
    <row r="2375" spans="4:4" x14ac:dyDescent="0.25">
      <c r="D2375" s="13"/>
    </row>
    <row r="2376" spans="4:4" x14ac:dyDescent="0.25">
      <c r="D2376" s="13"/>
    </row>
    <row r="2377" spans="4:4" x14ac:dyDescent="0.25">
      <c r="D2377" s="13"/>
    </row>
    <row r="2378" spans="4:4" x14ac:dyDescent="0.25">
      <c r="D2378" s="13"/>
    </row>
    <row r="2379" spans="4:4" x14ac:dyDescent="0.25">
      <c r="D2379" s="13"/>
    </row>
    <row r="2380" spans="4:4" x14ac:dyDescent="0.25">
      <c r="D2380" s="13"/>
    </row>
    <row r="2381" spans="4:4" x14ac:dyDescent="0.25">
      <c r="D2381" s="13"/>
    </row>
    <row r="2382" spans="4:4" x14ac:dyDescent="0.25">
      <c r="D2382" s="13"/>
    </row>
    <row r="2383" spans="4:4" x14ac:dyDescent="0.25">
      <c r="D2383" s="13"/>
    </row>
    <row r="2384" spans="4:4" x14ac:dyDescent="0.25">
      <c r="D2384" s="13"/>
    </row>
    <row r="2385" spans="4:4" x14ac:dyDescent="0.25">
      <c r="D2385" s="13"/>
    </row>
    <row r="2386" spans="4:4" x14ac:dyDescent="0.25">
      <c r="D2386" s="13"/>
    </row>
    <row r="2387" spans="4:4" x14ac:dyDescent="0.25">
      <c r="D2387" s="13"/>
    </row>
    <row r="2388" spans="4:4" x14ac:dyDescent="0.25">
      <c r="D2388" s="13"/>
    </row>
    <row r="2389" spans="4:4" x14ac:dyDescent="0.25">
      <c r="D2389" s="13"/>
    </row>
    <row r="2390" spans="4:4" x14ac:dyDescent="0.25">
      <c r="D2390" s="13"/>
    </row>
    <row r="2391" spans="4:4" x14ac:dyDescent="0.25">
      <c r="D2391" s="13"/>
    </row>
    <row r="2392" spans="4:4" x14ac:dyDescent="0.25">
      <c r="D2392" s="13"/>
    </row>
    <row r="2393" spans="4:4" x14ac:dyDescent="0.25">
      <c r="D2393" s="13"/>
    </row>
    <row r="2394" spans="4:4" x14ac:dyDescent="0.25">
      <c r="D2394" s="13"/>
    </row>
    <row r="2395" spans="4:4" x14ac:dyDescent="0.25">
      <c r="D2395" s="13"/>
    </row>
    <row r="2396" spans="4:4" x14ac:dyDescent="0.25">
      <c r="D2396" s="13"/>
    </row>
    <row r="2397" spans="4:4" x14ac:dyDescent="0.25">
      <c r="D2397" s="13"/>
    </row>
    <row r="2398" spans="4:4" x14ac:dyDescent="0.25">
      <c r="D2398" s="13"/>
    </row>
    <row r="2399" spans="4:4" x14ac:dyDescent="0.25">
      <c r="D2399" s="13"/>
    </row>
    <row r="2400" spans="4:4" x14ac:dyDescent="0.25">
      <c r="D2400" s="13"/>
    </row>
    <row r="2401" spans="4:4" x14ac:dyDescent="0.25">
      <c r="D2401" s="13"/>
    </row>
    <row r="2402" spans="4:4" x14ac:dyDescent="0.25">
      <c r="D2402" s="13"/>
    </row>
  </sheetData>
  <mergeCells count="1">
    <mergeCell ref="A1:M1"/>
  </mergeCells>
  <phoneticPr fontId="26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B5DB-CAA1-49EF-A3CA-44F8CF1A92B3}">
  <dimension ref="A1:N300"/>
  <sheetViews>
    <sheetView topLeftCell="A67" workbookViewId="0">
      <selection activeCell="C301" sqref="C301"/>
    </sheetView>
  </sheetViews>
  <sheetFormatPr defaultRowHeight="15" x14ac:dyDescent="0.25"/>
  <cols>
    <col min="1" max="1" width="28.140625" bestFit="1" customWidth="1"/>
    <col min="2" max="2" width="72.85546875" bestFit="1" customWidth="1"/>
    <col min="3" max="3" width="11.28515625" bestFit="1" customWidth="1"/>
    <col min="4" max="4" width="12.5703125" bestFit="1" customWidth="1"/>
    <col min="5" max="9" width="14.28515625" bestFit="1" customWidth="1"/>
    <col min="10" max="10" width="10.7109375" bestFit="1" customWidth="1"/>
    <col min="11" max="11" width="11.28515625" bestFit="1" customWidth="1"/>
    <col min="12" max="12" width="11.5703125" bestFit="1" customWidth="1"/>
    <col min="13" max="13" width="17.5703125" bestFit="1" customWidth="1"/>
    <col min="14" max="14" width="14.42578125" bestFit="1" customWidth="1"/>
    <col min="15" max="15" width="10.5703125" bestFit="1" customWidth="1"/>
    <col min="16" max="18" width="11.5703125" bestFit="1" customWidth="1"/>
    <col min="19" max="19" width="18.5703125" bestFit="1" customWidth="1"/>
    <col min="20" max="20" width="16.140625" bestFit="1" customWidth="1"/>
    <col min="21" max="21" width="11.5703125" bestFit="1" customWidth="1"/>
    <col min="22" max="24" width="12.5703125" bestFit="1" customWidth="1"/>
    <col min="25" max="25" width="20.140625" bestFit="1" customWidth="1"/>
    <col min="26" max="26" width="16.140625" bestFit="1" customWidth="1"/>
    <col min="27" max="27" width="11.5703125" bestFit="1" customWidth="1"/>
    <col min="28" max="30" width="12.5703125" bestFit="1" customWidth="1"/>
    <col min="31" max="31" width="20.140625" bestFit="1" customWidth="1"/>
    <col min="32" max="32" width="16.140625" bestFit="1" customWidth="1"/>
    <col min="33" max="35" width="12.5703125" bestFit="1" customWidth="1"/>
    <col min="36" max="36" width="14.28515625" bestFit="1" customWidth="1"/>
    <col min="37" max="37" width="20.140625" bestFit="1" customWidth="1"/>
    <col min="38" max="38" width="16.140625" bestFit="1" customWidth="1"/>
    <col min="39" max="41" width="12.5703125" bestFit="1" customWidth="1"/>
    <col min="42" max="42" width="14.28515625" bestFit="1" customWidth="1"/>
    <col min="43" max="43" width="20.140625" bestFit="1" customWidth="1"/>
    <col min="44" max="44" width="16.140625" bestFit="1" customWidth="1"/>
    <col min="45" max="45" width="12.5703125" bestFit="1" customWidth="1"/>
    <col min="46" max="48" width="14.28515625" bestFit="1" customWidth="1"/>
    <col min="49" max="49" width="20.140625" bestFit="1" customWidth="1"/>
    <col min="50" max="50" width="10.7109375" bestFit="1" customWidth="1"/>
    <col min="51" max="51" width="11.28515625" bestFit="1" customWidth="1"/>
  </cols>
  <sheetData>
    <row r="1" spans="1:14" x14ac:dyDescent="0.25">
      <c r="B1" s="26" t="s">
        <v>84</v>
      </c>
    </row>
    <row r="2" spans="1:14" x14ac:dyDescent="0.25">
      <c r="B2" s="175" t="s">
        <v>128</v>
      </c>
      <c r="D2" s="175" t="s">
        <v>32</v>
      </c>
      <c r="F2" s="175" t="s">
        <v>33</v>
      </c>
      <c r="H2" s="175" t="s">
        <v>34</v>
      </c>
      <c r="J2" s="175" t="s">
        <v>36</v>
      </c>
      <c r="L2" s="175" t="s">
        <v>39</v>
      </c>
    </row>
    <row r="3" spans="1:14" x14ac:dyDescent="0.25">
      <c r="A3" s="26" t="s">
        <v>81</v>
      </c>
      <c r="B3" s="175" t="s">
        <v>449</v>
      </c>
      <c r="C3" s="175" t="s">
        <v>461</v>
      </c>
      <c r="D3" s="175" t="s">
        <v>449</v>
      </c>
      <c r="E3" s="175" t="s">
        <v>461</v>
      </c>
      <c r="F3" s="175" t="s">
        <v>449</v>
      </c>
      <c r="G3" s="175" t="s">
        <v>461</v>
      </c>
      <c r="H3" s="175" t="s">
        <v>449</v>
      </c>
      <c r="I3" s="175" t="s">
        <v>461</v>
      </c>
      <c r="J3" s="175" t="s">
        <v>449</v>
      </c>
      <c r="K3" s="175" t="s">
        <v>461</v>
      </c>
      <c r="L3" s="175" t="s">
        <v>449</v>
      </c>
      <c r="M3" s="175" t="s">
        <v>461</v>
      </c>
    </row>
    <row r="4" spans="1:14" x14ac:dyDescent="0.25">
      <c r="A4" s="27" t="s">
        <v>12</v>
      </c>
      <c r="B4" s="8">
        <v>7.7668304997462862E-5</v>
      </c>
      <c r="C4" s="8">
        <v>9</v>
      </c>
      <c r="D4" s="8">
        <v>6.6150299171565039E-5</v>
      </c>
      <c r="E4" s="8">
        <v>9</v>
      </c>
      <c r="F4" s="8">
        <v>4.913310762455985E-5</v>
      </c>
      <c r="G4" s="8">
        <v>9</v>
      </c>
      <c r="H4" s="8">
        <v>6.0867859723093536E-5</v>
      </c>
      <c r="I4" s="8">
        <v>9</v>
      </c>
      <c r="J4" s="8">
        <v>5.821894319775867E-5</v>
      </c>
      <c r="K4" s="8">
        <v>9</v>
      </c>
      <c r="L4" s="8">
        <v>8.2830720331376976E-5</v>
      </c>
      <c r="M4" s="8">
        <v>9</v>
      </c>
    </row>
    <row r="5" spans="1:14" x14ac:dyDescent="0.25">
      <c r="A5" s="110" t="s">
        <v>9</v>
      </c>
      <c r="B5" s="8">
        <v>7.7668304997462862E-5</v>
      </c>
      <c r="C5" s="8">
        <v>9</v>
      </c>
      <c r="D5" s="8">
        <v>6.6150299171565039E-5</v>
      </c>
      <c r="E5" s="8">
        <v>9</v>
      </c>
      <c r="F5" s="8">
        <v>4.913310762455985E-5</v>
      </c>
      <c r="G5" s="8">
        <v>9</v>
      </c>
      <c r="H5" s="8">
        <v>6.0867859723093536E-5</v>
      </c>
      <c r="I5" s="8">
        <v>9</v>
      </c>
      <c r="J5" s="8">
        <v>5.821894319775867E-5</v>
      </c>
      <c r="K5" s="8">
        <v>9</v>
      </c>
      <c r="L5" s="8">
        <v>8.2830720331376976E-5</v>
      </c>
      <c r="M5" s="8">
        <v>9</v>
      </c>
    </row>
    <row r="6" spans="1:14" x14ac:dyDescent="0.25">
      <c r="A6" s="27" t="s">
        <v>181</v>
      </c>
      <c r="B6" s="8">
        <v>2.3300491499238859E-4</v>
      </c>
      <c r="C6" s="8">
        <v>27</v>
      </c>
      <c r="D6" s="8">
        <v>1.984508975146951E-4</v>
      </c>
      <c r="E6" s="8">
        <v>27</v>
      </c>
      <c r="F6" s="8">
        <v>1.4739932287367955E-4</v>
      </c>
      <c r="G6" s="8">
        <v>27</v>
      </c>
      <c r="H6" s="8">
        <v>1.8260357916928061E-4</v>
      </c>
      <c r="I6" s="8">
        <v>27</v>
      </c>
      <c r="J6" s="8">
        <v>1.7465682959327602E-4</v>
      </c>
      <c r="K6" s="8">
        <v>27</v>
      </c>
      <c r="L6" s="8">
        <v>2.4849216099413096E-4</v>
      </c>
      <c r="M6" s="8">
        <v>27</v>
      </c>
    </row>
    <row r="7" spans="1:14" x14ac:dyDescent="0.25">
      <c r="A7" s="110" t="s">
        <v>9</v>
      </c>
      <c r="B7" s="8">
        <v>2.3300491499238859E-4</v>
      </c>
      <c r="C7" s="8">
        <v>27</v>
      </c>
      <c r="D7" s="8">
        <v>1.984508975146951E-4</v>
      </c>
      <c r="E7" s="8">
        <v>27</v>
      </c>
      <c r="F7" s="8">
        <v>1.4739932287367955E-4</v>
      </c>
      <c r="G7" s="8">
        <v>27</v>
      </c>
      <c r="H7" s="8">
        <v>1.8260357916928061E-4</v>
      </c>
      <c r="I7" s="8">
        <v>27</v>
      </c>
      <c r="J7" s="8">
        <v>1.7465682959327602E-4</v>
      </c>
      <c r="K7" s="8">
        <v>27</v>
      </c>
      <c r="L7" s="8">
        <v>2.4849216099413096E-4</v>
      </c>
      <c r="M7" s="8">
        <v>27</v>
      </c>
    </row>
    <row r="8" spans="1:14" x14ac:dyDescent="0.25">
      <c r="A8" s="27" t="s">
        <v>180</v>
      </c>
      <c r="B8" s="8">
        <v>3.883415249873142E-4</v>
      </c>
      <c r="C8" s="8">
        <v>45</v>
      </c>
      <c r="D8" s="8">
        <v>3.3075149585782518E-4</v>
      </c>
      <c r="E8" s="8">
        <v>45</v>
      </c>
      <c r="F8" s="8">
        <v>2.456655381227992E-4</v>
      </c>
      <c r="G8" s="8">
        <v>45</v>
      </c>
      <c r="H8" s="8">
        <v>3.0433929861546768E-4</v>
      </c>
      <c r="I8" s="8">
        <v>45</v>
      </c>
      <c r="J8" s="8">
        <v>2.9109471598879336E-4</v>
      </c>
      <c r="K8" s="8">
        <v>45</v>
      </c>
      <c r="L8" s="8">
        <v>4.1415360165688502E-4</v>
      </c>
      <c r="M8" s="8">
        <v>45</v>
      </c>
    </row>
    <row r="9" spans="1:14" x14ac:dyDescent="0.25">
      <c r="A9" s="110" t="s">
        <v>9</v>
      </c>
      <c r="B9" s="8">
        <v>3.883415249873142E-4</v>
      </c>
      <c r="C9" s="8">
        <v>45</v>
      </c>
      <c r="D9" s="8">
        <v>3.3075149585782518E-4</v>
      </c>
      <c r="E9" s="8">
        <v>45</v>
      </c>
      <c r="F9" s="8">
        <v>2.456655381227992E-4</v>
      </c>
      <c r="G9" s="8">
        <v>45</v>
      </c>
      <c r="H9" s="8">
        <v>3.0433929861546768E-4</v>
      </c>
      <c r="I9" s="8">
        <v>45</v>
      </c>
      <c r="J9" s="8">
        <v>2.9109471598879336E-4</v>
      </c>
      <c r="K9" s="8">
        <v>45</v>
      </c>
      <c r="L9" s="8">
        <v>4.1415360165688502E-4</v>
      </c>
      <c r="M9" s="8">
        <v>45</v>
      </c>
    </row>
    <row r="10" spans="1:14" x14ac:dyDescent="0.25">
      <c r="A10" s="27" t="s">
        <v>182</v>
      </c>
      <c r="B10" s="8">
        <v>5.4367813498223993E-4</v>
      </c>
      <c r="C10" s="8">
        <v>63</v>
      </c>
      <c r="D10" s="8">
        <v>4.6305209420095523E-4</v>
      </c>
      <c r="E10" s="8">
        <v>63</v>
      </c>
      <c r="F10" s="8">
        <v>3.4393175337191895E-4</v>
      </c>
      <c r="G10" s="8">
        <v>63</v>
      </c>
      <c r="H10" s="8">
        <v>4.2607501806165481E-4</v>
      </c>
      <c r="I10" s="8">
        <v>63</v>
      </c>
      <c r="J10" s="8">
        <v>4.0753260238431073E-4</v>
      </c>
      <c r="K10" s="8">
        <v>63</v>
      </c>
      <c r="L10" s="8">
        <v>5.7981504231963891E-4</v>
      </c>
      <c r="M10" s="8">
        <v>63</v>
      </c>
    </row>
    <row r="11" spans="1:14" x14ac:dyDescent="0.25">
      <c r="A11" s="110" t="s">
        <v>9</v>
      </c>
      <c r="B11" s="8">
        <v>5.4367813498223993E-4</v>
      </c>
      <c r="C11" s="8">
        <v>63</v>
      </c>
      <c r="D11" s="8">
        <v>4.6305209420095523E-4</v>
      </c>
      <c r="E11" s="8">
        <v>63</v>
      </c>
      <c r="F11" s="8">
        <v>3.4393175337191895E-4</v>
      </c>
      <c r="G11" s="8">
        <v>63</v>
      </c>
      <c r="H11" s="8">
        <v>4.2607501806165481E-4</v>
      </c>
      <c r="I11" s="8">
        <v>63</v>
      </c>
      <c r="J11" s="8">
        <v>4.0753260238431073E-4</v>
      </c>
      <c r="K11" s="8">
        <v>63</v>
      </c>
      <c r="L11" s="8">
        <v>5.7981504231963891E-4</v>
      </c>
      <c r="M11" s="8">
        <v>63</v>
      </c>
    </row>
    <row r="12" spans="1:14" x14ac:dyDescent="0.25">
      <c r="A12" s="27" t="s">
        <v>1</v>
      </c>
      <c r="B12" s="8">
        <v>2.4415031675952452E-3</v>
      </c>
      <c r="C12" s="8">
        <v>294.93</v>
      </c>
      <c r="D12" s="8">
        <v>2.2001589504462536E-3</v>
      </c>
      <c r="E12" s="8">
        <v>312.93</v>
      </c>
      <c r="F12" s="8">
        <v>1.8024480532069782E-3</v>
      </c>
      <c r="G12" s="8">
        <v>343.34999999999997</v>
      </c>
      <c r="H12" s="8">
        <v>2.4785392479243686E-3</v>
      </c>
      <c r="I12" s="8">
        <v>382.04999999999995</v>
      </c>
      <c r="J12" s="8">
        <v>2.458003781809371E-3</v>
      </c>
      <c r="K12" s="8">
        <v>389.16</v>
      </c>
      <c r="L12" s="8">
        <v>2.2322879129306099E-3</v>
      </c>
      <c r="M12" s="8">
        <v>253.79999999999995</v>
      </c>
    </row>
    <row r="13" spans="1:14" x14ac:dyDescent="0.25">
      <c r="A13" s="110" t="s">
        <v>9</v>
      </c>
      <c r="B13" s="8">
        <v>2.4415031675952452E-3</v>
      </c>
      <c r="C13" s="8">
        <v>294.93</v>
      </c>
      <c r="D13" s="8">
        <v>2.2001589504462536E-3</v>
      </c>
      <c r="E13" s="8">
        <v>312.93</v>
      </c>
      <c r="F13" s="8">
        <v>1.8024480532069782E-3</v>
      </c>
      <c r="G13" s="8">
        <v>343.34999999999997</v>
      </c>
      <c r="H13" s="8">
        <v>2.4785392479243686E-3</v>
      </c>
      <c r="I13" s="8">
        <v>382.04999999999995</v>
      </c>
      <c r="J13" s="8">
        <v>2.458003781809371E-3</v>
      </c>
      <c r="K13" s="8">
        <v>389.16</v>
      </c>
      <c r="L13" s="8">
        <v>2.2322879129306099E-3</v>
      </c>
      <c r="M13" s="8">
        <v>253.79999999999995</v>
      </c>
    </row>
    <row r="14" spans="1:14" x14ac:dyDescent="0.25">
      <c r="A14" t="s">
        <v>450</v>
      </c>
      <c r="B14" s="89">
        <f>(B4/1+B6/3+B8/5+B10/7+B12/'PKM calculation Assumptions'!B6)*100*100</f>
        <v>3.9178628203620502</v>
      </c>
      <c r="C14" s="89">
        <f>(C4/1+C6/3+C8/5+C10/7+C12/'PKM calculation Assumptions'!C6)*100*100</f>
        <v>452891.33858267713</v>
      </c>
      <c r="D14" s="89">
        <f>(D4/1+D6/3+D8/5+D10/7+D12/'PKM calculation Assumptions'!D6)*100*100</f>
        <v>3.2707021856150869</v>
      </c>
      <c r="E14" s="89">
        <f>(E4/1+E6/3+E8/5+E10/7+E12/'PKM calculation Assumptions'!E6)*100*100</f>
        <v>440259.04077968706</v>
      </c>
      <c r="F14" s="89">
        <f>(F4/1+F6/3+F8/5+F10/7+F12/'PKM calculation Assumptions'!F6)*100*100</f>
        <v>2.4028116965374857</v>
      </c>
      <c r="G14" s="89">
        <f>(G4/1+G6/3+G8/5+G10/7+G12/'PKM calculation Assumptions'!G6)*100*100</f>
        <v>493599.22178988328</v>
      </c>
    </row>
    <row r="16" spans="1:14" ht="15.75" thickBot="1" x14ac:dyDescent="0.3">
      <c r="A16" s="199" t="s">
        <v>235</v>
      </c>
      <c r="B16" s="199"/>
      <c r="C16" s="199"/>
      <c r="D16" s="199"/>
      <c r="E16" s="199"/>
      <c r="F16" s="199"/>
      <c r="G16" s="199"/>
      <c r="H16" s="199"/>
      <c r="I16" s="199"/>
      <c r="J16" s="199"/>
      <c r="K16" s="199"/>
      <c r="L16" s="199"/>
      <c r="M16" s="199"/>
      <c r="N16" s="199"/>
    </row>
    <row r="17" spans="1:14" ht="15.75" thickBot="1" x14ac:dyDescent="0.3">
      <c r="A17" s="98" t="s">
        <v>63</v>
      </c>
      <c r="B17" s="99" t="s">
        <v>178</v>
      </c>
      <c r="C17" s="99" t="s">
        <v>226</v>
      </c>
      <c r="D17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17" s="99" t="s">
        <v>134</v>
      </c>
      <c r="F17" s="99" t="s">
        <v>231</v>
      </c>
      <c r="G17" s="99" t="s">
        <v>232</v>
      </c>
      <c r="H17" s="99" t="s">
        <v>233</v>
      </c>
      <c r="I17" s="99" t="s">
        <v>234</v>
      </c>
      <c r="J17" s="99" t="s">
        <v>183</v>
      </c>
      <c r="K17" s="99" t="s">
        <v>446</v>
      </c>
      <c r="L17" s="99" t="str">
        <f>Total_Journeys_Per_Year[Total journeys per year total, National Travel Survey, 2009 - 2019]</f>
        <v>Number of journeys</v>
      </c>
      <c r="M17" s="99" t="s">
        <v>188</v>
      </c>
      <c r="N17" s="97" t="s">
        <v>200</v>
      </c>
    </row>
    <row r="18" spans="1:14" x14ac:dyDescent="0.25">
      <c r="A18" s="79" t="s">
        <v>128</v>
      </c>
      <c r="B18" s="13" t="s">
        <v>12</v>
      </c>
      <c r="C18" s="13" t="s">
        <v>42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Percentage_dist_journeys_by_purpose_and_distance_to_2km[#All],MATCH(A18, Percentage_dist_journeys_by_purpose_and_distance_to_2km[#Headers],0),0)/100</f>
        <v>0.13</v>
      </c>
      <c r="F18" s="4">
        <f>IF(B18="2-4 kilometres",1,0)*VLOOKUP(C18, Percentage_dist_journeys_by_purpose_and_distance_2_to_4km[#All],MATCH(A18, Percentage_dist_journeys_by_purpose_and_distance_2_to_4km[#Headers],0),0)/100</f>
        <v>0</v>
      </c>
      <c r="G18" s="72">
        <f>IF(B18="4-6 kilometres",1,0)*VLOOKUP(C18, Percentage_dist_journeys_by_purpose_and_distance_4_to_6km[#All],MATCH(A18, Percentage_dist_journeys_by_purpose_and_distance_4_to_6km[#Headers],0),0)/100</f>
        <v>0</v>
      </c>
      <c r="H18" s="4">
        <f>IF(B18="6-8 kilometres",1,0)*VLOOKUP(C18, Percentage_dist_journeys_by_purpose_and_distance_6_to_8km[#All],MATCH(A18, Percentage_dist_journeys_by_purpose_and_distance_6_to_8km[#Headers],0),0)/100</f>
        <v>0</v>
      </c>
      <c r="I18" s="72">
        <f>IF(B18="8+ kilometres",1,0)*VLOOKUP(C18, Percentage_dist_journeys_by_purpose_and_distance_8km[#All],MATCH(A18, Percentage_dist_journeys_by_purpose_and_distance_8km[#Headers],0),0)/100</f>
        <v>0</v>
      </c>
      <c r="J18" s="73">
        <f>VLOOKUP(B18,Average_Distance_by_kilometres_grouping_for_trip_purpose[#All],MATCH(A18,Average_Distance_by_kilometres_grouping_for_trip_purpose[#Headers],0),0)</f>
        <v>1</v>
      </c>
      <c r="K18" s="77">
        <f>VLOOKUP(C18, Adjustment_factor_for_distance_based_on_trip_purpose[#All],MATCH(A18, Adjustment_factor_for_distance_based_on_trip_purpose[#Headers],0),0)</f>
        <v>1</v>
      </c>
      <c r="L18" s="78" t="e">
        <f>VLOOKUP($L$2, Total_Journeys_Per_Year[#All],MATCH(A18, Total_Journeys_Per_Year[#Headers],0),0)</f>
        <v>#N/A</v>
      </c>
      <c r="M18" s="35" t="e">
        <f>D18*(SUM(E18:I18))*J18*L18</f>
        <v>#N/A</v>
      </c>
      <c r="N18" s="35" t="e">
        <f>VLOOKUP($N$2, Private_Vehicle_Kilometres_Car_Stock[#All],MATCH(A18, Private_Vehicle_Kilometres_Car_Stock[#Headers],0),0)</f>
        <v>#N/A</v>
      </c>
    </row>
    <row r="19" spans="1:14" x14ac:dyDescent="0.25">
      <c r="A19" s="79" t="s">
        <v>128</v>
      </c>
      <c r="B19" s="13" t="s">
        <v>181</v>
      </c>
      <c r="C19" s="13" t="s">
        <v>42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Percentage_dist_journeys_by_purpose_and_distance_to_2km[#All],MATCH(A19, Percentage_dist_journeys_by_purpose_and_distance_to_2km[#Headers],0),0)/100</f>
        <v>0</v>
      </c>
      <c r="F19" s="4">
        <f>IF(B19="2-4 kilometres",1,0)*VLOOKUP(C19, Percentage_dist_journeys_by_purpose_and_distance_2_to_4km[#All],MATCH(A19, Percentage_dist_journeys_by_purpose_and_distance_2_to_4km[#Headers],0),0)/100</f>
        <v>0.17</v>
      </c>
      <c r="G19" s="72">
        <f>IF(B19="4-6 kilometres",1,0)*VLOOKUP(C19, Percentage_dist_journeys_by_purpose_and_distance_4_to_6km[#All],MATCH(A19, Percentage_dist_journeys_by_purpose_and_distance_4_to_6km[#Headers],0),0)/100</f>
        <v>0</v>
      </c>
      <c r="H19" s="4">
        <f>IF(B19="6-8 kilometres",1,0)*VLOOKUP(C19, Percentage_dist_journeys_by_purpose_and_distance_6_to_8km[#All],MATCH(A19, Percentage_dist_journeys_by_purpose_and_distance_6_to_8km[#Headers],0),0)/100</f>
        <v>0</v>
      </c>
      <c r="I19" s="72">
        <f>IF(B19="8+ kilometres",1,0)*VLOOKUP(C19, Percentage_dist_journeys_by_purpose_and_distance_8km[#All],MATCH(A19, Percentage_dist_journeys_by_purpose_and_distance_8km[#Headers],0),0)/100</f>
        <v>0</v>
      </c>
      <c r="J19" s="73">
        <f>VLOOKUP(B19,Average_Distance_by_kilometres_grouping_for_trip_purpose[#All],MATCH(A19,Average_Distance_by_kilometres_grouping_for_trip_purpose[#Headers],0),0)</f>
        <v>3</v>
      </c>
      <c r="K19" s="77">
        <f>VLOOKUP(C19, Adjustment_factor_for_distance_based_on_trip_purpose[#All],MATCH(A19, Adjustment_factor_for_distance_based_on_trip_purpose[#Headers],0),0)</f>
        <v>1</v>
      </c>
      <c r="L19" s="78" t="e">
        <f>VLOOKUP($L$2, Total_Journeys_Per_Year[#All],MATCH(A19, Total_Journeys_Per_Year[#Headers],0),0)</f>
        <v>#N/A</v>
      </c>
      <c r="M19" s="35" t="e">
        <f t="shared" ref="M19:M82" si="0">D19*(SUM(E19:I19))*J19*L19</f>
        <v>#N/A</v>
      </c>
      <c r="N19" s="35" t="e">
        <f>VLOOKUP($N$2, Private_Vehicle_Kilometres_Car_Stock[#All],MATCH(A19, Private_Vehicle_Kilometres_Car_Stock[#Headers],0),0)</f>
        <v>#N/A</v>
      </c>
    </row>
    <row r="20" spans="1:14" x14ac:dyDescent="0.25">
      <c r="A20" s="79" t="s">
        <v>128</v>
      </c>
      <c r="B20" s="13" t="s">
        <v>180</v>
      </c>
      <c r="C20" s="13" t="s">
        <v>42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Percentage_dist_journeys_by_purpose_and_distance_to_2km[#All],MATCH(A20, Percentage_dist_journeys_by_purpose_and_distance_to_2km[#Headers],0),0)/100</f>
        <v>0</v>
      </c>
      <c r="F20" s="4">
        <f>IF(B20="2-4 kilometres",1,0)*VLOOKUP(C20, Percentage_dist_journeys_by_purpose_and_distance_2_to_4km[#All],MATCH(A20, Percentage_dist_journeys_by_purpose_and_distance_2_to_4km[#Headers],0),0)/100</f>
        <v>0</v>
      </c>
      <c r="G20" s="72">
        <f>IF(B20="4-6 kilometres",1,0)*VLOOKUP(C20, Percentage_dist_journeys_by_purpose_and_distance_4_to_6km[#All],MATCH(A20, Percentage_dist_journeys_by_purpose_and_distance_4_to_6km[#Headers],0),0)/100</f>
        <v>0.23</v>
      </c>
      <c r="H20" s="4">
        <f>IF(B20="6-8 kilometres",1,0)*VLOOKUP(C20, Percentage_dist_journeys_by_purpose_and_distance_6_to_8km[#All],MATCH(A20, Percentage_dist_journeys_by_purpose_and_distance_6_to_8km[#Headers],0),0)/100</f>
        <v>0</v>
      </c>
      <c r="I20" s="72">
        <f>IF(B20="8+ kilometres",1,0)*VLOOKUP(C20, Percentage_dist_journeys_by_purpose_and_distance_8km[#All],MATCH(A20, Percentage_dist_journeys_by_purpose_and_distance_8km[#Headers],0),0)/100</f>
        <v>0</v>
      </c>
      <c r="J20" s="73">
        <f>VLOOKUP(B20,Average_Distance_by_kilometres_grouping_for_trip_purpose[#All],MATCH(A20,Average_Distance_by_kilometres_grouping_for_trip_purpose[#Headers],0),0)</f>
        <v>5</v>
      </c>
      <c r="K20" s="77">
        <f>VLOOKUP(C20, Adjustment_factor_for_distance_based_on_trip_purpose[#All],MATCH(A20, Adjustment_factor_for_distance_based_on_trip_purpose[#Headers],0),0)</f>
        <v>1</v>
      </c>
      <c r="L20" s="78" t="e">
        <f>VLOOKUP($L$2, Total_Journeys_Per_Year[#All],MATCH(A20, Total_Journeys_Per_Year[#Headers],0),0)</f>
        <v>#N/A</v>
      </c>
      <c r="M20" s="35" t="e">
        <f t="shared" si="0"/>
        <v>#N/A</v>
      </c>
      <c r="N20" s="35" t="e">
        <f>VLOOKUP($N$2, Private_Vehicle_Kilometres_Car_Stock[#All],MATCH(A20, Private_Vehicle_Kilometres_Car_Stock[#Headers],0),0)</f>
        <v>#N/A</v>
      </c>
    </row>
    <row r="21" spans="1:14" x14ac:dyDescent="0.25">
      <c r="A21" s="79" t="s">
        <v>128</v>
      </c>
      <c r="B21" s="13" t="s">
        <v>182</v>
      </c>
      <c r="C21" s="13" t="s">
        <v>42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Percentage_dist_journeys_by_purpose_and_distance_to_2km[#All],MATCH(A21, Percentage_dist_journeys_by_purpose_and_distance_to_2km[#Headers],0),0)/100</f>
        <v>0</v>
      </c>
      <c r="F21" s="4">
        <f>IF(B21="2-4 kilometres",1,0)*VLOOKUP(C21, Percentage_dist_journeys_by_purpose_and_distance_2_to_4km[#All],MATCH(A21, Percentage_dist_journeys_by_purpose_and_distance_2_to_4km[#Headers],0),0)/100</f>
        <v>0</v>
      </c>
      <c r="G21" s="72">
        <f>IF(B21="4-6 kilometres",1,0)*VLOOKUP(C21, Percentage_dist_journeys_by_purpose_and_distance_4_to_6km[#All],MATCH(A21, Percentage_dist_journeys_by_purpose_and_distance_4_to_6km[#Headers],0),0)/100</f>
        <v>0</v>
      </c>
      <c r="H21" s="4">
        <f>IF(B21="6-8 kilometres",1,0)*VLOOKUP(C21, Percentage_dist_journeys_by_purpose_and_distance_6_to_8km[#All],MATCH(A21, Percentage_dist_journeys_by_purpose_and_distance_6_to_8km[#Headers],0),0)/100</f>
        <v>0.24</v>
      </c>
      <c r="I21" s="72">
        <f>IF(B21="8+ kilometres",1,0)*VLOOKUP(C21, Percentage_dist_journeys_by_purpose_and_distance_8km[#All],MATCH(A21, Percentage_dist_journeys_by_purpose_and_distance_8km[#Headers],0),0)/100</f>
        <v>0</v>
      </c>
      <c r="J21" s="73">
        <f>VLOOKUP(B21,Average_Distance_by_kilometres_grouping_for_trip_purpose[#All],MATCH(A21,Average_Distance_by_kilometres_grouping_for_trip_purpose[#Headers],0),0)</f>
        <v>7</v>
      </c>
      <c r="K21" s="77">
        <f>VLOOKUP(C21, Adjustment_factor_for_distance_based_on_trip_purpose[#All],MATCH(A21, Adjustment_factor_for_distance_based_on_trip_purpose[#Headers],0),0)</f>
        <v>1</v>
      </c>
      <c r="L21" s="78" t="e">
        <f>VLOOKUP($L$2, Total_Journeys_Per_Year[#All],MATCH(A21, Total_Journeys_Per_Year[#Headers],0),0)</f>
        <v>#N/A</v>
      </c>
      <c r="M21" s="35" t="e">
        <f t="shared" si="0"/>
        <v>#N/A</v>
      </c>
      <c r="N21" s="35" t="e">
        <f>VLOOKUP($N$2, Private_Vehicle_Kilometres_Car_Stock[#All],MATCH(A21, Private_Vehicle_Kilometres_Car_Stock[#Headers],0),0)</f>
        <v>#N/A</v>
      </c>
    </row>
    <row r="22" spans="1:14" x14ac:dyDescent="0.25">
      <c r="A22" s="79" t="s">
        <v>128</v>
      </c>
      <c r="B22" s="13" t="s">
        <v>1</v>
      </c>
      <c r="C22" s="13" t="s">
        <v>42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Percentage_dist_journeys_by_purpose_and_distance_to_2km[#All],MATCH(A22, Percentage_dist_journeys_by_purpose_and_distance_to_2km[#Headers],0),0)/100</f>
        <v>0</v>
      </c>
      <c r="F22" s="4">
        <f>IF(B22="2-4 kilometres",1,0)*VLOOKUP(C22, Percentage_dist_journeys_by_purpose_and_distance_2_to_4km[#All],MATCH(A22, Percentage_dist_journeys_by_purpose_and_distance_2_to_4km[#Headers],0),0)/100</f>
        <v>0</v>
      </c>
      <c r="G22" s="72">
        <f>IF(B22="4-6 kilometres",1,0)*VLOOKUP(C22, Percentage_dist_journeys_by_purpose_and_distance_4_to_6km[#All],MATCH(A22, Percentage_dist_journeys_by_purpose_and_distance_4_to_6km[#Headers],0),0)/100</f>
        <v>0</v>
      </c>
      <c r="H22" s="4">
        <f>IF(B22="6-8 kilometres",1,0)*VLOOKUP(C22, Percentage_dist_journeys_by_purpose_and_distance_6_to_8km[#All],MATCH(A22, Percentage_dist_journeys_by_purpose_and_distance_6_to_8km[#Headers],0),0)/100</f>
        <v>0</v>
      </c>
      <c r="I22" s="72">
        <f>IF(B22="8+ kilometres",1,0)*VLOOKUP(C22, Percentage_dist_journeys_by_purpose_and_distance_8km[#All],MATCH(A22, Percentage_dist_journeys_by_purpose_and_distance_8km[#Headers],0),0)/100</f>
        <v>0.37</v>
      </c>
      <c r="J22" s="73">
        <f>VLOOKUP(B22,Average_Distance_by_kilometres_grouping_for_trip_purpose[#All],MATCH(A22,Average_Distance_by_kilometres_grouping_for_trip_purpose[#Headers],0),0)</f>
        <v>32.770000000000003</v>
      </c>
      <c r="K22" s="77">
        <f>VLOOKUP(C22, Adjustment_factor_for_distance_based_on_trip_purpose[#All],MATCH(A22, Adjustment_factor_for_distance_based_on_trip_purpose[#Headers],0),0)</f>
        <v>1</v>
      </c>
      <c r="L22" s="78" t="e">
        <f>VLOOKUP($L$2, Total_Journeys_Per_Year[#All],MATCH(A22, Total_Journeys_Per_Year[#Headers],0),0)</f>
        <v>#N/A</v>
      </c>
      <c r="M22" s="35" t="e">
        <f t="shared" si="0"/>
        <v>#N/A</v>
      </c>
      <c r="N22" s="35" t="e">
        <f>VLOOKUP($N$2, Private_Vehicle_Kilometres_Car_Stock[#All],MATCH(A22, Private_Vehicle_Kilometres_Car_Stock[#Headers],0),0)</f>
        <v>#N/A</v>
      </c>
    </row>
    <row r="23" spans="1:14" x14ac:dyDescent="0.25">
      <c r="A23" s="79" t="s">
        <v>128</v>
      </c>
      <c r="B23" s="13" t="s">
        <v>12</v>
      </c>
      <c r="C23" s="13" t="s">
        <v>43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Percentage_dist_journeys_by_purpose_and_distance_to_2km[#All],MATCH(A23, Percentage_dist_journeys_by_purpose_and_distance_to_2km[#Headers],0),0)/100</f>
        <v>0.02</v>
      </c>
      <c r="F23" s="4">
        <f>IF(B23="2-4 kilometres",1,0)*VLOOKUP(C23, Percentage_dist_journeys_by_purpose_and_distance_2_to_4km[#All],MATCH(A23, Percentage_dist_journeys_by_purpose_and_distance_2_to_4km[#Headers],0),0)/100</f>
        <v>0</v>
      </c>
      <c r="G23" s="72">
        <f>IF(B23="4-6 kilometres",1,0)*VLOOKUP(C23, Percentage_dist_journeys_by_purpose_and_distance_4_to_6km[#All],MATCH(A23, Percentage_dist_journeys_by_purpose_and_distance_4_to_6km[#Headers],0),0)/100</f>
        <v>0</v>
      </c>
      <c r="H23" s="4">
        <f>IF(B23="6-8 kilometres",1,0)*VLOOKUP(C23, Percentage_dist_journeys_by_purpose_and_distance_6_to_8km[#All],MATCH(A23, Percentage_dist_journeys_by_purpose_and_distance_6_to_8km[#Headers],0),0)/100</f>
        <v>0</v>
      </c>
      <c r="I23" s="72">
        <f>IF(B23="8+ kilometres",1,0)*VLOOKUP(C23, Percentage_dist_journeys_by_purpose_and_distance_8km[#All],MATCH(A23, Percentage_dist_journeys_by_purpose_and_distance_8km[#Headers],0),0)/100</f>
        <v>0</v>
      </c>
      <c r="J23" s="73">
        <f>VLOOKUP(B23,Average_Distance_by_kilometres_grouping_for_trip_purpose[#All],MATCH(A23,Average_Distance_by_kilometres_grouping_for_trip_purpose[#Headers],0),0)</f>
        <v>1</v>
      </c>
      <c r="K23" s="77">
        <f>VLOOKUP(C23, Adjustment_factor_for_distance_based_on_trip_purpose[#All],MATCH(A23, Adjustment_factor_for_distance_based_on_trip_purpose[#Headers],0),0)</f>
        <v>0.88888888888888884</v>
      </c>
      <c r="L23" s="78" t="e">
        <f>VLOOKUP($L$2, Total_Journeys_Per_Year[#All],MATCH(A23, Total_Journeys_Per_Year[#Headers],0),0)</f>
        <v>#N/A</v>
      </c>
      <c r="M23" s="35" t="e">
        <f t="shared" si="0"/>
        <v>#N/A</v>
      </c>
      <c r="N23" s="35" t="e">
        <f>VLOOKUP($N$2, Private_Vehicle_Kilometres_Car_Stock[#All],MATCH(A23, Private_Vehicle_Kilometres_Car_Stock[#Headers],0),0)</f>
        <v>#N/A</v>
      </c>
    </row>
    <row r="24" spans="1:14" x14ac:dyDescent="0.25">
      <c r="A24" s="79" t="s">
        <v>128</v>
      </c>
      <c r="B24" s="13" t="s">
        <v>181</v>
      </c>
      <c r="C24" s="13" t="s">
        <v>43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Percentage_dist_journeys_by_purpose_and_distance_to_2km[#All],MATCH(A24, Percentage_dist_journeys_by_purpose_and_distance_to_2km[#Headers],0),0)/100</f>
        <v>0</v>
      </c>
      <c r="F24" s="4">
        <f>IF(B24="2-4 kilometres",1,0)*VLOOKUP(C24, Percentage_dist_journeys_by_purpose_and_distance_2_to_4km[#All],MATCH(A24, Percentage_dist_journeys_by_purpose_and_distance_2_to_4km[#Headers],0),0)/100</f>
        <v>0.02</v>
      </c>
      <c r="G24" s="72">
        <f>IF(B24="4-6 kilometres",1,0)*VLOOKUP(C24, Percentage_dist_journeys_by_purpose_and_distance_4_to_6km[#All],MATCH(A24, Percentage_dist_journeys_by_purpose_and_distance_4_to_6km[#Headers],0),0)/100</f>
        <v>0</v>
      </c>
      <c r="H24" s="4">
        <f>IF(B24="6-8 kilometres",1,0)*VLOOKUP(C24, Percentage_dist_journeys_by_purpose_and_distance_6_to_8km[#All],MATCH(A24, Percentage_dist_journeys_by_purpose_and_distance_6_to_8km[#Headers],0),0)/100</f>
        <v>0</v>
      </c>
      <c r="I24" s="72">
        <f>IF(B24="8+ kilometres",1,0)*VLOOKUP(C24, Percentage_dist_journeys_by_purpose_and_distance_8km[#All],MATCH(A24, Percentage_dist_journeys_by_purpose_and_distance_8km[#Headers],0),0)/100</f>
        <v>0</v>
      </c>
      <c r="J24" s="73">
        <f>VLOOKUP(B24,Average_Distance_by_kilometres_grouping_for_trip_purpose[#All],MATCH(A24,Average_Distance_by_kilometres_grouping_for_trip_purpose[#Headers],0),0)</f>
        <v>3</v>
      </c>
      <c r="K24" s="77">
        <f>VLOOKUP(C24, Adjustment_factor_for_distance_based_on_trip_purpose[#All],MATCH(A24, Adjustment_factor_for_distance_based_on_trip_purpose[#Headers],0),0)</f>
        <v>0.88888888888888884</v>
      </c>
      <c r="L24" s="78" t="e">
        <f>VLOOKUP($L$2, Total_Journeys_Per_Year[#All],MATCH(A24, Total_Journeys_Per_Year[#Headers],0),0)</f>
        <v>#N/A</v>
      </c>
      <c r="M24" s="35" t="e">
        <f t="shared" si="0"/>
        <v>#N/A</v>
      </c>
      <c r="N24" s="35" t="e">
        <f>VLOOKUP($N$2, Private_Vehicle_Kilometres_Car_Stock[#All],MATCH(A24, Private_Vehicle_Kilometres_Car_Stock[#Headers],0),0)</f>
        <v>#N/A</v>
      </c>
    </row>
    <row r="25" spans="1:14" x14ac:dyDescent="0.25">
      <c r="A25" s="79" t="s">
        <v>128</v>
      </c>
      <c r="B25" s="13" t="s">
        <v>180</v>
      </c>
      <c r="C25" s="13" t="s">
        <v>43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Percentage_dist_journeys_by_purpose_and_distance_to_2km[#All],MATCH(A25, Percentage_dist_journeys_by_purpose_and_distance_to_2km[#Headers],0),0)/100</f>
        <v>0</v>
      </c>
      <c r="F25" s="4">
        <f>IF(B25="2-4 kilometres",1,0)*VLOOKUP(C25, Percentage_dist_journeys_by_purpose_and_distance_2_to_4km[#All],MATCH(A25, Percentage_dist_journeys_by_purpose_and_distance_2_to_4km[#Headers],0),0)/100</f>
        <v>0</v>
      </c>
      <c r="G25" s="72">
        <f>IF(B25="4-6 kilometres",1,0)*VLOOKUP(C25, Percentage_dist_journeys_by_purpose_and_distance_4_to_6km[#All],MATCH(A25, Percentage_dist_journeys_by_purpose_and_distance_4_to_6km[#Headers],0),0)/100</f>
        <v>0.02</v>
      </c>
      <c r="H25" s="4">
        <f>IF(B25="6-8 kilometres",1,0)*VLOOKUP(C25, Percentage_dist_journeys_by_purpose_and_distance_6_to_8km[#All],MATCH(A25, Percentage_dist_journeys_by_purpose_and_distance_6_to_8km[#Headers],0),0)/100</f>
        <v>0</v>
      </c>
      <c r="I25" s="72">
        <f>IF(B25="8+ kilometres",1,0)*VLOOKUP(C25, Percentage_dist_journeys_by_purpose_and_distance_8km[#All],MATCH(A25, Percentage_dist_journeys_by_purpose_and_distance_8km[#Headers],0),0)/100</f>
        <v>0</v>
      </c>
      <c r="J25" s="73">
        <f>VLOOKUP(B25,Average_Distance_by_kilometres_grouping_for_trip_purpose[#All],MATCH(A25,Average_Distance_by_kilometres_grouping_for_trip_purpose[#Headers],0),0)</f>
        <v>5</v>
      </c>
      <c r="K25" s="77">
        <f>VLOOKUP(C25, Adjustment_factor_for_distance_based_on_trip_purpose[#All],MATCH(A25, Adjustment_factor_for_distance_based_on_trip_purpose[#Headers],0),0)</f>
        <v>0.88888888888888884</v>
      </c>
      <c r="L25" s="78" t="e">
        <f>VLOOKUP($L$2, Total_Journeys_Per_Year[#All],MATCH(A25, Total_Journeys_Per_Year[#Headers],0),0)</f>
        <v>#N/A</v>
      </c>
      <c r="M25" s="35" t="e">
        <f t="shared" si="0"/>
        <v>#N/A</v>
      </c>
      <c r="N25" s="35" t="e">
        <f>VLOOKUP($N$2, Private_Vehicle_Kilometres_Car_Stock[#All],MATCH(A25, Private_Vehicle_Kilometres_Car_Stock[#Headers],0),0)</f>
        <v>#N/A</v>
      </c>
    </row>
    <row r="26" spans="1:14" x14ac:dyDescent="0.25">
      <c r="A26" s="79" t="s">
        <v>128</v>
      </c>
      <c r="B26" s="13" t="s">
        <v>182</v>
      </c>
      <c r="C26" s="13" t="s">
        <v>43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Percentage_dist_journeys_by_purpose_and_distance_to_2km[#All],MATCH(A26, Percentage_dist_journeys_by_purpose_and_distance_to_2km[#Headers],0),0)/100</f>
        <v>0</v>
      </c>
      <c r="F26" s="4">
        <f>IF(B26="2-4 kilometres",1,0)*VLOOKUP(C26, Percentage_dist_journeys_by_purpose_and_distance_2_to_4km[#All],MATCH(A26, Percentage_dist_journeys_by_purpose_and_distance_2_to_4km[#Headers],0),0)/100</f>
        <v>0</v>
      </c>
      <c r="G26" s="72">
        <f>IF(B26="4-6 kilometres",1,0)*VLOOKUP(C26, Percentage_dist_journeys_by_purpose_and_distance_4_to_6km[#All],MATCH(A26, Percentage_dist_journeys_by_purpose_and_distance_4_to_6km[#Headers],0),0)/100</f>
        <v>0</v>
      </c>
      <c r="H26" s="4">
        <f>IF(B26="6-8 kilometres",1,0)*VLOOKUP(C26, Percentage_dist_journeys_by_purpose_and_distance_6_to_8km[#All],MATCH(A26, Percentage_dist_journeys_by_purpose_and_distance_6_to_8km[#Headers],0),0)/100</f>
        <v>0.02</v>
      </c>
      <c r="I26" s="72">
        <f>IF(B26="8+ kilometres",1,0)*VLOOKUP(C26, Percentage_dist_journeys_by_purpose_and_distance_8km[#All],MATCH(A26, Percentage_dist_journeys_by_purpose_and_distance_8km[#Headers],0),0)/100</f>
        <v>0</v>
      </c>
      <c r="J26" s="73">
        <f>VLOOKUP(B26,Average_Distance_by_kilometres_grouping_for_trip_purpose[#All],MATCH(A26,Average_Distance_by_kilometres_grouping_for_trip_purpose[#Headers],0),0)</f>
        <v>7</v>
      </c>
      <c r="K26" s="77">
        <f>VLOOKUP(C26, Adjustment_factor_for_distance_based_on_trip_purpose[#All],MATCH(A26, Adjustment_factor_for_distance_based_on_trip_purpose[#Headers],0),0)</f>
        <v>0.88888888888888884</v>
      </c>
      <c r="L26" s="78" t="e">
        <f>VLOOKUP($L$2, Total_Journeys_Per_Year[#All],MATCH(A26, Total_Journeys_Per_Year[#Headers],0),0)</f>
        <v>#N/A</v>
      </c>
      <c r="M26" s="35" t="e">
        <f t="shared" si="0"/>
        <v>#N/A</v>
      </c>
      <c r="N26" s="35" t="e">
        <f>VLOOKUP($N$2, Private_Vehicle_Kilometres_Car_Stock[#All],MATCH(A26, Private_Vehicle_Kilometres_Car_Stock[#Headers],0),0)</f>
        <v>#N/A</v>
      </c>
    </row>
    <row r="27" spans="1:14" x14ac:dyDescent="0.25">
      <c r="A27" s="79" t="s">
        <v>128</v>
      </c>
      <c r="B27" s="13" t="s">
        <v>1</v>
      </c>
      <c r="C27" s="13" t="s">
        <v>43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Percentage_dist_journeys_by_purpose_and_distance_to_2km[#All],MATCH(A27, Percentage_dist_journeys_by_purpose_and_distance_to_2km[#Headers],0),0)/100</f>
        <v>0</v>
      </c>
      <c r="F27" s="4">
        <f>IF(B27="2-4 kilometres",1,0)*VLOOKUP(C27, Percentage_dist_journeys_by_purpose_and_distance_2_to_4km[#All],MATCH(A27, Percentage_dist_journeys_by_purpose_and_distance_2_to_4km[#Headers],0),0)/100</f>
        <v>0</v>
      </c>
      <c r="G27" s="72">
        <f>IF(B27="4-6 kilometres",1,0)*VLOOKUP(C27, Percentage_dist_journeys_by_purpose_and_distance_4_to_6km[#All],MATCH(A27, Percentage_dist_journeys_by_purpose_and_distance_4_to_6km[#Headers],0),0)/100</f>
        <v>0</v>
      </c>
      <c r="H27" s="4">
        <f>IF(B27="6-8 kilometres",1,0)*VLOOKUP(C27, Percentage_dist_journeys_by_purpose_and_distance_6_to_8km[#All],MATCH(A27, Percentage_dist_journeys_by_purpose_and_distance_6_to_8km[#Headers],0),0)/100</f>
        <v>0</v>
      </c>
      <c r="I27" s="72">
        <f>IF(B27="8+ kilometres",1,0)*VLOOKUP(C27, Percentage_dist_journeys_by_purpose_and_distance_8km[#All],MATCH(A27, Percentage_dist_journeys_by_purpose_and_distance_8km[#Headers],0),0)/100</f>
        <v>0.04</v>
      </c>
      <c r="J27" s="73">
        <f>VLOOKUP(B27,Average_Distance_by_kilometres_grouping_for_trip_purpose[#All],MATCH(A27,Average_Distance_by_kilometres_grouping_for_trip_purpose[#Headers],0),0)</f>
        <v>32.770000000000003</v>
      </c>
      <c r="K27" s="77">
        <f>VLOOKUP(C27, Adjustment_factor_for_distance_based_on_trip_purpose[#All],MATCH(A27, Adjustment_factor_for_distance_based_on_trip_purpose[#Headers],0),0)</f>
        <v>0.88888888888888884</v>
      </c>
      <c r="L27" s="78" t="e">
        <f>VLOOKUP($L$2, Total_Journeys_Per_Year[#All],MATCH(A27, Total_Journeys_Per_Year[#Headers],0),0)</f>
        <v>#N/A</v>
      </c>
      <c r="M27" s="35" t="e">
        <f t="shared" si="0"/>
        <v>#N/A</v>
      </c>
      <c r="N27" s="35" t="e">
        <f>VLOOKUP($N$2, Private_Vehicle_Kilometres_Car_Stock[#All],MATCH(A27, Private_Vehicle_Kilometres_Car_Stock[#Headers],0),0)</f>
        <v>#N/A</v>
      </c>
    </row>
    <row r="28" spans="1:14" x14ac:dyDescent="0.25">
      <c r="A28" s="79" t="s">
        <v>128</v>
      </c>
      <c r="B28" s="13" t="s">
        <v>12</v>
      </c>
      <c r="C28" s="13" t="s">
        <v>44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Percentage_dist_journeys_by_purpose_and_distance_to_2km[#All],MATCH(A28, Percentage_dist_journeys_by_purpose_and_distance_to_2km[#Headers],0),0)/100</f>
        <v>0.28000000000000003</v>
      </c>
      <c r="F28" s="4">
        <f>IF(B28="2-4 kilometres",1,0)*VLOOKUP(C28, Percentage_dist_journeys_by_purpose_and_distance_2_to_4km[#All],MATCH(A28, Percentage_dist_journeys_by_purpose_and_distance_2_to_4km[#Headers],0),0)/100</f>
        <v>0</v>
      </c>
      <c r="G28" s="72">
        <f>IF(B28="4-6 kilometres",1,0)*VLOOKUP(C28, Percentage_dist_journeys_by_purpose_and_distance_4_to_6km[#All],MATCH(A28, Percentage_dist_journeys_by_purpose_and_distance_4_to_6km[#Headers],0),0)/100</f>
        <v>0</v>
      </c>
      <c r="H28" s="4">
        <f>IF(B28="6-8 kilometres",1,0)*VLOOKUP(C28, Percentage_dist_journeys_by_purpose_and_distance_6_to_8km[#All],MATCH(A28, Percentage_dist_journeys_by_purpose_and_distance_6_to_8km[#Headers],0),0)/100</f>
        <v>0</v>
      </c>
      <c r="I28" s="72">
        <f>IF(B28="8+ kilometres",1,0)*VLOOKUP(C28, Percentage_dist_journeys_by_purpose_and_distance_8km[#All],MATCH(A28, Percentage_dist_journeys_by_purpose_and_distance_8km[#Headers],0),0)/100</f>
        <v>0</v>
      </c>
      <c r="J28" s="73">
        <f>VLOOKUP(B28,Average_Distance_by_kilometres_grouping_for_trip_purpose[#All],MATCH(A28,Average_Distance_by_kilometres_grouping_for_trip_purpose[#Headers],0),0)</f>
        <v>1</v>
      </c>
      <c r="K28" s="77">
        <f>VLOOKUP(C28, Adjustment_factor_for_distance_based_on_trip_purpose[#All],MATCH(A28, Adjustment_factor_for_distance_based_on_trip_purpose[#Headers],0),0)</f>
        <v>0.44444444444444442</v>
      </c>
      <c r="L28" s="78" t="e">
        <f>VLOOKUP($L$2, Total_Journeys_Per_Year[#All],MATCH(A28, Total_Journeys_Per_Year[#Headers],0),0)</f>
        <v>#N/A</v>
      </c>
      <c r="M28" s="35" t="e">
        <f t="shared" si="0"/>
        <v>#N/A</v>
      </c>
      <c r="N28" s="35" t="e">
        <f>VLOOKUP($N$2, Private_Vehicle_Kilometres_Car_Stock[#All],MATCH(A28, Private_Vehicle_Kilometres_Car_Stock[#Headers],0),0)</f>
        <v>#N/A</v>
      </c>
    </row>
    <row r="29" spans="1:14" x14ac:dyDescent="0.25">
      <c r="A29" s="79" t="s">
        <v>128</v>
      </c>
      <c r="B29" s="13" t="s">
        <v>181</v>
      </c>
      <c r="C29" s="13" t="s">
        <v>44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Percentage_dist_journeys_by_purpose_and_distance_to_2km[#All],MATCH(A29, Percentage_dist_journeys_by_purpose_and_distance_to_2km[#Headers],0),0)/100</f>
        <v>0</v>
      </c>
      <c r="F29" s="4">
        <f>IF(B29="2-4 kilometres",1,0)*VLOOKUP(C29, Percentage_dist_journeys_by_purpose_and_distance_2_to_4km[#All],MATCH(A29, Percentage_dist_journeys_by_purpose_and_distance_2_to_4km[#Headers],0),0)/100</f>
        <v>0.22500000000000001</v>
      </c>
      <c r="G29" s="72">
        <f>IF(B29="4-6 kilometres",1,0)*VLOOKUP(C29, Percentage_dist_journeys_by_purpose_and_distance_4_to_6km[#All],MATCH(A29, Percentage_dist_journeys_by_purpose_and_distance_4_to_6km[#Headers],0),0)/100</f>
        <v>0</v>
      </c>
      <c r="H29" s="4">
        <f>IF(B29="6-8 kilometres",1,0)*VLOOKUP(C29, Percentage_dist_journeys_by_purpose_and_distance_6_to_8km[#All],MATCH(A29, Percentage_dist_journeys_by_purpose_and_distance_6_to_8km[#Headers],0),0)/100</f>
        <v>0</v>
      </c>
      <c r="I29" s="72">
        <f>IF(B29="8+ kilometres",1,0)*VLOOKUP(C29, Percentage_dist_journeys_by_purpose_and_distance_8km[#All],MATCH(A29, Percentage_dist_journeys_by_purpose_and_distance_8km[#Headers],0),0)/100</f>
        <v>0</v>
      </c>
      <c r="J29" s="73">
        <f>VLOOKUP(B29,Average_Distance_by_kilometres_grouping_for_trip_purpose[#All],MATCH(A29,Average_Distance_by_kilometres_grouping_for_trip_purpose[#Headers],0),0)</f>
        <v>3</v>
      </c>
      <c r="K29" s="77">
        <f>VLOOKUP(C29, Adjustment_factor_for_distance_based_on_trip_purpose[#All],MATCH(A29, Adjustment_factor_for_distance_based_on_trip_purpose[#Headers],0),0)</f>
        <v>0.44444444444444442</v>
      </c>
      <c r="L29" s="78" t="e">
        <f>VLOOKUP($L$2, Total_Journeys_Per_Year[#All],MATCH(A29, Total_Journeys_Per_Year[#Headers],0),0)</f>
        <v>#N/A</v>
      </c>
      <c r="M29" s="35" t="e">
        <f t="shared" si="0"/>
        <v>#N/A</v>
      </c>
      <c r="N29" s="35" t="e">
        <f>VLOOKUP($N$2, Private_Vehicle_Kilometres_Car_Stock[#All],MATCH(A29, Private_Vehicle_Kilometres_Car_Stock[#Headers],0),0)</f>
        <v>#N/A</v>
      </c>
    </row>
    <row r="30" spans="1:14" x14ac:dyDescent="0.25">
      <c r="A30" s="79" t="s">
        <v>128</v>
      </c>
      <c r="B30" s="13" t="s">
        <v>180</v>
      </c>
      <c r="C30" s="13" t="s">
        <v>44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Percentage_dist_journeys_by_purpose_and_distance_to_2km[#All],MATCH(A30, Percentage_dist_journeys_by_purpose_and_distance_to_2km[#Headers],0),0)/100</f>
        <v>0</v>
      </c>
      <c r="F30" s="4">
        <f>IF(B30="2-4 kilometres",1,0)*VLOOKUP(C30, Percentage_dist_journeys_by_purpose_and_distance_2_to_4km[#All],MATCH(A30, Percentage_dist_journeys_by_purpose_and_distance_2_to_4km[#Headers],0),0)/100</f>
        <v>0</v>
      </c>
      <c r="G30" s="72">
        <f>IF(B30="4-6 kilometres",1,0)*VLOOKUP(C30, Percentage_dist_journeys_by_purpose_and_distance_4_to_6km[#All],MATCH(A30, Percentage_dist_journeys_by_purpose_and_distance_4_to_6km[#Headers],0),0)/100</f>
        <v>0.20499999999999999</v>
      </c>
      <c r="H30" s="4">
        <f>IF(B30="6-8 kilometres",1,0)*VLOOKUP(C30, Percentage_dist_journeys_by_purpose_and_distance_6_to_8km[#All],MATCH(A30, Percentage_dist_journeys_by_purpose_and_distance_6_to_8km[#Headers],0),0)/100</f>
        <v>0</v>
      </c>
      <c r="I30" s="72">
        <f>IF(B30="8+ kilometres",1,0)*VLOOKUP(C30, Percentage_dist_journeys_by_purpose_and_distance_8km[#All],MATCH(A30, Percentage_dist_journeys_by_purpose_and_distance_8km[#Headers],0),0)/100</f>
        <v>0</v>
      </c>
      <c r="J30" s="73">
        <f>VLOOKUP(B30,Average_Distance_by_kilometres_grouping_for_trip_purpose[#All],MATCH(A30,Average_Distance_by_kilometres_grouping_for_trip_purpose[#Headers],0),0)</f>
        <v>5</v>
      </c>
      <c r="K30" s="77">
        <f>VLOOKUP(C30, Adjustment_factor_for_distance_based_on_trip_purpose[#All],MATCH(A30, Adjustment_factor_for_distance_based_on_trip_purpose[#Headers],0),0)</f>
        <v>0.44444444444444442</v>
      </c>
      <c r="L30" s="78" t="e">
        <f>VLOOKUP($L$2, Total_Journeys_Per_Year[#All],MATCH(A30, Total_Journeys_Per_Year[#Headers],0),0)</f>
        <v>#N/A</v>
      </c>
      <c r="M30" s="35" t="e">
        <f t="shared" si="0"/>
        <v>#N/A</v>
      </c>
      <c r="N30" s="35" t="e">
        <f>VLOOKUP($N$2, Private_Vehicle_Kilometres_Car_Stock[#All],MATCH(A30, Private_Vehicle_Kilometres_Car_Stock[#Headers],0),0)</f>
        <v>#N/A</v>
      </c>
    </row>
    <row r="31" spans="1:14" x14ac:dyDescent="0.25">
      <c r="A31" s="79" t="s">
        <v>128</v>
      </c>
      <c r="B31" s="13" t="s">
        <v>182</v>
      </c>
      <c r="C31" s="13" t="s">
        <v>44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Percentage_dist_journeys_by_purpose_and_distance_to_2km[#All],MATCH(A31, Percentage_dist_journeys_by_purpose_and_distance_to_2km[#Headers],0),0)/100</f>
        <v>0</v>
      </c>
      <c r="F31" s="4">
        <f>IF(B31="2-4 kilometres",1,0)*VLOOKUP(C31, Percentage_dist_journeys_by_purpose_and_distance_2_to_4km[#All],MATCH(A31, Percentage_dist_journeys_by_purpose_and_distance_2_to_4km[#Headers],0),0)/100</f>
        <v>0</v>
      </c>
      <c r="G31" s="72">
        <f>IF(B31="4-6 kilometres",1,0)*VLOOKUP(C31, Percentage_dist_journeys_by_purpose_and_distance_4_to_6km[#All],MATCH(A31, Percentage_dist_journeys_by_purpose_and_distance_4_to_6km[#Headers],0),0)/100</f>
        <v>0</v>
      </c>
      <c r="H31" s="4">
        <f>IF(B31="6-8 kilometres",1,0)*VLOOKUP(C31, Percentage_dist_journeys_by_purpose_and_distance_6_to_8km[#All],MATCH(A31, Percentage_dist_journeys_by_purpose_and_distance_6_to_8km[#Headers],0),0)/100</f>
        <v>0.19</v>
      </c>
      <c r="I31" s="72">
        <f>IF(B31="8+ kilometres",1,0)*VLOOKUP(C31, Percentage_dist_journeys_by_purpose_and_distance_8km[#All],MATCH(A31, Percentage_dist_journeys_by_purpose_and_distance_8km[#Headers],0),0)/100</f>
        <v>0</v>
      </c>
      <c r="J31" s="73">
        <f>VLOOKUP(B31,Average_Distance_by_kilometres_grouping_for_trip_purpose[#All],MATCH(A31,Average_Distance_by_kilometres_grouping_for_trip_purpose[#Headers],0),0)</f>
        <v>7</v>
      </c>
      <c r="K31" s="77">
        <f>VLOOKUP(C31, Adjustment_factor_for_distance_based_on_trip_purpose[#All],MATCH(A31, Adjustment_factor_for_distance_based_on_trip_purpose[#Headers],0),0)</f>
        <v>0.44444444444444442</v>
      </c>
      <c r="L31" s="78" t="e">
        <f>VLOOKUP($L$2, Total_Journeys_Per_Year[#All],MATCH(A31, Total_Journeys_Per_Year[#Headers],0),0)</f>
        <v>#N/A</v>
      </c>
      <c r="M31" s="35" t="e">
        <f t="shared" si="0"/>
        <v>#N/A</v>
      </c>
      <c r="N31" s="35" t="e">
        <f>VLOOKUP($N$2, Private_Vehicle_Kilometres_Car_Stock[#All],MATCH(A31, Private_Vehicle_Kilometres_Car_Stock[#Headers],0),0)</f>
        <v>#N/A</v>
      </c>
    </row>
    <row r="32" spans="1:14" x14ac:dyDescent="0.25">
      <c r="A32" s="79" t="s">
        <v>128</v>
      </c>
      <c r="B32" s="13" t="s">
        <v>1</v>
      </c>
      <c r="C32" s="13" t="s">
        <v>44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Percentage_dist_journeys_by_purpose_and_distance_to_2km[#All],MATCH(A32, Percentage_dist_journeys_by_purpose_and_distance_to_2km[#Headers],0),0)/100</f>
        <v>0</v>
      </c>
      <c r="F32" s="4">
        <f>IF(B32="2-4 kilometres",1,0)*VLOOKUP(C32, Percentage_dist_journeys_by_purpose_and_distance_2_to_4km[#All],MATCH(A32, Percentage_dist_journeys_by_purpose_and_distance_2_to_4km[#Headers],0),0)/100</f>
        <v>0</v>
      </c>
      <c r="G32" s="72">
        <f>IF(B32="4-6 kilometres",1,0)*VLOOKUP(C32, Percentage_dist_journeys_by_purpose_and_distance_4_to_6km[#All],MATCH(A32, Percentage_dist_journeys_by_purpose_and_distance_4_to_6km[#Headers],0),0)/100</f>
        <v>0</v>
      </c>
      <c r="H32" s="4">
        <f>IF(B32="6-8 kilometres",1,0)*VLOOKUP(C32, Percentage_dist_journeys_by_purpose_and_distance_6_to_8km[#All],MATCH(A32, Percentage_dist_journeys_by_purpose_and_distance_6_to_8km[#Headers],0),0)/100</f>
        <v>0</v>
      </c>
      <c r="I32" s="72">
        <f>IF(B32="8+ kilometres",1,0)*VLOOKUP(C32, Percentage_dist_journeys_by_purpose_and_distance_8km[#All],MATCH(A32, Percentage_dist_journeys_by_purpose_and_distance_8km[#Headers],0),0)/100</f>
        <v>0.16</v>
      </c>
      <c r="J32" s="73">
        <f>VLOOKUP(B32,Average_Distance_by_kilometres_grouping_for_trip_purpose[#All],MATCH(A32,Average_Distance_by_kilometres_grouping_for_trip_purpose[#Headers],0),0)</f>
        <v>32.770000000000003</v>
      </c>
      <c r="K32" s="77">
        <f>VLOOKUP(C32, Adjustment_factor_for_distance_based_on_trip_purpose[#All],MATCH(A32, Adjustment_factor_for_distance_based_on_trip_purpose[#Headers],0),0)</f>
        <v>0.44444444444444442</v>
      </c>
      <c r="L32" s="78" t="e">
        <f>VLOOKUP($L$2, Total_Journeys_Per_Year[#All],MATCH(A32, Total_Journeys_Per_Year[#Headers],0),0)</f>
        <v>#N/A</v>
      </c>
      <c r="M32" s="35" t="e">
        <f t="shared" si="0"/>
        <v>#N/A</v>
      </c>
      <c r="N32" s="35" t="e">
        <f>VLOOKUP($N$2, Private_Vehicle_Kilometres_Car_Stock[#All],MATCH(A32, Private_Vehicle_Kilometres_Car_Stock[#Headers],0),0)</f>
        <v>#N/A</v>
      </c>
    </row>
    <row r="33" spans="1:14" x14ac:dyDescent="0.25">
      <c r="A33" s="79" t="s">
        <v>128</v>
      </c>
      <c r="B33" s="13" t="s">
        <v>12</v>
      </c>
      <c r="C33" s="13" t="s">
        <v>45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Percentage_dist_journeys_by_purpose_and_distance_to_2km[#All],MATCH(A33, Percentage_dist_journeys_by_purpose_and_distance_to_2km[#Headers],0),0)/100</f>
        <v>0.04</v>
      </c>
      <c r="F33" s="4">
        <f>IF(B33="2-4 kilometres",1,0)*VLOOKUP(C33, Percentage_dist_journeys_by_purpose_and_distance_2_to_4km[#All],MATCH(A33, Percentage_dist_journeys_by_purpose_and_distance_2_to_4km[#Headers],0),0)/100</f>
        <v>0</v>
      </c>
      <c r="G33" s="72">
        <f>IF(B33="4-6 kilometres",1,0)*VLOOKUP(C33, Percentage_dist_journeys_by_purpose_and_distance_4_to_6km[#All],MATCH(A33, Percentage_dist_journeys_by_purpose_and_distance_4_to_6km[#Headers],0),0)/100</f>
        <v>0</v>
      </c>
      <c r="H33" s="4">
        <f>IF(B33="6-8 kilometres",1,0)*VLOOKUP(C33, Percentage_dist_journeys_by_purpose_and_distance_6_to_8km[#All],MATCH(A33, Percentage_dist_journeys_by_purpose_and_distance_6_to_8km[#Headers],0),0)/100</f>
        <v>0</v>
      </c>
      <c r="I33" s="72">
        <f>IF(B33="8+ kilometres",1,0)*VLOOKUP(C33, Percentage_dist_journeys_by_purpose_and_distance_8km[#All],MATCH(A33, Percentage_dist_journeys_by_purpose_and_distance_8km[#Headers],0),0)/100</f>
        <v>0</v>
      </c>
      <c r="J33" s="73">
        <f>VLOOKUP(B33,Average_Distance_by_kilometres_grouping_for_trip_purpose[#All],MATCH(A33,Average_Distance_by_kilometres_grouping_for_trip_purpose[#Headers],0),0)</f>
        <v>1</v>
      </c>
      <c r="K33" s="77">
        <f>VLOOKUP(C33, Adjustment_factor_for_distance_based_on_trip_purpose[#All],MATCH(A33, Adjustment_factor_for_distance_based_on_trip_purpose[#Headers],0),0)</f>
        <v>0.44444444444444442</v>
      </c>
      <c r="L33" s="78" t="e">
        <f>VLOOKUP($L$2, Total_Journeys_Per_Year[#All],MATCH(A33, Total_Journeys_Per_Year[#Headers],0),0)</f>
        <v>#N/A</v>
      </c>
      <c r="M33" s="35" t="e">
        <f t="shared" si="0"/>
        <v>#N/A</v>
      </c>
      <c r="N33" s="35" t="e">
        <f>VLOOKUP($N$2, Private_Vehicle_Kilometres_Car_Stock[#All],MATCH(A33, Private_Vehicle_Kilometres_Car_Stock[#Headers],0),0)</f>
        <v>#N/A</v>
      </c>
    </row>
    <row r="34" spans="1:14" x14ac:dyDescent="0.25">
      <c r="A34" s="79" t="s">
        <v>128</v>
      </c>
      <c r="B34" s="13" t="s">
        <v>181</v>
      </c>
      <c r="C34" s="13" t="s">
        <v>45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Percentage_dist_journeys_by_purpose_and_distance_to_2km[#All],MATCH(A34, Percentage_dist_journeys_by_purpose_and_distance_to_2km[#Headers],0),0)/100</f>
        <v>0</v>
      </c>
      <c r="F34" s="4">
        <f>IF(B34="2-4 kilometres",1,0)*VLOOKUP(C34, Percentage_dist_journeys_by_purpose_and_distance_2_to_4km[#All],MATCH(A34, Percentage_dist_journeys_by_purpose_and_distance_2_to_4km[#Headers],0),0)/100</f>
        <v>2.5000000000000001E-2</v>
      </c>
      <c r="G34" s="72">
        <f>IF(B34="4-6 kilometres",1,0)*VLOOKUP(C34, Percentage_dist_journeys_by_purpose_and_distance_4_to_6km[#All],MATCH(A34, Percentage_dist_journeys_by_purpose_and_distance_4_to_6km[#Headers],0),0)/100</f>
        <v>0</v>
      </c>
      <c r="H34" s="4">
        <f>IF(B34="6-8 kilometres",1,0)*VLOOKUP(C34, Percentage_dist_journeys_by_purpose_and_distance_6_to_8km[#All],MATCH(A34, Percentage_dist_journeys_by_purpose_and_distance_6_to_8km[#Headers],0),0)/100</f>
        <v>0</v>
      </c>
      <c r="I34" s="72">
        <f>IF(B34="8+ kilometres",1,0)*VLOOKUP(C34, Percentage_dist_journeys_by_purpose_and_distance_8km[#All],MATCH(A34, Percentage_dist_journeys_by_purpose_and_distance_8km[#Headers],0),0)/100</f>
        <v>0</v>
      </c>
      <c r="J34" s="73">
        <f>VLOOKUP(B34,Average_Distance_by_kilometres_grouping_for_trip_purpose[#All],MATCH(A34,Average_Distance_by_kilometres_grouping_for_trip_purpose[#Headers],0),0)</f>
        <v>3</v>
      </c>
      <c r="K34" s="77">
        <f>VLOOKUP(C34, Adjustment_factor_for_distance_based_on_trip_purpose[#All],MATCH(A34, Adjustment_factor_for_distance_based_on_trip_purpose[#Headers],0),0)</f>
        <v>0.44444444444444442</v>
      </c>
      <c r="L34" s="78" t="e">
        <f>VLOOKUP($L$2, Total_Journeys_Per_Year[#All],MATCH(A34, Total_Journeys_Per_Year[#Headers],0),0)</f>
        <v>#N/A</v>
      </c>
      <c r="M34" s="35" t="e">
        <f t="shared" si="0"/>
        <v>#N/A</v>
      </c>
      <c r="N34" s="35" t="e">
        <f>VLOOKUP($N$2, Private_Vehicle_Kilometres_Car_Stock[#All],MATCH(A34, Private_Vehicle_Kilometres_Car_Stock[#Headers],0),0)</f>
        <v>#N/A</v>
      </c>
    </row>
    <row r="35" spans="1:14" x14ac:dyDescent="0.25">
      <c r="A35" s="79" t="s">
        <v>128</v>
      </c>
      <c r="B35" s="13" t="s">
        <v>180</v>
      </c>
      <c r="C35" s="13" t="s">
        <v>45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Percentage_dist_journeys_by_purpose_and_distance_to_2km[#All],MATCH(A35, Percentage_dist_journeys_by_purpose_and_distance_to_2km[#Headers],0),0)/100</f>
        <v>0</v>
      </c>
      <c r="F35" s="4">
        <f>IF(B35="2-4 kilometres",1,0)*VLOOKUP(C35, Percentage_dist_journeys_by_purpose_and_distance_2_to_4km[#All],MATCH(A35, Percentage_dist_journeys_by_purpose_and_distance_2_to_4km[#Headers],0),0)/100</f>
        <v>0</v>
      </c>
      <c r="G35" s="72">
        <f>IF(B35="4-6 kilometres",1,0)*VLOOKUP(C35, Percentage_dist_journeys_by_purpose_and_distance_4_to_6km[#All],MATCH(A35, Percentage_dist_journeys_by_purpose_and_distance_4_to_6km[#Headers],0),0)/100</f>
        <v>2.5000000000000001E-2</v>
      </c>
      <c r="H35" s="4">
        <f>IF(B35="6-8 kilometres",1,0)*VLOOKUP(C35, Percentage_dist_journeys_by_purpose_and_distance_6_to_8km[#All],MATCH(A35, Percentage_dist_journeys_by_purpose_and_distance_6_to_8km[#Headers],0),0)/100</f>
        <v>0</v>
      </c>
      <c r="I35" s="72">
        <f>IF(B35="8+ kilometres",1,0)*VLOOKUP(C35, Percentage_dist_journeys_by_purpose_and_distance_8km[#All],MATCH(A35, Percentage_dist_journeys_by_purpose_and_distance_8km[#Headers],0),0)/100</f>
        <v>0</v>
      </c>
      <c r="J35" s="73">
        <f>VLOOKUP(B35,Average_Distance_by_kilometres_grouping_for_trip_purpose[#All],MATCH(A35,Average_Distance_by_kilometres_grouping_for_trip_purpose[#Headers],0),0)</f>
        <v>5</v>
      </c>
      <c r="K35" s="77">
        <f>VLOOKUP(C35, Adjustment_factor_for_distance_based_on_trip_purpose[#All],MATCH(A35, Adjustment_factor_for_distance_based_on_trip_purpose[#Headers],0),0)</f>
        <v>0.44444444444444442</v>
      </c>
      <c r="L35" s="78" t="e">
        <f>VLOOKUP($L$2, Total_Journeys_Per_Year[#All],MATCH(A35, Total_Journeys_Per_Year[#Headers],0),0)</f>
        <v>#N/A</v>
      </c>
      <c r="M35" s="35" t="e">
        <f t="shared" si="0"/>
        <v>#N/A</v>
      </c>
      <c r="N35" s="35" t="e">
        <f>VLOOKUP($N$2, Private_Vehicle_Kilometres_Car_Stock[#All],MATCH(A35, Private_Vehicle_Kilometres_Car_Stock[#Headers],0),0)</f>
        <v>#N/A</v>
      </c>
    </row>
    <row r="36" spans="1:14" x14ac:dyDescent="0.25">
      <c r="A36" s="79" t="s">
        <v>128</v>
      </c>
      <c r="B36" s="13" t="s">
        <v>182</v>
      </c>
      <c r="C36" s="13" t="s">
        <v>45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Percentage_dist_journeys_by_purpose_and_distance_to_2km[#All],MATCH(A36, Percentage_dist_journeys_by_purpose_and_distance_to_2km[#Headers],0),0)/100</f>
        <v>0</v>
      </c>
      <c r="F36" s="4">
        <f>IF(B36="2-4 kilometres",1,0)*VLOOKUP(C36, Percentage_dist_journeys_by_purpose_and_distance_2_to_4km[#All],MATCH(A36, Percentage_dist_journeys_by_purpose_and_distance_2_to_4km[#Headers],0),0)/100</f>
        <v>0</v>
      </c>
      <c r="G36" s="72">
        <f>IF(B36="4-6 kilometres",1,0)*VLOOKUP(C36, Percentage_dist_journeys_by_purpose_and_distance_4_to_6km[#All],MATCH(A36, Percentage_dist_journeys_by_purpose_and_distance_4_to_6km[#Headers],0),0)/100</f>
        <v>0</v>
      </c>
      <c r="H36" s="4">
        <f>IF(B36="6-8 kilometres",1,0)*VLOOKUP(C36, Percentage_dist_journeys_by_purpose_and_distance_6_to_8km[#All],MATCH(A36, Percentage_dist_journeys_by_purpose_and_distance_6_to_8km[#Headers],0),0)/100</f>
        <v>0.03</v>
      </c>
      <c r="I36" s="72">
        <f>IF(B36="8+ kilometres",1,0)*VLOOKUP(C36, Percentage_dist_journeys_by_purpose_and_distance_8km[#All],MATCH(A36, Percentage_dist_journeys_by_purpose_and_distance_8km[#Headers],0),0)/100</f>
        <v>0</v>
      </c>
      <c r="J36" s="73">
        <f>VLOOKUP(B36,Average_Distance_by_kilometres_grouping_for_trip_purpose[#All],MATCH(A36,Average_Distance_by_kilometres_grouping_for_trip_purpose[#Headers],0),0)</f>
        <v>7</v>
      </c>
      <c r="K36" s="77">
        <f>VLOOKUP(C36, Adjustment_factor_for_distance_based_on_trip_purpose[#All],MATCH(A36, Adjustment_factor_for_distance_based_on_trip_purpose[#Headers],0),0)</f>
        <v>0.44444444444444442</v>
      </c>
      <c r="L36" s="78" t="e">
        <f>VLOOKUP($L$2, Total_Journeys_Per_Year[#All],MATCH(A36, Total_Journeys_Per_Year[#Headers],0),0)</f>
        <v>#N/A</v>
      </c>
      <c r="M36" s="35" t="e">
        <f t="shared" si="0"/>
        <v>#N/A</v>
      </c>
      <c r="N36" s="35" t="e">
        <f>VLOOKUP($N$2, Private_Vehicle_Kilometres_Car_Stock[#All],MATCH(A36, Private_Vehicle_Kilometres_Car_Stock[#Headers],0),0)</f>
        <v>#N/A</v>
      </c>
    </row>
    <row r="37" spans="1:14" x14ac:dyDescent="0.25">
      <c r="A37" s="79" t="s">
        <v>128</v>
      </c>
      <c r="B37" s="13" t="s">
        <v>1</v>
      </c>
      <c r="C37" s="13" t="s">
        <v>45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Percentage_dist_journeys_by_purpose_and_distance_to_2km[#All],MATCH(A37, Percentage_dist_journeys_by_purpose_and_distance_to_2km[#Headers],0),0)/100</f>
        <v>0</v>
      </c>
      <c r="F37" s="4">
        <f>IF(B37="2-4 kilometres",1,0)*VLOOKUP(C37, Percentage_dist_journeys_by_purpose_and_distance_2_to_4km[#All],MATCH(A37, Percentage_dist_journeys_by_purpose_and_distance_2_to_4km[#Headers],0),0)/100</f>
        <v>0</v>
      </c>
      <c r="G37" s="72">
        <f>IF(B37="4-6 kilometres",1,0)*VLOOKUP(C37, Percentage_dist_journeys_by_purpose_and_distance_4_to_6km[#All],MATCH(A37, Percentage_dist_journeys_by_purpose_and_distance_4_to_6km[#Headers],0),0)/100</f>
        <v>0</v>
      </c>
      <c r="H37" s="4">
        <f>IF(B37="6-8 kilometres",1,0)*VLOOKUP(C37, Percentage_dist_journeys_by_purpose_and_distance_6_to_8km[#All],MATCH(A37, Percentage_dist_journeys_by_purpose_and_distance_6_to_8km[#Headers],0),0)/100</f>
        <v>0</v>
      </c>
      <c r="I37" s="72">
        <f>IF(B37="8+ kilometres",1,0)*VLOOKUP(C37, Percentage_dist_journeys_by_purpose_and_distance_8km[#All],MATCH(A37, Percentage_dist_journeys_by_purpose_and_distance_8km[#Headers],0),0)/100</f>
        <v>0.01</v>
      </c>
      <c r="J37" s="73">
        <f>VLOOKUP(B37,Average_Distance_by_kilometres_grouping_for_trip_purpose[#All],MATCH(A37,Average_Distance_by_kilometres_grouping_for_trip_purpose[#Headers],0),0)</f>
        <v>32.770000000000003</v>
      </c>
      <c r="K37" s="77">
        <f>VLOOKUP(C37, Adjustment_factor_for_distance_based_on_trip_purpose[#All],MATCH(A37, Adjustment_factor_for_distance_based_on_trip_purpose[#Headers],0),0)</f>
        <v>0.44444444444444442</v>
      </c>
      <c r="L37" s="78" t="e">
        <f>VLOOKUP($L$2, Total_Journeys_Per_Year[#All],MATCH(A37, Total_Journeys_Per_Year[#Headers],0),0)</f>
        <v>#N/A</v>
      </c>
      <c r="M37" s="35" t="e">
        <f t="shared" si="0"/>
        <v>#N/A</v>
      </c>
      <c r="N37" s="35" t="e">
        <f>VLOOKUP($N$2, Private_Vehicle_Kilometres_Car_Stock[#All],MATCH(A37, Private_Vehicle_Kilometres_Car_Stock[#Headers],0),0)</f>
        <v>#N/A</v>
      </c>
    </row>
    <row r="38" spans="1:14" x14ac:dyDescent="0.25">
      <c r="A38" s="79" t="s">
        <v>128</v>
      </c>
      <c r="B38" s="13" t="s">
        <v>12</v>
      </c>
      <c r="C38" s="13" t="s">
        <v>46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Percentage_dist_journeys_by_purpose_and_distance_to_2km[#All],MATCH(A38, Percentage_dist_journeys_by_purpose_and_distance_to_2km[#Headers],0),0)/100</f>
        <v>9.5000000000000001E-2</v>
      </c>
      <c r="F38" s="4">
        <f>IF(B38="2-4 kilometres",1,0)*VLOOKUP(C38, Percentage_dist_journeys_by_purpose_and_distance_2_to_4km[#All],MATCH(A38, Percentage_dist_journeys_by_purpose_and_distance_2_to_4km[#Headers],0),0)/100</f>
        <v>0</v>
      </c>
      <c r="G38" s="72">
        <f>IF(B38="4-6 kilometres",1,0)*VLOOKUP(C38, Percentage_dist_journeys_by_purpose_and_distance_4_to_6km[#All],MATCH(A38, Percentage_dist_journeys_by_purpose_and_distance_4_to_6km[#Headers],0),0)/100</f>
        <v>0</v>
      </c>
      <c r="H38" s="4">
        <f>IF(B38="6-8 kilometres",1,0)*VLOOKUP(C38, Percentage_dist_journeys_by_purpose_and_distance_6_to_8km[#All],MATCH(A38, Percentage_dist_journeys_by_purpose_and_distance_6_to_8km[#Headers],0),0)/100</f>
        <v>0</v>
      </c>
      <c r="I38" s="72">
        <f>IF(B38="8+ kilometres",1,0)*VLOOKUP(C38, Percentage_dist_journeys_by_purpose_and_distance_8km[#All],MATCH(A38, Percentage_dist_journeys_by_purpose_and_distance_8km[#Headers],0),0)/100</f>
        <v>0</v>
      </c>
      <c r="J38" s="73">
        <f>VLOOKUP(B38,Average_Distance_by_kilometres_grouping_for_trip_purpose[#All],MATCH(A38,Average_Distance_by_kilometres_grouping_for_trip_purpose[#Headers],0),0)</f>
        <v>1</v>
      </c>
      <c r="K38" s="77">
        <f>VLOOKUP(C38, Adjustment_factor_for_distance_based_on_trip_purpose[#All],MATCH(A38, Adjustment_factor_for_distance_based_on_trip_purpose[#Headers],0),0)</f>
        <v>0.94444444444444442</v>
      </c>
      <c r="L38" s="78" t="e">
        <f>VLOOKUP($L$2, Total_Journeys_Per_Year[#All],MATCH(A38, Total_Journeys_Per_Year[#Headers],0),0)</f>
        <v>#N/A</v>
      </c>
      <c r="M38" s="35" t="e">
        <f t="shared" si="0"/>
        <v>#N/A</v>
      </c>
      <c r="N38" s="35" t="e">
        <f>VLOOKUP($N$2, Private_Vehicle_Kilometres_Car_Stock[#All],MATCH(A38, Private_Vehicle_Kilometres_Car_Stock[#Headers],0),0)</f>
        <v>#N/A</v>
      </c>
    </row>
    <row r="39" spans="1:14" x14ac:dyDescent="0.25">
      <c r="A39" s="79" t="s">
        <v>128</v>
      </c>
      <c r="B39" s="13" t="s">
        <v>181</v>
      </c>
      <c r="C39" s="13" t="s">
        <v>46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Percentage_dist_journeys_by_purpose_and_distance_to_2km[#All],MATCH(A39, Percentage_dist_journeys_by_purpose_and_distance_to_2km[#Headers],0),0)/100</f>
        <v>0</v>
      </c>
      <c r="F39" s="4">
        <f>IF(B39="2-4 kilometres",1,0)*VLOOKUP(C39, Percentage_dist_journeys_by_purpose_and_distance_2_to_4km[#All],MATCH(A39, Percentage_dist_journeys_by_purpose_and_distance_2_to_4km[#Headers],0),0)/100</f>
        <v>7.0000000000000007E-2</v>
      </c>
      <c r="G39" s="72">
        <f>IF(B39="4-6 kilometres",1,0)*VLOOKUP(C39, Percentage_dist_journeys_by_purpose_and_distance_4_to_6km[#All],MATCH(A39, Percentage_dist_journeys_by_purpose_and_distance_4_to_6km[#Headers],0),0)/100</f>
        <v>0</v>
      </c>
      <c r="H39" s="4">
        <f>IF(B39="6-8 kilometres",1,0)*VLOOKUP(C39, Percentage_dist_journeys_by_purpose_and_distance_6_to_8km[#All],MATCH(A39, Percentage_dist_journeys_by_purpose_and_distance_6_to_8km[#Headers],0),0)/100</f>
        <v>0</v>
      </c>
      <c r="I39" s="72">
        <f>IF(B39="8+ kilometres",1,0)*VLOOKUP(C39, Percentage_dist_journeys_by_purpose_and_distance_8km[#All],MATCH(A39, Percentage_dist_journeys_by_purpose_and_distance_8km[#Headers],0),0)/100</f>
        <v>0</v>
      </c>
      <c r="J39" s="73">
        <f>VLOOKUP(B39,Average_Distance_by_kilometres_grouping_for_trip_purpose[#All],MATCH(A39,Average_Distance_by_kilometres_grouping_for_trip_purpose[#Headers],0),0)</f>
        <v>3</v>
      </c>
      <c r="K39" s="77">
        <f>VLOOKUP(C39, Adjustment_factor_for_distance_based_on_trip_purpose[#All],MATCH(A39, Adjustment_factor_for_distance_based_on_trip_purpose[#Headers],0),0)</f>
        <v>0.94444444444444442</v>
      </c>
      <c r="L39" s="78" t="e">
        <f>VLOOKUP($L$2, Total_Journeys_Per_Year[#All],MATCH(A39, Total_Journeys_Per_Year[#Headers],0),0)</f>
        <v>#N/A</v>
      </c>
      <c r="M39" s="35" t="e">
        <f t="shared" si="0"/>
        <v>#N/A</v>
      </c>
      <c r="N39" s="35" t="e">
        <f>VLOOKUP($N$2, Private_Vehicle_Kilometres_Car_Stock[#All],MATCH(A39, Private_Vehicle_Kilometres_Car_Stock[#Headers],0),0)</f>
        <v>#N/A</v>
      </c>
    </row>
    <row r="40" spans="1:14" x14ac:dyDescent="0.25">
      <c r="A40" s="79" t="s">
        <v>128</v>
      </c>
      <c r="B40" s="13" t="s">
        <v>180</v>
      </c>
      <c r="C40" s="13" t="s">
        <v>46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Percentage_dist_journeys_by_purpose_and_distance_to_2km[#All],MATCH(A40, Percentage_dist_journeys_by_purpose_and_distance_to_2km[#Headers],0),0)/100</f>
        <v>0</v>
      </c>
      <c r="F40" s="4">
        <f>IF(B40="2-4 kilometres",1,0)*VLOOKUP(C40, Percentage_dist_journeys_by_purpose_and_distance_2_to_4km[#All],MATCH(A40, Percentage_dist_journeys_by_purpose_and_distance_2_to_4km[#Headers],0),0)/100</f>
        <v>0</v>
      </c>
      <c r="G40" s="72">
        <f>IF(B40="4-6 kilometres",1,0)*VLOOKUP(C40, Percentage_dist_journeys_by_purpose_and_distance_4_to_6km[#All],MATCH(A40, Percentage_dist_journeys_by_purpose_and_distance_4_to_6km[#Headers],0),0)/100</f>
        <v>7.0000000000000007E-2</v>
      </c>
      <c r="H40" s="4">
        <f>IF(B40="6-8 kilometres",1,0)*VLOOKUP(C40, Percentage_dist_journeys_by_purpose_and_distance_6_to_8km[#All],MATCH(A40, Percentage_dist_journeys_by_purpose_and_distance_6_to_8km[#Headers],0),0)/100</f>
        <v>0</v>
      </c>
      <c r="I40" s="72">
        <f>IF(B40="8+ kilometres",1,0)*VLOOKUP(C40, Percentage_dist_journeys_by_purpose_and_distance_8km[#All],MATCH(A40, Percentage_dist_journeys_by_purpose_and_distance_8km[#Headers],0),0)/100</f>
        <v>0</v>
      </c>
      <c r="J40" s="73">
        <f>VLOOKUP(B40,Average_Distance_by_kilometres_grouping_for_trip_purpose[#All],MATCH(A40,Average_Distance_by_kilometres_grouping_for_trip_purpose[#Headers],0),0)</f>
        <v>5</v>
      </c>
      <c r="K40" s="77">
        <f>VLOOKUP(C40, Adjustment_factor_for_distance_based_on_trip_purpose[#All],MATCH(A40, Adjustment_factor_for_distance_based_on_trip_purpose[#Headers],0),0)</f>
        <v>0.94444444444444442</v>
      </c>
      <c r="L40" s="78" t="e">
        <f>VLOOKUP($L$2, Total_Journeys_Per_Year[#All],MATCH(A40, Total_Journeys_Per_Year[#Headers],0),0)</f>
        <v>#N/A</v>
      </c>
      <c r="M40" s="35" t="e">
        <f t="shared" si="0"/>
        <v>#N/A</v>
      </c>
      <c r="N40" s="35" t="e">
        <f>VLOOKUP($N$2, Private_Vehicle_Kilometres_Car_Stock[#All],MATCH(A40, Private_Vehicle_Kilometres_Car_Stock[#Headers],0),0)</f>
        <v>#N/A</v>
      </c>
    </row>
    <row r="41" spans="1:14" x14ac:dyDescent="0.25">
      <c r="A41" s="79" t="s">
        <v>128</v>
      </c>
      <c r="B41" s="13" t="s">
        <v>182</v>
      </c>
      <c r="C41" s="13" t="s">
        <v>46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Percentage_dist_journeys_by_purpose_and_distance_to_2km[#All],MATCH(A41, Percentage_dist_journeys_by_purpose_and_distance_to_2km[#Headers],0),0)/100</f>
        <v>0</v>
      </c>
      <c r="F41" s="4">
        <f>IF(B41="2-4 kilometres",1,0)*VLOOKUP(C41, Percentage_dist_journeys_by_purpose_and_distance_2_to_4km[#All],MATCH(A41, Percentage_dist_journeys_by_purpose_and_distance_2_to_4km[#Headers],0),0)/100</f>
        <v>0</v>
      </c>
      <c r="G41" s="72">
        <f>IF(B41="4-6 kilometres",1,0)*VLOOKUP(C41, Percentage_dist_journeys_by_purpose_and_distance_4_to_6km[#All],MATCH(A41, Percentage_dist_journeys_by_purpose_and_distance_4_to_6km[#Headers],0),0)/100</f>
        <v>0</v>
      </c>
      <c r="H41" s="4">
        <f>IF(B41="6-8 kilometres",1,0)*VLOOKUP(C41, Percentage_dist_journeys_by_purpose_and_distance_6_to_8km[#All],MATCH(A41, Percentage_dist_journeys_by_purpose_and_distance_6_to_8km[#Headers],0),0)/100</f>
        <v>0.1</v>
      </c>
      <c r="I41" s="72">
        <f>IF(B41="8+ kilometres",1,0)*VLOOKUP(C41, Percentage_dist_journeys_by_purpose_and_distance_8km[#All],MATCH(A41, Percentage_dist_journeys_by_purpose_and_distance_8km[#Headers],0),0)/100</f>
        <v>0</v>
      </c>
      <c r="J41" s="73">
        <f>VLOOKUP(B41,Average_Distance_by_kilometres_grouping_for_trip_purpose[#All],MATCH(A41,Average_Distance_by_kilometres_grouping_for_trip_purpose[#Headers],0),0)</f>
        <v>7</v>
      </c>
      <c r="K41" s="77">
        <f>VLOOKUP(C41, Adjustment_factor_for_distance_based_on_trip_purpose[#All],MATCH(A41, Adjustment_factor_for_distance_based_on_trip_purpose[#Headers],0),0)</f>
        <v>0.94444444444444442</v>
      </c>
      <c r="L41" s="78" t="e">
        <f>VLOOKUP($L$2, Total_Journeys_Per_Year[#All],MATCH(A41, Total_Journeys_Per_Year[#Headers],0),0)</f>
        <v>#N/A</v>
      </c>
      <c r="M41" s="35" t="e">
        <f t="shared" si="0"/>
        <v>#N/A</v>
      </c>
      <c r="N41" s="35" t="e">
        <f>VLOOKUP($N$2, Private_Vehicle_Kilometres_Car_Stock[#All],MATCH(A41, Private_Vehicle_Kilometres_Car_Stock[#Headers],0),0)</f>
        <v>#N/A</v>
      </c>
    </row>
    <row r="42" spans="1:14" x14ac:dyDescent="0.25">
      <c r="A42" s="79" t="s">
        <v>128</v>
      </c>
      <c r="B42" s="13" t="s">
        <v>1</v>
      </c>
      <c r="C42" s="13" t="s">
        <v>46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Percentage_dist_journeys_by_purpose_and_distance_to_2km[#All],MATCH(A42, Percentage_dist_journeys_by_purpose_and_distance_to_2km[#Headers],0),0)/100</f>
        <v>0</v>
      </c>
      <c r="F42" s="4">
        <f>IF(B42="2-4 kilometres",1,0)*VLOOKUP(C42, Percentage_dist_journeys_by_purpose_and_distance_2_to_4km[#All],MATCH(A42, Percentage_dist_journeys_by_purpose_and_distance_2_to_4km[#Headers],0),0)/100</f>
        <v>0</v>
      </c>
      <c r="G42" s="72">
        <f>IF(B42="4-6 kilometres",1,0)*VLOOKUP(C42, Percentage_dist_journeys_by_purpose_and_distance_4_to_6km[#All],MATCH(A42, Percentage_dist_journeys_by_purpose_and_distance_4_to_6km[#Headers],0),0)/100</f>
        <v>0</v>
      </c>
      <c r="H42" s="4">
        <f>IF(B42="6-8 kilometres",1,0)*VLOOKUP(C42, Percentage_dist_journeys_by_purpose_and_distance_6_to_8km[#All],MATCH(A42, Percentage_dist_journeys_by_purpose_and_distance_6_to_8km[#Headers],0),0)/100</f>
        <v>0</v>
      </c>
      <c r="I42" s="72">
        <f>IF(B42="8+ kilometres",1,0)*VLOOKUP(C42, Percentage_dist_journeys_by_purpose_and_distance_8km[#All],MATCH(A42, Percentage_dist_journeys_by_purpose_and_distance_8km[#Headers],0),0)/100</f>
        <v>0.12</v>
      </c>
      <c r="J42" s="73">
        <f>VLOOKUP(B42,Average_Distance_by_kilometres_grouping_for_trip_purpose[#All],MATCH(A42,Average_Distance_by_kilometres_grouping_for_trip_purpose[#Headers],0),0)</f>
        <v>32.770000000000003</v>
      </c>
      <c r="K42" s="77">
        <f>VLOOKUP(C42, Adjustment_factor_for_distance_based_on_trip_purpose[#All],MATCH(A42, Adjustment_factor_for_distance_based_on_trip_purpose[#Headers],0),0)</f>
        <v>0.94444444444444442</v>
      </c>
      <c r="L42" s="78" t="e">
        <f>VLOOKUP($L$2, Total_Journeys_Per_Year[#All],MATCH(A42, Total_Journeys_Per_Year[#Headers],0),0)</f>
        <v>#N/A</v>
      </c>
      <c r="M42" s="35" t="e">
        <f t="shared" si="0"/>
        <v>#N/A</v>
      </c>
      <c r="N42" s="35" t="e">
        <f>VLOOKUP($N$2, Private_Vehicle_Kilometres_Car_Stock[#All],MATCH(A42, Private_Vehicle_Kilometres_Car_Stock[#Headers],0),0)</f>
        <v>#N/A</v>
      </c>
    </row>
    <row r="43" spans="1:14" x14ac:dyDescent="0.25">
      <c r="A43" s="79" t="s">
        <v>128</v>
      </c>
      <c r="B43" s="13" t="s">
        <v>12</v>
      </c>
      <c r="C43" s="13" t="s">
        <v>47</v>
      </c>
      <c r="D43" s="5">
        <f>VLOOKUP(B43,Percentage_distribution_of_journey_distance_for_all_regions[#All],MATCH(A43,Percentage_distribution_of_journey_distance_for_all_regions[#Headers],0),0)/100</f>
        <v>0.22</v>
      </c>
      <c r="E43" s="71">
        <f>IF(B43="&lt;2 kilometres",1,0)*VLOOKUP(C43, Percentage_dist_journeys_by_purpose_and_distance_to_2km[#All],MATCH(A43, Percentage_dist_journeys_by_purpose_and_distance_to_2km[#Headers],0),0)/100</f>
        <v>7.4999999999999997E-2</v>
      </c>
      <c r="F43" s="4">
        <f>IF(B43="2-4 kilometres",1,0)*VLOOKUP(C43, Percentage_dist_journeys_by_purpose_and_distance_2_to_4km[#All],MATCH(A43, Percentage_dist_journeys_by_purpose_and_distance_2_to_4km[#Headers],0),0)/100</f>
        <v>0</v>
      </c>
      <c r="G43" s="72">
        <f>IF(B43="4-6 kilometres",1,0)*VLOOKUP(C43, Percentage_dist_journeys_by_purpose_and_distance_4_to_6km[#All],MATCH(A43, Percentage_dist_journeys_by_purpose_and_distance_4_to_6km[#Headers],0),0)/100</f>
        <v>0</v>
      </c>
      <c r="H43" s="4">
        <f>IF(B43="6-8 kilometres",1,0)*VLOOKUP(C43, Percentage_dist_journeys_by_purpose_and_distance_6_to_8km[#All],MATCH(A43, Percentage_dist_journeys_by_purpose_and_distance_6_to_8km[#Headers],0),0)/100</f>
        <v>0</v>
      </c>
      <c r="I43" s="72">
        <f>IF(B43="8+ kilometres",1,0)*VLOOKUP(C43, Percentage_dist_journeys_by_purpose_and_distance_8km[#All],MATCH(A43, Percentage_dist_journeys_by_purpose_and_distance_8km[#Headers],0),0)/100</f>
        <v>0</v>
      </c>
      <c r="J43" s="73">
        <f>VLOOKUP(B43,Average_Distance_by_kilometres_grouping_for_trip_purpose[#All],MATCH(A43,Average_Distance_by_kilometres_grouping_for_trip_purpose[#Headers],0),0)</f>
        <v>1</v>
      </c>
      <c r="K43" s="77">
        <f>VLOOKUP(C43, Adjustment_factor_for_distance_based_on_trip_purpose[#All],MATCH(A43, Adjustment_factor_for_distance_based_on_trip_purpose[#Headers],0),0)</f>
        <v>0.94444444444444442</v>
      </c>
      <c r="L43" s="78" t="e">
        <f>VLOOKUP($L$2, Total_Journeys_Per_Year[#All],MATCH(A43, Total_Journeys_Per_Year[#Headers],0),0)</f>
        <v>#N/A</v>
      </c>
      <c r="M43" s="35" t="e">
        <f t="shared" si="0"/>
        <v>#N/A</v>
      </c>
      <c r="N43" s="35" t="e">
        <f>VLOOKUP($N$2, Private_Vehicle_Kilometres_Car_Stock[#All],MATCH(A43, Private_Vehicle_Kilometres_Car_Stock[#Headers],0),0)</f>
        <v>#N/A</v>
      </c>
    </row>
    <row r="44" spans="1:14" x14ac:dyDescent="0.25">
      <c r="A44" s="79" t="s">
        <v>128</v>
      </c>
      <c r="B44" s="13" t="s">
        <v>181</v>
      </c>
      <c r="C44" s="13" t="s">
        <v>47</v>
      </c>
      <c r="D44" s="5">
        <f>VLOOKUP(B44,Percentage_distribution_of_journey_distance_for_all_regions[#All],MATCH(A44,Percentage_distribution_of_journey_distance_for_all_regions[#Headers],0),0)/100</f>
        <v>0.19</v>
      </c>
      <c r="E44" s="71">
        <f>IF(B44="&lt;2 kilometres",1,0)*VLOOKUP(C44, Percentage_dist_journeys_by_purpose_and_distance_to_2km[#All],MATCH(A44, Percentage_dist_journeys_by_purpose_and_distance_to_2km[#Headers],0),0)/100</f>
        <v>0</v>
      </c>
      <c r="F44" s="4">
        <f>IF(B44="2-4 kilometres",1,0)*VLOOKUP(C44, Percentage_dist_journeys_by_purpose_and_distance_2_to_4km[#All],MATCH(A44, Percentage_dist_journeys_by_purpose_and_distance_2_to_4km[#Headers],0),0)/100</f>
        <v>0.1</v>
      </c>
      <c r="G44" s="72">
        <f>IF(B44="4-6 kilometres",1,0)*VLOOKUP(C44, Percentage_dist_journeys_by_purpose_and_distance_4_to_6km[#All],MATCH(A44, Percentage_dist_journeys_by_purpose_and_distance_4_to_6km[#Headers],0),0)/100</f>
        <v>0</v>
      </c>
      <c r="H44" s="4">
        <f>IF(B44="6-8 kilometres",1,0)*VLOOKUP(C44, Percentage_dist_journeys_by_purpose_and_distance_6_to_8km[#All],MATCH(A44, Percentage_dist_journeys_by_purpose_and_distance_6_to_8km[#Headers],0),0)/100</f>
        <v>0</v>
      </c>
      <c r="I44" s="72">
        <f>IF(B44="8+ kilometres",1,0)*VLOOKUP(C44, Percentage_dist_journeys_by_purpose_and_distance_8km[#All],MATCH(A44, Percentage_dist_journeys_by_purpose_and_distance_8km[#Headers],0),0)/100</f>
        <v>0</v>
      </c>
      <c r="J44" s="73">
        <f>VLOOKUP(B44,Average_Distance_by_kilometres_grouping_for_trip_purpose[#All],MATCH(A44,Average_Distance_by_kilometres_grouping_for_trip_purpose[#Headers],0),0)</f>
        <v>3</v>
      </c>
      <c r="K44" s="77">
        <f>VLOOKUP(C44, Adjustment_factor_for_distance_based_on_trip_purpose[#All],MATCH(A44, Adjustment_factor_for_distance_based_on_trip_purpose[#Headers],0),0)</f>
        <v>0.94444444444444442</v>
      </c>
      <c r="L44" s="78" t="e">
        <f>VLOOKUP($L$2, Total_Journeys_Per_Year[#All],MATCH(A44, Total_Journeys_Per_Year[#Headers],0),0)</f>
        <v>#N/A</v>
      </c>
      <c r="M44" s="35" t="e">
        <f t="shared" si="0"/>
        <v>#N/A</v>
      </c>
      <c r="N44" s="35" t="e">
        <f>VLOOKUP($N$2, Private_Vehicle_Kilometres_Car_Stock[#All],MATCH(A44, Private_Vehicle_Kilometres_Car_Stock[#Headers],0),0)</f>
        <v>#N/A</v>
      </c>
    </row>
    <row r="45" spans="1:14" x14ac:dyDescent="0.25">
      <c r="A45" s="79" t="s">
        <v>128</v>
      </c>
      <c r="B45" s="13" t="s">
        <v>180</v>
      </c>
      <c r="C45" s="13" t="s">
        <v>47</v>
      </c>
      <c r="D45" s="5">
        <f>VLOOKUP(B45,Percentage_distribution_of_journey_distance_for_all_regions[#All],MATCH(A45,Percentage_distribution_of_journey_distance_for_all_regions[#Headers],0),0)/100</f>
        <v>0.11</v>
      </c>
      <c r="E45" s="71">
        <f>IF(B45="&lt;2 kilometres",1,0)*VLOOKUP(C45, Percentage_dist_journeys_by_purpose_and_distance_to_2km[#All],MATCH(A45, Percentage_dist_journeys_by_purpose_and_distance_to_2km[#Headers],0),0)/100</f>
        <v>0</v>
      </c>
      <c r="F45" s="4">
        <f>IF(B45="2-4 kilometres",1,0)*VLOOKUP(C45, Percentage_dist_journeys_by_purpose_and_distance_2_to_4km[#All],MATCH(A45, Percentage_dist_journeys_by_purpose_and_distance_2_to_4km[#Headers],0),0)/100</f>
        <v>0</v>
      </c>
      <c r="G45" s="72">
        <f>IF(B45="4-6 kilometres",1,0)*VLOOKUP(C45, Percentage_dist_journeys_by_purpose_and_distance_4_to_6km[#All],MATCH(A45, Percentage_dist_journeys_by_purpose_and_distance_4_to_6km[#Headers],0),0)/100</f>
        <v>0.09</v>
      </c>
      <c r="H45" s="4">
        <f>IF(B45="6-8 kilometres",1,0)*VLOOKUP(C45, Percentage_dist_journeys_by_purpose_and_distance_6_to_8km[#All],MATCH(A45, Percentage_dist_journeys_by_purpose_and_distance_6_to_8km[#Headers],0),0)/100</f>
        <v>0</v>
      </c>
      <c r="I45" s="72">
        <f>IF(B45="8+ kilometres",1,0)*VLOOKUP(C45, Percentage_dist_journeys_by_purpose_and_distance_8km[#All],MATCH(A45, Percentage_dist_journeys_by_purpose_and_distance_8km[#Headers],0),0)/100</f>
        <v>0</v>
      </c>
      <c r="J45" s="73">
        <f>VLOOKUP(B45,Average_Distance_by_kilometres_grouping_for_trip_purpose[#All],MATCH(A45,Average_Distance_by_kilometres_grouping_for_trip_purpose[#Headers],0),0)</f>
        <v>5</v>
      </c>
      <c r="K45" s="77">
        <f>VLOOKUP(C45, Adjustment_factor_for_distance_based_on_trip_purpose[#All],MATCH(A45, Adjustment_factor_for_distance_based_on_trip_purpose[#Headers],0),0)</f>
        <v>0.94444444444444442</v>
      </c>
      <c r="L45" s="78" t="e">
        <f>VLOOKUP($L$2, Total_Journeys_Per_Year[#All],MATCH(A45, Total_Journeys_Per_Year[#Headers],0),0)</f>
        <v>#N/A</v>
      </c>
      <c r="M45" s="35" t="e">
        <f t="shared" si="0"/>
        <v>#N/A</v>
      </c>
      <c r="N45" s="35" t="e">
        <f>VLOOKUP($N$2, Private_Vehicle_Kilometres_Car_Stock[#All],MATCH(A45, Private_Vehicle_Kilometres_Car_Stock[#Headers],0),0)</f>
        <v>#N/A</v>
      </c>
    </row>
    <row r="46" spans="1:14" x14ac:dyDescent="0.25">
      <c r="A46" s="79" t="s">
        <v>128</v>
      </c>
      <c r="B46" s="13" t="s">
        <v>182</v>
      </c>
      <c r="C46" s="13" t="s">
        <v>47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Percentage_dist_journeys_by_purpose_and_distance_to_2km[#All],MATCH(A46, Percentage_dist_journeys_by_purpose_and_distance_to_2km[#Headers],0),0)/100</f>
        <v>0</v>
      </c>
      <c r="F46" s="4">
        <f>IF(B46="2-4 kilometres",1,0)*VLOOKUP(C46, Percentage_dist_journeys_by_purpose_and_distance_2_to_4km[#All],MATCH(A46, Percentage_dist_journeys_by_purpose_and_distance_2_to_4km[#Headers],0),0)/100</f>
        <v>0</v>
      </c>
      <c r="G46" s="72">
        <f>IF(B46="4-6 kilometres",1,0)*VLOOKUP(C46, Percentage_dist_journeys_by_purpose_and_distance_4_to_6km[#All],MATCH(A46, Percentage_dist_journeys_by_purpose_and_distance_4_to_6km[#Headers],0),0)/100</f>
        <v>0</v>
      </c>
      <c r="H46" s="4">
        <f>IF(B46="6-8 kilometres",1,0)*VLOOKUP(C46, Percentage_dist_journeys_by_purpose_and_distance_6_to_8km[#All],MATCH(A46, Percentage_dist_journeys_by_purpose_and_distance_6_to_8km[#Headers],0),0)/100</f>
        <v>0.09</v>
      </c>
      <c r="I46" s="72">
        <f>IF(B46="8+ kilometres",1,0)*VLOOKUP(C46, Percentage_dist_journeys_by_purpose_and_distance_8km[#All],MATCH(A46, Percentage_dist_journeys_by_purpose_and_distance_8km[#Headers],0),0)/100</f>
        <v>0</v>
      </c>
      <c r="J46" s="73">
        <f>VLOOKUP(B46,Average_Distance_by_kilometres_grouping_for_trip_purpose[#All],MATCH(A46,Average_Distance_by_kilometres_grouping_for_trip_purpose[#Headers],0),0)</f>
        <v>7</v>
      </c>
      <c r="K46" s="77">
        <f>VLOOKUP(C46, Adjustment_factor_for_distance_based_on_trip_purpose[#All],MATCH(A46, Adjustment_factor_for_distance_based_on_trip_purpose[#Headers],0),0)</f>
        <v>0.94444444444444442</v>
      </c>
      <c r="L46" s="78" t="e">
        <f>VLOOKUP($L$2, Total_Journeys_Per_Year[#All],MATCH(A46, Total_Journeys_Per_Year[#Headers],0),0)</f>
        <v>#N/A</v>
      </c>
      <c r="M46" s="35" t="e">
        <f t="shared" si="0"/>
        <v>#N/A</v>
      </c>
      <c r="N46" s="35" t="e">
        <f>VLOOKUP($N$2, Private_Vehicle_Kilometres_Car_Stock[#All],MATCH(A46, Private_Vehicle_Kilometres_Car_Stock[#Headers],0),0)</f>
        <v>#N/A</v>
      </c>
    </row>
    <row r="47" spans="1:14" x14ac:dyDescent="0.25">
      <c r="A47" s="79" t="s">
        <v>128</v>
      </c>
      <c r="B47" s="13" t="s">
        <v>1</v>
      </c>
      <c r="C47" s="13" t="s">
        <v>47</v>
      </c>
      <c r="D47" s="5">
        <f>VLOOKUP(B47,Percentage_distribution_of_journey_distance_for_all_regions[#All],MATCH(A47,Percentage_distribution_of_journey_distance_for_all_regions[#Headers],0),0)/100</f>
        <v>0.41</v>
      </c>
      <c r="E47" s="71">
        <f>IF(B47="&lt;2 kilometres",1,0)*VLOOKUP(C47, Percentage_dist_journeys_by_purpose_and_distance_to_2km[#All],MATCH(A47, Percentage_dist_journeys_by_purpose_and_distance_to_2km[#Headers],0),0)/100</f>
        <v>0</v>
      </c>
      <c r="F47" s="4">
        <f>IF(B47="2-4 kilometres",1,0)*VLOOKUP(C47, Percentage_dist_journeys_by_purpose_and_distance_2_to_4km[#All],MATCH(A47, Percentage_dist_journeys_by_purpose_and_distance_2_to_4km[#Headers],0),0)/100</f>
        <v>0</v>
      </c>
      <c r="G47" s="72">
        <f>IF(B47="4-6 kilometres",1,0)*VLOOKUP(C47, Percentage_dist_journeys_by_purpose_and_distance_4_to_6km[#All],MATCH(A47, Percentage_dist_journeys_by_purpose_and_distance_4_to_6km[#Headers],0),0)/100</f>
        <v>0</v>
      </c>
      <c r="H47" s="4">
        <f>IF(B47="6-8 kilometres",1,0)*VLOOKUP(C47, Percentage_dist_journeys_by_purpose_and_distance_6_to_8km[#All],MATCH(A47, Percentage_dist_journeys_by_purpose_and_distance_6_to_8km[#Headers],0),0)/100</f>
        <v>0</v>
      </c>
      <c r="I47" s="72">
        <f>IF(B47="8+ kilometres",1,0)*VLOOKUP(C47, Percentage_dist_journeys_by_purpose_and_distance_8km[#All],MATCH(A47, Percentage_dist_journeys_by_purpose_and_distance_8km[#Headers],0),0)/100</f>
        <v>0.06</v>
      </c>
      <c r="J47" s="73">
        <f>VLOOKUP(B47,Average_Distance_by_kilometres_grouping_for_trip_purpose[#All],MATCH(A47,Average_Distance_by_kilometres_grouping_for_trip_purpose[#Headers],0),0)</f>
        <v>32.770000000000003</v>
      </c>
      <c r="K47" s="77">
        <f>VLOOKUP(C47, Adjustment_factor_for_distance_based_on_trip_purpose[#All],MATCH(A47, Adjustment_factor_for_distance_based_on_trip_purpose[#Headers],0),0)</f>
        <v>0.94444444444444442</v>
      </c>
      <c r="L47" s="78" t="e">
        <f>VLOOKUP($L$2, Total_Journeys_Per_Year[#All],MATCH(A47, Total_Journeys_Per_Year[#Headers],0),0)</f>
        <v>#N/A</v>
      </c>
      <c r="M47" s="35" t="e">
        <f t="shared" si="0"/>
        <v>#N/A</v>
      </c>
      <c r="N47" s="35" t="e">
        <f>VLOOKUP($N$2, Private_Vehicle_Kilometres_Car_Stock[#All],MATCH(A47, Private_Vehicle_Kilometres_Car_Stock[#Headers],0),0)</f>
        <v>#N/A</v>
      </c>
    </row>
    <row r="48" spans="1:14" x14ac:dyDescent="0.25">
      <c r="A48" s="79" t="s">
        <v>128</v>
      </c>
      <c r="B48" s="13" t="s">
        <v>12</v>
      </c>
      <c r="C48" s="13" t="s">
        <v>48</v>
      </c>
      <c r="D48" s="5">
        <f>VLOOKUP(B48,Percentage_distribution_of_journey_distance_for_all_regions[#All],MATCH(A48,Percentage_distribution_of_journey_distance_for_all_regions[#Headers],0),0)/100</f>
        <v>0.22</v>
      </c>
      <c r="E48" s="71">
        <f>IF(B48="&lt;2 kilometres",1,0)*VLOOKUP(C48, Percentage_dist_journeys_by_purpose_and_distance_to_2km[#All],MATCH(A48, Percentage_dist_journeys_by_purpose_and_distance_to_2km[#Headers],0),0)/100</f>
        <v>0.1</v>
      </c>
      <c r="F48" s="4">
        <f>IF(B48="2-4 kilometres",1,0)*VLOOKUP(C48, Percentage_dist_journeys_by_purpose_and_distance_2_to_4km[#All],MATCH(A48, Percentage_dist_journeys_by_purpose_and_distance_2_to_4km[#Headers],0),0)/100</f>
        <v>0</v>
      </c>
      <c r="G48" s="72">
        <f>IF(B48="4-6 kilometres",1,0)*VLOOKUP(C48, Percentage_dist_journeys_by_purpose_and_distance_4_to_6km[#All],MATCH(A48, Percentage_dist_journeys_by_purpose_and_distance_4_to_6km[#Headers],0),0)/100</f>
        <v>0</v>
      </c>
      <c r="H48" s="4">
        <f>IF(B48="6-8 kilometres",1,0)*VLOOKUP(C48, Percentage_dist_journeys_by_purpose_and_distance_6_to_8km[#All],MATCH(A48, Percentage_dist_journeys_by_purpose_and_distance_6_to_8km[#Headers],0),0)/100</f>
        <v>0</v>
      </c>
      <c r="I48" s="72">
        <f>IF(B48="8+ kilometres",1,0)*VLOOKUP(C48, Percentage_dist_journeys_by_purpose_and_distance_8km[#All],MATCH(A48, Percentage_dist_journeys_by_purpose_and_distance_8km[#Headers],0),0)/100</f>
        <v>0</v>
      </c>
      <c r="J48" s="73">
        <f>VLOOKUP(B48,Average_Distance_by_kilometres_grouping_for_trip_purpose[#All],MATCH(A48,Average_Distance_by_kilometres_grouping_for_trip_purpose[#Headers],0),0)</f>
        <v>1</v>
      </c>
      <c r="K48" s="77">
        <f>VLOOKUP(C48, Adjustment_factor_for_distance_based_on_trip_purpose[#All],MATCH(A48, Adjustment_factor_for_distance_based_on_trip_purpose[#Headers],0),0)</f>
        <v>0.66666666666666663</v>
      </c>
      <c r="L48" s="78" t="e">
        <f>VLOOKUP($L$2, Total_Journeys_Per_Year[#All],MATCH(A48, Total_Journeys_Per_Year[#Headers],0),0)</f>
        <v>#N/A</v>
      </c>
      <c r="M48" s="35" t="e">
        <f t="shared" si="0"/>
        <v>#N/A</v>
      </c>
      <c r="N48" s="35" t="e">
        <f>VLOOKUP($N$2, Private_Vehicle_Kilometres_Car_Stock[#All],MATCH(A48, Private_Vehicle_Kilometres_Car_Stock[#Headers],0),0)</f>
        <v>#N/A</v>
      </c>
    </row>
    <row r="49" spans="1:14" x14ac:dyDescent="0.25">
      <c r="A49" s="79" t="s">
        <v>128</v>
      </c>
      <c r="B49" s="13" t="s">
        <v>181</v>
      </c>
      <c r="C49" s="13" t="s">
        <v>48</v>
      </c>
      <c r="D49" s="5">
        <f>VLOOKUP(B49,Percentage_distribution_of_journey_distance_for_all_regions[#All],MATCH(A49,Percentage_distribution_of_journey_distance_for_all_regions[#Headers],0),0)/100</f>
        <v>0.19</v>
      </c>
      <c r="E49" s="71">
        <f>IF(B49="&lt;2 kilometres",1,0)*VLOOKUP(C49, Percentage_dist_journeys_by_purpose_and_distance_to_2km[#All],MATCH(A49, Percentage_dist_journeys_by_purpose_and_distance_to_2km[#Headers],0),0)/100</f>
        <v>0</v>
      </c>
      <c r="F49" s="4">
        <f>IF(B49="2-4 kilometres",1,0)*VLOOKUP(C49, Percentage_dist_journeys_by_purpose_and_distance_2_to_4km[#All],MATCH(A49, Percentage_dist_journeys_by_purpose_and_distance_2_to_4km[#Headers],0),0)/100</f>
        <v>0.1</v>
      </c>
      <c r="G49" s="72">
        <f>IF(B49="4-6 kilometres",1,0)*VLOOKUP(C49, Percentage_dist_journeys_by_purpose_and_distance_4_to_6km[#All],MATCH(A49, Percentage_dist_journeys_by_purpose_and_distance_4_to_6km[#Headers],0),0)/100</f>
        <v>0</v>
      </c>
      <c r="H49" s="4">
        <f>IF(B49="6-8 kilometres",1,0)*VLOOKUP(C49, Percentage_dist_journeys_by_purpose_and_distance_6_to_8km[#All],MATCH(A49, Percentage_dist_journeys_by_purpose_and_distance_6_to_8km[#Headers],0),0)/100</f>
        <v>0</v>
      </c>
      <c r="I49" s="72">
        <f>IF(B49="8+ kilometres",1,0)*VLOOKUP(C49, Percentage_dist_journeys_by_purpose_and_distance_8km[#All],MATCH(A49, Percentage_dist_journeys_by_purpose_and_distance_8km[#Headers],0),0)/100</f>
        <v>0</v>
      </c>
      <c r="J49" s="73">
        <f>VLOOKUP(B49,Average_Distance_by_kilometres_grouping_for_trip_purpose[#All],MATCH(A49,Average_Distance_by_kilometres_grouping_for_trip_purpose[#Headers],0),0)</f>
        <v>3</v>
      </c>
      <c r="K49" s="77">
        <f>VLOOKUP(C49, Adjustment_factor_for_distance_based_on_trip_purpose[#All],MATCH(A49, Adjustment_factor_for_distance_based_on_trip_purpose[#Headers],0),0)</f>
        <v>0.66666666666666663</v>
      </c>
      <c r="L49" s="78" t="e">
        <f>VLOOKUP($L$2, Total_Journeys_Per_Year[#All],MATCH(A49, Total_Journeys_Per_Year[#Headers],0),0)</f>
        <v>#N/A</v>
      </c>
      <c r="M49" s="35" t="e">
        <f t="shared" si="0"/>
        <v>#N/A</v>
      </c>
      <c r="N49" s="35" t="e">
        <f>VLOOKUP($N$2, Private_Vehicle_Kilometres_Car_Stock[#All],MATCH(A49, Private_Vehicle_Kilometres_Car_Stock[#Headers],0),0)</f>
        <v>#N/A</v>
      </c>
    </row>
    <row r="50" spans="1:14" x14ac:dyDescent="0.25">
      <c r="A50" s="79" t="s">
        <v>128</v>
      </c>
      <c r="B50" s="13" t="s">
        <v>180</v>
      </c>
      <c r="C50" s="13" t="s">
        <v>48</v>
      </c>
      <c r="D50" s="5">
        <f>VLOOKUP(B50,Percentage_distribution_of_journey_distance_for_all_regions[#All],MATCH(A50,Percentage_distribution_of_journey_distance_for_all_regions[#Headers],0),0)/100</f>
        <v>0.11</v>
      </c>
      <c r="E50" s="71">
        <f>IF(B50="&lt;2 kilometres",1,0)*VLOOKUP(C50, Percentage_dist_journeys_by_purpose_and_distance_to_2km[#All],MATCH(A50, Percentage_dist_journeys_by_purpose_and_distance_to_2km[#Headers],0),0)/100</f>
        <v>0</v>
      </c>
      <c r="F50" s="4">
        <f>IF(B50="2-4 kilometres",1,0)*VLOOKUP(C50, Percentage_dist_journeys_by_purpose_and_distance_2_to_4km[#All],MATCH(A50, Percentage_dist_journeys_by_purpose_and_distance_2_to_4km[#Headers],0),0)/100</f>
        <v>0</v>
      </c>
      <c r="G50" s="72">
        <f>IF(B50="4-6 kilometres",1,0)*VLOOKUP(C50, Percentage_dist_journeys_by_purpose_and_distance_4_to_6km[#All],MATCH(A50, Percentage_dist_journeys_by_purpose_and_distance_4_to_6km[#Headers],0),0)/100</f>
        <v>0.08</v>
      </c>
      <c r="H50" s="4">
        <f>IF(B50="6-8 kilometres",1,0)*VLOOKUP(C50, Percentage_dist_journeys_by_purpose_and_distance_6_to_8km[#All],MATCH(A50, Percentage_dist_journeys_by_purpose_and_distance_6_to_8km[#Headers],0),0)/100</f>
        <v>0</v>
      </c>
      <c r="I50" s="72">
        <f>IF(B50="8+ kilometres",1,0)*VLOOKUP(C50, Percentage_dist_journeys_by_purpose_and_distance_8km[#All],MATCH(A50, Percentage_dist_journeys_by_purpose_and_distance_8km[#Headers],0),0)/100</f>
        <v>0</v>
      </c>
      <c r="J50" s="73">
        <f>VLOOKUP(B50,Average_Distance_by_kilometres_grouping_for_trip_purpose[#All],MATCH(A50,Average_Distance_by_kilometres_grouping_for_trip_purpose[#Headers],0),0)</f>
        <v>5</v>
      </c>
      <c r="K50" s="77">
        <f>VLOOKUP(C50, Adjustment_factor_for_distance_based_on_trip_purpose[#All],MATCH(A50, Adjustment_factor_for_distance_based_on_trip_purpose[#Headers],0),0)</f>
        <v>0.66666666666666663</v>
      </c>
      <c r="L50" s="78" t="e">
        <f>VLOOKUP($L$2, Total_Journeys_Per_Year[#All],MATCH(A50, Total_Journeys_Per_Year[#Headers],0),0)</f>
        <v>#N/A</v>
      </c>
      <c r="M50" s="35" t="e">
        <f t="shared" si="0"/>
        <v>#N/A</v>
      </c>
      <c r="N50" s="35" t="e">
        <f>VLOOKUP($N$2, Private_Vehicle_Kilometres_Car_Stock[#All],MATCH(A50, Private_Vehicle_Kilometres_Car_Stock[#Headers],0),0)</f>
        <v>#N/A</v>
      </c>
    </row>
    <row r="51" spans="1:14" x14ac:dyDescent="0.25">
      <c r="A51" s="79" t="s">
        <v>128</v>
      </c>
      <c r="B51" s="13" t="s">
        <v>182</v>
      </c>
      <c r="C51" s="13" t="s">
        <v>48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Percentage_dist_journeys_by_purpose_and_distance_to_2km[#All],MATCH(A51, Percentage_dist_journeys_by_purpose_and_distance_to_2km[#Headers],0),0)/100</f>
        <v>0</v>
      </c>
      <c r="F51" s="4">
        <f>IF(B51="2-4 kilometres",1,0)*VLOOKUP(C51, Percentage_dist_journeys_by_purpose_and_distance_2_to_4km[#All],MATCH(A51, Percentage_dist_journeys_by_purpose_and_distance_2_to_4km[#Headers],0),0)/100</f>
        <v>0</v>
      </c>
      <c r="G51" s="72">
        <f>IF(B51="4-6 kilometres",1,0)*VLOOKUP(C51, Percentage_dist_journeys_by_purpose_and_distance_4_to_6km[#All],MATCH(A51, Percentage_dist_journeys_by_purpose_and_distance_4_to_6km[#Headers],0),0)/100</f>
        <v>0</v>
      </c>
      <c r="H51" s="4">
        <f>IF(B51="6-8 kilometres",1,0)*VLOOKUP(C51, Percentage_dist_journeys_by_purpose_and_distance_6_to_8km[#All],MATCH(A51, Percentage_dist_journeys_by_purpose_and_distance_6_to_8km[#Headers],0),0)/100</f>
        <v>0.1</v>
      </c>
      <c r="I51" s="72">
        <f>IF(B51="8+ kilometres",1,0)*VLOOKUP(C51, Percentage_dist_journeys_by_purpose_and_distance_8km[#All],MATCH(A51, Percentage_dist_journeys_by_purpose_and_distance_8km[#Headers],0),0)/100</f>
        <v>0</v>
      </c>
      <c r="J51" s="73">
        <f>VLOOKUP(B51,Average_Distance_by_kilometres_grouping_for_trip_purpose[#All],MATCH(A51,Average_Distance_by_kilometres_grouping_for_trip_purpose[#Headers],0),0)</f>
        <v>7</v>
      </c>
      <c r="K51" s="77">
        <f>VLOOKUP(C51, Adjustment_factor_for_distance_based_on_trip_purpose[#All],MATCH(A51, Adjustment_factor_for_distance_based_on_trip_purpose[#Headers],0),0)</f>
        <v>0.66666666666666663</v>
      </c>
      <c r="L51" s="78" t="e">
        <f>VLOOKUP($L$2, Total_Journeys_Per_Year[#All],MATCH(A51, Total_Journeys_Per_Year[#Headers],0),0)</f>
        <v>#N/A</v>
      </c>
      <c r="M51" s="35" t="e">
        <f t="shared" si="0"/>
        <v>#N/A</v>
      </c>
      <c r="N51" s="35" t="e">
        <f>VLOOKUP($N$2, Private_Vehicle_Kilometres_Car_Stock[#All],MATCH(A51, Private_Vehicle_Kilometres_Car_Stock[#Headers],0),0)</f>
        <v>#N/A</v>
      </c>
    </row>
    <row r="52" spans="1:14" x14ac:dyDescent="0.25">
      <c r="A52" s="79" t="s">
        <v>128</v>
      </c>
      <c r="B52" s="13" t="s">
        <v>1</v>
      </c>
      <c r="C52" s="13" t="s">
        <v>48</v>
      </c>
      <c r="D52" s="5">
        <f>VLOOKUP(B52,Percentage_distribution_of_journey_distance_for_all_regions[#All],MATCH(A52,Percentage_distribution_of_journey_distance_for_all_regions[#Headers],0),0)/100</f>
        <v>0.41</v>
      </c>
      <c r="E52" s="71">
        <f>IF(B52="&lt;2 kilometres",1,0)*VLOOKUP(C52, Percentage_dist_journeys_by_purpose_and_distance_to_2km[#All],MATCH(A52, Percentage_dist_journeys_by_purpose_and_distance_to_2km[#Headers],0),0)/100</f>
        <v>0</v>
      </c>
      <c r="F52" s="4">
        <f>IF(B52="2-4 kilometres",1,0)*VLOOKUP(C52, Percentage_dist_journeys_by_purpose_and_distance_2_to_4km[#All],MATCH(A52, Percentage_dist_journeys_by_purpose_and_distance_2_to_4km[#Headers],0),0)/100</f>
        <v>0</v>
      </c>
      <c r="G52" s="72">
        <f>IF(B52="4-6 kilometres",1,0)*VLOOKUP(C52, Percentage_dist_journeys_by_purpose_and_distance_4_to_6km[#All],MATCH(A52, Percentage_dist_journeys_by_purpose_and_distance_4_to_6km[#Headers],0),0)/100</f>
        <v>0</v>
      </c>
      <c r="H52" s="4">
        <f>IF(B52="6-8 kilometres",1,0)*VLOOKUP(C52, Percentage_dist_journeys_by_purpose_and_distance_6_to_8km[#All],MATCH(A52, Percentage_dist_journeys_by_purpose_and_distance_6_to_8km[#Headers],0),0)/100</f>
        <v>0</v>
      </c>
      <c r="I52" s="72">
        <f>IF(B52="8+ kilometres",1,0)*VLOOKUP(C52, Percentage_dist_journeys_by_purpose_and_distance_8km[#All],MATCH(A52, Percentage_dist_journeys_by_purpose_and_distance_8km[#Headers],0),0)/100</f>
        <v>0.08</v>
      </c>
      <c r="J52" s="73">
        <f>VLOOKUP(B52,Average_Distance_by_kilometres_grouping_for_trip_purpose[#All],MATCH(A52,Average_Distance_by_kilometres_grouping_for_trip_purpose[#Headers],0),0)</f>
        <v>32.770000000000003</v>
      </c>
      <c r="K52" s="77">
        <f>VLOOKUP(C52, Adjustment_factor_for_distance_based_on_trip_purpose[#All],MATCH(A52, Adjustment_factor_for_distance_based_on_trip_purpose[#Headers],0),0)</f>
        <v>0.66666666666666663</v>
      </c>
      <c r="L52" s="78" t="e">
        <f>VLOOKUP($L$2, Total_Journeys_Per_Year[#All],MATCH(A52, Total_Journeys_Per_Year[#Headers],0),0)</f>
        <v>#N/A</v>
      </c>
      <c r="M52" s="35" t="e">
        <f t="shared" si="0"/>
        <v>#N/A</v>
      </c>
      <c r="N52" s="35" t="e">
        <f>VLOOKUP($N$2, Private_Vehicle_Kilometres_Car_Stock[#All],MATCH(A52, Private_Vehicle_Kilometres_Car_Stock[#Headers],0),0)</f>
        <v>#N/A</v>
      </c>
    </row>
    <row r="53" spans="1:14" x14ac:dyDescent="0.25">
      <c r="A53" s="79" t="s">
        <v>128</v>
      </c>
      <c r="B53" s="13" t="s">
        <v>12</v>
      </c>
      <c r="C53" s="13" t="s">
        <v>49</v>
      </c>
      <c r="D53" s="5">
        <f>VLOOKUP(B53,Percentage_distribution_of_journey_distance_for_all_regions[#All],MATCH(A53,Percentage_distribution_of_journey_distance_for_all_regions[#Headers],0),0)/100</f>
        <v>0.22</v>
      </c>
      <c r="E53" s="71">
        <f>IF(B53="&lt;2 kilometres",1,0)*VLOOKUP(C53, Percentage_dist_journeys_by_purpose_and_distance_to_2km[#All],MATCH(A53, Percentage_dist_journeys_by_purpose_and_distance_to_2km[#Headers],0),0)/100</f>
        <v>0.17</v>
      </c>
      <c r="F53" s="4">
        <f>IF(B53="2-4 kilometres",1,0)*VLOOKUP(C53, Percentage_dist_journeys_by_purpose_and_distance_2_to_4km[#All],MATCH(A53, Percentage_dist_journeys_by_purpose_and_distance_2_to_4km[#Headers],0),0)/100</f>
        <v>0</v>
      </c>
      <c r="G53" s="72">
        <f>IF(B53="4-6 kilometres",1,0)*VLOOKUP(C53, Percentage_dist_journeys_by_purpose_and_distance_4_to_6km[#All],MATCH(A53, Percentage_dist_journeys_by_purpose_and_distance_4_to_6km[#Headers],0),0)/100</f>
        <v>0</v>
      </c>
      <c r="H53" s="4">
        <f>IF(B53="6-8 kilometres",1,0)*VLOOKUP(C53, Percentage_dist_journeys_by_purpose_and_distance_6_to_8km[#All],MATCH(A53, Percentage_dist_journeys_by_purpose_and_distance_6_to_8km[#Headers],0),0)/100</f>
        <v>0</v>
      </c>
      <c r="I53" s="72">
        <f>IF(B53="8+ kilometres",1,0)*VLOOKUP(C53, Percentage_dist_journeys_by_purpose_and_distance_8km[#All],MATCH(A53, Percentage_dist_journeys_by_purpose_and_distance_8km[#Headers],0),0)/100</f>
        <v>0</v>
      </c>
      <c r="J53" s="73">
        <f>VLOOKUP(B53,Average_Distance_by_kilometres_grouping_for_trip_purpose[#All],MATCH(A53,Average_Distance_by_kilometres_grouping_for_trip_purpose[#Headers],0),0)</f>
        <v>1</v>
      </c>
      <c r="K53" s="77">
        <f>VLOOKUP(C53, Adjustment_factor_for_distance_based_on_trip_purpose[#All],MATCH(A53, Adjustment_factor_for_distance_based_on_trip_purpose[#Headers],0),0)</f>
        <v>1.2222222222222223</v>
      </c>
      <c r="L53" s="78" t="e">
        <f>VLOOKUP($L$2, Total_Journeys_Per_Year[#All],MATCH(A53, Total_Journeys_Per_Year[#Headers],0),0)</f>
        <v>#N/A</v>
      </c>
      <c r="M53" s="35" t="e">
        <f t="shared" si="0"/>
        <v>#N/A</v>
      </c>
      <c r="N53" s="35" t="e">
        <f>VLOOKUP($N$2, Private_Vehicle_Kilometres_Car_Stock[#All],MATCH(A53, Private_Vehicle_Kilometres_Car_Stock[#Headers],0),0)</f>
        <v>#N/A</v>
      </c>
    </row>
    <row r="54" spans="1:14" x14ac:dyDescent="0.25">
      <c r="A54" s="79" t="s">
        <v>128</v>
      </c>
      <c r="B54" s="13" t="s">
        <v>181</v>
      </c>
      <c r="C54" s="13" t="s">
        <v>49</v>
      </c>
      <c r="D54" s="5">
        <f>VLOOKUP(B54,Percentage_distribution_of_journey_distance_for_all_regions[#All],MATCH(A54,Percentage_distribution_of_journey_distance_for_all_regions[#Headers],0),0)/100</f>
        <v>0.19</v>
      </c>
      <c r="E54" s="71">
        <f>IF(B54="&lt;2 kilometres",1,0)*VLOOKUP(C54, Percentage_dist_journeys_by_purpose_and_distance_to_2km[#All],MATCH(A54, Percentage_dist_journeys_by_purpose_and_distance_to_2km[#Headers],0),0)/100</f>
        <v>0</v>
      </c>
      <c r="F54" s="4">
        <f>IF(B54="2-4 kilometres",1,0)*VLOOKUP(C54, Percentage_dist_journeys_by_purpose_and_distance_2_to_4km[#All],MATCH(A54, Percentage_dist_journeys_by_purpose_and_distance_2_to_4km[#Headers],0),0)/100</f>
        <v>0.17</v>
      </c>
      <c r="G54" s="72">
        <f>IF(B54="4-6 kilometres",1,0)*VLOOKUP(C54, Percentage_dist_journeys_by_purpose_and_distance_4_to_6km[#All],MATCH(A54, Percentage_dist_journeys_by_purpose_and_distance_4_to_6km[#Headers],0),0)/100</f>
        <v>0</v>
      </c>
      <c r="H54" s="4">
        <f>IF(B54="6-8 kilometres",1,0)*VLOOKUP(C54, Percentage_dist_journeys_by_purpose_and_distance_6_to_8km[#All],MATCH(A54, Percentage_dist_journeys_by_purpose_and_distance_6_to_8km[#Headers],0),0)/100</f>
        <v>0</v>
      </c>
      <c r="I54" s="72">
        <f>IF(B54="8+ kilometres",1,0)*VLOOKUP(C54, Percentage_dist_journeys_by_purpose_and_distance_8km[#All],MATCH(A54, Percentage_dist_journeys_by_purpose_and_distance_8km[#Headers],0),0)/100</f>
        <v>0</v>
      </c>
      <c r="J54" s="73">
        <f>VLOOKUP(B54,Average_Distance_by_kilometres_grouping_for_trip_purpose[#All],MATCH(A54,Average_Distance_by_kilometres_grouping_for_trip_purpose[#Headers],0),0)</f>
        <v>3</v>
      </c>
      <c r="K54" s="77">
        <f>VLOOKUP(C54, Adjustment_factor_for_distance_based_on_trip_purpose[#All],MATCH(A54, Adjustment_factor_for_distance_based_on_trip_purpose[#Headers],0),0)</f>
        <v>1.2222222222222223</v>
      </c>
      <c r="L54" s="78" t="e">
        <f>VLOOKUP($L$2, Total_Journeys_Per_Year[#All],MATCH(A54, Total_Journeys_Per_Year[#Headers],0),0)</f>
        <v>#N/A</v>
      </c>
      <c r="M54" s="35" t="e">
        <f t="shared" si="0"/>
        <v>#N/A</v>
      </c>
      <c r="N54" s="35" t="e">
        <f>VLOOKUP($N$2, Private_Vehicle_Kilometres_Car_Stock[#All],MATCH(A54, Private_Vehicle_Kilometres_Car_Stock[#Headers],0),0)</f>
        <v>#N/A</v>
      </c>
    </row>
    <row r="55" spans="1:14" x14ac:dyDescent="0.25">
      <c r="A55" s="79" t="s">
        <v>128</v>
      </c>
      <c r="B55" s="13" t="s">
        <v>180</v>
      </c>
      <c r="C55" s="13" t="s">
        <v>49</v>
      </c>
      <c r="D55" s="5">
        <f>VLOOKUP(B55,Percentage_distribution_of_journey_distance_for_all_regions[#All],MATCH(A55,Percentage_distribution_of_journey_distance_for_all_regions[#Headers],0),0)/100</f>
        <v>0.11</v>
      </c>
      <c r="E55" s="71">
        <f>IF(B55="&lt;2 kilometres",1,0)*VLOOKUP(C55, Percentage_dist_journeys_by_purpose_and_distance_to_2km[#All],MATCH(A55, Percentage_dist_journeys_by_purpose_and_distance_to_2km[#Headers],0),0)/100</f>
        <v>0</v>
      </c>
      <c r="F55" s="4">
        <f>IF(B55="2-4 kilometres",1,0)*VLOOKUP(C55, Percentage_dist_journeys_by_purpose_and_distance_2_to_4km[#All],MATCH(A55, Percentage_dist_journeys_by_purpose_and_distance_2_to_4km[#Headers],0),0)/100</f>
        <v>0</v>
      </c>
      <c r="G55" s="72">
        <f>IF(B55="4-6 kilometres",1,0)*VLOOKUP(C55, Percentage_dist_journeys_by_purpose_and_distance_4_to_6km[#All],MATCH(A55, Percentage_dist_journeys_by_purpose_and_distance_4_to_6km[#Headers],0),0)/100</f>
        <v>0.16</v>
      </c>
      <c r="H55" s="4">
        <f>IF(B55="6-8 kilometres",1,0)*VLOOKUP(C55, Percentage_dist_journeys_by_purpose_and_distance_6_to_8km[#All],MATCH(A55, Percentage_dist_journeys_by_purpose_and_distance_6_to_8km[#Headers],0),0)/100</f>
        <v>0</v>
      </c>
      <c r="I55" s="72">
        <f>IF(B55="8+ kilometres",1,0)*VLOOKUP(C55, Percentage_dist_journeys_by_purpose_and_distance_8km[#All],MATCH(A55, Percentage_dist_journeys_by_purpose_and_distance_8km[#Headers],0),0)/100</f>
        <v>0</v>
      </c>
      <c r="J55" s="73">
        <f>VLOOKUP(B55,Average_Distance_by_kilometres_grouping_for_trip_purpose[#All],MATCH(A55,Average_Distance_by_kilometres_grouping_for_trip_purpose[#Headers],0),0)</f>
        <v>5</v>
      </c>
      <c r="K55" s="77">
        <f>VLOOKUP(C55, Adjustment_factor_for_distance_based_on_trip_purpose[#All],MATCH(A55, Adjustment_factor_for_distance_based_on_trip_purpose[#Headers],0),0)</f>
        <v>1.2222222222222223</v>
      </c>
      <c r="L55" s="78" t="e">
        <f>VLOOKUP($L$2, Total_Journeys_Per_Year[#All],MATCH(A55, Total_Journeys_Per_Year[#Headers],0),0)</f>
        <v>#N/A</v>
      </c>
      <c r="M55" s="35" t="e">
        <f t="shared" si="0"/>
        <v>#N/A</v>
      </c>
      <c r="N55" s="35" t="e">
        <f>VLOOKUP($N$2, Private_Vehicle_Kilometres_Car_Stock[#All],MATCH(A55, Private_Vehicle_Kilometres_Car_Stock[#Headers],0),0)</f>
        <v>#N/A</v>
      </c>
    </row>
    <row r="56" spans="1:14" x14ac:dyDescent="0.25">
      <c r="A56" s="79" t="s">
        <v>128</v>
      </c>
      <c r="B56" s="13" t="s">
        <v>182</v>
      </c>
      <c r="C56" s="13" t="s">
        <v>49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Percentage_dist_journeys_by_purpose_and_distance_to_2km[#All],MATCH(A56, Percentage_dist_journeys_by_purpose_and_distance_to_2km[#Headers],0),0)/100</f>
        <v>0</v>
      </c>
      <c r="F56" s="4">
        <f>IF(B56="2-4 kilometres",1,0)*VLOOKUP(C56, Percentage_dist_journeys_by_purpose_and_distance_2_to_4km[#All],MATCH(A56, Percentage_dist_journeys_by_purpose_and_distance_2_to_4km[#Headers],0),0)/100</f>
        <v>0</v>
      </c>
      <c r="G56" s="72">
        <f>IF(B56="4-6 kilometres",1,0)*VLOOKUP(C56, Percentage_dist_journeys_by_purpose_and_distance_4_to_6km[#All],MATCH(A56, Percentage_dist_journeys_by_purpose_and_distance_4_to_6km[#Headers],0),0)/100</f>
        <v>0</v>
      </c>
      <c r="H56" s="4">
        <f>IF(B56="6-8 kilometres",1,0)*VLOOKUP(C56, Percentage_dist_journeys_by_purpose_and_distance_6_to_8km[#All],MATCH(A56, Percentage_dist_journeys_by_purpose_and_distance_6_to_8km[#Headers],0),0)/100</f>
        <v>0.15</v>
      </c>
      <c r="I56" s="72">
        <f>IF(B56="8+ kilometres",1,0)*VLOOKUP(C56, Percentage_dist_journeys_by_purpose_and_distance_8km[#All],MATCH(A56, Percentage_dist_journeys_by_purpose_and_distance_8km[#Headers],0),0)/100</f>
        <v>0</v>
      </c>
      <c r="J56" s="73">
        <f>VLOOKUP(B56,Average_Distance_by_kilometres_grouping_for_trip_purpose[#All],MATCH(A56,Average_Distance_by_kilometres_grouping_for_trip_purpose[#Headers],0),0)</f>
        <v>7</v>
      </c>
      <c r="K56" s="77">
        <f>VLOOKUP(C56, Adjustment_factor_for_distance_based_on_trip_purpose[#All],MATCH(A56, Adjustment_factor_for_distance_based_on_trip_purpose[#Headers],0),0)</f>
        <v>1.2222222222222223</v>
      </c>
      <c r="L56" s="78" t="e">
        <f>VLOOKUP($L$2, Total_Journeys_Per_Year[#All],MATCH(A56, Total_Journeys_Per_Year[#Headers],0),0)</f>
        <v>#N/A</v>
      </c>
      <c r="M56" s="35" t="e">
        <f t="shared" si="0"/>
        <v>#N/A</v>
      </c>
      <c r="N56" s="35" t="e">
        <f>VLOOKUP($N$2, Private_Vehicle_Kilometres_Car_Stock[#All],MATCH(A56, Private_Vehicle_Kilometres_Car_Stock[#Headers],0),0)</f>
        <v>#N/A</v>
      </c>
    </row>
    <row r="57" spans="1:14" x14ac:dyDescent="0.25">
      <c r="A57" s="79" t="s">
        <v>128</v>
      </c>
      <c r="B57" s="13" t="s">
        <v>1</v>
      </c>
      <c r="C57" s="13" t="s">
        <v>49</v>
      </c>
      <c r="D57" s="5">
        <f>VLOOKUP(B57,Percentage_distribution_of_journey_distance_for_all_regions[#All],MATCH(A57,Percentage_distribution_of_journey_distance_for_all_regions[#Headers],0),0)/100</f>
        <v>0.41</v>
      </c>
      <c r="E57" s="71">
        <f>IF(B57="&lt;2 kilometres",1,0)*VLOOKUP(C57, Percentage_dist_journeys_by_purpose_and_distance_to_2km[#All],MATCH(A57, Percentage_dist_journeys_by_purpose_and_distance_to_2km[#Headers],0),0)/100</f>
        <v>0</v>
      </c>
      <c r="F57" s="4">
        <f>IF(B57="2-4 kilometres",1,0)*VLOOKUP(C57, Percentage_dist_journeys_by_purpose_and_distance_2_to_4km[#All],MATCH(A57, Percentage_dist_journeys_by_purpose_and_distance_2_to_4km[#Headers],0),0)/100</f>
        <v>0</v>
      </c>
      <c r="G57" s="72">
        <f>IF(B57="4-6 kilometres",1,0)*VLOOKUP(C57, Percentage_dist_journeys_by_purpose_and_distance_4_to_6km[#All],MATCH(A57, Percentage_dist_journeys_by_purpose_and_distance_4_to_6km[#Headers],0),0)/100</f>
        <v>0</v>
      </c>
      <c r="H57" s="4">
        <f>IF(B57="6-8 kilometres",1,0)*VLOOKUP(C57, Percentage_dist_journeys_by_purpose_and_distance_6_to_8km[#All],MATCH(A57, Percentage_dist_journeys_by_purpose_and_distance_6_to_8km[#Headers],0),0)/100</f>
        <v>0</v>
      </c>
      <c r="I57" s="72">
        <f>IF(B57="8+ kilometres",1,0)*VLOOKUP(C57, Percentage_dist_journeys_by_purpose_and_distance_8km[#All],MATCH(A57, Percentage_dist_journeys_by_purpose_and_distance_8km[#Headers],0),0)/100</f>
        <v>7.0000000000000007E-2</v>
      </c>
      <c r="J57" s="73">
        <f>VLOOKUP(B57,Average_Distance_by_kilometres_grouping_for_trip_purpose[#All],MATCH(A57,Average_Distance_by_kilometres_grouping_for_trip_purpose[#Headers],0),0)</f>
        <v>32.770000000000003</v>
      </c>
      <c r="K57" s="77">
        <f>VLOOKUP(C57, Adjustment_factor_for_distance_based_on_trip_purpose[#All],MATCH(A57, Adjustment_factor_for_distance_based_on_trip_purpose[#Headers],0),0)</f>
        <v>1.2222222222222223</v>
      </c>
      <c r="L57" s="78" t="e">
        <f>VLOOKUP($L$2, Total_Journeys_Per_Year[#All],MATCH(A57, Total_Journeys_Per_Year[#Headers],0),0)</f>
        <v>#N/A</v>
      </c>
      <c r="M57" s="35" t="e">
        <f t="shared" si="0"/>
        <v>#N/A</v>
      </c>
      <c r="N57" s="35" t="e">
        <f>VLOOKUP($N$2, Private_Vehicle_Kilometres_Car_Stock[#All],MATCH(A57, Private_Vehicle_Kilometres_Car_Stock[#Headers],0),0)</f>
        <v>#N/A</v>
      </c>
    </row>
    <row r="58" spans="1:14" x14ac:dyDescent="0.25">
      <c r="A58" s="79" t="s">
        <v>128</v>
      </c>
      <c r="B58" s="13" t="s">
        <v>12</v>
      </c>
      <c r="C58" s="13" t="s">
        <v>50</v>
      </c>
      <c r="D58" s="5">
        <f>VLOOKUP(B58,Percentage_distribution_of_journey_distance_for_all_regions[#All],MATCH(A58,Percentage_distribution_of_journey_distance_for_all_regions[#Headers],0),0)/100</f>
        <v>0.22</v>
      </c>
      <c r="E58" s="71">
        <f>IF(B58="&lt;2 kilometres",1,0)*VLOOKUP(C58, Percentage_dist_journeys_by_purpose_and_distance_to_2km[#All],MATCH(A58, Percentage_dist_journeys_by_purpose_and_distance_to_2km[#Headers],0),0)/100</f>
        <v>0.09</v>
      </c>
      <c r="F58" s="4">
        <f>IF(B58="2-4 kilometres",1,0)*VLOOKUP(C58, Percentage_dist_journeys_by_purpose_and_distance_2_to_4km[#All],MATCH(A58, Percentage_dist_journeys_by_purpose_and_distance_2_to_4km[#Headers],0),0)/100</f>
        <v>0</v>
      </c>
      <c r="G58" s="72">
        <f>IF(B58="4-6 kilometres",1,0)*VLOOKUP(C58, Percentage_dist_journeys_by_purpose_and_distance_4_to_6km[#All],MATCH(A58, Percentage_dist_journeys_by_purpose_and_distance_4_to_6km[#Headers],0),0)/100</f>
        <v>0</v>
      </c>
      <c r="H58" s="4">
        <f>IF(B58="6-8 kilometres",1,0)*VLOOKUP(C58, Percentage_dist_journeys_by_purpose_and_distance_6_to_8km[#All],MATCH(A58, Percentage_dist_journeys_by_purpose_and_distance_6_to_8km[#Headers],0),0)/100</f>
        <v>0</v>
      </c>
      <c r="I58" s="72">
        <f>IF(B58="8+ kilometres",1,0)*VLOOKUP(C58, Percentage_dist_journeys_by_purpose_and_distance_8km[#All],MATCH(A58, Percentage_dist_journeys_by_purpose_and_distance_8km[#Headers],0),0)/100</f>
        <v>0</v>
      </c>
      <c r="J58" s="73">
        <f>VLOOKUP(B58,Average_Distance_by_kilometres_grouping_for_trip_purpose[#All],MATCH(A58,Average_Distance_by_kilometres_grouping_for_trip_purpose[#Headers],0),0)</f>
        <v>1</v>
      </c>
      <c r="K58" s="77">
        <f>VLOOKUP(C58, Adjustment_factor_for_distance_based_on_trip_purpose[#All],MATCH(A58, Adjustment_factor_for_distance_based_on_trip_purpose[#Headers],0),0)</f>
        <v>0.77777777777777779</v>
      </c>
      <c r="L58" s="78" t="e">
        <f>VLOOKUP($L$2, Total_Journeys_Per_Year[#All],MATCH(A58, Total_Journeys_Per_Year[#Headers],0),0)</f>
        <v>#N/A</v>
      </c>
      <c r="M58" s="35" t="e">
        <f t="shared" si="0"/>
        <v>#N/A</v>
      </c>
      <c r="N58" s="35" t="e">
        <f>VLOOKUP($N$2, Private_Vehicle_Kilometres_Car_Stock[#All],MATCH(A58, Private_Vehicle_Kilometres_Car_Stock[#Headers],0),0)</f>
        <v>#N/A</v>
      </c>
    </row>
    <row r="59" spans="1:14" x14ac:dyDescent="0.25">
      <c r="A59" s="79" t="s">
        <v>128</v>
      </c>
      <c r="B59" s="13" t="s">
        <v>181</v>
      </c>
      <c r="C59" s="13" t="s">
        <v>50</v>
      </c>
      <c r="D59" s="5">
        <f>VLOOKUP(B59,Percentage_distribution_of_journey_distance_for_all_regions[#All],MATCH(A59,Percentage_distribution_of_journey_distance_for_all_regions[#Headers],0),0)/100</f>
        <v>0.19</v>
      </c>
      <c r="E59" s="71">
        <f>IF(B59="&lt;2 kilometres",1,0)*VLOOKUP(C59, Percentage_dist_journeys_by_purpose_and_distance_to_2km[#All],MATCH(A59, Percentage_dist_journeys_by_purpose_and_distance_to_2km[#Headers],0),0)/100</f>
        <v>0</v>
      </c>
      <c r="F59" s="4">
        <f>IF(B59="2-4 kilometres",1,0)*VLOOKUP(C59, Percentage_dist_journeys_by_purpose_and_distance_2_to_4km[#All],MATCH(A59, Percentage_dist_journeys_by_purpose_and_distance_2_to_4km[#Headers],0),0)/100</f>
        <v>0.08</v>
      </c>
      <c r="G59" s="72">
        <f>IF(B59="4-6 kilometres",1,0)*VLOOKUP(C59, Percentage_dist_journeys_by_purpose_and_distance_4_to_6km[#All],MATCH(A59, Percentage_dist_journeys_by_purpose_and_distance_4_to_6km[#Headers],0),0)/100</f>
        <v>0</v>
      </c>
      <c r="H59" s="4">
        <f>IF(B59="6-8 kilometres",1,0)*VLOOKUP(C59, Percentage_dist_journeys_by_purpose_and_distance_6_to_8km[#All],MATCH(A59, Percentage_dist_journeys_by_purpose_and_distance_6_to_8km[#Headers],0),0)/100</f>
        <v>0</v>
      </c>
      <c r="I59" s="72">
        <f>IF(B59="8+ kilometres",1,0)*VLOOKUP(C59, Percentage_dist_journeys_by_purpose_and_distance_8km[#All],MATCH(A59, Percentage_dist_journeys_by_purpose_and_distance_8km[#Headers],0),0)/100</f>
        <v>0</v>
      </c>
      <c r="J59" s="73">
        <f>VLOOKUP(B59,Average_Distance_by_kilometres_grouping_for_trip_purpose[#All],MATCH(A59,Average_Distance_by_kilometres_grouping_for_trip_purpose[#Headers],0),0)</f>
        <v>3</v>
      </c>
      <c r="K59" s="77">
        <f>VLOOKUP(C59, Adjustment_factor_for_distance_based_on_trip_purpose[#All],MATCH(A59, Adjustment_factor_for_distance_based_on_trip_purpose[#Headers],0),0)</f>
        <v>0.77777777777777779</v>
      </c>
      <c r="L59" s="78" t="e">
        <f>VLOOKUP($L$2, Total_Journeys_Per_Year[#All],MATCH(A59, Total_Journeys_Per_Year[#Headers],0),0)</f>
        <v>#N/A</v>
      </c>
      <c r="M59" s="35" t="e">
        <f t="shared" si="0"/>
        <v>#N/A</v>
      </c>
      <c r="N59" s="35" t="e">
        <f>VLOOKUP($N$2, Private_Vehicle_Kilometres_Car_Stock[#All],MATCH(A59, Private_Vehicle_Kilometres_Car_Stock[#Headers],0),0)</f>
        <v>#N/A</v>
      </c>
    </row>
    <row r="60" spans="1:14" x14ac:dyDescent="0.25">
      <c r="A60" s="79" t="s">
        <v>128</v>
      </c>
      <c r="B60" s="13" t="s">
        <v>180</v>
      </c>
      <c r="C60" s="13" t="s">
        <v>50</v>
      </c>
      <c r="D60" s="5">
        <f>VLOOKUP(B60,Percentage_distribution_of_journey_distance_for_all_regions[#All],MATCH(A60,Percentage_distribution_of_journey_distance_for_all_regions[#Headers],0),0)/100</f>
        <v>0.11</v>
      </c>
      <c r="E60" s="71">
        <f>IF(B60="&lt;2 kilometres",1,0)*VLOOKUP(C60, Percentage_dist_journeys_by_purpose_and_distance_to_2km[#All],MATCH(A60, Percentage_dist_journeys_by_purpose_and_distance_to_2km[#Headers],0),0)/100</f>
        <v>0</v>
      </c>
      <c r="F60" s="4">
        <f>IF(B60="2-4 kilometres",1,0)*VLOOKUP(C60, Percentage_dist_journeys_by_purpose_and_distance_2_to_4km[#All],MATCH(A60, Percentage_dist_journeys_by_purpose_and_distance_2_to_4km[#Headers],0),0)/100</f>
        <v>0</v>
      </c>
      <c r="G60" s="72">
        <f>IF(B60="4-6 kilometres",1,0)*VLOOKUP(C60, Percentage_dist_journeys_by_purpose_and_distance_4_to_6km[#All],MATCH(A60, Percentage_dist_journeys_by_purpose_and_distance_4_to_6km[#Headers],0),0)/100</f>
        <v>0.12</v>
      </c>
      <c r="H60" s="4">
        <f>IF(B60="6-8 kilometres",1,0)*VLOOKUP(C60, Percentage_dist_journeys_by_purpose_and_distance_6_to_8km[#All],MATCH(A60, Percentage_dist_journeys_by_purpose_and_distance_6_to_8km[#Headers],0),0)/100</f>
        <v>0</v>
      </c>
      <c r="I60" s="72">
        <f>IF(B60="8+ kilometres",1,0)*VLOOKUP(C60, Percentage_dist_journeys_by_purpose_and_distance_8km[#All],MATCH(A60, Percentage_dist_journeys_by_purpose_and_distance_8km[#Headers],0),0)/100</f>
        <v>0</v>
      </c>
      <c r="J60" s="73">
        <f>VLOOKUP(B60,Average_Distance_by_kilometres_grouping_for_trip_purpose[#All],MATCH(A60,Average_Distance_by_kilometres_grouping_for_trip_purpose[#Headers],0),0)</f>
        <v>5</v>
      </c>
      <c r="K60" s="77">
        <f>VLOOKUP(C60, Adjustment_factor_for_distance_based_on_trip_purpose[#All],MATCH(A60, Adjustment_factor_for_distance_based_on_trip_purpose[#Headers],0),0)</f>
        <v>0.77777777777777779</v>
      </c>
      <c r="L60" s="78" t="e">
        <f>VLOOKUP($L$2, Total_Journeys_Per_Year[#All],MATCH(A60, Total_Journeys_Per_Year[#Headers],0),0)</f>
        <v>#N/A</v>
      </c>
      <c r="M60" s="35" t="e">
        <f t="shared" si="0"/>
        <v>#N/A</v>
      </c>
      <c r="N60" s="35" t="e">
        <f>VLOOKUP($N$2, Private_Vehicle_Kilometres_Car_Stock[#All],MATCH(A60, Private_Vehicle_Kilometres_Car_Stock[#Headers],0),0)</f>
        <v>#N/A</v>
      </c>
    </row>
    <row r="61" spans="1:14" x14ac:dyDescent="0.25">
      <c r="A61" s="79" t="s">
        <v>128</v>
      </c>
      <c r="B61" s="13" t="s">
        <v>182</v>
      </c>
      <c r="C61" s="13" t="s">
        <v>50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Percentage_dist_journeys_by_purpose_and_distance_to_2km[#All],MATCH(A61, Percentage_dist_journeys_by_purpose_and_distance_to_2km[#Headers],0),0)/100</f>
        <v>0</v>
      </c>
      <c r="F61" s="4">
        <f>IF(B61="2-4 kilometres",1,0)*VLOOKUP(C61, Percentage_dist_journeys_by_purpose_and_distance_2_to_4km[#All],MATCH(A61, Percentage_dist_journeys_by_purpose_and_distance_2_to_4km[#Headers],0),0)/100</f>
        <v>0</v>
      </c>
      <c r="G61" s="72">
        <f>IF(B61="4-6 kilometres",1,0)*VLOOKUP(C61, Percentage_dist_journeys_by_purpose_and_distance_4_to_6km[#All],MATCH(A61, Percentage_dist_journeys_by_purpose_and_distance_4_to_6km[#Headers],0),0)/100</f>
        <v>0</v>
      </c>
      <c r="H61" s="4">
        <f>IF(B61="6-8 kilometres",1,0)*VLOOKUP(C61, Percentage_dist_journeys_by_purpose_and_distance_6_to_8km[#All],MATCH(A61, Percentage_dist_journeys_by_purpose_and_distance_6_to_8km[#Headers],0),0)/100</f>
        <v>0.08</v>
      </c>
      <c r="I61" s="72">
        <f>IF(B61="8+ kilometres",1,0)*VLOOKUP(C61, Percentage_dist_journeys_by_purpose_and_distance_8km[#All],MATCH(A61, Percentage_dist_journeys_by_purpose_and_distance_8km[#Headers],0),0)/100</f>
        <v>0</v>
      </c>
      <c r="J61" s="73">
        <f>VLOOKUP(B61,Average_Distance_by_kilometres_grouping_for_trip_purpose[#All],MATCH(A61,Average_Distance_by_kilometres_grouping_for_trip_purpose[#Headers],0),0)</f>
        <v>7</v>
      </c>
      <c r="K61" s="77">
        <f>VLOOKUP(C61, Adjustment_factor_for_distance_based_on_trip_purpose[#All],MATCH(A61, Adjustment_factor_for_distance_based_on_trip_purpose[#Headers],0),0)</f>
        <v>0.77777777777777779</v>
      </c>
      <c r="L61" s="78" t="e">
        <f>VLOOKUP($L$2, Total_Journeys_Per_Year[#All],MATCH(A61, Total_Journeys_Per_Year[#Headers],0),0)</f>
        <v>#N/A</v>
      </c>
      <c r="M61" s="35" t="e">
        <f t="shared" si="0"/>
        <v>#N/A</v>
      </c>
      <c r="N61" s="35" t="e">
        <f>VLOOKUP($N$2, Private_Vehicle_Kilometres_Car_Stock[#All],MATCH(A61, Private_Vehicle_Kilometres_Car_Stock[#Headers],0),0)</f>
        <v>#N/A</v>
      </c>
    </row>
    <row r="62" spans="1:14" x14ac:dyDescent="0.25">
      <c r="A62" s="79" t="s">
        <v>128</v>
      </c>
      <c r="B62" s="13" t="s">
        <v>1</v>
      </c>
      <c r="C62" s="13" t="s">
        <v>50</v>
      </c>
      <c r="D62" s="5">
        <f>VLOOKUP(B62,Percentage_distribution_of_journey_distance_for_all_regions[#All],MATCH(A62,Percentage_distribution_of_journey_distance_for_all_regions[#Headers],0),0)/100</f>
        <v>0.41</v>
      </c>
      <c r="E62" s="71">
        <f>IF(B62="&lt;2 kilometres",1,0)*VLOOKUP(C62, Percentage_dist_journeys_by_purpose_and_distance_to_2km[#All],MATCH(A62, Percentage_dist_journeys_by_purpose_and_distance_to_2km[#Headers],0),0)/100</f>
        <v>0</v>
      </c>
      <c r="F62" s="4">
        <f>IF(B62="2-4 kilometres",1,0)*VLOOKUP(C62, Percentage_dist_journeys_by_purpose_and_distance_2_to_4km[#All],MATCH(A62, Percentage_dist_journeys_by_purpose_and_distance_2_to_4km[#Headers],0),0)/100</f>
        <v>0</v>
      </c>
      <c r="G62" s="72">
        <f>IF(B62="4-6 kilometres",1,0)*VLOOKUP(C62, Percentage_dist_journeys_by_purpose_and_distance_4_to_6km[#All],MATCH(A62, Percentage_dist_journeys_by_purpose_and_distance_4_to_6km[#Headers],0),0)/100</f>
        <v>0</v>
      </c>
      <c r="H62" s="4">
        <f>IF(B62="6-8 kilometres",1,0)*VLOOKUP(C62, Percentage_dist_journeys_by_purpose_and_distance_6_to_8km[#All],MATCH(A62, Percentage_dist_journeys_by_purpose_and_distance_6_to_8km[#Headers],0),0)/100</f>
        <v>0</v>
      </c>
      <c r="I62" s="72">
        <f>IF(B62="8+ kilometres",1,0)*VLOOKUP(C62, Percentage_dist_journeys_by_purpose_and_distance_8km[#All],MATCH(A62, Percentage_dist_journeys_by_purpose_and_distance_8km[#Headers],0),0)/100</f>
        <v>0.09</v>
      </c>
      <c r="J62" s="73">
        <f>VLOOKUP(B62,Average_Distance_by_kilometres_grouping_for_trip_purpose[#All],MATCH(A62,Average_Distance_by_kilometres_grouping_for_trip_purpose[#Headers],0),0)</f>
        <v>32.770000000000003</v>
      </c>
      <c r="K62" s="77">
        <f>VLOOKUP(C62, Adjustment_factor_for_distance_based_on_trip_purpose[#All],MATCH(A62, Adjustment_factor_for_distance_based_on_trip_purpose[#Headers],0),0)</f>
        <v>0.77777777777777779</v>
      </c>
      <c r="L62" s="78" t="e">
        <f>VLOOKUP($L$2, Total_Journeys_Per_Year[#All],MATCH(A62, Total_Journeys_Per_Year[#Headers],0),0)</f>
        <v>#N/A</v>
      </c>
      <c r="M62" s="35" t="e">
        <f t="shared" si="0"/>
        <v>#N/A</v>
      </c>
      <c r="N62" s="35" t="e">
        <f>VLOOKUP($N$2, Private_Vehicle_Kilometres_Car_Stock[#All],MATCH(A62, Private_Vehicle_Kilometres_Car_Stock[#Headers],0),0)</f>
        <v>#N/A</v>
      </c>
    </row>
    <row r="63" spans="1:14" x14ac:dyDescent="0.25">
      <c r="A63" s="79" t="s">
        <v>32</v>
      </c>
      <c r="B63" s="13" t="s">
        <v>12</v>
      </c>
      <c r="C63" s="13" t="s">
        <v>42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Percentage_dist_journeys_by_purpose_and_distance_to_2km[#All],MATCH(A63, Percentage_dist_journeys_by_purpose_and_distance_to_2km[#Headers],0),0)/100</f>
        <v>0.13600000000000001</v>
      </c>
      <c r="F63" s="4">
        <f>IF(B63="2-4 kilometres",1,0)*VLOOKUP(C63, Percentage_dist_journeys_by_purpose_and_distance_2_to_4km[#All],MATCH(A63, Percentage_dist_journeys_by_purpose_and_distance_2_to_4km[#Headers],0),0)/100</f>
        <v>0</v>
      </c>
      <c r="G63" s="72">
        <f>IF(B63="4-6 kilometres",1,0)*VLOOKUP(C63, Percentage_dist_journeys_by_purpose_and_distance_4_to_6km[#All],MATCH(A63, Percentage_dist_journeys_by_purpose_and_distance_4_to_6km[#Headers],0),0)/100</f>
        <v>0</v>
      </c>
      <c r="H63" s="4">
        <f>IF(B63="6-8 kilometres",1,0)*VLOOKUP(C63, Percentage_dist_journeys_by_purpose_and_distance_6_to_8km[#All],MATCH(A63, Percentage_dist_journeys_by_purpose_and_distance_6_to_8km[#Headers],0),0)/100</f>
        <v>0</v>
      </c>
      <c r="I63" s="72">
        <f>IF(B63="8+ kilometres",1,0)*VLOOKUP(C63, Percentage_dist_journeys_by_purpose_and_distance_8km[#All],MATCH(A63, Percentage_dist_journeys_by_purpose_and_distance_8km[#Headers],0),0)/100</f>
        <v>0</v>
      </c>
      <c r="J63" s="73">
        <f>VLOOKUP(B63,Average_Distance_by_kilometres_grouping_for_trip_purpose[#All],MATCH(A63,Average_Distance_by_kilometres_grouping_for_trip_purpose[#Headers],0),0)</f>
        <v>1</v>
      </c>
      <c r="K63" s="77">
        <f>VLOOKUP(C63, Adjustment_factor_for_distance_based_on_trip_purpose[#All],MATCH(A63, Adjustment_factor_for_distance_based_on_trip_purpose[#Headers],0),0)</f>
        <v>1</v>
      </c>
      <c r="L63" s="78" t="e">
        <f>VLOOKUP($L$2, Total_Journeys_Per_Year[#All],MATCH(A63, Total_Journeys_Per_Year[#Headers],0),0)</f>
        <v>#N/A</v>
      </c>
      <c r="M63" s="35" t="e">
        <f t="shared" si="0"/>
        <v>#N/A</v>
      </c>
      <c r="N63" s="35" t="e">
        <f>VLOOKUP($N$2, Private_Vehicle_Kilometres_Car_Stock[#All],MATCH(A63, Private_Vehicle_Kilometres_Car_Stock[#Headers],0),0)</f>
        <v>#N/A</v>
      </c>
    </row>
    <row r="64" spans="1:14" x14ac:dyDescent="0.25">
      <c r="A64" s="79" t="s">
        <v>32</v>
      </c>
      <c r="B64" s="13" t="s">
        <v>181</v>
      </c>
      <c r="C64" s="13" t="s">
        <v>42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Percentage_dist_journeys_by_purpose_and_distance_to_2km[#All],MATCH(A64, Percentage_dist_journeys_by_purpose_and_distance_to_2km[#Headers],0),0)/100</f>
        <v>0</v>
      </c>
      <c r="F64" s="4">
        <f>IF(B64="2-4 kilometres",1,0)*VLOOKUP(C64, Percentage_dist_journeys_by_purpose_and_distance_2_to_4km[#All],MATCH(A64, Percentage_dist_journeys_by_purpose_and_distance_2_to_4km[#Headers],0),0)/100</f>
        <v>0.16800000000000001</v>
      </c>
      <c r="G64" s="72">
        <f>IF(B64="4-6 kilometres",1,0)*VLOOKUP(C64, Percentage_dist_journeys_by_purpose_and_distance_4_to_6km[#All],MATCH(A64, Percentage_dist_journeys_by_purpose_and_distance_4_to_6km[#Headers],0),0)/100</f>
        <v>0</v>
      </c>
      <c r="H64" s="4">
        <f>IF(B64="6-8 kilometres",1,0)*VLOOKUP(C64, Percentage_dist_journeys_by_purpose_and_distance_6_to_8km[#All],MATCH(A64, Percentage_dist_journeys_by_purpose_and_distance_6_to_8km[#Headers],0),0)/100</f>
        <v>0</v>
      </c>
      <c r="I64" s="72">
        <f>IF(B64="8+ kilometres",1,0)*VLOOKUP(C64, Percentage_dist_journeys_by_purpose_and_distance_8km[#All],MATCH(A64, Percentage_dist_journeys_by_purpose_and_distance_8km[#Headers],0),0)/100</f>
        <v>0</v>
      </c>
      <c r="J64" s="73">
        <f>VLOOKUP(B64,Average_Distance_by_kilometres_grouping_for_trip_purpose[#All],MATCH(A64,Average_Distance_by_kilometres_grouping_for_trip_purpose[#Headers],0),0)</f>
        <v>3</v>
      </c>
      <c r="K64" s="77">
        <f>VLOOKUP(C64, Adjustment_factor_for_distance_based_on_trip_purpose[#All],MATCH(A64, Adjustment_factor_for_distance_based_on_trip_purpose[#Headers],0),0)</f>
        <v>1</v>
      </c>
      <c r="L64" s="78" t="e">
        <f>VLOOKUP($L$2, Total_Journeys_Per_Year[#All],MATCH(A64, Total_Journeys_Per_Year[#Headers],0),0)</f>
        <v>#N/A</v>
      </c>
      <c r="M64" s="35" t="e">
        <f t="shared" si="0"/>
        <v>#N/A</v>
      </c>
      <c r="N64" s="35" t="e">
        <f>VLOOKUP($N$2, Private_Vehicle_Kilometres_Car_Stock[#All],MATCH(A64, Private_Vehicle_Kilometres_Car_Stock[#Headers],0),0)</f>
        <v>#N/A</v>
      </c>
    </row>
    <row r="65" spans="1:14" x14ac:dyDescent="0.25">
      <c r="A65" s="79" t="s">
        <v>32</v>
      </c>
      <c r="B65" s="13" t="s">
        <v>180</v>
      </c>
      <c r="C65" s="13" t="s">
        <v>42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Percentage_dist_journeys_by_purpose_and_distance_to_2km[#All],MATCH(A65, Percentage_dist_journeys_by_purpose_and_distance_to_2km[#Headers],0),0)/100</f>
        <v>0</v>
      </c>
      <c r="F65" s="4">
        <f>IF(B65="2-4 kilometres",1,0)*VLOOKUP(C65, Percentage_dist_journeys_by_purpose_and_distance_2_to_4km[#All],MATCH(A65, Percentage_dist_journeys_by_purpose_and_distance_2_to_4km[#Headers],0),0)/100</f>
        <v>0</v>
      </c>
      <c r="G65" s="72">
        <f>IF(B65="4-6 kilometres",1,0)*VLOOKUP(C65, Percentage_dist_journeys_by_purpose_and_distance_4_to_6km[#All],MATCH(A65, Percentage_dist_journeys_by_purpose_and_distance_4_to_6km[#Headers],0),0)/100</f>
        <v>0.18899999999999997</v>
      </c>
      <c r="H65" s="4">
        <f>IF(B65="6-8 kilometres",1,0)*VLOOKUP(C65, Percentage_dist_journeys_by_purpose_and_distance_6_to_8km[#All],MATCH(A65, Percentage_dist_journeys_by_purpose_and_distance_6_to_8km[#Headers],0),0)/100</f>
        <v>0</v>
      </c>
      <c r="I65" s="72">
        <f>IF(B65="8+ kilometres",1,0)*VLOOKUP(C65, Percentage_dist_journeys_by_purpose_and_distance_8km[#All],MATCH(A65, Percentage_dist_journeys_by_purpose_and_distance_8km[#Headers],0),0)/100</f>
        <v>0</v>
      </c>
      <c r="J65" s="73">
        <f>VLOOKUP(B65,Average_Distance_by_kilometres_grouping_for_trip_purpose[#All],MATCH(A65,Average_Distance_by_kilometres_grouping_for_trip_purpose[#Headers],0),0)</f>
        <v>5</v>
      </c>
      <c r="K65" s="77">
        <f>VLOOKUP(C65, Adjustment_factor_for_distance_based_on_trip_purpose[#All],MATCH(A65, Adjustment_factor_for_distance_based_on_trip_purpose[#Headers],0),0)</f>
        <v>1</v>
      </c>
      <c r="L65" s="78" t="e">
        <f>VLOOKUP($L$2, Total_Journeys_Per_Year[#All],MATCH(A65, Total_Journeys_Per_Year[#Headers],0),0)</f>
        <v>#N/A</v>
      </c>
      <c r="M65" s="35" t="e">
        <f t="shared" si="0"/>
        <v>#N/A</v>
      </c>
      <c r="N65" s="35" t="e">
        <f>VLOOKUP($N$2, Private_Vehicle_Kilometres_Car_Stock[#All],MATCH(A65, Private_Vehicle_Kilometres_Car_Stock[#Headers],0),0)</f>
        <v>#N/A</v>
      </c>
    </row>
    <row r="66" spans="1:14" x14ac:dyDescent="0.25">
      <c r="A66" s="79" t="s">
        <v>32</v>
      </c>
      <c r="B66" s="13" t="s">
        <v>182</v>
      </c>
      <c r="C66" s="13" t="s">
        <v>42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Percentage_dist_journeys_by_purpose_and_distance_to_2km[#All],MATCH(A66, Percentage_dist_journeys_by_purpose_and_distance_to_2km[#Headers],0),0)/100</f>
        <v>0</v>
      </c>
      <c r="F66" s="4">
        <f>IF(B66="2-4 kilometres",1,0)*VLOOKUP(C66, Percentage_dist_journeys_by_purpose_and_distance_2_to_4km[#All],MATCH(A66, Percentage_dist_journeys_by_purpose_and_distance_2_to_4km[#Headers],0),0)/100</f>
        <v>0</v>
      </c>
      <c r="G66" s="72">
        <f>IF(B66="4-6 kilometres",1,0)*VLOOKUP(C66, Percentage_dist_journeys_by_purpose_and_distance_4_to_6km[#All],MATCH(A66, Percentage_dist_journeys_by_purpose_and_distance_4_to_6km[#Headers],0),0)/100</f>
        <v>0</v>
      </c>
      <c r="H66" s="4">
        <f>IF(B66="6-8 kilometres",1,0)*VLOOKUP(C66, Percentage_dist_journeys_by_purpose_and_distance_6_to_8km[#All],MATCH(A66, Percentage_dist_journeys_by_purpose_and_distance_6_to_8km[#Headers],0),0)/100</f>
        <v>0.245</v>
      </c>
      <c r="I66" s="72">
        <f>IF(B66="8+ kilometres",1,0)*VLOOKUP(C66, Percentage_dist_journeys_by_purpose_and_distance_8km[#All],MATCH(A66, Percentage_dist_journeys_by_purpose_and_distance_8km[#Headers],0),0)/100</f>
        <v>0</v>
      </c>
      <c r="J66" s="73">
        <f>VLOOKUP(B66,Average_Distance_by_kilometres_grouping_for_trip_purpose[#All],MATCH(A66,Average_Distance_by_kilometres_grouping_for_trip_purpose[#Headers],0),0)</f>
        <v>7</v>
      </c>
      <c r="K66" s="77">
        <f>VLOOKUP(C66, Adjustment_factor_for_distance_based_on_trip_purpose[#All],MATCH(A66, Adjustment_factor_for_distance_based_on_trip_purpose[#Headers],0),0)</f>
        <v>1</v>
      </c>
      <c r="L66" s="78" t="e">
        <f>VLOOKUP($L$2, Total_Journeys_Per_Year[#All],MATCH(A66, Total_Journeys_Per_Year[#Headers],0),0)</f>
        <v>#N/A</v>
      </c>
      <c r="M66" s="35" t="e">
        <f t="shared" si="0"/>
        <v>#N/A</v>
      </c>
      <c r="N66" s="35" t="e">
        <f>VLOOKUP($N$2, Private_Vehicle_Kilometres_Car_Stock[#All],MATCH(A66, Private_Vehicle_Kilometres_Car_Stock[#Headers],0),0)</f>
        <v>#N/A</v>
      </c>
    </row>
    <row r="67" spans="1:14" x14ac:dyDescent="0.25">
      <c r="A67" s="79" t="s">
        <v>32</v>
      </c>
      <c r="B67" s="13" t="s">
        <v>1</v>
      </c>
      <c r="C67" s="13" t="s">
        <v>42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Percentage_dist_journeys_by_purpose_and_distance_to_2km[#All],MATCH(A67, Percentage_dist_journeys_by_purpose_and_distance_to_2km[#Headers],0),0)/100</f>
        <v>0</v>
      </c>
      <c r="F67" s="4">
        <f>IF(B67="2-4 kilometres",1,0)*VLOOKUP(C67, Percentage_dist_journeys_by_purpose_and_distance_2_to_4km[#All],MATCH(A67, Percentage_dist_journeys_by_purpose_and_distance_2_to_4km[#Headers],0),0)/100</f>
        <v>0</v>
      </c>
      <c r="G67" s="72">
        <f>IF(B67="4-6 kilometres",1,0)*VLOOKUP(C67, Percentage_dist_journeys_by_purpose_and_distance_4_to_6km[#All],MATCH(A67, Percentage_dist_journeys_by_purpose_and_distance_4_to_6km[#Headers],0),0)/100</f>
        <v>0</v>
      </c>
      <c r="H67" s="4">
        <f>IF(B67="6-8 kilometres",1,0)*VLOOKUP(C67, Percentage_dist_journeys_by_purpose_and_distance_6_to_8km[#All],MATCH(A67, Percentage_dist_journeys_by_purpose_and_distance_6_to_8km[#Headers],0),0)/100</f>
        <v>0</v>
      </c>
      <c r="I67" s="72">
        <f>IF(B67="8+ kilometres",1,0)*VLOOKUP(C67, Percentage_dist_journeys_by_purpose_and_distance_8km[#All],MATCH(A67, Percentage_dist_journeys_by_purpose_and_distance_8km[#Headers],0),0)/100</f>
        <v>0.32</v>
      </c>
      <c r="J67" s="73">
        <f>VLOOKUP(B67,Average_Distance_by_kilometres_grouping_for_trip_purpose[#All],MATCH(A67,Average_Distance_by_kilometres_grouping_for_trip_purpose[#Headers],0),0)</f>
        <v>34.770000000000003</v>
      </c>
      <c r="K67" s="77">
        <f>VLOOKUP(C67, Adjustment_factor_for_distance_based_on_trip_purpose[#All],MATCH(A67, Adjustment_factor_for_distance_based_on_trip_purpose[#Headers],0),0)</f>
        <v>1</v>
      </c>
      <c r="L67" s="78" t="e">
        <f>VLOOKUP($L$2, Total_Journeys_Per_Year[#All],MATCH(A67, Total_Journeys_Per_Year[#Headers],0),0)</f>
        <v>#N/A</v>
      </c>
      <c r="M67" s="35" t="e">
        <f t="shared" si="0"/>
        <v>#N/A</v>
      </c>
      <c r="N67" s="35" t="e">
        <f>VLOOKUP($N$2, Private_Vehicle_Kilometres_Car_Stock[#All],MATCH(A67, Private_Vehicle_Kilometres_Car_Stock[#Headers],0),0)</f>
        <v>#N/A</v>
      </c>
    </row>
    <row r="68" spans="1:14" x14ac:dyDescent="0.25">
      <c r="A68" s="79" t="s">
        <v>32</v>
      </c>
      <c r="B68" s="13" t="s">
        <v>12</v>
      </c>
      <c r="C68" s="13" t="s">
        <v>43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Percentage_dist_journeys_by_purpose_and_distance_to_2km[#All],MATCH(A68, Percentage_dist_journeys_by_purpose_and_distance_to_2km[#Headers],0),0)/100</f>
        <v>7.0999999999999994E-2</v>
      </c>
      <c r="F68" s="4">
        <f>IF(B68="2-4 kilometres",1,0)*VLOOKUP(C68, Percentage_dist_journeys_by_purpose_and_distance_2_to_4km[#All],MATCH(A68, Percentage_dist_journeys_by_purpose_and_distance_2_to_4km[#Headers],0),0)/100</f>
        <v>0</v>
      </c>
      <c r="G68" s="72">
        <f>IF(B68="4-6 kilometres",1,0)*VLOOKUP(C68, Percentage_dist_journeys_by_purpose_and_distance_4_to_6km[#All],MATCH(A68, Percentage_dist_journeys_by_purpose_and_distance_4_to_6km[#Headers],0),0)/100</f>
        <v>0</v>
      </c>
      <c r="H68" s="4">
        <f>IF(B68="6-8 kilometres",1,0)*VLOOKUP(C68, Percentage_dist_journeys_by_purpose_and_distance_6_to_8km[#All],MATCH(A68, Percentage_dist_journeys_by_purpose_and_distance_6_to_8km[#Headers],0),0)/100</f>
        <v>0</v>
      </c>
      <c r="I68" s="72">
        <f>IF(B68="8+ kilometres",1,0)*VLOOKUP(C68, Percentage_dist_journeys_by_purpose_and_distance_8km[#All],MATCH(A68, Percentage_dist_journeys_by_purpose_and_distance_8km[#Headers],0),0)/100</f>
        <v>0</v>
      </c>
      <c r="J68" s="73">
        <f>VLOOKUP(B68,Average_Distance_by_kilometres_grouping_for_trip_purpose[#All],MATCH(A68,Average_Distance_by_kilometres_grouping_for_trip_purpose[#Headers],0),0)</f>
        <v>1</v>
      </c>
      <c r="K68" s="77">
        <f>VLOOKUP(C68, Adjustment_factor_for_distance_based_on_trip_purpose[#All],MATCH(A68, Adjustment_factor_for_distance_based_on_trip_purpose[#Headers],0),0)</f>
        <v>0.88888888888888884</v>
      </c>
      <c r="L68" s="78" t="e">
        <f>VLOOKUP($L$2, Total_Journeys_Per_Year[#All],MATCH(A68, Total_Journeys_Per_Year[#Headers],0),0)</f>
        <v>#N/A</v>
      </c>
      <c r="M68" s="35" t="e">
        <f t="shared" si="0"/>
        <v>#N/A</v>
      </c>
      <c r="N68" s="35" t="e">
        <f>VLOOKUP($N$2, Private_Vehicle_Kilometres_Car_Stock[#All],MATCH(A68, Private_Vehicle_Kilometres_Car_Stock[#Headers],0),0)</f>
        <v>#N/A</v>
      </c>
    </row>
    <row r="69" spans="1:14" x14ac:dyDescent="0.25">
      <c r="A69" s="79" t="s">
        <v>32</v>
      </c>
      <c r="B69" s="13" t="s">
        <v>181</v>
      </c>
      <c r="C69" s="13" t="s">
        <v>43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Percentage_dist_journeys_by_purpose_and_distance_to_2km[#All],MATCH(A69, Percentage_dist_journeys_by_purpose_and_distance_to_2km[#Headers],0),0)/100</f>
        <v>0</v>
      </c>
      <c r="F69" s="4">
        <f>IF(B69="2-4 kilometres",1,0)*VLOOKUP(C69, Percentage_dist_journeys_by_purpose_and_distance_2_to_4km[#All],MATCH(A69, Percentage_dist_journeys_by_purpose_and_distance_2_to_4km[#Headers],0),0)/100</f>
        <v>4.4000000000000004E-2</v>
      </c>
      <c r="G69" s="72">
        <f>IF(B69="4-6 kilometres",1,0)*VLOOKUP(C69, Percentage_dist_journeys_by_purpose_and_distance_4_to_6km[#All],MATCH(A69, Percentage_dist_journeys_by_purpose_and_distance_4_to_6km[#Headers],0),0)/100</f>
        <v>0</v>
      </c>
      <c r="H69" s="4">
        <f>IF(B69="6-8 kilometres",1,0)*VLOOKUP(C69, Percentage_dist_journeys_by_purpose_and_distance_6_to_8km[#All],MATCH(A69, Percentage_dist_journeys_by_purpose_and_distance_6_to_8km[#Headers],0),0)/100</f>
        <v>0</v>
      </c>
      <c r="I69" s="72">
        <f>IF(B69="8+ kilometres",1,0)*VLOOKUP(C69, Percentage_dist_journeys_by_purpose_and_distance_8km[#All],MATCH(A69, Percentage_dist_journeys_by_purpose_and_distance_8km[#Headers],0),0)/100</f>
        <v>0</v>
      </c>
      <c r="J69" s="73">
        <f>VLOOKUP(B69,Average_Distance_by_kilometres_grouping_for_trip_purpose[#All],MATCH(A69,Average_Distance_by_kilometres_grouping_for_trip_purpose[#Headers],0),0)</f>
        <v>3</v>
      </c>
      <c r="K69" s="77">
        <f>VLOOKUP(C69, Adjustment_factor_for_distance_based_on_trip_purpose[#All],MATCH(A69, Adjustment_factor_for_distance_based_on_trip_purpose[#Headers],0),0)</f>
        <v>0.88888888888888884</v>
      </c>
      <c r="L69" s="78" t="e">
        <f>VLOOKUP($L$2, Total_Journeys_Per_Year[#All],MATCH(A69, Total_Journeys_Per_Year[#Headers],0),0)</f>
        <v>#N/A</v>
      </c>
      <c r="M69" s="35" t="e">
        <f t="shared" si="0"/>
        <v>#N/A</v>
      </c>
      <c r="N69" s="35" t="e">
        <f>VLOOKUP($N$2, Private_Vehicle_Kilometres_Car_Stock[#All],MATCH(A69, Private_Vehicle_Kilometres_Car_Stock[#Headers],0),0)</f>
        <v>#N/A</v>
      </c>
    </row>
    <row r="70" spans="1:14" x14ac:dyDescent="0.25">
      <c r="A70" s="79" t="s">
        <v>32</v>
      </c>
      <c r="B70" s="13" t="s">
        <v>180</v>
      </c>
      <c r="C70" s="13" t="s">
        <v>43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Percentage_dist_journeys_by_purpose_and_distance_to_2km[#All],MATCH(A70, Percentage_dist_journeys_by_purpose_and_distance_to_2km[#Headers],0),0)/100</f>
        <v>0</v>
      </c>
      <c r="F70" s="4">
        <f>IF(B70="2-4 kilometres",1,0)*VLOOKUP(C70, Percentage_dist_journeys_by_purpose_and_distance_2_to_4km[#All],MATCH(A70, Percentage_dist_journeys_by_purpose_and_distance_2_to_4km[#Headers],0),0)/100</f>
        <v>0</v>
      </c>
      <c r="G70" s="72">
        <f>IF(B70="4-6 kilometres",1,0)*VLOOKUP(C70, Percentage_dist_journeys_by_purpose_and_distance_4_to_6km[#All],MATCH(A70, Percentage_dist_journeys_by_purpose_and_distance_4_to_6km[#Headers],0),0)/100</f>
        <v>3.9E-2</v>
      </c>
      <c r="H70" s="4">
        <f>IF(B70="6-8 kilometres",1,0)*VLOOKUP(C70, Percentage_dist_journeys_by_purpose_and_distance_6_to_8km[#All],MATCH(A70, Percentage_dist_journeys_by_purpose_and_distance_6_to_8km[#Headers],0),0)/100</f>
        <v>0</v>
      </c>
      <c r="I70" s="72">
        <f>IF(B70="8+ kilometres",1,0)*VLOOKUP(C70, Percentage_dist_journeys_by_purpose_and_distance_8km[#All],MATCH(A70, Percentage_dist_journeys_by_purpose_and_distance_8km[#Headers],0),0)/100</f>
        <v>0</v>
      </c>
      <c r="J70" s="73">
        <f>VLOOKUP(B70,Average_Distance_by_kilometres_grouping_for_trip_purpose[#All],MATCH(A70,Average_Distance_by_kilometres_grouping_for_trip_purpose[#Headers],0),0)</f>
        <v>5</v>
      </c>
      <c r="K70" s="77">
        <f>VLOOKUP(C70, Adjustment_factor_for_distance_based_on_trip_purpose[#All],MATCH(A70, Adjustment_factor_for_distance_based_on_trip_purpose[#Headers],0),0)</f>
        <v>0.88888888888888884</v>
      </c>
      <c r="L70" s="78" t="e">
        <f>VLOOKUP($L$2, Total_Journeys_Per_Year[#All],MATCH(A70, Total_Journeys_Per_Year[#Headers],0),0)</f>
        <v>#N/A</v>
      </c>
      <c r="M70" s="35" t="e">
        <f t="shared" si="0"/>
        <v>#N/A</v>
      </c>
      <c r="N70" s="35" t="e">
        <f>VLOOKUP($N$2, Private_Vehicle_Kilometres_Car_Stock[#All],MATCH(A70, Private_Vehicle_Kilometres_Car_Stock[#Headers],0),0)</f>
        <v>#N/A</v>
      </c>
    </row>
    <row r="71" spans="1:14" x14ac:dyDescent="0.25">
      <c r="A71" s="79" t="s">
        <v>32</v>
      </c>
      <c r="B71" s="13" t="s">
        <v>182</v>
      </c>
      <c r="C71" s="13" t="s">
        <v>43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Percentage_dist_journeys_by_purpose_and_distance_to_2km[#All],MATCH(A71, Percentage_dist_journeys_by_purpose_and_distance_to_2km[#Headers],0),0)/100</f>
        <v>0</v>
      </c>
      <c r="F71" s="4">
        <f>IF(B71="2-4 kilometres",1,0)*VLOOKUP(C71, Percentage_dist_journeys_by_purpose_and_distance_2_to_4km[#All],MATCH(A71, Percentage_dist_journeys_by_purpose_and_distance_2_to_4km[#Headers],0),0)/100</f>
        <v>0</v>
      </c>
      <c r="G71" s="72">
        <f>IF(B71="4-6 kilometres",1,0)*VLOOKUP(C71, Percentage_dist_journeys_by_purpose_and_distance_4_to_6km[#All],MATCH(A71, Percentage_dist_journeys_by_purpose_and_distance_4_to_6km[#Headers],0),0)/100</f>
        <v>0</v>
      </c>
      <c r="H71" s="4">
        <f>IF(B71="6-8 kilometres",1,0)*VLOOKUP(C71, Percentage_dist_journeys_by_purpose_and_distance_6_to_8km[#All],MATCH(A71, Percentage_dist_journeys_by_purpose_and_distance_6_to_8km[#Headers],0),0)/100</f>
        <v>3.9E-2</v>
      </c>
      <c r="I71" s="72">
        <f>IF(B71="8+ kilometres",1,0)*VLOOKUP(C71, Percentage_dist_journeys_by_purpose_and_distance_8km[#All],MATCH(A71, Percentage_dist_journeys_by_purpose_and_distance_8km[#Headers],0),0)/100</f>
        <v>0</v>
      </c>
      <c r="J71" s="73">
        <f>VLOOKUP(B71,Average_Distance_by_kilometres_grouping_for_trip_purpose[#All],MATCH(A71,Average_Distance_by_kilometres_grouping_for_trip_purpose[#Headers],0),0)</f>
        <v>7</v>
      </c>
      <c r="K71" s="77">
        <f>VLOOKUP(C71, Adjustment_factor_for_distance_based_on_trip_purpose[#All],MATCH(A71, Adjustment_factor_for_distance_based_on_trip_purpose[#Headers],0),0)</f>
        <v>0.88888888888888884</v>
      </c>
      <c r="L71" s="78" t="e">
        <f>VLOOKUP($L$2, Total_Journeys_Per_Year[#All],MATCH(A71, Total_Journeys_Per_Year[#Headers],0),0)</f>
        <v>#N/A</v>
      </c>
      <c r="M71" s="35" t="e">
        <f t="shared" si="0"/>
        <v>#N/A</v>
      </c>
      <c r="N71" s="35" t="e">
        <f>VLOOKUP($N$2, Private_Vehicle_Kilometres_Car_Stock[#All],MATCH(A71, Private_Vehicle_Kilometres_Car_Stock[#Headers],0),0)</f>
        <v>#N/A</v>
      </c>
    </row>
    <row r="72" spans="1:14" x14ac:dyDescent="0.25">
      <c r="A72" s="79" t="s">
        <v>32</v>
      </c>
      <c r="B72" s="13" t="s">
        <v>1</v>
      </c>
      <c r="C72" s="13" t="s">
        <v>43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Percentage_dist_journeys_by_purpose_and_distance_to_2km[#All],MATCH(A72, Percentage_dist_journeys_by_purpose_and_distance_to_2km[#Headers],0),0)/100</f>
        <v>0</v>
      </c>
      <c r="F72" s="4">
        <f>IF(B72="2-4 kilometres",1,0)*VLOOKUP(C72, Percentage_dist_journeys_by_purpose_and_distance_2_to_4km[#All],MATCH(A72, Percentage_dist_journeys_by_purpose_and_distance_2_to_4km[#Headers],0),0)/100</f>
        <v>0</v>
      </c>
      <c r="G72" s="72">
        <f>IF(B72="4-6 kilometres",1,0)*VLOOKUP(C72, Percentage_dist_journeys_by_purpose_and_distance_4_to_6km[#All],MATCH(A72, Percentage_dist_journeys_by_purpose_and_distance_4_to_6km[#Headers],0),0)/100</f>
        <v>0</v>
      </c>
      <c r="H72" s="4">
        <f>IF(B72="6-8 kilometres",1,0)*VLOOKUP(C72, Percentage_dist_journeys_by_purpose_and_distance_6_to_8km[#All],MATCH(A72, Percentage_dist_journeys_by_purpose_and_distance_6_to_8km[#Headers],0),0)/100</f>
        <v>0</v>
      </c>
      <c r="I72" s="72">
        <f>IF(B72="8+ kilometres",1,0)*VLOOKUP(C72, Percentage_dist_journeys_by_purpose_and_distance_8km[#All],MATCH(A72, Percentage_dist_journeys_by_purpose_and_distance_8km[#Headers],0),0)/100</f>
        <v>4.0999999999999995E-2</v>
      </c>
      <c r="J72" s="73">
        <f>VLOOKUP(B72,Average_Distance_by_kilometres_grouping_for_trip_purpose[#All],MATCH(A72,Average_Distance_by_kilometres_grouping_for_trip_purpose[#Headers],0),0)</f>
        <v>34.770000000000003</v>
      </c>
      <c r="K72" s="77">
        <f>VLOOKUP(C72, Adjustment_factor_for_distance_based_on_trip_purpose[#All],MATCH(A72, Adjustment_factor_for_distance_based_on_trip_purpose[#Headers],0),0)</f>
        <v>0.88888888888888884</v>
      </c>
      <c r="L72" s="78" t="e">
        <f>VLOOKUP($L$2, Total_Journeys_Per_Year[#All],MATCH(A72, Total_Journeys_Per_Year[#Headers],0),0)</f>
        <v>#N/A</v>
      </c>
      <c r="M72" s="35" t="e">
        <f t="shared" si="0"/>
        <v>#N/A</v>
      </c>
      <c r="N72" s="35" t="e">
        <f>VLOOKUP($N$2, Private_Vehicle_Kilometres_Car_Stock[#All],MATCH(A72, Private_Vehicle_Kilometres_Car_Stock[#Headers],0),0)</f>
        <v>#N/A</v>
      </c>
    </row>
    <row r="73" spans="1:14" x14ac:dyDescent="0.25">
      <c r="A73" s="79" t="s">
        <v>32</v>
      </c>
      <c r="B73" s="13" t="s">
        <v>12</v>
      </c>
      <c r="C73" s="13" t="s">
        <v>44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Percentage_dist_journeys_by_purpose_and_distance_to_2km[#All],MATCH(A73, Percentage_dist_journeys_by_purpose_and_distance_to_2km[#Headers],0),0)/100</f>
        <v>0.27600000000000002</v>
      </c>
      <c r="F73" s="4">
        <f>IF(B73="2-4 kilometres",1,0)*VLOOKUP(C73, Percentage_dist_journeys_by_purpose_and_distance_2_to_4km[#All],MATCH(A73, Percentage_dist_journeys_by_purpose_and_distance_2_to_4km[#Headers],0),0)/100</f>
        <v>0</v>
      </c>
      <c r="G73" s="72">
        <f>IF(B73="4-6 kilometres",1,0)*VLOOKUP(C73, Percentage_dist_journeys_by_purpose_and_distance_4_to_6km[#All],MATCH(A73, Percentage_dist_journeys_by_purpose_and_distance_4_to_6km[#Headers],0),0)/100</f>
        <v>0</v>
      </c>
      <c r="H73" s="4">
        <f>IF(B73="6-8 kilometres",1,0)*VLOOKUP(C73, Percentage_dist_journeys_by_purpose_and_distance_6_to_8km[#All],MATCH(A73, Percentage_dist_journeys_by_purpose_and_distance_6_to_8km[#Headers],0),0)/100</f>
        <v>0</v>
      </c>
      <c r="I73" s="72">
        <f>IF(B73="8+ kilometres",1,0)*VLOOKUP(C73, Percentage_dist_journeys_by_purpose_and_distance_8km[#All],MATCH(A73, Percentage_dist_journeys_by_purpose_and_distance_8km[#Headers],0),0)/100</f>
        <v>0</v>
      </c>
      <c r="J73" s="73">
        <f>VLOOKUP(B73,Average_Distance_by_kilometres_grouping_for_trip_purpose[#All],MATCH(A73,Average_Distance_by_kilometres_grouping_for_trip_purpose[#Headers],0),0)</f>
        <v>1</v>
      </c>
      <c r="K73" s="77">
        <f>VLOOKUP(C73, Adjustment_factor_for_distance_based_on_trip_purpose[#All],MATCH(A73, Adjustment_factor_for_distance_based_on_trip_purpose[#Headers],0),0)</f>
        <v>0.44444444444444442</v>
      </c>
      <c r="L73" s="78" t="e">
        <f>VLOOKUP($L$2, Total_Journeys_Per_Year[#All],MATCH(A73, Total_Journeys_Per_Year[#Headers],0),0)</f>
        <v>#N/A</v>
      </c>
      <c r="M73" s="35" t="e">
        <f t="shared" si="0"/>
        <v>#N/A</v>
      </c>
      <c r="N73" s="35" t="e">
        <f>VLOOKUP($N$2, Private_Vehicle_Kilometres_Car_Stock[#All],MATCH(A73, Private_Vehicle_Kilometres_Car_Stock[#Headers],0),0)</f>
        <v>#N/A</v>
      </c>
    </row>
    <row r="74" spans="1:14" x14ac:dyDescent="0.25">
      <c r="A74" s="79" t="s">
        <v>32</v>
      </c>
      <c r="B74" s="13" t="s">
        <v>181</v>
      </c>
      <c r="C74" s="13" t="s">
        <v>44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Percentage_dist_journeys_by_purpose_and_distance_to_2km[#All],MATCH(A74, Percentage_dist_journeys_by_purpose_and_distance_to_2km[#Headers],0),0)/100</f>
        <v>0</v>
      </c>
      <c r="F74" s="4">
        <f>IF(B74="2-4 kilometres",1,0)*VLOOKUP(C74, Percentage_dist_journeys_by_purpose_and_distance_2_to_4km[#All],MATCH(A74, Percentage_dist_journeys_by_purpose_and_distance_2_to_4km[#Headers],0),0)/100</f>
        <v>0.247</v>
      </c>
      <c r="G74" s="72">
        <f>IF(B74="4-6 kilometres",1,0)*VLOOKUP(C74, Percentage_dist_journeys_by_purpose_and_distance_4_to_6km[#All],MATCH(A74, Percentage_dist_journeys_by_purpose_and_distance_4_to_6km[#Headers],0),0)/100</f>
        <v>0</v>
      </c>
      <c r="H74" s="4">
        <f>IF(B74="6-8 kilometres",1,0)*VLOOKUP(C74, Percentage_dist_journeys_by_purpose_and_distance_6_to_8km[#All],MATCH(A74, Percentage_dist_journeys_by_purpose_and_distance_6_to_8km[#Headers],0),0)/100</f>
        <v>0</v>
      </c>
      <c r="I74" s="72">
        <f>IF(B74="8+ kilometres",1,0)*VLOOKUP(C74, Percentage_dist_journeys_by_purpose_and_distance_8km[#All],MATCH(A74, Percentage_dist_journeys_by_purpose_and_distance_8km[#Headers],0),0)/100</f>
        <v>0</v>
      </c>
      <c r="J74" s="73">
        <f>VLOOKUP(B74,Average_Distance_by_kilometres_grouping_for_trip_purpose[#All],MATCH(A74,Average_Distance_by_kilometres_grouping_for_trip_purpose[#Headers],0),0)</f>
        <v>3</v>
      </c>
      <c r="K74" s="77">
        <f>VLOOKUP(C74, Adjustment_factor_for_distance_based_on_trip_purpose[#All],MATCH(A74, Adjustment_factor_for_distance_based_on_trip_purpose[#Headers],0),0)</f>
        <v>0.44444444444444442</v>
      </c>
      <c r="L74" s="78" t="e">
        <f>VLOOKUP($L$2, Total_Journeys_Per_Year[#All],MATCH(A74, Total_Journeys_Per_Year[#Headers],0),0)</f>
        <v>#N/A</v>
      </c>
      <c r="M74" s="35" t="e">
        <f t="shared" si="0"/>
        <v>#N/A</v>
      </c>
      <c r="N74" s="35" t="e">
        <f>VLOOKUP($N$2, Private_Vehicle_Kilometres_Car_Stock[#All],MATCH(A74, Private_Vehicle_Kilometres_Car_Stock[#Headers],0),0)</f>
        <v>#N/A</v>
      </c>
    </row>
    <row r="75" spans="1:14" x14ac:dyDescent="0.25">
      <c r="A75" s="79" t="s">
        <v>32</v>
      </c>
      <c r="B75" s="13" t="s">
        <v>180</v>
      </c>
      <c r="C75" s="13" t="s">
        <v>44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Percentage_dist_journeys_by_purpose_and_distance_to_2km[#All],MATCH(A75, Percentage_dist_journeys_by_purpose_and_distance_to_2km[#Headers],0),0)/100</f>
        <v>0</v>
      </c>
      <c r="F75" s="4">
        <f>IF(B75="2-4 kilometres",1,0)*VLOOKUP(C75, Percentage_dist_journeys_by_purpose_and_distance_2_to_4km[#All],MATCH(A75, Percentage_dist_journeys_by_purpose_and_distance_2_to_4km[#Headers],0),0)/100</f>
        <v>0</v>
      </c>
      <c r="G75" s="72">
        <f>IF(B75="4-6 kilometres",1,0)*VLOOKUP(C75, Percentage_dist_journeys_by_purpose_and_distance_4_to_6km[#All],MATCH(A75, Percentage_dist_journeys_by_purpose_and_distance_4_to_6km[#Headers],0),0)/100</f>
        <v>0.20499999999999999</v>
      </c>
      <c r="H75" s="4">
        <f>IF(B75="6-8 kilometres",1,0)*VLOOKUP(C75, Percentage_dist_journeys_by_purpose_and_distance_6_to_8km[#All],MATCH(A75, Percentage_dist_journeys_by_purpose_and_distance_6_to_8km[#Headers],0),0)/100</f>
        <v>0</v>
      </c>
      <c r="I75" s="72">
        <f>IF(B75="8+ kilometres",1,0)*VLOOKUP(C75, Percentage_dist_journeys_by_purpose_and_distance_8km[#All],MATCH(A75, Percentage_dist_journeys_by_purpose_and_distance_8km[#Headers],0),0)/100</f>
        <v>0</v>
      </c>
      <c r="J75" s="73">
        <f>VLOOKUP(B75,Average_Distance_by_kilometres_grouping_for_trip_purpose[#All],MATCH(A75,Average_Distance_by_kilometres_grouping_for_trip_purpose[#Headers],0),0)</f>
        <v>5</v>
      </c>
      <c r="K75" s="77">
        <f>VLOOKUP(C75, Adjustment_factor_for_distance_based_on_trip_purpose[#All],MATCH(A75, Adjustment_factor_for_distance_based_on_trip_purpose[#Headers],0),0)</f>
        <v>0.44444444444444442</v>
      </c>
      <c r="L75" s="78" t="e">
        <f>VLOOKUP($L$2, Total_Journeys_Per_Year[#All],MATCH(A75, Total_Journeys_Per_Year[#Headers],0),0)</f>
        <v>#N/A</v>
      </c>
      <c r="M75" s="35" t="e">
        <f t="shared" si="0"/>
        <v>#N/A</v>
      </c>
      <c r="N75" s="35" t="e">
        <f>VLOOKUP($N$2, Private_Vehicle_Kilometres_Car_Stock[#All],MATCH(A75, Private_Vehicle_Kilometres_Car_Stock[#Headers],0),0)</f>
        <v>#N/A</v>
      </c>
    </row>
    <row r="76" spans="1:14" x14ac:dyDescent="0.25">
      <c r="A76" s="79" t="s">
        <v>32</v>
      </c>
      <c r="B76" s="13" t="s">
        <v>182</v>
      </c>
      <c r="C76" s="13" t="s">
        <v>44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Percentage_dist_journeys_by_purpose_and_distance_to_2km[#All],MATCH(A76, Percentage_dist_journeys_by_purpose_and_distance_to_2km[#Headers],0),0)/100</f>
        <v>0</v>
      </c>
      <c r="F76" s="4">
        <f>IF(B76="2-4 kilometres",1,0)*VLOOKUP(C76, Percentage_dist_journeys_by_purpose_and_distance_2_to_4km[#All],MATCH(A76, Percentage_dist_journeys_by_purpose_and_distance_2_to_4km[#Headers],0),0)/100</f>
        <v>0</v>
      </c>
      <c r="G76" s="72">
        <f>IF(B76="4-6 kilometres",1,0)*VLOOKUP(C76, Percentage_dist_journeys_by_purpose_and_distance_4_to_6km[#All],MATCH(A76, Percentage_dist_journeys_by_purpose_and_distance_4_to_6km[#Headers],0),0)/100</f>
        <v>0</v>
      </c>
      <c r="H76" s="4">
        <f>IF(B76="6-8 kilometres",1,0)*VLOOKUP(C76, Percentage_dist_journeys_by_purpose_and_distance_6_to_8km[#All],MATCH(A76, Percentage_dist_journeys_by_purpose_and_distance_6_to_8km[#Headers],0),0)/100</f>
        <v>0.16800000000000001</v>
      </c>
      <c r="I76" s="72">
        <f>IF(B76="8+ kilometres",1,0)*VLOOKUP(C76, Percentage_dist_journeys_by_purpose_and_distance_8km[#All],MATCH(A76, Percentage_dist_journeys_by_purpose_and_distance_8km[#Headers],0),0)/100</f>
        <v>0</v>
      </c>
      <c r="J76" s="73">
        <f>VLOOKUP(B76,Average_Distance_by_kilometres_grouping_for_trip_purpose[#All],MATCH(A76,Average_Distance_by_kilometres_grouping_for_trip_purpose[#Headers],0),0)</f>
        <v>7</v>
      </c>
      <c r="K76" s="77">
        <f>VLOOKUP(C76, Adjustment_factor_for_distance_based_on_trip_purpose[#All],MATCH(A76, Adjustment_factor_for_distance_based_on_trip_purpose[#Headers],0),0)</f>
        <v>0.44444444444444442</v>
      </c>
      <c r="L76" s="78" t="e">
        <f>VLOOKUP($L$2, Total_Journeys_Per_Year[#All],MATCH(A76, Total_Journeys_Per_Year[#Headers],0),0)</f>
        <v>#N/A</v>
      </c>
      <c r="M76" s="35" t="e">
        <f t="shared" si="0"/>
        <v>#N/A</v>
      </c>
      <c r="N76" s="35" t="e">
        <f>VLOOKUP($N$2, Private_Vehicle_Kilometres_Car_Stock[#All],MATCH(A76, Private_Vehicle_Kilometres_Car_Stock[#Headers],0),0)</f>
        <v>#N/A</v>
      </c>
    </row>
    <row r="77" spans="1:14" x14ac:dyDescent="0.25">
      <c r="A77" s="79" t="s">
        <v>32</v>
      </c>
      <c r="B77" s="13" t="s">
        <v>1</v>
      </c>
      <c r="C77" s="13" t="s">
        <v>44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Percentage_dist_journeys_by_purpose_and_distance_to_2km[#All],MATCH(A77, Percentage_dist_journeys_by_purpose_and_distance_to_2km[#Headers],0),0)/100</f>
        <v>0</v>
      </c>
      <c r="F77" s="4">
        <f>IF(B77="2-4 kilometres",1,0)*VLOOKUP(C77, Percentage_dist_journeys_by_purpose_and_distance_2_to_4km[#All],MATCH(A77, Percentage_dist_journeys_by_purpose_and_distance_2_to_4km[#Headers],0),0)/100</f>
        <v>0</v>
      </c>
      <c r="G77" s="72">
        <f>IF(B77="4-6 kilometres",1,0)*VLOOKUP(C77, Percentage_dist_journeys_by_purpose_and_distance_4_to_6km[#All],MATCH(A77, Percentage_dist_journeys_by_purpose_and_distance_4_to_6km[#Headers],0),0)/100</f>
        <v>0</v>
      </c>
      <c r="H77" s="4">
        <f>IF(B77="6-8 kilometres",1,0)*VLOOKUP(C77, Percentage_dist_journeys_by_purpose_and_distance_6_to_8km[#All],MATCH(A77, Percentage_dist_journeys_by_purpose_and_distance_6_to_8km[#Headers],0),0)/100</f>
        <v>0</v>
      </c>
      <c r="I77" s="72">
        <f>IF(B77="8+ kilometres",1,0)*VLOOKUP(C77, Percentage_dist_journeys_by_purpose_and_distance_8km[#All],MATCH(A77, Percentage_dist_journeys_by_purpose_and_distance_8km[#Headers],0),0)/100</f>
        <v>0.17399999999999999</v>
      </c>
      <c r="J77" s="73">
        <f>VLOOKUP(B77,Average_Distance_by_kilometres_grouping_for_trip_purpose[#All],MATCH(A77,Average_Distance_by_kilometres_grouping_for_trip_purpose[#Headers],0),0)</f>
        <v>34.770000000000003</v>
      </c>
      <c r="K77" s="77">
        <f>VLOOKUP(C77, Adjustment_factor_for_distance_based_on_trip_purpose[#All],MATCH(A77, Adjustment_factor_for_distance_based_on_trip_purpose[#Headers],0),0)</f>
        <v>0.44444444444444442</v>
      </c>
      <c r="L77" s="78" t="e">
        <f>VLOOKUP($L$2, Total_Journeys_Per_Year[#All],MATCH(A77, Total_Journeys_Per_Year[#Headers],0),0)</f>
        <v>#N/A</v>
      </c>
      <c r="M77" s="35" t="e">
        <f t="shared" si="0"/>
        <v>#N/A</v>
      </c>
      <c r="N77" s="35" t="e">
        <f>VLOOKUP($N$2, Private_Vehicle_Kilometres_Car_Stock[#All],MATCH(A77, Private_Vehicle_Kilometres_Car_Stock[#Headers],0),0)</f>
        <v>#N/A</v>
      </c>
    </row>
    <row r="78" spans="1:14" x14ac:dyDescent="0.25">
      <c r="A78" s="79" t="s">
        <v>32</v>
      </c>
      <c r="B78" s="13" t="s">
        <v>12</v>
      </c>
      <c r="C78" s="13" t="s">
        <v>45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Percentage_dist_journeys_by_purpose_and_distance_to_2km[#All],MATCH(A78, Percentage_dist_journeys_by_purpose_and_distance_to_2km[#Headers],0),0)/100</f>
        <v>4.0999999999999995E-2</v>
      </c>
      <c r="F78" s="4">
        <f>IF(B78="2-4 kilometres",1,0)*VLOOKUP(C78, Percentage_dist_journeys_by_purpose_and_distance_2_to_4km[#All],MATCH(A78, Percentage_dist_journeys_by_purpose_and_distance_2_to_4km[#Headers],0),0)/100</f>
        <v>0</v>
      </c>
      <c r="G78" s="72">
        <f>IF(B78="4-6 kilometres",1,0)*VLOOKUP(C78, Percentage_dist_journeys_by_purpose_and_distance_4_to_6km[#All],MATCH(A78, Percentage_dist_journeys_by_purpose_and_distance_4_to_6km[#Headers],0),0)/100</f>
        <v>0</v>
      </c>
      <c r="H78" s="4">
        <f>IF(B78="6-8 kilometres",1,0)*VLOOKUP(C78, Percentage_dist_journeys_by_purpose_and_distance_6_to_8km[#All],MATCH(A78, Percentage_dist_journeys_by_purpose_and_distance_6_to_8km[#Headers],0),0)/100</f>
        <v>0</v>
      </c>
      <c r="I78" s="72">
        <f>IF(B78="8+ kilometres",1,0)*VLOOKUP(C78, Percentage_dist_journeys_by_purpose_and_distance_8km[#All],MATCH(A78, Percentage_dist_journeys_by_purpose_and_distance_8km[#Headers],0),0)/100</f>
        <v>0</v>
      </c>
      <c r="J78" s="73">
        <f>VLOOKUP(B78,Average_Distance_by_kilometres_grouping_for_trip_purpose[#All],MATCH(A78,Average_Distance_by_kilometres_grouping_for_trip_purpose[#Headers],0),0)</f>
        <v>1</v>
      </c>
      <c r="K78" s="77">
        <f>VLOOKUP(C78, Adjustment_factor_for_distance_based_on_trip_purpose[#All],MATCH(A78, Adjustment_factor_for_distance_based_on_trip_purpose[#Headers],0),0)</f>
        <v>0.44444444444444442</v>
      </c>
      <c r="L78" s="78" t="e">
        <f>VLOOKUP($L$2, Total_Journeys_Per_Year[#All],MATCH(A78, Total_Journeys_Per_Year[#Headers],0),0)</f>
        <v>#N/A</v>
      </c>
      <c r="M78" s="35" t="e">
        <f t="shared" si="0"/>
        <v>#N/A</v>
      </c>
      <c r="N78" s="35" t="e">
        <f>VLOOKUP($N$2, Private_Vehicle_Kilometres_Car_Stock[#All],MATCH(A78, Private_Vehicle_Kilometres_Car_Stock[#Headers],0),0)</f>
        <v>#N/A</v>
      </c>
    </row>
    <row r="79" spans="1:14" x14ac:dyDescent="0.25">
      <c r="A79" s="79" t="s">
        <v>32</v>
      </c>
      <c r="B79" s="13" t="s">
        <v>181</v>
      </c>
      <c r="C79" s="13" t="s">
        <v>45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Percentage_dist_journeys_by_purpose_and_distance_to_2km[#All],MATCH(A79, Percentage_dist_journeys_by_purpose_and_distance_to_2km[#Headers],0),0)/100</f>
        <v>0</v>
      </c>
      <c r="F79" s="4">
        <f>IF(B79="2-4 kilometres",1,0)*VLOOKUP(C79, Percentage_dist_journeys_by_purpose_and_distance_2_to_4km[#All],MATCH(A79, Percentage_dist_journeys_by_purpose_and_distance_2_to_4km[#Headers],0),0)/100</f>
        <v>2.2000000000000002E-2</v>
      </c>
      <c r="G79" s="72">
        <f>IF(B79="4-6 kilometres",1,0)*VLOOKUP(C79, Percentage_dist_journeys_by_purpose_and_distance_4_to_6km[#All],MATCH(A79, Percentage_dist_journeys_by_purpose_and_distance_4_to_6km[#Headers],0),0)/100</f>
        <v>0</v>
      </c>
      <c r="H79" s="4">
        <f>IF(B79="6-8 kilometres",1,0)*VLOOKUP(C79, Percentage_dist_journeys_by_purpose_and_distance_6_to_8km[#All],MATCH(A79, Percentage_dist_journeys_by_purpose_and_distance_6_to_8km[#Headers],0),0)/100</f>
        <v>0</v>
      </c>
      <c r="I79" s="72">
        <f>IF(B79="8+ kilometres",1,0)*VLOOKUP(C79, Percentage_dist_journeys_by_purpose_and_distance_8km[#All],MATCH(A79, Percentage_dist_journeys_by_purpose_and_distance_8km[#Headers],0),0)/100</f>
        <v>0</v>
      </c>
      <c r="J79" s="73">
        <f>VLOOKUP(B79,Average_Distance_by_kilometres_grouping_for_trip_purpose[#All],MATCH(A79,Average_Distance_by_kilometres_grouping_for_trip_purpose[#Headers],0),0)</f>
        <v>3</v>
      </c>
      <c r="K79" s="77">
        <f>VLOOKUP(C79, Adjustment_factor_for_distance_based_on_trip_purpose[#All],MATCH(A79, Adjustment_factor_for_distance_based_on_trip_purpose[#Headers],0),0)</f>
        <v>0.44444444444444442</v>
      </c>
      <c r="L79" s="78" t="e">
        <f>VLOOKUP($L$2, Total_Journeys_Per_Year[#All],MATCH(A79, Total_Journeys_Per_Year[#Headers],0),0)</f>
        <v>#N/A</v>
      </c>
      <c r="M79" s="35" t="e">
        <f t="shared" si="0"/>
        <v>#N/A</v>
      </c>
      <c r="N79" s="35" t="e">
        <f>VLOOKUP($N$2, Private_Vehicle_Kilometres_Car_Stock[#All],MATCH(A79, Private_Vehicle_Kilometres_Car_Stock[#Headers],0),0)</f>
        <v>#N/A</v>
      </c>
    </row>
    <row r="80" spans="1:14" x14ac:dyDescent="0.25">
      <c r="A80" s="79" t="s">
        <v>32</v>
      </c>
      <c r="B80" s="13" t="s">
        <v>180</v>
      </c>
      <c r="C80" s="13" t="s">
        <v>45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Percentage_dist_journeys_by_purpose_and_distance_to_2km[#All],MATCH(A80, Percentage_dist_journeys_by_purpose_and_distance_to_2km[#Headers],0),0)/100</f>
        <v>0</v>
      </c>
      <c r="F80" s="4">
        <f>IF(B80="2-4 kilometres",1,0)*VLOOKUP(C80, Percentage_dist_journeys_by_purpose_and_distance_2_to_4km[#All],MATCH(A80, Percentage_dist_journeys_by_purpose_and_distance_2_to_4km[#Headers],0),0)/100</f>
        <v>0</v>
      </c>
      <c r="G80" s="72">
        <f>IF(B80="4-6 kilometres",1,0)*VLOOKUP(C80, Percentage_dist_journeys_by_purpose_and_distance_4_to_6km[#All],MATCH(A80, Percentage_dist_journeys_by_purpose_and_distance_4_to_6km[#Headers],0),0)/100</f>
        <v>2.3E-2</v>
      </c>
      <c r="H80" s="4">
        <f>IF(B80="6-8 kilometres",1,0)*VLOOKUP(C80, Percentage_dist_journeys_by_purpose_and_distance_6_to_8km[#All],MATCH(A80, Percentage_dist_journeys_by_purpose_and_distance_6_to_8km[#Headers],0),0)/100</f>
        <v>0</v>
      </c>
      <c r="I80" s="72">
        <f>IF(B80="8+ kilometres",1,0)*VLOOKUP(C80, Percentage_dist_journeys_by_purpose_and_distance_8km[#All],MATCH(A80, Percentage_dist_journeys_by_purpose_and_distance_8km[#Headers],0),0)/100</f>
        <v>0</v>
      </c>
      <c r="J80" s="73">
        <f>VLOOKUP(B80,Average_Distance_by_kilometres_grouping_for_trip_purpose[#All],MATCH(A80,Average_Distance_by_kilometres_grouping_for_trip_purpose[#Headers],0),0)</f>
        <v>5</v>
      </c>
      <c r="K80" s="77">
        <f>VLOOKUP(C80, Adjustment_factor_for_distance_based_on_trip_purpose[#All],MATCH(A80, Adjustment_factor_for_distance_based_on_trip_purpose[#Headers],0),0)</f>
        <v>0.44444444444444442</v>
      </c>
      <c r="L80" s="78" t="e">
        <f>VLOOKUP($L$2, Total_Journeys_Per_Year[#All],MATCH(A80, Total_Journeys_Per_Year[#Headers],0),0)</f>
        <v>#N/A</v>
      </c>
      <c r="M80" s="35" t="e">
        <f t="shared" si="0"/>
        <v>#N/A</v>
      </c>
      <c r="N80" s="35" t="e">
        <f>VLOOKUP($N$2, Private_Vehicle_Kilometres_Car_Stock[#All],MATCH(A80, Private_Vehicle_Kilometres_Car_Stock[#Headers],0),0)</f>
        <v>#N/A</v>
      </c>
    </row>
    <row r="81" spans="1:14" x14ac:dyDescent="0.25">
      <c r="A81" s="79" t="s">
        <v>32</v>
      </c>
      <c r="B81" s="13" t="s">
        <v>182</v>
      </c>
      <c r="C81" s="13" t="s">
        <v>45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Percentage_dist_journeys_by_purpose_and_distance_to_2km[#All],MATCH(A81, Percentage_dist_journeys_by_purpose_and_distance_to_2km[#Headers],0),0)/100</f>
        <v>0</v>
      </c>
      <c r="F81" s="4">
        <f>IF(B81="2-4 kilometres",1,0)*VLOOKUP(C81, Percentage_dist_journeys_by_purpose_and_distance_2_to_4km[#All],MATCH(A81, Percentage_dist_journeys_by_purpose_and_distance_2_to_4km[#Headers],0),0)/100</f>
        <v>0</v>
      </c>
      <c r="G81" s="72">
        <f>IF(B81="4-6 kilometres",1,0)*VLOOKUP(C81, Percentage_dist_journeys_by_purpose_and_distance_4_to_6km[#All],MATCH(A81, Percentage_dist_journeys_by_purpose_and_distance_4_to_6km[#Headers],0),0)/100</f>
        <v>0</v>
      </c>
      <c r="H81" s="4">
        <f>IF(B81="6-8 kilometres",1,0)*VLOOKUP(C81, Percentage_dist_journeys_by_purpose_and_distance_6_to_8km[#All],MATCH(A81, Percentage_dist_journeys_by_purpose_and_distance_6_to_8km[#Headers],0),0)/100</f>
        <v>2.5000000000000001E-2</v>
      </c>
      <c r="I81" s="72">
        <f>IF(B81="8+ kilometres",1,0)*VLOOKUP(C81, Percentage_dist_journeys_by_purpose_and_distance_8km[#All],MATCH(A81, Percentage_dist_journeys_by_purpose_and_distance_8km[#Headers],0),0)/100</f>
        <v>0</v>
      </c>
      <c r="J81" s="73">
        <f>VLOOKUP(B81,Average_Distance_by_kilometres_grouping_for_trip_purpose[#All],MATCH(A81,Average_Distance_by_kilometres_grouping_for_trip_purpose[#Headers],0),0)</f>
        <v>7</v>
      </c>
      <c r="K81" s="77">
        <f>VLOOKUP(C81, Adjustment_factor_for_distance_based_on_trip_purpose[#All],MATCH(A81, Adjustment_factor_for_distance_based_on_trip_purpose[#Headers],0),0)</f>
        <v>0.44444444444444442</v>
      </c>
      <c r="L81" s="78" t="e">
        <f>VLOOKUP($L$2, Total_Journeys_Per_Year[#All],MATCH(A81, Total_Journeys_Per_Year[#Headers],0),0)</f>
        <v>#N/A</v>
      </c>
      <c r="M81" s="35" t="e">
        <f t="shared" si="0"/>
        <v>#N/A</v>
      </c>
      <c r="N81" s="35" t="e">
        <f>VLOOKUP($N$2, Private_Vehicle_Kilometres_Car_Stock[#All],MATCH(A81, Private_Vehicle_Kilometres_Car_Stock[#Headers],0),0)</f>
        <v>#N/A</v>
      </c>
    </row>
    <row r="82" spans="1:14" x14ac:dyDescent="0.25">
      <c r="A82" s="79" t="s">
        <v>32</v>
      </c>
      <c r="B82" s="13" t="s">
        <v>1</v>
      </c>
      <c r="C82" s="13" t="s">
        <v>45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Percentage_dist_journeys_by_purpose_and_distance_to_2km[#All],MATCH(A82, Percentage_dist_journeys_by_purpose_and_distance_to_2km[#Headers],0),0)/100</f>
        <v>0</v>
      </c>
      <c r="F82" s="4">
        <f>IF(B82="2-4 kilometres",1,0)*VLOOKUP(C82, Percentage_dist_journeys_by_purpose_and_distance_2_to_4km[#All],MATCH(A82, Percentage_dist_journeys_by_purpose_and_distance_2_to_4km[#Headers],0),0)/100</f>
        <v>0</v>
      </c>
      <c r="G82" s="72">
        <f>IF(B82="4-6 kilometres",1,0)*VLOOKUP(C82, Percentage_dist_journeys_by_purpose_and_distance_4_to_6km[#All],MATCH(A82, Percentage_dist_journeys_by_purpose_and_distance_4_to_6km[#Headers],0),0)/100</f>
        <v>0</v>
      </c>
      <c r="H82" s="4">
        <f>IF(B82="6-8 kilometres",1,0)*VLOOKUP(C82, Percentage_dist_journeys_by_purpose_and_distance_6_to_8km[#All],MATCH(A82, Percentage_dist_journeys_by_purpose_and_distance_6_to_8km[#Headers],0),0)/100</f>
        <v>0</v>
      </c>
      <c r="I82" s="72">
        <f>IF(B82="8+ kilometres",1,0)*VLOOKUP(C82, Percentage_dist_journeys_by_purpose_and_distance_8km[#All],MATCH(A82, Percentage_dist_journeys_by_purpose_and_distance_8km[#Headers],0),0)/100</f>
        <v>1.3000000000000001E-2</v>
      </c>
      <c r="J82" s="73">
        <f>VLOOKUP(B82,Average_Distance_by_kilometres_grouping_for_trip_purpose[#All],MATCH(A82,Average_Distance_by_kilometres_grouping_for_trip_purpose[#Headers],0),0)</f>
        <v>34.770000000000003</v>
      </c>
      <c r="K82" s="77">
        <f>VLOOKUP(C82, Adjustment_factor_for_distance_based_on_trip_purpose[#All],MATCH(A82, Adjustment_factor_for_distance_based_on_trip_purpose[#Headers],0),0)</f>
        <v>0.44444444444444442</v>
      </c>
      <c r="L82" s="78" t="e">
        <f>VLOOKUP($L$2, Total_Journeys_Per_Year[#All],MATCH(A82, Total_Journeys_Per_Year[#Headers],0),0)</f>
        <v>#N/A</v>
      </c>
      <c r="M82" s="35" t="e">
        <f t="shared" si="0"/>
        <v>#N/A</v>
      </c>
      <c r="N82" s="35" t="e">
        <f>VLOOKUP($N$2, Private_Vehicle_Kilometres_Car_Stock[#All],MATCH(A82, Private_Vehicle_Kilometres_Car_Stock[#Headers],0),0)</f>
        <v>#N/A</v>
      </c>
    </row>
    <row r="83" spans="1:14" x14ac:dyDescent="0.25">
      <c r="A83" s="79" t="s">
        <v>32</v>
      </c>
      <c r="B83" s="13" t="s">
        <v>12</v>
      </c>
      <c r="C83" s="13" t="s">
        <v>46</v>
      </c>
      <c r="D83" s="5">
        <f>VLOOKUP(B83,Percentage_distribution_of_journey_distance_for_all_regions[#All],MATCH(A83,Percentage_distribution_of_journey_distance_for_all_regions[#Headers],0),0)/100</f>
        <v>0.223</v>
      </c>
      <c r="E83" s="71">
        <f>IF(B83="&lt;2 kilometres",1,0)*VLOOKUP(C83, Percentage_dist_journeys_by_purpose_and_distance_to_2km[#All],MATCH(A83, Percentage_dist_journeys_by_purpose_and_distance_to_2km[#Headers],0),0)/100</f>
        <v>8.5999999999999993E-2</v>
      </c>
      <c r="F83" s="4">
        <f>IF(B83="2-4 kilometres",1,0)*VLOOKUP(C83, Percentage_dist_journeys_by_purpose_and_distance_2_to_4km[#All],MATCH(A83, Percentage_dist_journeys_by_purpose_and_distance_2_to_4km[#Headers],0),0)/100</f>
        <v>0</v>
      </c>
      <c r="G83" s="72">
        <f>IF(B83="4-6 kilometres",1,0)*VLOOKUP(C83, Percentage_dist_journeys_by_purpose_and_distance_4_to_6km[#All],MATCH(A83, Percentage_dist_journeys_by_purpose_and_distance_4_to_6km[#Headers],0),0)/100</f>
        <v>0</v>
      </c>
      <c r="H83" s="4">
        <f>IF(B83="6-8 kilometres",1,0)*VLOOKUP(C83, Percentage_dist_journeys_by_purpose_and_distance_6_to_8km[#All],MATCH(A83, Percentage_dist_journeys_by_purpose_and_distance_6_to_8km[#Headers],0),0)/100</f>
        <v>0</v>
      </c>
      <c r="I83" s="72">
        <f>IF(B83="8+ kilometres",1,0)*VLOOKUP(C83, Percentage_dist_journeys_by_purpose_and_distance_8km[#All],MATCH(A83, Percentage_dist_journeys_by_purpose_and_distance_8km[#Headers],0),0)/100</f>
        <v>0</v>
      </c>
      <c r="J83" s="73">
        <f>VLOOKUP(B83,Average_Distance_by_kilometres_grouping_for_trip_purpose[#All],MATCH(A83,Average_Distance_by_kilometres_grouping_for_trip_purpose[#Headers],0),0)</f>
        <v>1</v>
      </c>
      <c r="K83" s="77">
        <f>VLOOKUP(C83, Adjustment_factor_for_distance_based_on_trip_purpose[#All],MATCH(A83, Adjustment_factor_for_distance_based_on_trip_purpose[#Headers],0),0)</f>
        <v>0.94444444444444442</v>
      </c>
      <c r="L83" s="78" t="e">
        <f>VLOOKUP($L$2, Total_Journeys_Per_Year[#All],MATCH(A83, Total_Journeys_Per_Year[#Headers],0),0)</f>
        <v>#N/A</v>
      </c>
      <c r="M83" s="35" t="e">
        <f t="shared" ref="M83:M146" si="1">D83*(SUM(E83:I83))*J83*L83</f>
        <v>#N/A</v>
      </c>
      <c r="N83" s="35" t="e">
        <f>VLOOKUP($N$2, Private_Vehicle_Kilometres_Car_Stock[#All],MATCH(A83, Private_Vehicle_Kilometres_Car_Stock[#Headers],0),0)</f>
        <v>#N/A</v>
      </c>
    </row>
    <row r="84" spans="1:14" x14ac:dyDescent="0.25">
      <c r="A84" s="79" t="s">
        <v>32</v>
      </c>
      <c r="B84" s="13" t="s">
        <v>181</v>
      </c>
      <c r="C84" s="13" t="s">
        <v>46</v>
      </c>
      <c r="D84" s="5">
        <f>VLOOKUP(B84,Percentage_distribution_of_journey_distance_for_all_regions[#All],MATCH(A84,Percentage_distribution_of_journey_distance_for_all_regions[#Headers],0),0)/100</f>
        <v>0.182</v>
      </c>
      <c r="E84" s="71">
        <f>IF(B84="&lt;2 kilometres",1,0)*VLOOKUP(C84, Percentage_dist_journeys_by_purpose_and_distance_to_2km[#All],MATCH(A84, Percentage_dist_journeys_by_purpose_and_distance_to_2km[#Headers],0),0)/100</f>
        <v>0</v>
      </c>
      <c r="F84" s="4">
        <f>IF(B84="2-4 kilometres",1,0)*VLOOKUP(C84, Percentage_dist_journeys_by_purpose_and_distance_2_to_4km[#All],MATCH(A84, Percentage_dist_journeys_by_purpose_and_distance_2_to_4km[#Headers],0),0)/100</f>
        <v>7.8E-2</v>
      </c>
      <c r="G84" s="72">
        <f>IF(B84="4-6 kilometres",1,0)*VLOOKUP(C84, Percentage_dist_journeys_by_purpose_and_distance_4_to_6km[#All],MATCH(A84, Percentage_dist_journeys_by_purpose_and_distance_4_to_6km[#Headers],0),0)/100</f>
        <v>0</v>
      </c>
      <c r="H84" s="4">
        <f>IF(B84="6-8 kilometres",1,0)*VLOOKUP(C84, Percentage_dist_journeys_by_purpose_and_distance_6_to_8km[#All],MATCH(A84, Percentage_dist_journeys_by_purpose_and_distance_6_to_8km[#Headers],0),0)/100</f>
        <v>0</v>
      </c>
      <c r="I84" s="72">
        <f>IF(B84="8+ kilometres",1,0)*VLOOKUP(C84, Percentage_dist_journeys_by_purpose_and_distance_8km[#All],MATCH(A84, Percentage_dist_journeys_by_purpose_and_distance_8km[#Headers],0),0)/100</f>
        <v>0</v>
      </c>
      <c r="J84" s="73">
        <f>VLOOKUP(B84,Average_Distance_by_kilometres_grouping_for_trip_purpose[#All],MATCH(A84,Average_Distance_by_kilometres_grouping_for_trip_purpose[#Headers],0),0)</f>
        <v>3</v>
      </c>
      <c r="K84" s="77">
        <f>VLOOKUP(C84, Adjustment_factor_for_distance_based_on_trip_purpose[#All],MATCH(A84, Adjustment_factor_for_distance_based_on_trip_purpose[#Headers],0),0)</f>
        <v>0.94444444444444442</v>
      </c>
      <c r="L84" s="78" t="e">
        <f>VLOOKUP($L$2, Total_Journeys_Per_Year[#All],MATCH(A84, Total_Journeys_Per_Year[#Headers],0),0)</f>
        <v>#N/A</v>
      </c>
      <c r="M84" s="35" t="e">
        <f t="shared" si="1"/>
        <v>#N/A</v>
      </c>
      <c r="N84" s="35" t="e">
        <f>VLOOKUP($N$2, Private_Vehicle_Kilometres_Car_Stock[#All],MATCH(A84, Private_Vehicle_Kilometres_Car_Stock[#Headers],0),0)</f>
        <v>#N/A</v>
      </c>
    </row>
    <row r="85" spans="1:14" x14ac:dyDescent="0.25">
      <c r="A85" s="79" t="s">
        <v>32</v>
      </c>
      <c r="B85" s="13" t="s">
        <v>180</v>
      </c>
      <c r="C85" s="13" t="s">
        <v>46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Percentage_dist_journeys_by_purpose_and_distance_to_2km[#All],MATCH(A85, Percentage_dist_journeys_by_purpose_and_distance_to_2km[#Headers],0),0)/100</f>
        <v>0</v>
      </c>
      <c r="F85" s="4">
        <f>IF(B85="2-4 kilometres",1,0)*VLOOKUP(C85, Percentage_dist_journeys_by_purpose_and_distance_2_to_4km[#All],MATCH(A85, Percentage_dist_journeys_by_purpose_and_distance_2_to_4km[#Headers],0),0)/100</f>
        <v>0</v>
      </c>
      <c r="G85" s="72">
        <f>IF(B85="4-6 kilometres",1,0)*VLOOKUP(C85, Percentage_dist_journeys_by_purpose_and_distance_4_to_6km[#All],MATCH(A85, Percentage_dist_journeys_by_purpose_and_distance_4_to_6km[#Headers],0),0)/100</f>
        <v>9.4E-2</v>
      </c>
      <c r="H85" s="4">
        <f>IF(B85="6-8 kilometres",1,0)*VLOOKUP(C85, Percentage_dist_journeys_by_purpose_and_distance_6_to_8km[#All],MATCH(A85, Percentage_dist_journeys_by_purpose_and_distance_6_to_8km[#Headers],0),0)/100</f>
        <v>0</v>
      </c>
      <c r="I85" s="72">
        <f>IF(B85="8+ kilometres",1,0)*VLOOKUP(C85, Percentage_dist_journeys_by_purpose_and_distance_8km[#All],MATCH(A85, Percentage_dist_journeys_by_purpose_and_distance_8km[#Headers],0),0)/100</f>
        <v>0</v>
      </c>
      <c r="J85" s="73">
        <f>VLOOKUP(B85,Average_Distance_by_kilometres_grouping_for_trip_purpose[#All],MATCH(A85,Average_Distance_by_kilometres_grouping_for_trip_purpose[#Headers],0),0)</f>
        <v>5</v>
      </c>
      <c r="K85" s="77">
        <f>VLOOKUP(C85, Adjustment_factor_for_distance_based_on_trip_purpose[#All],MATCH(A85, Adjustment_factor_for_distance_based_on_trip_purpose[#Headers],0),0)</f>
        <v>0.94444444444444442</v>
      </c>
      <c r="L85" s="78" t="e">
        <f>VLOOKUP($L$2, Total_Journeys_Per_Year[#All],MATCH(A85, Total_Journeys_Per_Year[#Headers],0),0)</f>
        <v>#N/A</v>
      </c>
      <c r="M85" s="35" t="e">
        <f t="shared" si="1"/>
        <v>#N/A</v>
      </c>
      <c r="N85" s="35" t="e">
        <f>VLOOKUP($N$2, Private_Vehicle_Kilometres_Car_Stock[#All],MATCH(A85, Private_Vehicle_Kilometres_Car_Stock[#Headers],0),0)</f>
        <v>#N/A</v>
      </c>
    </row>
    <row r="86" spans="1:14" x14ac:dyDescent="0.25">
      <c r="A86" s="79" t="s">
        <v>32</v>
      </c>
      <c r="B86" s="13" t="s">
        <v>182</v>
      </c>
      <c r="C86" s="13" t="s">
        <v>46</v>
      </c>
      <c r="D86" s="5">
        <f>VLOOKUP(B86,Percentage_distribution_of_journey_distance_for_all_regions[#All],MATCH(A86,Percentage_distribution_of_journey_distance_for_all_regions[#Headers],0),0)/100</f>
        <v>0.06</v>
      </c>
      <c r="E86" s="71">
        <f>IF(B86="&lt;2 kilometres",1,0)*VLOOKUP(C86, Percentage_dist_journeys_by_purpose_and_distance_to_2km[#All],MATCH(A86, Percentage_dist_journeys_by_purpose_and_distance_to_2km[#Headers],0),0)/100</f>
        <v>0</v>
      </c>
      <c r="F86" s="4">
        <f>IF(B86="2-4 kilometres",1,0)*VLOOKUP(C86, Percentage_dist_journeys_by_purpose_and_distance_2_to_4km[#All],MATCH(A86, Percentage_dist_journeys_by_purpose_and_distance_2_to_4km[#Headers],0),0)/100</f>
        <v>0</v>
      </c>
      <c r="G86" s="72">
        <f>IF(B86="4-6 kilometres",1,0)*VLOOKUP(C86, Percentage_dist_journeys_by_purpose_and_distance_4_to_6km[#All],MATCH(A86, Percentage_dist_journeys_by_purpose_and_distance_4_to_6km[#Headers],0),0)/100</f>
        <v>0</v>
      </c>
      <c r="H86" s="4">
        <f>IF(B86="6-8 kilometres",1,0)*VLOOKUP(C86, Percentage_dist_journeys_by_purpose_and_distance_6_to_8km[#All],MATCH(A86, Percentage_dist_journeys_by_purpose_and_distance_6_to_8km[#Headers],0),0)/100</f>
        <v>0.11199999999999999</v>
      </c>
      <c r="I86" s="72">
        <f>IF(B86="8+ kilometres",1,0)*VLOOKUP(C86, Percentage_dist_journeys_by_purpose_and_distance_8km[#All],MATCH(A86, Percentage_dist_journeys_by_purpose_and_distance_8km[#Headers],0),0)/100</f>
        <v>0</v>
      </c>
      <c r="J86" s="73">
        <f>VLOOKUP(B86,Average_Distance_by_kilometres_grouping_for_trip_purpose[#All],MATCH(A86,Average_Distance_by_kilometres_grouping_for_trip_purpose[#Headers],0),0)</f>
        <v>7</v>
      </c>
      <c r="K86" s="77">
        <f>VLOOKUP(C86, Adjustment_factor_for_distance_based_on_trip_purpose[#All],MATCH(A86, Adjustment_factor_for_distance_based_on_trip_purpose[#Headers],0),0)</f>
        <v>0.94444444444444442</v>
      </c>
      <c r="L86" s="78" t="e">
        <f>VLOOKUP($L$2, Total_Journeys_Per_Year[#All],MATCH(A86, Total_Journeys_Per_Year[#Headers],0),0)</f>
        <v>#N/A</v>
      </c>
      <c r="M86" s="35" t="e">
        <f t="shared" si="1"/>
        <v>#N/A</v>
      </c>
      <c r="N86" s="35" t="e">
        <f>VLOOKUP($N$2, Private_Vehicle_Kilometres_Car_Stock[#All],MATCH(A86, Private_Vehicle_Kilometres_Car_Stock[#Headers],0),0)</f>
        <v>#N/A</v>
      </c>
    </row>
    <row r="87" spans="1:14" x14ac:dyDescent="0.25">
      <c r="A87" s="79" t="s">
        <v>32</v>
      </c>
      <c r="B87" s="13" t="s">
        <v>1</v>
      </c>
      <c r="C87" s="13" t="s">
        <v>46</v>
      </c>
      <c r="D87" s="5">
        <f>VLOOKUP(B87,Percentage_distribution_of_journey_distance_for_all_regions[#All],MATCH(A87,Percentage_distribution_of_journey_distance_for_all_regions[#Headers],0),0)/100</f>
        <v>0.41899999999999998</v>
      </c>
      <c r="E87" s="71">
        <f>IF(B87="&lt;2 kilometres",1,0)*VLOOKUP(C87, Percentage_dist_journeys_by_purpose_and_distance_to_2km[#All],MATCH(A87, Percentage_dist_journeys_by_purpose_and_distance_to_2km[#Headers],0),0)/100</f>
        <v>0</v>
      </c>
      <c r="F87" s="4">
        <f>IF(B87="2-4 kilometres",1,0)*VLOOKUP(C87, Percentage_dist_journeys_by_purpose_and_distance_2_to_4km[#All],MATCH(A87, Percentage_dist_journeys_by_purpose_and_distance_2_to_4km[#Headers],0),0)/100</f>
        <v>0</v>
      </c>
      <c r="G87" s="72">
        <f>IF(B87="4-6 kilometres",1,0)*VLOOKUP(C87, Percentage_dist_journeys_by_purpose_and_distance_4_to_6km[#All],MATCH(A87, Percentage_dist_journeys_by_purpose_and_distance_4_to_6km[#Headers],0),0)/100</f>
        <v>0</v>
      </c>
      <c r="H87" s="4">
        <f>IF(B87="6-8 kilometres",1,0)*VLOOKUP(C87, Percentage_dist_journeys_by_purpose_and_distance_6_to_8km[#All],MATCH(A87, Percentage_dist_journeys_by_purpose_and_distance_6_to_8km[#Headers],0),0)/100</f>
        <v>0</v>
      </c>
      <c r="I87" s="72">
        <f>IF(B87="8+ kilometres",1,0)*VLOOKUP(C87, Percentage_dist_journeys_by_purpose_and_distance_8km[#All],MATCH(A87, Percentage_dist_journeys_by_purpose_and_distance_8km[#Headers],0),0)/100</f>
        <v>0.13100000000000001</v>
      </c>
      <c r="J87" s="73">
        <f>VLOOKUP(B87,Average_Distance_by_kilometres_grouping_for_trip_purpose[#All],MATCH(A87,Average_Distance_by_kilometres_grouping_for_trip_purpose[#Headers],0),0)</f>
        <v>34.770000000000003</v>
      </c>
      <c r="K87" s="77">
        <f>VLOOKUP(C87, Adjustment_factor_for_distance_based_on_trip_purpose[#All],MATCH(A87, Adjustment_factor_for_distance_based_on_trip_purpose[#Headers],0),0)</f>
        <v>0.94444444444444442</v>
      </c>
      <c r="L87" s="78" t="e">
        <f>VLOOKUP($L$2, Total_Journeys_Per_Year[#All],MATCH(A87, Total_Journeys_Per_Year[#Headers],0),0)</f>
        <v>#N/A</v>
      </c>
      <c r="M87" s="35" t="e">
        <f t="shared" si="1"/>
        <v>#N/A</v>
      </c>
      <c r="N87" s="35" t="e">
        <f>VLOOKUP($N$2, Private_Vehicle_Kilometres_Car_Stock[#All],MATCH(A87, Private_Vehicle_Kilometres_Car_Stock[#Headers],0),0)</f>
        <v>#N/A</v>
      </c>
    </row>
    <row r="88" spans="1:14" x14ac:dyDescent="0.25">
      <c r="A88" s="79" t="s">
        <v>32</v>
      </c>
      <c r="B88" s="13" t="s">
        <v>12</v>
      </c>
      <c r="C88" s="13" t="s">
        <v>47</v>
      </c>
      <c r="D88" s="5">
        <f>VLOOKUP(B88,Percentage_distribution_of_journey_distance_for_all_regions[#All],MATCH(A88,Percentage_distribution_of_journey_distance_for_all_regions[#Headers],0),0)/100</f>
        <v>0.223</v>
      </c>
      <c r="E88" s="71">
        <f>IF(B88="&lt;2 kilometres",1,0)*VLOOKUP(C88, Percentage_dist_journeys_by_purpose_and_distance_to_2km[#All],MATCH(A88, Percentage_dist_journeys_by_purpose_and_distance_to_2km[#Headers],0),0)/100</f>
        <v>6.2E-2</v>
      </c>
      <c r="F88" s="4">
        <f>IF(B88="2-4 kilometres",1,0)*VLOOKUP(C88, Percentage_dist_journeys_by_purpose_and_distance_2_to_4km[#All],MATCH(A88, Percentage_dist_journeys_by_purpose_and_distance_2_to_4km[#Headers],0),0)/100</f>
        <v>0</v>
      </c>
      <c r="G88" s="72">
        <f>IF(B88="4-6 kilometres",1,0)*VLOOKUP(C88, Percentage_dist_journeys_by_purpose_and_distance_4_to_6km[#All],MATCH(A88, Percentage_dist_journeys_by_purpose_and_distance_4_to_6km[#Headers],0),0)/100</f>
        <v>0</v>
      </c>
      <c r="H88" s="4">
        <f>IF(B88="6-8 kilometres",1,0)*VLOOKUP(C88, Percentage_dist_journeys_by_purpose_and_distance_6_to_8km[#All],MATCH(A88, Percentage_dist_journeys_by_purpose_and_distance_6_to_8km[#Headers],0),0)/100</f>
        <v>0</v>
      </c>
      <c r="I88" s="72">
        <f>IF(B88="8+ kilometres",1,0)*VLOOKUP(C88, Percentage_dist_journeys_by_purpose_and_distance_8km[#All],MATCH(A88, Percentage_dist_journeys_by_purpose_and_distance_8km[#Headers],0),0)/100</f>
        <v>0</v>
      </c>
      <c r="J88" s="73">
        <f>VLOOKUP(B88,Average_Distance_by_kilometres_grouping_for_trip_purpose[#All],MATCH(A88,Average_Distance_by_kilometres_grouping_for_trip_purpose[#Headers],0),0)</f>
        <v>1</v>
      </c>
      <c r="K88" s="77">
        <f>VLOOKUP(C88, Adjustment_factor_for_distance_based_on_trip_purpose[#All],MATCH(A88, Adjustment_factor_for_distance_based_on_trip_purpose[#Headers],0),0)</f>
        <v>0.94444444444444442</v>
      </c>
      <c r="L88" s="78" t="e">
        <f>VLOOKUP($L$2, Total_Journeys_Per_Year[#All],MATCH(A88, Total_Journeys_Per_Year[#Headers],0),0)</f>
        <v>#N/A</v>
      </c>
      <c r="M88" s="35" t="e">
        <f t="shared" si="1"/>
        <v>#N/A</v>
      </c>
      <c r="N88" s="35" t="e">
        <f>VLOOKUP($N$2, Private_Vehicle_Kilometres_Car_Stock[#All],MATCH(A88, Private_Vehicle_Kilometres_Car_Stock[#Headers],0),0)</f>
        <v>#N/A</v>
      </c>
    </row>
    <row r="89" spans="1:14" x14ac:dyDescent="0.25">
      <c r="A89" s="79" t="s">
        <v>32</v>
      </c>
      <c r="B89" s="13" t="s">
        <v>181</v>
      </c>
      <c r="C89" s="13" t="s">
        <v>47</v>
      </c>
      <c r="D89" s="5">
        <f>VLOOKUP(B89,Percentage_distribution_of_journey_distance_for_all_regions[#All],MATCH(A89,Percentage_distribution_of_journey_distance_for_all_regions[#Headers],0),0)/100</f>
        <v>0.182</v>
      </c>
      <c r="E89" s="71">
        <f>IF(B89="&lt;2 kilometres",1,0)*VLOOKUP(C89, Percentage_dist_journeys_by_purpose_and_distance_to_2km[#All],MATCH(A89, Percentage_dist_journeys_by_purpose_and_distance_to_2km[#Headers],0),0)/100</f>
        <v>0</v>
      </c>
      <c r="F89" s="4">
        <f>IF(B89="2-4 kilometres",1,0)*VLOOKUP(C89, Percentage_dist_journeys_by_purpose_and_distance_2_to_4km[#All],MATCH(A89, Percentage_dist_journeys_by_purpose_and_distance_2_to_4km[#Headers],0),0)/100</f>
        <v>0.106</v>
      </c>
      <c r="G89" s="72">
        <f>IF(B89="4-6 kilometres",1,0)*VLOOKUP(C89, Percentage_dist_journeys_by_purpose_and_distance_4_to_6km[#All],MATCH(A89, Percentage_dist_journeys_by_purpose_and_distance_4_to_6km[#Headers],0),0)/100</f>
        <v>0</v>
      </c>
      <c r="H89" s="4">
        <f>IF(B89="6-8 kilometres",1,0)*VLOOKUP(C89, Percentage_dist_journeys_by_purpose_and_distance_6_to_8km[#All],MATCH(A89, Percentage_dist_journeys_by_purpose_and_distance_6_to_8km[#Headers],0),0)/100</f>
        <v>0</v>
      </c>
      <c r="I89" s="72">
        <f>IF(B89="8+ kilometres",1,0)*VLOOKUP(C89, Percentage_dist_journeys_by_purpose_and_distance_8km[#All],MATCH(A89, Percentage_dist_journeys_by_purpose_and_distance_8km[#Headers],0),0)/100</f>
        <v>0</v>
      </c>
      <c r="J89" s="73">
        <f>VLOOKUP(B89,Average_Distance_by_kilometres_grouping_for_trip_purpose[#All],MATCH(A89,Average_Distance_by_kilometres_grouping_for_trip_purpose[#Headers],0),0)</f>
        <v>3</v>
      </c>
      <c r="K89" s="77">
        <f>VLOOKUP(C89, Adjustment_factor_for_distance_based_on_trip_purpose[#All],MATCH(A89, Adjustment_factor_for_distance_based_on_trip_purpose[#Headers],0),0)</f>
        <v>0.94444444444444442</v>
      </c>
      <c r="L89" s="78" t="e">
        <f>VLOOKUP($L$2, Total_Journeys_Per_Year[#All],MATCH(A89, Total_Journeys_Per_Year[#Headers],0),0)</f>
        <v>#N/A</v>
      </c>
      <c r="M89" s="35" t="e">
        <f t="shared" si="1"/>
        <v>#N/A</v>
      </c>
      <c r="N89" s="35" t="e">
        <f>VLOOKUP($N$2, Private_Vehicle_Kilometres_Car_Stock[#All],MATCH(A89, Private_Vehicle_Kilometres_Car_Stock[#Headers],0),0)</f>
        <v>#N/A</v>
      </c>
    </row>
    <row r="90" spans="1:14" x14ac:dyDescent="0.25">
      <c r="A90" s="79" t="s">
        <v>32</v>
      </c>
      <c r="B90" s="13" t="s">
        <v>180</v>
      </c>
      <c r="C90" s="13" t="s">
        <v>47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Percentage_dist_journeys_by_purpose_and_distance_to_2km[#All],MATCH(A90, Percentage_dist_journeys_by_purpose_and_distance_to_2km[#Headers],0),0)/100</f>
        <v>0</v>
      </c>
      <c r="F90" s="4">
        <f>IF(B90="2-4 kilometres",1,0)*VLOOKUP(C90, Percentage_dist_journeys_by_purpose_and_distance_2_to_4km[#All],MATCH(A90, Percentage_dist_journeys_by_purpose_and_distance_2_to_4km[#Headers],0),0)/100</f>
        <v>0</v>
      </c>
      <c r="G90" s="72">
        <f>IF(B90="4-6 kilometres",1,0)*VLOOKUP(C90, Percentage_dist_journeys_by_purpose_and_distance_4_to_6km[#All],MATCH(A90, Percentage_dist_journeys_by_purpose_and_distance_4_to_6km[#Headers],0),0)/100</f>
        <v>0.125</v>
      </c>
      <c r="H90" s="4">
        <f>IF(B90="6-8 kilometres",1,0)*VLOOKUP(C90, Percentage_dist_journeys_by_purpose_and_distance_6_to_8km[#All],MATCH(A90, Percentage_dist_journeys_by_purpose_and_distance_6_to_8km[#Headers],0),0)/100</f>
        <v>0</v>
      </c>
      <c r="I90" s="72">
        <f>IF(B90="8+ kilometres",1,0)*VLOOKUP(C90, Percentage_dist_journeys_by_purpose_and_distance_8km[#All],MATCH(A90, Percentage_dist_journeys_by_purpose_and_distance_8km[#Headers],0),0)/100</f>
        <v>0</v>
      </c>
      <c r="J90" s="73">
        <f>VLOOKUP(B90,Average_Distance_by_kilometres_grouping_for_trip_purpose[#All],MATCH(A90,Average_Distance_by_kilometres_grouping_for_trip_purpose[#Headers],0),0)</f>
        <v>5</v>
      </c>
      <c r="K90" s="77">
        <f>VLOOKUP(C90, Adjustment_factor_for_distance_based_on_trip_purpose[#All],MATCH(A90, Adjustment_factor_for_distance_based_on_trip_purpose[#Headers],0),0)</f>
        <v>0.94444444444444442</v>
      </c>
      <c r="L90" s="78" t="e">
        <f>VLOOKUP($L$2, Total_Journeys_Per_Year[#All],MATCH(A90, Total_Journeys_Per_Year[#Headers],0),0)</f>
        <v>#N/A</v>
      </c>
      <c r="M90" s="35" t="e">
        <f t="shared" si="1"/>
        <v>#N/A</v>
      </c>
      <c r="N90" s="35" t="e">
        <f>VLOOKUP($N$2, Private_Vehicle_Kilometres_Car_Stock[#All],MATCH(A90, Private_Vehicle_Kilometres_Car_Stock[#Headers],0),0)</f>
        <v>#N/A</v>
      </c>
    </row>
    <row r="91" spans="1:14" x14ac:dyDescent="0.25">
      <c r="A91" s="79" t="s">
        <v>32</v>
      </c>
      <c r="B91" s="13" t="s">
        <v>182</v>
      </c>
      <c r="C91" s="13" t="s">
        <v>47</v>
      </c>
      <c r="D91" s="5">
        <f>VLOOKUP(B91,Percentage_distribution_of_journey_distance_for_all_regions[#All],MATCH(A91,Percentage_distribution_of_journey_distance_for_all_regions[#Headers],0),0)/100</f>
        <v>0.06</v>
      </c>
      <c r="E91" s="71">
        <f>IF(B91="&lt;2 kilometres",1,0)*VLOOKUP(C91, Percentage_dist_journeys_by_purpose_and_distance_to_2km[#All],MATCH(A91, Percentage_dist_journeys_by_purpose_and_distance_to_2km[#Headers],0),0)/100</f>
        <v>0</v>
      </c>
      <c r="F91" s="4">
        <f>IF(B91="2-4 kilometres",1,0)*VLOOKUP(C91, Percentage_dist_journeys_by_purpose_and_distance_2_to_4km[#All],MATCH(A91, Percentage_dist_journeys_by_purpose_and_distance_2_to_4km[#Headers],0),0)/100</f>
        <v>0</v>
      </c>
      <c r="G91" s="72">
        <f>IF(B91="4-6 kilometres",1,0)*VLOOKUP(C91, Percentage_dist_journeys_by_purpose_and_distance_4_to_6km[#All],MATCH(A91, Percentage_dist_journeys_by_purpose_and_distance_4_to_6km[#Headers],0),0)/100</f>
        <v>0</v>
      </c>
      <c r="H91" s="4">
        <f>IF(B91="6-8 kilometres",1,0)*VLOOKUP(C91, Percentage_dist_journeys_by_purpose_and_distance_6_to_8km[#All],MATCH(A91, Percentage_dist_journeys_by_purpose_and_distance_6_to_8km[#Headers],0),0)/100</f>
        <v>0.10400000000000001</v>
      </c>
      <c r="I91" s="72">
        <f>IF(B91="8+ kilometres",1,0)*VLOOKUP(C91, Percentage_dist_journeys_by_purpose_and_distance_8km[#All],MATCH(A91, Percentage_dist_journeys_by_purpose_and_distance_8km[#Headers],0),0)/100</f>
        <v>0</v>
      </c>
      <c r="J91" s="73">
        <f>VLOOKUP(B91,Average_Distance_by_kilometres_grouping_for_trip_purpose[#All],MATCH(A91,Average_Distance_by_kilometres_grouping_for_trip_purpose[#Headers],0),0)</f>
        <v>7</v>
      </c>
      <c r="K91" s="77">
        <f>VLOOKUP(C91, Adjustment_factor_for_distance_based_on_trip_purpose[#All],MATCH(A91, Adjustment_factor_for_distance_based_on_trip_purpose[#Headers],0),0)</f>
        <v>0.94444444444444442</v>
      </c>
      <c r="L91" s="78" t="e">
        <f>VLOOKUP($L$2, Total_Journeys_Per_Year[#All],MATCH(A91, Total_Journeys_Per_Year[#Headers],0),0)</f>
        <v>#N/A</v>
      </c>
      <c r="M91" s="35" t="e">
        <f t="shared" si="1"/>
        <v>#N/A</v>
      </c>
      <c r="N91" s="35" t="e">
        <f>VLOOKUP($N$2, Private_Vehicle_Kilometres_Car_Stock[#All],MATCH(A91, Private_Vehicle_Kilometres_Car_Stock[#Headers],0),0)</f>
        <v>#N/A</v>
      </c>
    </row>
    <row r="92" spans="1:14" x14ac:dyDescent="0.25">
      <c r="A92" s="79" t="s">
        <v>32</v>
      </c>
      <c r="B92" s="13" t="s">
        <v>1</v>
      </c>
      <c r="C92" s="13" t="s">
        <v>47</v>
      </c>
      <c r="D92" s="5">
        <f>VLOOKUP(B92,Percentage_distribution_of_journey_distance_for_all_regions[#All],MATCH(A92,Percentage_distribution_of_journey_distance_for_all_regions[#Headers],0),0)/100</f>
        <v>0.41899999999999998</v>
      </c>
      <c r="E92" s="71">
        <f>IF(B92="&lt;2 kilometres",1,0)*VLOOKUP(C92, Percentage_dist_journeys_by_purpose_and_distance_to_2km[#All],MATCH(A92, Percentage_dist_journeys_by_purpose_and_distance_to_2km[#Headers],0),0)/100</f>
        <v>0</v>
      </c>
      <c r="F92" s="4">
        <f>IF(B92="2-4 kilometres",1,0)*VLOOKUP(C92, Percentage_dist_journeys_by_purpose_and_distance_2_to_4km[#All],MATCH(A92, Percentage_dist_journeys_by_purpose_and_distance_2_to_4km[#Headers],0),0)/100</f>
        <v>0</v>
      </c>
      <c r="G92" s="72">
        <f>IF(B92="4-6 kilometres",1,0)*VLOOKUP(C92, Percentage_dist_journeys_by_purpose_and_distance_4_to_6km[#All],MATCH(A92, Percentage_dist_journeys_by_purpose_and_distance_4_to_6km[#Headers],0),0)/100</f>
        <v>0</v>
      </c>
      <c r="H92" s="4">
        <f>IF(B92="6-8 kilometres",1,0)*VLOOKUP(C92, Percentage_dist_journeys_by_purpose_and_distance_6_to_8km[#All],MATCH(A92, Percentage_dist_journeys_by_purpose_and_distance_6_to_8km[#Headers],0),0)/100</f>
        <v>0</v>
      </c>
      <c r="I92" s="72">
        <f>IF(B92="8+ kilometres",1,0)*VLOOKUP(C92, Percentage_dist_journeys_by_purpose_and_distance_8km[#All],MATCH(A92, Percentage_dist_journeys_by_purpose_and_distance_8km[#Headers],0),0)/100</f>
        <v>8.900000000000001E-2</v>
      </c>
      <c r="J92" s="73">
        <f>VLOOKUP(B92,Average_Distance_by_kilometres_grouping_for_trip_purpose[#All],MATCH(A92,Average_Distance_by_kilometres_grouping_for_trip_purpose[#Headers],0),0)</f>
        <v>34.770000000000003</v>
      </c>
      <c r="K92" s="77">
        <f>VLOOKUP(C92, Adjustment_factor_for_distance_based_on_trip_purpose[#All],MATCH(A92, Adjustment_factor_for_distance_based_on_trip_purpose[#Headers],0),0)</f>
        <v>0.94444444444444442</v>
      </c>
      <c r="L92" s="78" t="e">
        <f>VLOOKUP($L$2, Total_Journeys_Per_Year[#All],MATCH(A92, Total_Journeys_Per_Year[#Headers],0),0)</f>
        <v>#N/A</v>
      </c>
      <c r="M92" s="35" t="e">
        <f t="shared" si="1"/>
        <v>#N/A</v>
      </c>
      <c r="N92" s="35" t="e">
        <f>VLOOKUP($N$2, Private_Vehicle_Kilometres_Car_Stock[#All],MATCH(A92, Private_Vehicle_Kilometres_Car_Stock[#Headers],0),0)</f>
        <v>#N/A</v>
      </c>
    </row>
    <row r="93" spans="1:14" x14ac:dyDescent="0.25">
      <c r="A93" s="79" t="s">
        <v>32</v>
      </c>
      <c r="B93" s="13" t="s">
        <v>12</v>
      </c>
      <c r="C93" s="13" t="s">
        <v>48</v>
      </c>
      <c r="D93" s="5">
        <f>VLOOKUP(B93,Percentage_distribution_of_journey_distance_for_all_regions[#All],MATCH(A93,Percentage_distribution_of_journey_distance_for_all_regions[#Headers],0),0)/100</f>
        <v>0.223</v>
      </c>
      <c r="E93" s="71">
        <f>IF(B93="&lt;2 kilometres",1,0)*VLOOKUP(C93, Percentage_dist_journeys_by_purpose_and_distance_to_2km[#All],MATCH(A93, Percentage_dist_journeys_by_purpose_and_distance_to_2km[#Headers],0),0)/100</f>
        <v>0.06</v>
      </c>
      <c r="F93" s="4">
        <f>IF(B93="2-4 kilometres",1,0)*VLOOKUP(C93, Percentage_dist_journeys_by_purpose_and_distance_2_to_4km[#All],MATCH(A93, Percentage_dist_journeys_by_purpose_and_distance_2_to_4km[#Headers],0),0)/100</f>
        <v>0</v>
      </c>
      <c r="G93" s="72">
        <f>IF(B93="4-6 kilometres",1,0)*VLOOKUP(C93, Percentage_dist_journeys_by_purpose_and_distance_4_to_6km[#All],MATCH(A93, Percentage_dist_journeys_by_purpose_and_distance_4_to_6km[#Headers],0),0)/100</f>
        <v>0</v>
      </c>
      <c r="H93" s="4">
        <f>IF(B93="6-8 kilometres",1,0)*VLOOKUP(C93, Percentage_dist_journeys_by_purpose_and_distance_6_to_8km[#All],MATCH(A93, Percentage_dist_journeys_by_purpose_and_distance_6_to_8km[#Headers],0),0)/100</f>
        <v>0</v>
      </c>
      <c r="I93" s="72">
        <f>IF(B93="8+ kilometres",1,0)*VLOOKUP(C93, Percentage_dist_journeys_by_purpose_and_distance_8km[#All],MATCH(A93, Percentage_dist_journeys_by_purpose_and_distance_8km[#Headers],0),0)/100</f>
        <v>0</v>
      </c>
      <c r="J93" s="73">
        <f>VLOOKUP(B93,Average_Distance_by_kilometres_grouping_for_trip_purpose[#All],MATCH(A93,Average_Distance_by_kilometres_grouping_for_trip_purpose[#Headers],0),0)</f>
        <v>1</v>
      </c>
      <c r="K93" s="77">
        <f>VLOOKUP(C93, Adjustment_factor_for_distance_based_on_trip_purpose[#All],MATCH(A93, Adjustment_factor_for_distance_based_on_trip_purpose[#Headers],0),0)</f>
        <v>0.66666666666666663</v>
      </c>
      <c r="L93" s="78" t="e">
        <f>VLOOKUP($L$2, Total_Journeys_Per_Year[#All],MATCH(A93, Total_Journeys_Per_Year[#Headers],0),0)</f>
        <v>#N/A</v>
      </c>
      <c r="M93" s="35" t="e">
        <f t="shared" si="1"/>
        <v>#N/A</v>
      </c>
      <c r="N93" s="35" t="e">
        <f>VLOOKUP($N$2, Private_Vehicle_Kilometres_Car_Stock[#All],MATCH(A93, Private_Vehicle_Kilometres_Car_Stock[#Headers],0),0)</f>
        <v>#N/A</v>
      </c>
    </row>
    <row r="94" spans="1:14" x14ac:dyDescent="0.25">
      <c r="A94" s="79" t="s">
        <v>32</v>
      </c>
      <c r="B94" s="13" t="s">
        <v>181</v>
      </c>
      <c r="C94" s="13" t="s">
        <v>48</v>
      </c>
      <c r="D94" s="5">
        <f>VLOOKUP(B94,Percentage_distribution_of_journey_distance_for_all_regions[#All],MATCH(A94,Percentage_distribution_of_journey_distance_for_all_regions[#Headers],0),0)/100</f>
        <v>0.182</v>
      </c>
      <c r="E94" s="71">
        <f>IF(B94="&lt;2 kilometres",1,0)*VLOOKUP(C94, Percentage_dist_journeys_by_purpose_and_distance_to_2km[#All],MATCH(A94, Percentage_dist_journeys_by_purpose_and_distance_to_2km[#Headers],0),0)/100</f>
        <v>0</v>
      </c>
      <c r="F94" s="4">
        <f>IF(B94="2-4 kilometres",1,0)*VLOOKUP(C94, Percentage_dist_journeys_by_purpose_and_distance_2_to_4km[#All],MATCH(A94, Percentage_dist_journeys_by_purpose_and_distance_2_to_4km[#Headers],0),0)/100</f>
        <v>5.2999999999999999E-2</v>
      </c>
      <c r="G94" s="72">
        <f>IF(B94="4-6 kilometres",1,0)*VLOOKUP(C94, Percentage_dist_journeys_by_purpose_and_distance_4_to_6km[#All],MATCH(A94, Percentage_dist_journeys_by_purpose_and_distance_4_to_6km[#Headers],0),0)/100</f>
        <v>0</v>
      </c>
      <c r="H94" s="4">
        <f>IF(B94="6-8 kilometres",1,0)*VLOOKUP(C94, Percentage_dist_journeys_by_purpose_and_distance_6_to_8km[#All],MATCH(A94, Percentage_dist_journeys_by_purpose_and_distance_6_to_8km[#Headers],0),0)/100</f>
        <v>0</v>
      </c>
      <c r="I94" s="72">
        <f>IF(B94="8+ kilometres",1,0)*VLOOKUP(C94, Percentage_dist_journeys_by_purpose_and_distance_8km[#All],MATCH(A94, Percentage_dist_journeys_by_purpose_and_distance_8km[#Headers],0),0)/100</f>
        <v>0</v>
      </c>
      <c r="J94" s="73">
        <f>VLOOKUP(B94,Average_Distance_by_kilometres_grouping_for_trip_purpose[#All],MATCH(A94,Average_Distance_by_kilometres_grouping_for_trip_purpose[#Headers],0),0)</f>
        <v>3</v>
      </c>
      <c r="K94" s="77">
        <f>VLOOKUP(C94, Adjustment_factor_for_distance_based_on_trip_purpose[#All],MATCH(A94, Adjustment_factor_for_distance_based_on_trip_purpose[#Headers],0),0)</f>
        <v>0.66666666666666663</v>
      </c>
      <c r="L94" s="78" t="e">
        <f>VLOOKUP($L$2, Total_Journeys_Per_Year[#All],MATCH(A94, Total_Journeys_Per_Year[#Headers],0),0)</f>
        <v>#N/A</v>
      </c>
      <c r="M94" s="35" t="e">
        <f t="shared" si="1"/>
        <v>#N/A</v>
      </c>
      <c r="N94" s="35" t="e">
        <f>VLOOKUP($N$2, Private_Vehicle_Kilometres_Car_Stock[#All],MATCH(A94, Private_Vehicle_Kilometres_Car_Stock[#Headers],0),0)</f>
        <v>#N/A</v>
      </c>
    </row>
    <row r="95" spans="1:14" x14ac:dyDescent="0.25">
      <c r="A95" s="79" t="s">
        <v>32</v>
      </c>
      <c r="B95" s="13" t="s">
        <v>180</v>
      </c>
      <c r="C95" s="13" t="s">
        <v>48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Percentage_dist_journeys_by_purpose_and_distance_to_2km[#All],MATCH(A95, Percentage_dist_journeys_by_purpose_and_distance_to_2km[#Headers],0),0)/100</f>
        <v>0</v>
      </c>
      <c r="F95" s="4">
        <f>IF(B95="2-4 kilometres",1,0)*VLOOKUP(C95, Percentage_dist_journeys_by_purpose_and_distance_2_to_4km[#All],MATCH(A95, Percentage_dist_journeys_by_purpose_and_distance_2_to_4km[#Headers],0),0)/100</f>
        <v>0</v>
      </c>
      <c r="G95" s="72">
        <f>IF(B95="4-6 kilometres",1,0)*VLOOKUP(C95, Percentage_dist_journeys_by_purpose_and_distance_4_to_6km[#All],MATCH(A95, Percentage_dist_journeys_by_purpose_and_distance_4_to_6km[#Headers],0),0)/100</f>
        <v>4.4000000000000004E-2</v>
      </c>
      <c r="H95" s="4">
        <f>IF(B95="6-8 kilometres",1,0)*VLOOKUP(C95, Percentage_dist_journeys_by_purpose_and_distance_6_to_8km[#All],MATCH(A95, Percentage_dist_journeys_by_purpose_and_distance_6_to_8km[#Headers],0),0)/100</f>
        <v>0</v>
      </c>
      <c r="I95" s="72">
        <f>IF(B95="8+ kilometres",1,0)*VLOOKUP(C95, Percentage_dist_journeys_by_purpose_and_distance_8km[#All],MATCH(A95, Percentage_dist_journeys_by_purpose_and_distance_8km[#Headers],0),0)/100</f>
        <v>0</v>
      </c>
      <c r="J95" s="73">
        <f>VLOOKUP(B95,Average_Distance_by_kilometres_grouping_for_trip_purpose[#All],MATCH(A95,Average_Distance_by_kilometres_grouping_for_trip_purpose[#Headers],0),0)</f>
        <v>5</v>
      </c>
      <c r="K95" s="77">
        <f>VLOOKUP(C95, Adjustment_factor_for_distance_based_on_trip_purpose[#All],MATCH(A95, Adjustment_factor_for_distance_based_on_trip_purpose[#Headers],0),0)</f>
        <v>0.66666666666666663</v>
      </c>
      <c r="L95" s="78" t="e">
        <f>VLOOKUP($L$2, Total_Journeys_Per_Year[#All],MATCH(A95, Total_Journeys_Per_Year[#Headers],0),0)</f>
        <v>#N/A</v>
      </c>
      <c r="M95" s="35" t="e">
        <f t="shared" si="1"/>
        <v>#N/A</v>
      </c>
      <c r="N95" s="35" t="e">
        <f>VLOOKUP($N$2, Private_Vehicle_Kilometres_Car_Stock[#All],MATCH(A95, Private_Vehicle_Kilometres_Car_Stock[#Headers],0),0)</f>
        <v>#N/A</v>
      </c>
    </row>
    <row r="96" spans="1:14" x14ac:dyDescent="0.25">
      <c r="A96" s="79" t="s">
        <v>32</v>
      </c>
      <c r="B96" s="13" t="s">
        <v>182</v>
      </c>
      <c r="C96" s="13" t="s">
        <v>48</v>
      </c>
      <c r="D96" s="5">
        <f>VLOOKUP(B96,Percentage_distribution_of_journey_distance_for_all_regions[#All],MATCH(A96,Percentage_distribution_of_journey_distance_for_all_regions[#Headers],0),0)/100</f>
        <v>0.06</v>
      </c>
      <c r="E96" s="71">
        <f>IF(B96="&lt;2 kilometres",1,0)*VLOOKUP(C96, Percentage_dist_journeys_by_purpose_and_distance_to_2km[#All],MATCH(A96, Percentage_dist_journeys_by_purpose_and_distance_to_2km[#Headers],0),0)/100</f>
        <v>0</v>
      </c>
      <c r="F96" s="4">
        <f>IF(B96="2-4 kilometres",1,0)*VLOOKUP(C96, Percentage_dist_journeys_by_purpose_and_distance_2_to_4km[#All],MATCH(A96, Percentage_dist_journeys_by_purpose_and_distance_2_to_4km[#Headers],0),0)/100</f>
        <v>0</v>
      </c>
      <c r="G96" s="72">
        <f>IF(B96="4-6 kilometres",1,0)*VLOOKUP(C96, Percentage_dist_journeys_by_purpose_and_distance_4_to_6km[#All],MATCH(A96, Percentage_dist_journeys_by_purpose_and_distance_4_to_6km[#Headers],0),0)/100</f>
        <v>0</v>
      </c>
      <c r="H96" s="4">
        <f>IF(B96="6-8 kilometres",1,0)*VLOOKUP(C96, Percentage_dist_journeys_by_purpose_and_distance_6_to_8km[#All],MATCH(A96, Percentage_dist_journeys_by_purpose_and_distance_6_to_8km[#Headers],0),0)/100</f>
        <v>5.2000000000000005E-2</v>
      </c>
      <c r="I96" s="72">
        <f>IF(B96="8+ kilometres",1,0)*VLOOKUP(C96, Percentage_dist_journeys_by_purpose_and_distance_8km[#All],MATCH(A96, Percentage_dist_journeys_by_purpose_and_distance_8km[#Headers],0),0)/100</f>
        <v>0</v>
      </c>
      <c r="J96" s="73">
        <f>VLOOKUP(B96,Average_Distance_by_kilometres_grouping_for_trip_purpose[#All],MATCH(A96,Average_Distance_by_kilometres_grouping_for_trip_purpose[#Headers],0),0)</f>
        <v>7</v>
      </c>
      <c r="K96" s="77">
        <f>VLOOKUP(C96, Adjustment_factor_for_distance_based_on_trip_purpose[#All],MATCH(A96, Adjustment_factor_for_distance_based_on_trip_purpose[#Headers],0),0)</f>
        <v>0.66666666666666663</v>
      </c>
      <c r="L96" s="78" t="e">
        <f>VLOOKUP($L$2, Total_Journeys_Per_Year[#All],MATCH(A96, Total_Journeys_Per_Year[#Headers],0),0)</f>
        <v>#N/A</v>
      </c>
      <c r="M96" s="35" t="e">
        <f t="shared" si="1"/>
        <v>#N/A</v>
      </c>
      <c r="N96" s="35" t="e">
        <f>VLOOKUP($N$2, Private_Vehicle_Kilometres_Car_Stock[#All],MATCH(A96, Private_Vehicle_Kilometres_Car_Stock[#Headers],0),0)</f>
        <v>#N/A</v>
      </c>
    </row>
    <row r="97" spans="1:14" x14ac:dyDescent="0.25">
      <c r="A97" s="79" t="s">
        <v>32</v>
      </c>
      <c r="B97" s="13" t="s">
        <v>1</v>
      </c>
      <c r="C97" s="13" t="s">
        <v>48</v>
      </c>
      <c r="D97" s="5">
        <f>VLOOKUP(B97,Percentage_distribution_of_journey_distance_for_all_regions[#All],MATCH(A97,Percentage_distribution_of_journey_distance_for_all_regions[#Headers],0),0)/100</f>
        <v>0.41899999999999998</v>
      </c>
      <c r="E97" s="71">
        <f>IF(B97="&lt;2 kilometres",1,0)*VLOOKUP(C97, Percentage_dist_journeys_by_purpose_and_distance_to_2km[#All],MATCH(A97, Percentage_dist_journeys_by_purpose_and_distance_to_2km[#Headers],0),0)/100</f>
        <v>0</v>
      </c>
      <c r="F97" s="4">
        <f>IF(B97="2-4 kilometres",1,0)*VLOOKUP(C97, Percentage_dist_journeys_by_purpose_and_distance_2_to_4km[#All],MATCH(A97, Percentage_dist_journeys_by_purpose_and_distance_2_to_4km[#Headers],0),0)/100</f>
        <v>0</v>
      </c>
      <c r="G97" s="72">
        <f>IF(B97="4-6 kilometres",1,0)*VLOOKUP(C97, Percentage_dist_journeys_by_purpose_and_distance_4_to_6km[#All],MATCH(A97, Percentage_dist_journeys_by_purpose_and_distance_4_to_6km[#Headers],0),0)/100</f>
        <v>0</v>
      </c>
      <c r="H97" s="4">
        <f>IF(B97="6-8 kilometres",1,0)*VLOOKUP(C97, Percentage_dist_journeys_by_purpose_and_distance_6_to_8km[#All],MATCH(A97, Percentage_dist_journeys_by_purpose_and_distance_6_to_8km[#Headers],0),0)/100</f>
        <v>0</v>
      </c>
      <c r="I97" s="72">
        <f>IF(B97="8+ kilometres",1,0)*VLOOKUP(C97, Percentage_dist_journeys_by_purpose_and_distance_8km[#All],MATCH(A97, Percentage_dist_journeys_by_purpose_and_distance_8km[#Headers],0),0)/100</f>
        <v>6.4000000000000001E-2</v>
      </c>
      <c r="J97" s="73">
        <f>VLOOKUP(B97,Average_Distance_by_kilometres_grouping_for_trip_purpose[#All],MATCH(A97,Average_Distance_by_kilometres_grouping_for_trip_purpose[#Headers],0),0)</f>
        <v>34.770000000000003</v>
      </c>
      <c r="K97" s="77">
        <f>VLOOKUP(C97, Adjustment_factor_for_distance_based_on_trip_purpose[#All],MATCH(A97, Adjustment_factor_for_distance_based_on_trip_purpose[#Headers],0),0)</f>
        <v>0.66666666666666663</v>
      </c>
      <c r="L97" s="78" t="e">
        <f>VLOOKUP($L$2, Total_Journeys_Per_Year[#All],MATCH(A97, Total_Journeys_Per_Year[#Headers],0),0)</f>
        <v>#N/A</v>
      </c>
      <c r="M97" s="35" t="e">
        <f t="shared" si="1"/>
        <v>#N/A</v>
      </c>
      <c r="N97" s="35" t="e">
        <f>VLOOKUP($N$2, Private_Vehicle_Kilometres_Car_Stock[#All],MATCH(A97, Private_Vehicle_Kilometres_Car_Stock[#Headers],0),0)</f>
        <v>#N/A</v>
      </c>
    </row>
    <row r="98" spans="1:14" x14ac:dyDescent="0.25">
      <c r="A98" s="79" t="s">
        <v>32</v>
      </c>
      <c r="B98" s="13" t="s">
        <v>12</v>
      </c>
      <c r="C98" s="13" t="s">
        <v>49</v>
      </c>
      <c r="D98" s="5">
        <f>VLOOKUP(B98,Percentage_distribution_of_journey_distance_for_all_regions[#All],MATCH(A98,Percentage_distribution_of_journey_distance_for_all_regions[#Headers],0),0)/100</f>
        <v>0.223</v>
      </c>
      <c r="E98" s="71">
        <f>IF(B98="&lt;2 kilometres",1,0)*VLOOKUP(C98, Percentage_dist_journeys_by_purpose_and_distance_to_2km[#All],MATCH(A98, Percentage_dist_journeys_by_purpose_and_distance_to_2km[#Headers],0),0)/100</f>
        <v>0.22600000000000001</v>
      </c>
      <c r="F98" s="4">
        <f>IF(B98="2-4 kilometres",1,0)*VLOOKUP(C98, Percentage_dist_journeys_by_purpose_and_distance_2_to_4km[#All],MATCH(A98, Percentage_dist_journeys_by_purpose_and_distance_2_to_4km[#Headers],0),0)/100</f>
        <v>0</v>
      </c>
      <c r="G98" s="72">
        <f>IF(B98="4-6 kilometres",1,0)*VLOOKUP(C98, Percentage_dist_journeys_by_purpose_and_distance_4_to_6km[#All],MATCH(A98, Percentage_dist_journeys_by_purpose_and_distance_4_to_6km[#Headers],0),0)/100</f>
        <v>0</v>
      </c>
      <c r="H98" s="4">
        <f>IF(B98="6-8 kilometres",1,0)*VLOOKUP(C98, Percentage_dist_journeys_by_purpose_and_distance_6_to_8km[#All],MATCH(A98, Percentage_dist_journeys_by_purpose_and_distance_6_to_8km[#Headers],0),0)/100</f>
        <v>0</v>
      </c>
      <c r="I98" s="72">
        <f>IF(B98="8+ kilometres",1,0)*VLOOKUP(C98, Percentage_dist_journeys_by_purpose_and_distance_8km[#All],MATCH(A98, Percentage_dist_journeys_by_purpose_and_distance_8km[#Headers],0),0)/100</f>
        <v>0</v>
      </c>
      <c r="J98" s="73">
        <f>VLOOKUP(B98,Average_Distance_by_kilometres_grouping_for_trip_purpose[#All],MATCH(A98,Average_Distance_by_kilometres_grouping_for_trip_purpose[#Headers],0),0)</f>
        <v>1</v>
      </c>
      <c r="K98" s="77">
        <f>VLOOKUP(C98, Adjustment_factor_for_distance_based_on_trip_purpose[#All],MATCH(A98, Adjustment_factor_for_distance_based_on_trip_purpose[#Headers],0),0)</f>
        <v>1.2222222222222223</v>
      </c>
      <c r="L98" s="78" t="e">
        <f>VLOOKUP($L$2, Total_Journeys_Per_Year[#All],MATCH(A98, Total_Journeys_Per_Year[#Headers],0),0)</f>
        <v>#N/A</v>
      </c>
      <c r="M98" s="35" t="e">
        <f t="shared" si="1"/>
        <v>#N/A</v>
      </c>
      <c r="N98" s="35" t="e">
        <f>VLOOKUP($N$2, Private_Vehicle_Kilometres_Car_Stock[#All],MATCH(A98, Private_Vehicle_Kilometres_Car_Stock[#Headers],0),0)</f>
        <v>#N/A</v>
      </c>
    </row>
    <row r="99" spans="1:14" x14ac:dyDescent="0.25">
      <c r="A99" s="79" t="s">
        <v>32</v>
      </c>
      <c r="B99" s="13" t="s">
        <v>181</v>
      </c>
      <c r="C99" s="13" t="s">
        <v>49</v>
      </c>
      <c r="D99" s="5">
        <f>VLOOKUP(B99,Percentage_distribution_of_journey_distance_for_all_regions[#All],MATCH(A99,Percentage_distribution_of_journey_distance_for_all_regions[#Headers],0),0)/100</f>
        <v>0.182</v>
      </c>
      <c r="E99" s="71">
        <f>IF(B99="&lt;2 kilometres",1,0)*VLOOKUP(C99, Percentage_dist_journeys_by_purpose_and_distance_to_2km[#All],MATCH(A99, Percentage_dist_journeys_by_purpose_and_distance_to_2km[#Headers],0),0)/100</f>
        <v>0</v>
      </c>
      <c r="F99" s="4">
        <f>IF(B99="2-4 kilometres",1,0)*VLOOKUP(C99, Percentage_dist_journeys_by_purpose_and_distance_2_to_4km[#All],MATCH(A99, Percentage_dist_journeys_by_purpose_and_distance_2_to_4km[#Headers],0),0)/100</f>
        <v>0.23300000000000001</v>
      </c>
      <c r="G99" s="72">
        <f>IF(B99="4-6 kilometres",1,0)*VLOOKUP(C99, Percentage_dist_journeys_by_purpose_and_distance_4_to_6km[#All],MATCH(A99, Percentage_dist_journeys_by_purpose_and_distance_4_to_6km[#Headers],0),0)/100</f>
        <v>0</v>
      </c>
      <c r="H99" s="4">
        <f>IF(B99="6-8 kilometres",1,0)*VLOOKUP(C99, Percentage_dist_journeys_by_purpose_and_distance_6_to_8km[#All],MATCH(A99, Percentage_dist_journeys_by_purpose_and_distance_6_to_8km[#Headers],0),0)/100</f>
        <v>0</v>
      </c>
      <c r="I99" s="72">
        <f>IF(B99="8+ kilometres",1,0)*VLOOKUP(C99, Percentage_dist_journeys_by_purpose_and_distance_8km[#All],MATCH(A99, Percentage_dist_journeys_by_purpose_and_distance_8km[#Headers],0),0)/100</f>
        <v>0</v>
      </c>
      <c r="J99" s="73">
        <f>VLOOKUP(B99,Average_Distance_by_kilometres_grouping_for_trip_purpose[#All],MATCH(A99,Average_Distance_by_kilometres_grouping_for_trip_purpose[#Headers],0),0)</f>
        <v>3</v>
      </c>
      <c r="K99" s="77">
        <f>VLOOKUP(C99, Adjustment_factor_for_distance_based_on_trip_purpose[#All],MATCH(A99, Adjustment_factor_for_distance_based_on_trip_purpose[#Headers],0),0)</f>
        <v>1.2222222222222223</v>
      </c>
      <c r="L99" s="78" t="e">
        <f>VLOOKUP($L$2, Total_Journeys_Per_Year[#All],MATCH(A99, Total_Journeys_Per_Year[#Headers],0),0)</f>
        <v>#N/A</v>
      </c>
      <c r="M99" s="35" t="e">
        <f t="shared" si="1"/>
        <v>#N/A</v>
      </c>
      <c r="N99" s="35" t="e">
        <f>VLOOKUP($N$2, Private_Vehicle_Kilometres_Car_Stock[#All],MATCH(A99, Private_Vehicle_Kilometres_Car_Stock[#Headers],0),0)</f>
        <v>#N/A</v>
      </c>
    </row>
    <row r="100" spans="1:14" x14ac:dyDescent="0.25">
      <c r="A100" s="79" t="s">
        <v>32</v>
      </c>
      <c r="B100" s="13" t="s">
        <v>180</v>
      </c>
      <c r="C100" s="13" t="s">
        <v>49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Percentage_dist_journeys_by_purpose_and_distance_to_2km[#All],MATCH(A100, Percentage_dist_journeys_by_purpose_and_distance_to_2km[#Headers],0),0)/100</f>
        <v>0</v>
      </c>
      <c r="F100" s="4">
        <f>IF(B100="2-4 kilometres",1,0)*VLOOKUP(C100, Percentage_dist_journeys_by_purpose_and_distance_2_to_4km[#All],MATCH(A100, Percentage_dist_journeys_by_purpose_and_distance_2_to_4km[#Headers],0),0)/100</f>
        <v>0</v>
      </c>
      <c r="G100" s="72">
        <f>IF(B100="4-6 kilometres",1,0)*VLOOKUP(C100, Percentage_dist_journeys_by_purpose_and_distance_4_to_6km[#All],MATCH(A100, Percentage_dist_journeys_by_purpose_and_distance_4_to_6km[#Headers],0),0)/100</f>
        <v>0.23199999999999998</v>
      </c>
      <c r="H100" s="4">
        <f>IF(B100="6-8 kilometres",1,0)*VLOOKUP(C100, Percentage_dist_journeys_by_purpose_and_distance_6_to_8km[#All],MATCH(A100, Percentage_dist_journeys_by_purpose_and_distance_6_to_8km[#Headers],0),0)/100</f>
        <v>0</v>
      </c>
      <c r="I100" s="72">
        <f>IF(B100="8+ kilometres",1,0)*VLOOKUP(C100, Percentage_dist_journeys_by_purpose_and_distance_8km[#All],MATCH(A100, Percentage_dist_journeys_by_purpose_and_distance_8km[#Headers],0),0)/100</f>
        <v>0</v>
      </c>
      <c r="J100" s="73">
        <f>VLOOKUP(B100,Average_Distance_by_kilometres_grouping_for_trip_purpose[#All],MATCH(A100,Average_Distance_by_kilometres_grouping_for_trip_purpose[#Headers],0),0)</f>
        <v>5</v>
      </c>
      <c r="K100" s="77">
        <f>VLOOKUP(C100, Adjustment_factor_for_distance_based_on_trip_purpose[#All],MATCH(A100, Adjustment_factor_for_distance_based_on_trip_purpose[#Headers],0),0)</f>
        <v>1.2222222222222223</v>
      </c>
      <c r="L100" s="78" t="e">
        <f>VLOOKUP($L$2, Total_Journeys_Per_Year[#All],MATCH(A100, Total_Journeys_Per_Year[#Headers],0),0)</f>
        <v>#N/A</v>
      </c>
      <c r="M100" s="35" t="e">
        <f t="shared" si="1"/>
        <v>#N/A</v>
      </c>
      <c r="N100" s="35" t="e">
        <f>VLOOKUP($N$2, Private_Vehicle_Kilometres_Car_Stock[#All],MATCH(A100, Private_Vehicle_Kilometres_Car_Stock[#Headers],0),0)</f>
        <v>#N/A</v>
      </c>
    </row>
    <row r="101" spans="1:14" x14ac:dyDescent="0.25">
      <c r="A101" s="79" t="s">
        <v>32</v>
      </c>
      <c r="B101" s="13" t="s">
        <v>182</v>
      </c>
      <c r="C101" s="13" t="s">
        <v>49</v>
      </c>
      <c r="D101" s="5">
        <f>VLOOKUP(B101,Percentage_distribution_of_journey_distance_for_all_regions[#All],MATCH(A101,Percentage_distribution_of_journey_distance_for_all_regions[#Headers],0),0)/100</f>
        <v>0.06</v>
      </c>
      <c r="E101" s="71">
        <f>IF(B101="&lt;2 kilometres",1,0)*VLOOKUP(C101, Percentage_dist_journeys_by_purpose_and_distance_to_2km[#All],MATCH(A101, Percentage_dist_journeys_by_purpose_and_distance_to_2km[#Headers],0),0)/100</f>
        <v>0</v>
      </c>
      <c r="F101" s="4">
        <f>IF(B101="2-4 kilometres",1,0)*VLOOKUP(C101, Percentage_dist_journeys_by_purpose_and_distance_2_to_4km[#All],MATCH(A101, Percentage_dist_journeys_by_purpose_and_distance_2_to_4km[#Headers],0),0)/100</f>
        <v>0</v>
      </c>
      <c r="G101" s="72">
        <f>IF(B101="4-6 kilometres",1,0)*VLOOKUP(C101, Percentage_dist_journeys_by_purpose_and_distance_4_to_6km[#All],MATCH(A101, Percentage_dist_journeys_by_purpose_and_distance_4_to_6km[#Headers],0),0)/100</f>
        <v>0</v>
      </c>
      <c r="H101" s="4">
        <f>IF(B101="6-8 kilometres",1,0)*VLOOKUP(C101, Percentage_dist_journeys_by_purpose_and_distance_6_to_8km[#All],MATCH(A101, Percentage_dist_journeys_by_purpose_and_distance_6_to_8km[#Headers],0),0)/100</f>
        <v>0.21</v>
      </c>
      <c r="I101" s="72">
        <f>IF(B101="8+ kilometres",1,0)*VLOOKUP(C101, Percentage_dist_journeys_by_purpose_and_distance_8km[#All],MATCH(A101, Percentage_dist_journeys_by_purpose_and_distance_8km[#Headers],0),0)/100</f>
        <v>0</v>
      </c>
      <c r="J101" s="73">
        <f>VLOOKUP(B101,Average_Distance_by_kilometres_grouping_for_trip_purpose[#All],MATCH(A101,Average_Distance_by_kilometres_grouping_for_trip_purpose[#Headers],0),0)</f>
        <v>7</v>
      </c>
      <c r="K101" s="77">
        <f>VLOOKUP(C101, Adjustment_factor_for_distance_based_on_trip_purpose[#All],MATCH(A101, Adjustment_factor_for_distance_based_on_trip_purpose[#Headers],0),0)</f>
        <v>1.2222222222222223</v>
      </c>
      <c r="L101" s="78" t="e">
        <f>VLOOKUP($L$2, Total_Journeys_Per_Year[#All],MATCH(A101, Total_Journeys_Per_Year[#Headers],0),0)</f>
        <v>#N/A</v>
      </c>
      <c r="M101" s="35" t="e">
        <f t="shared" si="1"/>
        <v>#N/A</v>
      </c>
      <c r="N101" s="35" t="e">
        <f>VLOOKUP($N$2, Private_Vehicle_Kilometres_Car_Stock[#All],MATCH(A101, Private_Vehicle_Kilometres_Car_Stock[#Headers],0),0)</f>
        <v>#N/A</v>
      </c>
    </row>
    <row r="102" spans="1:14" x14ac:dyDescent="0.25">
      <c r="A102" s="79" t="s">
        <v>32</v>
      </c>
      <c r="B102" s="13" t="s">
        <v>1</v>
      </c>
      <c r="C102" s="13" t="s">
        <v>49</v>
      </c>
      <c r="D102" s="5">
        <f>VLOOKUP(B102,Percentage_distribution_of_journey_distance_for_all_regions[#All],MATCH(A102,Percentage_distribution_of_journey_distance_for_all_regions[#Headers],0),0)/100</f>
        <v>0.41899999999999998</v>
      </c>
      <c r="E102" s="71">
        <f>IF(B102="&lt;2 kilometres",1,0)*VLOOKUP(C102, Percentage_dist_journeys_by_purpose_and_distance_to_2km[#All],MATCH(A102, Percentage_dist_journeys_by_purpose_and_distance_to_2km[#Headers],0),0)/100</f>
        <v>0</v>
      </c>
      <c r="F102" s="4">
        <f>IF(B102="2-4 kilometres",1,0)*VLOOKUP(C102, Percentage_dist_journeys_by_purpose_and_distance_2_to_4km[#All],MATCH(A102, Percentage_dist_journeys_by_purpose_and_distance_2_to_4km[#Headers],0),0)/100</f>
        <v>0</v>
      </c>
      <c r="G102" s="72">
        <f>IF(B102="4-6 kilometres",1,0)*VLOOKUP(C102, Percentage_dist_journeys_by_purpose_and_distance_4_to_6km[#All],MATCH(A102, Percentage_dist_journeys_by_purpose_and_distance_4_to_6km[#Headers],0),0)/100</f>
        <v>0</v>
      </c>
      <c r="H102" s="4">
        <f>IF(B102="6-8 kilometres",1,0)*VLOOKUP(C102, Percentage_dist_journeys_by_purpose_and_distance_6_to_8km[#All],MATCH(A102, Percentage_dist_journeys_by_purpose_and_distance_6_to_8km[#Headers],0),0)/100</f>
        <v>0</v>
      </c>
      <c r="I102" s="72">
        <f>IF(B102="8+ kilometres",1,0)*VLOOKUP(C102, Percentage_dist_journeys_by_purpose_and_distance_8km[#All],MATCH(A102, Percentage_dist_journeys_by_purpose_and_distance_8km[#Headers],0),0)/100</f>
        <v>0.13600000000000001</v>
      </c>
      <c r="J102" s="73">
        <f>VLOOKUP(B102,Average_Distance_by_kilometres_grouping_for_trip_purpose[#All],MATCH(A102,Average_Distance_by_kilometres_grouping_for_trip_purpose[#Headers],0),0)</f>
        <v>34.770000000000003</v>
      </c>
      <c r="K102" s="77">
        <f>VLOOKUP(C102, Adjustment_factor_for_distance_based_on_trip_purpose[#All],MATCH(A102, Adjustment_factor_for_distance_based_on_trip_purpose[#Headers],0),0)</f>
        <v>1.2222222222222223</v>
      </c>
      <c r="L102" s="78" t="e">
        <f>VLOOKUP($L$2, Total_Journeys_Per_Year[#All],MATCH(A102, Total_Journeys_Per_Year[#Headers],0),0)</f>
        <v>#N/A</v>
      </c>
      <c r="M102" s="35" t="e">
        <f t="shared" si="1"/>
        <v>#N/A</v>
      </c>
      <c r="N102" s="35" t="e">
        <f>VLOOKUP($N$2, Private_Vehicle_Kilometres_Car_Stock[#All],MATCH(A102, Private_Vehicle_Kilometres_Car_Stock[#Headers],0),0)</f>
        <v>#N/A</v>
      </c>
    </row>
    <row r="103" spans="1:14" x14ac:dyDescent="0.25">
      <c r="A103" s="79" t="s">
        <v>32</v>
      </c>
      <c r="B103" s="13" t="s">
        <v>12</v>
      </c>
      <c r="C103" s="13" t="s">
        <v>50</v>
      </c>
      <c r="D103" s="5">
        <f>VLOOKUP(B103,Percentage_distribution_of_journey_distance_for_all_regions[#All],MATCH(A103,Percentage_distribution_of_journey_distance_for_all_regions[#Headers],0),0)/100</f>
        <v>0.223</v>
      </c>
      <c r="E103" s="71">
        <f>IF(B103="&lt;2 kilometres",1,0)*VLOOKUP(C103, Percentage_dist_journeys_by_purpose_and_distance_to_2km[#All],MATCH(A103, Percentage_dist_journeys_by_purpose_and_distance_to_2km[#Headers],0),0)/100</f>
        <v>4.2999999999999997E-2</v>
      </c>
      <c r="F103" s="4">
        <f>IF(B103="2-4 kilometres",1,0)*VLOOKUP(C103, Percentage_dist_journeys_by_purpose_and_distance_2_to_4km[#All],MATCH(A103, Percentage_dist_journeys_by_purpose_and_distance_2_to_4km[#Headers],0),0)/100</f>
        <v>0</v>
      </c>
      <c r="G103" s="72">
        <f>IF(B103="4-6 kilometres",1,0)*VLOOKUP(C103, Percentage_dist_journeys_by_purpose_and_distance_4_to_6km[#All],MATCH(A103, Percentage_dist_journeys_by_purpose_and_distance_4_to_6km[#Headers],0),0)/100</f>
        <v>0</v>
      </c>
      <c r="H103" s="4">
        <f>IF(B103="6-8 kilometres",1,0)*VLOOKUP(C103, Percentage_dist_journeys_by_purpose_and_distance_6_to_8km[#All],MATCH(A103, Percentage_dist_journeys_by_purpose_and_distance_6_to_8km[#Headers],0),0)/100</f>
        <v>0</v>
      </c>
      <c r="I103" s="72">
        <f>IF(B103="8+ kilometres",1,0)*VLOOKUP(C103, Percentage_dist_journeys_by_purpose_and_distance_8km[#All],MATCH(A103, Percentage_dist_journeys_by_purpose_and_distance_8km[#Headers],0),0)/100</f>
        <v>0</v>
      </c>
      <c r="J103" s="73">
        <f>VLOOKUP(B103,Average_Distance_by_kilometres_grouping_for_trip_purpose[#All],MATCH(A103,Average_Distance_by_kilometres_grouping_for_trip_purpose[#Headers],0),0)</f>
        <v>1</v>
      </c>
      <c r="K103" s="77">
        <f>VLOOKUP(C103, Adjustment_factor_for_distance_based_on_trip_purpose[#All],MATCH(A103, Adjustment_factor_for_distance_based_on_trip_purpose[#Headers],0),0)</f>
        <v>0.77777777777777779</v>
      </c>
      <c r="L103" s="78" t="e">
        <f>VLOOKUP($L$2, Total_Journeys_Per_Year[#All],MATCH(A103, Total_Journeys_Per_Year[#Headers],0),0)</f>
        <v>#N/A</v>
      </c>
      <c r="M103" s="35" t="e">
        <f t="shared" si="1"/>
        <v>#N/A</v>
      </c>
      <c r="N103" s="35" t="e">
        <f>VLOOKUP($N$2, Private_Vehicle_Kilometres_Car_Stock[#All],MATCH(A103, Private_Vehicle_Kilometres_Car_Stock[#Headers],0),0)</f>
        <v>#N/A</v>
      </c>
    </row>
    <row r="104" spans="1:14" x14ac:dyDescent="0.25">
      <c r="A104" s="79" t="s">
        <v>32</v>
      </c>
      <c r="B104" s="13" t="s">
        <v>181</v>
      </c>
      <c r="C104" s="13" t="s">
        <v>50</v>
      </c>
      <c r="D104" s="5">
        <f>VLOOKUP(B104,Percentage_distribution_of_journey_distance_for_all_regions[#All],MATCH(A104,Percentage_distribution_of_journey_distance_for_all_regions[#Headers],0),0)/100</f>
        <v>0.182</v>
      </c>
      <c r="E104" s="71">
        <f>IF(B104="&lt;2 kilometres",1,0)*VLOOKUP(C104, Percentage_dist_journeys_by_purpose_and_distance_to_2km[#All],MATCH(A104, Percentage_dist_journeys_by_purpose_and_distance_to_2km[#Headers],0),0)/100</f>
        <v>0</v>
      </c>
      <c r="F104" s="4">
        <f>IF(B104="2-4 kilometres",1,0)*VLOOKUP(C104, Percentage_dist_journeys_by_purpose_and_distance_2_to_4km[#All],MATCH(A104, Percentage_dist_journeys_by_purpose_and_distance_2_to_4km[#Headers],0),0)/100</f>
        <v>4.8000000000000001E-2</v>
      </c>
      <c r="G104" s="72">
        <f>IF(B104="4-6 kilometres",1,0)*VLOOKUP(C104, Percentage_dist_journeys_by_purpose_and_distance_4_to_6km[#All],MATCH(A104, Percentage_dist_journeys_by_purpose_and_distance_4_to_6km[#Headers],0),0)/100</f>
        <v>0</v>
      </c>
      <c r="H104" s="4">
        <f>IF(B104="6-8 kilometres",1,0)*VLOOKUP(C104, Percentage_dist_journeys_by_purpose_and_distance_6_to_8km[#All],MATCH(A104, Percentage_dist_journeys_by_purpose_and_distance_6_to_8km[#Headers],0),0)/100</f>
        <v>0</v>
      </c>
      <c r="I104" s="72">
        <f>IF(B104="8+ kilometres",1,0)*VLOOKUP(C104, Percentage_dist_journeys_by_purpose_and_distance_8km[#All],MATCH(A104, Percentage_dist_journeys_by_purpose_and_distance_8km[#Headers],0),0)/100</f>
        <v>0</v>
      </c>
      <c r="J104" s="73">
        <f>VLOOKUP(B104,Average_Distance_by_kilometres_grouping_for_trip_purpose[#All],MATCH(A104,Average_Distance_by_kilometres_grouping_for_trip_purpose[#Headers],0),0)</f>
        <v>3</v>
      </c>
      <c r="K104" s="77">
        <f>VLOOKUP(C104, Adjustment_factor_for_distance_based_on_trip_purpose[#All],MATCH(A104, Adjustment_factor_for_distance_based_on_trip_purpose[#Headers],0),0)</f>
        <v>0.77777777777777779</v>
      </c>
      <c r="L104" s="78" t="e">
        <f>VLOOKUP($L$2, Total_Journeys_Per_Year[#All],MATCH(A104, Total_Journeys_Per_Year[#Headers],0),0)</f>
        <v>#N/A</v>
      </c>
      <c r="M104" s="35" t="e">
        <f t="shared" si="1"/>
        <v>#N/A</v>
      </c>
      <c r="N104" s="35" t="e">
        <f>VLOOKUP($N$2, Private_Vehicle_Kilometres_Car_Stock[#All],MATCH(A104, Private_Vehicle_Kilometres_Car_Stock[#Headers],0),0)</f>
        <v>#N/A</v>
      </c>
    </row>
    <row r="105" spans="1:14" x14ac:dyDescent="0.25">
      <c r="A105" s="79" t="s">
        <v>32</v>
      </c>
      <c r="B105" s="13" t="s">
        <v>180</v>
      </c>
      <c r="C105" s="13" t="s">
        <v>50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Percentage_dist_journeys_by_purpose_and_distance_to_2km[#All],MATCH(A105, Percentage_dist_journeys_by_purpose_and_distance_to_2km[#Headers],0),0)/100</f>
        <v>0</v>
      </c>
      <c r="F105" s="4">
        <f>IF(B105="2-4 kilometres",1,0)*VLOOKUP(C105, Percentage_dist_journeys_by_purpose_and_distance_2_to_4km[#All],MATCH(A105, Percentage_dist_journeys_by_purpose_and_distance_2_to_4km[#Headers],0),0)/100</f>
        <v>0</v>
      </c>
      <c r="G105" s="72">
        <f>IF(B105="4-6 kilometres",1,0)*VLOOKUP(C105, Percentage_dist_journeys_by_purpose_and_distance_4_to_6km[#All],MATCH(A105, Percentage_dist_journeys_by_purpose_and_distance_4_to_6km[#Headers],0),0)/100</f>
        <v>0.05</v>
      </c>
      <c r="H105" s="4">
        <f>IF(B105="6-8 kilometres",1,0)*VLOOKUP(C105, Percentage_dist_journeys_by_purpose_and_distance_6_to_8km[#All],MATCH(A105, Percentage_dist_journeys_by_purpose_and_distance_6_to_8km[#Headers],0),0)/100</f>
        <v>0</v>
      </c>
      <c r="I105" s="72">
        <f>IF(B105="8+ kilometres",1,0)*VLOOKUP(C105, Percentage_dist_journeys_by_purpose_and_distance_8km[#All],MATCH(A105, Percentage_dist_journeys_by_purpose_and_distance_8km[#Headers],0),0)/100</f>
        <v>0</v>
      </c>
      <c r="J105" s="73">
        <f>VLOOKUP(B105,Average_Distance_by_kilometres_grouping_for_trip_purpose[#All],MATCH(A105,Average_Distance_by_kilometres_grouping_for_trip_purpose[#Headers],0),0)</f>
        <v>5</v>
      </c>
      <c r="K105" s="77">
        <f>VLOOKUP(C105, Adjustment_factor_for_distance_based_on_trip_purpose[#All],MATCH(A105, Adjustment_factor_for_distance_based_on_trip_purpose[#Headers],0),0)</f>
        <v>0.77777777777777779</v>
      </c>
      <c r="L105" s="78" t="e">
        <f>VLOOKUP($L$2, Total_Journeys_Per_Year[#All],MATCH(A105, Total_Journeys_Per_Year[#Headers],0),0)</f>
        <v>#N/A</v>
      </c>
      <c r="M105" s="35" t="e">
        <f t="shared" si="1"/>
        <v>#N/A</v>
      </c>
      <c r="N105" s="35" t="e">
        <f>VLOOKUP($N$2, Private_Vehicle_Kilometres_Car_Stock[#All],MATCH(A105, Private_Vehicle_Kilometres_Car_Stock[#Headers],0),0)</f>
        <v>#N/A</v>
      </c>
    </row>
    <row r="106" spans="1:14" x14ac:dyDescent="0.25">
      <c r="A106" s="79" t="s">
        <v>32</v>
      </c>
      <c r="B106" s="13" t="s">
        <v>182</v>
      </c>
      <c r="C106" s="13" t="s">
        <v>50</v>
      </c>
      <c r="D106" s="5">
        <f>VLOOKUP(B106,Percentage_distribution_of_journey_distance_for_all_regions[#All],MATCH(A106,Percentage_distribution_of_journey_distance_for_all_regions[#Headers],0),0)/100</f>
        <v>0.06</v>
      </c>
      <c r="E106" s="71">
        <f>IF(B106="&lt;2 kilometres",1,0)*VLOOKUP(C106, Percentage_dist_journeys_by_purpose_and_distance_to_2km[#All],MATCH(A106, Percentage_dist_journeys_by_purpose_and_distance_to_2km[#Headers],0),0)/100</f>
        <v>0</v>
      </c>
      <c r="F106" s="4">
        <f>IF(B106="2-4 kilometres",1,0)*VLOOKUP(C106, Percentage_dist_journeys_by_purpose_and_distance_2_to_4km[#All],MATCH(A106, Percentage_dist_journeys_by_purpose_and_distance_2_to_4km[#Headers],0),0)/100</f>
        <v>0</v>
      </c>
      <c r="G106" s="72">
        <f>IF(B106="4-6 kilometres",1,0)*VLOOKUP(C106, Percentage_dist_journeys_by_purpose_and_distance_4_to_6km[#All],MATCH(A106, Percentage_dist_journeys_by_purpose_and_distance_4_to_6km[#Headers],0),0)/100</f>
        <v>0</v>
      </c>
      <c r="H106" s="4">
        <f>IF(B106="6-8 kilometres",1,0)*VLOOKUP(C106, Percentage_dist_journeys_by_purpose_and_distance_6_to_8km[#All],MATCH(A106, Percentage_dist_journeys_by_purpose_and_distance_6_to_8km[#Headers],0),0)/100</f>
        <v>4.5999999999999999E-2</v>
      </c>
      <c r="I106" s="72">
        <f>IF(B106="8+ kilometres",1,0)*VLOOKUP(C106, Percentage_dist_journeys_by_purpose_and_distance_8km[#All],MATCH(A106, Percentage_dist_journeys_by_purpose_and_distance_8km[#Headers],0),0)/100</f>
        <v>0</v>
      </c>
      <c r="J106" s="73">
        <f>VLOOKUP(B106,Average_Distance_by_kilometres_grouping_for_trip_purpose[#All],MATCH(A106,Average_Distance_by_kilometres_grouping_for_trip_purpose[#Headers],0),0)</f>
        <v>7</v>
      </c>
      <c r="K106" s="77">
        <f>VLOOKUP(C106, Adjustment_factor_for_distance_based_on_trip_purpose[#All],MATCH(A106, Adjustment_factor_for_distance_based_on_trip_purpose[#Headers],0),0)</f>
        <v>0.77777777777777779</v>
      </c>
      <c r="L106" s="78" t="e">
        <f>VLOOKUP($L$2, Total_Journeys_Per_Year[#All],MATCH(A106, Total_Journeys_Per_Year[#Headers],0),0)</f>
        <v>#N/A</v>
      </c>
      <c r="M106" s="35" t="e">
        <f t="shared" si="1"/>
        <v>#N/A</v>
      </c>
      <c r="N106" s="35" t="e">
        <f>VLOOKUP($N$2, Private_Vehicle_Kilometres_Car_Stock[#All],MATCH(A106, Private_Vehicle_Kilometres_Car_Stock[#Headers],0),0)</f>
        <v>#N/A</v>
      </c>
    </row>
    <row r="107" spans="1:14" x14ac:dyDescent="0.25">
      <c r="A107" s="79" t="s">
        <v>32</v>
      </c>
      <c r="B107" s="13" t="s">
        <v>1</v>
      </c>
      <c r="C107" s="13" t="s">
        <v>50</v>
      </c>
      <c r="D107" s="5">
        <f>VLOOKUP(B107,Percentage_distribution_of_journey_distance_for_all_regions[#All],MATCH(A107,Percentage_distribution_of_journey_distance_for_all_regions[#Headers],0),0)/100</f>
        <v>0.41899999999999998</v>
      </c>
      <c r="E107" s="71">
        <f>IF(B107="&lt;2 kilometres",1,0)*VLOOKUP(C107, Percentage_dist_journeys_by_purpose_and_distance_to_2km[#All],MATCH(A107, Percentage_dist_journeys_by_purpose_and_distance_to_2km[#Headers],0),0)/100</f>
        <v>0</v>
      </c>
      <c r="F107" s="4">
        <f>IF(B107="2-4 kilometres",1,0)*VLOOKUP(C107, Percentage_dist_journeys_by_purpose_and_distance_2_to_4km[#All],MATCH(A107, Percentage_dist_journeys_by_purpose_and_distance_2_to_4km[#Headers],0),0)/100</f>
        <v>0</v>
      </c>
      <c r="G107" s="72">
        <f>IF(B107="4-6 kilometres",1,0)*VLOOKUP(C107, Percentage_dist_journeys_by_purpose_and_distance_4_to_6km[#All],MATCH(A107, Percentage_dist_journeys_by_purpose_and_distance_4_to_6km[#Headers],0),0)/100</f>
        <v>0</v>
      </c>
      <c r="H107" s="4">
        <f>IF(B107="6-8 kilometres",1,0)*VLOOKUP(C107, Percentage_dist_journeys_by_purpose_and_distance_6_to_8km[#All],MATCH(A107, Percentage_dist_journeys_by_purpose_and_distance_6_to_8km[#Headers],0),0)/100</f>
        <v>0</v>
      </c>
      <c r="I107" s="72">
        <f>IF(B107="8+ kilometres",1,0)*VLOOKUP(C107, Percentage_dist_journeys_by_purpose_and_distance_8km[#All],MATCH(A107, Percentage_dist_journeys_by_purpose_and_distance_8km[#Headers],0),0)/100</f>
        <v>3.3000000000000002E-2</v>
      </c>
      <c r="J107" s="73">
        <f>VLOOKUP(B107,Average_Distance_by_kilometres_grouping_for_trip_purpose[#All],MATCH(A107,Average_Distance_by_kilometres_grouping_for_trip_purpose[#Headers],0),0)</f>
        <v>34.770000000000003</v>
      </c>
      <c r="K107" s="77">
        <f>VLOOKUP(C107, Adjustment_factor_for_distance_based_on_trip_purpose[#All],MATCH(A107, Adjustment_factor_for_distance_based_on_trip_purpose[#Headers],0),0)</f>
        <v>0.77777777777777779</v>
      </c>
      <c r="L107" s="78" t="e">
        <f>VLOOKUP($L$2, Total_Journeys_Per_Year[#All],MATCH(A107, Total_Journeys_Per_Year[#Headers],0),0)</f>
        <v>#N/A</v>
      </c>
      <c r="M107" s="35" t="e">
        <f t="shared" si="1"/>
        <v>#N/A</v>
      </c>
      <c r="N107" s="35" t="e">
        <f>VLOOKUP($N$2, Private_Vehicle_Kilometres_Car_Stock[#All],MATCH(A107, Private_Vehicle_Kilometres_Car_Stock[#Headers],0),0)</f>
        <v>#N/A</v>
      </c>
    </row>
    <row r="108" spans="1:14" x14ac:dyDescent="0.25">
      <c r="A108" s="79" t="s">
        <v>33</v>
      </c>
      <c r="B108" s="13" t="s">
        <v>12</v>
      </c>
      <c r="C108" s="13" t="s">
        <v>42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Percentage_dist_journeys_by_purpose_and_distance_to_2km[#All],MATCH(A108, Percentage_dist_journeys_by_purpose_and_distance_to_2km[#Headers],0),0)/100</f>
        <v>0.16399999999999998</v>
      </c>
      <c r="F108" s="4">
        <f>IF(B108="2-4 kilometres",1,0)*VLOOKUP(C108, Percentage_dist_journeys_by_purpose_and_distance_2_to_4km[#All],MATCH(A108, Percentage_dist_journeys_by_purpose_and_distance_2_to_4km[#Headers],0),0)/100</f>
        <v>0</v>
      </c>
      <c r="G108" s="72">
        <f>IF(B108="4-6 kilometres",1,0)*VLOOKUP(C108, Percentage_dist_journeys_by_purpose_and_distance_4_to_6km[#All],MATCH(A108, Percentage_dist_journeys_by_purpose_and_distance_4_to_6km[#Headers],0),0)/100</f>
        <v>0</v>
      </c>
      <c r="H108" s="4">
        <f>IF(B108="6-8 kilometres",1,0)*VLOOKUP(C108, Percentage_dist_journeys_by_purpose_and_distance_6_to_8km[#All],MATCH(A108, Percentage_dist_journeys_by_purpose_and_distance_6_to_8km[#Headers],0),0)/100</f>
        <v>0</v>
      </c>
      <c r="I108" s="72">
        <f>IF(B108="8+ kilometres",1,0)*VLOOKUP(C108, Percentage_dist_journeys_by_purpose_and_distance_8km[#All],MATCH(A108, Percentage_dist_journeys_by_purpose_and_distance_8km[#Headers],0),0)/100</f>
        <v>0</v>
      </c>
      <c r="J108" s="73">
        <f>VLOOKUP(B108,Average_Distance_by_kilometres_grouping_for_trip_purpose[#All],MATCH(A108,Average_Distance_by_kilometres_grouping_for_trip_purpose[#Headers],0),0)</f>
        <v>1</v>
      </c>
      <c r="K108" s="77">
        <f>VLOOKUP(C108, Adjustment_factor_for_distance_based_on_trip_purpose[#All],MATCH(A108, Adjustment_factor_for_distance_based_on_trip_purpose[#Headers],0),0)</f>
        <v>1</v>
      </c>
      <c r="L108" s="78" t="e">
        <f>VLOOKUP($L$2, Total_Journeys_Per_Year[#All],MATCH(A108, Total_Journeys_Per_Year[#Headers],0),0)</f>
        <v>#N/A</v>
      </c>
      <c r="M108" s="35" t="e">
        <f t="shared" si="1"/>
        <v>#N/A</v>
      </c>
      <c r="N108" s="35" t="e">
        <f>VLOOKUP($N$2, Private_Vehicle_Kilometres_Car_Stock[#All],MATCH(A108, Private_Vehicle_Kilometres_Car_Stock[#Headers],0),0)</f>
        <v>#N/A</v>
      </c>
    </row>
    <row r="109" spans="1:14" x14ac:dyDescent="0.25">
      <c r="A109" s="79" t="s">
        <v>33</v>
      </c>
      <c r="B109" s="13" t="s">
        <v>181</v>
      </c>
      <c r="C109" s="13" t="s">
        <v>42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Percentage_dist_journeys_by_purpose_and_distance_to_2km[#All],MATCH(A109, Percentage_dist_journeys_by_purpose_and_distance_to_2km[#Headers],0),0)/100</f>
        <v>0</v>
      </c>
      <c r="F109" s="4">
        <f>IF(B109="2-4 kilometres",1,0)*VLOOKUP(C109, Percentage_dist_journeys_by_purpose_and_distance_2_to_4km[#All],MATCH(A109, Percentage_dist_journeys_by_purpose_and_distance_2_to_4km[#Headers],0),0)/100</f>
        <v>0.191</v>
      </c>
      <c r="G109" s="72">
        <f>IF(B109="4-6 kilometres",1,0)*VLOOKUP(C109, Percentage_dist_journeys_by_purpose_and_distance_4_to_6km[#All],MATCH(A109, Percentage_dist_journeys_by_purpose_and_distance_4_to_6km[#Headers],0),0)/100</f>
        <v>0</v>
      </c>
      <c r="H109" s="4">
        <f>IF(B109="6-8 kilometres",1,0)*VLOOKUP(C109, Percentage_dist_journeys_by_purpose_and_distance_6_to_8km[#All],MATCH(A109, Percentage_dist_journeys_by_purpose_and_distance_6_to_8km[#Headers],0),0)/100</f>
        <v>0</v>
      </c>
      <c r="I109" s="72">
        <f>IF(B109="8+ kilometres",1,0)*VLOOKUP(C109, Percentage_dist_journeys_by_purpose_and_distance_8km[#All],MATCH(A109, Percentage_dist_journeys_by_purpose_and_distance_8km[#Headers],0),0)/100</f>
        <v>0</v>
      </c>
      <c r="J109" s="73">
        <f>VLOOKUP(B109,Average_Distance_by_kilometres_grouping_for_trip_purpose[#All],MATCH(A109,Average_Distance_by_kilometres_grouping_for_trip_purpose[#Headers],0),0)</f>
        <v>3</v>
      </c>
      <c r="K109" s="77">
        <f>VLOOKUP(C109, Adjustment_factor_for_distance_based_on_trip_purpose[#All],MATCH(A109, Adjustment_factor_for_distance_based_on_trip_purpose[#Headers],0),0)</f>
        <v>1</v>
      </c>
      <c r="L109" s="78" t="e">
        <f>VLOOKUP($L$2, Total_Journeys_Per_Year[#All],MATCH(A109, Total_Journeys_Per_Year[#Headers],0),0)</f>
        <v>#N/A</v>
      </c>
      <c r="M109" s="35" t="e">
        <f t="shared" si="1"/>
        <v>#N/A</v>
      </c>
      <c r="N109" s="35" t="e">
        <f>VLOOKUP($N$2, Private_Vehicle_Kilometres_Car_Stock[#All],MATCH(A109, Private_Vehicle_Kilometres_Car_Stock[#Headers],0),0)</f>
        <v>#N/A</v>
      </c>
    </row>
    <row r="110" spans="1:14" x14ac:dyDescent="0.25">
      <c r="A110" s="79" t="s">
        <v>33</v>
      </c>
      <c r="B110" s="13" t="s">
        <v>180</v>
      </c>
      <c r="C110" s="13" t="s">
        <v>42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Percentage_dist_journeys_by_purpose_and_distance_to_2km[#All],MATCH(A110, Percentage_dist_journeys_by_purpose_and_distance_to_2km[#Headers],0),0)/100</f>
        <v>0</v>
      </c>
      <c r="F110" s="4">
        <f>IF(B110="2-4 kilometres",1,0)*VLOOKUP(C110, Percentage_dist_journeys_by_purpose_and_distance_2_to_4km[#All],MATCH(A110, Percentage_dist_journeys_by_purpose_and_distance_2_to_4km[#Headers],0),0)/100</f>
        <v>0</v>
      </c>
      <c r="G110" s="72">
        <f>IF(B110="4-6 kilometres",1,0)*VLOOKUP(C110, Percentage_dist_journeys_by_purpose_and_distance_4_to_6km[#All],MATCH(A110, Percentage_dist_journeys_by_purpose_and_distance_4_to_6km[#Headers],0),0)/100</f>
        <v>0.22500000000000001</v>
      </c>
      <c r="H110" s="4">
        <f>IF(B110="6-8 kilometres",1,0)*VLOOKUP(C110, Percentage_dist_journeys_by_purpose_and_distance_6_to_8km[#All],MATCH(A110, Percentage_dist_journeys_by_purpose_and_distance_6_to_8km[#Headers],0),0)/100</f>
        <v>0</v>
      </c>
      <c r="I110" s="72">
        <f>IF(B110="8+ kilometres",1,0)*VLOOKUP(C110, Percentage_dist_journeys_by_purpose_and_distance_8km[#All],MATCH(A110, Percentage_dist_journeys_by_purpose_and_distance_8km[#Headers],0),0)/100</f>
        <v>0</v>
      </c>
      <c r="J110" s="73">
        <f>VLOOKUP(B110,Average_Distance_by_kilometres_grouping_for_trip_purpose[#All],MATCH(A110,Average_Distance_by_kilometres_grouping_for_trip_purpose[#Headers],0),0)</f>
        <v>5</v>
      </c>
      <c r="K110" s="77">
        <f>VLOOKUP(C110, Adjustment_factor_for_distance_based_on_trip_purpose[#All],MATCH(A110, Adjustment_factor_for_distance_based_on_trip_purpose[#Headers],0),0)</f>
        <v>1</v>
      </c>
      <c r="L110" s="78" t="e">
        <f>VLOOKUP($L$2, Total_Journeys_Per_Year[#All],MATCH(A110, Total_Journeys_Per_Year[#Headers],0),0)</f>
        <v>#N/A</v>
      </c>
      <c r="M110" s="35" t="e">
        <f t="shared" si="1"/>
        <v>#N/A</v>
      </c>
      <c r="N110" s="35" t="e">
        <f>VLOOKUP($N$2, Private_Vehicle_Kilometres_Car_Stock[#All],MATCH(A110, Private_Vehicle_Kilometres_Car_Stock[#Headers],0),0)</f>
        <v>#N/A</v>
      </c>
    </row>
    <row r="111" spans="1:14" x14ac:dyDescent="0.25">
      <c r="A111" s="79" t="s">
        <v>33</v>
      </c>
      <c r="B111" s="13" t="s">
        <v>182</v>
      </c>
      <c r="C111" s="13" t="s">
        <v>42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Percentage_dist_journeys_by_purpose_and_distance_to_2km[#All],MATCH(A111, Percentage_dist_journeys_by_purpose_and_distance_to_2km[#Headers],0),0)/100</f>
        <v>0</v>
      </c>
      <c r="F111" s="4">
        <f>IF(B111="2-4 kilometres",1,0)*VLOOKUP(C111, Percentage_dist_journeys_by_purpose_and_distance_2_to_4km[#All],MATCH(A111, Percentage_dist_journeys_by_purpose_and_distance_2_to_4km[#Headers],0),0)/100</f>
        <v>0</v>
      </c>
      <c r="G111" s="72">
        <f>IF(B111="4-6 kilometres",1,0)*VLOOKUP(C111, Percentage_dist_journeys_by_purpose_and_distance_4_to_6km[#All],MATCH(A111, Percentage_dist_journeys_by_purpose_and_distance_4_to_6km[#Headers],0),0)/100</f>
        <v>0</v>
      </c>
      <c r="H111" s="4">
        <f>IF(B111="6-8 kilometres",1,0)*VLOOKUP(C111, Percentage_dist_journeys_by_purpose_and_distance_6_to_8km[#All],MATCH(A111, Percentage_dist_journeys_by_purpose_and_distance_6_to_8km[#Headers],0),0)/100</f>
        <v>0.23399999999999999</v>
      </c>
      <c r="I111" s="72">
        <f>IF(B111="8+ kilometres",1,0)*VLOOKUP(C111, Percentage_dist_journeys_by_purpose_and_distance_8km[#All],MATCH(A111, Percentage_dist_journeys_by_purpose_and_distance_8km[#Headers],0),0)/100</f>
        <v>0</v>
      </c>
      <c r="J111" s="73">
        <f>VLOOKUP(B111,Average_Distance_by_kilometres_grouping_for_trip_purpose[#All],MATCH(A111,Average_Distance_by_kilometres_grouping_for_trip_purpose[#Headers],0),0)</f>
        <v>7</v>
      </c>
      <c r="K111" s="77">
        <f>VLOOKUP(C111, Adjustment_factor_for_distance_based_on_trip_purpose[#All],MATCH(A111, Adjustment_factor_for_distance_based_on_trip_purpose[#Headers],0),0)</f>
        <v>1</v>
      </c>
      <c r="L111" s="78" t="e">
        <f>VLOOKUP($L$2, Total_Journeys_Per_Year[#All],MATCH(A111, Total_Journeys_Per_Year[#Headers],0),0)</f>
        <v>#N/A</v>
      </c>
      <c r="M111" s="35" t="e">
        <f t="shared" si="1"/>
        <v>#N/A</v>
      </c>
      <c r="N111" s="35" t="e">
        <f>VLOOKUP($N$2, Private_Vehicle_Kilometres_Car_Stock[#All],MATCH(A111, Private_Vehicle_Kilometres_Car_Stock[#Headers],0),0)</f>
        <v>#N/A</v>
      </c>
    </row>
    <row r="112" spans="1:14" x14ac:dyDescent="0.25">
      <c r="A112" s="79" t="s">
        <v>33</v>
      </c>
      <c r="B112" s="13" t="s">
        <v>1</v>
      </c>
      <c r="C112" s="13" t="s">
        <v>42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Percentage_dist_journeys_by_purpose_and_distance_to_2km[#All],MATCH(A112, Percentage_dist_journeys_by_purpose_and_distance_to_2km[#Headers],0),0)/100</f>
        <v>0</v>
      </c>
      <c r="F112" s="4">
        <f>IF(B112="2-4 kilometres",1,0)*VLOOKUP(C112, Percentage_dist_journeys_by_purpose_and_distance_2_to_4km[#All],MATCH(A112, Percentage_dist_journeys_by_purpose_and_distance_2_to_4km[#Headers],0),0)/100</f>
        <v>0</v>
      </c>
      <c r="G112" s="72">
        <f>IF(B112="4-6 kilometres",1,0)*VLOOKUP(C112, Percentage_dist_journeys_by_purpose_and_distance_4_to_6km[#All],MATCH(A112, Percentage_dist_journeys_by_purpose_and_distance_4_to_6km[#Headers],0),0)/100</f>
        <v>0</v>
      </c>
      <c r="H112" s="4">
        <f>IF(B112="6-8 kilometres",1,0)*VLOOKUP(C112, Percentage_dist_journeys_by_purpose_and_distance_6_to_8km[#All],MATCH(A112, Percentage_dist_journeys_by_purpose_and_distance_6_to_8km[#Headers],0),0)/100</f>
        <v>0</v>
      </c>
      <c r="I112" s="72">
        <f>IF(B112="8+ kilometres",1,0)*VLOOKUP(C112, Percentage_dist_journeys_by_purpose_and_distance_8km[#All],MATCH(A112, Percentage_dist_journeys_by_purpose_and_distance_8km[#Headers],0),0)/100</f>
        <v>0.218</v>
      </c>
      <c r="J112" s="73">
        <f>VLOOKUP(B112,Average_Distance_by_kilometres_grouping_for_trip_purpose[#All],MATCH(A112,Average_Distance_by_kilometres_grouping_for_trip_purpose[#Headers],0),0)</f>
        <v>38.15</v>
      </c>
      <c r="K112" s="77">
        <f>VLOOKUP(C112, Adjustment_factor_for_distance_based_on_trip_purpose[#All],MATCH(A112, Adjustment_factor_for_distance_based_on_trip_purpose[#Headers],0),0)</f>
        <v>1</v>
      </c>
      <c r="L112" s="78" t="e">
        <f>VLOOKUP($L$2, Total_Journeys_Per_Year[#All],MATCH(A112, Total_Journeys_Per_Year[#Headers],0),0)</f>
        <v>#N/A</v>
      </c>
      <c r="M112" s="35" t="e">
        <f t="shared" si="1"/>
        <v>#N/A</v>
      </c>
      <c r="N112" s="35" t="e">
        <f>VLOOKUP($N$2, Private_Vehicle_Kilometres_Car_Stock[#All],MATCH(A112, Private_Vehicle_Kilometres_Car_Stock[#Headers],0),0)</f>
        <v>#N/A</v>
      </c>
    </row>
    <row r="113" spans="1:14" x14ac:dyDescent="0.25">
      <c r="A113" s="79" t="s">
        <v>33</v>
      </c>
      <c r="B113" s="13" t="s">
        <v>12</v>
      </c>
      <c r="C113" s="13" t="s">
        <v>43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Percentage_dist_journeys_by_purpose_and_distance_to_2km[#All],MATCH(A113, Percentage_dist_journeys_by_purpose_and_distance_to_2km[#Headers],0),0)/100</f>
        <v>6.6000000000000003E-2</v>
      </c>
      <c r="F113" s="4">
        <f>IF(B113="2-4 kilometres",1,0)*VLOOKUP(C113, Percentage_dist_journeys_by_purpose_and_distance_2_to_4km[#All],MATCH(A113, Percentage_dist_journeys_by_purpose_and_distance_2_to_4km[#Headers],0),0)/100</f>
        <v>0</v>
      </c>
      <c r="G113" s="72">
        <f>IF(B113="4-6 kilometres",1,0)*VLOOKUP(C113, Percentage_dist_journeys_by_purpose_and_distance_4_to_6km[#All],MATCH(A113, Percentage_dist_journeys_by_purpose_and_distance_4_to_6km[#Headers],0),0)/100</f>
        <v>0</v>
      </c>
      <c r="H113" s="4">
        <f>IF(B113="6-8 kilometres",1,0)*VLOOKUP(C113, Percentage_dist_journeys_by_purpose_and_distance_6_to_8km[#All],MATCH(A113, Percentage_dist_journeys_by_purpose_and_distance_6_to_8km[#Headers],0),0)/100</f>
        <v>0</v>
      </c>
      <c r="I113" s="72">
        <f>IF(B113="8+ kilometres",1,0)*VLOOKUP(C113, Percentage_dist_journeys_by_purpose_and_distance_8km[#All],MATCH(A113, Percentage_dist_journeys_by_purpose_and_distance_8km[#Headers],0),0)/100</f>
        <v>0</v>
      </c>
      <c r="J113" s="73">
        <f>VLOOKUP(B113,Average_Distance_by_kilometres_grouping_for_trip_purpose[#All],MATCH(A113,Average_Distance_by_kilometres_grouping_for_trip_purpose[#Headers],0),0)</f>
        <v>1</v>
      </c>
      <c r="K113" s="77">
        <f>VLOOKUP(C113, Adjustment_factor_for_distance_based_on_trip_purpose[#All],MATCH(A113, Adjustment_factor_for_distance_based_on_trip_purpose[#Headers],0),0)</f>
        <v>0.88888888888888884</v>
      </c>
      <c r="L113" s="78" t="e">
        <f>VLOOKUP($L$2, Total_Journeys_Per_Year[#All],MATCH(A113, Total_Journeys_Per_Year[#Headers],0),0)</f>
        <v>#N/A</v>
      </c>
      <c r="M113" s="35" t="e">
        <f t="shared" si="1"/>
        <v>#N/A</v>
      </c>
      <c r="N113" s="35" t="e">
        <f>VLOOKUP($N$2, Private_Vehicle_Kilometres_Car_Stock[#All],MATCH(A113, Private_Vehicle_Kilometres_Car_Stock[#Headers],0),0)</f>
        <v>#N/A</v>
      </c>
    </row>
    <row r="114" spans="1:14" x14ac:dyDescent="0.25">
      <c r="A114" s="79" t="s">
        <v>33</v>
      </c>
      <c r="B114" s="13" t="s">
        <v>181</v>
      </c>
      <c r="C114" s="13" t="s">
        <v>43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Percentage_dist_journeys_by_purpose_and_distance_to_2km[#All],MATCH(A114, Percentage_dist_journeys_by_purpose_and_distance_to_2km[#Headers],0),0)/100</f>
        <v>0</v>
      </c>
      <c r="F114" s="4">
        <f>IF(B114="2-4 kilometres",1,0)*VLOOKUP(C114, Percentage_dist_journeys_by_purpose_and_distance_2_to_4km[#All],MATCH(A114, Percentage_dist_journeys_by_purpose_and_distance_2_to_4km[#Headers],0),0)/100</f>
        <v>4.8000000000000001E-2</v>
      </c>
      <c r="G114" s="72">
        <f>IF(B114="4-6 kilometres",1,0)*VLOOKUP(C114, Percentage_dist_journeys_by_purpose_and_distance_4_to_6km[#All],MATCH(A114, Percentage_dist_journeys_by_purpose_and_distance_4_to_6km[#Headers],0),0)/100</f>
        <v>0</v>
      </c>
      <c r="H114" s="4">
        <f>IF(B114="6-8 kilometres",1,0)*VLOOKUP(C114, Percentage_dist_journeys_by_purpose_and_distance_6_to_8km[#All],MATCH(A114, Percentage_dist_journeys_by_purpose_and_distance_6_to_8km[#Headers],0),0)/100</f>
        <v>0</v>
      </c>
      <c r="I114" s="72">
        <f>IF(B114="8+ kilometres",1,0)*VLOOKUP(C114, Percentage_dist_journeys_by_purpose_and_distance_8km[#All],MATCH(A114, Percentage_dist_journeys_by_purpose_and_distance_8km[#Headers],0),0)/100</f>
        <v>0</v>
      </c>
      <c r="J114" s="73">
        <f>VLOOKUP(B114,Average_Distance_by_kilometres_grouping_for_trip_purpose[#All],MATCH(A114,Average_Distance_by_kilometres_grouping_for_trip_purpose[#Headers],0),0)</f>
        <v>3</v>
      </c>
      <c r="K114" s="77">
        <f>VLOOKUP(C114, Adjustment_factor_for_distance_based_on_trip_purpose[#All],MATCH(A114, Adjustment_factor_for_distance_based_on_trip_purpose[#Headers],0),0)</f>
        <v>0.88888888888888884</v>
      </c>
      <c r="L114" s="78" t="e">
        <f>VLOOKUP($L$2, Total_Journeys_Per_Year[#All],MATCH(A114, Total_Journeys_Per_Year[#Headers],0),0)</f>
        <v>#N/A</v>
      </c>
      <c r="M114" s="35" t="e">
        <f t="shared" si="1"/>
        <v>#N/A</v>
      </c>
      <c r="N114" s="35" t="e">
        <f>VLOOKUP($N$2, Private_Vehicle_Kilometres_Car_Stock[#All],MATCH(A114, Private_Vehicle_Kilometres_Car_Stock[#Headers],0),0)</f>
        <v>#N/A</v>
      </c>
    </row>
    <row r="115" spans="1:14" x14ac:dyDescent="0.25">
      <c r="A115" s="79" t="s">
        <v>33</v>
      </c>
      <c r="B115" s="13" t="s">
        <v>180</v>
      </c>
      <c r="C115" s="13" t="s">
        <v>43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Percentage_dist_journeys_by_purpose_and_distance_to_2km[#All],MATCH(A115, Percentage_dist_journeys_by_purpose_and_distance_to_2km[#Headers],0),0)/100</f>
        <v>0</v>
      </c>
      <c r="F115" s="4">
        <f>IF(B115="2-4 kilometres",1,0)*VLOOKUP(C115, Percentage_dist_journeys_by_purpose_and_distance_2_to_4km[#All],MATCH(A115, Percentage_dist_journeys_by_purpose_and_distance_2_to_4km[#Headers],0),0)/100</f>
        <v>0</v>
      </c>
      <c r="G115" s="72">
        <f>IF(B115="4-6 kilometres",1,0)*VLOOKUP(C115, Percentage_dist_journeys_by_purpose_and_distance_4_to_6km[#All],MATCH(A115, Percentage_dist_journeys_by_purpose_and_distance_4_to_6km[#Headers],0),0)/100</f>
        <v>4.0999999999999995E-2</v>
      </c>
      <c r="H115" s="4">
        <f>IF(B115="6-8 kilometres",1,0)*VLOOKUP(C115, Percentage_dist_journeys_by_purpose_and_distance_6_to_8km[#All],MATCH(A115, Percentage_dist_journeys_by_purpose_and_distance_6_to_8km[#Headers],0),0)/100</f>
        <v>0</v>
      </c>
      <c r="I115" s="72">
        <f>IF(B115="8+ kilometres",1,0)*VLOOKUP(C115, Percentage_dist_journeys_by_purpose_and_distance_8km[#All],MATCH(A115, Percentage_dist_journeys_by_purpose_and_distance_8km[#Headers],0),0)/100</f>
        <v>0</v>
      </c>
      <c r="J115" s="73">
        <f>VLOOKUP(B115,Average_Distance_by_kilometres_grouping_for_trip_purpose[#All],MATCH(A115,Average_Distance_by_kilometres_grouping_for_trip_purpose[#Headers],0),0)</f>
        <v>5</v>
      </c>
      <c r="K115" s="77">
        <f>VLOOKUP(C115, Adjustment_factor_for_distance_based_on_trip_purpose[#All],MATCH(A115, Adjustment_factor_for_distance_based_on_trip_purpose[#Headers],0),0)</f>
        <v>0.88888888888888884</v>
      </c>
      <c r="L115" s="78" t="e">
        <f>VLOOKUP($L$2, Total_Journeys_Per_Year[#All],MATCH(A115, Total_Journeys_Per_Year[#Headers],0),0)</f>
        <v>#N/A</v>
      </c>
      <c r="M115" s="35" t="e">
        <f t="shared" si="1"/>
        <v>#N/A</v>
      </c>
      <c r="N115" s="35" t="e">
        <f>VLOOKUP($N$2, Private_Vehicle_Kilometres_Car_Stock[#All],MATCH(A115, Private_Vehicle_Kilometres_Car_Stock[#Headers],0),0)</f>
        <v>#N/A</v>
      </c>
    </row>
    <row r="116" spans="1:14" x14ac:dyDescent="0.25">
      <c r="A116" s="79" t="s">
        <v>33</v>
      </c>
      <c r="B116" s="13" t="s">
        <v>182</v>
      </c>
      <c r="C116" s="13" t="s">
        <v>43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Percentage_dist_journeys_by_purpose_and_distance_to_2km[#All],MATCH(A116, Percentage_dist_journeys_by_purpose_and_distance_to_2km[#Headers],0),0)/100</f>
        <v>0</v>
      </c>
      <c r="F116" s="4">
        <f>IF(B116="2-4 kilometres",1,0)*VLOOKUP(C116, Percentage_dist_journeys_by_purpose_and_distance_2_to_4km[#All],MATCH(A116, Percentage_dist_journeys_by_purpose_and_distance_2_to_4km[#Headers],0),0)/100</f>
        <v>0</v>
      </c>
      <c r="G116" s="72">
        <f>IF(B116="4-6 kilometres",1,0)*VLOOKUP(C116, Percentage_dist_journeys_by_purpose_and_distance_4_to_6km[#All],MATCH(A116, Percentage_dist_journeys_by_purpose_and_distance_4_to_6km[#Headers],0),0)/100</f>
        <v>0</v>
      </c>
      <c r="H116" s="4">
        <f>IF(B116="6-8 kilometres",1,0)*VLOOKUP(C116, Percentage_dist_journeys_by_purpose_and_distance_6_to_8km[#All],MATCH(A116, Percentage_dist_journeys_by_purpose_and_distance_6_to_8km[#Headers],0),0)/100</f>
        <v>3.3000000000000002E-2</v>
      </c>
      <c r="I116" s="72">
        <f>IF(B116="8+ kilometres",1,0)*VLOOKUP(C116, Percentage_dist_journeys_by_purpose_and_distance_8km[#All],MATCH(A116, Percentage_dist_journeys_by_purpose_and_distance_8km[#Headers],0),0)/100</f>
        <v>0</v>
      </c>
      <c r="J116" s="73">
        <f>VLOOKUP(B116,Average_Distance_by_kilometres_grouping_for_trip_purpose[#All],MATCH(A116,Average_Distance_by_kilometres_grouping_for_trip_purpose[#Headers],0),0)</f>
        <v>7</v>
      </c>
      <c r="K116" s="77">
        <f>VLOOKUP(C116, Adjustment_factor_for_distance_based_on_trip_purpose[#All],MATCH(A116, Adjustment_factor_for_distance_based_on_trip_purpose[#Headers],0),0)</f>
        <v>0.88888888888888884</v>
      </c>
      <c r="L116" s="78" t="e">
        <f>VLOOKUP($L$2, Total_Journeys_Per_Year[#All],MATCH(A116, Total_Journeys_Per_Year[#Headers],0),0)</f>
        <v>#N/A</v>
      </c>
      <c r="M116" s="35" t="e">
        <f t="shared" si="1"/>
        <v>#N/A</v>
      </c>
      <c r="N116" s="35" t="e">
        <f>VLOOKUP($N$2, Private_Vehicle_Kilometres_Car_Stock[#All],MATCH(A116, Private_Vehicle_Kilometres_Car_Stock[#Headers],0),0)</f>
        <v>#N/A</v>
      </c>
    </row>
    <row r="117" spans="1:14" x14ac:dyDescent="0.25">
      <c r="A117" s="79" t="s">
        <v>33</v>
      </c>
      <c r="B117" s="13" t="s">
        <v>1</v>
      </c>
      <c r="C117" s="13" t="s">
        <v>43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Percentage_dist_journeys_by_purpose_and_distance_to_2km[#All],MATCH(A117, Percentage_dist_journeys_by_purpose_and_distance_to_2km[#Headers],0),0)/100</f>
        <v>0</v>
      </c>
      <c r="F117" s="4">
        <f>IF(B117="2-4 kilometres",1,0)*VLOOKUP(C117, Percentage_dist_journeys_by_purpose_and_distance_2_to_4km[#All],MATCH(A117, Percentage_dist_journeys_by_purpose_and_distance_2_to_4km[#Headers],0),0)/100</f>
        <v>0</v>
      </c>
      <c r="G117" s="72">
        <f>IF(B117="4-6 kilometres",1,0)*VLOOKUP(C117, Percentage_dist_journeys_by_purpose_and_distance_4_to_6km[#All],MATCH(A117, Percentage_dist_journeys_by_purpose_and_distance_4_to_6km[#Headers],0),0)/100</f>
        <v>0</v>
      </c>
      <c r="H117" s="4">
        <f>IF(B117="6-8 kilometres",1,0)*VLOOKUP(C117, Percentage_dist_journeys_by_purpose_and_distance_6_to_8km[#All],MATCH(A117, Percentage_dist_journeys_by_purpose_and_distance_6_to_8km[#Headers],0),0)/100</f>
        <v>0</v>
      </c>
      <c r="I117" s="72">
        <f>IF(B117="8+ kilometres",1,0)*VLOOKUP(C117, Percentage_dist_journeys_by_purpose_and_distance_8km[#All],MATCH(A117, Percentage_dist_journeys_by_purpose_and_distance_8km[#Headers],0),0)/100</f>
        <v>0.05</v>
      </c>
      <c r="J117" s="73">
        <f>VLOOKUP(B117,Average_Distance_by_kilometres_grouping_for_trip_purpose[#All],MATCH(A117,Average_Distance_by_kilometres_grouping_for_trip_purpose[#Headers],0),0)</f>
        <v>38.15</v>
      </c>
      <c r="K117" s="77">
        <f>VLOOKUP(C117, Adjustment_factor_for_distance_based_on_trip_purpose[#All],MATCH(A117, Adjustment_factor_for_distance_based_on_trip_purpose[#Headers],0),0)</f>
        <v>0.88888888888888884</v>
      </c>
      <c r="L117" s="78" t="e">
        <f>VLOOKUP($L$2, Total_Journeys_Per_Year[#All],MATCH(A117, Total_Journeys_Per_Year[#Headers],0),0)</f>
        <v>#N/A</v>
      </c>
      <c r="M117" s="35" t="e">
        <f t="shared" si="1"/>
        <v>#N/A</v>
      </c>
      <c r="N117" s="35" t="e">
        <f>VLOOKUP($N$2, Private_Vehicle_Kilometres_Car_Stock[#All],MATCH(A117, Private_Vehicle_Kilometres_Car_Stock[#Headers],0),0)</f>
        <v>#N/A</v>
      </c>
    </row>
    <row r="118" spans="1:14" x14ac:dyDescent="0.25">
      <c r="A118" s="79" t="s">
        <v>33</v>
      </c>
      <c r="B118" s="13" t="s">
        <v>12</v>
      </c>
      <c r="C118" s="13" t="s">
        <v>44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Percentage_dist_journeys_by_purpose_and_distance_to_2km[#All],MATCH(A118, Percentage_dist_journeys_by_purpose_and_distance_to_2km[#Headers],0),0)/100</f>
        <v>0.30299999999999999</v>
      </c>
      <c r="F118" s="4">
        <f>IF(B118="2-4 kilometres",1,0)*VLOOKUP(C118, Percentage_dist_journeys_by_purpose_and_distance_2_to_4km[#All],MATCH(A118, Percentage_dist_journeys_by_purpose_and_distance_2_to_4km[#Headers],0),0)/100</f>
        <v>0</v>
      </c>
      <c r="G118" s="72">
        <f>IF(B118="4-6 kilometres",1,0)*VLOOKUP(C118, Percentage_dist_journeys_by_purpose_and_distance_4_to_6km[#All],MATCH(A118, Percentage_dist_journeys_by_purpose_and_distance_4_to_6km[#Headers],0),0)/100</f>
        <v>0</v>
      </c>
      <c r="H118" s="4">
        <f>IF(B118="6-8 kilometres",1,0)*VLOOKUP(C118, Percentage_dist_journeys_by_purpose_and_distance_6_to_8km[#All],MATCH(A118, Percentage_dist_journeys_by_purpose_and_distance_6_to_8km[#Headers],0),0)/100</f>
        <v>0</v>
      </c>
      <c r="I118" s="72">
        <f>IF(B118="8+ kilometres",1,0)*VLOOKUP(C118, Percentage_dist_journeys_by_purpose_and_distance_8km[#All],MATCH(A118, Percentage_dist_journeys_by_purpose_and_distance_8km[#Headers],0),0)/100</f>
        <v>0</v>
      </c>
      <c r="J118" s="73">
        <f>VLOOKUP(B118,Average_Distance_by_kilometres_grouping_for_trip_purpose[#All],MATCH(A118,Average_Distance_by_kilometres_grouping_for_trip_purpose[#Headers],0),0)</f>
        <v>1</v>
      </c>
      <c r="K118" s="77">
        <f>VLOOKUP(C118, Adjustment_factor_for_distance_based_on_trip_purpose[#All],MATCH(A118, Adjustment_factor_for_distance_based_on_trip_purpose[#Headers],0),0)</f>
        <v>0.44444444444444442</v>
      </c>
      <c r="L118" s="78" t="e">
        <f>VLOOKUP($L$2, Total_Journeys_Per_Year[#All],MATCH(A118, Total_Journeys_Per_Year[#Headers],0),0)</f>
        <v>#N/A</v>
      </c>
      <c r="M118" s="35" t="e">
        <f t="shared" si="1"/>
        <v>#N/A</v>
      </c>
      <c r="N118" s="35" t="e">
        <f>VLOOKUP($N$2, Private_Vehicle_Kilometres_Car_Stock[#All],MATCH(A118, Private_Vehicle_Kilometres_Car_Stock[#Headers],0),0)</f>
        <v>#N/A</v>
      </c>
    </row>
    <row r="119" spans="1:14" x14ac:dyDescent="0.25">
      <c r="A119" s="79" t="s">
        <v>33</v>
      </c>
      <c r="B119" s="13" t="s">
        <v>181</v>
      </c>
      <c r="C119" s="13" t="s">
        <v>44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Percentage_dist_journeys_by_purpose_and_distance_to_2km[#All],MATCH(A119, Percentage_dist_journeys_by_purpose_and_distance_to_2km[#Headers],0),0)/100</f>
        <v>0</v>
      </c>
      <c r="F119" s="4">
        <f>IF(B119="2-4 kilometres",1,0)*VLOOKUP(C119, Percentage_dist_journeys_by_purpose_and_distance_2_to_4km[#All],MATCH(A119, Percentage_dist_journeys_by_purpose_and_distance_2_to_4km[#Headers],0),0)/100</f>
        <v>0.254</v>
      </c>
      <c r="G119" s="72">
        <f>IF(B119="4-6 kilometres",1,0)*VLOOKUP(C119, Percentage_dist_journeys_by_purpose_and_distance_4_to_6km[#All],MATCH(A119, Percentage_dist_journeys_by_purpose_and_distance_4_to_6km[#Headers],0),0)/100</f>
        <v>0</v>
      </c>
      <c r="H119" s="4">
        <f>IF(B119="6-8 kilometres",1,0)*VLOOKUP(C119, Percentage_dist_journeys_by_purpose_and_distance_6_to_8km[#All],MATCH(A119, Percentage_dist_journeys_by_purpose_and_distance_6_to_8km[#Headers],0),0)/100</f>
        <v>0</v>
      </c>
      <c r="I119" s="72">
        <f>IF(B119="8+ kilometres",1,0)*VLOOKUP(C119, Percentage_dist_journeys_by_purpose_and_distance_8km[#All],MATCH(A119, Percentage_dist_journeys_by_purpose_and_distance_8km[#Headers],0),0)/100</f>
        <v>0</v>
      </c>
      <c r="J119" s="73">
        <f>VLOOKUP(B119,Average_Distance_by_kilometres_grouping_for_trip_purpose[#All],MATCH(A119,Average_Distance_by_kilometres_grouping_for_trip_purpose[#Headers],0),0)</f>
        <v>3</v>
      </c>
      <c r="K119" s="77">
        <f>VLOOKUP(C119, Adjustment_factor_for_distance_based_on_trip_purpose[#All],MATCH(A119, Adjustment_factor_for_distance_based_on_trip_purpose[#Headers],0),0)</f>
        <v>0.44444444444444442</v>
      </c>
      <c r="L119" s="78" t="e">
        <f>VLOOKUP($L$2, Total_Journeys_Per_Year[#All],MATCH(A119, Total_Journeys_Per_Year[#Headers],0),0)</f>
        <v>#N/A</v>
      </c>
      <c r="M119" s="35" t="e">
        <f t="shared" si="1"/>
        <v>#N/A</v>
      </c>
      <c r="N119" s="35" t="e">
        <f>VLOOKUP($N$2, Private_Vehicle_Kilometres_Car_Stock[#All],MATCH(A119, Private_Vehicle_Kilometres_Car_Stock[#Headers],0),0)</f>
        <v>#N/A</v>
      </c>
    </row>
    <row r="120" spans="1:14" x14ac:dyDescent="0.25">
      <c r="A120" s="79" t="s">
        <v>33</v>
      </c>
      <c r="B120" s="13" t="s">
        <v>180</v>
      </c>
      <c r="C120" s="13" t="s">
        <v>44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Percentage_dist_journeys_by_purpose_and_distance_to_2km[#All],MATCH(A120, Percentage_dist_journeys_by_purpose_and_distance_to_2km[#Headers],0),0)/100</f>
        <v>0</v>
      </c>
      <c r="F120" s="4">
        <f>IF(B120="2-4 kilometres",1,0)*VLOOKUP(C120, Percentage_dist_journeys_by_purpose_and_distance_2_to_4km[#All],MATCH(A120, Percentage_dist_journeys_by_purpose_and_distance_2_to_4km[#Headers],0),0)/100</f>
        <v>0</v>
      </c>
      <c r="G120" s="72">
        <f>IF(B120="4-6 kilometres",1,0)*VLOOKUP(C120, Percentage_dist_journeys_by_purpose_and_distance_4_to_6km[#All],MATCH(A120, Percentage_dist_journeys_by_purpose_and_distance_4_to_6km[#Headers],0),0)/100</f>
        <v>0.221</v>
      </c>
      <c r="H120" s="4">
        <f>IF(B120="6-8 kilometres",1,0)*VLOOKUP(C120, Percentage_dist_journeys_by_purpose_and_distance_6_to_8km[#All],MATCH(A120, Percentage_dist_journeys_by_purpose_and_distance_6_to_8km[#Headers],0),0)/100</f>
        <v>0</v>
      </c>
      <c r="I120" s="72">
        <f>IF(B120="8+ kilometres",1,0)*VLOOKUP(C120, Percentage_dist_journeys_by_purpose_and_distance_8km[#All],MATCH(A120, Percentage_dist_journeys_by_purpose_and_distance_8km[#Headers],0),0)/100</f>
        <v>0</v>
      </c>
      <c r="J120" s="73">
        <f>VLOOKUP(B120,Average_Distance_by_kilometres_grouping_for_trip_purpose[#All],MATCH(A120,Average_Distance_by_kilometres_grouping_for_trip_purpose[#Headers],0),0)</f>
        <v>5</v>
      </c>
      <c r="K120" s="77">
        <f>VLOOKUP(C120, Adjustment_factor_for_distance_based_on_trip_purpose[#All],MATCH(A120, Adjustment_factor_for_distance_based_on_trip_purpose[#Headers],0),0)</f>
        <v>0.44444444444444442</v>
      </c>
      <c r="L120" s="78" t="e">
        <f>VLOOKUP($L$2, Total_Journeys_Per_Year[#All],MATCH(A120, Total_Journeys_Per_Year[#Headers],0),0)</f>
        <v>#N/A</v>
      </c>
      <c r="M120" s="35" t="e">
        <f t="shared" si="1"/>
        <v>#N/A</v>
      </c>
      <c r="N120" s="35" t="e">
        <f>VLOOKUP($N$2, Private_Vehicle_Kilometres_Car_Stock[#All],MATCH(A120, Private_Vehicle_Kilometres_Car_Stock[#Headers],0),0)</f>
        <v>#N/A</v>
      </c>
    </row>
    <row r="121" spans="1:14" x14ac:dyDescent="0.25">
      <c r="A121" s="79" t="s">
        <v>33</v>
      </c>
      <c r="B121" s="13" t="s">
        <v>182</v>
      </c>
      <c r="C121" s="13" t="s">
        <v>44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Percentage_dist_journeys_by_purpose_and_distance_to_2km[#All],MATCH(A121, Percentage_dist_journeys_by_purpose_and_distance_to_2km[#Headers],0),0)/100</f>
        <v>0</v>
      </c>
      <c r="F121" s="4">
        <f>IF(B121="2-4 kilometres",1,0)*VLOOKUP(C121, Percentage_dist_journeys_by_purpose_and_distance_2_to_4km[#All],MATCH(A121, Percentage_dist_journeys_by_purpose_and_distance_2_to_4km[#Headers],0),0)/100</f>
        <v>0</v>
      </c>
      <c r="G121" s="72">
        <f>IF(B121="4-6 kilometres",1,0)*VLOOKUP(C121, Percentage_dist_journeys_by_purpose_and_distance_4_to_6km[#All],MATCH(A121, Percentage_dist_journeys_by_purpose_and_distance_4_to_6km[#Headers],0),0)/100</f>
        <v>0</v>
      </c>
      <c r="H121" s="4">
        <f>IF(B121="6-8 kilometres",1,0)*VLOOKUP(C121, Percentage_dist_journeys_by_purpose_and_distance_6_to_8km[#All],MATCH(A121, Percentage_dist_journeys_by_purpose_and_distance_6_to_8km[#Headers],0),0)/100</f>
        <v>0.21199999999999999</v>
      </c>
      <c r="I121" s="72">
        <f>IF(B121="8+ kilometres",1,0)*VLOOKUP(C121, Percentage_dist_journeys_by_purpose_and_distance_8km[#All],MATCH(A121, Percentage_dist_journeys_by_purpose_and_distance_8km[#Headers],0),0)/100</f>
        <v>0</v>
      </c>
      <c r="J121" s="73">
        <f>VLOOKUP(B121,Average_Distance_by_kilometres_grouping_for_trip_purpose[#All],MATCH(A121,Average_Distance_by_kilometres_grouping_for_trip_purpose[#Headers],0),0)</f>
        <v>7</v>
      </c>
      <c r="K121" s="77">
        <f>VLOOKUP(C121, Adjustment_factor_for_distance_based_on_trip_purpose[#All],MATCH(A121, Adjustment_factor_for_distance_based_on_trip_purpose[#Headers],0),0)</f>
        <v>0.44444444444444442</v>
      </c>
      <c r="L121" s="78" t="e">
        <f>VLOOKUP($L$2, Total_Journeys_Per_Year[#All],MATCH(A121, Total_Journeys_Per_Year[#Headers],0),0)</f>
        <v>#N/A</v>
      </c>
      <c r="M121" s="35" t="e">
        <f t="shared" si="1"/>
        <v>#N/A</v>
      </c>
      <c r="N121" s="35" t="e">
        <f>VLOOKUP($N$2, Private_Vehicle_Kilometres_Car_Stock[#All],MATCH(A121, Private_Vehicle_Kilometres_Car_Stock[#Headers],0),0)</f>
        <v>#N/A</v>
      </c>
    </row>
    <row r="122" spans="1:14" x14ac:dyDescent="0.25">
      <c r="A122" s="79" t="s">
        <v>33</v>
      </c>
      <c r="B122" s="13" t="s">
        <v>1</v>
      </c>
      <c r="C122" s="13" t="s">
        <v>44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Percentage_dist_journeys_by_purpose_and_distance_to_2km[#All],MATCH(A122, Percentage_dist_journeys_by_purpose_and_distance_to_2km[#Headers],0),0)/100</f>
        <v>0</v>
      </c>
      <c r="F122" s="4">
        <f>IF(B122="2-4 kilometres",1,0)*VLOOKUP(C122, Percentage_dist_journeys_by_purpose_and_distance_2_to_4km[#All],MATCH(A122, Percentage_dist_journeys_by_purpose_and_distance_2_to_4km[#Headers],0),0)/100</f>
        <v>0</v>
      </c>
      <c r="G122" s="72">
        <f>IF(B122="4-6 kilometres",1,0)*VLOOKUP(C122, Percentage_dist_journeys_by_purpose_and_distance_4_to_6km[#All],MATCH(A122, Percentage_dist_journeys_by_purpose_and_distance_4_to_6km[#Headers],0),0)/100</f>
        <v>0</v>
      </c>
      <c r="H122" s="4">
        <f>IF(B122="6-8 kilometres",1,0)*VLOOKUP(C122, Percentage_dist_journeys_by_purpose_and_distance_6_to_8km[#All],MATCH(A122, Percentage_dist_journeys_by_purpose_and_distance_6_to_8km[#Headers],0),0)/100</f>
        <v>0</v>
      </c>
      <c r="I122" s="72">
        <f>IF(B122="8+ kilometres",1,0)*VLOOKUP(C122, Percentage_dist_journeys_by_purpose_and_distance_8km[#All],MATCH(A122, Percentage_dist_journeys_by_purpose_and_distance_8km[#Headers],0),0)/100</f>
        <v>0.23899999999999999</v>
      </c>
      <c r="J122" s="73">
        <f>VLOOKUP(B122,Average_Distance_by_kilometres_grouping_for_trip_purpose[#All],MATCH(A122,Average_Distance_by_kilometres_grouping_for_trip_purpose[#Headers],0),0)</f>
        <v>38.15</v>
      </c>
      <c r="K122" s="77">
        <f>VLOOKUP(C122, Adjustment_factor_for_distance_based_on_trip_purpose[#All],MATCH(A122, Adjustment_factor_for_distance_based_on_trip_purpose[#Headers],0),0)</f>
        <v>0.44444444444444442</v>
      </c>
      <c r="L122" s="78" t="e">
        <f>VLOOKUP($L$2, Total_Journeys_Per_Year[#All],MATCH(A122, Total_Journeys_Per_Year[#Headers],0),0)</f>
        <v>#N/A</v>
      </c>
      <c r="M122" s="35" t="e">
        <f t="shared" si="1"/>
        <v>#N/A</v>
      </c>
      <c r="N122" s="35" t="e">
        <f>VLOOKUP($N$2, Private_Vehicle_Kilometres_Car_Stock[#All],MATCH(A122, Private_Vehicle_Kilometres_Car_Stock[#Headers],0),0)</f>
        <v>#N/A</v>
      </c>
    </row>
    <row r="123" spans="1:14" x14ac:dyDescent="0.25">
      <c r="A123" s="79" t="s">
        <v>33</v>
      </c>
      <c r="B123" s="13" t="s">
        <v>12</v>
      </c>
      <c r="C123" s="13" t="s">
        <v>45</v>
      </c>
      <c r="D123" s="5">
        <f>VLOOKUP(B123,Percentage_distribution_of_journey_distance_for_all_regions[#All],MATCH(A123,Percentage_distribution_of_journey_distance_for_all_regions[#Headers],0),0)/100</f>
        <v>0.21100000000000002</v>
      </c>
      <c r="E123" s="71">
        <f>IF(B123="&lt;2 kilometres",1,0)*VLOOKUP(C123, Percentage_dist_journeys_by_purpose_and_distance_to_2km[#All],MATCH(A123, Percentage_dist_journeys_by_purpose_and_distance_to_2km[#Headers],0),0)/100</f>
        <v>3.4000000000000002E-2</v>
      </c>
      <c r="F123" s="4">
        <f>IF(B123="2-4 kilometres",1,0)*VLOOKUP(C123, Percentage_dist_journeys_by_purpose_and_distance_2_to_4km[#All],MATCH(A123, Percentage_dist_journeys_by_purpose_and_distance_2_to_4km[#Headers],0),0)/100</f>
        <v>0</v>
      </c>
      <c r="G123" s="72">
        <f>IF(B123="4-6 kilometres",1,0)*VLOOKUP(C123, Percentage_dist_journeys_by_purpose_and_distance_4_to_6km[#All],MATCH(A123, Percentage_dist_journeys_by_purpose_and_distance_4_to_6km[#Headers],0),0)/100</f>
        <v>0</v>
      </c>
      <c r="H123" s="4">
        <f>IF(B123="6-8 kilometres",1,0)*VLOOKUP(C123, Percentage_dist_journeys_by_purpose_and_distance_6_to_8km[#All],MATCH(A123, Percentage_dist_journeys_by_purpose_and_distance_6_to_8km[#Headers],0),0)/100</f>
        <v>0</v>
      </c>
      <c r="I123" s="72">
        <f>IF(B123="8+ kilometres",1,0)*VLOOKUP(C123, Percentage_dist_journeys_by_purpose_and_distance_8km[#All],MATCH(A123, Percentage_dist_journeys_by_purpose_and_distance_8km[#Headers],0),0)/100</f>
        <v>0</v>
      </c>
      <c r="J123" s="73">
        <f>VLOOKUP(B123,Average_Distance_by_kilometres_grouping_for_trip_purpose[#All],MATCH(A123,Average_Distance_by_kilometres_grouping_for_trip_purpose[#Headers],0),0)</f>
        <v>1</v>
      </c>
      <c r="K123" s="77">
        <f>VLOOKUP(C123, Adjustment_factor_for_distance_based_on_trip_purpose[#All],MATCH(A123, Adjustment_factor_for_distance_based_on_trip_purpose[#Headers],0),0)</f>
        <v>0.44444444444444442</v>
      </c>
      <c r="L123" s="78" t="e">
        <f>VLOOKUP($L$2, Total_Journeys_Per_Year[#All],MATCH(A123, Total_Journeys_Per_Year[#Headers],0),0)</f>
        <v>#N/A</v>
      </c>
      <c r="M123" s="35" t="e">
        <f t="shared" si="1"/>
        <v>#N/A</v>
      </c>
      <c r="N123" s="35" t="e">
        <f>VLOOKUP($N$2, Private_Vehicle_Kilometres_Car_Stock[#All],MATCH(A123, Private_Vehicle_Kilometres_Car_Stock[#Headers],0),0)</f>
        <v>#N/A</v>
      </c>
    </row>
    <row r="124" spans="1:14" x14ac:dyDescent="0.25">
      <c r="A124" s="79" t="s">
        <v>33</v>
      </c>
      <c r="B124" s="13" t="s">
        <v>181</v>
      </c>
      <c r="C124" s="13" t="s">
        <v>45</v>
      </c>
      <c r="D124" s="5">
        <f>VLOOKUP(B124,Percentage_distribution_of_journey_distance_for_all_regions[#All],MATCH(A124,Percentage_distribution_of_journey_distance_for_all_regions[#Headers],0),0)/100</f>
        <v>0.18899999999999997</v>
      </c>
      <c r="E124" s="71">
        <f>IF(B124="&lt;2 kilometres",1,0)*VLOOKUP(C124, Percentage_dist_journeys_by_purpose_and_distance_to_2km[#All],MATCH(A124, Percentage_dist_journeys_by_purpose_and_distance_to_2km[#Headers],0),0)/100</f>
        <v>0</v>
      </c>
      <c r="F124" s="4">
        <f>IF(B124="2-4 kilometres",1,0)*VLOOKUP(C124, Percentage_dist_journeys_by_purpose_and_distance_2_to_4km[#All],MATCH(A124, Percentage_dist_journeys_by_purpose_and_distance_2_to_4km[#Headers],0),0)/100</f>
        <v>1.9E-2</v>
      </c>
      <c r="G124" s="72">
        <f>IF(B124="4-6 kilometres",1,0)*VLOOKUP(C124, Percentage_dist_journeys_by_purpose_and_distance_4_to_6km[#All],MATCH(A124, Percentage_dist_journeys_by_purpose_and_distance_4_to_6km[#Headers],0),0)/100</f>
        <v>0</v>
      </c>
      <c r="H124" s="4">
        <f>IF(B124="6-8 kilometres",1,0)*VLOOKUP(C124, Percentage_dist_journeys_by_purpose_and_distance_6_to_8km[#All],MATCH(A124, Percentage_dist_journeys_by_purpose_and_distance_6_to_8km[#Headers],0),0)/100</f>
        <v>0</v>
      </c>
      <c r="I124" s="72">
        <f>IF(B124="8+ kilometres",1,0)*VLOOKUP(C124, Percentage_dist_journeys_by_purpose_and_distance_8km[#All],MATCH(A124, Percentage_dist_journeys_by_purpose_and_distance_8km[#Headers],0),0)/100</f>
        <v>0</v>
      </c>
      <c r="J124" s="73">
        <f>VLOOKUP(B124,Average_Distance_by_kilometres_grouping_for_trip_purpose[#All],MATCH(A124,Average_Distance_by_kilometres_grouping_for_trip_purpose[#Headers],0),0)</f>
        <v>3</v>
      </c>
      <c r="K124" s="77">
        <f>VLOOKUP(C124, Adjustment_factor_for_distance_based_on_trip_purpose[#All],MATCH(A124, Adjustment_factor_for_distance_based_on_trip_purpose[#Headers],0),0)</f>
        <v>0.44444444444444442</v>
      </c>
      <c r="L124" s="78" t="e">
        <f>VLOOKUP($L$2, Total_Journeys_Per_Year[#All],MATCH(A124, Total_Journeys_Per_Year[#Headers],0),0)</f>
        <v>#N/A</v>
      </c>
      <c r="M124" s="35" t="e">
        <f t="shared" si="1"/>
        <v>#N/A</v>
      </c>
      <c r="N124" s="35" t="e">
        <f>VLOOKUP($N$2, Private_Vehicle_Kilometres_Car_Stock[#All],MATCH(A124, Private_Vehicle_Kilometres_Car_Stock[#Headers],0),0)</f>
        <v>#N/A</v>
      </c>
    </row>
    <row r="125" spans="1:14" x14ac:dyDescent="0.25">
      <c r="A125" s="79" t="s">
        <v>33</v>
      </c>
      <c r="B125" s="13" t="s">
        <v>180</v>
      </c>
      <c r="C125" s="13" t="s">
        <v>45</v>
      </c>
      <c r="D125" s="5">
        <f>VLOOKUP(B125,Percentage_distribution_of_journey_distance_for_all_regions[#All],MATCH(A125,Percentage_distribution_of_journey_distance_for_all_regions[#Headers],0),0)/100</f>
        <v>0.11699999999999999</v>
      </c>
      <c r="E125" s="71">
        <f>IF(B125="&lt;2 kilometres",1,0)*VLOOKUP(C125, Percentage_dist_journeys_by_purpose_and_distance_to_2km[#All],MATCH(A125, Percentage_dist_journeys_by_purpose_and_distance_to_2km[#Headers],0),0)/100</f>
        <v>0</v>
      </c>
      <c r="F125" s="4">
        <f>IF(B125="2-4 kilometres",1,0)*VLOOKUP(C125, Percentage_dist_journeys_by_purpose_and_distance_2_to_4km[#All],MATCH(A125, Percentage_dist_journeys_by_purpose_and_distance_2_to_4km[#Headers],0),0)/100</f>
        <v>0</v>
      </c>
      <c r="G125" s="72">
        <f>IF(B125="4-6 kilometres",1,0)*VLOOKUP(C125, Percentage_dist_journeys_by_purpose_and_distance_4_to_6km[#All],MATCH(A125, Percentage_dist_journeys_by_purpose_and_distance_4_to_6km[#Headers],0),0)/100</f>
        <v>1.8000000000000002E-2</v>
      </c>
      <c r="H125" s="4">
        <f>IF(B125="6-8 kilometres",1,0)*VLOOKUP(C125, Percentage_dist_journeys_by_purpose_and_distance_6_to_8km[#All],MATCH(A125, Percentage_dist_journeys_by_purpose_and_distance_6_to_8km[#Headers],0),0)/100</f>
        <v>0</v>
      </c>
      <c r="I125" s="72">
        <f>IF(B125="8+ kilometres",1,0)*VLOOKUP(C125, Percentage_dist_journeys_by_purpose_and_distance_8km[#All],MATCH(A125, Percentage_dist_journeys_by_purpose_and_distance_8km[#Headers],0),0)/100</f>
        <v>0</v>
      </c>
      <c r="J125" s="73">
        <f>VLOOKUP(B125,Average_Distance_by_kilometres_grouping_for_trip_purpose[#All],MATCH(A125,Average_Distance_by_kilometres_grouping_for_trip_purpose[#Headers],0),0)</f>
        <v>5</v>
      </c>
      <c r="K125" s="77">
        <f>VLOOKUP(C125, Adjustment_factor_for_distance_based_on_trip_purpose[#All],MATCH(A125, Adjustment_factor_for_distance_based_on_trip_purpose[#Headers],0),0)</f>
        <v>0.44444444444444442</v>
      </c>
      <c r="L125" s="78" t="e">
        <f>VLOOKUP($L$2, Total_Journeys_Per_Year[#All],MATCH(A125, Total_Journeys_Per_Year[#Headers],0),0)</f>
        <v>#N/A</v>
      </c>
      <c r="M125" s="35" t="e">
        <f t="shared" si="1"/>
        <v>#N/A</v>
      </c>
      <c r="N125" s="35" t="e">
        <f>VLOOKUP($N$2, Private_Vehicle_Kilometres_Car_Stock[#All],MATCH(A125, Private_Vehicle_Kilometres_Car_Stock[#Headers],0),0)</f>
        <v>#N/A</v>
      </c>
    </row>
    <row r="126" spans="1:14" x14ac:dyDescent="0.25">
      <c r="A126" s="79" t="s">
        <v>33</v>
      </c>
      <c r="B126" s="13" t="s">
        <v>182</v>
      </c>
      <c r="C126" s="13" t="s">
        <v>45</v>
      </c>
      <c r="D126" s="5">
        <f>VLOOKUP(B126,Percentage_distribution_of_journey_distance_for_all_regions[#All],MATCH(A126,Percentage_distribution_of_journey_distance_for_all_regions[#Headers],0),0)/100</f>
        <v>6.6000000000000003E-2</v>
      </c>
      <c r="E126" s="71">
        <f>IF(B126="&lt;2 kilometres",1,0)*VLOOKUP(C126, Percentage_dist_journeys_by_purpose_and_distance_to_2km[#All],MATCH(A126, Percentage_dist_journeys_by_purpose_and_distance_to_2km[#Headers],0),0)/100</f>
        <v>0</v>
      </c>
      <c r="F126" s="4">
        <f>IF(B126="2-4 kilometres",1,0)*VLOOKUP(C126, Percentage_dist_journeys_by_purpose_and_distance_2_to_4km[#All],MATCH(A126, Percentage_dist_journeys_by_purpose_and_distance_2_to_4km[#Headers],0),0)/100</f>
        <v>0</v>
      </c>
      <c r="G126" s="72">
        <f>IF(B126="4-6 kilometres",1,0)*VLOOKUP(C126, Percentage_dist_journeys_by_purpose_and_distance_4_to_6km[#All],MATCH(A126, Percentage_dist_journeys_by_purpose_and_distance_4_to_6km[#Headers],0),0)/100</f>
        <v>0</v>
      </c>
      <c r="H126" s="4">
        <f>IF(B126="6-8 kilometres",1,0)*VLOOKUP(C126, Percentage_dist_journeys_by_purpose_and_distance_6_to_8km[#All],MATCH(A126, Percentage_dist_journeys_by_purpose_and_distance_6_to_8km[#Headers],0),0)/100</f>
        <v>1.9E-2</v>
      </c>
      <c r="I126" s="72">
        <f>IF(B126="8+ kilometres",1,0)*VLOOKUP(C126, Percentage_dist_journeys_by_purpose_and_distance_8km[#All],MATCH(A126, Percentage_dist_journeys_by_purpose_and_distance_8km[#Headers],0),0)/100</f>
        <v>0</v>
      </c>
      <c r="J126" s="73">
        <f>VLOOKUP(B126,Average_Distance_by_kilometres_grouping_for_trip_purpose[#All],MATCH(A126,Average_Distance_by_kilometres_grouping_for_trip_purpose[#Headers],0),0)</f>
        <v>7</v>
      </c>
      <c r="K126" s="77">
        <f>VLOOKUP(C126, Adjustment_factor_for_distance_based_on_trip_purpose[#All],MATCH(A126, Adjustment_factor_for_distance_based_on_trip_purpose[#Headers],0),0)</f>
        <v>0.44444444444444442</v>
      </c>
      <c r="L126" s="78" t="e">
        <f>VLOOKUP($L$2, Total_Journeys_Per_Year[#All],MATCH(A126, Total_Journeys_Per_Year[#Headers],0),0)</f>
        <v>#N/A</v>
      </c>
      <c r="M126" s="35" t="e">
        <f t="shared" si="1"/>
        <v>#N/A</v>
      </c>
      <c r="N126" s="35" t="e">
        <f>VLOOKUP($N$2, Private_Vehicle_Kilometres_Car_Stock[#All],MATCH(A126, Private_Vehicle_Kilometres_Car_Stock[#Headers],0),0)</f>
        <v>#N/A</v>
      </c>
    </row>
    <row r="127" spans="1:14" x14ac:dyDescent="0.25">
      <c r="A127" s="79" t="s">
        <v>33</v>
      </c>
      <c r="B127" s="13" t="s">
        <v>1</v>
      </c>
      <c r="C127" s="13" t="s">
        <v>45</v>
      </c>
      <c r="D127" s="5">
        <f>VLOOKUP(B127,Percentage_distribution_of_journey_distance_for_all_regions[#All],MATCH(A127,Percentage_distribution_of_journey_distance_for_all_regions[#Headers],0),0)/100</f>
        <v>0.41700000000000004</v>
      </c>
      <c r="E127" s="71">
        <f>IF(B127="&lt;2 kilometres",1,0)*VLOOKUP(C127, Percentage_dist_journeys_by_purpose_and_distance_to_2km[#All],MATCH(A127, Percentage_dist_journeys_by_purpose_and_distance_to_2km[#Headers],0),0)/100</f>
        <v>0</v>
      </c>
      <c r="F127" s="4">
        <f>IF(B127="2-4 kilometres",1,0)*VLOOKUP(C127, Percentage_dist_journeys_by_purpose_and_distance_2_to_4km[#All],MATCH(A127, Percentage_dist_journeys_by_purpose_and_distance_2_to_4km[#Headers],0),0)/100</f>
        <v>0</v>
      </c>
      <c r="G127" s="72">
        <f>IF(B127="4-6 kilometres",1,0)*VLOOKUP(C127, Percentage_dist_journeys_by_purpose_and_distance_4_to_6km[#All],MATCH(A127, Percentage_dist_journeys_by_purpose_and_distance_4_to_6km[#Headers],0),0)/100</f>
        <v>0</v>
      </c>
      <c r="H127" s="4">
        <f>IF(B127="6-8 kilometres",1,0)*VLOOKUP(C127, Percentage_dist_journeys_by_purpose_and_distance_6_to_8km[#All],MATCH(A127, Percentage_dist_journeys_by_purpose_and_distance_6_to_8km[#Headers],0),0)/100</f>
        <v>0</v>
      </c>
      <c r="I127" s="72">
        <f>IF(B127="8+ kilometres",1,0)*VLOOKUP(C127, Percentage_dist_journeys_by_purpose_and_distance_8km[#All],MATCH(A127, Percentage_dist_journeys_by_purpose_and_distance_8km[#Headers],0),0)/100</f>
        <v>2.2000000000000002E-2</v>
      </c>
      <c r="J127" s="73">
        <f>VLOOKUP(B127,Average_Distance_by_kilometres_grouping_for_trip_purpose[#All],MATCH(A127,Average_Distance_by_kilometres_grouping_for_trip_purpose[#Headers],0),0)</f>
        <v>38.15</v>
      </c>
      <c r="K127" s="77">
        <f>VLOOKUP(C127, Adjustment_factor_for_distance_based_on_trip_purpose[#All],MATCH(A127, Adjustment_factor_for_distance_based_on_trip_purpose[#Headers],0),0)</f>
        <v>0.44444444444444442</v>
      </c>
      <c r="L127" s="78" t="e">
        <f>VLOOKUP($L$2, Total_Journeys_Per_Year[#All],MATCH(A127, Total_Journeys_Per_Year[#Headers],0),0)</f>
        <v>#N/A</v>
      </c>
      <c r="M127" s="35" t="e">
        <f t="shared" si="1"/>
        <v>#N/A</v>
      </c>
      <c r="N127" s="35" t="e">
        <f>VLOOKUP($N$2, Private_Vehicle_Kilometres_Car_Stock[#All],MATCH(A127, Private_Vehicle_Kilometres_Car_Stock[#Headers],0),0)</f>
        <v>#N/A</v>
      </c>
    </row>
    <row r="128" spans="1:14" x14ac:dyDescent="0.25">
      <c r="A128" s="79" t="s">
        <v>33</v>
      </c>
      <c r="B128" s="13" t="s">
        <v>12</v>
      </c>
      <c r="C128" s="13" t="s">
        <v>46</v>
      </c>
      <c r="D128" s="5">
        <f>VLOOKUP(B128,Percentage_distribution_of_journey_distance_for_all_regions[#All],MATCH(A128,Percentage_distribution_of_journey_distance_for_all_regions[#Headers],0),0)/100</f>
        <v>0.21100000000000002</v>
      </c>
      <c r="E128" s="71">
        <f>IF(B128="&lt;2 kilometres",1,0)*VLOOKUP(C128, Percentage_dist_journeys_by_purpose_and_distance_to_2km[#All],MATCH(A128, Percentage_dist_journeys_by_purpose_and_distance_to_2km[#Headers],0),0)/100</f>
        <v>7.4999999999999997E-2</v>
      </c>
      <c r="F128" s="4">
        <f>IF(B128="2-4 kilometres",1,0)*VLOOKUP(C128, Percentage_dist_journeys_by_purpose_and_distance_2_to_4km[#All],MATCH(A128, Percentage_dist_journeys_by_purpose_and_distance_2_to_4km[#Headers],0),0)/100</f>
        <v>0</v>
      </c>
      <c r="G128" s="72">
        <f>IF(B128="4-6 kilometres",1,0)*VLOOKUP(C128, Percentage_dist_journeys_by_purpose_and_distance_4_to_6km[#All],MATCH(A128, Percentage_dist_journeys_by_purpose_and_distance_4_to_6km[#Headers],0),0)/100</f>
        <v>0</v>
      </c>
      <c r="H128" s="4">
        <f>IF(B128="6-8 kilometres",1,0)*VLOOKUP(C128, Percentage_dist_journeys_by_purpose_and_distance_6_to_8km[#All],MATCH(A128, Percentage_dist_journeys_by_purpose_and_distance_6_to_8km[#Headers],0),0)/100</f>
        <v>0</v>
      </c>
      <c r="I128" s="72">
        <f>IF(B128="8+ kilometres",1,0)*VLOOKUP(C128, Percentage_dist_journeys_by_purpose_and_distance_8km[#All],MATCH(A128, Percentage_dist_journeys_by_purpose_and_distance_8km[#Headers],0),0)/100</f>
        <v>0</v>
      </c>
      <c r="J128" s="73">
        <f>VLOOKUP(B128,Average_Distance_by_kilometres_grouping_for_trip_purpose[#All],MATCH(A128,Average_Distance_by_kilometres_grouping_for_trip_purpose[#Headers],0),0)</f>
        <v>1</v>
      </c>
      <c r="K128" s="77">
        <f>VLOOKUP(C128, Adjustment_factor_for_distance_based_on_trip_purpose[#All],MATCH(A128, Adjustment_factor_for_distance_based_on_trip_purpose[#Headers],0),0)</f>
        <v>0.94444444444444442</v>
      </c>
      <c r="L128" s="78" t="e">
        <f>VLOOKUP($L$2, Total_Journeys_Per_Year[#All],MATCH(A128, Total_Journeys_Per_Year[#Headers],0),0)</f>
        <v>#N/A</v>
      </c>
      <c r="M128" s="35" t="e">
        <f t="shared" si="1"/>
        <v>#N/A</v>
      </c>
      <c r="N128" s="35" t="e">
        <f>VLOOKUP($N$2, Private_Vehicle_Kilometres_Car_Stock[#All],MATCH(A128, Private_Vehicle_Kilometres_Car_Stock[#Headers],0),0)</f>
        <v>#N/A</v>
      </c>
    </row>
    <row r="129" spans="1:14" x14ac:dyDescent="0.25">
      <c r="A129" s="79" t="s">
        <v>33</v>
      </c>
      <c r="B129" s="13" t="s">
        <v>181</v>
      </c>
      <c r="C129" s="13" t="s">
        <v>46</v>
      </c>
      <c r="D129" s="5">
        <f>VLOOKUP(B129,Percentage_distribution_of_journey_distance_for_all_regions[#All],MATCH(A129,Percentage_distribution_of_journey_distance_for_all_regions[#Headers],0),0)/100</f>
        <v>0.18899999999999997</v>
      </c>
      <c r="E129" s="71">
        <f>IF(B129="&lt;2 kilometres",1,0)*VLOOKUP(C129, Percentage_dist_journeys_by_purpose_and_distance_to_2km[#All],MATCH(A129, Percentage_dist_journeys_by_purpose_and_distance_to_2km[#Headers],0),0)/100</f>
        <v>0</v>
      </c>
      <c r="F129" s="4">
        <f>IF(B129="2-4 kilometres",1,0)*VLOOKUP(C129, Percentage_dist_journeys_by_purpose_and_distance_2_to_4km[#All],MATCH(A129, Percentage_dist_journeys_by_purpose_and_distance_2_to_4km[#Headers],0),0)/100</f>
        <v>0.08</v>
      </c>
      <c r="G129" s="72">
        <f>IF(B129="4-6 kilometres",1,0)*VLOOKUP(C129, Percentage_dist_journeys_by_purpose_and_distance_4_to_6km[#All],MATCH(A129, Percentage_dist_journeys_by_purpose_and_distance_4_to_6km[#Headers],0),0)/100</f>
        <v>0</v>
      </c>
      <c r="H129" s="4">
        <f>IF(B129="6-8 kilometres",1,0)*VLOOKUP(C129, Percentage_dist_journeys_by_purpose_and_distance_6_to_8km[#All],MATCH(A129, Percentage_dist_journeys_by_purpose_and_distance_6_to_8km[#Headers],0),0)/100</f>
        <v>0</v>
      </c>
      <c r="I129" s="72">
        <f>IF(B129="8+ kilometres",1,0)*VLOOKUP(C129, Percentage_dist_journeys_by_purpose_and_distance_8km[#All],MATCH(A129, Percentage_dist_journeys_by_purpose_and_distance_8km[#Headers],0),0)/100</f>
        <v>0</v>
      </c>
      <c r="J129" s="73">
        <f>VLOOKUP(B129,Average_Distance_by_kilometres_grouping_for_trip_purpose[#All],MATCH(A129,Average_Distance_by_kilometres_grouping_for_trip_purpose[#Headers],0),0)</f>
        <v>3</v>
      </c>
      <c r="K129" s="77">
        <f>VLOOKUP(C129, Adjustment_factor_for_distance_based_on_trip_purpose[#All],MATCH(A129, Adjustment_factor_for_distance_based_on_trip_purpose[#Headers],0),0)</f>
        <v>0.94444444444444442</v>
      </c>
      <c r="L129" s="78" t="e">
        <f>VLOOKUP($L$2, Total_Journeys_Per_Year[#All],MATCH(A129, Total_Journeys_Per_Year[#Headers],0),0)</f>
        <v>#N/A</v>
      </c>
      <c r="M129" s="35" t="e">
        <f t="shared" si="1"/>
        <v>#N/A</v>
      </c>
      <c r="N129" s="35" t="e">
        <f>VLOOKUP($N$2, Private_Vehicle_Kilometres_Car_Stock[#All],MATCH(A129, Private_Vehicle_Kilometres_Car_Stock[#Headers],0),0)</f>
        <v>#N/A</v>
      </c>
    </row>
    <row r="130" spans="1:14" x14ac:dyDescent="0.25">
      <c r="A130" s="79" t="s">
        <v>33</v>
      </c>
      <c r="B130" s="13" t="s">
        <v>180</v>
      </c>
      <c r="C130" s="13" t="s">
        <v>46</v>
      </c>
      <c r="D130" s="5">
        <f>VLOOKUP(B130,Percentage_distribution_of_journey_distance_for_all_regions[#All],MATCH(A130,Percentage_distribution_of_journey_distance_for_all_regions[#Headers],0),0)/100</f>
        <v>0.11699999999999999</v>
      </c>
      <c r="E130" s="71">
        <f>IF(B130="&lt;2 kilometres",1,0)*VLOOKUP(C130, Percentage_dist_journeys_by_purpose_and_distance_to_2km[#All],MATCH(A130, Percentage_dist_journeys_by_purpose_and_distance_to_2km[#Headers],0),0)/100</f>
        <v>0</v>
      </c>
      <c r="F130" s="4">
        <f>IF(B130="2-4 kilometres",1,0)*VLOOKUP(C130, Percentage_dist_journeys_by_purpose_and_distance_2_to_4km[#All],MATCH(A130, Percentage_dist_journeys_by_purpose_and_distance_2_to_4km[#Headers],0),0)/100</f>
        <v>0</v>
      </c>
      <c r="G130" s="72">
        <f>IF(B130="4-6 kilometres",1,0)*VLOOKUP(C130, Percentage_dist_journeys_by_purpose_and_distance_4_to_6km[#All],MATCH(A130, Percentage_dist_journeys_by_purpose_and_distance_4_to_6km[#Headers],0),0)/100</f>
        <v>8.3000000000000004E-2</v>
      </c>
      <c r="H130" s="4">
        <f>IF(B130="6-8 kilometres",1,0)*VLOOKUP(C130, Percentage_dist_journeys_by_purpose_and_distance_6_to_8km[#All],MATCH(A130, Percentage_dist_journeys_by_purpose_and_distance_6_to_8km[#Headers],0),0)/100</f>
        <v>0</v>
      </c>
      <c r="I130" s="72">
        <f>IF(B130="8+ kilometres",1,0)*VLOOKUP(C130, Percentage_dist_journeys_by_purpose_and_distance_8km[#All],MATCH(A130, Percentage_dist_journeys_by_purpose_and_distance_8km[#Headers],0),0)/100</f>
        <v>0</v>
      </c>
      <c r="J130" s="73">
        <f>VLOOKUP(B130,Average_Distance_by_kilometres_grouping_for_trip_purpose[#All],MATCH(A130,Average_Distance_by_kilometres_grouping_for_trip_purpose[#Headers],0),0)</f>
        <v>5</v>
      </c>
      <c r="K130" s="77">
        <f>VLOOKUP(C130, Adjustment_factor_for_distance_based_on_trip_purpose[#All],MATCH(A130, Adjustment_factor_for_distance_based_on_trip_purpose[#Headers],0),0)</f>
        <v>0.94444444444444442</v>
      </c>
      <c r="L130" s="78" t="e">
        <f>VLOOKUP($L$2, Total_Journeys_Per_Year[#All],MATCH(A130, Total_Journeys_Per_Year[#Headers],0),0)</f>
        <v>#N/A</v>
      </c>
      <c r="M130" s="35" t="e">
        <f t="shared" si="1"/>
        <v>#N/A</v>
      </c>
      <c r="N130" s="35" t="e">
        <f>VLOOKUP($N$2, Private_Vehicle_Kilometres_Car_Stock[#All],MATCH(A130, Private_Vehicle_Kilometres_Car_Stock[#Headers],0),0)</f>
        <v>#N/A</v>
      </c>
    </row>
    <row r="131" spans="1:14" x14ac:dyDescent="0.25">
      <c r="A131" s="79" t="s">
        <v>33</v>
      </c>
      <c r="B131" s="13" t="s">
        <v>182</v>
      </c>
      <c r="C131" s="13" t="s">
        <v>46</v>
      </c>
      <c r="D131" s="5">
        <f>VLOOKUP(B131,Percentage_distribution_of_journey_distance_for_all_regions[#All],MATCH(A131,Percentage_distribution_of_journey_distance_for_all_regions[#Headers],0),0)/100</f>
        <v>6.6000000000000003E-2</v>
      </c>
      <c r="E131" s="71">
        <f>IF(B131="&lt;2 kilometres",1,0)*VLOOKUP(C131, Percentage_dist_journeys_by_purpose_and_distance_to_2km[#All],MATCH(A131, Percentage_dist_journeys_by_purpose_and_distance_to_2km[#Headers],0),0)/100</f>
        <v>0</v>
      </c>
      <c r="F131" s="4">
        <f>IF(B131="2-4 kilometres",1,0)*VLOOKUP(C131, Percentage_dist_journeys_by_purpose_and_distance_2_to_4km[#All],MATCH(A131, Percentage_dist_journeys_by_purpose_and_distance_2_to_4km[#Headers],0),0)/100</f>
        <v>0</v>
      </c>
      <c r="G131" s="72">
        <f>IF(B131="4-6 kilometres",1,0)*VLOOKUP(C131, Percentage_dist_journeys_by_purpose_and_distance_4_to_6km[#All],MATCH(A131, Percentage_dist_journeys_by_purpose_and_distance_4_to_6km[#Headers],0),0)/100</f>
        <v>0</v>
      </c>
      <c r="H131" s="4">
        <f>IF(B131="6-8 kilometres",1,0)*VLOOKUP(C131, Percentage_dist_journeys_by_purpose_and_distance_6_to_8km[#All],MATCH(A131, Percentage_dist_journeys_by_purpose_and_distance_6_to_8km[#Headers],0),0)/100</f>
        <v>0.121</v>
      </c>
      <c r="I131" s="72">
        <f>IF(B131="8+ kilometres",1,0)*VLOOKUP(C131, Percentage_dist_journeys_by_purpose_and_distance_8km[#All],MATCH(A131, Percentage_dist_journeys_by_purpose_and_distance_8km[#Headers],0),0)/100</f>
        <v>0</v>
      </c>
      <c r="J131" s="73">
        <f>VLOOKUP(B131,Average_Distance_by_kilometres_grouping_for_trip_purpose[#All],MATCH(A131,Average_Distance_by_kilometres_grouping_for_trip_purpose[#Headers],0),0)</f>
        <v>7</v>
      </c>
      <c r="K131" s="77">
        <f>VLOOKUP(C131, Adjustment_factor_for_distance_based_on_trip_purpose[#All],MATCH(A131, Adjustment_factor_for_distance_based_on_trip_purpose[#Headers],0),0)</f>
        <v>0.94444444444444442</v>
      </c>
      <c r="L131" s="78" t="e">
        <f>VLOOKUP($L$2, Total_Journeys_Per_Year[#All],MATCH(A131, Total_Journeys_Per_Year[#Headers],0),0)</f>
        <v>#N/A</v>
      </c>
      <c r="M131" s="35" t="e">
        <f t="shared" si="1"/>
        <v>#N/A</v>
      </c>
      <c r="N131" s="35" t="e">
        <f>VLOOKUP($N$2, Private_Vehicle_Kilometres_Car_Stock[#All],MATCH(A131, Private_Vehicle_Kilometres_Car_Stock[#Headers],0),0)</f>
        <v>#N/A</v>
      </c>
    </row>
    <row r="132" spans="1:14" x14ac:dyDescent="0.25">
      <c r="A132" s="79" t="s">
        <v>33</v>
      </c>
      <c r="B132" s="13" t="s">
        <v>1</v>
      </c>
      <c r="C132" s="13" t="s">
        <v>46</v>
      </c>
      <c r="D132" s="5">
        <f>VLOOKUP(B132,Percentage_distribution_of_journey_distance_for_all_regions[#All],MATCH(A132,Percentage_distribution_of_journey_distance_for_all_regions[#Headers],0),0)/100</f>
        <v>0.41700000000000004</v>
      </c>
      <c r="E132" s="71">
        <f>IF(B132="&lt;2 kilometres",1,0)*VLOOKUP(C132, Percentage_dist_journeys_by_purpose_and_distance_to_2km[#All],MATCH(A132, Percentage_dist_journeys_by_purpose_and_distance_to_2km[#Headers],0),0)/100</f>
        <v>0</v>
      </c>
      <c r="F132" s="4">
        <f>IF(B132="2-4 kilometres",1,0)*VLOOKUP(C132, Percentage_dist_journeys_by_purpose_and_distance_2_to_4km[#All],MATCH(A132, Percentage_dist_journeys_by_purpose_and_distance_2_to_4km[#Headers],0),0)/100</f>
        <v>0</v>
      </c>
      <c r="G132" s="72">
        <f>IF(B132="4-6 kilometres",1,0)*VLOOKUP(C132, Percentage_dist_journeys_by_purpose_and_distance_4_to_6km[#All],MATCH(A132, Percentage_dist_journeys_by_purpose_and_distance_4_to_6km[#Headers],0),0)/100</f>
        <v>0</v>
      </c>
      <c r="H132" s="4">
        <f>IF(B132="6-8 kilometres",1,0)*VLOOKUP(C132, Percentage_dist_journeys_by_purpose_and_distance_6_to_8km[#All],MATCH(A132, Percentage_dist_journeys_by_purpose_and_distance_6_to_8km[#Headers],0),0)/100</f>
        <v>0</v>
      </c>
      <c r="I132" s="72">
        <f>IF(B132="8+ kilometres",1,0)*VLOOKUP(C132, Percentage_dist_journeys_by_purpose_and_distance_8km[#All],MATCH(A132, Percentage_dist_journeys_by_purpose_and_distance_8km[#Headers],0),0)/100</f>
        <v>9.8000000000000004E-2</v>
      </c>
      <c r="J132" s="73">
        <f>VLOOKUP(B132,Average_Distance_by_kilometres_grouping_for_trip_purpose[#All],MATCH(A132,Average_Distance_by_kilometres_grouping_for_trip_purpose[#Headers],0),0)</f>
        <v>38.15</v>
      </c>
      <c r="K132" s="77">
        <f>VLOOKUP(C132, Adjustment_factor_for_distance_based_on_trip_purpose[#All],MATCH(A132, Adjustment_factor_for_distance_based_on_trip_purpose[#Headers],0),0)</f>
        <v>0.94444444444444442</v>
      </c>
      <c r="L132" s="78" t="e">
        <f>VLOOKUP($L$2, Total_Journeys_Per_Year[#All],MATCH(A132, Total_Journeys_Per_Year[#Headers],0),0)</f>
        <v>#N/A</v>
      </c>
      <c r="M132" s="35" t="e">
        <f t="shared" si="1"/>
        <v>#N/A</v>
      </c>
      <c r="N132" s="35" t="e">
        <f>VLOOKUP($N$2, Private_Vehicle_Kilometres_Car_Stock[#All],MATCH(A132, Private_Vehicle_Kilometres_Car_Stock[#Headers],0),0)</f>
        <v>#N/A</v>
      </c>
    </row>
    <row r="133" spans="1:14" x14ac:dyDescent="0.25">
      <c r="A133" s="79" t="s">
        <v>33</v>
      </c>
      <c r="B133" s="13" t="s">
        <v>12</v>
      </c>
      <c r="C133" s="13" t="s">
        <v>47</v>
      </c>
      <c r="D133" s="5">
        <f>VLOOKUP(B133,Percentage_distribution_of_journey_distance_for_all_regions[#All],MATCH(A133,Percentage_distribution_of_journey_distance_for_all_regions[#Headers],0),0)/100</f>
        <v>0.21100000000000002</v>
      </c>
      <c r="E133" s="71">
        <f>IF(B133="&lt;2 kilometres",1,0)*VLOOKUP(C133, Percentage_dist_journeys_by_purpose_and_distance_to_2km[#All],MATCH(A133, Percentage_dist_journeys_by_purpose_and_distance_to_2km[#Headers],0),0)/100</f>
        <v>8.3000000000000004E-2</v>
      </c>
      <c r="F133" s="4">
        <f>IF(B133="2-4 kilometres",1,0)*VLOOKUP(C133, Percentage_dist_journeys_by_purpose_and_distance_2_to_4km[#All],MATCH(A133, Percentage_dist_journeys_by_purpose_and_distance_2_to_4km[#Headers],0),0)/100</f>
        <v>0</v>
      </c>
      <c r="G133" s="72">
        <f>IF(B133="4-6 kilometres",1,0)*VLOOKUP(C133, Percentage_dist_journeys_by_purpose_and_distance_4_to_6km[#All],MATCH(A133, Percentage_dist_journeys_by_purpose_and_distance_4_to_6km[#Headers],0),0)/100</f>
        <v>0</v>
      </c>
      <c r="H133" s="4">
        <f>IF(B133="6-8 kilometres",1,0)*VLOOKUP(C133, Percentage_dist_journeys_by_purpose_and_distance_6_to_8km[#All],MATCH(A133, Percentage_dist_journeys_by_purpose_and_distance_6_to_8km[#Headers],0),0)/100</f>
        <v>0</v>
      </c>
      <c r="I133" s="72">
        <f>IF(B133="8+ kilometres",1,0)*VLOOKUP(C133, Percentage_dist_journeys_by_purpose_and_distance_8km[#All],MATCH(A133, Percentage_dist_journeys_by_purpose_and_distance_8km[#Headers],0),0)/100</f>
        <v>0</v>
      </c>
      <c r="J133" s="73">
        <f>VLOOKUP(B133,Average_Distance_by_kilometres_grouping_for_trip_purpose[#All],MATCH(A133,Average_Distance_by_kilometres_grouping_for_trip_purpose[#Headers],0),0)</f>
        <v>1</v>
      </c>
      <c r="K133" s="77">
        <f>VLOOKUP(C133, Adjustment_factor_for_distance_based_on_trip_purpose[#All],MATCH(A133, Adjustment_factor_for_distance_based_on_trip_purpose[#Headers],0),0)</f>
        <v>0.94444444444444442</v>
      </c>
      <c r="L133" s="78" t="e">
        <f>VLOOKUP($L$2, Total_Journeys_Per_Year[#All],MATCH(A133, Total_Journeys_Per_Year[#Headers],0),0)</f>
        <v>#N/A</v>
      </c>
      <c r="M133" s="35" t="e">
        <f t="shared" si="1"/>
        <v>#N/A</v>
      </c>
      <c r="N133" s="35" t="e">
        <f>VLOOKUP($N$2, Private_Vehicle_Kilometres_Car_Stock[#All],MATCH(A133, Private_Vehicle_Kilometres_Car_Stock[#Headers],0),0)</f>
        <v>#N/A</v>
      </c>
    </row>
    <row r="134" spans="1:14" x14ac:dyDescent="0.25">
      <c r="A134" s="79" t="s">
        <v>33</v>
      </c>
      <c r="B134" s="13" t="s">
        <v>181</v>
      </c>
      <c r="C134" s="13" t="s">
        <v>47</v>
      </c>
      <c r="D134" s="5">
        <f>VLOOKUP(B134,Percentage_distribution_of_journey_distance_for_all_regions[#All],MATCH(A134,Percentage_distribution_of_journey_distance_for_all_regions[#Headers],0),0)/100</f>
        <v>0.18899999999999997</v>
      </c>
      <c r="E134" s="71">
        <f>IF(B134="&lt;2 kilometres",1,0)*VLOOKUP(C134, Percentage_dist_journeys_by_purpose_and_distance_to_2km[#All],MATCH(A134, Percentage_dist_journeys_by_purpose_and_distance_to_2km[#Headers],0),0)/100</f>
        <v>0</v>
      </c>
      <c r="F134" s="4">
        <f>IF(B134="2-4 kilometres",1,0)*VLOOKUP(C134, Percentage_dist_journeys_by_purpose_and_distance_2_to_4km[#All],MATCH(A134, Percentage_dist_journeys_by_purpose_and_distance_2_to_4km[#Headers],0),0)/100</f>
        <v>0.107</v>
      </c>
      <c r="G134" s="72">
        <f>IF(B134="4-6 kilometres",1,0)*VLOOKUP(C134, Percentage_dist_journeys_by_purpose_and_distance_4_to_6km[#All],MATCH(A134, Percentage_dist_journeys_by_purpose_and_distance_4_to_6km[#Headers],0),0)/100</f>
        <v>0</v>
      </c>
      <c r="H134" s="4">
        <f>IF(B134="6-8 kilometres",1,0)*VLOOKUP(C134, Percentage_dist_journeys_by_purpose_and_distance_6_to_8km[#All],MATCH(A134, Percentage_dist_journeys_by_purpose_and_distance_6_to_8km[#Headers],0),0)/100</f>
        <v>0</v>
      </c>
      <c r="I134" s="72">
        <f>IF(B134="8+ kilometres",1,0)*VLOOKUP(C134, Percentage_dist_journeys_by_purpose_and_distance_8km[#All],MATCH(A134, Percentage_dist_journeys_by_purpose_and_distance_8km[#Headers],0),0)/100</f>
        <v>0</v>
      </c>
      <c r="J134" s="73">
        <f>VLOOKUP(B134,Average_Distance_by_kilometres_grouping_for_trip_purpose[#All],MATCH(A134,Average_Distance_by_kilometres_grouping_for_trip_purpose[#Headers],0),0)</f>
        <v>3</v>
      </c>
      <c r="K134" s="77">
        <f>VLOOKUP(C134, Adjustment_factor_for_distance_based_on_trip_purpose[#All],MATCH(A134, Adjustment_factor_for_distance_based_on_trip_purpose[#Headers],0),0)</f>
        <v>0.94444444444444442</v>
      </c>
      <c r="L134" s="78" t="e">
        <f>VLOOKUP($L$2, Total_Journeys_Per_Year[#All],MATCH(A134, Total_Journeys_Per_Year[#Headers],0),0)</f>
        <v>#N/A</v>
      </c>
      <c r="M134" s="35" t="e">
        <f t="shared" si="1"/>
        <v>#N/A</v>
      </c>
      <c r="N134" s="35" t="e">
        <f>VLOOKUP($N$2, Private_Vehicle_Kilometres_Car_Stock[#All],MATCH(A134, Private_Vehicle_Kilometres_Car_Stock[#Headers],0),0)</f>
        <v>#N/A</v>
      </c>
    </row>
    <row r="135" spans="1:14" x14ac:dyDescent="0.25">
      <c r="A135" s="79" t="s">
        <v>33</v>
      </c>
      <c r="B135" s="13" t="s">
        <v>180</v>
      </c>
      <c r="C135" s="13" t="s">
        <v>47</v>
      </c>
      <c r="D135" s="5">
        <f>VLOOKUP(B135,Percentage_distribution_of_journey_distance_for_all_regions[#All],MATCH(A135,Percentage_distribution_of_journey_distance_for_all_regions[#Headers],0),0)/100</f>
        <v>0.11699999999999999</v>
      </c>
      <c r="E135" s="71">
        <f>IF(B135="&lt;2 kilometres",1,0)*VLOOKUP(C135, Percentage_dist_journeys_by_purpose_and_distance_to_2km[#All],MATCH(A135, Percentage_dist_journeys_by_purpose_and_distance_to_2km[#Headers],0),0)/100</f>
        <v>0</v>
      </c>
      <c r="F135" s="4">
        <f>IF(B135="2-4 kilometres",1,0)*VLOOKUP(C135, Percentage_dist_journeys_by_purpose_and_distance_2_to_4km[#All],MATCH(A135, Percentage_dist_journeys_by_purpose_and_distance_2_to_4km[#Headers],0),0)/100</f>
        <v>0</v>
      </c>
      <c r="G135" s="72">
        <f>IF(B135="4-6 kilometres",1,0)*VLOOKUP(C135, Percentage_dist_journeys_by_purpose_and_distance_4_to_6km[#All],MATCH(A135, Percentage_dist_journeys_by_purpose_and_distance_4_to_6km[#Headers],0),0)/100</f>
        <v>0.127</v>
      </c>
      <c r="H135" s="4">
        <f>IF(B135="6-8 kilometres",1,0)*VLOOKUP(C135, Percentage_dist_journeys_by_purpose_and_distance_6_to_8km[#All],MATCH(A135, Percentage_dist_journeys_by_purpose_and_distance_6_to_8km[#Headers],0),0)/100</f>
        <v>0</v>
      </c>
      <c r="I135" s="72">
        <f>IF(B135="8+ kilometres",1,0)*VLOOKUP(C135, Percentage_dist_journeys_by_purpose_and_distance_8km[#All],MATCH(A135, Percentage_dist_journeys_by_purpose_and_distance_8km[#Headers],0),0)/100</f>
        <v>0</v>
      </c>
      <c r="J135" s="73">
        <f>VLOOKUP(B135,Average_Distance_by_kilometres_grouping_for_trip_purpose[#All],MATCH(A135,Average_Distance_by_kilometres_grouping_for_trip_purpose[#Headers],0),0)</f>
        <v>5</v>
      </c>
      <c r="K135" s="77">
        <f>VLOOKUP(C135, Adjustment_factor_for_distance_based_on_trip_purpose[#All],MATCH(A135, Adjustment_factor_for_distance_based_on_trip_purpose[#Headers],0),0)</f>
        <v>0.94444444444444442</v>
      </c>
      <c r="L135" s="78" t="e">
        <f>VLOOKUP($L$2, Total_Journeys_Per_Year[#All],MATCH(A135, Total_Journeys_Per_Year[#Headers],0),0)</f>
        <v>#N/A</v>
      </c>
      <c r="M135" s="35" t="e">
        <f t="shared" si="1"/>
        <v>#N/A</v>
      </c>
      <c r="N135" s="35" t="e">
        <f>VLOOKUP($N$2, Private_Vehicle_Kilometres_Car_Stock[#All],MATCH(A135, Private_Vehicle_Kilometres_Car_Stock[#Headers],0),0)</f>
        <v>#N/A</v>
      </c>
    </row>
    <row r="136" spans="1:14" x14ac:dyDescent="0.25">
      <c r="A136" s="79" t="s">
        <v>33</v>
      </c>
      <c r="B136" s="13" t="s">
        <v>182</v>
      </c>
      <c r="C136" s="13" t="s">
        <v>47</v>
      </c>
      <c r="D136" s="5">
        <f>VLOOKUP(B136,Percentage_distribution_of_journey_distance_for_all_regions[#All],MATCH(A136,Percentage_distribution_of_journey_distance_for_all_regions[#Headers],0),0)/100</f>
        <v>6.6000000000000003E-2</v>
      </c>
      <c r="E136" s="71">
        <f>IF(B136="&lt;2 kilometres",1,0)*VLOOKUP(C136, Percentage_dist_journeys_by_purpose_and_distance_to_2km[#All],MATCH(A136, Percentage_dist_journeys_by_purpose_and_distance_to_2km[#Headers],0),0)/100</f>
        <v>0</v>
      </c>
      <c r="F136" s="4">
        <f>IF(B136="2-4 kilometres",1,0)*VLOOKUP(C136, Percentage_dist_journeys_by_purpose_and_distance_2_to_4km[#All],MATCH(A136, Percentage_dist_journeys_by_purpose_and_distance_2_to_4km[#Headers],0),0)/100</f>
        <v>0</v>
      </c>
      <c r="G136" s="72">
        <f>IF(B136="4-6 kilometres",1,0)*VLOOKUP(C136, Percentage_dist_journeys_by_purpose_and_distance_4_to_6km[#All],MATCH(A136, Percentage_dist_journeys_by_purpose_and_distance_4_to_6km[#Headers],0),0)/100</f>
        <v>0</v>
      </c>
      <c r="H136" s="4">
        <f>IF(B136="6-8 kilometres",1,0)*VLOOKUP(C136, Percentage_dist_journeys_by_purpose_and_distance_6_to_8km[#All],MATCH(A136, Percentage_dist_journeys_by_purpose_and_distance_6_to_8km[#Headers],0),0)/100</f>
        <v>0.11599999999999999</v>
      </c>
      <c r="I136" s="72">
        <f>IF(B136="8+ kilometres",1,0)*VLOOKUP(C136, Percentage_dist_journeys_by_purpose_and_distance_8km[#All],MATCH(A136, Percentage_dist_journeys_by_purpose_and_distance_8km[#Headers],0),0)/100</f>
        <v>0</v>
      </c>
      <c r="J136" s="73">
        <f>VLOOKUP(B136,Average_Distance_by_kilometres_grouping_for_trip_purpose[#All],MATCH(A136,Average_Distance_by_kilometres_grouping_for_trip_purpose[#Headers],0),0)</f>
        <v>7</v>
      </c>
      <c r="K136" s="77">
        <f>VLOOKUP(C136, Adjustment_factor_for_distance_based_on_trip_purpose[#All],MATCH(A136, Adjustment_factor_for_distance_based_on_trip_purpose[#Headers],0),0)</f>
        <v>0.94444444444444442</v>
      </c>
      <c r="L136" s="78" t="e">
        <f>VLOOKUP($L$2, Total_Journeys_Per_Year[#All],MATCH(A136, Total_Journeys_Per_Year[#Headers],0),0)</f>
        <v>#N/A</v>
      </c>
      <c r="M136" s="35" t="e">
        <f t="shared" si="1"/>
        <v>#N/A</v>
      </c>
      <c r="N136" s="35" t="e">
        <f>VLOOKUP($N$2, Private_Vehicle_Kilometres_Car_Stock[#All],MATCH(A136, Private_Vehicle_Kilometres_Car_Stock[#Headers],0),0)</f>
        <v>#N/A</v>
      </c>
    </row>
    <row r="137" spans="1:14" x14ac:dyDescent="0.25">
      <c r="A137" s="79" t="s">
        <v>33</v>
      </c>
      <c r="B137" s="13" t="s">
        <v>1</v>
      </c>
      <c r="C137" s="13" t="s">
        <v>47</v>
      </c>
      <c r="D137" s="5">
        <f>VLOOKUP(B137,Percentage_distribution_of_journey_distance_for_all_regions[#All],MATCH(A137,Percentage_distribution_of_journey_distance_for_all_regions[#Headers],0),0)/100</f>
        <v>0.41700000000000004</v>
      </c>
      <c r="E137" s="71">
        <f>IF(B137="&lt;2 kilometres",1,0)*VLOOKUP(C137, Percentage_dist_journeys_by_purpose_and_distance_to_2km[#All],MATCH(A137, Percentage_dist_journeys_by_purpose_and_distance_to_2km[#Headers],0),0)/100</f>
        <v>0</v>
      </c>
      <c r="F137" s="4">
        <f>IF(B137="2-4 kilometres",1,0)*VLOOKUP(C137, Percentage_dist_journeys_by_purpose_and_distance_2_to_4km[#All],MATCH(A137, Percentage_dist_journeys_by_purpose_and_distance_2_to_4km[#Headers],0),0)/100</f>
        <v>0</v>
      </c>
      <c r="G137" s="72">
        <f>IF(B137="4-6 kilometres",1,0)*VLOOKUP(C137, Percentage_dist_journeys_by_purpose_and_distance_4_to_6km[#All],MATCH(A137, Percentage_dist_journeys_by_purpose_and_distance_4_to_6km[#Headers],0),0)/100</f>
        <v>0</v>
      </c>
      <c r="H137" s="4">
        <f>IF(B137="6-8 kilometres",1,0)*VLOOKUP(C137, Percentage_dist_journeys_by_purpose_and_distance_6_to_8km[#All],MATCH(A137, Percentage_dist_journeys_by_purpose_and_distance_6_to_8km[#Headers],0),0)/100</f>
        <v>0</v>
      </c>
      <c r="I137" s="72">
        <f>IF(B137="8+ kilometres",1,0)*VLOOKUP(C137, Percentage_dist_journeys_by_purpose_and_distance_8km[#All],MATCH(A137, Percentage_dist_journeys_by_purpose_and_distance_8km[#Headers],0),0)/100</f>
        <v>0.13100000000000001</v>
      </c>
      <c r="J137" s="73">
        <f>VLOOKUP(B137,Average_Distance_by_kilometres_grouping_for_trip_purpose[#All],MATCH(A137,Average_Distance_by_kilometres_grouping_for_trip_purpose[#Headers],0),0)</f>
        <v>38.15</v>
      </c>
      <c r="K137" s="77">
        <f>VLOOKUP(C137, Adjustment_factor_for_distance_based_on_trip_purpose[#All],MATCH(A137, Adjustment_factor_for_distance_based_on_trip_purpose[#Headers],0),0)</f>
        <v>0.94444444444444442</v>
      </c>
      <c r="L137" s="78" t="e">
        <f>VLOOKUP($L$2, Total_Journeys_Per_Year[#All],MATCH(A137, Total_Journeys_Per_Year[#Headers],0),0)</f>
        <v>#N/A</v>
      </c>
      <c r="M137" s="35" t="e">
        <f t="shared" si="1"/>
        <v>#N/A</v>
      </c>
      <c r="N137" s="35" t="e">
        <f>VLOOKUP($N$2, Private_Vehicle_Kilometres_Car_Stock[#All],MATCH(A137, Private_Vehicle_Kilometres_Car_Stock[#Headers],0),0)</f>
        <v>#N/A</v>
      </c>
    </row>
    <row r="138" spans="1:14" x14ac:dyDescent="0.25">
      <c r="A138" s="79" t="s">
        <v>33</v>
      </c>
      <c r="B138" s="13" t="s">
        <v>12</v>
      </c>
      <c r="C138" s="13" t="s">
        <v>48</v>
      </c>
      <c r="D138" s="5">
        <f>VLOOKUP(B138,Percentage_distribution_of_journey_distance_for_all_regions[#All],MATCH(A138,Percentage_distribution_of_journey_distance_for_all_regions[#Headers],0),0)/100</f>
        <v>0.21100000000000002</v>
      </c>
      <c r="E138" s="71">
        <f>IF(B138="&lt;2 kilometres",1,0)*VLOOKUP(C138, Percentage_dist_journeys_by_purpose_and_distance_to_2km[#All],MATCH(A138, Percentage_dist_journeys_by_purpose_and_distance_to_2km[#Headers],0),0)/100</f>
        <v>5.2999999999999999E-2</v>
      </c>
      <c r="F138" s="4">
        <f>IF(B138="2-4 kilometres",1,0)*VLOOKUP(C138, Percentage_dist_journeys_by_purpose_and_distance_2_to_4km[#All],MATCH(A138, Percentage_dist_journeys_by_purpose_and_distance_2_to_4km[#Headers],0),0)/100</f>
        <v>0</v>
      </c>
      <c r="G138" s="72">
        <f>IF(B138="4-6 kilometres",1,0)*VLOOKUP(C138, Percentage_dist_journeys_by_purpose_and_distance_4_to_6km[#All],MATCH(A138, Percentage_dist_journeys_by_purpose_and_distance_4_to_6km[#Headers],0),0)/100</f>
        <v>0</v>
      </c>
      <c r="H138" s="4">
        <f>IF(B138="6-8 kilometres",1,0)*VLOOKUP(C138, Percentage_dist_journeys_by_purpose_and_distance_6_to_8km[#All],MATCH(A138, Percentage_dist_journeys_by_purpose_and_distance_6_to_8km[#Headers],0),0)/100</f>
        <v>0</v>
      </c>
      <c r="I138" s="72">
        <f>IF(B138="8+ kilometres",1,0)*VLOOKUP(C138, Percentage_dist_journeys_by_purpose_and_distance_8km[#All],MATCH(A138, Percentage_dist_journeys_by_purpose_and_distance_8km[#Headers],0),0)/100</f>
        <v>0</v>
      </c>
      <c r="J138" s="73">
        <f>VLOOKUP(B138,Average_Distance_by_kilometres_grouping_for_trip_purpose[#All],MATCH(A138,Average_Distance_by_kilometres_grouping_for_trip_purpose[#Headers],0),0)</f>
        <v>1</v>
      </c>
      <c r="K138" s="77">
        <f>VLOOKUP(C138, Adjustment_factor_for_distance_based_on_trip_purpose[#All],MATCH(A138, Adjustment_factor_for_distance_based_on_trip_purpose[#Headers],0),0)</f>
        <v>0.66666666666666663</v>
      </c>
      <c r="L138" s="78" t="e">
        <f>VLOOKUP($L$2, Total_Journeys_Per_Year[#All],MATCH(A138, Total_Journeys_Per_Year[#Headers],0),0)</f>
        <v>#N/A</v>
      </c>
      <c r="M138" s="35" t="e">
        <f t="shared" si="1"/>
        <v>#N/A</v>
      </c>
      <c r="N138" s="35" t="e">
        <f>VLOOKUP($N$2, Private_Vehicle_Kilometres_Car_Stock[#All],MATCH(A138, Private_Vehicle_Kilometres_Car_Stock[#Headers],0),0)</f>
        <v>#N/A</v>
      </c>
    </row>
    <row r="139" spans="1:14" x14ac:dyDescent="0.25">
      <c r="A139" s="79" t="s">
        <v>33</v>
      </c>
      <c r="B139" s="13" t="s">
        <v>181</v>
      </c>
      <c r="C139" s="13" t="s">
        <v>48</v>
      </c>
      <c r="D139" s="5">
        <f>VLOOKUP(B139,Percentage_distribution_of_journey_distance_for_all_regions[#All],MATCH(A139,Percentage_distribution_of_journey_distance_for_all_regions[#Headers],0),0)/100</f>
        <v>0.18899999999999997</v>
      </c>
      <c r="E139" s="71">
        <f>IF(B139="&lt;2 kilometres",1,0)*VLOOKUP(C139, Percentage_dist_journeys_by_purpose_and_distance_to_2km[#All],MATCH(A139, Percentage_dist_journeys_by_purpose_and_distance_to_2km[#Headers],0),0)/100</f>
        <v>0</v>
      </c>
      <c r="F139" s="4">
        <f>IF(B139="2-4 kilometres",1,0)*VLOOKUP(C139, Percentage_dist_journeys_by_purpose_and_distance_2_to_4km[#All],MATCH(A139, Percentage_dist_journeys_by_purpose_and_distance_2_to_4km[#Headers],0),0)/100</f>
        <v>5.4000000000000006E-2</v>
      </c>
      <c r="G139" s="72">
        <f>IF(B139="4-6 kilometres",1,0)*VLOOKUP(C139, Percentage_dist_journeys_by_purpose_and_distance_4_to_6km[#All],MATCH(A139, Percentage_dist_journeys_by_purpose_and_distance_4_to_6km[#Headers],0),0)/100</f>
        <v>0</v>
      </c>
      <c r="H139" s="4">
        <f>IF(B139="6-8 kilometres",1,0)*VLOOKUP(C139, Percentage_dist_journeys_by_purpose_and_distance_6_to_8km[#All],MATCH(A139, Percentage_dist_journeys_by_purpose_and_distance_6_to_8km[#Headers],0),0)/100</f>
        <v>0</v>
      </c>
      <c r="I139" s="72">
        <f>IF(B139="8+ kilometres",1,0)*VLOOKUP(C139, Percentage_dist_journeys_by_purpose_and_distance_8km[#All],MATCH(A139, Percentage_dist_journeys_by_purpose_and_distance_8km[#Headers],0),0)/100</f>
        <v>0</v>
      </c>
      <c r="J139" s="73">
        <f>VLOOKUP(B139,Average_Distance_by_kilometres_grouping_for_trip_purpose[#All],MATCH(A139,Average_Distance_by_kilometres_grouping_for_trip_purpose[#Headers],0),0)</f>
        <v>3</v>
      </c>
      <c r="K139" s="77">
        <f>VLOOKUP(C139, Adjustment_factor_for_distance_based_on_trip_purpose[#All],MATCH(A139, Adjustment_factor_for_distance_based_on_trip_purpose[#Headers],0),0)</f>
        <v>0.66666666666666663</v>
      </c>
      <c r="L139" s="78" t="e">
        <f>VLOOKUP($L$2, Total_Journeys_Per_Year[#All],MATCH(A139, Total_Journeys_Per_Year[#Headers],0),0)</f>
        <v>#N/A</v>
      </c>
      <c r="M139" s="35" t="e">
        <f t="shared" si="1"/>
        <v>#N/A</v>
      </c>
      <c r="N139" s="35" t="e">
        <f>VLOOKUP($N$2, Private_Vehicle_Kilometres_Car_Stock[#All],MATCH(A139, Private_Vehicle_Kilometres_Car_Stock[#Headers],0),0)</f>
        <v>#N/A</v>
      </c>
    </row>
    <row r="140" spans="1:14" x14ac:dyDescent="0.25">
      <c r="A140" s="79" t="s">
        <v>33</v>
      </c>
      <c r="B140" s="13" t="s">
        <v>180</v>
      </c>
      <c r="C140" s="13" t="s">
        <v>48</v>
      </c>
      <c r="D140" s="5">
        <f>VLOOKUP(B140,Percentage_distribution_of_journey_distance_for_all_regions[#All],MATCH(A140,Percentage_distribution_of_journey_distance_for_all_regions[#Headers],0),0)/100</f>
        <v>0.11699999999999999</v>
      </c>
      <c r="E140" s="71">
        <f>IF(B140="&lt;2 kilometres",1,0)*VLOOKUP(C140, Percentage_dist_journeys_by_purpose_and_distance_to_2km[#All],MATCH(A140, Percentage_dist_journeys_by_purpose_and_distance_to_2km[#Headers],0),0)/100</f>
        <v>0</v>
      </c>
      <c r="F140" s="4">
        <f>IF(B140="2-4 kilometres",1,0)*VLOOKUP(C140, Percentage_dist_journeys_by_purpose_and_distance_2_to_4km[#All],MATCH(A140, Percentage_dist_journeys_by_purpose_and_distance_2_to_4km[#Headers],0),0)/100</f>
        <v>0</v>
      </c>
      <c r="G140" s="72">
        <f>IF(B140="4-6 kilometres",1,0)*VLOOKUP(C140, Percentage_dist_journeys_by_purpose_and_distance_4_to_6km[#All],MATCH(A140, Percentage_dist_journeys_by_purpose_and_distance_4_to_6km[#Headers],0),0)/100</f>
        <v>0.06</v>
      </c>
      <c r="H140" s="4">
        <f>IF(B140="6-8 kilometres",1,0)*VLOOKUP(C140, Percentage_dist_journeys_by_purpose_and_distance_6_to_8km[#All],MATCH(A140, Percentage_dist_journeys_by_purpose_and_distance_6_to_8km[#Headers],0),0)/100</f>
        <v>0</v>
      </c>
      <c r="I140" s="72">
        <f>IF(B140="8+ kilometres",1,0)*VLOOKUP(C140, Percentage_dist_journeys_by_purpose_and_distance_8km[#All],MATCH(A140, Percentage_dist_journeys_by_purpose_and_distance_8km[#Headers],0),0)/100</f>
        <v>0</v>
      </c>
      <c r="J140" s="73">
        <f>VLOOKUP(B140,Average_Distance_by_kilometres_grouping_for_trip_purpose[#All],MATCH(A140,Average_Distance_by_kilometres_grouping_for_trip_purpose[#Headers],0),0)</f>
        <v>5</v>
      </c>
      <c r="K140" s="77">
        <f>VLOOKUP(C140, Adjustment_factor_for_distance_based_on_trip_purpose[#All],MATCH(A140, Adjustment_factor_for_distance_based_on_trip_purpose[#Headers],0),0)</f>
        <v>0.66666666666666663</v>
      </c>
      <c r="L140" s="78" t="e">
        <f>VLOOKUP($L$2, Total_Journeys_Per_Year[#All],MATCH(A140, Total_Journeys_Per_Year[#Headers],0),0)</f>
        <v>#N/A</v>
      </c>
      <c r="M140" s="35" t="e">
        <f t="shared" si="1"/>
        <v>#N/A</v>
      </c>
      <c r="N140" s="35" t="e">
        <f>VLOOKUP($N$2, Private_Vehicle_Kilometres_Car_Stock[#All],MATCH(A140, Private_Vehicle_Kilometres_Car_Stock[#Headers],0),0)</f>
        <v>#N/A</v>
      </c>
    </row>
    <row r="141" spans="1:14" x14ac:dyDescent="0.25">
      <c r="A141" s="79" t="s">
        <v>33</v>
      </c>
      <c r="B141" s="13" t="s">
        <v>182</v>
      </c>
      <c r="C141" s="13" t="s">
        <v>48</v>
      </c>
      <c r="D141" s="5">
        <f>VLOOKUP(B141,Percentage_distribution_of_journey_distance_for_all_regions[#All],MATCH(A141,Percentage_distribution_of_journey_distance_for_all_regions[#Headers],0),0)/100</f>
        <v>6.6000000000000003E-2</v>
      </c>
      <c r="E141" s="71">
        <f>IF(B141="&lt;2 kilometres",1,0)*VLOOKUP(C141, Percentage_dist_journeys_by_purpose_and_distance_to_2km[#All],MATCH(A141, Percentage_dist_journeys_by_purpose_and_distance_to_2km[#Headers],0),0)/100</f>
        <v>0</v>
      </c>
      <c r="F141" s="4">
        <f>IF(B141="2-4 kilometres",1,0)*VLOOKUP(C141, Percentage_dist_journeys_by_purpose_and_distance_2_to_4km[#All],MATCH(A141, Percentage_dist_journeys_by_purpose_and_distance_2_to_4km[#Headers],0),0)/100</f>
        <v>0</v>
      </c>
      <c r="G141" s="72">
        <f>IF(B141="4-6 kilometres",1,0)*VLOOKUP(C141, Percentage_dist_journeys_by_purpose_and_distance_4_to_6km[#All],MATCH(A141, Percentage_dist_journeys_by_purpose_and_distance_4_to_6km[#Headers],0),0)/100</f>
        <v>0</v>
      </c>
      <c r="H141" s="4">
        <f>IF(B141="6-8 kilometres",1,0)*VLOOKUP(C141, Percentage_dist_journeys_by_purpose_and_distance_6_to_8km[#All],MATCH(A141, Percentage_dist_journeys_by_purpose_and_distance_6_to_8km[#Headers],0),0)/100</f>
        <v>7.0000000000000007E-2</v>
      </c>
      <c r="I141" s="72">
        <f>IF(B141="8+ kilometres",1,0)*VLOOKUP(C141, Percentage_dist_journeys_by_purpose_and_distance_8km[#All],MATCH(A141, Percentage_dist_journeys_by_purpose_and_distance_8km[#Headers],0),0)/100</f>
        <v>0</v>
      </c>
      <c r="J141" s="73">
        <f>VLOOKUP(B141,Average_Distance_by_kilometres_grouping_for_trip_purpose[#All],MATCH(A141,Average_Distance_by_kilometres_grouping_for_trip_purpose[#Headers],0),0)</f>
        <v>7</v>
      </c>
      <c r="K141" s="77">
        <f>VLOOKUP(C141, Adjustment_factor_for_distance_based_on_trip_purpose[#All],MATCH(A141, Adjustment_factor_for_distance_based_on_trip_purpose[#Headers],0),0)</f>
        <v>0.66666666666666663</v>
      </c>
      <c r="L141" s="78" t="e">
        <f>VLOOKUP($L$2, Total_Journeys_Per_Year[#All],MATCH(A141, Total_Journeys_Per_Year[#Headers],0),0)</f>
        <v>#N/A</v>
      </c>
      <c r="M141" s="35" t="e">
        <f t="shared" si="1"/>
        <v>#N/A</v>
      </c>
      <c r="N141" s="35" t="e">
        <f>VLOOKUP($N$2, Private_Vehicle_Kilometres_Car_Stock[#All],MATCH(A141, Private_Vehicle_Kilometres_Car_Stock[#Headers],0),0)</f>
        <v>#N/A</v>
      </c>
    </row>
    <row r="142" spans="1:14" x14ac:dyDescent="0.25">
      <c r="A142" s="79" t="s">
        <v>33</v>
      </c>
      <c r="B142" s="13" t="s">
        <v>1</v>
      </c>
      <c r="C142" s="13" t="s">
        <v>48</v>
      </c>
      <c r="D142" s="5">
        <f>VLOOKUP(B142,Percentage_distribution_of_journey_distance_for_all_regions[#All],MATCH(A142,Percentage_distribution_of_journey_distance_for_all_regions[#Headers],0),0)/100</f>
        <v>0.41700000000000004</v>
      </c>
      <c r="E142" s="71">
        <f>IF(B142="&lt;2 kilometres",1,0)*VLOOKUP(C142, Percentage_dist_journeys_by_purpose_and_distance_to_2km[#All],MATCH(A142, Percentage_dist_journeys_by_purpose_and_distance_to_2km[#Headers],0),0)/100</f>
        <v>0</v>
      </c>
      <c r="F142" s="4">
        <f>IF(B142="2-4 kilometres",1,0)*VLOOKUP(C142, Percentage_dist_journeys_by_purpose_and_distance_2_to_4km[#All],MATCH(A142, Percentage_dist_journeys_by_purpose_and_distance_2_to_4km[#Headers],0),0)/100</f>
        <v>0</v>
      </c>
      <c r="G142" s="72">
        <f>IF(B142="4-6 kilometres",1,0)*VLOOKUP(C142, Percentage_dist_journeys_by_purpose_and_distance_4_to_6km[#All],MATCH(A142, Percentage_dist_journeys_by_purpose_and_distance_4_to_6km[#Headers],0),0)/100</f>
        <v>0</v>
      </c>
      <c r="H142" s="4">
        <f>IF(B142="6-8 kilometres",1,0)*VLOOKUP(C142, Percentage_dist_journeys_by_purpose_and_distance_6_to_8km[#All],MATCH(A142, Percentage_dist_journeys_by_purpose_and_distance_6_to_8km[#Headers],0),0)/100</f>
        <v>0</v>
      </c>
      <c r="I142" s="72">
        <f>IF(B142="8+ kilometres",1,0)*VLOOKUP(C142, Percentage_dist_journeys_by_purpose_and_distance_8km[#All],MATCH(A142, Percentage_dist_journeys_by_purpose_and_distance_8km[#Headers],0),0)/100</f>
        <v>5.5E-2</v>
      </c>
      <c r="J142" s="73">
        <f>VLOOKUP(B142,Average_Distance_by_kilometres_grouping_for_trip_purpose[#All],MATCH(A142,Average_Distance_by_kilometres_grouping_for_trip_purpose[#Headers],0),0)</f>
        <v>38.15</v>
      </c>
      <c r="K142" s="77">
        <f>VLOOKUP(C142, Adjustment_factor_for_distance_based_on_trip_purpose[#All],MATCH(A142, Adjustment_factor_for_distance_based_on_trip_purpose[#Headers],0),0)</f>
        <v>0.66666666666666663</v>
      </c>
      <c r="L142" s="78" t="e">
        <f>VLOOKUP($L$2, Total_Journeys_Per_Year[#All],MATCH(A142, Total_Journeys_Per_Year[#Headers],0),0)</f>
        <v>#N/A</v>
      </c>
      <c r="M142" s="35" t="e">
        <f t="shared" si="1"/>
        <v>#N/A</v>
      </c>
      <c r="N142" s="35" t="e">
        <f>VLOOKUP($N$2, Private_Vehicle_Kilometres_Car_Stock[#All],MATCH(A142, Private_Vehicle_Kilometres_Car_Stock[#Headers],0),0)</f>
        <v>#N/A</v>
      </c>
    </row>
    <row r="143" spans="1:14" x14ac:dyDescent="0.25">
      <c r="A143" s="79" t="s">
        <v>33</v>
      </c>
      <c r="B143" s="13" t="s">
        <v>12</v>
      </c>
      <c r="C143" s="13" t="s">
        <v>49</v>
      </c>
      <c r="D143" s="5">
        <f>VLOOKUP(B143,Percentage_distribution_of_journey_distance_for_all_regions[#All],MATCH(A143,Percentage_distribution_of_journey_distance_for_all_regions[#Headers],0),0)/100</f>
        <v>0.21100000000000002</v>
      </c>
      <c r="E143" s="71">
        <f>IF(B143="&lt;2 kilometres",1,0)*VLOOKUP(C143, Percentage_dist_journeys_by_purpose_and_distance_to_2km[#All],MATCH(A143, Percentage_dist_journeys_by_purpose_and_distance_to_2km[#Headers],0),0)/100</f>
        <v>0.17399999999999999</v>
      </c>
      <c r="F143" s="4">
        <f>IF(B143="2-4 kilometres",1,0)*VLOOKUP(C143, Percentage_dist_journeys_by_purpose_and_distance_2_to_4km[#All],MATCH(A143, Percentage_dist_journeys_by_purpose_and_distance_2_to_4km[#Headers],0),0)/100</f>
        <v>0</v>
      </c>
      <c r="G143" s="72">
        <f>IF(B143="4-6 kilometres",1,0)*VLOOKUP(C143, Percentage_dist_journeys_by_purpose_and_distance_4_to_6km[#All],MATCH(A143, Percentage_dist_journeys_by_purpose_and_distance_4_to_6km[#Headers],0),0)/100</f>
        <v>0</v>
      </c>
      <c r="H143" s="4">
        <f>IF(B143="6-8 kilometres",1,0)*VLOOKUP(C143, Percentage_dist_journeys_by_purpose_and_distance_6_to_8km[#All],MATCH(A143, Percentage_dist_journeys_by_purpose_and_distance_6_to_8km[#Headers],0),0)/100</f>
        <v>0</v>
      </c>
      <c r="I143" s="72">
        <f>IF(B143="8+ kilometres",1,0)*VLOOKUP(C143, Percentage_dist_journeys_by_purpose_and_distance_8km[#All],MATCH(A143, Percentage_dist_journeys_by_purpose_and_distance_8km[#Headers],0),0)/100</f>
        <v>0</v>
      </c>
      <c r="J143" s="73">
        <f>VLOOKUP(B143,Average_Distance_by_kilometres_grouping_for_trip_purpose[#All],MATCH(A143,Average_Distance_by_kilometres_grouping_for_trip_purpose[#Headers],0),0)</f>
        <v>1</v>
      </c>
      <c r="K143" s="77">
        <f>VLOOKUP(C143, Adjustment_factor_for_distance_based_on_trip_purpose[#All],MATCH(A143, Adjustment_factor_for_distance_based_on_trip_purpose[#Headers],0),0)</f>
        <v>1.2222222222222223</v>
      </c>
      <c r="L143" s="78" t="e">
        <f>VLOOKUP($L$2, Total_Journeys_Per_Year[#All],MATCH(A143, Total_Journeys_Per_Year[#Headers],0),0)</f>
        <v>#N/A</v>
      </c>
      <c r="M143" s="35" t="e">
        <f t="shared" si="1"/>
        <v>#N/A</v>
      </c>
      <c r="N143" s="35" t="e">
        <f>VLOOKUP($N$2, Private_Vehicle_Kilometres_Car_Stock[#All],MATCH(A143, Private_Vehicle_Kilometres_Car_Stock[#Headers],0),0)</f>
        <v>#N/A</v>
      </c>
    </row>
    <row r="144" spans="1:14" x14ac:dyDescent="0.25">
      <c r="A144" s="79" t="s">
        <v>33</v>
      </c>
      <c r="B144" s="13" t="s">
        <v>181</v>
      </c>
      <c r="C144" s="13" t="s">
        <v>49</v>
      </c>
      <c r="D144" s="5">
        <f>VLOOKUP(B144,Percentage_distribution_of_journey_distance_for_all_regions[#All],MATCH(A144,Percentage_distribution_of_journey_distance_for_all_regions[#Headers],0),0)/100</f>
        <v>0.18899999999999997</v>
      </c>
      <c r="E144" s="71">
        <f>IF(B144="&lt;2 kilometres",1,0)*VLOOKUP(C144, Percentage_dist_journeys_by_purpose_and_distance_to_2km[#All],MATCH(A144, Percentage_dist_journeys_by_purpose_and_distance_to_2km[#Headers],0),0)/100</f>
        <v>0</v>
      </c>
      <c r="F144" s="4">
        <f>IF(B144="2-4 kilometres",1,0)*VLOOKUP(C144, Percentage_dist_journeys_by_purpose_and_distance_2_to_4km[#All],MATCH(A144, Percentage_dist_journeys_by_purpose_and_distance_2_to_4km[#Headers],0),0)/100</f>
        <v>0.2</v>
      </c>
      <c r="G144" s="72">
        <f>IF(B144="4-6 kilometres",1,0)*VLOOKUP(C144, Percentage_dist_journeys_by_purpose_and_distance_4_to_6km[#All],MATCH(A144, Percentage_dist_journeys_by_purpose_and_distance_4_to_6km[#Headers],0),0)/100</f>
        <v>0</v>
      </c>
      <c r="H144" s="4">
        <f>IF(B144="6-8 kilometres",1,0)*VLOOKUP(C144, Percentage_dist_journeys_by_purpose_and_distance_6_to_8km[#All],MATCH(A144, Percentage_dist_journeys_by_purpose_and_distance_6_to_8km[#Headers],0),0)/100</f>
        <v>0</v>
      </c>
      <c r="I144" s="72">
        <f>IF(B144="8+ kilometres",1,0)*VLOOKUP(C144, Percentage_dist_journeys_by_purpose_and_distance_8km[#All],MATCH(A144, Percentage_dist_journeys_by_purpose_and_distance_8km[#Headers],0),0)/100</f>
        <v>0</v>
      </c>
      <c r="J144" s="73">
        <f>VLOOKUP(B144,Average_Distance_by_kilometres_grouping_for_trip_purpose[#All],MATCH(A144,Average_Distance_by_kilometres_grouping_for_trip_purpose[#Headers],0),0)</f>
        <v>3</v>
      </c>
      <c r="K144" s="77">
        <f>VLOOKUP(C144, Adjustment_factor_for_distance_based_on_trip_purpose[#All],MATCH(A144, Adjustment_factor_for_distance_based_on_trip_purpose[#Headers],0),0)</f>
        <v>1.2222222222222223</v>
      </c>
      <c r="L144" s="78" t="e">
        <f>VLOOKUP($L$2, Total_Journeys_Per_Year[#All],MATCH(A144, Total_Journeys_Per_Year[#Headers],0),0)</f>
        <v>#N/A</v>
      </c>
      <c r="M144" s="35" t="e">
        <f t="shared" si="1"/>
        <v>#N/A</v>
      </c>
      <c r="N144" s="35" t="e">
        <f>VLOOKUP($N$2, Private_Vehicle_Kilometres_Car_Stock[#All],MATCH(A144, Private_Vehicle_Kilometres_Car_Stock[#Headers],0),0)</f>
        <v>#N/A</v>
      </c>
    </row>
    <row r="145" spans="1:14" x14ac:dyDescent="0.25">
      <c r="A145" s="79" t="s">
        <v>33</v>
      </c>
      <c r="B145" s="13" t="s">
        <v>180</v>
      </c>
      <c r="C145" s="13" t="s">
        <v>49</v>
      </c>
      <c r="D145" s="5">
        <f>VLOOKUP(B145,Percentage_distribution_of_journey_distance_for_all_regions[#All],MATCH(A145,Percentage_distribution_of_journey_distance_for_all_regions[#Headers],0),0)/100</f>
        <v>0.11699999999999999</v>
      </c>
      <c r="E145" s="71">
        <f>IF(B145="&lt;2 kilometres",1,0)*VLOOKUP(C145, Percentage_dist_journeys_by_purpose_and_distance_to_2km[#All],MATCH(A145, Percentage_dist_journeys_by_purpose_and_distance_to_2km[#Headers],0),0)/100</f>
        <v>0</v>
      </c>
      <c r="F145" s="4">
        <f>IF(B145="2-4 kilometres",1,0)*VLOOKUP(C145, Percentage_dist_journeys_by_purpose_and_distance_2_to_4km[#All],MATCH(A145, Percentage_dist_journeys_by_purpose_and_distance_2_to_4km[#Headers],0),0)/100</f>
        <v>0</v>
      </c>
      <c r="G145" s="72">
        <f>IF(B145="4-6 kilometres",1,0)*VLOOKUP(C145, Percentage_dist_journeys_by_purpose_and_distance_4_to_6km[#All],MATCH(A145, Percentage_dist_journeys_by_purpose_and_distance_4_to_6km[#Headers],0),0)/100</f>
        <v>0.18</v>
      </c>
      <c r="H145" s="4">
        <f>IF(B145="6-8 kilometres",1,0)*VLOOKUP(C145, Percentage_dist_journeys_by_purpose_and_distance_6_to_8km[#All],MATCH(A145, Percentage_dist_journeys_by_purpose_and_distance_6_to_8km[#Headers],0),0)/100</f>
        <v>0</v>
      </c>
      <c r="I145" s="72">
        <f>IF(B145="8+ kilometres",1,0)*VLOOKUP(C145, Percentage_dist_journeys_by_purpose_and_distance_8km[#All],MATCH(A145, Percentage_dist_journeys_by_purpose_and_distance_8km[#Headers],0),0)/100</f>
        <v>0</v>
      </c>
      <c r="J145" s="73">
        <f>VLOOKUP(B145,Average_Distance_by_kilometres_grouping_for_trip_purpose[#All],MATCH(A145,Average_Distance_by_kilometres_grouping_for_trip_purpose[#Headers],0),0)</f>
        <v>5</v>
      </c>
      <c r="K145" s="77">
        <f>VLOOKUP(C145, Adjustment_factor_for_distance_based_on_trip_purpose[#All],MATCH(A145, Adjustment_factor_for_distance_based_on_trip_purpose[#Headers],0),0)</f>
        <v>1.2222222222222223</v>
      </c>
      <c r="L145" s="78" t="e">
        <f>VLOOKUP($L$2, Total_Journeys_Per_Year[#All],MATCH(A145, Total_Journeys_Per_Year[#Headers],0),0)</f>
        <v>#N/A</v>
      </c>
      <c r="M145" s="35" t="e">
        <f t="shared" si="1"/>
        <v>#N/A</v>
      </c>
      <c r="N145" s="35" t="e">
        <f>VLOOKUP($N$2, Private_Vehicle_Kilometres_Car_Stock[#All],MATCH(A145, Private_Vehicle_Kilometres_Car_Stock[#Headers],0),0)</f>
        <v>#N/A</v>
      </c>
    </row>
    <row r="146" spans="1:14" x14ac:dyDescent="0.25">
      <c r="A146" s="79" t="s">
        <v>33</v>
      </c>
      <c r="B146" s="13" t="s">
        <v>182</v>
      </c>
      <c r="C146" s="13" t="s">
        <v>49</v>
      </c>
      <c r="D146" s="5">
        <f>VLOOKUP(B146,Percentage_distribution_of_journey_distance_for_all_regions[#All],MATCH(A146,Percentage_distribution_of_journey_distance_for_all_regions[#Headers],0),0)/100</f>
        <v>6.6000000000000003E-2</v>
      </c>
      <c r="E146" s="71">
        <f>IF(B146="&lt;2 kilometres",1,0)*VLOOKUP(C146, Percentage_dist_journeys_by_purpose_and_distance_to_2km[#All],MATCH(A146, Percentage_dist_journeys_by_purpose_and_distance_to_2km[#Headers],0),0)/100</f>
        <v>0</v>
      </c>
      <c r="F146" s="4">
        <f>IF(B146="2-4 kilometres",1,0)*VLOOKUP(C146, Percentage_dist_journeys_by_purpose_and_distance_2_to_4km[#All],MATCH(A146, Percentage_dist_journeys_by_purpose_and_distance_2_to_4km[#Headers],0),0)/100</f>
        <v>0</v>
      </c>
      <c r="G146" s="72">
        <f>IF(B146="4-6 kilometres",1,0)*VLOOKUP(C146, Percentage_dist_journeys_by_purpose_and_distance_4_to_6km[#All],MATCH(A146, Percentage_dist_journeys_by_purpose_and_distance_4_to_6km[#Headers],0),0)/100</f>
        <v>0</v>
      </c>
      <c r="H146" s="4">
        <f>IF(B146="6-8 kilometres",1,0)*VLOOKUP(C146, Percentage_dist_journeys_by_purpose_and_distance_6_to_8km[#All],MATCH(A146, Percentage_dist_journeys_by_purpose_and_distance_6_to_8km[#Headers],0),0)/100</f>
        <v>0.154</v>
      </c>
      <c r="I146" s="72">
        <f>IF(B146="8+ kilometres",1,0)*VLOOKUP(C146, Percentage_dist_journeys_by_purpose_and_distance_8km[#All],MATCH(A146, Percentage_dist_journeys_by_purpose_and_distance_8km[#Headers],0),0)/100</f>
        <v>0</v>
      </c>
      <c r="J146" s="73">
        <f>VLOOKUP(B146,Average_Distance_by_kilometres_grouping_for_trip_purpose[#All],MATCH(A146,Average_Distance_by_kilometres_grouping_for_trip_purpose[#Headers],0),0)</f>
        <v>7</v>
      </c>
      <c r="K146" s="77">
        <f>VLOOKUP(C146, Adjustment_factor_for_distance_based_on_trip_purpose[#All],MATCH(A146, Adjustment_factor_for_distance_based_on_trip_purpose[#Headers],0),0)</f>
        <v>1.2222222222222223</v>
      </c>
      <c r="L146" s="78" t="e">
        <f>VLOOKUP($L$2, Total_Journeys_Per_Year[#All],MATCH(A146, Total_Journeys_Per_Year[#Headers],0),0)</f>
        <v>#N/A</v>
      </c>
      <c r="M146" s="35" t="e">
        <f t="shared" si="1"/>
        <v>#N/A</v>
      </c>
      <c r="N146" s="35" t="e">
        <f>VLOOKUP($N$2, Private_Vehicle_Kilometres_Car_Stock[#All],MATCH(A146, Private_Vehicle_Kilometres_Car_Stock[#Headers],0),0)</f>
        <v>#N/A</v>
      </c>
    </row>
    <row r="147" spans="1:14" x14ac:dyDescent="0.25">
      <c r="A147" s="79" t="s">
        <v>33</v>
      </c>
      <c r="B147" s="13" t="s">
        <v>1</v>
      </c>
      <c r="C147" s="13" t="s">
        <v>49</v>
      </c>
      <c r="D147" s="5">
        <f>VLOOKUP(B147,Percentage_distribution_of_journey_distance_for_all_regions[#All],MATCH(A147,Percentage_distribution_of_journey_distance_for_all_regions[#Headers],0),0)/100</f>
        <v>0.41700000000000004</v>
      </c>
      <c r="E147" s="71">
        <f>IF(B147="&lt;2 kilometres",1,0)*VLOOKUP(C147, Percentage_dist_journeys_by_purpose_and_distance_to_2km[#All],MATCH(A147, Percentage_dist_journeys_by_purpose_and_distance_to_2km[#Headers],0),0)/100</f>
        <v>0</v>
      </c>
      <c r="F147" s="4">
        <f>IF(B147="2-4 kilometres",1,0)*VLOOKUP(C147, Percentage_dist_journeys_by_purpose_and_distance_2_to_4km[#All],MATCH(A147, Percentage_dist_journeys_by_purpose_and_distance_2_to_4km[#Headers],0),0)/100</f>
        <v>0</v>
      </c>
      <c r="G147" s="72">
        <f>IF(B147="4-6 kilometres",1,0)*VLOOKUP(C147, Percentage_dist_journeys_by_purpose_and_distance_4_to_6km[#All],MATCH(A147, Percentage_dist_journeys_by_purpose_and_distance_4_to_6km[#Headers],0),0)/100</f>
        <v>0</v>
      </c>
      <c r="H147" s="4">
        <f>IF(B147="6-8 kilometres",1,0)*VLOOKUP(C147, Percentage_dist_journeys_by_purpose_and_distance_6_to_8km[#All],MATCH(A147, Percentage_dist_journeys_by_purpose_and_distance_6_to_8km[#Headers],0),0)/100</f>
        <v>0</v>
      </c>
      <c r="I147" s="72">
        <f>IF(B147="8+ kilometres",1,0)*VLOOKUP(C147, Percentage_dist_journeys_by_purpose_and_distance_8km[#All],MATCH(A147, Percentage_dist_journeys_by_purpose_and_distance_8km[#Headers],0),0)/100</f>
        <v>0.13900000000000001</v>
      </c>
      <c r="J147" s="73">
        <f>VLOOKUP(B147,Average_Distance_by_kilometres_grouping_for_trip_purpose[#All],MATCH(A147,Average_Distance_by_kilometres_grouping_for_trip_purpose[#Headers],0),0)</f>
        <v>38.15</v>
      </c>
      <c r="K147" s="77">
        <f>VLOOKUP(C147, Adjustment_factor_for_distance_based_on_trip_purpose[#All],MATCH(A147, Adjustment_factor_for_distance_based_on_trip_purpose[#Headers],0),0)</f>
        <v>1.2222222222222223</v>
      </c>
      <c r="L147" s="78" t="e">
        <f>VLOOKUP($L$2, Total_Journeys_Per_Year[#All],MATCH(A147, Total_Journeys_Per_Year[#Headers],0),0)</f>
        <v>#N/A</v>
      </c>
      <c r="M147" s="35" t="e">
        <f t="shared" ref="M147:M210" si="2">D147*(SUM(E147:I147))*J147*L147</f>
        <v>#N/A</v>
      </c>
      <c r="N147" s="35" t="e">
        <f>VLOOKUP($N$2, Private_Vehicle_Kilometres_Car_Stock[#All],MATCH(A147, Private_Vehicle_Kilometres_Car_Stock[#Headers],0),0)</f>
        <v>#N/A</v>
      </c>
    </row>
    <row r="148" spans="1:14" x14ac:dyDescent="0.25">
      <c r="A148" s="79" t="s">
        <v>33</v>
      </c>
      <c r="B148" s="13" t="s">
        <v>12</v>
      </c>
      <c r="C148" s="13" t="s">
        <v>50</v>
      </c>
      <c r="D148" s="5">
        <f>VLOOKUP(B148,Percentage_distribution_of_journey_distance_for_all_regions[#All],MATCH(A148,Percentage_distribution_of_journey_distance_for_all_regions[#Headers],0),0)/100</f>
        <v>0.21100000000000002</v>
      </c>
      <c r="E148" s="71">
        <f>IF(B148="&lt;2 kilometres",1,0)*VLOOKUP(C148, Percentage_dist_journeys_by_purpose_and_distance_to_2km[#All],MATCH(A148, Percentage_dist_journeys_by_purpose_and_distance_to_2km[#Headers],0),0)/100</f>
        <v>0.05</v>
      </c>
      <c r="F148" s="4">
        <f>IF(B148="2-4 kilometres",1,0)*VLOOKUP(C148, Percentage_dist_journeys_by_purpose_and_distance_2_to_4km[#All],MATCH(A148, Percentage_dist_journeys_by_purpose_and_distance_2_to_4km[#Headers],0),0)/100</f>
        <v>0</v>
      </c>
      <c r="G148" s="72">
        <f>IF(B148="4-6 kilometres",1,0)*VLOOKUP(C148, Percentage_dist_journeys_by_purpose_and_distance_4_to_6km[#All],MATCH(A148, Percentage_dist_journeys_by_purpose_and_distance_4_to_6km[#Headers],0),0)/100</f>
        <v>0</v>
      </c>
      <c r="H148" s="4">
        <f>IF(B148="6-8 kilometres",1,0)*VLOOKUP(C148, Percentage_dist_journeys_by_purpose_and_distance_6_to_8km[#All],MATCH(A148, Percentage_dist_journeys_by_purpose_and_distance_6_to_8km[#Headers],0),0)/100</f>
        <v>0</v>
      </c>
      <c r="I148" s="72">
        <f>IF(B148="8+ kilometres",1,0)*VLOOKUP(C148, Percentage_dist_journeys_by_purpose_and_distance_8km[#All],MATCH(A148, Percentage_dist_journeys_by_purpose_and_distance_8km[#Headers],0),0)/100</f>
        <v>0</v>
      </c>
      <c r="J148" s="73">
        <f>VLOOKUP(B148,Average_Distance_by_kilometres_grouping_for_trip_purpose[#All],MATCH(A148,Average_Distance_by_kilometres_grouping_for_trip_purpose[#Headers],0),0)</f>
        <v>1</v>
      </c>
      <c r="K148" s="77">
        <f>VLOOKUP(C148, Adjustment_factor_for_distance_based_on_trip_purpose[#All],MATCH(A148, Adjustment_factor_for_distance_based_on_trip_purpose[#Headers],0),0)</f>
        <v>0.77777777777777779</v>
      </c>
      <c r="L148" s="78" t="e">
        <f>VLOOKUP($L$2, Total_Journeys_Per_Year[#All],MATCH(A148, Total_Journeys_Per_Year[#Headers],0),0)</f>
        <v>#N/A</v>
      </c>
      <c r="M148" s="35" t="e">
        <f t="shared" si="2"/>
        <v>#N/A</v>
      </c>
      <c r="N148" s="35" t="e">
        <f>VLOOKUP($N$2, Private_Vehicle_Kilometres_Car_Stock[#All],MATCH(A148, Private_Vehicle_Kilometres_Car_Stock[#Headers],0),0)</f>
        <v>#N/A</v>
      </c>
    </row>
    <row r="149" spans="1:14" x14ac:dyDescent="0.25">
      <c r="A149" s="79" t="s">
        <v>33</v>
      </c>
      <c r="B149" s="13" t="s">
        <v>181</v>
      </c>
      <c r="C149" s="13" t="s">
        <v>50</v>
      </c>
      <c r="D149" s="5">
        <f>VLOOKUP(B149,Percentage_distribution_of_journey_distance_for_all_regions[#All],MATCH(A149,Percentage_distribution_of_journey_distance_for_all_regions[#Headers],0),0)/100</f>
        <v>0.18899999999999997</v>
      </c>
      <c r="E149" s="71">
        <f>IF(B149="&lt;2 kilometres",1,0)*VLOOKUP(C149, Percentage_dist_journeys_by_purpose_and_distance_to_2km[#All],MATCH(A149, Percentage_dist_journeys_by_purpose_and_distance_to_2km[#Headers],0),0)/100</f>
        <v>0</v>
      </c>
      <c r="F149" s="4">
        <f>IF(B149="2-4 kilometres",1,0)*VLOOKUP(C149, Percentage_dist_journeys_by_purpose_and_distance_2_to_4km[#All],MATCH(A149, Percentage_dist_journeys_by_purpose_and_distance_2_to_4km[#Headers],0),0)/100</f>
        <v>4.7E-2</v>
      </c>
      <c r="G149" s="72">
        <f>IF(B149="4-6 kilometres",1,0)*VLOOKUP(C149, Percentage_dist_journeys_by_purpose_and_distance_4_to_6km[#All],MATCH(A149, Percentage_dist_journeys_by_purpose_and_distance_4_to_6km[#Headers],0),0)/100</f>
        <v>0</v>
      </c>
      <c r="H149" s="4">
        <f>IF(B149="6-8 kilometres",1,0)*VLOOKUP(C149, Percentage_dist_journeys_by_purpose_and_distance_6_to_8km[#All],MATCH(A149, Percentage_dist_journeys_by_purpose_and_distance_6_to_8km[#Headers],0),0)/100</f>
        <v>0</v>
      </c>
      <c r="I149" s="72">
        <f>IF(B149="8+ kilometres",1,0)*VLOOKUP(C149, Percentage_dist_journeys_by_purpose_and_distance_8km[#All],MATCH(A149, Percentage_dist_journeys_by_purpose_and_distance_8km[#Headers],0),0)/100</f>
        <v>0</v>
      </c>
      <c r="J149" s="73">
        <f>VLOOKUP(B149,Average_Distance_by_kilometres_grouping_for_trip_purpose[#All],MATCH(A149,Average_Distance_by_kilometres_grouping_for_trip_purpose[#Headers],0),0)</f>
        <v>3</v>
      </c>
      <c r="K149" s="77">
        <f>VLOOKUP(C149, Adjustment_factor_for_distance_based_on_trip_purpose[#All],MATCH(A149, Adjustment_factor_for_distance_based_on_trip_purpose[#Headers],0),0)</f>
        <v>0.77777777777777779</v>
      </c>
      <c r="L149" s="78" t="e">
        <f>VLOOKUP($L$2, Total_Journeys_Per_Year[#All],MATCH(A149, Total_Journeys_Per_Year[#Headers],0),0)</f>
        <v>#N/A</v>
      </c>
      <c r="M149" s="35" t="e">
        <f t="shared" si="2"/>
        <v>#N/A</v>
      </c>
      <c r="N149" s="35" t="e">
        <f>VLOOKUP($N$2, Private_Vehicle_Kilometres_Car_Stock[#All],MATCH(A149, Private_Vehicle_Kilometres_Car_Stock[#Headers],0),0)</f>
        <v>#N/A</v>
      </c>
    </row>
    <row r="150" spans="1:14" x14ac:dyDescent="0.25">
      <c r="A150" s="79" t="s">
        <v>33</v>
      </c>
      <c r="B150" s="13" t="s">
        <v>180</v>
      </c>
      <c r="C150" s="13" t="s">
        <v>50</v>
      </c>
      <c r="D150" s="5">
        <f>VLOOKUP(B150,Percentage_distribution_of_journey_distance_for_all_regions[#All],MATCH(A150,Percentage_distribution_of_journey_distance_for_all_regions[#Headers],0),0)/100</f>
        <v>0.11699999999999999</v>
      </c>
      <c r="E150" s="71">
        <f>IF(B150="&lt;2 kilometres",1,0)*VLOOKUP(C150, Percentage_dist_journeys_by_purpose_and_distance_to_2km[#All],MATCH(A150, Percentage_dist_journeys_by_purpose_and_distance_to_2km[#Headers],0),0)/100</f>
        <v>0</v>
      </c>
      <c r="F150" s="4">
        <f>IF(B150="2-4 kilometres",1,0)*VLOOKUP(C150, Percentage_dist_journeys_by_purpose_and_distance_2_to_4km[#All],MATCH(A150, Percentage_dist_journeys_by_purpose_and_distance_2_to_4km[#Headers],0),0)/100</f>
        <v>0</v>
      </c>
      <c r="G150" s="72">
        <f>IF(B150="4-6 kilometres",1,0)*VLOOKUP(C150, Percentage_dist_journeys_by_purpose_and_distance_4_to_6km[#All],MATCH(A150, Percentage_dist_journeys_by_purpose_and_distance_4_to_6km[#Headers],0),0)/100</f>
        <v>4.4000000000000004E-2</v>
      </c>
      <c r="H150" s="4">
        <f>IF(B150="6-8 kilometres",1,0)*VLOOKUP(C150, Percentage_dist_journeys_by_purpose_and_distance_6_to_8km[#All],MATCH(A150, Percentage_dist_journeys_by_purpose_and_distance_6_to_8km[#Headers],0),0)/100</f>
        <v>0</v>
      </c>
      <c r="I150" s="72">
        <f>IF(B150="8+ kilometres",1,0)*VLOOKUP(C150, Percentage_dist_journeys_by_purpose_and_distance_8km[#All],MATCH(A150, Percentage_dist_journeys_by_purpose_and_distance_8km[#Headers],0),0)/100</f>
        <v>0</v>
      </c>
      <c r="J150" s="73">
        <f>VLOOKUP(B150,Average_Distance_by_kilometres_grouping_for_trip_purpose[#All],MATCH(A150,Average_Distance_by_kilometres_grouping_for_trip_purpose[#Headers],0),0)</f>
        <v>5</v>
      </c>
      <c r="K150" s="77">
        <f>VLOOKUP(C150, Adjustment_factor_for_distance_based_on_trip_purpose[#All],MATCH(A150, Adjustment_factor_for_distance_based_on_trip_purpose[#Headers],0),0)</f>
        <v>0.77777777777777779</v>
      </c>
      <c r="L150" s="78" t="e">
        <f>VLOOKUP($L$2, Total_Journeys_Per_Year[#All],MATCH(A150, Total_Journeys_Per_Year[#Headers],0),0)</f>
        <v>#N/A</v>
      </c>
      <c r="M150" s="35" t="e">
        <f t="shared" si="2"/>
        <v>#N/A</v>
      </c>
      <c r="N150" s="35" t="e">
        <f>VLOOKUP($N$2, Private_Vehicle_Kilometres_Car_Stock[#All],MATCH(A150, Private_Vehicle_Kilometres_Car_Stock[#Headers],0),0)</f>
        <v>#N/A</v>
      </c>
    </row>
    <row r="151" spans="1:14" x14ac:dyDescent="0.25">
      <c r="A151" s="79" t="s">
        <v>33</v>
      </c>
      <c r="B151" s="13" t="s">
        <v>182</v>
      </c>
      <c r="C151" s="13" t="s">
        <v>50</v>
      </c>
      <c r="D151" s="5">
        <f>VLOOKUP(B151,Percentage_distribution_of_journey_distance_for_all_regions[#All],MATCH(A151,Percentage_distribution_of_journey_distance_for_all_regions[#Headers],0),0)/100</f>
        <v>6.6000000000000003E-2</v>
      </c>
      <c r="E151" s="71">
        <f>IF(B151="&lt;2 kilometres",1,0)*VLOOKUP(C151, Percentage_dist_journeys_by_purpose_and_distance_to_2km[#All],MATCH(A151, Percentage_dist_journeys_by_purpose_and_distance_to_2km[#Headers],0),0)/100</f>
        <v>0</v>
      </c>
      <c r="F151" s="4">
        <f>IF(B151="2-4 kilometres",1,0)*VLOOKUP(C151, Percentage_dist_journeys_by_purpose_and_distance_2_to_4km[#All],MATCH(A151, Percentage_dist_journeys_by_purpose_and_distance_2_to_4km[#Headers],0),0)/100</f>
        <v>0</v>
      </c>
      <c r="G151" s="72">
        <f>IF(B151="4-6 kilometres",1,0)*VLOOKUP(C151, Percentage_dist_journeys_by_purpose_and_distance_4_to_6km[#All],MATCH(A151, Percentage_dist_journeys_by_purpose_and_distance_4_to_6km[#Headers],0),0)/100</f>
        <v>0</v>
      </c>
      <c r="H151" s="4">
        <f>IF(B151="6-8 kilometres",1,0)*VLOOKUP(C151, Percentage_dist_journeys_by_purpose_and_distance_6_to_8km[#All],MATCH(A151, Percentage_dist_journeys_by_purpose_and_distance_6_to_8km[#Headers],0),0)/100</f>
        <v>4.0999999999999995E-2</v>
      </c>
      <c r="I151" s="72">
        <f>IF(B151="8+ kilometres",1,0)*VLOOKUP(C151, Percentage_dist_journeys_by_purpose_and_distance_8km[#All],MATCH(A151, Percentage_dist_journeys_by_purpose_and_distance_8km[#Headers],0),0)/100</f>
        <v>0</v>
      </c>
      <c r="J151" s="73">
        <f>VLOOKUP(B151,Average_Distance_by_kilometres_grouping_for_trip_purpose[#All],MATCH(A151,Average_Distance_by_kilometres_grouping_for_trip_purpose[#Headers],0),0)</f>
        <v>7</v>
      </c>
      <c r="K151" s="77">
        <f>VLOOKUP(C151, Adjustment_factor_for_distance_based_on_trip_purpose[#All],MATCH(A151, Adjustment_factor_for_distance_based_on_trip_purpose[#Headers],0),0)</f>
        <v>0.77777777777777779</v>
      </c>
      <c r="L151" s="78" t="e">
        <f>VLOOKUP($L$2, Total_Journeys_Per_Year[#All],MATCH(A151, Total_Journeys_Per_Year[#Headers],0),0)</f>
        <v>#N/A</v>
      </c>
      <c r="M151" s="35" t="e">
        <f t="shared" si="2"/>
        <v>#N/A</v>
      </c>
      <c r="N151" s="35" t="e">
        <f>VLOOKUP($N$2, Private_Vehicle_Kilometres_Car_Stock[#All],MATCH(A151, Private_Vehicle_Kilometres_Car_Stock[#Headers],0),0)</f>
        <v>#N/A</v>
      </c>
    </row>
    <row r="152" spans="1:14" x14ac:dyDescent="0.25">
      <c r="A152" s="79" t="s">
        <v>33</v>
      </c>
      <c r="B152" s="13" t="s">
        <v>1</v>
      </c>
      <c r="C152" s="13" t="s">
        <v>50</v>
      </c>
      <c r="D152" s="5">
        <f>VLOOKUP(B152,Percentage_distribution_of_journey_distance_for_all_regions[#All],MATCH(A152,Percentage_distribution_of_journey_distance_for_all_regions[#Headers],0),0)/100</f>
        <v>0.41700000000000004</v>
      </c>
      <c r="E152" s="71">
        <f>IF(B152="&lt;2 kilometres",1,0)*VLOOKUP(C152, Percentage_dist_journeys_by_purpose_and_distance_to_2km[#All],MATCH(A152, Percentage_dist_journeys_by_purpose_and_distance_to_2km[#Headers],0),0)/100</f>
        <v>0</v>
      </c>
      <c r="F152" s="4">
        <f>IF(B152="2-4 kilometres",1,0)*VLOOKUP(C152, Percentage_dist_journeys_by_purpose_and_distance_2_to_4km[#All],MATCH(A152, Percentage_dist_journeys_by_purpose_and_distance_2_to_4km[#Headers],0),0)/100</f>
        <v>0</v>
      </c>
      <c r="G152" s="72">
        <f>IF(B152="4-6 kilometres",1,0)*VLOOKUP(C152, Percentage_dist_journeys_by_purpose_and_distance_4_to_6km[#All],MATCH(A152, Percentage_dist_journeys_by_purpose_and_distance_4_to_6km[#Headers],0),0)/100</f>
        <v>0</v>
      </c>
      <c r="H152" s="4">
        <f>IF(B152="6-8 kilometres",1,0)*VLOOKUP(C152, Percentage_dist_journeys_by_purpose_and_distance_6_to_8km[#All],MATCH(A152, Percentage_dist_journeys_by_purpose_and_distance_6_to_8km[#Headers],0),0)/100</f>
        <v>0</v>
      </c>
      <c r="I152" s="72">
        <f>IF(B152="8+ kilometres",1,0)*VLOOKUP(C152, Percentage_dist_journeys_by_purpose_and_distance_8km[#All],MATCH(A152, Percentage_dist_journeys_by_purpose_and_distance_8km[#Headers],0),0)/100</f>
        <v>4.8000000000000001E-2</v>
      </c>
      <c r="J152" s="73">
        <f>VLOOKUP(B152,Average_Distance_by_kilometres_grouping_for_trip_purpose[#All],MATCH(A152,Average_Distance_by_kilometres_grouping_for_trip_purpose[#Headers],0),0)</f>
        <v>38.15</v>
      </c>
      <c r="K152" s="77">
        <f>VLOOKUP(C152, Adjustment_factor_for_distance_based_on_trip_purpose[#All],MATCH(A152, Adjustment_factor_for_distance_based_on_trip_purpose[#Headers],0),0)</f>
        <v>0.77777777777777779</v>
      </c>
      <c r="L152" s="78" t="e">
        <f>VLOOKUP($L$2, Total_Journeys_Per_Year[#All],MATCH(A152, Total_Journeys_Per_Year[#Headers],0),0)</f>
        <v>#N/A</v>
      </c>
      <c r="M152" s="35" t="e">
        <f t="shared" si="2"/>
        <v>#N/A</v>
      </c>
      <c r="N152" s="35" t="e">
        <f>VLOOKUP($N$2, Private_Vehicle_Kilometres_Car_Stock[#All],MATCH(A152, Private_Vehicle_Kilometres_Car_Stock[#Headers],0),0)</f>
        <v>#N/A</v>
      </c>
    </row>
    <row r="153" spans="1:14" x14ac:dyDescent="0.25">
      <c r="A153" s="79" t="s">
        <v>34</v>
      </c>
      <c r="B153" s="13" t="s">
        <v>12</v>
      </c>
      <c r="C153" s="13" t="s">
        <v>42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Percentage_dist_journeys_by_purpose_and_distance_to_2km[#All],MATCH(A153, Percentage_dist_journeys_by_purpose_and_distance_to_2km[#Headers],0),0)/100</f>
        <v>0.152</v>
      </c>
      <c r="F153" s="4">
        <f>IF(B153="2-4 kilometres",1,0)*VLOOKUP(C153, Percentage_dist_journeys_by_purpose_and_distance_2_to_4km[#All],MATCH(A153, Percentage_dist_journeys_by_purpose_and_distance_2_to_4km[#Headers],0),0)/100</f>
        <v>0</v>
      </c>
      <c r="G153" s="72">
        <f>IF(B153="4-6 kilometres",1,0)*VLOOKUP(C153, Percentage_dist_journeys_by_purpose_and_distance_4_to_6km[#All],MATCH(A153, Percentage_dist_journeys_by_purpose_and_distance_4_to_6km[#Headers],0),0)/100</f>
        <v>0</v>
      </c>
      <c r="H153" s="4">
        <f>IF(B153="6-8 kilometres",1,0)*VLOOKUP(C153, Percentage_dist_journeys_by_purpose_and_distance_6_to_8km[#All],MATCH(A153, Percentage_dist_journeys_by_purpose_and_distance_6_to_8km[#Headers],0),0)/100</f>
        <v>0</v>
      </c>
      <c r="I153" s="72">
        <f>IF(B153="8+ kilometres",1,0)*VLOOKUP(C153, Percentage_dist_journeys_by_purpose_and_distance_8km[#All],MATCH(A153, Percentage_dist_journeys_by_purpose_and_distance_8km[#Headers],0),0)/100</f>
        <v>0</v>
      </c>
      <c r="J153" s="73">
        <f>VLOOKUP(B153,Average_Distance_by_kilometres_grouping_for_trip_purpose[#All],MATCH(A153,Average_Distance_by_kilometres_grouping_for_trip_purpose[#Headers],0),0)</f>
        <v>1</v>
      </c>
      <c r="K153" s="77">
        <f>VLOOKUP(C153, Adjustment_factor_for_distance_based_on_trip_purpose[#All],MATCH(A153, Adjustment_factor_for_distance_based_on_trip_purpose[#Headers],0),0)</f>
        <v>1</v>
      </c>
      <c r="L153" s="78" t="e">
        <f>VLOOKUP($L$2, Total_Journeys_Per_Year[#All],MATCH(A153, Total_Journeys_Per_Year[#Headers],0),0)</f>
        <v>#N/A</v>
      </c>
      <c r="M153" s="35" t="e">
        <f t="shared" si="2"/>
        <v>#N/A</v>
      </c>
      <c r="N153" s="35" t="e">
        <f>VLOOKUP($N$2, Private_Vehicle_Kilometres_Car_Stock[#All],MATCH(A153, Private_Vehicle_Kilometres_Car_Stock[#Headers],0),0)</f>
        <v>#N/A</v>
      </c>
    </row>
    <row r="154" spans="1:14" x14ac:dyDescent="0.25">
      <c r="A154" s="79" t="s">
        <v>34</v>
      </c>
      <c r="B154" s="13" t="s">
        <v>181</v>
      </c>
      <c r="C154" s="13" t="s">
        <v>42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Percentage_dist_journeys_by_purpose_and_distance_to_2km[#All],MATCH(A154, Percentage_dist_journeys_by_purpose_and_distance_to_2km[#Headers],0),0)/100</f>
        <v>0</v>
      </c>
      <c r="F154" s="4">
        <f>IF(B154="2-4 kilometres",1,0)*VLOOKUP(C154, Percentage_dist_journeys_by_purpose_and_distance_2_to_4km[#All],MATCH(A154, Percentage_dist_journeys_by_purpose_and_distance_2_to_4km[#Headers],0),0)/100</f>
        <v>0.20300000000000001</v>
      </c>
      <c r="G154" s="72">
        <f>IF(B154="4-6 kilometres",1,0)*VLOOKUP(C154, Percentage_dist_journeys_by_purpose_and_distance_4_to_6km[#All],MATCH(A154, Percentage_dist_journeys_by_purpose_and_distance_4_to_6km[#Headers],0),0)/100</f>
        <v>0</v>
      </c>
      <c r="H154" s="4">
        <f>IF(B154="6-8 kilometres",1,0)*VLOOKUP(C154, Percentage_dist_journeys_by_purpose_and_distance_6_to_8km[#All],MATCH(A154, Percentage_dist_journeys_by_purpose_and_distance_6_to_8km[#Headers],0),0)/100</f>
        <v>0</v>
      </c>
      <c r="I154" s="72">
        <f>IF(B154="8+ kilometres",1,0)*VLOOKUP(C154, Percentage_dist_journeys_by_purpose_and_distance_8km[#All],MATCH(A154, Percentage_dist_journeys_by_purpose_and_distance_8km[#Headers],0),0)/100</f>
        <v>0</v>
      </c>
      <c r="J154" s="73">
        <f>VLOOKUP(B154,Average_Distance_by_kilometres_grouping_for_trip_purpose[#All],MATCH(A154,Average_Distance_by_kilometres_grouping_for_trip_purpose[#Headers],0),0)</f>
        <v>3</v>
      </c>
      <c r="K154" s="77">
        <f>VLOOKUP(C154, Adjustment_factor_for_distance_based_on_trip_purpose[#All],MATCH(A154, Adjustment_factor_for_distance_based_on_trip_purpose[#Headers],0),0)</f>
        <v>1</v>
      </c>
      <c r="L154" s="78" t="e">
        <f>VLOOKUP($L$2, Total_Journeys_Per_Year[#All],MATCH(A154, Total_Journeys_Per_Year[#Headers],0),0)</f>
        <v>#N/A</v>
      </c>
      <c r="M154" s="35" t="e">
        <f t="shared" si="2"/>
        <v>#N/A</v>
      </c>
      <c r="N154" s="35" t="e">
        <f>VLOOKUP($N$2, Private_Vehicle_Kilometres_Car_Stock[#All],MATCH(A154, Private_Vehicle_Kilometres_Car_Stock[#Headers],0),0)</f>
        <v>#N/A</v>
      </c>
    </row>
    <row r="155" spans="1:14" x14ac:dyDescent="0.25">
      <c r="A155" s="79" t="s">
        <v>34</v>
      </c>
      <c r="B155" s="13" t="s">
        <v>180</v>
      </c>
      <c r="C155" s="13" t="s">
        <v>42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Percentage_dist_journeys_by_purpose_and_distance_to_2km[#All],MATCH(A155, Percentage_dist_journeys_by_purpose_and_distance_to_2km[#Headers],0),0)/100</f>
        <v>0</v>
      </c>
      <c r="F155" s="4">
        <f>IF(B155="2-4 kilometres",1,0)*VLOOKUP(C155, Percentage_dist_journeys_by_purpose_and_distance_2_to_4km[#All],MATCH(A155, Percentage_dist_journeys_by_purpose_and_distance_2_to_4km[#Headers],0),0)/100</f>
        <v>0</v>
      </c>
      <c r="G155" s="72">
        <f>IF(B155="4-6 kilometres",1,0)*VLOOKUP(C155, Percentage_dist_journeys_by_purpose_and_distance_4_to_6km[#All],MATCH(A155, Percentage_dist_journeys_by_purpose_and_distance_4_to_6km[#Headers],0),0)/100</f>
        <v>0.218</v>
      </c>
      <c r="H155" s="4">
        <f>IF(B155="6-8 kilometres",1,0)*VLOOKUP(C155, Percentage_dist_journeys_by_purpose_and_distance_6_to_8km[#All],MATCH(A155, Percentage_dist_journeys_by_purpose_and_distance_6_to_8km[#Headers],0),0)/100</f>
        <v>0</v>
      </c>
      <c r="I155" s="72">
        <f>IF(B155="8+ kilometres",1,0)*VLOOKUP(C155, Percentage_dist_journeys_by_purpose_and_distance_8km[#All],MATCH(A155, Percentage_dist_journeys_by_purpose_and_distance_8km[#Headers],0),0)/100</f>
        <v>0</v>
      </c>
      <c r="J155" s="73">
        <f>VLOOKUP(B155,Average_Distance_by_kilometres_grouping_for_trip_purpose[#All],MATCH(A155,Average_Distance_by_kilometres_grouping_for_trip_purpose[#Headers],0),0)</f>
        <v>5</v>
      </c>
      <c r="K155" s="77">
        <f>VLOOKUP(C155, Adjustment_factor_for_distance_based_on_trip_purpose[#All],MATCH(A155, Adjustment_factor_for_distance_based_on_trip_purpose[#Headers],0),0)</f>
        <v>1</v>
      </c>
      <c r="L155" s="78" t="e">
        <f>VLOOKUP($L$2, Total_Journeys_Per_Year[#All],MATCH(A155, Total_Journeys_Per_Year[#Headers],0),0)</f>
        <v>#N/A</v>
      </c>
      <c r="M155" s="35" t="e">
        <f t="shared" si="2"/>
        <v>#N/A</v>
      </c>
      <c r="N155" s="35" t="e">
        <f>VLOOKUP($N$2, Private_Vehicle_Kilometres_Car_Stock[#All],MATCH(A155, Private_Vehicle_Kilometres_Car_Stock[#Headers],0),0)</f>
        <v>#N/A</v>
      </c>
    </row>
    <row r="156" spans="1:14" x14ac:dyDescent="0.25">
      <c r="A156" s="79" t="s">
        <v>34</v>
      </c>
      <c r="B156" s="13" t="s">
        <v>182</v>
      </c>
      <c r="C156" s="13" t="s">
        <v>42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Percentage_dist_journeys_by_purpose_and_distance_to_2km[#All],MATCH(A156, Percentage_dist_journeys_by_purpose_and_distance_to_2km[#Headers],0),0)/100</f>
        <v>0</v>
      </c>
      <c r="F156" s="4">
        <f>IF(B156="2-4 kilometres",1,0)*VLOOKUP(C156, Percentage_dist_journeys_by_purpose_and_distance_2_to_4km[#All],MATCH(A156, Percentage_dist_journeys_by_purpose_and_distance_2_to_4km[#Headers],0),0)/100</f>
        <v>0</v>
      </c>
      <c r="G156" s="72">
        <f>IF(B156="4-6 kilometres",1,0)*VLOOKUP(C156, Percentage_dist_journeys_by_purpose_and_distance_4_to_6km[#All],MATCH(A156, Percentage_dist_journeys_by_purpose_and_distance_4_to_6km[#Headers],0),0)/100</f>
        <v>0</v>
      </c>
      <c r="H156" s="4">
        <f>IF(B156="6-8 kilometres",1,0)*VLOOKUP(C156, Percentage_dist_journeys_by_purpose_and_distance_6_to_8km[#All],MATCH(A156, Percentage_dist_journeys_by_purpose_and_distance_6_to_8km[#Headers],0),0)/100</f>
        <v>0.22600000000000001</v>
      </c>
      <c r="I156" s="72">
        <f>IF(B156="8+ kilometres",1,0)*VLOOKUP(C156, Percentage_dist_journeys_by_purpose_and_distance_8km[#All],MATCH(A156, Percentage_dist_journeys_by_purpose_and_distance_8km[#Headers],0),0)/100</f>
        <v>0</v>
      </c>
      <c r="J156" s="73">
        <f>VLOOKUP(B156,Average_Distance_by_kilometres_grouping_for_trip_purpose[#All],MATCH(A156,Average_Distance_by_kilometres_grouping_for_trip_purpose[#Headers],0),0)</f>
        <v>7</v>
      </c>
      <c r="K156" s="77">
        <f>VLOOKUP(C156, Adjustment_factor_for_distance_based_on_trip_purpose[#All],MATCH(A156, Adjustment_factor_for_distance_based_on_trip_purpose[#Headers],0),0)</f>
        <v>1</v>
      </c>
      <c r="L156" s="78" t="e">
        <f>VLOOKUP($L$2, Total_Journeys_Per_Year[#All],MATCH(A156, Total_Journeys_Per_Year[#Headers],0),0)</f>
        <v>#N/A</v>
      </c>
      <c r="M156" s="35" t="e">
        <f t="shared" si="2"/>
        <v>#N/A</v>
      </c>
      <c r="N156" s="35" t="e">
        <f>VLOOKUP($N$2, Private_Vehicle_Kilometres_Car_Stock[#All],MATCH(A156, Private_Vehicle_Kilometres_Car_Stock[#Headers],0),0)</f>
        <v>#N/A</v>
      </c>
    </row>
    <row r="157" spans="1:14" x14ac:dyDescent="0.25">
      <c r="A157" s="79" t="s">
        <v>34</v>
      </c>
      <c r="B157" s="13" t="s">
        <v>1</v>
      </c>
      <c r="C157" s="13" t="s">
        <v>42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Percentage_dist_journeys_by_purpose_and_distance_to_2km[#All],MATCH(A157, Percentage_dist_journeys_by_purpose_and_distance_to_2km[#Headers],0),0)/100</f>
        <v>0</v>
      </c>
      <c r="F157" s="4">
        <f>IF(B157="2-4 kilometres",1,0)*VLOOKUP(C157, Percentage_dist_journeys_by_purpose_and_distance_2_to_4km[#All],MATCH(A157, Percentage_dist_journeys_by_purpose_and_distance_2_to_4km[#Headers],0),0)/100</f>
        <v>0</v>
      </c>
      <c r="G157" s="72">
        <f>IF(B157="4-6 kilometres",1,0)*VLOOKUP(C157, Percentage_dist_journeys_by_purpose_and_distance_4_to_6km[#All],MATCH(A157, Percentage_dist_journeys_by_purpose_and_distance_4_to_6km[#Headers],0),0)/100</f>
        <v>0</v>
      </c>
      <c r="H157" s="4">
        <f>IF(B157="6-8 kilometres",1,0)*VLOOKUP(C157, Percentage_dist_journeys_by_purpose_and_distance_6_to_8km[#All],MATCH(A157, Percentage_dist_journeys_by_purpose_and_distance_6_to_8km[#Headers],0),0)/100</f>
        <v>0</v>
      </c>
      <c r="I157" s="72">
        <f>IF(B157="8+ kilometres",1,0)*VLOOKUP(C157, Percentage_dist_journeys_by_purpose_and_distance_8km[#All],MATCH(A157, Percentage_dist_journeys_by_purpose_and_distance_8km[#Headers],0),0)/100</f>
        <v>0.33399999999999996</v>
      </c>
      <c r="J157" s="73">
        <f>VLOOKUP(B157,Average_Distance_by_kilometres_grouping_for_trip_purpose[#All],MATCH(A157,Average_Distance_by_kilometres_grouping_for_trip_purpose[#Headers],0),0)</f>
        <v>42.45</v>
      </c>
      <c r="K157" s="77">
        <f>VLOOKUP(C157, Adjustment_factor_for_distance_based_on_trip_purpose[#All],MATCH(A157, Adjustment_factor_for_distance_based_on_trip_purpose[#Headers],0),0)</f>
        <v>1</v>
      </c>
      <c r="L157" s="78" t="e">
        <f>VLOOKUP($L$2, Total_Journeys_Per_Year[#All],MATCH(A157, Total_Journeys_Per_Year[#Headers],0),0)</f>
        <v>#N/A</v>
      </c>
      <c r="M157" s="35" t="e">
        <f t="shared" si="2"/>
        <v>#N/A</v>
      </c>
      <c r="N157" s="35" t="e">
        <f>VLOOKUP($N$2, Private_Vehicle_Kilometres_Car_Stock[#All],MATCH(A157, Private_Vehicle_Kilometres_Car_Stock[#Headers],0),0)</f>
        <v>#N/A</v>
      </c>
    </row>
    <row r="158" spans="1:14" x14ac:dyDescent="0.25">
      <c r="A158" s="79" t="s">
        <v>34</v>
      </c>
      <c r="B158" s="13" t="s">
        <v>12</v>
      </c>
      <c r="C158" s="13" t="s">
        <v>43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Percentage_dist_journeys_by_purpose_and_distance_to_2km[#All],MATCH(A158, Percentage_dist_journeys_by_purpose_and_distance_to_2km[#Headers],0),0)/100</f>
        <v>5.0999999999999997E-2</v>
      </c>
      <c r="F158" s="4">
        <f>IF(B158="2-4 kilometres",1,0)*VLOOKUP(C158, Percentage_dist_journeys_by_purpose_and_distance_2_to_4km[#All],MATCH(A158, Percentage_dist_journeys_by_purpose_and_distance_2_to_4km[#Headers],0),0)/100</f>
        <v>0</v>
      </c>
      <c r="G158" s="72">
        <f>IF(B158="4-6 kilometres",1,0)*VLOOKUP(C158, Percentage_dist_journeys_by_purpose_and_distance_4_to_6km[#All],MATCH(A158, Percentage_dist_journeys_by_purpose_and_distance_4_to_6km[#Headers],0),0)/100</f>
        <v>0</v>
      </c>
      <c r="H158" s="4">
        <f>IF(B158="6-8 kilometres",1,0)*VLOOKUP(C158, Percentage_dist_journeys_by_purpose_and_distance_6_to_8km[#All],MATCH(A158, Percentage_dist_journeys_by_purpose_and_distance_6_to_8km[#Headers],0),0)/100</f>
        <v>0</v>
      </c>
      <c r="I158" s="72">
        <f>IF(B158="8+ kilometres",1,0)*VLOOKUP(C158, Percentage_dist_journeys_by_purpose_and_distance_8km[#All],MATCH(A158, Percentage_dist_journeys_by_purpose_and_distance_8km[#Headers],0),0)/100</f>
        <v>0</v>
      </c>
      <c r="J158" s="73">
        <f>VLOOKUP(B158,Average_Distance_by_kilometres_grouping_for_trip_purpose[#All],MATCH(A158,Average_Distance_by_kilometres_grouping_for_trip_purpose[#Headers],0),0)</f>
        <v>1</v>
      </c>
      <c r="K158" s="77">
        <f>VLOOKUP(C158, Adjustment_factor_for_distance_based_on_trip_purpose[#All],MATCH(A158, Adjustment_factor_for_distance_based_on_trip_purpose[#Headers],0),0)</f>
        <v>0.88888888888888884</v>
      </c>
      <c r="L158" s="78" t="e">
        <f>VLOOKUP($L$2, Total_Journeys_Per_Year[#All],MATCH(A158, Total_Journeys_Per_Year[#Headers],0),0)</f>
        <v>#N/A</v>
      </c>
      <c r="M158" s="35" t="e">
        <f t="shared" si="2"/>
        <v>#N/A</v>
      </c>
      <c r="N158" s="35" t="e">
        <f>VLOOKUP($N$2, Private_Vehicle_Kilometres_Car_Stock[#All],MATCH(A158, Private_Vehicle_Kilometres_Car_Stock[#Headers],0),0)</f>
        <v>#N/A</v>
      </c>
    </row>
    <row r="159" spans="1:14" x14ac:dyDescent="0.25">
      <c r="A159" s="79" t="s">
        <v>34</v>
      </c>
      <c r="B159" s="13" t="s">
        <v>181</v>
      </c>
      <c r="C159" s="13" t="s">
        <v>43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Percentage_dist_journeys_by_purpose_and_distance_to_2km[#All],MATCH(A159, Percentage_dist_journeys_by_purpose_and_distance_to_2km[#Headers],0),0)/100</f>
        <v>0</v>
      </c>
      <c r="F159" s="4">
        <f>IF(B159="2-4 kilometres",1,0)*VLOOKUP(C159, Percentage_dist_journeys_by_purpose_and_distance_2_to_4km[#All],MATCH(A159, Percentage_dist_journeys_by_purpose_and_distance_2_to_4km[#Headers],0),0)/100</f>
        <v>6.3E-2</v>
      </c>
      <c r="G159" s="72">
        <f>IF(B159="4-6 kilometres",1,0)*VLOOKUP(C159, Percentage_dist_journeys_by_purpose_and_distance_4_to_6km[#All],MATCH(A159, Percentage_dist_journeys_by_purpose_and_distance_4_to_6km[#Headers],0),0)/100</f>
        <v>0</v>
      </c>
      <c r="H159" s="4">
        <f>IF(B159="6-8 kilometres",1,0)*VLOOKUP(C159, Percentage_dist_journeys_by_purpose_and_distance_6_to_8km[#All],MATCH(A159, Percentage_dist_journeys_by_purpose_and_distance_6_to_8km[#Headers],0),0)/100</f>
        <v>0</v>
      </c>
      <c r="I159" s="72">
        <f>IF(B159="8+ kilometres",1,0)*VLOOKUP(C159, Percentage_dist_journeys_by_purpose_and_distance_8km[#All],MATCH(A159, Percentage_dist_journeys_by_purpose_and_distance_8km[#Headers],0),0)/100</f>
        <v>0</v>
      </c>
      <c r="J159" s="73">
        <f>VLOOKUP(B159,Average_Distance_by_kilometres_grouping_for_trip_purpose[#All],MATCH(A159,Average_Distance_by_kilometres_grouping_for_trip_purpose[#Headers],0),0)</f>
        <v>3</v>
      </c>
      <c r="K159" s="77">
        <f>VLOOKUP(C159, Adjustment_factor_for_distance_based_on_trip_purpose[#All],MATCH(A159, Adjustment_factor_for_distance_based_on_trip_purpose[#Headers],0),0)</f>
        <v>0.88888888888888884</v>
      </c>
      <c r="L159" s="78" t="e">
        <f>VLOOKUP($L$2, Total_Journeys_Per_Year[#All],MATCH(A159, Total_Journeys_Per_Year[#Headers],0),0)</f>
        <v>#N/A</v>
      </c>
      <c r="M159" s="35" t="e">
        <f t="shared" si="2"/>
        <v>#N/A</v>
      </c>
      <c r="N159" s="35" t="e">
        <f>VLOOKUP($N$2, Private_Vehicle_Kilometres_Car_Stock[#All],MATCH(A159, Private_Vehicle_Kilometres_Car_Stock[#Headers],0),0)</f>
        <v>#N/A</v>
      </c>
    </row>
    <row r="160" spans="1:14" x14ac:dyDescent="0.25">
      <c r="A160" s="79" t="s">
        <v>34</v>
      </c>
      <c r="B160" s="13" t="s">
        <v>180</v>
      </c>
      <c r="C160" s="13" t="s">
        <v>43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Percentage_dist_journeys_by_purpose_and_distance_to_2km[#All],MATCH(A160, Percentage_dist_journeys_by_purpose_and_distance_to_2km[#Headers],0),0)/100</f>
        <v>0</v>
      </c>
      <c r="F160" s="4">
        <f>IF(B160="2-4 kilometres",1,0)*VLOOKUP(C160, Percentage_dist_journeys_by_purpose_and_distance_2_to_4km[#All],MATCH(A160, Percentage_dist_journeys_by_purpose_and_distance_2_to_4km[#Headers],0),0)/100</f>
        <v>0</v>
      </c>
      <c r="G160" s="72">
        <f>IF(B160="4-6 kilometres",1,0)*VLOOKUP(C160, Percentage_dist_journeys_by_purpose_and_distance_4_to_6km[#All],MATCH(A160, Percentage_dist_journeys_by_purpose_and_distance_4_to_6km[#Headers],0),0)/100</f>
        <v>0.05</v>
      </c>
      <c r="H160" s="4">
        <f>IF(B160="6-8 kilometres",1,0)*VLOOKUP(C160, Percentage_dist_journeys_by_purpose_and_distance_6_to_8km[#All],MATCH(A160, Percentage_dist_journeys_by_purpose_and_distance_6_to_8km[#Headers],0),0)/100</f>
        <v>0</v>
      </c>
      <c r="I160" s="72">
        <f>IF(B160="8+ kilometres",1,0)*VLOOKUP(C160, Percentage_dist_journeys_by_purpose_and_distance_8km[#All],MATCH(A160, Percentage_dist_journeys_by_purpose_and_distance_8km[#Headers],0),0)/100</f>
        <v>0</v>
      </c>
      <c r="J160" s="73">
        <f>VLOOKUP(B160,Average_Distance_by_kilometres_grouping_for_trip_purpose[#All],MATCH(A160,Average_Distance_by_kilometres_grouping_for_trip_purpose[#Headers],0),0)</f>
        <v>5</v>
      </c>
      <c r="K160" s="77">
        <f>VLOOKUP(C160, Adjustment_factor_for_distance_based_on_trip_purpose[#All],MATCH(A160, Adjustment_factor_for_distance_based_on_trip_purpose[#Headers],0),0)</f>
        <v>0.88888888888888884</v>
      </c>
      <c r="L160" s="78" t="e">
        <f>VLOOKUP($L$2, Total_Journeys_Per_Year[#All],MATCH(A160, Total_Journeys_Per_Year[#Headers],0),0)</f>
        <v>#N/A</v>
      </c>
      <c r="M160" s="35" t="e">
        <f t="shared" si="2"/>
        <v>#N/A</v>
      </c>
      <c r="N160" s="35" t="e">
        <f>VLOOKUP($N$2, Private_Vehicle_Kilometres_Car_Stock[#All],MATCH(A160, Private_Vehicle_Kilometres_Car_Stock[#Headers],0),0)</f>
        <v>#N/A</v>
      </c>
    </row>
    <row r="161" spans="1:14" x14ac:dyDescent="0.25">
      <c r="A161" s="79" t="s">
        <v>34</v>
      </c>
      <c r="B161" s="13" t="s">
        <v>182</v>
      </c>
      <c r="C161" s="13" t="s">
        <v>43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Percentage_dist_journeys_by_purpose_and_distance_to_2km[#All],MATCH(A161, Percentage_dist_journeys_by_purpose_and_distance_to_2km[#Headers],0),0)/100</f>
        <v>0</v>
      </c>
      <c r="F161" s="4">
        <f>IF(B161="2-4 kilometres",1,0)*VLOOKUP(C161, Percentage_dist_journeys_by_purpose_and_distance_2_to_4km[#All],MATCH(A161, Percentage_dist_journeys_by_purpose_and_distance_2_to_4km[#Headers],0),0)/100</f>
        <v>0</v>
      </c>
      <c r="G161" s="72">
        <f>IF(B161="4-6 kilometres",1,0)*VLOOKUP(C161, Percentage_dist_journeys_by_purpose_and_distance_4_to_6km[#All],MATCH(A161, Percentage_dist_journeys_by_purpose_and_distance_4_to_6km[#Headers],0),0)/100</f>
        <v>0</v>
      </c>
      <c r="H161" s="4">
        <f>IF(B161="6-8 kilometres",1,0)*VLOOKUP(C161, Percentage_dist_journeys_by_purpose_and_distance_6_to_8km[#All],MATCH(A161, Percentage_dist_journeys_by_purpose_and_distance_6_to_8km[#Headers],0),0)/100</f>
        <v>4.9000000000000002E-2</v>
      </c>
      <c r="I161" s="72">
        <f>IF(B161="8+ kilometres",1,0)*VLOOKUP(C161, Percentage_dist_journeys_by_purpose_and_distance_8km[#All],MATCH(A161, Percentage_dist_journeys_by_purpose_and_distance_8km[#Headers],0),0)/100</f>
        <v>0</v>
      </c>
      <c r="J161" s="73">
        <f>VLOOKUP(B161,Average_Distance_by_kilometres_grouping_for_trip_purpose[#All],MATCH(A161,Average_Distance_by_kilometres_grouping_for_trip_purpose[#Headers],0),0)</f>
        <v>7</v>
      </c>
      <c r="K161" s="77">
        <f>VLOOKUP(C161, Adjustment_factor_for_distance_based_on_trip_purpose[#All],MATCH(A161, Adjustment_factor_for_distance_based_on_trip_purpose[#Headers],0),0)</f>
        <v>0.88888888888888884</v>
      </c>
      <c r="L161" s="78" t="e">
        <f>VLOOKUP($L$2, Total_Journeys_Per_Year[#All],MATCH(A161, Total_Journeys_Per_Year[#Headers],0),0)</f>
        <v>#N/A</v>
      </c>
      <c r="M161" s="35" t="e">
        <f t="shared" si="2"/>
        <v>#N/A</v>
      </c>
      <c r="N161" s="35" t="e">
        <f>VLOOKUP($N$2, Private_Vehicle_Kilometres_Car_Stock[#All],MATCH(A161, Private_Vehicle_Kilometres_Car_Stock[#Headers],0),0)</f>
        <v>#N/A</v>
      </c>
    </row>
    <row r="162" spans="1:14" x14ac:dyDescent="0.25">
      <c r="A162" s="79" t="s">
        <v>34</v>
      </c>
      <c r="B162" s="13" t="s">
        <v>1</v>
      </c>
      <c r="C162" s="13" t="s">
        <v>43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Percentage_dist_journeys_by_purpose_and_distance_to_2km[#All],MATCH(A162, Percentage_dist_journeys_by_purpose_and_distance_to_2km[#Headers],0),0)/100</f>
        <v>0</v>
      </c>
      <c r="F162" s="4">
        <f>IF(B162="2-4 kilometres",1,0)*VLOOKUP(C162, Percentage_dist_journeys_by_purpose_and_distance_2_to_4km[#All],MATCH(A162, Percentage_dist_journeys_by_purpose_and_distance_2_to_4km[#Headers],0),0)/100</f>
        <v>0</v>
      </c>
      <c r="G162" s="72">
        <f>IF(B162="4-6 kilometres",1,0)*VLOOKUP(C162, Percentage_dist_journeys_by_purpose_and_distance_4_to_6km[#All],MATCH(A162, Percentage_dist_journeys_by_purpose_and_distance_4_to_6km[#Headers],0),0)/100</f>
        <v>0</v>
      </c>
      <c r="H162" s="4">
        <f>IF(B162="6-8 kilometres",1,0)*VLOOKUP(C162, Percentage_dist_journeys_by_purpose_and_distance_6_to_8km[#All],MATCH(A162, Percentage_dist_journeys_by_purpose_and_distance_6_to_8km[#Headers],0),0)/100</f>
        <v>0</v>
      </c>
      <c r="I162" s="72">
        <f>IF(B162="8+ kilometres",1,0)*VLOOKUP(C162, Percentage_dist_journeys_by_purpose_and_distance_8km[#All],MATCH(A162, Percentage_dist_journeys_by_purpose_and_distance_8km[#Headers],0),0)/100</f>
        <v>3.2000000000000001E-2</v>
      </c>
      <c r="J162" s="73">
        <f>VLOOKUP(B162,Average_Distance_by_kilometres_grouping_for_trip_purpose[#All],MATCH(A162,Average_Distance_by_kilometres_grouping_for_trip_purpose[#Headers],0),0)</f>
        <v>42.45</v>
      </c>
      <c r="K162" s="77">
        <f>VLOOKUP(C162, Adjustment_factor_for_distance_based_on_trip_purpose[#All],MATCH(A162, Adjustment_factor_for_distance_based_on_trip_purpose[#Headers],0),0)</f>
        <v>0.88888888888888884</v>
      </c>
      <c r="L162" s="78" t="e">
        <f>VLOOKUP($L$2, Total_Journeys_Per_Year[#All],MATCH(A162, Total_Journeys_Per_Year[#Headers],0),0)</f>
        <v>#N/A</v>
      </c>
      <c r="M162" s="35" t="e">
        <f t="shared" si="2"/>
        <v>#N/A</v>
      </c>
      <c r="N162" s="35" t="e">
        <f>VLOOKUP($N$2, Private_Vehicle_Kilometres_Car_Stock[#All],MATCH(A162, Private_Vehicle_Kilometres_Car_Stock[#Headers],0),0)</f>
        <v>#N/A</v>
      </c>
    </row>
    <row r="163" spans="1:14" x14ac:dyDescent="0.25">
      <c r="A163" s="79" t="s">
        <v>34</v>
      </c>
      <c r="B163" s="13" t="s">
        <v>12</v>
      </c>
      <c r="C163" s="13" t="s">
        <v>44</v>
      </c>
      <c r="D163" s="5">
        <f>VLOOKUP(B163,Percentage_distribution_of_journey_distance_for_all_regions[#All],MATCH(A163,Percentage_distribution_of_journey_distance_for_all_regions[#Headers],0),0)/100</f>
        <v>0.188</v>
      </c>
      <c r="E163" s="71">
        <f>IF(B163="&lt;2 kilometres",1,0)*VLOOKUP(C163, Percentage_dist_journeys_by_purpose_and_distance_to_2km[#All],MATCH(A163, Percentage_dist_journeys_by_purpose_and_distance_to_2km[#Headers],0),0)/100</f>
        <v>0.314</v>
      </c>
      <c r="F163" s="4">
        <f>IF(B163="2-4 kilometres",1,0)*VLOOKUP(C163, Percentage_dist_journeys_by_purpose_and_distance_2_to_4km[#All],MATCH(A163, Percentage_dist_journeys_by_purpose_and_distance_2_to_4km[#Headers],0),0)/100</f>
        <v>0</v>
      </c>
      <c r="G163" s="72">
        <f>IF(B163="4-6 kilometres",1,0)*VLOOKUP(C163, Percentage_dist_journeys_by_purpose_and_distance_4_to_6km[#All],MATCH(A163, Percentage_dist_journeys_by_purpose_and_distance_4_to_6km[#Headers],0),0)/100</f>
        <v>0</v>
      </c>
      <c r="H163" s="4">
        <f>IF(B163="6-8 kilometres",1,0)*VLOOKUP(C163, Percentage_dist_journeys_by_purpose_and_distance_6_to_8km[#All],MATCH(A163, Percentage_dist_journeys_by_purpose_and_distance_6_to_8km[#Headers],0),0)/100</f>
        <v>0</v>
      </c>
      <c r="I163" s="72">
        <f>IF(B163="8+ kilometres",1,0)*VLOOKUP(C163, Percentage_dist_journeys_by_purpose_and_distance_8km[#All],MATCH(A163, Percentage_dist_journeys_by_purpose_and_distance_8km[#Headers],0),0)/100</f>
        <v>0</v>
      </c>
      <c r="J163" s="73">
        <f>VLOOKUP(B163,Average_Distance_by_kilometres_grouping_for_trip_purpose[#All],MATCH(A163,Average_Distance_by_kilometres_grouping_for_trip_purpose[#Headers],0),0)</f>
        <v>1</v>
      </c>
      <c r="K163" s="77">
        <f>VLOOKUP(C163, Adjustment_factor_for_distance_based_on_trip_purpose[#All],MATCH(A163, Adjustment_factor_for_distance_based_on_trip_purpose[#Headers],0),0)</f>
        <v>0.44444444444444442</v>
      </c>
      <c r="L163" s="78" t="e">
        <f>VLOOKUP($L$2, Total_Journeys_Per_Year[#All],MATCH(A163, Total_Journeys_Per_Year[#Headers],0),0)</f>
        <v>#N/A</v>
      </c>
      <c r="M163" s="35" t="e">
        <f t="shared" si="2"/>
        <v>#N/A</v>
      </c>
      <c r="N163" s="35" t="e">
        <f>VLOOKUP($N$2, Private_Vehicle_Kilometres_Car_Stock[#All],MATCH(A163, Private_Vehicle_Kilometres_Car_Stock[#Headers],0),0)</f>
        <v>#N/A</v>
      </c>
    </row>
    <row r="164" spans="1:14" x14ac:dyDescent="0.25">
      <c r="A164" s="79" t="s">
        <v>34</v>
      </c>
      <c r="B164" s="13" t="s">
        <v>181</v>
      </c>
      <c r="C164" s="13" t="s">
        <v>44</v>
      </c>
      <c r="D164" s="5">
        <f>VLOOKUP(B164,Percentage_distribution_of_journey_distance_for_all_regions[#All],MATCH(A164,Percentage_distribution_of_journey_distance_for_all_regions[#Headers],0),0)/100</f>
        <v>0.2</v>
      </c>
      <c r="E164" s="71">
        <f>IF(B164="&lt;2 kilometres",1,0)*VLOOKUP(C164, Percentage_dist_journeys_by_purpose_and_distance_to_2km[#All],MATCH(A164, Percentage_dist_journeys_by_purpose_and_distance_to_2km[#Headers],0),0)/100</f>
        <v>0</v>
      </c>
      <c r="F164" s="4">
        <f>IF(B164="2-4 kilometres",1,0)*VLOOKUP(C164, Percentage_dist_journeys_by_purpose_and_distance_2_to_4km[#All],MATCH(A164, Percentage_dist_journeys_by_purpose_and_distance_2_to_4km[#Headers],0),0)/100</f>
        <v>0.29299999999999998</v>
      </c>
      <c r="G164" s="72">
        <f>IF(B164="4-6 kilometres",1,0)*VLOOKUP(C164, Percentage_dist_journeys_by_purpose_and_distance_4_to_6km[#All],MATCH(A164, Percentage_dist_journeys_by_purpose_and_distance_4_to_6km[#Headers],0),0)/100</f>
        <v>0</v>
      </c>
      <c r="H164" s="4">
        <f>IF(B164="6-8 kilometres",1,0)*VLOOKUP(C164, Percentage_dist_journeys_by_purpose_and_distance_6_to_8km[#All],MATCH(A164, Percentage_dist_journeys_by_purpose_and_distance_6_to_8km[#Headers],0),0)/100</f>
        <v>0</v>
      </c>
      <c r="I164" s="72">
        <f>IF(B164="8+ kilometres",1,0)*VLOOKUP(C164, Percentage_dist_journeys_by_purpose_and_distance_8km[#All],MATCH(A164, Percentage_dist_journeys_by_purpose_and_distance_8km[#Headers],0),0)/100</f>
        <v>0</v>
      </c>
      <c r="J164" s="73">
        <f>VLOOKUP(B164,Average_Distance_by_kilometres_grouping_for_trip_purpose[#All],MATCH(A164,Average_Distance_by_kilometres_grouping_for_trip_purpose[#Headers],0),0)</f>
        <v>3</v>
      </c>
      <c r="K164" s="77">
        <f>VLOOKUP(C164, Adjustment_factor_for_distance_based_on_trip_purpose[#All],MATCH(A164, Adjustment_factor_for_distance_based_on_trip_purpose[#Headers],0),0)</f>
        <v>0.44444444444444442</v>
      </c>
      <c r="L164" s="78" t="e">
        <f>VLOOKUP($L$2, Total_Journeys_Per_Year[#All],MATCH(A164, Total_Journeys_Per_Year[#Headers],0),0)</f>
        <v>#N/A</v>
      </c>
      <c r="M164" s="35" t="e">
        <f t="shared" si="2"/>
        <v>#N/A</v>
      </c>
      <c r="N164" s="35" t="e">
        <f>VLOOKUP($N$2, Private_Vehicle_Kilometres_Car_Stock[#All],MATCH(A164, Private_Vehicle_Kilometres_Car_Stock[#Headers],0),0)</f>
        <v>#N/A</v>
      </c>
    </row>
    <row r="165" spans="1:14" x14ac:dyDescent="0.25">
      <c r="A165" s="79" t="s">
        <v>34</v>
      </c>
      <c r="B165" s="13" t="s">
        <v>180</v>
      </c>
      <c r="C165" s="13" t="s">
        <v>44</v>
      </c>
      <c r="D165" s="5">
        <f>VLOOKUP(B165,Percentage_distribution_of_journey_distance_for_all_regions[#All],MATCH(A165,Percentage_distribution_of_journey_distance_for_all_regions[#Headers],0),0)/100</f>
        <v>0.13</v>
      </c>
      <c r="E165" s="71">
        <f>IF(B165="&lt;2 kilometres",1,0)*VLOOKUP(C165, Percentage_dist_journeys_by_purpose_and_distance_to_2km[#All],MATCH(A165, Percentage_dist_journeys_by_purpose_and_distance_to_2km[#Headers],0),0)/100</f>
        <v>0</v>
      </c>
      <c r="F165" s="4">
        <f>IF(B165="2-4 kilometres",1,0)*VLOOKUP(C165, Percentage_dist_journeys_by_purpose_and_distance_2_to_4km[#All],MATCH(A165, Percentage_dist_journeys_by_purpose_and_distance_2_to_4km[#Headers],0),0)/100</f>
        <v>0</v>
      </c>
      <c r="G165" s="72">
        <f>IF(B165="4-6 kilometres",1,0)*VLOOKUP(C165, Percentage_dist_journeys_by_purpose_and_distance_4_to_6km[#All],MATCH(A165, Percentage_dist_journeys_by_purpose_and_distance_4_to_6km[#Headers],0),0)/100</f>
        <v>0.23899999999999999</v>
      </c>
      <c r="H165" s="4">
        <f>IF(B165="6-8 kilometres",1,0)*VLOOKUP(C165, Percentage_dist_journeys_by_purpose_and_distance_6_to_8km[#All],MATCH(A165, Percentage_dist_journeys_by_purpose_and_distance_6_to_8km[#Headers],0),0)/100</f>
        <v>0</v>
      </c>
      <c r="I165" s="72">
        <f>IF(B165="8+ kilometres",1,0)*VLOOKUP(C165, Percentage_dist_journeys_by_purpose_and_distance_8km[#All],MATCH(A165, Percentage_dist_journeys_by_purpose_and_distance_8km[#Headers],0),0)/100</f>
        <v>0</v>
      </c>
      <c r="J165" s="73">
        <f>VLOOKUP(B165,Average_Distance_by_kilometres_grouping_for_trip_purpose[#All],MATCH(A165,Average_Distance_by_kilometres_grouping_for_trip_purpose[#Headers],0),0)</f>
        <v>5</v>
      </c>
      <c r="K165" s="77">
        <f>VLOOKUP(C165, Adjustment_factor_for_distance_based_on_trip_purpose[#All],MATCH(A165, Adjustment_factor_for_distance_based_on_trip_purpose[#Headers],0),0)</f>
        <v>0.44444444444444442</v>
      </c>
      <c r="L165" s="78" t="e">
        <f>VLOOKUP($L$2, Total_Journeys_Per_Year[#All],MATCH(A165, Total_Journeys_Per_Year[#Headers],0),0)</f>
        <v>#N/A</v>
      </c>
      <c r="M165" s="35" t="e">
        <f t="shared" si="2"/>
        <v>#N/A</v>
      </c>
      <c r="N165" s="35" t="e">
        <f>VLOOKUP($N$2, Private_Vehicle_Kilometres_Car_Stock[#All],MATCH(A165, Private_Vehicle_Kilometres_Car_Stock[#Headers],0),0)</f>
        <v>#N/A</v>
      </c>
    </row>
    <row r="166" spans="1:14" x14ac:dyDescent="0.25">
      <c r="A166" s="79" t="s">
        <v>34</v>
      </c>
      <c r="B166" s="13" t="s">
        <v>182</v>
      </c>
      <c r="C166" s="13" t="s">
        <v>44</v>
      </c>
      <c r="D166" s="5">
        <f>VLOOKUP(B166,Percentage_distribution_of_journey_distance_for_all_regions[#All],MATCH(A166,Percentage_distribution_of_journey_distance_for_all_regions[#Headers],0),0)/100</f>
        <v>6.4000000000000001E-2</v>
      </c>
      <c r="E166" s="71">
        <f>IF(B166="&lt;2 kilometres",1,0)*VLOOKUP(C166, Percentage_dist_journeys_by_purpose_and_distance_to_2km[#All],MATCH(A166, Percentage_dist_journeys_by_purpose_and_distance_to_2km[#Headers],0),0)/100</f>
        <v>0</v>
      </c>
      <c r="F166" s="4">
        <f>IF(B166="2-4 kilometres",1,0)*VLOOKUP(C166, Percentage_dist_journeys_by_purpose_and_distance_2_to_4km[#All],MATCH(A166, Percentage_dist_journeys_by_purpose_and_distance_2_to_4km[#Headers],0),0)/100</f>
        <v>0</v>
      </c>
      <c r="G166" s="72">
        <f>IF(B166="4-6 kilometres",1,0)*VLOOKUP(C166, Percentage_dist_journeys_by_purpose_and_distance_4_to_6km[#All],MATCH(A166, Percentage_dist_journeys_by_purpose_and_distance_4_to_6km[#Headers],0),0)/100</f>
        <v>0</v>
      </c>
      <c r="H166" s="4">
        <f>IF(B166="6-8 kilometres",1,0)*VLOOKUP(C166, Percentage_dist_journeys_by_purpose_and_distance_6_to_8km[#All],MATCH(A166, Percentage_dist_journeys_by_purpose_and_distance_6_to_8km[#Headers],0),0)/100</f>
        <v>0.20899999999999999</v>
      </c>
      <c r="I166" s="72">
        <f>IF(B166="8+ kilometres",1,0)*VLOOKUP(C166, Percentage_dist_journeys_by_purpose_and_distance_8km[#All],MATCH(A166, Percentage_dist_journeys_by_purpose_and_distance_8km[#Headers],0),0)/100</f>
        <v>0</v>
      </c>
      <c r="J166" s="73">
        <f>VLOOKUP(B166,Average_Distance_by_kilometres_grouping_for_trip_purpose[#All],MATCH(A166,Average_Distance_by_kilometres_grouping_for_trip_purpose[#Headers],0),0)</f>
        <v>7</v>
      </c>
      <c r="K166" s="77">
        <f>VLOOKUP(C166, Adjustment_factor_for_distance_based_on_trip_purpose[#All],MATCH(A166, Adjustment_factor_for_distance_based_on_trip_purpose[#Headers],0),0)</f>
        <v>0.44444444444444442</v>
      </c>
      <c r="L166" s="78" t="e">
        <f>VLOOKUP($L$2, Total_Journeys_Per_Year[#All],MATCH(A166, Total_Journeys_Per_Year[#Headers],0),0)</f>
        <v>#N/A</v>
      </c>
      <c r="M166" s="35" t="e">
        <f t="shared" si="2"/>
        <v>#N/A</v>
      </c>
      <c r="N166" s="35" t="e">
        <f>VLOOKUP($N$2, Private_Vehicle_Kilometres_Car_Stock[#All],MATCH(A166, Private_Vehicle_Kilometres_Car_Stock[#Headers],0),0)</f>
        <v>#N/A</v>
      </c>
    </row>
    <row r="167" spans="1:14" x14ac:dyDescent="0.25">
      <c r="A167" s="79" t="s">
        <v>34</v>
      </c>
      <c r="B167" s="13" t="s">
        <v>1</v>
      </c>
      <c r="C167" s="13" t="s">
        <v>44</v>
      </c>
      <c r="D167" s="5">
        <f>VLOOKUP(B167,Percentage_distribution_of_journey_distance_for_all_regions[#All],MATCH(A167,Percentage_distribution_of_journey_distance_for_all_regions[#Headers],0),0)/100</f>
        <v>0.41899999999999998</v>
      </c>
      <c r="E167" s="71">
        <f>IF(B167="&lt;2 kilometres",1,0)*VLOOKUP(C167, Percentage_dist_journeys_by_purpose_and_distance_to_2km[#All],MATCH(A167, Percentage_dist_journeys_by_purpose_and_distance_to_2km[#Headers],0),0)/100</f>
        <v>0</v>
      </c>
      <c r="F167" s="4">
        <f>IF(B167="2-4 kilometres",1,0)*VLOOKUP(C167, Percentage_dist_journeys_by_purpose_and_distance_2_to_4km[#All],MATCH(A167, Percentage_dist_journeys_by_purpose_and_distance_2_to_4km[#Headers],0),0)/100</f>
        <v>0</v>
      </c>
      <c r="G167" s="72">
        <f>IF(B167="4-6 kilometres",1,0)*VLOOKUP(C167, Percentage_dist_journeys_by_purpose_and_distance_4_to_6km[#All],MATCH(A167, Percentage_dist_journeys_by_purpose_and_distance_4_to_6km[#Headers],0),0)/100</f>
        <v>0</v>
      </c>
      <c r="H167" s="4">
        <f>IF(B167="6-8 kilometres",1,0)*VLOOKUP(C167, Percentage_dist_journeys_by_purpose_and_distance_6_to_8km[#All],MATCH(A167, Percentage_dist_journeys_by_purpose_and_distance_6_to_8km[#Headers],0),0)/100</f>
        <v>0</v>
      </c>
      <c r="I167" s="72">
        <f>IF(B167="8+ kilometres",1,0)*VLOOKUP(C167, Percentage_dist_journeys_by_purpose_and_distance_8km[#All],MATCH(A167, Percentage_dist_journeys_by_purpose_and_distance_8km[#Headers],0),0)/100</f>
        <v>0.183</v>
      </c>
      <c r="J167" s="73">
        <f>VLOOKUP(B167,Average_Distance_by_kilometres_grouping_for_trip_purpose[#All],MATCH(A167,Average_Distance_by_kilometres_grouping_for_trip_purpose[#Headers],0),0)</f>
        <v>42.45</v>
      </c>
      <c r="K167" s="77">
        <f>VLOOKUP(C167, Adjustment_factor_for_distance_based_on_trip_purpose[#All],MATCH(A167, Adjustment_factor_for_distance_based_on_trip_purpose[#Headers],0),0)</f>
        <v>0.44444444444444442</v>
      </c>
      <c r="L167" s="78" t="e">
        <f>VLOOKUP($L$2, Total_Journeys_Per_Year[#All],MATCH(A167, Total_Journeys_Per_Year[#Headers],0),0)</f>
        <v>#N/A</v>
      </c>
      <c r="M167" s="35" t="e">
        <f t="shared" si="2"/>
        <v>#N/A</v>
      </c>
      <c r="N167" s="35" t="e">
        <f>VLOOKUP($N$2, Private_Vehicle_Kilometres_Car_Stock[#All],MATCH(A167, Private_Vehicle_Kilometres_Car_Stock[#Headers],0),0)</f>
        <v>#N/A</v>
      </c>
    </row>
    <row r="168" spans="1:14" x14ac:dyDescent="0.25">
      <c r="A168" s="79" t="s">
        <v>34</v>
      </c>
      <c r="B168" s="13" t="s">
        <v>12</v>
      </c>
      <c r="C168" s="13" t="s">
        <v>45</v>
      </c>
      <c r="D168" s="5">
        <f>VLOOKUP(B168,Percentage_distribution_of_journey_distance_for_all_regions[#All],MATCH(A168,Percentage_distribution_of_journey_distance_for_all_regions[#Headers],0),0)/100</f>
        <v>0.188</v>
      </c>
      <c r="E168" s="71">
        <f>IF(B168="&lt;2 kilometres",1,0)*VLOOKUP(C168, Percentage_dist_journeys_by_purpose_and_distance_to_2km[#All],MATCH(A168, Percentage_dist_journeys_by_purpose_and_distance_to_2km[#Headers],0),0)/100</f>
        <v>2.7000000000000003E-2</v>
      </c>
      <c r="F168" s="4">
        <f>IF(B168="2-4 kilometres",1,0)*VLOOKUP(C168, Percentage_dist_journeys_by_purpose_and_distance_2_to_4km[#All],MATCH(A168, Percentage_dist_journeys_by_purpose_and_distance_2_to_4km[#Headers],0),0)/100</f>
        <v>0</v>
      </c>
      <c r="G168" s="72">
        <f>IF(B168="4-6 kilometres",1,0)*VLOOKUP(C168, Percentage_dist_journeys_by_purpose_and_distance_4_to_6km[#All],MATCH(A168, Percentage_dist_journeys_by_purpose_and_distance_4_to_6km[#Headers],0),0)/100</f>
        <v>0</v>
      </c>
      <c r="H168" s="4">
        <f>IF(B168="6-8 kilometres",1,0)*VLOOKUP(C168, Percentage_dist_journeys_by_purpose_and_distance_6_to_8km[#All],MATCH(A168, Percentage_dist_journeys_by_purpose_and_distance_6_to_8km[#Headers],0),0)/100</f>
        <v>0</v>
      </c>
      <c r="I168" s="72">
        <f>IF(B168="8+ kilometres",1,0)*VLOOKUP(C168, Percentage_dist_journeys_by_purpose_and_distance_8km[#All],MATCH(A168, Percentage_dist_journeys_by_purpose_and_distance_8km[#Headers],0),0)/100</f>
        <v>0</v>
      </c>
      <c r="J168" s="73">
        <f>VLOOKUP(B168,Average_Distance_by_kilometres_grouping_for_trip_purpose[#All],MATCH(A168,Average_Distance_by_kilometres_grouping_for_trip_purpose[#Headers],0),0)</f>
        <v>1</v>
      </c>
      <c r="K168" s="77">
        <f>VLOOKUP(C168, Adjustment_factor_for_distance_based_on_trip_purpose[#All],MATCH(A168, Adjustment_factor_for_distance_based_on_trip_purpose[#Headers],0),0)</f>
        <v>0.44444444444444442</v>
      </c>
      <c r="L168" s="78" t="e">
        <f>VLOOKUP($L$2, Total_Journeys_Per_Year[#All],MATCH(A168, Total_Journeys_Per_Year[#Headers],0),0)</f>
        <v>#N/A</v>
      </c>
      <c r="M168" s="35" t="e">
        <f t="shared" si="2"/>
        <v>#N/A</v>
      </c>
      <c r="N168" s="35" t="e">
        <f>VLOOKUP($N$2, Private_Vehicle_Kilometres_Car_Stock[#All],MATCH(A168, Private_Vehicle_Kilometres_Car_Stock[#Headers],0),0)</f>
        <v>#N/A</v>
      </c>
    </row>
    <row r="169" spans="1:14" x14ac:dyDescent="0.25">
      <c r="A169" s="79" t="s">
        <v>34</v>
      </c>
      <c r="B169" s="13" t="s">
        <v>181</v>
      </c>
      <c r="C169" s="13" t="s">
        <v>45</v>
      </c>
      <c r="D169" s="5">
        <f>VLOOKUP(B169,Percentage_distribution_of_journey_distance_for_all_regions[#All],MATCH(A169,Percentage_distribution_of_journey_distance_for_all_regions[#Headers],0),0)/100</f>
        <v>0.2</v>
      </c>
      <c r="E169" s="71">
        <f>IF(B169="&lt;2 kilometres",1,0)*VLOOKUP(C169, Percentage_dist_journeys_by_purpose_and_distance_to_2km[#All],MATCH(A169, Percentage_dist_journeys_by_purpose_and_distance_to_2km[#Headers],0),0)/100</f>
        <v>0</v>
      </c>
      <c r="F169" s="4">
        <f>IF(B169="2-4 kilometres",1,0)*VLOOKUP(C169, Percentage_dist_journeys_by_purpose_and_distance_2_to_4km[#All],MATCH(A169, Percentage_dist_journeys_by_purpose_and_distance_2_to_4km[#Headers],0),0)/100</f>
        <v>0.02</v>
      </c>
      <c r="G169" s="72">
        <f>IF(B169="4-6 kilometres",1,0)*VLOOKUP(C169, Percentage_dist_journeys_by_purpose_and_distance_4_to_6km[#All],MATCH(A169, Percentage_dist_journeys_by_purpose_and_distance_4_to_6km[#Headers],0),0)/100</f>
        <v>0</v>
      </c>
      <c r="H169" s="4">
        <f>IF(B169="6-8 kilometres",1,0)*VLOOKUP(C169, Percentage_dist_journeys_by_purpose_and_distance_6_to_8km[#All],MATCH(A169, Percentage_dist_journeys_by_purpose_and_distance_6_to_8km[#Headers],0),0)/100</f>
        <v>0</v>
      </c>
      <c r="I169" s="72">
        <f>IF(B169="8+ kilometres",1,0)*VLOOKUP(C169, Percentage_dist_journeys_by_purpose_and_distance_8km[#All],MATCH(A169, Percentage_dist_journeys_by_purpose_and_distance_8km[#Headers],0),0)/100</f>
        <v>0</v>
      </c>
      <c r="J169" s="73">
        <f>VLOOKUP(B169,Average_Distance_by_kilometres_grouping_for_trip_purpose[#All],MATCH(A169,Average_Distance_by_kilometres_grouping_for_trip_purpose[#Headers],0),0)</f>
        <v>3</v>
      </c>
      <c r="K169" s="77">
        <f>VLOOKUP(C169, Adjustment_factor_for_distance_based_on_trip_purpose[#All],MATCH(A169, Adjustment_factor_for_distance_based_on_trip_purpose[#Headers],0),0)</f>
        <v>0.44444444444444442</v>
      </c>
      <c r="L169" s="78" t="e">
        <f>VLOOKUP($L$2, Total_Journeys_Per_Year[#All],MATCH(A169, Total_Journeys_Per_Year[#Headers],0),0)</f>
        <v>#N/A</v>
      </c>
      <c r="M169" s="35" t="e">
        <f t="shared" si="2"/>
        <v>#N/A</v>
      </c>
      <c r="N169" s="35" t="e">
        <f>VLOOKUP($N$2, Private_Vehicle_Kilometres_Car_Stock[#All],MATCH(A169, Private_Vehicle_Kilometres_Car_Stock[#Headers],0),0)</f>
        <v>#N/A</v>
      </c>
    </row>
    <row r="170" spans="1:14" x14ac:dyDescent="0.25">
      <c r="A170" s="79" t="s">
        <v>34</v>
      </c>
      <c r="B170" s="13" t="s">
        <v>180</v>
      </c>
      <c r="C170" s="13" t="s">
        <v>45</v>
      </c>
      <c r="D170" s="5">
        <f>VLOOKUP(B170,Percentage_distribution_of_journey_distance_for_all_regions[#All],MATCH(A170,Percentage_distribution_of_journey_distance_for_all_regions[#Headers],0),0)/100</f>
        <v>0.13</v>
      </c>
      <c r="E170" s="71">
        <f>IF(B170="&lt;2 kilometres",1,0)*VLOOKUP(C170, Percentage_dist_journeys_by_purpose_and_distance_to_2km[#All],MATCH(A170, Percentage_dist_journeys_by_purpose_and_distance_to_2km[#Headers],0),0)/100</f>
        <v>0</v>
      </c>
      <c r="F170" s="4">
        <f>IF(B170="2-4 kilometres",1,0)*VLOOKUP(C170, Percentage_dist_journeys_by_purpose_and_distance_2_to_4km[#All],MATCH(A170, Percentage_dist_journeys_by_purpose_and_distance_2_to_4km[#Headers],0),0)/100</f>
        <v>0</v>
      </c>
      <c r="G170" s="72">
        <f>IF(B170="4-6 kilometres",1,0)*VLOOKUP(C170, Percentage_dist_journeys_by_purpose_and_distance_4_to_6km[#All],MATCH(A170, Percentage_dist_journeys_by_purpose_and_distance_4_to_6km[#Headers],0),0)/100</f>
        <v>2.2000000000000002E-2</v>
      </c>
      <c r="H170" s="4">
        <f>IF(B170="6-8 kilometres",1,0)*VLOOKUP(C170, Percentage_dist_journeys_by_purpose_and_distance_6_to_8km[#All],MATCH(A170, Percentage_dist_journeys_by_purpose_and_distance_6_to_8km[#Headers],0),0)/100</f>
        <v>0</v>
      </c>
      <c r="I170" s="72">
        <f>IF(B170="8+ kilometres",1,0)*VLOOKUP(C170, Percentage_dist_journeys_by_purpose_and_distance_8km[#All],MATCH(A170, Percentage_dist_journeys_by_purpose_and_distance_8km[#Headers],0),0)/100</f>
        <v>0</v>
      </c>
      <c r="J170" s="73">
        <f>VLOOKUP(B170,Average_Distance_by_kilometres_grouping_for_trip_purpose[#All],MATCH(A170,Average_Distance_by_kilometres_grouping_for_trip_purpose[#Headers],0),0)</f>
        <v>5</v>
      </c>
      <c r="K170" s="77">
        <f>VLOOKUP(C170, Adjustment_factor_for_distance_based_on_trip_purpose[#All],MATCH(A170, Adjustment_factor_for_distance_based_on_trip_purpose[#Headers],0),0)</f>
        <v>0.44444444444444442</v>
      </c>
      <c r="L170" s="78" t="e">
        <f>VLOOKUP($L$2, Total_Journeys_Per_Year[#All],MATCH(A170, Total_Journeys_Per_Year[#Headers],0),0)</f>
        <v>#N/A</v>
      </c>
      <c r="M170" s="35" t="e">
        <f t="shared" si="2"/>
        <v>#N/A</v>
      </c>
      <c r="N170" s="35" t="e">
        <f>VLOOKUP($N$2, Private_Vehicle_Kilometres_Car_Stock[#All],MATCH(A170, Private_Vehicle_Kilometres_Car_Stock[#Headers],0),0)</f>
        <v>#N/A</v>
      </c>
    </row>
    <row r="171" spans="1:14" x14ac:dyDescent="0.25">
      <c r="A171" s="79" t="s">
        <v>34</v>
      </c>
      <c r="B171" s="13" t="s">
        <v>182</v>
      </c>
      <c r="C171" s="13" t="s">
        <v>45</v>
      </c>
      <c r="D171" s="5">
        <f>VLOOKUP(B171,Percentage_distribution_of_journey_distance_for_all_regions[#All],MATCH(A171,Percentage_distribution_of_journey_distance_for_all_regions[#Headers],0),0)/100</f>
        <v>6.4000000000000001E-2</v>
      </c>
      <c r="E171" s="71">
        <f>IF(B171="&lt;2 kilometres",1,0)*VLOOKUP(C171, Percentage_dist_journeys_by_purpose_and_distance_to_2km[#All],MATCH(A171, Percentage_dist_journeys_by_purpose_and_distance_to_2km[#Headers],0),0)/100</f>
        <v>0</v>
      </c>
      <c r="F171" s="4">
        <f>IF(B171="2-4 kilometres",1,0)*VLOOKUP(C171, Percentage_dist_journeys_by_purpose_and_distance_2_to_4km[#All],MATCH(A171, Percentage_dist_journeys_by_purpose_and_distance_2_to_4km[#Headers],0),0)/100</f>
        <v>0</v>
      </c>
      <c r="G171" s="72">
        <f>IF(B171="4-6 kilometres",1,0)*VLOOKUP(C171, Percentage_dist_journeys_by_purpose_and_distance_4_to_6km[#All],MATCH(A171, Percentage_dist_journeys_by_purpose_and_distance_4_to_6km[#Headers],0),0)/100</f>
        <v>0</v>
      </c>
      <c r="H171" s="4">
        <f>IF(B171="6-8 kilometres",1,0)*VLOOKUP(C171, Percentage_dist_journeys_by_purpose_and_distance_6_to_8km[#All],MATCH(A171, Percentage_dist_journeys_by_purpose_and_distance_6_to_8km[#Headers],0),0)/100</f>
        <v>1.1000000000000001E-2</v>
      </c>
      <c r="I171" s="72">
        <f>IF(B171="8+ kilometres",1,0)*VLOOKUP(C171, Percentage_dist_journeys_by_purpose_and_distance_8km[#All],MATCH(A171, Percentage_dist_journeys_by_purpose_and_distance_8km[#Headers],0),0)/100</f>
        <v>0</v>
      </c>
      <c r="J171" s="73">
        <f>VLOOKUP(B171,Average_Distance_by_kilometres_grouping_for_trip_purpose[#All],MATCH(A171,Average_Distance_by_kilometres_grouping_for_trip_purpose[#Headers],0),0)</f>
        <v>7</v>
      </c>
      <c r="K171" s="77">
        <f>VLOOKUP(C171, Adjustment_factor_for_distance_based_on_trip_purpose[#All],MATCH(A171, Adjustment_factor_for_distance_based_on_trip_purpose[#Headers],0),0)</f>
        <v>0.44444444444444442</v>
      </c>
      <c r="L171" s="78" t="e">
        <f>VLOOKUP($L$2, Total_Journeys_Per_Year[#All],MATCH(A171, Total_Journeys_Per_Year[#Headers],0),0)</f>
        <v>#N/A</v>
      </c>
      <c r="M171" s="35" t="e">
        <f t="shared" si="2"/>
        <v>#N/A</v>
      </c>
      <c r="N171" s="35" t="e">
        <f>VLOOKUP($N$2, Private_Vehicle_Kilometres_Car_Stock[#All],MATCH(A171, Private_Vehicle_Kilometres_Car_Stock[#Headers],0),0)</f>
        <v>#N/A</v>
      </c>
    </row>
    <row r="172" spans="1:14" x14ac:dyDescent="0.25">
      <c r="A172" s="79" t="s">
        <v>34</v>
      </c>
      <c r="B172" s="13" t="s">
        <v>1</v>
      </c>
      <c r="C172" s="13" t="s">
        <v>45</v>
      </c>
      <c r="D172" s="5">
        <f>VLOOKUP(B172,Percentage_distribution_of_journey_distance_for_all_regions[#All],MATCH(A172,Percentage_distribution_of_journey_distance_for_all_regions[#Headers],0),0)/100</f>
        <v>0.41899999999999998</v>
      </c>
      <c r="E172" s="71">
        <f>IF(B172="&lt;2 kilometres",1,0)*VLOOKUP(C172, Percentage_dist_journeys_by_purpose_and_distance_to_2km[#All],MATCH(A172, Percentage_dist_journeys_by_purpose_and_distance_to_2km[#Headers],0),0)/100</f>
        <v>0</v>
      </c>
      <c r="F172" s="4">
        <f>IF(B172="2-4 kilometres",1,0)*VLOOKUP(C172, Percentage_dist_journeys_by_purpose_and_distance_2_to_4km[#All],MATCH(A172, Percentage_dist_journeys_by_purpose_and_distance_2_to_4km[#Headers],0),0)/100</f>
        <v>0</v>
      </c>
      <c r="G172" s="72">
        <f>IF(B172="4-6 kilometres",1,0)*VLOOKUP(C172, Percentage_dist_journeys_by_purpose_and_distance_4_to_6km[#All],MATCH(A172, Percentage_dist_journeys_by_purpose_and_distance_4_to_6km[#Headers],0),0)/100</f>
        <v>0</v>
      </c>
      <c r="H172" s="4">
        <f>IF(B172="6-8 kilometres",1,0)*VLOOKUP(C172, Percentage_dist_journeys_by_purpose_and_distance_6_to_8km[#All],MATCH(A172, Percentage_dist_journeys_by_purpose_and_distance_6_to_8km[#Headers],0),0)/100</f>
        <v>0</v>
      </c>
      <c r="I172" s="72">
        <f>IF(B172="8+ kilometres",1,0)*VLOOKUP(C172, Percentage_dist_journeys_by_purpose_and_distance_8km[#All],MATCH(A172, Percentage_dist_journeys_by_purpose_and_distance_8km[#Headers],0),0)/100</f>
        <v>1.2E-2</v>
      </c>
      <c r="J172" s="73">
        <f>VLOOKUP(B172,Average_Distance_by_kilometres_grouping_for_trip_purpose[#All],MATCH(A172,Average_Distance_by_kilometres_grouping_for_trip_purpose[#Headers],0),0)</f>
        <v>42.45</v>
      </c>
      <c r="K172" s="77">
        <f>VLOOKUP(C172, Adjustment_factor_for_distance_based_on_trip_purpose[#All],MATCH(A172, Adjustment_factor_for_distance_based_on_trip_purpose[#Headers],0),0)</f>
        <v>0.44444444444444442</v>
      </c>
      <c r="L172" s="78" t="e">
        <f>VLOOKUP($L$2, Total_Journeys_Per_Year[#All],MATCH(A172, Total_Journeys_Per_Year[#Headers],0),0)</f>
        <v>#N/A</v>
      </c>
      <c r="M172" s="35" t="e">
        <f t="shared" si="2"/>
        <v>#N/A</v>
      </c>
      <c r="N172" s="35" t="e">
        <f>VLOOKUP($N$2, Private_Vehicle_Kilometres_Car_Stock[#All],MATCH(A172, Private_Vehicle_Kilometres_Car_Stock[#Headers],0),0)</f>
        <v>#N/A</v>
      </c>
    </row>
    <row r="173" spans="1:14" x14ac:dyDescent="0.25">
      <c r="A173" s="79" t="s">
        <v>34</v>
      </c>
      <c r="B173" s="13" t="s">
        <v>12</v>
      </c>
      <c r="C173" s="13" t="s">
        <v>46</v>
      </c>
      <c r="D173" s="5">
        <f>VLOOKUP(B173,Percentage_distribution_of_journey_distance_for_all_regions[#All],MATCH(A173,Percentage_distribution_of_journey_distance_for_all_regions[#Headers],0),0)/100</f>
        <v>0.188</v>
      </c>
      <c r="E173" s="71">
        <f>IF(B173="&lt;2 kilometres",1,0)*VLOOKUP(C173, Percentage_dist_journeys_by_purpose_and_distance_to_2km[#All],MATCH(A173, Percentage_dist_journeys_by_purpose_and_distance_to_2km[#Headers],0),0)/100</f>
        <v>9.3000000000000013E-2</v>
      </c>
      <c r="F173" s="4">
        <f>IF(B173="2-4 kilometres",1,0)*VLOOKUP(C173, Percentage_dist_journeys_by_purpose_and_distance_2_to_4km[#All],MATCH(A173, Percentage_dist_journeys_by_purpose_and_distance_2_to_4km[#Headers],0),0)/100</f>
        <v>0</v>
      </c>
      <c r="G173" s="72">
        <f>IF(B173="4-6 kilometres",1,0)*VLOOKUP(C173, Percentage_dist_journeys_by_purpose_and_distance_4_to_6km[#All],MATCH(A173, Percentage_dist_journeys_by_purpose_and_distance_4_to_6km[#Headers],0),0)/100</f>
        <v>0</v>
      </c>
      <c r="H173" s="4">
        <f>IF(B173="6-8 kilometres",1,0)*VLOOKUP(C173, Percentage_dist_journeys_by_purpose_and_distance_6_to_8km[#All],MATCH(A173, Percentage_dist_journeys_by_purpose_and_distance_6_to_8km[#Headers],0),0)/100</f>
        <v>0</v>
      </c>
      <c r="I173" s="72">
        <f>IF(B173="8+ kilometres",1,0)*VLOOKUP(C173, Percentage_dist_journeys_by_purpose_and_distance_8km[#All],MATCH(A173, Percentage_dist_journeys_by_purpose_and_distance_8km[#Headers],0),0)/100</f>
        <v>0</v>
      </c>
      <c r="J173" s="73">
        <f>VLOOKUP(B173,Average_Distance_by_kilometres_grouping_for_trip_purpose[#All],MATCH(A173,Average_Distance_by_kilometres_grouping_for_trip_purpose[#Headers],0),0)</f>
        <v>1</v>
      </c>
      <c r="K173" s="77">
        <f>VLOOKUP(C173, Adjustment_factor_for_distance_based_on_trip_purpose[#All],MATCH(A173, Adjustment_factor_for_distance_based_on_trip_purpose[#Headers],0),0)</f>
        <v>0.94444444444444442</v>
      </c>
      <c r="L173" s="78" t="e">
        <f>VLOOKUP($L$2, Total_Journeys_Per_Year[#All],MATCH(A173, Total_Journeys_Per_Year[#Headers],0),0)</f>
        <v>#N/A</v>
      </c>
      <c r="M173" s="35" t="e">
        <f t="shared" si="2"/>
        <v>#N/A</v>
      </c>
      <c r="N173" s="35" t="e">
        <f>VLOOKUP($N$2, Private_Vehicle_Kilometres_Car_Stock[#All],MATCH(A173, Private_Vehicle_Kilometres_Car_Stock[#Headers],0),0)</f>
        <v>#N/A</v>
      </c>
    </row>
    <row r="174" spans="1:14" x14ac:dyDescent="0.25">
      <c r="A174" s="79" t="s">
        <v>34</v>
      </c>
      <c r="B174" s="13" t="s">
        <v>181</v>
      </c>
      <c r="C174" s="13" t="s">
        <v>46</v>
      </c>
      <c r="D174" s="5">
        <f>VLOOKUP(B174,Percentage_distribution_of_journey_distance_for_all_regions[#All],MATCH(A174,Percentage_distribution_of_journey_distance_for_all_regions[#Headers],0),0)/100</f>
        <v>0.2</v>
      </c>
      <c r="E174" s="71">
        <f>IF(B174="&lt;2 kilometres",1,0)*VLOOKUP(C174, Percentage_dist_journeys_by_purpose_and_distance_to_2km[#All],MATCH(A174, Percentage_dist_journeys_by_purpose_and_distance_to_2km[#Headers],0),0)/100</f>
        <v>0</v>
      </c>
      <c r="F174" s="4">
        <f>IF(B174="2-4 kilometres",1,0)*VLOOKUP(C174, Percentage_dist_journeys_by_purpose_and_distance_2_to_4km[#All],MATCH(A174, Percentage_dist_journeys_by_purpose_and_distance_2_to_4km[#Headers],0),0)/100</f>
        <v>7.0999999999999994E-2</v>
      </c>
      <c r="G174" s="72">
        <f>IF(B174="4-6 kilometres",1,0)*VLOOKUP(C174, Percentage_dist_journeys_by_purpose_and_distance_4_to_6km[#All],MATCH(A174, Percentage_dist_journeys_by_purpose_and_distance_4_to_6km[#Headers],0),0)/100</f>
        <v>0</v>
      </c>
      <c r="H174" s="4">
        <f>IF(B174="6-8 kilometres",1,0)*VLOOKUP(C174, Percentage_dist_journeys_by_purpose_and_distance_6_to_8km[#All],MATCH(A174, Percentage_dist_journeys_by_purpose_and_distance_6_to_8km[#Headers],0),0)/100</f>
        <v>0</v>
      </c>
      <c r="I174" s="72">
        <f>IF(B174="8+ kilometres",1,0)*VLOOKUP(C174, Percentage_dist_journeys_by_purpose_and_distance_8km[#All],MATCH(A174, Percentage_dist_journeys_by_purpose_and_distance_8km[#Headers],0),0)/100</f>
        <v>0</v>
      </c>
      <c r="J174" s="73">
        <f>VLOOKUP(B174,Average_Distance_by_kilometres_grouping_for_trip_purpose[#All],MATCH(A174,Average_Distance_by_kilometres_grouping_for_trip_purpose[#Headers],0),0)</f>
        <v>3</v>
      </c>
      <c r="K174" s="77">
        <f>VLOOKUP(C174, Adjustment_factor_for_distance_based_on_trip_purpose[#All],MATCH(A174, Adjustment_factor_for_distance_based_on_trip_purpose[#Headers],0),0)</f>
        <v>0.94444444444444442</v>
      </c>
      <c r="L174" s="78" t="e">
        <f>VLOOKUP($L$2, Total_Journeys_Per_Year[#All],MATCH(A174, Total_Journeys_Per_Year[#Headers],0),0)</f>
        <v>#N/A</v>
      </c>
      <c r="M174" s="35" t="e">
        <f t="shared" si="2"/>
        <v>#N/A</v>
      </c>
      <c r="N174" s="35" t="e">
        <f>VLOOKUP($N$2, Private_Vehicle_Kilometres_Car_Stock[#All],MATCH(A174, Private_Vehicle_Kilometres_Car_Stock[#Headers],0),0)</f>
        <v>#N/A</v>
      </c>
    </row>
    <row r="175" spans="1:14" x14ac:dyDescent="0.25">
      <c r="A175" s="79" t="s">
        <v>34</v>
      </c>
      <c r="B175" s="13" t="s">
        <v>180</v>
      </c>
      <c r="C175" s="13" t="s">
        <v>46</v>
      </c>
      <c r="D175" s="5">
        <f>VLOOKUP(B175,Percentage_distribution_of_journey_distance_for_all_regions[#All],MATCH(A175,Percentage_distribution_of_journey_distance_for_all_regions[#Headers],0),0)/100</f>
        <v>0.13</v>
      </c>
      <c r="E175" s="71">
        <f>IF(B175="&lt;2 kilometres",1,0)*VLOOKUP(C175, Percentage_dist_journeys_by_purpose_and_distance_to_2km[#All],MATCH(A175, Percentage_dist_journeys_by_purpose_and_distance_to_2km[#Headers],0),0)/100</f>
        <v>0</v>
      </c>
      <c r="F175" s="4">
        <f>IF(B175="2-4 kilometres",1,0)*VLOOKUP(C175, Percentage_dist_journeys_by_purpose_and_distance_2_to_4km[#All],MATCH(A175, Percentage_dist_journeys_by_purpose_and_distance_2_to_4km[#Headers],0),0)/100</f>
        <v>0</v>
      </c>
      <c r="G175" s="72">
        <f>IF(B175="4-6 kilometres",1,0)*VLOOKUP(C175, Percentage_dist_journeys_by_purpose_and_distance_4_to_6km[#All],MATCH(A175, Percentage_dist_journeys_by_purpose_and_distance_4_to_6km[#Headers],0),0)/100</f>
        <v>9.8000000000000004E-2</v>
      </c>
      <c r="H175" s="4">
        <f>IF(B175="6-8 kilometres",1,0)*VLOOKUP(C175, Percentage_dist_journeys_by_purpose_and_distance_6_to_8km[#All],MATCH(A175, Percentage_dist_journeys_by_purpose_and_distance_6_to_8km[#Headers],0),0)/100</f>
        <v>0</v>
      </c>
      <c r="I175" s="72">
        <f>IF(B175="8+ kilometres",1,0)*VLOOKUP(C175, Percentage_dist_journeys_by_purpose_and_distance_8km[#All],MATCH(A175, Percentage_dist_journeys_by_purpose_and_distance_8km[#Headers],0),0)/100</f>
        <v>0</v>
      </c>
      <c r="J175" s="73">
        <f>VLOOKUP(B175,Average_Distance_by_kilometres_grouping_for_trip_purpose[#All],MATCH(A175,Average_Distance_by_kilometres_grouping_for_trip_purpose[#Headers],0),0)</f>
        <v>5</v>
      </c>
      <c r="K175" s="77">
        <f>VLOOKUP(C175, Adjustment_factor_for_distance_based_on_trip_purpose[#All],MATCH(A175, Adjustment_factor_for_distance_based_on_trip_purpose[#Headers],0),0)</f>
        <v>0.94444444444444442</v>
      </c>
      <c r="L175" s="78" t="e">
        <f>VLOOKUP($L$2, Total_Journeys_Per_Year[#All],MATCH(A175, Total_Journeys_Per_Year[#Headers],0),0)</f>
        <v>#N/A</v>
      </c>
      <c r="M175" s="35" t="e">
        <f t="shared" si="2"/>
        <v>#N/A</v>
      </c>
      <c r="N175" s="35" t="e">
        <f>VLOOKUP($N$2, Private_Vehicle_Kilometres_Car_Stock[#All],MATCH(A175, Private_Vehicle_Kilometres_Car_Stock[#Headers],0),0)</f>
        <v>#N/A</v>
      </c>
    </row>
    <row r="176" spans="1:14" x14ac:dyDescent="0.25">
      <c r="A176" s="79" t="s">
        <v>34</v>
      </c>
      <c r="B176" s="13" t="s">
        <v>182</v>
      </c>
      <c r="C176" s="13" t="s">
        <v>46</v>
      </c>
      <c r="D176" s="5">
        <f>VLOOKUP(B176,Percentage_distribution_of_journey_distance_for_all_regions[#All],MATCH(A176,Percentage_distribution_of_journey_distance_for_all_regions[#Headers],0),0)/100</f>
        <v>6.4000000000000001E-2</v>
      </c>
      <c r="E176" s="71">
        <f>IF(B176="&lt;2 kilometres",1,0)*VLOOKUP(C176, Percentage_dist_journeys_by_purpose_and_distance_to_2km[#All],MATCH(A176, Percentage_dist_journeys_by_purpose_and_distance_to_2km[#Headers],0),0)/100</f>
        <v>0</v>
      </c>
      <c r="F176" s="4">
        <f>IF(B176="2-4 kilometres",1,0)*VLOOKUP(C176, Percentage_dist_journeys_by_purpose_and_distance_2_to_4km[#All],MATCH(A176, Percentage_dist_journeys_by_purpose_and_distance_2_to_4km[#Headers],0),0)/100</f>
        <v>0</v>
      </c>
      <c r="G176" s="72">
        <f>IF(B176="4-6 kilometres",1,0)*VLOOKUP(C176, Percentage_dist_journeys_by_purpose_and_distance_4_to_6km[#All],MATCH(A176, Percentage_dist_journeys_by_purpose_and_distance_4_to_6km[#Headers],0),0)/100</f>
        <v>0</v>
      </c>
      <c r="H176" s="4">
        <f>IF(B176="6-8 kilometres",1,0)*VLOOKUP(C176, Percentage_dist_journeys_by_purpose_and_distance_6_to_8km[#All],MATCH(A176, Percentage_dist_journeys_by_purpose_and_distance_6_to_8km[#Headers],0),0)/100</f>
        <v>0.11599999999999999</v>
      </c>
      <c r="I176" s="72">
        <f>IF(B176="8+ kilometres",1,0)*VLOOKUP(C176, Percentage_dist_journeys_by_purpose_and_distance_8km[#All],MATCH(A176, Percentage_dist_journeys_by_purpose_and_distance_8km[#Headers],0),0)/100</f>
        <v>0</v>
      </c>
      <c r="J176" s="73">
        <f>VLOOKUP(B176,Average_Distance_by_kilometres_grouping_for_trip_purpose[#All],MATCH(A176,Average_Distance_by_kilometres_grouping_for_trip_purpose[#Headers],0),0)</f>
        <v>7</v>
      </c>
      <c r="K176" s="77">
        <f>VLOOKUP(C176, Adjustment_factor_for_distance_based_on_trip_purpose[#All],MATCH(A176, Adjustment_factor_for_distance_based_on_trip_purpose[#Headers],0),0)</f>
        <v>0.94444444444444442</v>
      </c>
      <c r="L176" s="78" t="e">
        <f>VLOOKUP($L$2, Total_Journeys_Per_Year[#All],MATCH(A176, Total_Journeys_Per_Year[#Headers],0),0)</f>
        <v>#N/A</v>
      </c>
      <c r="M176" s="35" t="e">
        <f t="shared" si="2"/>
        <v>#N/A</v>
      </c>
      <c r="N176" s="35" t="e">
        <f>VLOOKUP($N$2, Private_Vehicle_Kilometres_Car_Stock[#All],MATCH(A176, Private_Vehicle_Kilometres_Car_Stock[#Headers],0),0)</f>
        <v>#N/A</v>
      </c>
    </row>
    <row r="177" spans="1:14" x14ac:dyDescent="0.25">
      <c r="A177" s="79" t="s">
        <v>34</v>
      </c>
      <c r="B177" s="13" t="s">
        <v>1</v>
      </c>
      <c r="C177" s="13" t="s">
        <v>46</v>
      </c>
      <c r="D177" s="5">
        <f>VLOOKUP(B177,Percentage_distribution_of_journey_distance_for_all_regions[#All],MATCH(A177,Percentage_distribution_of_journey_distance_for_all_regions[#Headers],0),0)/100</f>
        <v>0.41899999999999998</v>
      </c>
      <c r="E177" s="71">
        <f>IF(B177="&lt;2 kilometres",1,0)*VLOOKUP(C177, Percentage_dist_journeys_by_purpose_and_distance_to_2km[#All],MATCH(A177, Percentage_dist_journeys_by_purpose_and_distance_to_2km[#Headers],0),0)/100</f>
        <v>0</v>
      </c>
      <c r="F177" s="4">
        <f>IF(B177="2-4 kilometres",1,0)*VLOOKUP(C177, Percentage_dist_journeys_by_purpose_and_distance_2_to_4km[#All],MATCH(A177, Percentage_dist_journeys_by_purpose_and_distance_2_to_4km[#Headers],0),0)/100</f>
        <v>0</v>
      </c>
      <c r="G177" s="72">
        <f>IF(B177="4-6 kilometres",1,0)*VLOOKUP(C177, Percentage_dist_journeys_by_purpose_and_distance_4_to_6km[#All],MATCH(A177, Percentage_dist_journeys_by_purpose_and_distance_4_to_6km[#Headers],0),0)/100</f>
        <v>0</v>
      </c>
      <c r="H177" s="4">
        <f>IF(B177="6-8 kilometres",1,0)*VLOOKUP(C177, Percentage_dist_journeys_by_purpose_and_distance_6_to_8km[#All],MATCH(A177, Percentage_dist_journeys_by_purpose_and_distance_6_to_8km[#Headers],0),0)/100</f>
        <v>0</v>
      </c>
      <c r="I177" s="72">
        <f>IF(B177="8+ kilometres",1,0)*VLOOKUP(C177, Percentage_dist_journeys_by_purpose_and_distance_8km[#All],MATCH(A177, Percentage_dist_journeys_by_purpose_and_distance_8km[#Headers],0),0)/100</f>
        <v>0.13500000000000001</v>
      </c>
      <c r="J177" s="73">
        <f>VLOOKUP(B177,Average_Distance_by_kilometres_grouping_for_trip_purpose[#All],MATCH(A177,Average_Distance_by_kilometres_grouping_for_trip_purpose[#Headers],0),0)</f>
        <v>42.45</v>
      </c>
      <c r="K177" s="77">
        <f>VLOOKUP(C177, Adjustment_factor_for_distance_based_on_trip_purpose[#All],MATCH(A177, Adjustment_factor_for_distance_based_on_trip_purpose[#Headers],0),0)</f>
        <v>0.94444444444444442</v>
      </c>
      <c r="L177" s="78" t="e">
        <f>VLOOKUP($L$2, Total_Journeys_Per_Year[#All],MATCH(A177, Total_Journeys_Per_Year[#Headers],0),0)</f>
        <v>#N/A</v>
      </c>
      <c r="M177" s="35" t="e">
        <f t="shared" si="2"/>
        <v>#N/A</v>
      </c>
      <c r="N177" s="35" t="e">
        <f>VLOOKUP($N$2, Private_Vehicle_Kilometres_Car_Stock[#All],MATCH(A177, Private_Vehicle_Kilometres_Car_Stock[#Headers],0),0)</f>
        <v>#N/A</v>
      </c>
    </row>
    <row r="178" spans="1:14" x14ac:dyDescent="0.25">
      <c r="A178" s="79" t="s">
        <v>34</v>
      </c>
      <c r="B178" s="13" t="s">
        <v>12</v>
      </c>
      <c r="C178" s="13" t="s">
        <v>47</v>
      </c>
      <c r="D178" s="5">
        <f>VLOOKUP(B178,Percentage_distribution_of_journey_distance_for_all_regions[#All],MATCH(A178,Percentage_distribution_of_journey_distance_for_all_regions[#Headers],0),0)/100</f>
        <v>0.188</v>
      </c>
      <c r="E178" s="71">
        <f>IF(B178="&lt;2 kilometres",1,0)*VLOOKUP(C178, Percentage_dist_journeys_by_purpose_and_distance_to_2km[#All],MATCH(A178, Percentage_dist_journeys_by_purpose_and_distance_to_2km[#Headers],0),0)/100</f>
        <v>8.1000000000000003E-2</v>
      </c>
      <c r="F178" s="4">
        <f>IF(B178="2-4 kilometres",1,0)*VLOOKUP(C178, Percentage_dist_journeys_by_purpose_and_distance_2_to_4km[#All],MATCH(A178, Percentage_dist_journeys_by_purpose_and_distance_2_to_4km[#Headers],0),0)/100</f>
        <v>0</v>
      </c>
      <c r="G178" s="72">
        <f>IF(B178="4-6 kilometres",1,0)*VLOOKUP(C178, Percentage_dist_journeys_by_purpose_and_distance_4_to_6km[#All],MATCH(A178, Percentage_dist_journeys_by_purpose_and_distance_4_to_6km[#Headers],0),0)/100</f>
        <v>0</v>
      </c>
      <c r="H178" s="4">
        <f>IF(B178="6-8 kilometres",1,0)*VLOOKUP(C178, Percentage_dist_journeys_by_purpose_and_distance_6_to_8km[#All],MATCH(A178, Percentage_dist_journeys_by_purpose_and_distance_6_to_8km[#Headers],0),0)/100</f>
        <v>0</v>
      </c>
      <c r="I178" s="72">
        <f>IF(B178="8+ kilometres",1,0)*VLOOKUP(C178, Percentage_dist_journeys_by_purpose_and_distance_8km[#All],MATCH(A178, Percentage_dist_journeys_by_purpose_and_distance_8km[#Headers],0),0)/100</f>
        <v>0</v>
      </c>
      <c r="J178" s="73">
        <f>VLOOKUP(B178,Average_Distance_by_kilometres_grouping_for_trip_purpose[#All],MATCH(A178,Average_Distance_by_kilometres_grouping_for_trip_purpose[#Headers],0),0)</f>
        <v>1</v>
      </c>
      <c r="K178" s="77">
        <f>VLOOKUP(C178, Adjustment_factor_for_distance_based_on_trip_purpose[#All],MATCH(A178, Adjustment_factor_for_distance_based_on_trip_purpose[#Headers],0),0)</f>
        <v>0.94444444444444442</v>
      </c>
      <c r="L178" s="78" t="e">
        <f>VLOOKUP($L$2, Total_Journeys_Per_Year[#All],MATCH(A178, Total_Journeys_Per_Year[#Headers],0),0)</f>
        <v>#N/A</v>
      </c>
      <c r="M178" s="35" t="e">
        <f t="shared" si="2"/>
        <v>#N/A</v>
      </c>
      <c r="N178" s="35" t="e">
        <f>VLOOKUP($N$2, Private_Vehicle_Kilometres_Car_Stock[#All],MATCH(A178, Private_Vehicle_Kilometres_Car_Stock[#Headers],0),0)</f>
        <v>#N/A</v>
      </c>
    </row>
    <row r="179" spans="1:14" x14ac:dyDescent="0.25">
      <c r="A179" s="79" t="s">
        <v>34</v>
      </c>
      <c r="B179" s="13" t="s">
        <v>181</v>
      </c>
      <c r="C179" s="13" t="s">
        <v>47</v>
      </c>
      <c r="D179" s="5">
        <f>VLOOKUP(B179,Percentage_distribution_of_journey_distance_for_all_regions[#All],MATCH(A179,Percentage_distribution_of_journey_distance_for_all_regions[#Headers],0),0)/100</f>
        <v>0.2</v>
      </c>
      <c r="E179" s="71">
        <f>IF(B179="&lt;2 kilometres",1,0)*VLOOKUP(C179, Percentage_dist_journeys_by_purpose_and_distance_to_2km[#All],MATCH(A179, Percentage_dist_journeys_by_purpose_and_distance_to_2km[#Headers],0),0)/100</f>
        <v>0</v>
      </c>
      <c r="F179" s="4">
        <f>IF(B179="2-4 kilometres",1,0)*VLOOKUP(C179, Percentage_dist_journeys_by_purpose_and_distance_2_to_4km[#All],MATCH(A179, Percentage_dist_journeys_by_purpose_and_distance_2_to_4km[#Headers],0),0)/100</f>
        <v>9.3000000000000013E-2</v>
      </c>
      <c r="G179" s="72">
        <f>IF(B179="4-6 kilometres",1,0)*VLOOKUP(C179, Percentage_dist_journeys_by_purpose_and_distance_4_to_6km[#All],MATCH(A179, Percentage_dist_journeys_by_purpose_and_distance_4_to_6km[#Headers],0),0)/100</f>
        <v>0</v>
      </c>
      <c r="H179" s="4">
        <f>IF(B179="6-8 kilometres",1,0)*VLOOKUP(C179, Percentage_dist_journeys_by_purpose_and_distance_6_to_8km[#All],MATCH(A179, Percentage_dist_journeys_by_purpose_and_distance_6_to_8km[#Headers],0),0)/100</f>
        <v>0</v>
      </c>
      <c r="I179" s="72">
        <f>IF(B179="8+ kilometres",1,0)*VLOOKUP(C179, Percentage_dist_journeys_by_purpose_and_distance_8km[#All],MATCH(A179, Percentage_dist_journeys_by_purpose_and_distance_8km[#Headers],0),0)/100</f>
        <v>0</v>
      </c>
      <c r="J179" s="73">
        <f>VLOOKUP(B179,Average_Distance_by_kilometres_grouping_for_trip_purpose[#All],MATCH(A179,Average_Distance_by_kilometres_grouping_for_trip_purpose[#Headers],0),0)</f>
        <v>3</v>
      </c>
      <c r="K179" s="77">
        <f>VLOOKUP(C179, Adjustment_factor_for_distance_based_on_trip_purpose[#All],MATCH(A179, Adjustment_factor_for_distance_based_on_trip_purpose[#Headers],0),0)</f>
        <v>0.94444444444444442</v>
      </c>
      <c r="L179" s="78" t="e">
        <f>VLOOKUP($L$2, Total_Journeys_Per_Year[#All],MATCH(A179, Total_Journeys_Per_Year[#Headers],0),0)</f>
        <v>#N/A</v>
      </c>
      <c r="M179" s="35" t="e">
        <f t="shared" si="2"/>
        <v>#N/A</v>
      </c>
      <c r="N179" s="35" t="e">
        <f>VLOOKUP($N$2, Private_Vehicle_Kilometres_Car_Stock[#All],MATCH(A179, Private_Vehicle_Kilometres_Car_Stock[#Headers],0),0)</f>
        <v>#N/A</v>
      </c>
    </row>
    <row r="180" spans="1:14" x14ac:dyDescent="0.25">
      <c r="A180" s="79" t="s">
        <v>34</v>
      </c>
      <c r="B180" s="13" t="s">
        <v>180</v>
      </c>
      <c r="C180" s="13" t="s">
        <v>47</v>
      </c>
      <c r="D180" s="5">
        <f>VLOOKUP(B180,Percentage_distribution_of_journey_distance_for_all_regions[#All],MATCH(A180,Percentage_distribution_of_journey_distance_for_all_regions[#Headers],0),0)/100</f>
        <v>0.13</v>
      </c>
      <c r="E180" s="71">
        <f>IF(B180="&lt;2 kilometres",1,0)*VLOOKUP(C180, Percentage_dist_journeys_by_purpose_and_distance_to_2km[#All],MATCH(A180, Percentage_dist_journeys_by_purpose_and_distance_to_2km[#Headers],0),0)/100</f>
        <v>0</v>
      </c>
      <c r="F180" s="4">
        <f>IF(B180="2-4 kilometres",1,0)*VLOOKUP(C180, Percentage_dist_journeys_by_purpose_and_distance_2_to_4km[#All],MATCH(A180, Percentage_dist_journeys_by_purpose_and_distance_2_to_4km[#Headers],0),0)/100</f>
        <v>0</v>
      </c>
      <c r="G180" s="72">
        <f>IF(B180="4-6 kilometres",1,0)*VLOOKUP(C180, Percentage_dist_journeys_by_purpose_and_distance_4_to_6km[#All],MATCH(A180, Percentage_dist_journeys_by_purpose_and_distance_4_to_6km[#Headers],0),0)/100</f>
        <v>0.13100000000000001</v>
      </c>
      <c r="H180" s="4">
        <f>IF(B180="6-8 kilometres",1,0)*VLOOKUP(C180, Percentage_dist_journeys_by_purpose_and_distance_6_to_8km[#All],MATCH(A180, Percentage_dist_journeys_by_purpose_and_distance_6_to_8km[#Headers],0),0)/100</f>
        <v>0</v>
      </c>
      <c r="I180" s="72">
        <f>IF(B180="8+ kilometres",1,0)*VLOOKUP(C180, Percentage_dist_journeys_by_purpose_and_distance_8km[#All],MATCH(A180, Percentage_dist_journeys_by_purpose_and_distance_8km[#Headers],0),0)/100</f>
        <v>0</v>
      </c>
      <c r="J180" s="73">
        <f>VLOOKUP(B180,Average_Distance_by_kilometres_grouping_for_trip_purpose[#All],MATCH(A180,Average_Distance_by_kilometres_grouping_for_trip_purpose[#Headers],0),0)</f>
        <v>5</v>
      </c>
      <c r="K180" s="77">
        <f>VLOOKUP(C180, Adjustment_factor_for_distance_based_on_trip_purpose[#All],MATCH(A180, Adjustment_factor_for_distance_based_on_trip_purpose[#Headers],0),0)</f>
        <v>0.94444444444444442</v>
      </c>
      <c r="L180" s="78" t="e">
        <f>VLOOKUP($L$2, Total_Journeys_Per_Year[#All],MATCH(A180, Total_Journeys_Per_Year[#Headers],0),0)</f>
        <v>#N/A</v>
      </c>
      <c r="M180" s="35" t="e">
        <f t="shared" si="2"/>
        <v>#N/A</v>
      </c>
      <c r="N180" s="35" t="e">
        <f>VLOOKUP($N$2, Private_Vehicle_Kilometres_Car_Stock[#All],MATCH(A180, Private_Vehicle_Kilometres_Car_Stock[#Headers],0),0)</f>
        <v>#N/A</v>
      </c>
    </row>
    <row r="181" spans="1:14" x14ac:dyDescent="0.25">
      <c r="A181" s="79" t="s">
        <v>34</v>
      </c>
      <c r="B181" s="13" t="s">
        <v>182</v>
      </c>
      <c r="C181" s="13" t="s">
        <v>47</v>
      </c>
      <c r="D181" s="5">
        <f>VLOOKUP(B181,Percentage_distribution_of_journey_distance_for_all_regions[#All],MATCH(A181,Percentage_distribution_of_journey_distance_for_all_regions[#Headers],0),0)/100</f>
        <v>6.4000000000000001E-2</v>
      </c>
      <c r="E181" s="71">
        <f>IF(B181="&lt;2 kilometres",1,0)*VLOOKUP(C181, Percentage_dist_journeys_by_purpose_and_distance_to_2km[#All],MATCH(A181, Percentage_dist_journeys_by_purpose_and_distance_to_2km[#Headers],0),0)/100</f>
        <v>0</v>
      </c>
      <c r="F181" s="4">
        <f>IF(B181="2-4 kilometres",1,0)*VLOOKUP(C181, Percentage_dist_journeys_by_purpose_and_distance_2_to_4km[#All],MATCH(A181, Percentage_dist_journeys_by_purpose_and_distance_2_to_4km[#Headers],0),0)/100</f>
        <v>0</v>
      </c>
      <c r="G181" s="72">
        <f>IF(B181="4-6 kilometres",1,0)*VLOOKUP(C181, Percentage_dist_journeys_by_purpose_and_distance_4_to_6km[#All],MATCH(A181, Percentage_dist_journeys_by_purpose_and_distance_4_to_6km[#Headers],0),0)/100</f>
        <v>0</v>
      </c>
      <c r="H181" s="4">
        <f>IF(B181="6-8 kilometres",1,0)*VLOOKUP(C181, Percentage_dist_journeys_by_purpose_and_distance_6_to_8km[#All],MATCH(A181, Percentage_dist_journeys_by_purpose_and_distance_6_to_8km[#Headers],0),0)/100</f>
        <v>0.10300000000000001</v>
      </c>
      <c r="I181" s="72">
        <f>IF(B181="8+ kilometres",1,0)*VLOOKUP(C181, Percentage_dist_journeys_by_purpose_and_distance_8km[#All],MATCH(A181, Percentage_dist_journeys_by_purpose_and_distance_8km[#Headers],0),0)/100</f>
        <v>0</v>
      </c>
      <c r="J181" s="73">
        <f>VLOOKUP(B181,Average_Distance_by_kilometres_grouping_for_trip_purpose[#All],MATCH(A181,Average_Distance_by_kilometres_grouping_for_trip_purpose[#Headers],0),0)</f>
        <v>7</v>
      </c>
      <c r="K181" s="77">
        <f>VLOOKUP(C181, Adjustment_factor_for_distance_based_on_trip_purpose[#All],MATCH(A181, Adjustment_factor_for_distance_based_on_trip_purpose[#Headers],0),0)</f>
        <v>0.94444444444444442</v>
      </c>
      <c r="L181" s="78" t="e">
        <f>VLOOKUP($L$2, Total_Journeys_Per_Year[#All],MATCH(A181, Total_Journeys_Per_Year[#Headers],0),0)</f>
        <v>#N/A</v>
      </c>
      <c r="M181" s="35" t="e">
        <f t="shared" si="2"/>
        <v>#N/A</v>
      </c>
      <c r="N181" s="35" t="e">
        <f>VLOOKUP($N$2, Private_Vehicle_Kilometres_Car_Stock[#All],MATCH(A181, Private_Vehicle_Kilometres_Car_Stock[#Headers],0),0)</f>
        <v>#N/A</v>
      </c>
    </row>
    <row r="182" spans="1:14" x14ac:dyDescent="0.25">
      <c r="A182" s="79" t="s">
        <v>34</v>
      </c>
      <c r="B182" s="13" t="s">
        <v>1</v>
      </c>
      <c r="C182" s="13" t="s">
        <v>47</v>
      </c>
      <c r="D182" s="5">
        <f>VLOOKUP(B182,Percentage_distribution_of_journey_distance_for_all_regions[#All],MATCH(A182,Percentage_distribution_of_journey_distance_for_all_regions[#Headers],0),0)/100</f>
        <v>0.41899999999999998</v>
      </c>
      <c r="E182" s="71">
        <f>IF(B182="&lt;2 kilometres",1,0)*VLOOKUP(C182, Percentage_dist_journeys_by_purpose_and_distance_to_2km[#All],MATCH(A182, Percentage_dist_journeys_by_purpose_and_distance_to_2km[#Headers],0),0)/100</f>
        <v>0</v>
      </c>
      <c r="F182" s="4">
        <f>IF(B182="2-4 kilometres",1,0)*VLOOKUP(C182, Percentage_dist_journeys_by_purpose_and_distance_2_to_4km[#All],MATCH(A182, Percentage_dist_journeys_by_purpose_and_distance_2_to_4km[#Headers],0),0)/100</f>
        <v>0</v>
      </c>
      <c r="G182" s="72">
        <f>IF(B182="4-6 kilometres",1,0)*VLOOKUP(C182, Percentage_dist_journeys_by_purpose_and_distance_4_to_6km[#All],MATCH(A182, Percentage_dist_journeys_by_purpose_and_distance_4_to_6km[#Headers],0),0)/100</f>
        <v>0</v>
      </c>
      <c r="H182" s="4">
        <f>IF(B182="6-8 kilometres",1,0)*VLOOKUP(C182, Percentage_dist_journeys_by_purpose_and_distance_6_to_8km[#All],MATCH(A182, Percentage_dist_journeys_by_purpose_and_distance_6_to_8km[#Headers],0),0)/100</f>
        <v>0</v>
      </c>
      <c r="I182" s="72">
        <f>IF(B182="8+ kilometres",1,0)*VLOOKUP(C182, Percentage_dist_journeys_by_purpose_and_distance_8km[#All],MATCH(A182, Percentage_dist_journeys_by_purpose_and_distance_8km[#Headers],0),0)/100</f>
        <v>9.9000000000000005E-2</v>
      </c>
      <c r="J182" s="73">
        <f>VLOOKUP(B182,Average_Distance_by_kilometres_grouping_for_trip_purpose[#All],MATCH(A182,Average_Distance_by_kilometres_grouping_for_trip_purpose[#Headers],0),0)</f>
        <v>42.45</v>
      </c>
      <c r="K182" s="77">
        <f>VLOOKUP(C182, Adjustment_factor_for_distance_based_on_trip_purpose[#All],MATCH(A182, Adjustment_factor_for_distance_based_on_trip_purpose[#Headers],0),0)</f>
        <v>0.94444444444444442</v>
      </c>
      <c r="L182" s="78" t="e">
        <f>VLOOKUP($L$2, Total_Journeys_Per_Year[#All],MATCH(A182, Total_Journeys_Per_Year[#Headers],0),0)</f>
        <v>#N/A</v>
      </c>
      <c r="M182" s="35" t="e">
        <f t="shared" si="2"/>
        <v>#N/A</v>
      </c>
      <c r="N182" s="35" t="e">
        <f>VLOOKUP($N$2, Private_Vehicle_Kilometres_Car_Stock[#All],MATCH(A182, Private_Vehicle_Kilometres_Car_Stock[#Headers],0),0)</f>
        <v>#N/A</v>
      </c>
    </row>
    <row r="183" spans="1:14" x14ac:dyDescent="0.25">
      <c r="A183" s="79" t="s">
        <v>34</v>
      </c>
      <c r="B183" s="13" t="s">
        <v>12</v>
      </c>
      <c r="C183" s="13" t="s">
        <v>48</v>
      </c>
      <c r="D183" s="5">
        <f>VLOOKUP(B183,Percentage_distribution_of_journey_distance_for_all_regions[#All],MATCH(A183,Percentage_distribution_of_journey_distance_for_all_regions[#Headers],0),0)/100</f>
        <v>0.188</v>
      </c>
      <c r="E183" s="71">
        <f>IF(B183="&lt;2 kilometres",1,0)*VLOOKUP(C183, Percentage_dist_journeys_by_purpose_and_distance_to_2km[#All],MATCH(A183, Percentage_dist_journeys_by_purpose_and_distance_to_2km[#Headers],0),0)/100</f>
        <v>4.4000000000000004E-2</v>
      </c>
      <c r="F183" s="4">
        <f>IF(B183="2-4 kilometres",1,0)*VLOOKUP(C183, Percentage_dist_journeys_by_purpose_and_distance_2_to_4km[#All],MATCH(A183, Percentage_dist_journeys_by_purpose_and_distance_2_to_4km[#Headers],0),0)/100</f>
        <v>0</v>
      </c>
      <c r="G183" s="72">
        <f>IF(B183="4-6 kilometres",1,0)*VLOOKUP(C183, Percentage_dist_journeys_by_purpose_and_distance_4_to_6km[#All],MATCH(A183, Percentage_dist_journeys_by_purpose_and_distance_4_to_6km[#Headers],0),0)/100</f>
        <v>0</v>
      </c>
      <c r="H183" s="4">
        <f>IF(B183="6-8 kilometres",1,0)*VLOOKUP(C183, Percentage_dist_journeys_by_purpose_and_distance_6_to_8km[#All],MATCH(A183, Percentage_dist_journeys_by_purpose_and_distance_6_to_8km[#Headers],0),0)/100</f>
        <v>0</v>
      </c>
      <c r="I183" s="72">
        <f>IF(B183="8+ kilometres",1,0)*VLOOKUP(C183, Percentage_dist_journeys_by_purpose_and_distance_8km[#All],MATCH(A183, Percentage_dist_journeys_by_purpose_and_distance_8km[#Headers],0),0)/100</f>
        <v>0</v>
      </c>
      <c r="J183" s="73">
        <f>VLOOKUP(B183,Average_Distance_by_kilometres_grouping_for_trip_purpose[#All],MATCH(A183,Average_Distance_by_kilometres_grouping_for_trip_purpose[#Headers],0),0)</f>
        <v>1</v>
      </c>
      <c r="K183" s="77">
        <f>VLOOKUP(C183, Adjustment_factor_for_distance_based_on_trip_purpose[#All],MATCH(A183, Adjustment_factor_for_distance_based_on_trip_purpose[#Headers],0),0)</f>
        <v>0.66666666666666663</v>
      </c>
      <c r="L183" s="78" t="e">
        <f>VLOOKUP($L$2, Total_Journeys_Per_Year[#All],MATCH(A183, Total_Journeys_Per_Year[#Headers],0),0)</f>
        <v>#N/A</v>
      </c>
      <c r="M183" s="35" t="e">
        <f t="shared" si="2"/>
        <v>#N/A</v>
      </c>
      <c r="N183" s="35" t="e">
        <f>VLOOKUP($N$2, Private_Vehicle_Kilometres_Car_Stock[#All],MATCH(A183, Private_Vehicle_Kilometres_Car_Stock[#Headers],0),0)</f>
        <v>#N/A</v>
      </c>
    </row>
    <row r="184" spans="1:14" x14ac:dyDescent="0.25">
      <c r="A184" s="79" t="s">
        <v>34</v>
      </c>
      <c r="B184" s="13" t="s">
        <v>181</v>
      </c>
      <c r="C184" s="13" t="s">
        <v>48</v>
      </c>
      <c r="D184" s="5">
        <f>VLOOKUP(B184,Percentage_distribution_of_journey_distance_for_all_regions[#All],MATCH(A184,Percentage_distribution_of_journey_distance_for_all_regions[#Headers],0),0)/100</f>
        <v>0.2</v>
      </c>
      <c r="E184" s="71">
        <f>IF(B184="&lt;2 kilometres",1,0)*VLOOKUP(C184, Percentage_dist_journeys_by_purpose_and_distance_to_2km[#All],MATCH(A184, Percentage_dist_journeys_by_purpose_and_distance_to_2km[#Headers],0),0)/100</f>
        <v>0</v>
      </c>
      <c r="F184" s="4">
        <f>IF(B184="2-4 kilometres",1,0)*VLOOKUP(C184, Percentage_dist_journeys_by_purpose_and_distance_2_to_4km[#All],MATCH(A184, Percentage_dist_journeys_by_purpose_and_distance_2_to_4km[#Headers],0),0)/100</f>
        <v>3.9E-2</v>
      </c>
      <c r="G184" s="72">
        <f>IF(B184="4-6 kilometres",1,0)*VLOOKUP(C184, Percentage_dist_journeys_by_purpose_and_distance_4_to_6km[#All],MATCH(A184, Percentage_dist_journeys_by_purpose_and_distance_4_to_6km[#Headers],0),0)/100</f>
        <v>0</v>
      </c>
      <c r="H184" s="4">
        <f>IF(B184="6-8 kilometres",1,0)*VLOOKUP(C184, Percentage_dist_journeys_by_purpose_and_distance_6_to_8km[#All],MATCH(A184, Percentage_dist_journeys_by_purpose_and_distance_6_to_8km[#Headers],0),0)/100</f>
        <v>0</v>
      </c>
      <c r="I184" s="72">
        <f>IF(B184="8+ kilometres",1,0)*VLOOKUP(C184, Percentage_dist_journeys_by_purpose_and_distance_8km[#All],MATCH(A184, Percentage_dist_journeys_by_purpose_and_distance_8km[#Headers],0),0)/100</f>
        <v>0</v>
      </c>
      <c r="J184" s="73">
        <f>VLOOKUP(B184,Average_Distance_by_kilometres_grouping_for_trip_purpose[#All],MATCH(A184,Average_Distance_by_kilometres_grouping_for_trip_purpose[#Headers],0),0)</f>
        <v>3</v>
      </c>
      <c r="K184" s="77">
        <f>VLOOKUP(C184, Adjustment_factor_for_distance_based_on_trip_purpose[#All],MATCH(A184, Adjustment_factor_for_distance_based_on_trip_purpose[#Headers],0),0)</f>
        <v>0.66666666666666663</v>
      </c>
      <c r="L184" s="78" t="e">
        <f>VLOOKUP($L$2, Total_Journeys_Per_Year[#All],MATCH(A184, Total_Journeys_Per_Year[#Headers],0),0)</f>
        <v>#N/A</v>
      </c>
      <c r="M184" s="35" t="e">
        <f t="shared" si="2"/>
        <v>#N/A</v>
      </c>
      <c r="N184" s="35" t="e">
        <f>VLOOKUP($N$2, Private_Vehicle_Kilometres_Car_Stock[#All],MATCH(A184, Private_Vehicle_Kilometres_Car_Stock[#Headers],0),0)</f>
        <v>#N/A</v>
      </c>
    </row>
    <row r="185" spans="1:14" x14ac:dyDescent="0.25">
      <c r="A185" s="79" t="s">
        <v>34</v>
      </c>
      <c r="B185" s="13" t="s">
        <v>180</v>
      </c>
      <c r="C185" s="13" t="s">
        <v>48</v>
      </c>
      <c r="D185" s="5">
        <f>VLOOKUP(B185,Percentage_distribution_of_journey_distance_for_all_regions[#All],MATCH(A185,Percentage_distribution_of_journey_distance_for_all_regions[#Headers],0),0)/100</f>
        <v>0.13</v>
      </c>
      <c r="E185" s="71">
        <f>IF(B185="&lt;2 kilometres",1,0)*VLOOKUP(C185, Percentage_dist_journeys_by_purpose_and_distance_to_2km[#All],MATCH(A185, Percentage_dist_journeys_by_purpose_and_distance_to_2km[#Headers],0),0)/100</f>
        <v>0</v>
      </c>
      <c r="F185" s="4">
        <f>IF(B185="2-4 kilometres",1,0)*VLOOKUP(C185, Percentage_dist_journeys_by_purpose_and_distance_2_to_4km[#All],MATCH(A185, Percentage_dist_journeys_by_purpose_and_distance_2_to_4km[#Headers],0),0)/100</f>
        <v>0</v>
      </c>
      <c r="G185" s="72">
        <f>IF(B185="4-6 kilometres",1,0)*VLOOKUP(C185, Percentage_dist_journeys_by_purpose_and_distance_4_to_6km[#All],MATCH(A185, Percentage_dist_journeys_by_purpose_and_distance_4_to_6km[#Headers],0),0)/100</f>
        <v>5.5E-2</v>
      </c>
      <c r="H185" s="4">
        <f>IF(B185="6-8 kilometres",1,0)*VLOOKUP(C185, Percentage_dist_journeys_by_purpose_and_distance_6_to_8km[#All],MATCH(A185, Percentage_dist_journeys_by_purpose_and_distance_6_to_8km[#Headers],0),0)/100</f>
        <v>0</v>
      </c>
      <c r="I185" s="72">
        <f>IF(B185="8+ kilometres",1,0)*VLOOKUP(C185, Percentage_dist_journeys_by_purpose_and_distance_8km[#All],MATCH(A185, Percentage_dist_journeys_by_purpose_and_distance_8km[#Headers],0),0)/100</f>
        <v>0</v>
      </c>
      <c r="J185" s="73">
        <f>VLOOKUP(B185,Average_Distance_by_kilometres_grouping_for_trip_purpose[#All],MATCH(A185,Average_Distance_by_kilometres_grouping_for_trip_purpose[#Headers],0),0)</f>
        <v>5</v>
      </c>
      <c r="K185" s="77">
        <f>VLOOKUP(C185, Adjustment_factor_for_distance_based_on_trip_purpose[#All],MATCH(A185, Adjustment_factor_for_distance_based_on_trip_purpose[#Headers],0),0)</f>
        <v>0.66666666666666663</v>
      </c>
      <c r="L185" s="78" t="e">
        <f>VLOOKUP($L$2, Total_Journeys_Per_Year[#All],MATCH(A185, Total_Journeys_Per_Year[#Headers],0),0)</f>
        <v>#N/A</v>
      </c>
      <c r="M185" s="35" t="e">
        <f t="shared" si="2"/>
        <v>#N/A</v>
      </c>
      <c r="N185" s="35" t="e">
        <f>VLOOKUP($N$2, Private_Vehicle_Kilometres_Car_Stock[#All],MATCH(A185, Private_Vehicle_Kilometres_Car_Stock[#Headers],0),0)</f>
        <v>#N/A</v>
      </c>
    </row>
    <row r="186" spans="1:14" x14ac:dyDescent="0.25">
      <c r="A186" s="79" t="s">
        <v>34</v>
      </c>
      <c r="B186" s="13" t="s">
        <v>182</v>
      </c>
      <c r="C186" s="13" t="s">
        <v>48</v>
      </c>
      <c r="D186" s="5">
        <f>VLOOKUP(B186,Percentage_distribution_of_journey_distance_for_all_regions[#All],MATCH(A186,Percentage_distribution_of_journey_distance_for_all_regions[#Headers],0),0)/100</f>
        <v>6.4000000000000001E-2</v>
      </c>
      <c r="E186" s="71">
        <f>IF(B186="&lt;2 kilometres",1,0)*VLOOKUP(C186, Percentage_dist_journeys_by_purpose_and_distance_to_2km[#All],MATCH(A186, Percentage_dist_journeys_by_purpose_and_distance_to_2km[#Headers],0),0)/100</f>
        <v>0</v>
      </c>
      <c r="F186" s="4">
        <f>IF(B186="2-4 kilometres",1,0)*VLOOKUP(C186, Percentage_dist_journeys_by_purpose_and_distance_2_to_4km[#All],MATCH(A186, Percentage_dist_journeys_by_purpose_and_distance_2_to_4km[#Headers],0),0)/100</f>
        <v>0</v>
      </c>
      <c r="G186" s="72">
        <f>IF(B186="4-6 kilometres",1,0)*VLOOKUP(C186, Percentage_dist_journeys_by_purpose_and_distance_4_to_6km[#All],MATCH(A186, Percentage_dist_journeys_by_purpose_and_distance_4_to_6km[#Headers],0),0)/100</f>
        <v>0</v>
      </c>
      <c r="H186" s="4">
        <f>IF(B186="6-8 kilometres",1,0)*VLOOKUP(C186, Percentage_dist_journeys_by_purpose_and_distance_6_to_8km[#All],MATCH(A186, Percentage_dist_journeys_by_purpose_and_distance_6_to_8km[#Headers],0),0)/100</f>
        <v>4.9000000000000002E-2</v>
      </c>
      <c r="I186" s="72">
        <f>IF(B186="8+ kilometres",1,0)*VLOOKUP(C186, Percentage_dist_journeys_by_purpose_and_distance_8km[#All],MATCH(A186, Percentage_dist_journeys_by_purpose_and_distance_8km[#Headers],0),0)/100</f>
        <v>0</v>
      </c>
      <c r="J186" s="73">
        <f>VLOOKUP(B186,Average_Distance_by_kilometres_grouping_for_trip_purpose[#All],MATCH(A186,Average_Distance_by_kilometres_grouping_for_trip_purpose[#Headers],0),0)</f>
        <v>7</v>
      </c>
      <c r="K186" s="77">
        <f>VLOOKUP(C186, Adjustment_factor_for_distance_based_on_trip_purpose[#All],MATCH(A186, Adjustment_factor_for_distance_based_on_trip_purpose[#Headers],0),0)</f>
        <v>0.66666666666666663</v>
      </c>
      <c r="L186" s="78" t="e">
        <f>VLOOKUP($L$2, Total_Journeys_Per_Year[#All],MATCH(A186, Total_Journeys_Per_Year[#Headers],0),0)</f>
        <v>#N/A</v>
      </c>
      <c r="M186" s="35" t="e">
        <f t="shared" si="2"/>
        <v>#N/A</v>
      </c>
      <c r="N186" s="35" t="e">
        <f>VLOOKUP($N$2, Private_Vehicle_Kilometres_Car_Stock[#All],MATCH(A186, Private_Vehicle_Kilometres_Car_Stock[#Headers],0),0)</f>
        <v>#N/A</v>
      </c>
    </row>
    <row r="187" spans="1:14" x14ac:dyDescent="0.25">
      <c r="A187" s="79" t="s">
        <v>34</v>
      </c>
      <c r="B187" s="13" t="s">
        <v>1</v>
      </c>
      <c r="C187" s="13" t="s">
        <v>48</v>
      </c>
      <c r="D187" s="5">
        <f>VLOOKUP(B187,Percentage_distribution_of_journey_distance_for_all_regions[#All],MATCH(A187,Percentage_distribution_of_journey_distance_for_all_regions[#Headers],0),0)/100</f>
        <v>0.41899999999999998</v>
      </c>
      <c r="E187" s="71">
        <f>IF(B187="&lt;2 kilometres",1,0)*VLOOKUP(C187, Percentage_dist_journeys_by_purpose_and_distance_to_2km[#All],MATCH(A187, Percentage_dist_journeys_by_purpose_and_distance_to_2km[#Headers],0),0)/100</f>
        <v>0</v>
      </c>
      <c r="F187" s="4">
        <f>IF(B187="2-4 kilometres",1,0)*VLOOKUP(C187, Percentage_dist_journeys_by_purpose_and_distance_2_to_4km[#All],MATCH(A187, Percentage_dist_journeys_by_purpose_and_distance_2_to_4km[#Headers],0),0)/100</f>
        <v>0</v>
      </c>
      <c r="G187" s="72">
        <f>IF(B187="4-6 kilometres",1,0)*VLOOKUP(C187, Percentage_dist_journeys_by_purpose_and_distance_4_to_6km[#All],MATCH(A187, Percentage_dist_journeys_by_purpose_and_distance_4_to_6km[#Headers],0),0)/100</f>
        <v>0</v>
      </c>
      <c r="H187" s="4">
        <f>IF(B187="6-8 kilometres",1,0)*VLOOKUP(C187, Percentage_dist_journeys_by_purpose_and_distance_6_to_8km[#All],MATCH(A187, Percentage_dist_journeys_by_purpose_and_distance_6_to_8km[#Headers],0),0)/100</f>
        <v>0</v>
      </c>
      <c r="I187" s="72">
        <f>IF(B187="8+ kilometres",1,0)*VLOOKUP(C187, Percentage_dist_journeys_by_purpose_and_distance_8km[#All],MATCH(A187, Percentage_dist_journeys_by_purpose_and_distance_8km[#Headers],0),0)/100</f>
        <v>0.06</v>
      </c>
      <c r="J187" s="73">
        <f>VLOOKUP(B187,Average_Distance_by_kilometres_grouping_for_trip_purpose[#All],MATCH(A187,Average_Distance_by_kilometres_grouping_for_trip_purpose[#Headers],0),0)</f>
        <v>42.45</v>
      </c>
      <c r="K187" s="77">
        <f>VLOOKUP(C187, Adjustment_factor_for_distance_based_on_trip_purpose[#All],MATCH(A187, Adjustment_factor_for_distance_based_on_trip_purpose[#Headers],0),0)</f>
        <v>0.66666666666666663</v>
      </c>
      <c r="L187" s="78" t="e">
        <f>VLOOKUP($L$2, Total_Journeys_Per_Year[#All],MATCH(A187, Total_Journeys_Per_Year[#Headers],0),0)</f>
        <v>#N/A</v>
      </c>
      <c r="M187" s="35" t="e">
        <f t="shared" si="2"/>
        <v>#N/A</v>
      </c>
      <c r="N187" s="35" t="e">
        <f>VLOOKUP($N$2, Private_Vehicle_Kilometres_Car_Stock[#All],MATCH(A187, Private_Vehicle_Kilometres_Car_Stock[#Headers],0),0)</f>
        <v>#N/A</v>
      </c>
    </row>
    <row r="188" spans="1:14" x14ac:dyDescent="0.25">
      <c r="A188" s="79" t="s">
        <v>34</v>
      </c>
      <c r="B188" s="13" t="s">
        <v>12</v>
      </c>
      <c r="C188" s="13" t="s">
        <v>49</v>
      </c>
      <c r="D188" s="5">
        <f>VLOOKUP(B188,Percentage_distribution_of_journey_distance_for_all_regions[#All],MATCH(A188,Percentage_distribution_of_journey_distance_for_all_regions[#Headers],0),0)/100</f>
        <v>0.188</v>
      </c>
      <c r="E188" s="71">
        <f>IF(B188="&lt;2 kilometres",1,0)*VLOOKUP(C188, Percentage_dist_journeys_by_purpose_and_distance_to_2km[#All],MATCH(A188, Percentage_dist_journeys_by_purpose_and_distance_to_2km[#Headers],0),0)/100</f>
        <v>0.188</v>
      </c>
      <c r="F188" s="4">
        <f>IF(B188="2-4 kilometres",1,0)*VLOOKUP(C188, Percentage_dist_journeys_by_purpose_and_distance_2_to_4km[#All],MATCH(A188, Percentage_dist_journeys_by_purpose_and_distance_2_to_4km[#Headers],0),0)/100</f>
        <v>0</v>
      </c>
      <c r="G188" s="72">
        <f>IF(B188="4-6 kilometres",1,0)*VLOOKUP(C188, Percentage_dist_journeys_by_purpose_and_distance_4_to_6km[#All],MATCH(A188, Percentage_dist_journeys_by_purpose_and_distance_4_to_6km[#Headers],0),0)/100</f>
        <v>0</v>
      </c>
      <c r="H188" s="4">
        <f>IF(B188="6-8 kilometres",1,0)*VLOOKUP(C188, Percentage_dist_journeys_by_purpose_and_distance_6_to_8km[#All],MATCH(A188, Percentage_dist_journeys_by_purpose_and_distance_6_to_8km[#Headers],0),0)/100</f>
        <v>0</v>
      </c>
      <c r="I188" s="72">
        <f>IF(B188="8+ kilometres",1,0)*VLOOKUP(C188, Percentage_dist_journeys_by_purpose_and_distance_8km[#All],MATCH(A188, Percentage_dist_journeys_by_purpose_and_distance_8km[#Headers],0),0)/100</f>
        <v>0</v>
      </c>
      <c r="J188" s="73">
        <f>VLOOKUP(B188,Average_Distance_by_kilometres_grouping_for_trip_purpose[#All],MATCH(A188,Average_Distance_by_kilometres_grouping_for_trip_purpose[#Headers],0),0)</f>
        <v>1</v>
      </c>
      <c r="K188" s="77">
        <f>VLOOKUP(C188, Adjustment_factor_for_distance_based_on_trip_purpose[#All],MATCH(A188, Adjustment_factor_for_distance_based_on_trip_purpose[#Headers],0),0)</f>
        <v>1.2222222222222223</v>
      </c>
      <c r="L188" s="78" t="e">
        <f>VLOOKUP($L$2, Total_Journeys_Per_Year[#All],MATCH(A188, Total_Journeys_Per_Year[#Headers],0),0)</f>
        <v>#N/A</v>
      </c>
      <c r="M188" s="35" t="e">
        <f t="shared" si="2"/>
        <v>#N/A</v>
      </c>
      <c r="N188" s="35" t="e">
        <f>VLOOKUP($N$2, Private_Vehicle_Kilometres_Car_Stock[#All],MATCH(A188, Private_Vehicle_Kilometres_Car_Stock[#Headers],0),0)</f>
        <v>#N/A</v>
      </c>
    </row>
    <row r="189" spans="1:14" x14ac:dyDescent="0.25">
      <c r="A189" s="79" t="s">
        <v>34</v>
      </c>
      <c r="B189" s="13" t="s">
        <v>181</v>
      </c>
      <c r="C189" s="13" t="s">
        <v>49</v>
      </c>
      <c r="D189" s="5">
        <f>VLOOKUP(B189,Percentage_distribution_of_journey_distance_for_all_regions[#All],MATCH(A189,Percentage_distribution_of_journey_distance_for_all_regions[#Headers],0),0)/100</f>
        <v>0.2</v>
      </c>
      <c r="E189" s="71">
        <f>IF(B189="&lt;2 kilometres",1,0)*VLOOKUP(C189, Percentage_dist_journeys_by_purpose_and_distance_to_2km[#All],MATCH(A189, Percentage_dist_journeys_by_purpose_and_distance_to_2km[#Headers],0),0)/100</f>
        <v>0</v>
      </c>
      <c r="F189" s="4">
        <f>IF(B189="2-4 kilometres",1,0)*VLOOKUP(C189, Percentage_dist_journeys_by_purpose_and_distance_2_to_4km[#All],MATCH(A189, Percentage_dist_journeys_by_purpose_and_distance_2_to_4km[#Headers],0),0)/100</f>
        <v>0.16899999999999998</v>
      </c>
      <c r="G189" s="72">
        <f>IF(B189="4-6 kilometres",1,0)*VLOOKUP(C189, Percentage_dist_journeys_by_purpose_and_distance_4_to_6km[#All],MATCH(A189, Percentage_dist_journeys_by_purpose_and_distance_4_to_6km[#Headers],0),0)/100</f>
        <v>0</v>
      </c>
      <c r="H189" s="4">
        <f>IF(B189="6-8 kilometres",1,0)*VLOOKUP(C189, Percentage_dist_journeys_by_purpose_and_distance_6_to_8km[#All],MATCH(A189, Percentage_dist_journeys_by_purpose_and_distance_6_to_8km[#Headers],0),0)/100</f>
        <v>0</v>
      </c>
      <c r="I189" s="72">
        <f>IF(B189="8+ kilometres",1,0)*VLOOKUP(C189, Percentage_dist_journeys_by_purpose_and_distance_8km[#All],MATCH(A189, Percentage_dist_journeys_by_purpose_and_distance_8km[#Headers],0),0)/100</f>
        <v>0</v>
      </c>
      <c r="J189" s="73">
        <f>VLOOKUP(B189,Average_Distance_by_kilometres_grouping_for_trip_purpose[#All],MATCH(A189,Average_Distance_by_kilometres_grouping_for_trip_purpose[#Headers],0),0)</f>
        <v>3</v>
      </c>
      <c r="K189" s="77">
        <f>VLOOKUP(C189, Adjustment_factor_for_distance_based_on_trip_purpose[#All],MATCH(A189, Adjustment_factor_for_distance_based_on_trip_purpose[#Headers],0),0)</f>
        <v>1.2222222222222223</v>
      </c>
      <c r="L189" s="78" t="e">
        <f>VLOOKUP($L$2, Total_Journeys_Per_Year[#All],MATCH(A189, Total_Journeys_Per_Year[#Headers],0),0)</f>
        <v>#N/A</v>
      </c>
      <c r="M189" s="35" t="e">
        <f t="shared" si="2"/>
        <v>#N/A</v>
      </c>
      <c r="N189" s="35" t="e">
        <f>VLOOKUP($N$2, Private_Vehicle_Kilometres_Car_Stock[#All],MATCH(A189, Private_Vehicle_Kilometres_Car_Stock[#Headers],0),0)</f>
        <v>#N/A</v>
      </c>
    </row>
    <row r="190" spans="1:14" x14ac:dyDescent="0.25">
      <c r="A190" s="79" t="s">
        <v>34</v>
      </c>
      <c r="B190" s="13" t="s">
        <v>180</v>
      </c>
      <c r="C190" s="13" t="s">
        <v>49</v>
      </c>
      <c r="D190" s="5">
        <f>VLOOKUP(B190,Percentage_distribution_of_journey_distance_for_all_regions[#All],MATCH(A190,Percentage_distribution_of_journey_distance_for_all_regions[#Headers],0),0)/100</f>
        <v>0.13</v>
      </c>
      <c r="E190" s="71">
        <f>IF(B190="&lt;2 kilometres",1,0)*VLOOKUP(C190, Percentage_dist_journeys_by_purpose_and_distance_to_2km[#All],MATCH(A190, Percentage_dist_journeys_by_purpose_and_distance_to_2km[#Headers],0),0)/100</f>
        <v>0</v>
      </c>
      <c r="F190" s="4">
        <f>IF(B190="2-4 kilometres",1,0)*VLOOKUP(C190, Percentage_dist_journeys_by_purpose_and_distance_2_to_4km[#All],MATCH(A190, Percentage_dist_journeys_by_purpose_and_distance_2_to_4km[#Headers],0),0)/100</f>
        <v>0</v>
      </c>
      <c r="G190" s="72">
        <f>IF(B190="4-6 kilometres",1,0)*VLOOKUP(C190, Percentage_dist_journeys_by_purpose_and_distance_4_to_6km[#All],MATCH(A190, Percentage_dist_journeys_by_purpose_and_distance_4_to_6km[#Headers],0),0)/100</f>
        <v>0.13900000000000001</v>
      </c>
      <c r="H190" s="4">
        <f>IF(B190="6-8 kilometres",1,0)*VLOOKUP(C190, Percentage_dist_journeys_by_purpose_and_distance_6_to_8km[#All],MATCH(A190, Percentage_dist_journeys_by_purpose_and_distance_6_to_8km[#Headers],0),0)/100</f>
        <v>0</v>
      </c>
      <c r="I190" s="72">
        <f>IF(B190="8+ kilometres",1,0)*VLOOKUP(C190, Percentage_dist_journeys_by_purpose_and_distance_8km[#All],MATCH(A190, Percentage_dist_journeys_by_purpose_and_distance_8km[#Headers],0),0)/100</f>
        <v>0</v>
      </c>
      <c r="J190" s="73">
        <f>VLOOKUP(B190,Average_Distance_by_kilometres_grouping_for_trip_purpose[#All],MATCH(A190,Average_Distance_by_kilometres_grouping_for_trip_purpose[#Headers],0),0)</f>
        <v>5</v>
      </c>
      <c r="K190" s="77">
        <f>VLOOKUP(C190, Adjustment_factor_for_distance_based_on_trip_purpose[#All],MATCH(A190, Adjustment_factor_for_distance_based_on_trip_purpose[#Headers],0),0)</f>
        <v>1.2222222222222223</v>
      </c>
      <c r="L190" s="78" t="e">
        <f>VLOOKUP($L$2, Total_Journeys_Per_Year[#All],MATCH(A190, Total_Journeys_Per_Year[#Headers],0),0)</f>
        <v>#N/A</v>
      </c>
      <c r="M190" s="35" t="e">
        <f t="shared" si="2"/>
        <v>#N/A</v>
      </c>
      <c r="N190" s="35" t="e">
        <f>VLOOKUP($N$2, Private_Vehicle_Kilometres_Car_Stock[#All],MATCH(A190, Private_Vehicle_Kilometres_Car_Stock[#Headers],0),0)</f>
        <v>#N/A</v>
      </c>
    </row>
    <row r="191" spans="1:14" x14ac:dyDescent="0.25">
      <c r="A191" s="79" t="s">
        <v>34</v>
      </c>
      <c r="B191" s="13" t="s">
        <v>182</v>
      </c>
      <c r="C191" s="13" t="s">
        <v>49</v>
      </c>
      <c r="D191" s="5">
        <f>VLOOKUP(B191,Percentage_distribution_of_journey_distance_for_all_regions[#All],MATCH(A191,Percentage_distribution_of_journey_distance_for_all_regions[#Headers],0),0)/100</f>
        <v>6.4000000000000001E-2</v>
      </c>
      <c r="E191" s="71">
        <f>IF(B191="&lt;2 kilometres",1,0)*VLOOKUP(C191, Percentage_dist_journeys_by_purpose_and_distance_to_2km[#All],MATCH(A191, Percentage_dist_journeys_by_purpose_and_distance_to_2km[#Headers],0),0)/100</f>
        <v>0</v>
      </c>
      <c r="F191" s="4">
        <f>IF(B191="2-4 kilometres",1,0)*VLOOKUP(C191, Percentage_dist_journeys_by_purpose_and_distance_2_to_4km[#All],MATCH(A191, Percentage_dist_journeys_by_purpose_and_distance_2_to_4km[#Headers],0),0)/100</f>
        <v>0</v>
      </c>
      <c r="G191" s="72">
        <f>IF(B191="4-6 kilometres",1,0)*VLOOKUP(C191, Percentage_dist_journeys_by_purpose_and_distance_4_to_6km[#All],MATCH(A191, Percentage_dist_journeys_by_purpose_and_distance_4_to_6km[#Headers],0),0)/100</f>
        <v>0</v>
      </c>
      <c r="H191" s="4">
        <f>IF(B191="6-8 kilometres",1,0)*VLOOKUP(C191, Percentage_dist_journeys_by_purpose_and_distance_6_to_8km[#All],MATCH(A191, Percentage_dist_journeys_by_purpose_and_distance_6_to_8km[#Headers],0),0)/100</f>
        <v>0.17100000000000001</v>
      </c>
      <c r="I191" s="72">
        <f>IF(B191="8+ kilometres",1,0)*VLOOKUP(C191, Percentage_dist_journeys_by_purpose_and_distance_8km[#All],MATCH(A191, Percentage_dist_journeys_by_purpose_and_distance_8km[#Headers],0),0)/100</f>
        <v>0</v>
      </c>
      <c r="J191" s="73">
        <f>VLOOKUP(B191,Average_Distance_by_kilometres_grouping_for_trip_purpose[#All],MATCH(A191,Average_Distance_by_kilometres_grouping_for_trip_purpose[#Headers],0),0)</f>
        <v>7</v>
      </c>
      <c r="K191" s="77">
        <f>VLOOKUP(C191, Adjustment_factor_for_distance_based_on_trip_purpose[#All],MATCH(A191, Adjustment_factor_for_distance_based_on_trip_purpose[#Headers],0),0)</f>
        <v>1.2222222222222223</v>
      </c>
      <c r="L191" s="78" t="e">
        <f>VLOOKUP($L$2, Total_Journeys_Per_Year[#All],MATCH(A191, Total_Journeys_Per_Year[#Headers],0),0)</f>
        <v>#N/A</v>
      </c>
      <c r="M191" s="35" t="e">
        <f t="shared" si="2"/>
        <v>#N/A</v>
      </c>
      <c r="N191" s="35" t="e">
        <f>VLOOKUP($N$2, Private_Vehicle_Kilometres_Car_Stock[#All],MATCH(A191, Private_Vehicle_Kilometres_Car_Stock[#Headers],0),0)</f>
        <v>#N/A</v>
      </c>
    </row>
    <row r="192" spans="1:14" x14ac:dyDescent="0.25">
      <c r="A192" s="79" t="s">
        <v>34</v>
      </c>
      <c r="B192" s="13" t="s">
        <v>1</v>
      </c>
      <c r="C192" s="13" t="s">
        <v>49</v>
      </c>
      <c r="D192" s="5">
        <f>VLOOKUP(B192,Percentage_distribution_of_journey_distance_for_all_regions[#All],MATCH(A192,Percentage_distribution_of_journey_distance_for_all_regions[#Headers],0),0)/100</f>
        <v>0.41899999999999998</v>
      </c>
      <c r="E192" s="71">
        <f>IF(B192="&lt;2 kilometres",1,0)*VLOOKUP(C192, Percentage_dist_journeys_by_purpose_and_distance_to_2km[#All],MATCH(A192, Percentage_dist_journeys_by_purpose_and_distance_to_2km[#Headers],0),0)/100</f>
        <v>0</v>
      </c>
      <c r="F192" s="4">
        <f>IF(B192="2-4 kilometres",1,0)*VLOOKUP(C192, Percentage_dist_journeys_by_purpose_and_distance_2_to_4km[#All],MATCH(A192, Percentage_dist_journeys_by_purpose_and_distance_2_to_4km[#Headers],0),0)/100</f>
        <v>0</v>
      </c>
      <c r="G192" s="72">
        <f>IF(B192="4-6 kilometres",1,0)*VLOOKUP(C192, Percentage_dist_journeys_by_purpose_and_distance_4_to_6km[#All],MATCH(A192, Percentage_dist_journeys_by_purpose_and_distance_4_to_6km[#Headers],0),0)/100</f>
        <v>0</v>
      </c>
      <c r="H192" s="4">
        <f>IF(B192="6-8 kilometres",1,0)*VLOOKUP(C192, Percentage_dist_journeys_by_purpose_and_distance_6_to_8km[#All],MATCH(A192, Percentage_dist_journeys_by_purpose_and_distance_6_to_8km[#Headers],0),0)/100</f>
        <v>0</v>
      </c>
      <c r="I192" s="72">
        <f>IF(B192="8+ kilometres",1,0)*VLOOKUP(C192, Percentage_dist_journeys_by_purpose_and_distance_8km[#All],MATCH(A192, Percentage_dist_journeys_by_purpose_and_distance_8km[#Headers],0),0)/100</f>
        <v>9.3000000000000013E-2</v>
      </c>
      <c r="J192" s="73">
        <f>VLOOKUP(B192,Average_Distance_by_kilometres_grouping_for_trip_purpose[#All],MATCH(A192,Average_Distance_by_kilometres_grouping_for_trip_purpose[#Headers],0),0)</f>
        <v>42.45</v>
      </c>
      <c r="K192" s="77">
        <f>VLOOKUP(C192, Adjustment_factor_for_distance_based_on_trip_purpose[#All],MATCH(A192, Adjustment_factor_for_distance_based_on_trip_purpose[#Headers],0),0)</f>
        <v>1.2222222222222223</v>
      </c>
      <c r="L192" s="78" t="e">
        <f>VLOOKUP($L$2, Total_Journeys_Per_Year[#All],MATCH(A192, Total_Journeys_Per_Year[#Headers],0),0)</f>
        <v>#N/A</v>
      </c>
      <c r="M192" s="35" t="e">
        <f t="shared" si="2"/>
        <v>#N/A</v>
      </c>
      <c r="N192" s="35" t="e">
        <f>VLOOKUP($N$2, Private_Vehicle_Kilometres_Car_Stock[#All],MATCH(A192, Private_Vehicle_Kilometres_Car_Stock[#Headers],0),0)</f>
        <v>#N/A</v>
      </c>
    </row>
    <row r="193" spans="1:14" x14ac:dyDescent="0.25">
      <c r="A193" s="79" t="s">
        <v>34</v>
      </c>
      <c r="B193" s="13" t="s">
        <v>12</v>
      </c>
      <c r="C193" s="13" t="s">
        <v>50</v>
      </c>
      <c r="D193" s="5">
        <f>VLOOKUP(B193,Percentage_distribution_of_journey_distance_for_all_regions[#All],MATCH(A193,Percentage_distribution_of_journey_distance_for_all_regions[#Headers],0),0)/100</f>
        <v>0.188</v>
      </c>
      <c r="E193" s="71">
        <f>IF(B193="&lt;2 kilometres",1,0)*VLOOKUP(C193, Percentage_dist_journeys_by_purpose_and_distance_to_2km[#All],MATCH(A193, Percentage_dist_journeys_by_purpose_and_distance_to_2km[#Headers],0),0)/100</f>
        <v>4.9000000000000002E-2</v>
      </c>
      <c r="F193" s="4">
        <f>IF(B193="2-4 kilometres",1,0)*VLOOKUP(C193, Percentage_dist_journeys_by_purpose_and_distance_2_to_4km[#All],MATCH(A193, Percentage_dist_journeys_by_purpose_and_distance_2_to_4km[#Headers],0),0)/100</f>
        <v>0</v>
      </c>
      <c r="G193" s="72">
        <f>IF(B193="4-6 kilometres",1,0)*VLOOKUP(C193, Percentage_dist_journeys_by_purpose_and_distance_4_to_6km[#All],MATCH(A193, Percentage_dist_journeys_by_purpose_and_distance_4_to_6km[#Headers],0),0)/100</f>
        <v>0</v>
      </c>
      <c r="H193" s="4">
        <f>IF(B193="6-8 kilometres",1,0)*VLOOKUP(C193, Percentage_dist_journeys_by_purpose_and_distance_6_to_8km[#All],MATCH(A193, Percentage_dist_journeys_by_purpose_and_distance_6_to_8km[#Headers],0),0)/100</f>
        <v>0</v>
      </c>
      <c r="I193" s="72">
        <f>IF(B193="8+ kilometres",1,0)*VLOOKUP(C193, Percentage_dist_journeys_by_purpose_and_distance_8km[#All],MATCH(A193, Percentage_dist_journeys_by_purpose_and_distance_8km[#Headers],0),0)/100</f>
        <v>0</v>
      </c>
      <c r="J193" s="73">
        <f>VLOOKUP(B193,Average_Distance_by_kilometres_grouping_for_trip_purpose[#All],MATCH(A193,Average_Distance_by_kilometres_grouping_for_trip_purpose[#Headers],0),0)</f>
        <v>1</v>
      </c>
      <c r="K193" s="77">
        <f>VLOOKUP(C193, Adjustment_factor_for_distance_based_on_trip_purpose[#All],MATCH(A193, Adjustment_factor_for_distance_based_on_trip_purpose[#Headers],0),0)</f>
        <v>0.77777777777777779</v>
      </c>
      <c r="L193" s="78" t="e">
        <f>VLOOKUP($L$2, Total_Journeys_Per_Year[#All],MATCH(A193, Total_Journeys_Per_Year[#Headers],0),0)</f>
        <v>#N/A</v>
      </c>
      <c r="M193" s="35" t="e">
        <f t="shared" si="2"/>
        <v>#N/A</v>
      </c>
      <c r="N193" s="35" t="e">
        <f>VLOOKUP($N$2, Private_Vehicle_Kilometres_Car_Stock[#All],MATCH(A193, Private_Vehicle_Kilometres_Car_Stock[#Headers],0),0)</f>
        <v>#N/A</v>
      </c>
    </row>
    <row r="194" spans="1:14" x14ac:dyDescent="0.25">
      <c r="A194" s="79" t="s">
        <v>34</v>
      </c>
      <c r="B194" s="13" t="s">
        <v>181</v>
      </c>
      <c r="C194" s="13" t="s">
        <v>50</v>
      </c>
      <c r="D194" s="5">
        <f>VLOOKUP(B194,Percentage_distribution_of_journey_distance_for_all_regions[#All],MATCH(A194,Percentage_distribution_of_journey_distance_for_all_regions[#Headers],0),0)/100</f>
        <v>0.2</v>
      </c>
      <c r="E194" s="71">
        <f>IF(B194="&lt;2 kilometres",1,0)*VLOOKUP(C194, Percentage_dist_journeys_by_purpose_and_distance_to_2km[#All],MATCH(A194, Percentage_dist_journeys_by_purpose_and_distance_to_2km[#Headers],0),0)/100</f>
        <v>0</v>
      </c>
      <c r="F194" s="4">
        <f>IF(B194="2-4 kilometres",1,0)*VLOOKUP(C194, Percentage_dist_journeys_by_purpose_and_distance_2_to_4km[#All],MATCH(A194, Percentage_dist_journeys_by_purpose_and_distance_2_to_4km[#Headers],0),0)/100</f>
        <v>4.9000000000000002E-2</v>
      </c>
      <c r="G194" s="72">
        <f>IF(B194="4-6 kilometres",1,0)*VLOOKUP(C194, Percentage_dist_journeys_by_purpose_and_distance_4_to_6km[#All],MATCH(A194, Percentage_dist_journeys_by_purpose_and_distance_4_to_6km[#Headers],0),0)/100</f>
        <v>0</v>
      </c>
      <c r="H194" s="4">
        <f>IF(B194="6-8 kilometres",1,0)*VLOOKUP(C194, Percentage_dist_journeys_by_purpose_and_distance_6_to_8km[#All],MATCH(A194, Percentage_dist_journeys_by_purpose_and_distance_6_to_8km[#Headers],0),0)/100</f>
        <v>0</v>
      </c>
      <c r="I194" s="72">
        <f>IF(B194="8+ kilometres",1,0)*VLOOKUP(C194, Percentage_dist_journeys_by_purpose_and_distance_8km[#All],MATCH(A194, Percentage_dist_journeys_by_purpose_and_distance_8km[#Headers],0),0)/100</f>
        <v>0</v>
      </c>
      <c r="J194" s="73">
        <f>VLOOKUP(B194,Average_Distance_by_kilometres_grouping_for_trip_purpose[#All],MATCH(A194,Average_Distance_by_kilometres_grouping_for_trip_purpose[#Headers],0),0)</f>
        <v>3</v>
      </c>
      <c r="K194" s="77">
        <f>VLOOKUP(C194, Adjustment_factor_for_distance_based_on_trip_purpose[#All],MATCH(A194, Adjustment_factor_for_distance_based_on_trip_purpose[#Headers],0),0)</f>
        <v>0.77777777777777779</v>
      </c>
      <c r="L194" s="78" t="e">
        <f>VLOOKUP($L$2, Total_Journeys_Per_Year[#All],MATCH(A194, Total_Journeys_Per_Year[#Headers],0),0)</f>
        <v>#N/A</v>
      </c>
      <c r="M194" s="35" t="e">
        <f t="shared" si="2"/>
        <v>#N/A</v>
      </c>
      <c r="N194" s="35" t="e">
        <f>VLOOKUP($N$2, Private_Vehicle_Kilometres_Car_Stock[#All],MATCH(A194, Private_Vehicle_Kilometres_Car_Stock[#Headers],0),0)</f>
        <v>#N/A</v>
      </c>
    </row>
    <row r="195" spans="1:14" x14ac:dyDescent="0.25">
      <c r="A195" s="79" t="s">
        <v>34</v>
      </c>
      <c r="B195" s="13" t="s">
        <v>180</v>
      </c>
      <c r="C195" s="13" t="s">
        <v>50</v>
      </c>
      <c r="D195" s="5">
        <f>VLOOKUP(B195,Percentage_distribution_of_journey_distance_for_all_regions[#All],MATCH(A195,Percentage_distribution_of_journey_distance_for_all_regions[#Headers],0),0)/100</f>
        <v>0.13</v>
      </c>
      <c r="E195" s="71">
        <f>IF(B195="&lt;2 kilometres",1,0)*VLOOKUP(C195, Percentage_dist_journeys_by_purpose_and_distance_to_2km[#All],MATCH(A195, Percentage_dist_journeys_by_purpose_and_distance_to_2km[#Headers],0),0)/100</f>
        <v>0</v>
      </c>
      <c r="F195" s="4">
        <f>IF(B195="2-4 kilometres",1,0)*VLOOKUP(C195, Percentage_dist_journeys_by_purpose_and_distance_2_to_4km[#All],MATCH(A195, Percentage_dist_journeys_by_purpose_and_distance_2_to_4km[#Headers],0),0)/100</f>
        <v>0</v>
      </c>
      <c r="G195" s="72">
        <f>IF(B195="4-6 kilometres",1,0)*VLOOKUP(C195, Percentage_dist_journeys_by_purpose_and_distance_4_to_6km[#All],MATCH(A195, Percentage_dist_journeys_by_purpose_and_distance_4_to_6km[#Headers],0),0)/100</f>
        <v>4.8000000000000001E-2</v>
      </c>
      <c r="H195" s="4">
        <f>IF(B195="6-8 kilometres",1,0)*VLOOKUP(C195, Percentage_dist_journeys_by_purpose_and_distance_6_to_8km[#All],MATCH(A195, Percentage_dist_journeys_by_purpose_and_distance_6_to_8km[#Headers],0),0)/100</f>
        <v>0</v>
      </c>
      <c r="I195" s="72">
        <f>IF(B195="8+ kilometres",1,0)*VLOOKUP(C195, Percentage_dist_journeys_by_purpose_and_distance_8km[#All],MATCH(A195, Percentage_dist_journeys_by_purpose_and_distance_8km[#Headers],0),0)/100</f>
        <v>0</v>
      </c>
      <c r="J195" s="73">
        <f>VLOOKUP(B195,Average_Distance_by_kilometres_grouping_for_trip_purpose[#All],MATCH(A195,Average_Distance_by_kilometres_grouping_for_trip_purpose[#Headers],0),0)</f>
        <v>5</v>
      </c>
      <c r="K195" s="77">
        <f>VLOOKUP(C195, Adjustment_factor_for_distance_based_on_trip_purpose[#All],MATCH(A195, Adjustment_factor_for_distance_based_on_trip_purpose[#Headers],0),0)</f>
        <v>0.77777777777777779</v>
      </c>
      <c r="L195" s="78" t="e">
        <f>VLOOKUP($L$2, Total_Journeys_Per_Year[#All],MATCH(A195, Total_Journeys_Per_Year[#Headers],0),0)</f>
        <v>#N/A</v>
      </c>
      <c r="M195" s="35" t="e">
        <f t="shared" si="2"/>
        <v>#N/A</v>
      </c>
      <c r="N195" s="35" t="e">
        <f>VLOOKUP($N$2, Private_Vehicle_Kilometres_Car_Stock[#All],MATCH(A195, Private_Vehicle_Kilometres_Car_Stock[#Headers],0),0)</f>
        <v>#N/A</v>
      </c>
    </row>
    <row r="196" spans="1:14" x14ac:dyDescent="0.25">
      <c r="A196" s="79" t="s">
        <v>34</v>
      </c>
      <c r="B196" s="13" t="s">
        <v>182</v>
      </c>
      <c r="C196" s="13" t="s">
        <v>50</v>
      </c>
      <c r="D196" s="5">
        <f>VLOOKUP(B196,Percentage_distribution_of_journey_distance_for_all_regions[#All],MATCH(A196,Percentage_distribution_of_journey_distance_for_all_regions[#Headers],0),0)/100</f>
        <v>6.4000000000000001E-2</v>
      </c>
      <c r="E196" s="71">
        <f>IF(B196="&lt;2 kilometres",1,0)*VLOOKUP(C196, Percentage_dist_journeys_by_purpose_and_distance_to_2km[#All],MATCH(A196, Percentage_dist_journeys_by_purpose_and_distance_to_2km[#Headers],0),0)/100</f>
        <v>0</v>
      </c>
      <c r="F196" s="4">
        <f>IF(B196="2-4 kilometres",1,0)*VLOOKUP(C196, Percentage_dist_journeys_by_purpose_and_distance_2_to_4km[#All],MATCH(A196, Percentage_dist_journeys_by_purpose_and_distance_2_to_4km[#Headers],0),0)/100</f>
        <v>0</v>
      </c>
      <c r="G196" s="72">
        <f>IF(B196="4-6 kilometres",1,0)*VLOOKUP(C196, Percentage_dist_journeys_by_purpose_and_distance_4_to_6km[#All],MATCH(A196, Percentage_dist_journeys_by_purpose_and_distance_4_to_6km[#Headers],0),0)/100</f>
        <v>0</v>
      </c>
      <c r="H196" s="4">
        <f>IF(B196="6-8 kilometres",1,0)*VLOOKUP(C196, Percentage_dist_journeys_by_purpose_and_distance_6_to_8km[#All],MATCH(A196, Percentage_dist_journeys_by_purpose_and_distance_6_to_8km[#Headers],0),0)/100</f>
        <v>6.7000000000000004E-2</v>
      </c>
      <c r="I196" s="72">
        <f>IF(B196="8+ kilometres",1,0)*VLOOKUP(C196, Percentage_dist_journeys_by_purpose_and_distance_8km[#All],MATCH(A196, Percentage_dist_journeys_by_purpose_and_distance_8km[#Headers],0),0)/100</f>
        <v>0</v>
      </c>
      <c r="J196" s="73">
        <f>VLOOKUP(B196,Average_Distance_by_kilometres_grouping_for_trip_purpose[#All],MATCH(A196,Average_Distance_by_kilometres_grouping_for_trip_purpose[#Headers],0),0)</f>
        <v>7</v>
      </c>
      <c r="K196" s="77">
        <f>VLOOKUP(C196, Adjustment_factor_for_distance_based_on_trip_purpose[#All],MATCH(A196, Adjustment_factor_for_distance_based_on_trip_purpose[#Headers],0),0)</f>
        <v>0.77777777777777779</v>
      </c>
      <c r="L196" s="78" t="e">
        <f>VLOOKUP($L$2, Total_Journeys_Per_Year[#All],MATCH(A196, Total_Journeys_Per_Year[#Headers],0),0)</f>
        <v>#N/A</v>
      </c>
      <c r="M196" s="35" t="e">
        <f t="shared" si="2"/>
        <v>#N/A</v>
      </c>
      <c r="N196" s="35" t="e">
        <f>VLOOKUP($N$2, Private_Vehicle_Kilometres_Car_Stock[#All],MATCH(A196, Private_Vehicle_Kilometres_Car_Stock[#Headers],0),0)</f>
        <v>#N/A</v>
      </c>
    </row>
    <row r="197" spans="1:14" x14ac:dyDescent="0.25">
      <c r="A197" s="79" t="s">
        <v>34</v>
      </c>
      <c r="B197" s="13" t="s">
        <v>1</v>
      </c>
      <c r="C197" s="13" t="s">
        <v>50</v>
      </c>
      <c r="D197" s="5">
        <f>VLOOKUP(B197,Percentage_distribution_of_journey_distance_for_all_regions[#All],MATCH(A197,Percentage_distribution_of_journey_distance_for_all_regions[#Headers],0),0)/100</f>
        <v>0.41899999999999998</v>
      </c>
      <c r="E197" s="71">
        <f>IF(B197="&lt;2 kilometres",1,0)*VLOOKUP(C197, Percentage_dist_journeys_by_purpose_and_distance_to_2km[#All],MATCH(A197, Percentage_dist_journeys_by_purpose_and_distance_to_2km[#Headers],0),0)/100</f>
        <v>0</v>
      </c>
      <c r="F197" s="4">
        <f>IF(B197="2-4 kilometres",1,0)*VLOOKUP(C197, Percentage_dist_journeys_by_purpose_and_distance_2_to_4km[#All],MATCH(A197, Percentage_dist_journeys_by_purpose_and_distance_2_to_4km[#Headers],0),0)/100</f>
        <v>0</v>
      </c>
      <c r="G197" s="72">
        <f>IF(B197="4-6 kilometres",1,0)*VLOOKUP(C197, Percentage_dist_journeys_by_purpose_and_distance_4_to_6km[#All],MATCH(A197, Percentage_dist_journeys_by_purpose_and_distance_4_to_6km[#Headers],0),0)/100</f>
        <v>0</v>
      </c>
      <c r="H197" s="4">
        <f>IF(B197="6-8 kilometres",1,0)*VLOOKUP(C197, Percentage_dist_journeys_by_purpose_and_distance_6_to_8km[#All],MATCH(A197, Percentage_dist_journeys_by_purpose_and_distance_6_to_8km[#Headers],0),0)/100</f>
        <v>0</v>
      </c>
      <c r="I197" s="72">
        <f>IF(B197="8+ kilometres",1,0)*VLOOKUP(C197, Percentage_dist_journeys_by_purpose_and_distance_8km[#All],MATCH(A197, Percentage_dist_journeys_by_purpose_and_distance_8km[#Headers],0),0)/100</f>
        <v>5.2000000000000005E-2</v>
      </c>
      <c r="J197" s="73">
        <f>VLOOKUP(B197,Average_Distance_by_kilometres_grouping_for_trip_purpose[#All],MATCH(A197,Average_Distance_by_kilometres_grouping_for_trip_purpose[#Headers],0),0)</f>
        <v>42.45</v>
      </c>
      <c r="K197" s="77">
        <f>VLOOKUP(C197, Adjustment_factor_for_distance_based_on_trip_purpose[#All],MATCH(A197, Adjustment_factor_for_distance_based_on_trip_purpose[#Headers],0),0)</f>
        <v>0.77777777777777779</v>
      </c>
      <c r="L197" s="78" t="e">
        <f>VLOOKUP($L$2, Total_Journeys_Per_Year[#All],MATCH(A197, Total_Journeys_Per_Year[#Headers],0),0)</f>
        <v>#N/A</v>
      </c>
      <c r="M197" s="35" t="e">
        <f t="shared" si="2"/>
        <v>#N/A</v>
      </c>
      <c r="N197" s="35" t="e">
        <f>VLOOKUP($N$2, Private_Vehicle_Kilometres_Car_Stock[#All],MATCH(A197, Private_Vehicle_Kilometres_Car_Stock[#Headers],0),0)</f>
        <v>#N/A</v>
      </c>
    </row>
    <row r="198" spans="1:14" x14ac:dyDescent="0.25">
      <c r="A198" s="79" t="s">
        <v>36</v>
      </c>
      <c r="B198" s="13" t="s">
        <v>12</v>
      </c>
      <c r="C198" s="13" t="s">
        <v>42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Percentage_dist_journeys_by_purpose_and_distance_to_2km[#All],MATCH(A198, Percentage_dist_journeys_by_purpose_and_distance_to_2km[#Headers],0),0)/100</f>
        <v>0.17399999999999999</v>
      </c>
      <c r="F198" s="4">
        <f>IF(B198="2-4 kilometres",1,0)*VLOOKUP(C198, Percentage_dist_journeys_by_purpose_and_distance_2_to_4km[#All],MATCH(A198, Percentage_dist_journeys_by_purpose_and_distance_2_to_4km[#Headers],0),0)/100</f>
        <v>0</v>
      </c>
      <c r="G198" s="72">
        <f>IF(B198="4-6 kilometres",1,0)*VLOOKUP(C198, Percentage_dist_journeys_by_purpose_and_distance_4_to_6km[#All],MATCH(A198, Percentage_dist_journeys_by_purpose_and_distance_4_to_6km[#Headers],0),0)/100</f>
        <v>0</v>
      </c>
      <c r="H198" s="4">
        <f>IF(B198="6-8 kilometres",1,0)*VLOOKUP(C198, Percentage_dist_journeys_by_purpose_and_distance_6_to_8km[#All],MATCH(A198, Percentage_dist_journeys_by_purpose_and_distance_6_to_8km[#Headers],0),0)/100</f>
        <v>0</v>
      </c>
      <c r="I198" s="72">
        <f>IF(B198="8+ kilometres",1,0)*VLOOKUP(C198, Percentage_dist_journeys_by_purpose_and_distance_8km[#All],MATCH(A198, Percentage_dist_journeys_by_purpose_and_distance_8km[#Headers],0),0)/100</f>
        <v>0</v>
      </c>
      <c r="J198" s="73">
        <f>VLOOKUP(B198,Average_Distance_by_kilometres_grouping_for_trip_purpose[#All],MATCH(A198,Average_Distance_by_kilometres_grouping_for_trip_purpose[#Headers],0),0)</f>
        <v>1</v>
      </c>
      <c r="K198" s="77">
        <f>VLOOKUP(C198, Adjustment_factor_for_distance_based_on_trip_purpose[#All],MATCH(A198, Adjustment_factor_for_distance_based_on_trip_purpose[#Headers],0),0)</f>
        <v>1</v>
      </c>
      <c r="L198" s="78" t="e">
        <f>VLOOKUP($L$2, Total_Journeys_Per_Year[#All],MATCH(A198, Total_Journeys_Per_Year[#Headers],0),0)</f>
        <v>#N/A</v>
      </c>
      <c r="M198" s="35" t="e">
        <f t="shared" si="2"/>
        <v>#N/A</v>
      </c>
      <c r="N198" s="35" t="e">
        <f>VLOOKUP($N$2, Private_Vehicle_Kilometres_Car_Stock[#All],MATCH(A198, Private_Vehicle_Kilometres_Car_Stock[#Headers],0),0)</f>
        <v>#N/A</v>
      </c>
    </row>
    <row r="199" spans="1:14" x14ac:dyDescent="0.25">
      <c r="A199" s="79" t="s">
        <v>36</v>
      </c>
      <c r="B199" s="13" t="s">
        <v>181</v>
      </c>
      <c r="C199" s="13" t="s">
        <v>42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Percentage_dist_journeys_by_purpose_and_distance_to_2km[#All],MATCH(A199, Percentage_dist_journeys_by_purpose_and_distance_to_2km[#Headers],0),0)/100</f>
        <v>0</v>
      </c>
      <c r="F199" s="4">
        <f>IF(B199="2-4 kilometres",1,0)*VLOOKUP(C199, Percentage_dist_journeys_by_purpose_and_distance_2_to_4km[#All],MATCH(A199, Percentage_dist_journeys_by_purpose_and_distance_2_to_4km[#Headers],0),0)/100</f>
        <v>0.24399999999999999</v>
      </c>
      <c r="G199" s="72">
        <f>IF(B199="4-6 kilometres",1,0)*VLOOKUP(C199, Percentage_dist_journeys_by_purpose_and_distance_4_to_6km[#All],MATCH(A199, Percentage_dist_journeys_by_purpose_and_distance_4_to_6km[#Headers],0),0)/100</f>
        <v>0</v>
      </c>
      <c r="H199" s="4">
        <f>IF(B199="6-8 kilometres",1,0)*VLOOKUP(C199, Percentage_dist_journeys_by_purpose_and_distance_6_to_8km[#All],MATCH(A199, Percentage_dist_journeys_by_purpose_and_distance_6_to_8km[#Headers],0),0)/100</f>
        <v>0</v>
      </c>
      <c r="I199" s="72">
        <f>IF(B199="8+ kilometres",1,0)*VLOOKUP(C199, Percentage_dist_journeys_by_purpose_and_distance_8km[#All],MATCH(A199, Percentage_dist_journeys_by_purpose_and_distance_8km[#Headers],0),0)/100</f>
        <v>0</v>
      </c>
      <c r="J199" s="73">
        <f>VLOOKUP(B199,Average_Distance_by_kilometres_grouping_for_trip_purpose[#All],MATCH(A199,Average_Distance_by_kilometres_grouping_for_trip_purpose[#Headers],0),0)</f>
        <v>3</v>
      </c>
      <c r="K199" s="77">
        <f>VLOOKUP(C199, Adjustment_factor_for_distance_based_on_trip_purpose[#All],MATCH(A199, Adjustment_factor_for_distance_based_on_trip_purpose[#Headers],0),0)</f>
        <v>1</v>
      </c>
      <c r="L199" s="78" t="e">
        <f>VLOOKUP($L$2, Total_Journeys_Per_Year[#All],MATCH(A199, Total_Journeys_Per_Year[#Headers],0),0)</f>
        <v>#N/A</v>
      </c>
      <c r="M199" s="35" t="e">
        <f t="shared" si="2"/>
        <v>#N/A</v>
      </c>
      <c r="N199" s="35" t="e">
        <f>VLOOKUP($N$2, Private_Vehicle_Kilometres_Car_Stock[#All],MATCH(A199, Private_Vehicle_Kilometres_Car_Stock[#Headers],0),0)</f>
        <v>#N/A</v>
      </c>
    </row>
    <row r="200" spans="1:14" x14ac:dyDescent="0.25">
      <c r="A200" s="79" t="s">
        <v>36</v>
      </c>
      <c r="B200" s="13" t="s">
        <v>180</v>
      </c>
      <c r="C200" s="13" t="s">
        <v>42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Percentage_dist_journeys_by_purpose_and_distance_to_2km[#All],MATCH(A200, Percentage_dist_journeys_by_purpose_and_distance_to_2km[#Headers],0),0)/100</f>
        <v>0</v>
      </c>
      <c r="F200" s="4">
        <f>IF(B200="2-4 kilometres",1,0)*VLOOKUP(C200, Percentage_dist_journeys_by_purpose_and_distance_2_to_4km[#All],MATCH(A200, Percentage_dist_journeys_by_purpose_and_distance_2_to_4km[#Headers],0),0)/100</f>
        <v>0</v>
      </c>
      <c r="G200" s="72">
        <f>IF(B200="4-6 kilometres",1,0)*VLOOKUP(C200, Percentage_dist_journeys_by_purpose_and_distance_4_to_6km[#All],MATCH(A200, Percentage_dist_journeys_by_purpose_and_distance_4_to_6km[#Headers],0),0)/100</f>
        <v>0.27300000000000002</v>
      </c>
      <c r="H200" s="4">
        <f>IF(B200="6-8 kilometres",1,0)*VLOOKUP(C200, Percentage_dist_journeys_by_purpose_and_distance_6_to_8km[#All],MATCH(A200, Percentage_dist_journeys_by_purpose_and_distance_6_to_8km[#Headers],0),0)/100</f>
        <v>0</v>
      </c>
      <c r="I200" s="72">
        <f>IF(B200="8+ kilometres",1,0)*VLOOKUP(C200, Percentage_dist_journeys_by_purpose_and_distance_8km[#All],MATCH(A200, Percentage_dist_journeys_by_purpose_and_distance_8km[#Headers],0),0)/100</f>
        <v>0</v>
      </c>
      <c r="J200" s="73">
        <f>VLOOKUP(B200,Average_Distance_by_kilometres_grouping_for_trip_purpose[#All],MATCH(A200,Average_Distance_by_kilometres_grouping_for_trip_purpose[#Headers],0),0)</f>
        <v>5</v>
      </c>
      <c r="K200" s="77">
        <f>VLOOKUP(C200, Adjustment_factor_for_distance_based_on_trip_purpose[#All],MATCH(A200, Adjustment_factor_for_distance_based_on_trip_purpose[#Headers],0),0)</f>
        <v>1</v>
      </c>
      <c r="L200" s="78" t="e">
        <f>VLOOKUP($L$2, Total_Journeys_Per_Year[#All],MATCH(A200, Total_Journeys_Per_Year[#Headers],0),0)</f>
        <v>#N/A</v>
      </c>
      <c r="M200" s="35" t="e">
        <f t="shared" si="2"/>
        <v>#N/A</v>
      </c>
      <c r="N200" s="35" t="e">
        <f>VLOOKUP($N$2, Private_Vehicle_Kilometres_Car_Stock[#All],MATCH(A200, Private_Vehicle_Kilometres_Car_Stock[#Headers],0),0)</f>
        <v>#N/A</v>
      </c>
    </row>
    <row r="201" spans="1:14" x14ac:dyDescent="0.25">
      <c r="A201" s="79" t="s">
        <v>36</v>
      </c>
      <c r="B201" s="13" t="s">
        <v>182</v>
      </c>
      <c r="C201" s="13" t="s">
        <v>42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Percentage_dist_journeys_by_purpose_and_distance_to_2km[#All],MATCH(A201, Percentage_dist_journeys_by_purpose_and_distance_to_2km[#Headers],0),0)/100</f>
        <v>0</v>
      </c>
      <c r="F201" s="4">
        <f>IF(B201="2-4 kilometres",1,0)*VLOOKUP(C201, Percentage_dist_journeys_by_purpose_and_distance_2_to_4km[#All],MATCH(A201, Percentage_dist_journeys_by_purpose_and_distance_2_to_4km[#Headers],0),0)/100</f>
        <v>0</v>
      </c>
      <c r="G201" s="72">
        <f>IF(B201="4-6 kilometres",1,0)*VLOOKUP(C201, Percentage_dist_journeys_by_purpose_and_distance_4_to_6km[#All],MATCH(A201, Percentage_dist_journeys_by_purpose_and_distance_4_to_6km[#Headers],0),0)/100</f>
        <v>0</v>
      </c>
      <c r="H201" s="4">
        <f>IF(B201="6-8 kilometres",1,0)*VLOOKUP(C201, Percentage_dist_journeys_by_purpose_and_distance_6_to_8km[#All],MATCH(A201, Percentage_dist_journeys_by_purpose_and_distance_6_to_8km[#Headers],0),0)/100</f>
        <v>0.33299999999999996</v>
      </c>
      <c r="I201" s="72">
        <f>IF(B201="8+ kilometres",1,0)*VLOOKUP(C201, Percentage_dist_journeys_by_purpose_and_distance_8km[#All],MATCH(A201, Percentage_dist_journeys_by_purpose_and_distance_8km[#Headers],0),0)/100</f>
        <v>0</v>
      </c>
      <c r="J201" s="73">
        <f>VLOOKUP(B201,Average_Distance_by_kilometres_grouping_for_trip_purpose[#All],MATCH(A201,Average_Distance_by_kilometres_grouping_for_trip_purpose[#Headers],0),0)</f>
        <v>7</v>
      </c>
      <c r="K201" s="77">
        <f>VLOOKUP(C201, Adjustment_factor_for_distance_based_on_trip_purpose[#All],MATCH(A201, Adjustment_factor_for_distance_based_on_trip_purpose[#Headers],0),0)</f>
        <v>1</v>
      </c>
      <c r="L201" s="78" t="e">
        <f>VLOOKUP($L$2, Total_Journeys_Per_Year[#All],MATCH(A201, Total_Journeys_Per_Year[#Headers],0),0)</f>
        <v>#N/A</v>
      </c>
      <c r="M201" s="35" t="e">
        <f t="shared" si="2"/>
        <v>#N/A</v>
      </c>
      <c r="N201" s="35" t="e">
        <f>VLOOKUP($N$2, Private_Vehicle_Kilometres_Car_Stock[#All],MATCH(A201, Private_Vehicle_Kilometres_Car_Stock[#Headers],0),0)</f>
        <v>#N/A</v>
      </c>
    </row>
    <row r="202" spans="1:14" x14ac:dyDescent="0.25">
      <c r="A202" s="79" t="s">
        <v>36</v>
      </c>
      <c r="B202" s="13" t="s">
        <v>1</v>
      </c>
      <c r="C202" s="13" t="s">
        <v>42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Percentage_dist_journeys_by_purpose_and_distance_to_2km[#All],MATCH(A202, Percentage_dist_journeys_by_purpose_and_distance_to_2km[#Headers],0),0)/100</f>
        <v>0</v>
      </c>
      <c r="F202" s="4">
        <f>IF(B202="2-4 kilometres",1,0)*VLOOKUP(C202, Percentage_dist_journeys_by_purpose_and_distance_2_to_4km[#All],MATCH(A202, Percentage_dist_journeys_by_purpose_and_distance_2_to_4km[#Headers],0),0)/100</f>
        <v>0</v>
      </c>
      <c r="G202" s="72">
        <f>IF(B202="4-6 kilometres",1,0)*VLOOKUP(C202, Percentage_dist_journeys_by_purpose_and_distance_4_to_6km[#All],MATCH(A202, Percentage_dist_journeys_by_purpose_and_distance_4_to_6km[#Headers],0),0)/100</f>
        <v>0</v>
      </c>
      <c r="H202" s="4">
        <f>IF(B202="6-8 kilometres",1,0)*VLOOKUP(C202, Percentage_dist_journeys_by_purpose_and_distance_6_to_8km[#All],MATCH(A202, Percentage_dist_journeys_by_purpose_and_distance_6_to_8km[#Headers],0),0)/100</f>
        <v>0</v>
      </c>
      <c r="I202" s="72">
        <f>IF(B202="8+ kilometres",1,0)*VLOOKUP(C202, Percentage_dist_journeys_by_purpose_and_distance_8km[#All],MATCH(A202, Percentage_dist_journeys_by_purpose_and_distance_8km[#Headers],0),0)/100</f>
        <v>0.38100000000000001</v>
      </c>
      <c r="J202" s="73">
        <f>VLOOKUP(B202,Average_Distance_by_kilometres_grouping_for_trip_purpose[#All],MATCH(A202,Average_Distance_by_kilometres_grouping_for_trip_purpose[#Headers],0),0)</f>
        <v>43.24</v>
      </c>
      <c r="K202" s="77">
        <f>VLOOKUP(C202, Adjustment_factor_for_distance_based_on_trip_purpose[#All],MATCH(A202, Adjustment_factor_for_distance_based_on_trip_purpose[#Headers],0),0)</f>
        <v>1</v>
      </c>
      <c r="L202" s="78" t="e">
        <f>VLOOKUP($L$2, Total_Journeys_Per_Year[#All],MATCH(A202, Total_Journeys_Per_Year[#Headers],0),0)</f>
        <v>#N/A</v>
      </c>
      <c r="M202" s="35" t="e">
        <f t="shared" si="2"/>
        <v>#N/A</v>
      </c>
      <c r="N202" s="35" t="e">
        <f>VLOOKUP($N$2, Private_Vehicle_Kilometres_Car_Stock[#All],MATCH(A202, Private_Vehicle_Kilometres_Car_Stock[#Headers],0),0)</f>
        <v>#N/A</v>
      </c>
    </row>
    <row r="203" spans="1:14" x14ac:dyDescent="0.25">
      <c r="A203" s="79" t="s">
        <v>36</v>
      </c>
      <c r="B203" s="13" t="s">
        <v>12</v>
      </c>
      <c r="C203" s="13" t="s">
        <v>43</v>
      </c>
      <c r="D203" s="5">
        <f>VLOOKUP(B203,Percentage_distribution_of_journey_distance_for_all_regions[#All],MATCH(A203,Percentage_distribution_of_journey_distance_for_all_regions[#Headers],0),0)/100</f>
        <v>0.255</v>
      </c>
      <c r="E203" s="71">
        <f>IF(B203="&lt;2 kilometres",1,0)*VLOOKUP(C203, Percentage_dist_journeys_by_purpose_and_distance_to_2km[#All],MATCH(A203, Percentage_dist_journeys_by_purpose_and_distance_to_2km[#Headers],0),0)/100</f>
        <v>6.4000000000000001E-2</v>
      </c>
      <c r="F203" s="4">
        <f>IF(B203="2-4 kilometres",1,0)*VLOOKUP(C203, Percentage_dist_journeys_by_purpose_and_distance_2_to_4km[#All],MATCH(A203, Percentage_dist_journeys_by_purpose_and_distance_2_to_4km[#Headers],0),0)/100</f>
        <v>0</v>
      </c>
      <c r="G203" s="72">
        <f>IF(B203="4-6 kilometres",1,0)*VLOOKUP(C203, Percentage_dist_journeys_by_purpose_and_distance_4_to_6km[#All],MATCH(A203, Percentage_dist_journeys_by_purpose_and_distance_4_to_6km[#Headers],0),0)/100</f>
        <v>0</v>
      </c>
      <c r="H203" s="4">
        <f>IF(B203="6-8 kilometres",1,0)*VLOOKUP(C203, Percentage_dist_journeys_by_purpose_and_distance_6_to_8km[#All],MATCH(A203, Percentage_dist_journeys_by_purpose_and_distance_6_to_8km[#Headers],0),0)/100</f>
        <v>0</v>
      </c>
      <c r="I203" s="72">
        <f>IF(B203="8+ kilometres",1,0)*VLOOKUP(C203, Percentage_dist_journeys_by_purpose_and_distance_8km[#All],MATCH(A203, Percentage_dist_journeys_by_purpose_and_distance_8km[#Headers],0),0)/100</f>
        <v>0</v>
      </c>
      <c r="J203" s="73">
        <f>VLOOKUP(B203,Average_Distance_by_kilometres_grouping_for_trip_purpose[#All],MATCH(A203,Average_Distance_by_kilometres_grouping_for_trip_purpose[#Headers],0),0)</f>
        <v>1</v>
      </c>
      <c r="K203" s="77">
        <f>VLOOKUP(C203, Adjustment_factor_for_distance_based_on_trip_purpose[#All],MATCH(A203, Adjustment_factor_for_distance_based_on_trip_purpose[#Headers],0),0)</f>
        <v>0.88888888888888884</v>
      </c>
      <c r="L203" s="78" t="e">
        <f>VLOOKUP($L$2, Total_Journeys_Per_Year[#All],MATCH(A203, Total_Journeys_Per_Year[#Headers],0),0)</f>
        <v>#N/A</v>
      </c>
      <c r="M203" s="35" t="e">
        <f t="shared" si="2"/>
        <v>#N/A</v>
      </c>
      <c r="N203" s="35" t="e">
        <f>VLOOKUP($N$2, Private_Vehicle_Kilometres_Car_Stock[#All],MATCH(A203, Private_Vehicle_Kilometres_Car_Stock[#Headers],0),0)</f>
        <v>#N/A</v>
      </c>
    </row>
    <row r="204" spans="1:14" x14ac:dyDescent="0.25">
      <c r="A204" s="79" t="s">
        <v>36</v>
      </c>
      <c r="B204" s="13" t="s">
        <v>181</v>
      </c>
      <c r="C204" s="13" t="s">
        <v>43</v>
      </c>
      <c r="D204" s="5">
        <f>VLOOKUP(B204,Percentage_distribution_of_journey_distance_for_all_regions[#All],MATCH(A204,Percentage_distribution_of_journey_distance_for_all_regions[#Headers],0),0)/100</f>
        <v>0.13400000000000001</v>
      </c>
      <c r="E204" s="71">
        <f>IF(B204="&lt;2 kilometres",1,0)*VLOOKUP(C204, Percentage_dist_journeys_by_purpose_and_distance_to_2km[#All],MATCH(A204, Percentage_dist_journeys_by_purpose_and_distance_to_2km[#Headers],0),0)/100</f>
        <v>0</v>
      </c>
      <c r="F204" s="4">
        <f>IF(B204="2-4 kilometres",1,0)*VLOOKUP(C204, Percentage_dist_journeys_by_purpose_and_distance_2_to_4km[#All],MATCH(A204, Percentage_dist_journeys_by_purpose_and_distance_2_to_4km[#Headers],0),0)/100</f>
        <v>0.04</v>
      </c>
      <c r="G204" s="72">
        <f>IF(B204="4-6 kilometres",1,0)*VLOOKUP(C204, Percentage_dist_journeys_by_purpose_and_distance_4_to_6km[#All],MATCH(A204, Percentage_dist_journeys_by_purpose_and_distance_4_to_6km[#Headers],0),0)/100</f>
        <v>0</v>
      </c>
      <c r="H204" s="4">
        <f>IF(B204="6-8 kilometres",1,0)*VLOOKUP(C204, Percentage_dist_journeys_by_purpose_and_distance_6_to_8km[#All],MATCH(A204, Percentage_dist_journeys_by_purpose_and_distance_6_to_8km[#Headers],0),0)/100</f>
        <v>0</v>
      </c>
      <c r="I204" s="72">
        <f>IF(B204="8+ kilometres",1,0)*VLOOKUP(C204, Percentage_dist_journeys_by_purpose_and_distance_8km[#All],MATCH(A204, Percentage_dist_journeys_by_purpose_and_distance_8km[#Headers],0),0)/100</f>
        <v>0</v>
      </c>
      <c r="J204" s="73">
        <f>VLOOKUP(B204,Average_Distance_by_kilometres_grouping_for_trip_purpose[#All],MATCH(A204,Average_Distance_by_kilometres_grouping_for_trip_purpose[#Headers],0),0)</f>
        <v>3</v>
      </c>
      <c r="K204" s="77">
        <f>VLOOKUP(C204, Adjustment_factor_for_distance_based_on_trip_purpose[#All],MATCH(A204, Adjustment_factor_for_distance_based_on_trip_purpose[#Headers],0),0)</f>
        <v>0.88888888888888884</v>
      </c>
      <c r="L204" s="78" t="e">
        <f>VLOOKUP($L$2, Total_Journeys_Per_Year[#All],MATCH(A204, Total_Journeys_Per_Year[#Headers],0),0)</f>
        <v>#N/A</v>
      </c>
      <c r="M204" s="35" t="e">
        <f t="shared" si="2"/>
        <v>#N/A</v>
      </c>
      <c r="N204" s="35" t="e">
        <f>VLOOKUP($N$2, Private_Vehicle_Kilometres_Car_Stock[#All],MATCH(A204, Private_Vehicle_Kilometres_Car_Stock[#Headers],0),0)</f>
        <v>#N/A</v>
      </c>
    </row>
    <row r="205" spans="1:14" x14ac:dyDescent="0.25">
      <c r="A205" s="79" t="s">
        <v>36</v>
      </c>
      <c r="B205" s="13" t="s">
        <v>180</v>
      </c>
      <c r="C205" s="13" t="s">
        <v>43</v>
      </c>
      <c r="D205" s="5">
        <f>VLOOKUP(B205,Percentage_distribution_of_journey_distance_for_all_regions[#All],MATCH(A205,Percentage_distribution_of_journey_distance_for_all_regions[#Headers],0),0)/100</f>
        <v>0.11900000000000001</v>
      </c>
      <c r="E205" s="71">
        <f>IF(B205="&lt;2 kilometres",1,0)*VLOOKUP(C205, Percentage_dist_journeys_by_purpose_and_distance_to_2km[#All],MATCH(A205, Percentage_dist_journeys_by_purpose_and_distance_to_2km[#Headers],0),0)/100</f>
        <v>0</v>
      </c>
      <c r="F205" s="4">
        <f>IF(B205="2-4 kilometres",1,0)*VLOOKUP(C205, Percentage_dist_journeys_by_purpose_and_distance_2_to_4km[#All],MATCH(A205, Percentage_dist_journeys_by_purpose_and_distance_2_to_4km[#Headers],0),0)/100</f>
        <v>0</v>
      </c>
      <c r="G205" s="72">
        <f>IF(B205="4-6 kilometres",1,0)*VLOOKUP(C205, Percentage_dist_journeys_by_purpose_and_distance_4_to_6km[#All],MATCH(A205, Percentage_dist_journeys_by_purpose_and_distance_4_to_6km[#Headers],0),0)/100</f>
        <v>4.0999999999999995E-2</v>
      </c>
      <c r="H205" s="4">
        <f>IF(B205="6-8 kilometres",1,0)*VLOOKUP(C205, Percentage_dist_journeys_by_purpose_and_distance_6_to_8km[#All],MATCH(A205, Percentage_dist_journeys_by_purpose_and_distance_6_to_8km[#Headers],0),0)/100</f>
        <v>0</v>
      </c>
      <c r="I205" s="72">
        <f>IF(B205="8+ kilometres",1,0)*VLOOKUP(C205, Percentage_dist_journeys_by_purpose_and_distance_8km[#All],MATCH(A205, Percentage_dist_journeys_by_purpose_and_distance_8km[#Headers],0),0)/100</f>
        <v>0</v>
      </c>
      <c r="J205" s="73">
        <f>VLOOKUP(B205,Average_Distance_by_kilometres_grouping_for_trip_purpose[#All],MATCH(A205,Average_Distance_by_kilometres_grouping_for_trip_purpose[#Headers],0),0)</f>
        <v>5</v>
      </c>
      <c r="K205" s="77">
        <f>VLOOKUP(C205, Adjustment_factor_for_distance_based_on_trip_purpose[#All],MATCH(A205, Adjustment_factor_for_distance_based_on_trip_purpose[#Headers],0),0)</f>
        <v>0.88888888888888884</v>
      </c>
      <c r="L205" s="78" t="e">
        <f>VLOOKUP($L$2, Total_Journeys_Per_Year[#All],MATCH(A205, Total_Journeys_Per_Year[#Headers],0),0)</f>
        <v>#N/A</v>
      </c>
      <c r="M205" s="35" t="e">
        <f t="shared" si="2"/>
        <v>#N/A</v>
      </c>
      <c r="N205" s="35" t="e">
        <f>VLOOKUP($N$2, Private_Vehicle_Kilometres_Car_Stock[#All],MATCH(A205, Private_Vehicle_Kilometres_Car_Stock[#Headers],0),0)</f>
        <v>#N/A</v>
      </c>
    </row>
    <row r="206" spans="1:14" x14ac:dyDescent="0.25">
      <c r="A206" s="79" t="s">
        <v>36</v>
      </c>
      <c r="B206" s="13" t="s">
        <v>182</v>
      </c>
      <c r="C206" s="13" t="s">
        <v>43</v>
      </c>
      <c r="D206" s="5">
        <f>VLOOKUP(B206,Percentage_distribution_of_journey_distance_for_all_regions[#All],MATCH(A206,Percentage_distribution_of_journey_distance_for_all_regions[#Headers],0),0)/100</f>
        <v>5.9000000000000004E-2</v>
      </c>
      <c r="E206" s="71">
        <f>IF(B206="&lt;2 kilometres",1,0)*VLOOKUP(C206, Percentage_dist_journeys_by_purpose_and_distance_to_2km[#All],MATCH(A206, Percentage_dist_journeys_by_purpose_and_distance_to_2km[#Headers],0),0)/100</f>
        <v>0</v>
      </c>
      <c r="F206" s="4">
        <f>IF(B206="2-4 kilometres",1,0)*VLOOKUP(C206, Percentage_dist_journeys_by_purpose_and_distance_2_to_4km[#All],MATCH(A206, Percentage_dist_journeys_by_purpose_and_distance_2_to_4km[#Headers],0),0)/100</f>
        <v>0</v>
      </c>
      <c r="G206" s="72">
        <f>IF(B206="4-6 kilometres",1,0)*VLOOKUP(C206, Percentage_dist_journeys_by_purpose_and_distance_4_to_6km[#All],MATCH(A206, Percentage_dist_journeys_by_purpose_and_distance_4_to_6km[#Headers],0),0)/100</f>
        <v>0</v>
      </c>
      <c r="H206" s="4">
        <f>IF(B206="6-8 kilometres",1,0)*VLOOKUP(C206, Percentage_dist_journeys_by_purpose_and_distance_6_to_8km[#All],MATCH(A206, Percentage_dist_journeys_by_purpose_and_distance_6_to_8km[#Headers],0),0)/100</f>
        <v>3.2000000000000001E-2</v>
      </c>
      <c r="I206" s="72">
        <f>IF(B206="8+ kilometres",1,0)*VLOOKUP(C206, Percentage_dist_journeys_by_purpose_and_distance_8km[#All],MATCH(A206, Percentage_dist_journeys_by_purpose_and_distance_8km[#Headers],0),0)/100</f>
        <v>0</v>
      </c>
      <c r="J206" s="73">
        <f>VLOOKUP(B206,Average_Distance_by_kilometres_grouping_for_trip_purpose[#All],MATCH(A206,Average_Distance_by_kilometres_grouping_for_trip_purpose[#Headers],0),0)</f>
        <v>7</v>
      </c>
      <c r="K206" s="77">
        <f>VLOOKUP(C206, Adjustment_factor_for_distance_based_on_trip_purpose[#All],MATCH(A206, Adjustment_factor_for_distance_based_on_trip_purpose[#Headers],0),0)</f>
        <v>0.88888888888888884</v>
      </c>
      <c r="L206" s="78" t="e">
        <f>VLOOKUP($L$2, Total_Journeys_Per_Year[#All],MATCH(A206, Total_Journeys_Per_Year[#Headers],0),0)</f>
        <v>#N/A</v>
      </c>
      <c r="M206" s="35" t="e">
        <f t="shared" si="2"/>
        <v>#N/A</v>
      </c>
      <c r="N206" s="35" t="e">
        <f>VLOOKUP($N$2, Private_Vehicle_Kilometres_Car_Stock[#All],MATCH(A206, Private_Vehicle_Kilometres_Car_Stock[#Headers],0),0)</f>
        <v>#N/A</v>
      </c>
    </row>
    <row r="207" spans="1:14" x14ac:dyDescent="0.25">
      <c r="A207" s="79" t="s">
        <v>36</v>
      </c>
      <c r="B207" s="13" t="s">
        <v>1</v>
      </c>
      <c r="C207" s="13" t="s">
        <v>43</v>
      </c>
      <c r="D207" s="5">
        <f>VLOOKUP(B207,Percentage_distribution_of_journey_distance_for_all_regions[#All],MATCH(A207,Percentage_distribution_of_journey_distance_for_all_regions[#Headers],0),0)/100</f>
        <v>0.433</v>
      </c>
      <c r="E207" s="71">
        <f>IF(B207="&lt;2 kilometres",1,0)*VLOOKUP(C207, Percentage_dist_journeys_by_purpose_and_distance_to_2km[#All],MATCH(A207, Percentage_dist_journeys_by_purpose_and_distance_to_2km[#Headers],0),0)/100</f>
        <v>0</v>
      </c>
      <c r="F207" s="4">
        <f>IF(B207="2-4 kilometres",1,0)*VLOOKUP(C207, Percentage_dist_journeys_by_purpose_and_distance_2_to_4km[#All],MATCH(A207, Percentage_dist_journeys_by_purpose_and_distance_2_to_4km[#Headers],0),0)/100</f>
        <v>0</v>
      </c>
      <c r="G207" s="72">
        <f>IF(B207="4-6 kilometres",1,0)*VLOOKUP(C207, Percentage_dist_journeys_by_purpose_and_distance_4_to_6km[#All],MATCH(A207, Percentage_dist_journeys_by_purpose_and_distance_4_to_6km[#Headers],0),0)/100</f>
        <v>0</v>
      </c>
      <c r="H207" s="4">
        <f>IF(B207="6-8 kilometres",1,0)*VLOOKUP(C207, Percentage_dist_journeys_by_purpose_and_distance_6_to_8km[#All],MATCH(A207, Percentage_dist_journeys_by_purpose_and_distance_6_to_8km[#Headers],0),0)/100</f>
        <v>0</v>
      </c>
      <c r="I207" s="72">
        <f>IF(B207="8+ kilometres",1,0)*VLOOKUP(C207, Percentage_dist_journeys_by_purpose_and_distance_8km[#All],MATCH(A207, Percentage_dist_journeys_by_purpose_and_distance_8km[#Headers],0),0)/100</f>
        <v>2.5000000000000001E-2</v>
      </c>
      <c r="J207" s="73">
        <f>VLOOKUP(B207,Average_Distance_by_kilometres_grouping_for_trip_purpose[#All],MATCH(A207,Average_Distance_by_kilometres_grouping_for_trip_purpose[#Headers],0),0)</f>
        <v>43.24</v>
      </c>
      <c r="K207" s="77">
        <f>VLOOKUP(C207, Adjustment_factor_for_distance_based_on_trip_purpose[#All],MATCH(A207, Adjustment_factor_for_distance_based_on_trip_purpose[#Headers],0),0)</f>
        <v>0.88888888888888884</v>
      </c>
      <c r="L207" s="78" t="e">
        <f>VLOOKUP($L$2, Total_Journeys_Per_Year[#All],MATCH(A207, Total_Journeys_Per_Year[#Headers],0),0)</f>
        <v>#N/A</v>
      </c>
      <c r="M207" s="35" t="e">
        <f t="shared" si="2"/>
        <v>#N/A</v>
      </c>
      <c r="N207" s="35" t="e">
        <f>VLOOKUP($N$2, Private_Vehicle_Kilometres_Car_Stock[#All],MATCH(A207, Private_Vehicle_Kilometres_Car_Stock[#Headers],0),0)</f>
        <v>#N/A</v>
      </c>
    </row>
    <row r="208" spans="1:14" x14ac:dyDescent="0.25">
      <c r="A208" s="79" t="s">
        <v>36</v>
      </c>
      <c r="B208" s="13" t="s">
        <v>12</v>
      </c>
      <c r="C208" s="13" t="s">
        <v>44</v>
      </c>
      <c r="D208" s="5">
        <f>VLOOKUP(B208,Percentage_distribution_of_journey_distance_for_all_regions[#All],MATCH(A208,Percentage_distribution_of_journey_distance_for_all_regions[#Headers],0),0)/100</f>
        <v>0.255</v>
      </c>
      <c r="E208" s="71">
        <f>IF(B208="&lt;2 kilometres",1,0)*VLOOKUP(C208, Percentage_dist_journeys_by_purpose_and_distance_to_2km[#All],MATCH(A208, Percentage_dist_journeys_by_purpose_and_distance_to_2km[#Headers],0),0)/100</f>
        <v>0.29199999999999998</v>
      </c>
      <c r="F208" s="4">
        <f>IF(B208="2-4 kilometres",1,0)*VLOOKUP(C208, Percentage_dist_journeys_by_purpose_and_distance_2_to_4km[#All],MATCH(A208, Percentage_dist_journeys_by_purpose_and_distance_2_to_4km[#Headers],0),0)/100</f>
        <v>0</v>
      </c>
      <c r="G208" s="72">
        <f>IF(B208="4-6 kilometres",1,0)*VLOOKUP(C208, Percentage_dist_journeys_by_purpose_and_distance_4_to_6km[#All],MATCH(A208, Percentage_dist_journeys_by_purpose_and_distance_4_to_6km[#Headers],0),0)/100</f>
        <v>0</v>
      </c>
      <c r="H208" s="4">
        <f>IF(B208="6-8 kilometres",1,0)*VLOOKUP(C208, Percentage_dist_journeys_by_purpose_and_distance_6_to_8km[#All],MATCH(A208, Percentage_dist_journeys_by_purpose_and_distance_6_to_8km[#Headers],0),0)/100</f>
        <v>0</v>
      </c>
      <c r="I208" s="72">
        <f>IF(B208="8+ kilometres",1,0)*VLOOKUP(C208, Percentage_dist_journeys_by_purpose_and_distance_8km[#All],MATCH(A208, Percentage_dist_journeys_by_purpose_and_distance_8km[#Headers],0),0)/100</f>
        <v>0</v>
      </c>
      <c r="J208" s="73">
        <f>VLOOKUP(B208,Average_Distance_by_kilometres_grouping_for_trip_purpose[#All],MATCH(A208,Average_Distance_by_kilometres_grouping_for_trip_purpose[#Headers],0),0)</f>
        <v>1</v>
      </c>
      <c r="K208" s="77">
        <f>VLOOKUP(C208, Adjustment_factor_for_distance_based_on_trip_purpose[#All],MATCH(A208, Adjustment_factor_for_distance_based_on_trip_purpose[#Headers],0),0)</f>
        <v>0.44444444444444442</v>
      </c>
      <c r="L208" s="78" t="e">
        <f>VLOOKUP($L$2, Total_Journeys_Per_Year[#All],MATCH(A208, Total_Journeys_Per_Year[#Headers],0),0)</f>
        <v>#N/A</v>
      </c>
      <c r="M208" s="35" t="e">
        <f t="shared" si="2"/>
        <v>#N/A</v>
      </c>
      <c r="N208" s="35" t="e">
        <f>VLOOKUP($N$2, Private_Vehicle_Kilometres_Car_Stock[#All],MATCH(A208, Private_Vehicle_Kilometres_Car_Stock[#Headers],0),0)</f>
        <v>#N/A</v>
      </c>
    </row>
    <row r="209" spans="1:14" x14ac:dyDescent="0.25">
      <c r="A209" s="79" t="s">
        <v>36</v>
      </c>
      <c r="B209" s="13" t="s">
        <v>181</v>
      </c>
      <c r="C209" s="13" t="s">
        <v>44</v>
      </c>
      <c r="D209" s="5">
        <f>VLOOKUP(B209,Percentage_distribution_of_journey_distance_for_all_regions[#All],MATCH(A209,Percentage_distribution_of_journey_distance_for_all_regions[#Headers],0),0)/100</f>
        <v>0.13400000000000001</v>
      </c>
      <c r="E209" s="71">
        <f>IF(B209="&lt;2 kilometres",1,0)*VLOOKUP(C209, Percentage_dist_journeys_by_purpose_and_distance_to_2km[#All],MATCH(A209, Percentage_dist_journeys_by_purpose_and_distance_to_2km[#Headers],0),0)/100</f>
        <v>0</v>
      </c>
      <c r="F209" s="4">
        <f>IF(B209="2-4 kilometres",1,0)*VLOOKUP(C209, Percentage_dist_journeys_by_purpose_and_distance_2_to_4km[#All],MATCH(A209, Percentage_dist_journeys_by_purpose_and_distance_2_to_4km[#Headers],0),0)/100</f>
        <v>0.22800000000000001</v>
      </c>
      <c r="G209" s="72">
        <f>IF(B209="4-6 kilometres",1,0)*VLOOKUP(C209, Percentage_dist_journeys_by_purpose_and_distance_4_to_6km[#All],MATCH(A209, Percentage_dist_journeys_by_purpose_and_distance_4_to_6km[#Headers],0),0)/100</f>
        <v>0</v>
      </c>
      <c r="H209" s="4">
        <f>IF(B209="6-8 kilometres",1,0)*VLOOKUP(C209, Percentage_dist_journeys_by_purpose_and_distance_6_to_8km[#All],MATCH(A209, Percentage_dist_journeys_by_purpose_and_distance_6_to_8km[#Headers],0),0)/100</f>
        <v>0</v>
      </c>
      <c r="I209" s="72">
        <f>IF(B209="8+ kilometres",1,0)*VLOOKUP(C209, Percentage_dist_journeys_by_purpose_and_distance_8km[#All],MATCH(A209, Percentage_dist_journeys_by_purpose_and_distance_8km[#Headers],0),0)/100</f>
        <v>0</v>
      </c>
      <c r="J209" s="73">
        <f>VLOOKUP(B209,Average_Distance_by_kilometres_grouping_for_trip_purpose[#All],MATCH(A209,Average_Distance_by_kilometres_grouping_for_trip_purpose[#Headers],0),0)</f>
        <v>3</v>
      </c>
      <c r="K209" s="77">
        <f>VLOOKUP(C209, Adjustment_factor_for_distance_based_on_trip_purpose[#All],MATCH(A209, Adjustment_factor_for_distance_based_on_trip_purpose[#Headers],0),0)</f>
        <v>0.44444444444444442</v>
      </c>
      <c r="L209" s="78" t="e">
        <f>VLOOKUP($L$2, Total_Journeys_Per_Year[#All],MATCH(A209, Total_Journeys_Per_Year[#Headers],0),0)</f>
        <v>#N/A</v>
      </c>
      <c r="M209" s="35" t="e">
        <f t="shared" si="2"/>
        <v>#N/A</v>
      </c>
      <c r="N209" s="35" t="e">
        <f>VLOOKUP($N$2, Private_Vehicle_Kilometres_Car_Stock[#All],MATCH(A209, Private_Vehicle_Kilometres_Car_Stock[#Headers],0),0)</f>
        <v>#N/A</v>
      </c>
    </row>
    <row r="210" spans="1:14" x14ac:dyDescent="0.25">
      <c r="A210" s="79" t="s">
        <v>36</v>
      </c>
      <c r="B210" s="13" t="s">
        <v>180</v>
      </c>
      <c r="C210" s="13" t="s">
        <v>44</v>
      </c>
      <c r="D210" s="5">
        <f>VLOOKUP(B210,Percentage_distribution_of_journey_distance_for_all_regions[#All],MATCH(A210,Percentage_distribution_of_journey_distance_for_all_regions[#Headers],0),0)/100</f>
        <v>0.11900000000000001</v>
      </c>
      <c r="E210" s="71">
        <f>IF(B210="&lt;2 kilometres",1,0)*VLOOKUP(C210, Percentage_dist_journeys_by_purpose_and_distance_to_2km[#All],MATCH(A210, Percentage_dist_journeys_by_purpose_and_distance_to_2km[#Headers],0),0)/100</f>
        <v>0</v>
      </c>
      <c r="F210" s="4">
        <f>IF(B210="2-4 kilometres",1,0)*VLOOKUP(C210, Percentage_dist_journeys_by_purpose_and_distance_2_to_4km[#All],MATCH(A210, Percentage_dist_journeys_by_purpose_and_distance_2_to_4km[#Headers],0),0)/100</f>
        <v>0</v>
      </c>
      <c r="G210" s="72">
        <f>IF(B210="4-6 kilometres",1,0)*VLOOKUP(C210, Percentage_dist_journeys_by_purpose_and_distance_4_to_6km[#All],MATCH(A210, Percentage_dist_journeys_by_purpose_and_distance_4_to_6km[#Headers],0),0)/100</f>
        <v>0.217</v>
      </c>
      <c r="H210" s="4">
        <f>IF(B210="6-8 kilometres",1,0)*VLOOKUP(C210, Percentage_dist_journeys_by_purpose_and_distance_6_to_8km[#All],MATCH(A210, Percentage_dist_journeys_by_purpose_and_distance_6_to_8km[#Headers],0),0)/100</f>
        <v>0</v>
      </c>
      <c r="I210" s="72">
        <f>IF(B210="8+ kilometres",1,0)*VLOOKUP(C210, Percentage_dist_journeys_by_purpose_and_distance_8km[#All],MATCH(A210, Percentage_dist_journeys_by_purpose_and_distance_8km[#Headers],0),0)/100</f>
        <v>0</v>
      </c>
      <c r="J210" s="73">
        <f>VLOOKUP(B210,Average_Distance_by_kilometres_grouping_for_trip_purpose[#All],MATCH(A210,Average_Distance_by_kilometres_grouping_for_trip_purpose[#Headers],0),0)</f>
        <v>5</v>
      </c>
      <c r="K210" s="77">
        <f>VLOOKUP(C210, Adjustment_factor_for_distance_based_on_trip_purpose[#All],MATCH(A210, Adjustment_factor_for_distance_based_on_trip_purpose[#Headers],0),0)</f>
        <v>0.44444444444444442</v>
      </c>
      <c r="L210" s="78" t="e">
        <f>VLOOKUP($L$2, Total_Journeys_Per_Year[#All],MATCH(A210, Total_Journeys_Per_Year[#Headers],0),0)</f>
        <v>#N/A</v>
      </c>
      <c r="M210" s="35" t="e">
        <f t="shared" si="2"/>
        <v>#N/A</v>
      </c>
      <c r="N210" s="35" t="e">
        <f>VLOOKUP($N$2, Private_Vehicle_Kilometres_Car_Stock[#All],MATCH(A210, Private_Vehicle_Kilometres_Car_Stock[#Headers],0),0)</f>
        <v>#N/A</v>
      </c>
    </row>
    <row r="211" spans="1:14" x14ac:dyDescent="0.25">
      <c r="A211" s="79" t="s">
        <v>36</v>
      </c>
      <c r="B211" s="13" t="s">
        <v>182</v>
      </c>
      <c r="C211" s="13" t="s">
        <v>44</v>
      </c>
      <c r="D211" s="5">
        <f>VLOOKUP(B211,Percentage_distribution_of_journey_distance_for_all_regions[#All],MATCH(A211,Percentage_distribution_of_journey_distance_for_all_regions[#Headers],0),0)/100</f>
        <v>5.9000000000000004E-2</v>
      </c>
      <c r="E211" s="71">
        <f>IF(B211="&lt;2 kilometres",1,0)*VLOOKUP(C211, Percentage_dist_journeys_by_purpose_and_distance_to_2km[#All],MATCH(A211, Percentage_dist_journeys_by_purpose_and_distance_to_2km[#Headers],0),0)/100</f>
        <v>0</v>
      </c>
      <c r="F211" s="4">
        <f>IF(B211="2-4 kilometres",1,0)*VLOOKUP(C211, Percentage_dist_journeys_by_purpose_and_distance_2_to_4km[#All],MATCH(A211, Percentage_dist_journeys_by_purpose_and_distance_2_to_4km[#Headers],0),0)/100</f>
        <v>0</v>
      </c>
      <c r="G211" s="72">
        <f>IF(B211="4-6 kilometres",1,0)*VLOOKUP(C211, Percentage_dist_journeys_by_purpose_and_distance_4_to_6km[#All],MATCH(A211, Percentage_dist_journeys_by_purpose_and_distance_4_to_6km[#Headers],0),0)/100</f>
        <v>0</v>
      </c>
      <c r="H211" s="4">
        <f>IF(B211="6-8 kilometres",1,0)*VLOOKUP(C211, Percentage_dist_journeys_by_purpose_and_distance_6_to_8km[#All],MATCH(A211, Percentage_dist_journeys_by_purpose_and_distance_6_to_8km[#Headers],0),0)/100</f>
        <v>0.19899999999999998</v>
      </c>
      <c r="I211" s="72">
        <f>IF(B211="8+ kilometres",1,0)*VLOOKUP(C211, Percentage_dist_journeys_by_purpose_and_distance_8km[#All],MATCH(A211, Percentage_dist_journeys_by_purpose_and_distance_8km[#Headers],0),0)/100</f>
        <v>0</v>
      </c>
      <c r="J211" s="73">
        <f>VLOOKUP(B211,Average_Distance_by_kilometres_grouping_for_trip_purpose[#All],MATCH(A211,Average_Distance_by_kilometres_grouping_for_trip_purpose[#Headers],0),0)</f>
        <v>7</v>
      </c>
      <c r="K211" s="77">
        <f>VLOOKUP(C211, Adjustment_factor_for_distance_based_on_trip_purpose[#All],MATCH(A211, Adjustment_factor_for_distance_based_on_trip_purpose[#Headers],0),0)</f>
        <v>0.44444444444444442</v>
      </c>
      <c r="L211" s="78" t="e">
        <f>VLOOKUP($L$2, Total_Journeys_Per_Year[#All],MATCH(A211, Total_Journeys_Per_Year[#Headers],0),0)</f>
        <v>#N/A</v>
      </c>
      <c r="M211" s="35" t="e">
        <f t="shared" ref="M211:M274" si="3">D211*(SUM(E211:I211))*J211*L211</f>
        <v>#N/A</v>
      </c>
      <c r="N211" s="35" t="e">
        <f>VLOOKUP($N$2, Private_Vehicle_Kilometres_Car_Stock[#All],MATCH(A211, Private_Vehicle_Kilometres_Car_Stock[#Headers],0),0)</f>
        <v>#N/A</v>
      </c>
    </row>
    <row r="212" spans="1:14" x14ac:dyDescent="0.25">
      <c r="A212" s="79" t="s">
        <v>36</v>
      </c>
      <c r="B212" s="13" t="s">
        <v>1</v>
      </c>
      <c r="C212" s="13" t="s">
        <v>44</v>
      </c>
      <c r="D212" s="5">
        <f>VLOOKUP(B212,Percentage_distribution_of_journey_distance_for_all_regions[#All],MATCH(A212,Percentage_distribution_of_journey_distance_for_all_regions[#Headers],0),0)/100</f>
        <v>0.433</v>
      </c>
      <c r="E212" s="71">
        <f>IF(B212="&lt;2 kilometres",1,0)*VLOOKUP(C212, Percentage_dist_journeys_by_purpose_and_distance_to_2km[#All],MATCH(A212, Percentage_dist_journeys_by_purpose_and_distance_to_2km[#Headers],0),0)/100</f>
        <v>0</v>
      </c>
      <c r="F212" s="4">
        <f>IF(B212="2-4 kilometres",1,0)*VLOOKUP(C212, Percentage_dist_journeys_by_purpose_and_distance_2_to_4km[#All],MATCH(A212, Percentage_dist_journeys_by_purpose_and_distance_2_to_4km[#Headers],0),0)/100</f>
        <v>0</v>
      </c>
      <c r="G212" s="72">
        <f>IF(B212="4-6 kilometres",1,0)*VLOOKUP(C212, Percentage_dist_journeys_by_purpose_and_distance_4_to_6km[#All],MATCH(A212, Percentage_dist_journeys_by_purpose_and_distance_4_to_6km[#Headers],0),0)/100</f>
        <v>0</v>
      </c>
      <c r="H212" s="4">
        <f>IF(B212="6-8 kilometres",1,0)*VLOOKUP(C212, Percentage_dist_journeys_by_purpose_and_distance_6_to_8km[#All],MATCH(A212, Percentage_dist_journeys_by_purpose_and_distance_6_to_8km[#Headers],0),0)/100</f>
        <v>0</v>
      </c>
      <c r="I212" s="72">
        <f>IF(B212="8+ kilometres",1,0)*VLOOKUP(C212, Percentage_dist_journeys_by_purpose_and_distance_8km[#All],MATCH(A212, Percentage_dist_journeys_by_purpose_and_distance_8km[#Headers],0),0)/100</f>
        <v>0.17600000000000002</v>
      </c>
      <c r="J212" s="73">
        <f>VLOOKUP(B212,Average_Distance_by_kilometres_grouping_for_trip_purpose[#All],MATCH(A212,Average_Distance_by_kilometres_grouping_for_trip_purpose[#Headers],0),0)</f>
        <v>43.24</v>
      </c>
      <c r="K212" s="77">
        <f>VLOOKUP(C212, Adjustment_factor_for_distance_based_on_trip_purpose[#All],MATCH(A212, Adjustment_factor_for_distance_based_on_trip_purpose[#Headers],0),0)</f>
        <v>0.44444444444444442</v>
      </c>
      <c r="L212" s="78" t="e">
        <f>VLOOKUP($L$2, Total_Journeys_Per_Year[#All],MATCH(A212, Total_Journeys_Per_Year[#Headers],0),0)</f>
        <v>#N/A</v>
      </c>
      <c r="M212" s="35" t="e">
        <f t="shared" si="3"/>
        <v>#N/A</v>
      </c>
      <c r="N212" s="35" t="e">
        <f>VLOOKUP($N$2, Private_Vehicle_Kilometres_Car_Stock[#All],MATCH(A212, Private_Vehicle_Kilometres_Car_Stock[#Headers],0),0)</f>
        <v>#N/A</v>
      </c>
    </row>
    <row r="213" spans="1:14" x14ac:dyDescent="0.25">
      <c r="A213" s="79" t="s">
        <v>36</v>
      </c>
      <c r="B213" s="13" t="s">
        <v>12</v>
      </c>
      <c r="C213" s="13" t="s">
        <v>45</v>
      </c>
      <c r="D213" s="5">
        <f>VLOOKUP(B213,Percentage_distribution_of_journey_distance_for_all_regions[#All],MATCH(A213,Percentage_distribution_of_journey_distance_for_all_regions[#Headers],0),0)/100</f>
        <v>0.255</v>
      </c>
      <c r="E213" s="71">
        <f>IF(B213="&lt;2 kilometres",1,0)*VLOOKUP(C213, Percentage_dist_journeys_by_purpose_and_distance_to_2km[#All],MATCH(A213, Percentage_dist_journeys_by_purpose_and_distance_to_2km[#Headers],0),0)/100</f>
        <v>3.9E-2</v>
      </c>
      <c r="F213" s="4">
        <f>IF(B213="2-4 kilometres",1,0)*VLOOKUP(C213, Percentage_dist_journeys_by_purpose_and_distance_2_to_4km[#All],MATCH(A213, Percentage_dist_journeys_by_purpose_and_distance_2_to_4km[#Headers],0),0)/100</f>
        <v>0</v>
      </c>
      <c r="G213" s="72">
        <f>IF(B213="4-6 kilometres",1,0)*VLOOKUP(C213, Percentage_dist_journeys_by_purpose_and_distance_4_to_6km[#All],MATCH(A213, Percentage_dist_journeys_by_purpose_and_distance_4_to_6km[#Headers],0),0)/100</f>
        <v>0</v>
      </c>
      <c r="H213" s="4">
        <f>IF(B213="6-8 kilometres",1,0)*VLOOKUP(C213, Percentage_dist_journeys_by_purpose_and_distance_6_to_8km[#All],MATCH(A213, Percentage_dist_journeys_by_purpose_and_distance_6_to_8km[#Headers],0),0)/100</f>
        <v>0</v>
      </c>
      <c r="I213" s="72">
        <f>IF(B213="8+ kilometres",1,0)*VLOOKUP(C213, Percentage_dist_journeys_by_purpose_and_distance_8km[#All],MATCH(A213, Percentage_dist_journeys_by_purpose_and_distance_8km[#Headers],0),0)/100</f>
        <v>0</v>
      </c>
      <c r="J213" s="73">
        <f>VLOOKUP(B213,Average_Distance_by_kilometres_grouping_for_trip_purpose[#All],MATCH(A213,Average_Distance_by_kilometres_grouping_for_trip_purpose[#Headers],0),0)</f>
        <v>1</v>
      </c>
      <c r="K213" s="77">
        <f>VLOOKUP(C213, Adjustment_factor_for_distance_based_on_trip_purpose[#All],MATCH(A213, Adjustment_factor_for_distance_based_on_trip_purpose[#Headers],0),0)</f>
        <v>0.44444444444444442</v>
      </c>
      <c r="L213" s="78" t="e">
        <f>VLOOKUP($L$2, Total_Journeys_Per_Year[#All],MATCH(A213, Total_Journeys_Per_Year[#Headers],0),0)</f>
        <v>#N/A</v>
      </c>
      <c r="M213" s="35" t="e">
        <f t="shared" si="3"/>
        <v>#N/A</v>
      </c>
      <c r="N213" s="35" t="e">
        <f>VLOOKUP($N$2, Private_Vehicle_Kilometres_Car_Stock[#All],MATCH(A213, Private_Vehicle_Kilometres_Car_Stock[#Headers],0),0)</f>
        <v>#N/A</v>
      </c>
    </row>
    <row r="214" spans="1:14" x14ac:dyDescent="0.25">
      <c r="A214" s="79" t="s">
        <v>36</v>
      </c>
      <c r="B214" s="13" t="s">
        <v>181</v>
      </c>
      <c r="C214" s="13" t="s">
        <v>45</v>
      </c>
      <c r="D214" s="5">
        <f>VLOOKUP(B214,Percentage_distribution_of_journey_distance_for_all_regions[#All],MATCH(A214,Percentage_distribution_of_journey_distance_for_all_regions[#Headers],0),0)/100</f>
        <v>0.13400000000000001</v>
      </c>
      <c r="E214" s="71">
        <f>IF(B214="&lt;2 kilometres",1,0)*VLOOKUP(C214, Percentage_dist_journeys_by_purpose_and_distance_to_2km[#All],MATCH(A214, Percentage_dist_journeys_by_purpose_and_distance_to_2km[#Headers],0),0)/100</f>
        <v>0</v>
      </c>
      <c r="F214" s="4">
        <f>IF(B214="2-4 kilometres",1,0)*VLOOKUP(C214, Percentage_dist_journeys_by_purpose_and_distance_2_to_4km[#All],MATCH(A214, Percentage_dist_journeys_by_purpose_and_distance_2_to_4km[#Headers],0),0)/100</f>
        <v>2.3E-2</v>
      </c>
      <c r="G214" s="72">
        <f>IF(B214="4-6 kilometres",1,0)*VLOOKUP(C214, Percentage_dist_journeys_by_purpose_and_distance_4_to_6km[#All],MATCH(A214, Percentage_dist_journeys_by_purpose_and_distance_4_to_6km[#Headers],0),0)/100</f>
        <v>0</v>
      </c>
      <c r="H214" s="4">
        <f>IF(B214="6-8 kilometres",1,0)*VLOOKUP(C214, Percentage_dist_journeys_by_purpose_and_distance_6_to_8km[#All],MATCH(A214, Percentage_dist_journeys_by_purpose_and_distance_6_to_8km[#Headers],0),0)/100</f>
        <v>0</v>
      </c>
      <c r="I214" s="72">
        <f>IF(B214="8+ kilometres",1,0)*VLOOKUP(C214, Percentage_dist_journeys_by_purpose_and_distance_8km[#All],MATCH(A214, Percentage_dist_journeys_by_purpose_and_distance_8km[#Headers],0),0)/100</f>
        <v>0</v>
      </c>
      <c r="J214" s="73">
        <f>VLOOKUP(B214,Average_Distance_by_kilometres_grouping_for_trip_purpose[#All],MATCH(A214,Average_Distance_by_kilometres_grouping_for_trip_purpose[#Headers],0),0)</f>
        <v>3</v>
      </c>
      <c r="K214" s="77">
        <f>VLOOKUP(C214, Adjustment_factor_for_distance_based_on_trip_purpose[#All],MATCH(A214, Adjustment_factor_for_distance_based_on_trip_purpose[#Headers],0),0)</f>
        <v>0.44444444444444442</v>
      </c>
      <c r="L214" s="78" t="e">
        <f>VLOOKUP($L$2, Total_Journeys_Per_Year[#All],MATCH(A214, Total_Journeys_Per_Year[#Headers],0),0)</f>
        <v>#N/A</v>
      </c>
      <c r="M214" s="35" t="e">
        <f t="shared" si="3"/>
        <v>#N/A</v>
      </c>
      <c r="N214" s="35" t="e">
        <f>VLOOKUP($N$2, Private_Vehicle_Kilometres_Car_Stock[#All],MATCH(A214, Private_Vehicle_Kilometres_Car_Stock[#Headers],0),0)</f>
        <v>#N/A</v>
      </c>
    </row>
    <row r="215" spans="1:14" x14ac:dyDescent="0.25">
      <c r="A215" s="79" t="s">
        <v>36</v>
      </c>
      <c r="B215" s="13" t="s">
        <v>180</v>
      </c>
      <c r="C215" s="13" t="s">
        <v>45</v>
      </c>
      <c r="D215" s="5">
        <f>VLOOKUP(B215,Percentage_distribution_of_journey_distance_for_all_regions[#All],MATCH(A215,Percentage_distribution_of_journey_distance_for_all_regions[#Headers],0),0)/100</f>
        <v>0.11900000000000001</v>
      </c>
      <c r="E215" s="71">
        <f>IF(B215="&lt;2 kilometres",1,0)*VLOOKUP(C215, Percentage_dist_journeys_by_purpose_and_distance_to_2km[#All],MATCH(A215, Percentage_dist_journeys_by_purpose_and_distance_to_2km[#Headers],0),0)/100</f>
        <v>0</v>
      </c>
      <c r="F215" s="4">
        <f>IF(B215="2-4 kilometres",1,0)*VLOOKUP(C215, Percentage_dist_journeys_by_purpose_and_distance_2_to_4km[#All],MATCH(A215, Percentage_dist_journeys_by_purpose_and_distance_2_to_4km[#Headers],0),0)/100</f>
        <v>0</v>
      </c>
      <c r="G215" s="72">
        <f>IF(B215="4-6 kilometres",1,0)*VLOOKUP(C215, Percentage_dist_journeys_by_purpose_and_distance_4_to_6km[#All],MATCH(A215, Percentage_dist_journeys_by_purpose_and_distance_4_to_6km[#Headers],0),0)/100</f>
        <v>2.7999999999999997E-2</v>
      </c>
      <c r="H215" s="4">
        <f>IF(B215="6-8 kilometres",1,0)*VLOOKUP(C215, Percentage_dist_journeys_by_purpose_and_distance_6_to_8km[#All],MATCH(A215, Percentage_dist_journeys_by_purpose_and_distance_6_to_8km[#Headers],0),0)/100</f>
        <v>0</v>
      </c>
      <c r="I215" s="72">
        <f>IF(B215="8+ kilometres",1,0)*VLOOKUP(C215, Percentage_dist_journeys_by_purpose_and_distance_8km[#All],MATCH(A215, Percentage_dist_journeys_by_purpose_and_distance_8km[#Headers],0),0)/100</f>
        <v>0</v>
      </c>
      <c r="J215" s="73">
        <f>VLOOKUP(B215,Average_Distance_by_kilometres_grouping_for_trip_purpose[#All],MATCH(A215,Average_Distance_by_kilometres_grouping_for_trip_purpose[#Headers],0),0)</f>
        <v>5</v>
      </c>
      <c r="K215" s="77">
        <f>VLOOKUP(C215, Adjustment_factor_for_distance_based_on_trip_purpose[#All],MATCH(A215, Adjustment_factor_for_distance_based_on_trip_purpose[#Headers],0),0)</f>
        <v>0.44444444444444442</v>
      </c>
      <c r="L215" s="78" t="e">
        <f>VLOOKUP($L$2, Total_Journeys_Per_Year[#All],MATCH(A215, Total_Journeys_Per_Year[#Headers],0),0)</f>
        <v>#N/A</v>
      </c>
      <c r="M215" s="35" t="e">
        <f t="shared" si="3"/>
        <v>#N/A</v>
      </c>
      <c r="N215" s="35" t="e">
        <f>VLOOKUP($N$2, Private_Vehicle_Kilometres_Car_Stock[#All],MATCH(A215, Private_Vehicle_Kilometres_Car_Stock[#Headers],0),0)</f>
        <v>#N/A</v>
      </c>
    </row>
    <row r="216" spans="1:14" x14ac:dyDescent="0.25">
      <c r="A216" s="79" t="s">
        <v>36</v>
      </c>
      <c r="B216" s="13" t="s">
        <v>182</v>
      </c>
      <c r="C216" s="13" t="s">
        <v>45</v>
      </c>
      <c r="D216" s="5">
        <f>VLOOKUP(B216,Percentage_distribution_of_journey_distance_for_all_regions[#All],MATCH(A216,Percentage_distribution_of_journey_distance_for_all_regions[#Headers],0),0)/100</f>
        <v>5.9000000000000004E-2</v>
      </c>
      <c r="E216" s="71">
        <f>IF(B216="&lt;2 kilometres",1,0)*VLOOKUP(C216, Percentage_dist_journeys_by_purpose_and_distance_to_2km[#All],MATCH(A216, Percentage_dist_journeys_by_purpose_and_distance_to_2km[#Headers],0),0)/100</f>
        <v>0</v>
      </c>
      <c r="F216" s="4">
        <f>IF(B216="2-4 kilometres",1,0)*VLOOKUP(C216, Percentage_dist_journeys_by_purpose_and_distance_2_to_4km[#All],MATCH(A216, Percentage_dist_journeys_by_purpose_and_distance_2_to_4km[#Headers],0),0)/100</f>
        <v>0</v>
      </c>
      <c r="G216" s="72">
        <f>IF(B216="4-6 kilometres",1,0)*VLOOKUP(C216, Percentage_dist_journeys_by_purpose_and_distance_4_to_6km[#All],MATCH(A216, Percentage_dist_journeys_by_purpose_and_distance_4_to_6km[#Headers],0),0)/100</f>
        <v>0</v>
      </c>
      <c r="H216" s="4">
        <f>IF(B216="6-8 kilometres",1,0)*VLOOKUP(C216, Percentage_dist_journeys_by_purpose_and_distance_6_to_8km[#All],MATCH(A216, Percentage_dist_journeys_by_purpose_and_distance_6_to_8km[#Headers],0),0)/100</f>
        <v>2.1000000000000001E-2</v>
      </c>
      <c r="I216" s="72">
        <f>IF(B216="8+ kilometres",1,0)*VLOOKUP(C216, Percentage_dist_journeys_by_purpose_and_distance_8km[#All],MATCH(A216, Percentage_dist_journeys_by_purpose_and_distance_8km[#Headers],0),0)/100</f>
        <v>0</v>
      </c>
      <c r="J216" s="73">
        <f>VLOOKUP(B216,Average_Distance_by_kilometres_grouping_for_trip_purpose[#All],MATCH(A216,Average_Distance_by_kilometres_grouping_for_trip_purpose[#Headers],0),0)</f>
        <v>7</v>
      </c>
      <c r="K216" s="77">
        <f>VLOOKUP(C216, Adjustment_factor_for_distance_based_on_trip_purpose[#All],MATCH(A216, Adjustment_factor_for_distance_based_on_trip_purpose[#Headers],0),0)</f>
        <v>0.44444444444444442</v>
      </c>
      <c r="L216" s="78" t="e">
        <f>VLOOKUP($L$2, Total_Journeys_Per_Year[#All],MATCH(A216, Total_Journeys_Per_Year[#Headers],0),0)</f>
        <v>#N/A</v>
      </c>
      <c r="M216" s="35" t="e">
        <f t="shared" si="3"/>
        <v>#N/A</v>
      </c>
      <c r="N216" s="35" t="e">
        <f>VLOOKUP($N$2, Private_Vehicle_Kilometres_Car_Stock[#All],MATCH(A216, Private_Vehicle_Kilometres_Car_Stock[#Headers],0),0)</f>
        <v>#N/A</v>
      </c>
    </row>
    <row r="217" spans="1:14" x14ac:dyDescent="0.25">
      <c r="A217" s="79" t="s">
        <v>36</v>
      </c>
      <c r="B217" s="13" t="s">
        <v>1</v>
      </c>
      <c r="C217" s="13" t="s">
        <v>45</v>
      </c>
      <c r="D217" s="5">
        <f>VLOOKUP(B217,Percentage_distribution_of_journey_distance_for_all_regions[#All],MATCH(A217,Percentage_distribution_of_journey_distance_for_all_regions[#Headers],0),0)/100</f>
        <v>0.433</v>
      </c>
      <c r="E217" s="71">
        <f>IF(B217="&lt;2 kilometres",1,0)*VLOOKUP(C217, Percentage_dist_journeys_by_purpose_and_distance_to_2km[#All],MATCH(A217, Percentage_dist_journeys_by_purpose_and_distance_to_2km[#Headers],0),0)/100</f>
        <v>0</v>
      </c>
      <c r="F217" s="4">
        <f>IF(B217="2-4 kilometres",1,0)*VLOOKUP(C217, Percentage_dist_journeys_by_purpose_and_distance_2_to_4km[#All],MATCH(A217, Percentage_dist_journeys_by_purpose_and_distance_2_to_4km[#Headers],0),0)/100</f>
        <v>0</v>
      </c>
      <c r="G217" s="72">
        <f>IF(B217="4-6 kilometres",1,0)*VLOOKUP(C217, Percentage_dist_journeys_by_purpose_and_distance_4_to_6km[#All],MATCH(A217, Percentage_dist_journeys_by_purpose_and_distance_4_to_6km[#Headers],0),0)/100</f>
        <v>0</v>
      </c>
      <c r="H217" s="4">
        <f>IF(B217="6-8 kilometres",1,0)*VLOOKUP(C217, Percentage_dist_journeys_by_purpose_and_distance_6_to_8km[#All],MATCH(A217, Percentage_dist_journeys_by_purpose_and_distance_6_to_8km[#Headers],0),0)/100</f>
        <v>0</v>
      </c>
      <c r="I217" s="72">
        <f>IF(B217="8+ kilometres",1,0)*VLOOKUP(C217, Percentage_dist_journeys_by_purpose_and_distance_8km[#All],MATCH(A217, Percentage_dist_journeys_by_purpose_and_distance_8km[#Headers],0),0)/100</f>
        <v>1.4999999999999999E-2</v>
      </c>
      <c r="J217" s="73">
        <f>VLOOKUP(B217,Average_Distance_by_kilometres_grouping_for_trip_purpose[#All],MATCH(A217,Average_Distance_by_kilometres_grouping_for_trip_purpose[#Headers],0),0)</f>
        <v>43.24</v>
      </c>
      <c r="K217" s="77">
        <f>VLOOKUP(C217, Adjustment_factor_for_distance_based_on_trip_purpose[#All],MATCH(A217, Adjustment_factor_for_distance_based_on_trip_purpose[#Headers],0),0)</f>
        <v>0.44444444444444442</v>
      </c>
      <c r="L217" s="78" t="e">
        <f>VLOOKUP($L$2, Total_Journeys_Per_Year[#All],MATCH(A217, Total_Journeys_Per_Year[#Headers],0),0)</f>
        <v>#N/A</v>
      </c>
      <c r="M217" s="35" t="e">
        <f t="shared" si="3"/>
        <v>#N/A</v>
      </c>
      <c r="N217" s="35" t="e">
        <f>VLOOKUP($N$2, Private_Vehicle_Kilometres_Car_Stock[#All],MATCH(A217, Private_Vehicle_Kilometres_Car_Stock[#Headers],0),0)</f>
        <v>#N/A</v>
      </c>
    </row>
    <row r="218" spans="1:14" x14ac:dyDescent="0.25">
      <c r="A218" s="79" t="s">
        <v>36</v>
      </c>
      <c r="B218" s="13" t="s">
        <v>12</v>
      </c>
      <c r="C218" s="13" t="s">
        <v>46</v>
      </c>
      <c r="D218" s="5">
        <f>VLOOKUP(B218,Percentage_distribution_of_journey_distance_for_all_regions[#All],MATCH(A218,Percentage_distribution_of_journey_distance_for_all_regions[#Headers],0),0)/100</f>
        <v>0.255</v>
      </c>
      <c r="E218" s="71">
        <f>IF(B218="&lt;2 kilometres",1,0)*VLOOKUP(C218, Percentage_dist_journeys_by_purpose_and_distance_to_2km[#All],MATCH(A218, Percentage_dist_journeys_by_purpose_and_distance_to_2km[#Headers],0),0)/100</f>
        <v>6.6000000000000003E-2</v>
      </c>
      <c r="F218" s="4">
        <f>IF(B218="2-4 kilometres",1,0)*VLOOKUP(C218, Percentage_dist_journeys_by_purpose_and_distance_2_to_4km[#All],MATCH(A218, Percentage_dist_journeys_by_purpose_and_distance_2_to_4km[#Headers],0),0)/100</f>
        <v>0</v>
      </c>
      <c r="G218" s="72">
        <f>IF(B218="4-6 kilometres",1,0)*VLOOKUP(C218, Percentage_dist_journeys_by_purpose_and_distance_4_to_6km[#All],MATCH(A218, Percentage_dist_journeys_by_purpose_and_distance_4_to_6km[#Headers],0),0)/100</f>
        <v>0</v>
      </c>
      <c r="H218" s="4">
        <f>IF(B218="6-8 kilometres",1,0)*VLOOKUP(C218, Percentage_dist_journeys_by_purpose_and_distance_6_to_8km[#All],MATCH(A218, Percentage_dist_journeys_by_purpose_and_distance_6_to_8km[#Headers],0),0)/100</f>
        <v>0</v>
      </c>
      <c r="I218" s="72">
        <f>IF(B218="8+ kilometres",1,0)*VLOOKUP(C218, Percentage_dist_journeys_by_purpose_and_distance_8km[#All],MATCH(A218, Percentage_dist_journeys_by_purpose_and_distance_8km[#Headers],0),0)/100</f>
        <v>0</v>
      </c>
      <c r="J218" s="73">
        <f>VLOOKUP(B218,Average_Distance_by_kilometres_grouping_for_trip_purpose[#All],MATCH(A218,Average_Distance_by_kilometres_grouping_for_trip_purpose[#Headers],0),0)</f>
        <v>1</v>
      </c>
      <c r="K218" s="77">
        <f>VLOOKUP(C218, Adjustment_factor_for_distance_based_on_trip_purpose[#All],MATCH(A218, Adjustment_factor_for_distance_based_on_trip_purpose[#Headers],0),0)</f>
        <v>0.94444444444444442</v>
      </c>
      <c r="L218" s="78" t="e">
        <f>VLOOKUP($L$2, Total_Journeys_Per_Year[#All],MATCH(A218, Total_Journeys_Per_Year[#Headers],0),0)</f>
        <v>#N/A</v>
      </c>
      <c r="M218" s="35" t="e">
        <f t="shared" si="3"/>
        <v>#N/A</v>
      </c>
      <c r="N218" s="35" t="e">
        <f>VLOOKUP($N$2, Private_Vehicle_Kilometres_Car_Stock[#All],MATCH(A218, Private_Vehicle_Kilometres_Car_Stock[#Headers],0),0)</f>
        <v>#N/A</v>
      </c>
    </row>
    <row r="219" spans="1:14" x14ac:dyDescent="0.25">
      <c r="A219" s="79" t="s">
        <v>36</v>
      </c>
      <c r="B219" s="13" t="s">
        <v>181</v>
      </c>
      <c r="C219" s="13" t="s">
        <v>46</v>
      </c>
      <c r="D219" s="5">
        <f>VLOOKUP(B219,Percentage_distribution_of_journey_distance_for_all_regions[#All],MATCH(A219,Percentage_distribution_of_journey_distance_for_all_regions[#Headers],0),0)/100</f>
        <v>0.13400000000000001</v>
      </c>
      <c r="E219" s="71">
        <f>IF(B219="&lt;2 kilometres",1,0)*VLOOKUP(C219, Percentage_dist_journeys_by_purpose_and_distance_to_2km[#All],MATCH(A219, Percentage_dist_journeys_by_purpose_and_distance_to_2km[#Headers],0),0)/100</f>
        <v>0</v>
      </c>
      <c r="F219" s="4">
        <f>IF(B219="2-4 kilometres",1,0)*VLOOKUP(C219, Percentage_dist_journeys_by_purpose_and_distance_2_to_4km[#All],MATCH(A219, Percentage_dist_journeys_by_purpose_and_distance_2_to_4km[#Headers],0),0)/100</f>
        <v>7.2000000000000008E-2</v>
      </c>
      <c r="G219" s="72">
        <f>IF(B219="4-6 kilometres",1,0)*VLOOKUP(C219, Percentage_dist_journeys_by_purpose_and_distance_4_to_6km[#All],MATCH(A219, Percentage_dist_journeys_by_purpose_and_distance_4_to_6km[#Headers],0),0)/100</f>
        <v>0</v>
      </c>
      <c r="H219" s="4">
        <f>IF(B219="6-8 kilometres",1,0)*VLOOKUP(C219, Percentage_dist_journeys_by_purpose_and_distance_6_to_8km[#All],MATCH(A219, Percentage_dist_journeys_by_purpose_and_distance_6_to_8km[#Headers],0),0)/100</f>
        <v>0</v>
      </c>
      <c r="I219" s="72">
        <f>IF(B219="8+ kilometres",1,0)*VLOOKUP(C219, Percentage_dist_journeys_by_purpose_and_distance_8km[#All],MATCH(A219, Percentage_dist_journeys_by_purpose_and_distance_8km[#Headers],0),0)/100</f>
        <v>0</v>
      </c>
      <c r="J219" s="73">
        <f>VLOOKUP(B219,Average_Distance_by_kilometres_grouping_for_trip_purpose[#All],MATCH(A219,Average_Distance_by_kilometres_grouping_for_trip_purpose[#Headers],0),0)</f>
        <v>3</v>
      </c>
      <c r="K219" s="77">
        <f>VLOOKUP(C219, Adjustment_factor_for_distance_based_on_trip_purpose[#All],MATCH(A219, Adjustment_factor_for_distance_based_on_trip_purpose[#Headers],0),0)</f>
        <v>0.94444444444444442</v>
      </c>
      <c r="L219" s="78" t="e">
        <f>VLOOKUP($L$2, Total_Journeys_Per_Year[#All],MATCH(A219, Total_Journeys_Per_Year[#Headers],0),0)</f>
        <v>#N/A</v>
      </c>
      <c r="M219" s="35" t="e">
        <f t="shared" si="3"/>
        <v>#N/A</v>
      </c>
      <c r="N219" s="35" t="e">
        <f>VLOOKUP($N$2, Private_Vehicle_Kilometres_Car_Stock[#All],MATCH(A219, Private_Vehicle_Kilometres_Car_Stock[#Headers],0),0)</f>
        <v>#N/A</v>
      </c>
    </row>
    <row r="220" spans="1:14" x14ac:dyDescent="0.25">
      <c r="A220" s="79" t="s">
        <v>36</v>
      </c>
      <c r="B220" s="13" t="s">
        <v>180</v>
      </c>
      <c r="C220" s="13" t="s">
        <v>46</v>
      </c>
      <c r="D220" s="5">
        <f>VLOOKUP(B220,Percentage_distribution_of_journey_distance_for_all_regions[#All],MATCH(A220,Percentage_distribution_of_journey_distance_for_all_regions[#Headers],0),0)/100</f>
        <v>0.11900000000000001</v>
      </c>
      <c r="E220" s="71">
        <f>IF(B220="&lt;2 kilometres",1,0)*VLOOKUP(C220, Percentage_dist_journeys_by_purpose_and_distance_to_2km[#All],MATCH(A220, Percentage_dist_journeys_by_purpose_and_distance_to_2km[#Headers],0),0)/100</f>
        <v>0</v>
      </c>
      <c r="F220" s="4">
        <f>IF(B220="2-4 kilometres",1,0)*VLOOKUP(C220, Percentage_dist_journeys_by_purpose_and_distance_2_to_4km[#All],MATCH(A220, Percentage_dist_journeys_by_purpose_and_distance_2_to_4km[#Headers],0),0)/100</f>
        <v>0</v>
      </c>
      <c r="G220" s="72">
        <f>IF(B220="4-6 kilometres",1,0)*VLOOKUP(C220, Percentage_dist_journeys_by_purpose_and_distance_4_to_6km[#All],MATCH(A220, Percentage_dist_journeys_by_purpose_and_distance_4_to_6km[#Headers],0),0)/100</f>
        <v>7.6999999999999999E-2</v>
      </c>
      <c r="H220" s="4">
        <f>IF(B220="6-8 kilometres",1,0)*VLOOKUP(C220, Percentage_dist_journeys_by_purpose_and_distance_6_to_8km[#All],MATCH(A220, Percentage_dist_journeys_by_purpose_and_distance_6_to_8km[#Headers],0),0)/100</f>
        <v>0</v>
      </c>
      <c r="I220" s="72">
        <f>IF(B220="8+ kilometres",1,0)*VLOOKUP(C220, Percentage_dist_journeys_by_purpose_and_distance_8km[#All],MATCH(A220, Percentage_dist_journeys_by_purpose_and_distance_8km[#Headers],0),0)/100</f>
        <v>0</v>
      </c>
      <c r="J220" s="73">
        <f>VLOOKUP(B220,Average_Distance_by_kilometres_grouping_for_trip_purpose[#All],MATCH(A220,Average_Distance_by_kilometres_grouping_for_trip_purpose[#Headers],0),0)</f>
        <v>5</v>
      </c>
      <c r="K220" s="77">
        <f>VLOOKUP(C220, Adjustment_factor_for_distance_based_on_trip_purpose[#All],MATCH(A220, Adjustment_factor_for_distance_based_on_trip_purpose[#Headers],0),0)</f>
        <v>0.94444444444444442</v>
      </c>
      <c r="L220" s="78" t="e">
        <f>VLOOKUP($L$2, Total_Journeys_Per_Year[#All],MATCH(A220, Total_Journeys_Per_Year[#Headers],0),0)</f>
        <v>#N/A</v>
      </c>
      <c r="M220" s="35" t="e">
        <f t="shared" si="3"/>
        <v>#N/A</v>
      </c>
      <c r="N220" s="35" t="e">
        <f>VLOOKUP($N$2, Private_Vehicle_Kilometres_Car_Stock[#All],MATCH(A220, Private_Vehicle_Kilometres_Car_Stock[#Headers],0),0)</f>
        <v>#N/A</v>
      </c>
    </row>
    <row r="221" spans="1:14" x14ac:dyDescent="0.25">
      <c r="A221" s="79" t="s">
        <v>36</v>
      </c>
      <c r="B221" s="13" t="s">
        <v>182</v>
      </c>
      <c r="C221" s="13" t="s">
        <v>46</v>
      </c>
      <c r="D221" s="5">
        <f>VLOOKUP(B221,Percentage_distribution_of_journey_distance_for_all_regions[#All],MATCH(A221,Percentage_distribution_of_journey_distance_for_all_regions[#Headers],0),0)/100</f>
        <v>5.9000000000000004E-2</v>
      </c>
      <c r="E221" s="71">
        <f>IF(B221="&lt;2 kilometres",1,0)*VLOOKUP(C221, Percentage_dist_journeys_by_purpose_and_distance_to_2km[#All],MATCH(A221, Percentage_dist_journeys_by_purpose_and_distance_to_2km[#Headers],0),0)/100</f>
        <v>0</v>
      </c>
      <c r="F221" s="4">
        <f>IF(B221="2-4 kilometres",1,0)*VLOOKUP(C221, Percentage_dist_journeys_by_purpose_and_distance_2_to_4km[#All],MATCH(A221, Percentage_dist_journeys_by_purpose_and_distance_2_to_4km[#Headers],0),0)/100</f>
        <v>0</v>
      </c>
      <c r="G221" s="72">
        <f>IF(B221="4-6 kilometres",1,0)*VLOOKUP(C221, Percentage_dist_journeys_by_purpose_and_distance_4_to_6km[#All],MATCH(A221, Percentage_dist_journeys_by_purpose_and_distance_4_to_6km[#Headers],0),0)/100</f>
        <v>0</v>
      </c>
      <c r="H221" s="4">
        <f>IF(B221="6-8 kilometres",1,0)*VLOOKUP(C221, Percentage_dist_journeys_by_purpose_and_distance_6_to_8km[#All],MATCH(A221, Percentage_dist_journeys_by_purpose_and_distance_6_to_8km[#Headers],0),0)/100</f>
        <v>6.5000000000000002E-2</v>
      </c>
      <c r="I221" s="72">
        <f>IF(B221="8+ kilometres",1,0)*VLOOKUP(C221, Percentage_dist_journeys_by_purpose_and_distance_8km[#All],MATCH(A221, Percentage_dist_journeys_by_purpose_and_distance_8km[#Headers],0),0)/100</f>
        <v>0</v>
      </c>
      <c r="J221" s="73">
        <f>VLOOKUP(B221,Average_Distance_by_kilometres_grouping_for_trip_purpose[#All],MATCH(A221,Average_Distance_by_kilometres_grouping_for_trip_purpose[#Headers],0),0)</f>
        <v>7</v>
      </c>
      <c r="K221" s="77">
        <f>VLOOKUP(C221, Adjustment_factor_for_distance_based_on_trip_purpose[#All],MATCH(A221, Adjustment_factor_for_distance_based_on_trip_purpose[#Headers],0),0)</f>
        <v>0.94444444444444442</v>
      </c>
      <c r="L221" s="78" t="e">
        <f>VLOOKUP($L$2, Total_Journeys_Per_Year[#All],MATCH(A221, Total_Journeys_Per_Year[#Headers],0),0)</f>
        <v>#N/A</v>
      </c>
      <c r="M221" s="35" t="e">
        <f t="shared" si="3"/>
        <v>#N/A</v>
      </c>
      <c r="N221" s="35" t="e">
        <f>VLOOKUP($N$2, Private_Vehicle_Kilometres_Car_Stock[#All],MATCH(A221, Private_Vehicle_Kilometres_Car_Stock[#Headers],0),0)</f>
        <v>#N/A</v>
      </c>
    </row>
    <row r="222" spans="1:14" x14ac:dyDescent="0.25">
      <c r="A222" s="79" t="s">
        <v>36</v>
      </c>
      <c r="B222" s="13" t="s">
        <v>1</v>
      </c>
      <c r="C222" s="13" t="s">
        <v>46</v>
      </c>
      <c r="D222" s="5">
        <f>VLOOKUP(B222,Percentage_distribution_of_journey_distance_for_all_regions[#All],MATCH(A222,Percentage_distribution_of_journey_distance_for_all_regions[#Headers],0),0)/100</f>
        <v>0.433</v>
      </c>
      <c r="E222" s="71">
        <f>IF(B222="&lt;2 kilometres",1,0)*VLOOKUP(C222, Percentage_dist_journeys_by_purpose_and_distance_to_2km[#All],MATCH(A222, Percentage_dist_journeys_by_purpose_and_distance_to_2km[#Headers],0),0)/100</f>
        <v>0</v>
      </c>
      <c r="F222" s="4">
        <f>IF(B222="2-4 kilometres",1,0)*VLOOKUP(C222, Percentage_dist_journeys_by_purpose_and_distance_2_to_4km[#All],MATCH(A222, Percentage_dist_journeys_by_purpose_and_distance_2_to_4km[#Headers],0),0)/100</f>
        <v>0</v>
      </c>
      <c r="G222" s="72">
        <f>IF(B222="4-6 kilometres",1,0)*VLOOKUP(C222, Percentage_dist_journeys_by_purpose_and_distance_4_to_6km[#All],MATCH(A222, Percentage_dist_journeys_by_purpose_and_distance_4_to_6km[#Headers],0),0)/100</f>
        <v>0</v>
      </c>
      <c r="H222" s="4">
        <f>IF(B222="6-8 kilometres",1,0)*VLOOKUP(C222, Percentage_dist_journeys_by_purpose_and_distance_6_to_8km[#All],MATCH(A222, Percentage_dist_journeys_by_purpose_and_distance_6_to_8km[#Headers],0),0)/100</f>
        <v>0</v>
      </c>
      <c r="I222" s="72">
        <f>IF(B222="8+ kilometres",1,0)*VLOOKUP(C222, Percentage_dist_journeys_by_purpose_and_distance_8km[#All],MATCH(A222, Percentage_dist_journeys_by_purpose_and_distance_8km[#Headers],0),0)/100</f>
        <v>0.107</v>
      </c>
      <c r="J222" s="73">
        <f>VLOOKUP(B222,Average_Distance_by_kilometres_grouping_for_trip_purpose[#All],MATCH(A222,Average_Distance_by_kilometres_grouping_for_trip_purpose[#Headers],0),0)</f>
        <v>43.24</v>
      </c>
      <c r="K222" s="77">
        <f>VLOOKUP(C222, Adjustment_factor_for_distance_based_on_trip_purpose[#All],MATCH(A222, Adjustment_factor_for_distance_based_on_trip_purpose[#Headers],0),0)</f>
        <v>0.94444444444444442</v>
      </c>
      <c r="L222" s="78" t="e">
        <f>VLOOKUP($L$2, Total_Journeys_Per_Year[#All],MATCH(A222, Total_Journeys_Per_Year[#Headers],0),0)</f>
        <v>#N/A</v>
      </c>
      <c r="M222" s="35" t="e">
        <f t="shared" si="3"/>
        <v>#N/A</v>
      </c>
      <c r="N222" s="35" t="e">
        <f>VLOOKUP($N$2, Private_Vehicle_Kilometres_Car_Stock[#All],MATCH(A222, Private_Vehicle_Kilometres_Car_Stock[#Headers],0),0)</f>
        <v>#N/A</v>
      </c>
    </row>
    <row r="223" spans="1:14" x14ac:dyDescent="0.25">
      <c r="A223" s="79" t="s">
        <v>36</v>
      </c>
      <c r="B223" s="13" t="s">
        <v>12</v>
      </c>
      <c r="C223" s="13" t="s">
        <v>47</v>
      </c>
      <c r="D223" s="5">
        <f>VLOOKUP(B223,Percentage_distribution_of_journey_distance_for_all_regions[#All],MATCH(A223,Percentage_distribution_of_journey_distance_for_all_regions[#Headers],0),0)/100</f>
        <v>0.255</v>
      </c>
      <c r="E223" s="71">
        <f>IF(B223="&lt;2 kilometres",1,0)*VLOOKUP(C223, Percentage_dist_journeys_by_purpose_and_distance_to_2km[#All],MATCH(A223, Percentage_dist_journeys_by_purpose_and_distance_to_2km[#Headers],0),0)/100</f>
        <v>8.5999999999999993E-2</v>
      </c>
      <c r="F223" s="4">
        <f>IF(B223="2-4 kilometres",1,0)*VLOOKUP(C223, Percentage_dist_journeys_by_purpose_and_distance_2_to_4km[#All],MATCH(A223, Percentage_dist_journeys_by_purpose_and_distance_2_to_4km[#Headers],0),0)/100</f>
        <v>0</v>
      </c>
      <c r="G223" s="72">
        <f>IF(B223="4-6 kilometres",1,0)*VLOOKUP(C223, Percentage_dist_journeys_by_purpose_and_distance_4_to_6km[#All],MATCH(A223, Percentage_dist_journeys_by_purpose_and_distance_4_to_6km[#Headers],0),0)/100</f>
        <v>0</v>
      </c>
      <c r="H223" s="4">
        <f>IF(B223="6-8 kilometres",1,0)*VLOOKUP(C223, Percentage_dist_journeys_by_purpose_and_distance_6_to_8km[#All],MATCH(A223, Percentage_dist_journeys_by_purpose_and_distance_6_to_8km[#Headers],0),0)/100</f>
        <v>0</v>
      </c>
      <c r="I223" s="72">
        <f>IF(B223="8+ kilometres",1,0)*VLOOKUP(C223, Percentage_dist_journeys_by_purpose_and_distance_8km[#All],MATCH(A223, Percentage_dist_journeys_by_purpose_and_distance_8km[#Headers],0),0)/100</f>
        <v>0</v>
      </c>
      <c r="J223" s="73">
        <f>VLOOKUP(B223,Average_Distance_by_kilometres_grouping_for_trip_purpose[#All],MATCH(A223,Average_Distance_by_kilometres_grouping_for_trip_purpose[#Headers],0),0)</f>
        <v>1</v>
      </c>
      <c r="K223" s="77">
        <f>VLOOKUP(C223, Adjustment_factor_for_distance_based_on_trip_purpose[#All],MATCH(A223, Adjustment_factor_for_distance_based_on_trip_purpose[#Headers],0),0)</f>
        <v>0.94444444444444442</v>
      </c>
      <c r="L223" s="78" t="e">
        <f>VLOOKUP($L$2, Total_Journeys_Per_Year[#All],MATCH(A223, Total_Journeys_Per_Year[#Headers],0),0)</f>
        <v>#N/A</v>
      </c>
      <c r="M223" s="35" t="e">
        <f t="shared" si="3"/>
        <v>#N/A</v>
      </c>
      <c r="N223" s="35" t="e">
        <f>VLOOKUP($N$2, Private_Vehicle_Kilometres_Car_Stock[#All],MATCH(A223, Private_Vehicle_Kilometres_Car_Stock[#Headers],0),0)</f>
        <v>#N/A</v>
      </c>
    </row>
    <row r="224" spans="1:14" x14ac:dyDescent="0.25">
      <c r="A224" s="79" t="s">
        <v>36</v>
      </c>
      <c r="B224" s="13" t="s">
        <v>181</v>
      </c>
      <c r="C224" s="13" t="s">
        <v>47</v>
      </c>
      <c r="D224" s="5">
        <f>VLOOKUP(B224,Percentage_distribution_of_journey_distance_for_all_regions[#All],MATCH(A224,Percentage_distribution_of_journey_distance_for_all_regions[#Headers],0),0)/100</f>
        <v>0.13400000000000001</v>
      </c>
      <c r="E224" s="71">
        <f>IF(B224="&lt;2 kilometres",1,0)*VLOOKUP(C224, Percentage_dist_journeys_by_purpose_and_distance_to_2km[#All],MATCH(A224, Percentage_dist_journeys_by_purpose_and_distance_to_2km[#Headers],0),0)/100</f>
        <v>0</v>
      </c>
      <c r="F224" s="4">
        <f>IF(B224="2-4 kilometres",1,0)*VLOOKUP(C224, Percentage_dist_journeys_by_purpose_and_distance_2_to_4km[#All],MATCH(A224, Percentage_dist_journeys_by_purpose_and_distance_2_to_4km[#Headers],0),0)/100</f>
        <v>0.109</v>
      </c>
      <c r="G224" s="72">
        <f>IF(B224="4-6 kilometres",1,0)*VLOOKUP(C224, Percentage_dist_journeys_by_purpose_and_distance_4_to_6km[#All],MATCH(A224, Percentage_dist_journeys_by_purpose_and_distance_4_to_6km[#Headers],0),0)/100</f>
        <v>0</v>
      </c>
      <c r="H224" s="4">
        <f>IF(B224="6-8 kilometres",1,0)*VLOOKUP(C224, Percentage_dist_journeys_by_purpose_and_distance_6_to_8km[#All],MATCH(A224, Percentage_dist_journeys_by_purpose_and_distance_6_to_8km[#Headers],0),0)/100</f>
        <v>0</v>
      </c>
      <c r="I224" s="72">
        <f>IF(B224="8+ kilometres",1,0)*VLOOKUP(C224, Percentage_dist_journeys_by_purpose_and_distance_8km[#All],MATCH(A224, Percentage_dist_journeys_by_purpose_and_distance_8km[#Headers],0),0)/100</f>
        <v>0</v>
      </c>
      <c r="J224" s="73">
        <f>VLOOKUP(B224,Average_Distance_by_kilometres_grouping_for_trip_purpose[#All],MATCH(A224,Average_Distance_by_kilometres_grouping_for_trip_purpose[#Headers],0),0)</f>
        <v>3</v>
      </c>
      <c r="K224" s="77">
        <f>VLOOKUP(C224, Adjustment_factor_for_distance_based_on_trip_purpose[#All],MATCH(A224, Adjustment_factor_for_distance_based_on_trip_purpose[#Headers],0),0)</f>
        <v>0.94444444444444442</v>
      </c>
      <c r="L224" s="78" t="e">
        <f>VLOOKUP($L$2, Total_Journeys_Per_Year[#All],MATCH(A224, Total_Journeys_Per_Year[#Headers],0),0)</f>
        <v>#N/A</v>
      </c>
      <c r="M224" s="35" t="e">
        <f t="shared" si="3"/>
        <v>#N/A</v>
      </c>
      <c r="N224" s="35" t="e">
        <f>VLOOKUP($N$2, Private_Vehicle_Kilometres_Car_Stock[#All],MATCH(A224, Private_Vehicle_Kilometres_Car_Stock[#Headers],0),0)</f>
        <v>#N/A</v>
      </c>
    </row>
    <row r="225" spans="1:14" x14ac:dyDescent="0.25">
      <c r="A225" s="79" t="s">
        <v>36</v>
      </c>
      <c r="B225" s="13" t="s">
        <v>180</v>
      </c>
      <c r="C225" s="13" t="s">
        <v>47</v>
      </c>
      <c r="D225" s="5">
        <f>VLOOKUP(B225,Percentage_distribution_of_journey_distance_for_all_regions[#All],MATCH(A225,Percentage_distribution_of_journey_distance_for_all_regions[#Headers],0),0)/100</f>
        <v>0.11900000000000001</v>
      </c>
      <c r="E225" s="71">
        <f>IF(B225="&lt;2 kilometres",1,0)*VLOOKUP(C225, Percentage_dist_journeys_by_purpose_and_distance_to_2km[#All],MATCH(A225, Percentage_dist_journeys_by_purpose_and_distance_to_2km[#Headers],0),0)/100</f>
        <v>0</v>
      </c>
      <c r="F225" s="4">
        <f>IF(B225="2-4 kilometres",1,0)*VLOOKUP(C225, Percentage_dist_journeys_by_purpose_and_distance_2_to_4km[#All],MATCH(A225, Percentage_dist_journeys_by_purpose_and_distance_2_to_4km[#Headers],0),0)/100</f>
        <v>0</v>
      </c>
      <c r="G225" s="72">
        <f>IF(B225="4-6 kilometres",1,0)*VLOOKUP(C225, Percentage_dist_journeys_by_purpose_and_distance_4_to_6km[#All],MATCH(A225, Percentage_dist_journeys_by_purpose_and_distance_4_to_6km[#Headers],0),0)/100</f>
        <v>9.3000000000000013E-2</v>
      </c>
      <c r="H225" s="4">
        <f>IF(B225="6-8 kilometres",1,0)*VLOOKUP(C225, Percentage_dist_journeys_by_purpose_and_distance_6_to_8km[#All],MATCH(A225, Percentage_dist_journeys_by_purpose_and_distance_6_to_8km[#Headers],0),0)/100</f>
        <v>0</v>
      </c>
      <c r="I225" s="72">
        <f>IF(B225="8+ kilometres",1,0)*VLOOKUP(C225, Percentage_dist_journeys_by_purpose_and_distance_8km[#All],MATCH(A225, Percentage_dist_journeys_by_purpose_and_distance_8km[#Headers],0),0)/100</f>
        <v>0</v>
      </c>
      <c r="J225" s="73">
        <f>VLOOKUP(B225,Average_Distance_by_kilometres_grouping_for_trip_purpose[#All],MATCH(A225,Average_Distance_by_kilometres_grouping_for_trip_purpose[#Headers],0),0)</f>
        <v>5</v>
      </c>
      <c r="K225" s="77">
        <f>VLOOKUP(C225, Adjustment_factor_for_distance_based_on_trip_purpose[#All],MATCH(A225, Adjustment_factor_for_distance_based_on_trip_purpose[#Headers],0),0)</f>
        <v>0.94444444444444442</v>
      </c>
      <c r="L225" s="78" t="e">
        <f>VLOOKUP($L$2, Total_Journeys_Per_Year[#All],MATCH(A225, Total_Journeys_Per_Year[#Headers],0),0)</f>
        <v>#N/A</v>
      </c>
      <c r="M225" s="35" t="e">
        <f t="shared" si="3"/>
        <v>#N/A</v>
      </c>
      <c r="N225" s="35" t="e">
        <f>VLOOKUP($N$2, Private_Vehicle_Kilometres_Car_Stock[#All],MATCH(A225, Private_Vehicle_Kilometres_Car_Stock[#Headers],0),0)</f>
        <v>#N/A</v>
      </c>
    </row>
    <row r="226" spans="1:14" x14ac:dyDescent="0.25">
      <c r="A226" s="79" t="s">
        <v>36</v>
      </c>
      <c r="B226" s="13" t="s">
        <v>182</v>
      </c>
      <c r="C226" s="13" t="s">
        <v>47</v>
      </c>
      <c r="D226" s="5">
        <f>VLOOKUP(B226,Percentage_distribution_of_journey_distance_for_all_regions[#All],MATCH(A226,Percentage_distribution_of_journey_distance_for_all_regions[#Headers],0),0)/100</f>
        <v>5.9000000000000004E-2</v>
      </c>
      <c r="E226" s="71">
        <f>IF(B226="&lt;2 kilometres",1,0)*VLOOKUP(C226, Percentage_dist_journeys_by_purpose_and_distance_to_2km[#All],MATCH(A226, Percentage_dist_journeys_by_purpose_and_distance_to_2km[#Headers],0),0)/100</f>
        <v>0</v>
      </c>
      <c r="F226" s="4">
        <f>IF(B226="2-4 kilometres",1,0)*VLOOKUP(C226, Percentage_dist_journeys_by_purpose_and_distance_2_to_4km[#All],MATCH(A226, Percentage_dist_journeys_by_purpose_and_distance_2_to_4km[#Headers],0),0)/100</f>
        <v>0</v>
      </c>
      <c r="G226" s="72">
        <f>IF(B226="4-6 kilometres",1,0)*VLOOKUP(C226, Percentage_dist_journeys_by_purpose_and_distance_4_to_6km[#All],MATCH(A226, Percentage_dist_journeys_by_purpose_and_distance_4_to_6km[#Headers],0),0)/100</f>
        <v>0</v>
      </c>
      <c r="H226" s="4">
        <f>IF(B226="6-8 kilometres",1,0)*VLOOKUP(C226, Percentage_dist_journeys_by_purpose_and_distance_6_to_8km[#All],MATCH(A226, Percentage_dist_journeys_by_purpose_and_distance_6_to_8km[#Headers],0),0)/100</f>
        <v>9.1999999999999998E-2</v>
      </c>
      <c r="I226" s="72">
        <f>IF(B226="8+ kilometres",1,0)*VLOOKUP(C226, Percentage_dist_journeys_by_purpose_and_distance_8km[#All],MATCH(A226, Percentage_dist_journeys_by_purpose_and_distance_8km[#Headers],0),0)/100</f>
        <v>0</v>
      </c>
      <c r="J226" s="73">
        <f>VLOOKUP(B226,Average_Distance_by_kilometres_grouping_for_trip_purpose[#All],MATCH(A226,Average_Distance_by_kilometres_grouping_for_trip_purpose[#Headers],0),0)</f>
        <v>7</v>
      </c>
      <c r="K226" s="77">
        <f>VLOOKUP(C226, Adjustment_factor_for_distance_based_on_trip_purpose[#All],MATCH(A226, Adjustment_factor_for_distance_based_on_trip_purpose[#Headers],0),0)</f>
        <v>0.94444444444444442</v>
      </c>
      <c r="L226" s="78" t="e">
        <f>VLOOKUP($L$2, Total_Journeys_Per_Year[#All],MATCH(A226, Total_Journeys_Per_Year[#Headers],0),0)</f>
        <v>#N/A</v>
      </c>
      <c r="M226" s="35" t="e">
        <f t="shared" si="3"/>
        <v>#N/A</v>
      </c>
      <c r="N226" s="35" t="e">
        <f>VLOOKUP($N$2, Private_Vehicle_Kilometres_Car_Stock[#All],MATCH(A226, Private_Vehicle_Kilometres_Car_Stock[#Headers],0),0)</f>
        <v>#N/A</v>
      </c>
    </row>
    <row r="227" spans="1:14" x14ac:dyDescent="0.25">
      <c r="A227" s="79" t="s">
        <v>36</v>
      </c>
      <c r="B227" s="13" t="s">
        <v>1</v>
      </c>
      <c r="C227" s="13" t="s">
        <v>47</v>
      </c>
      <c r="D227" s="5">
        <f>VLOOKUP(B227,Percentage_distribution_of_journey_distance_for_all_regions[#All],MATCH(A227,Percentage_distribution_of_journey_distance_for_all_regions[#Headers],0),0)/100</f>
        <v>0.433</v>
      </c>
      <c r="E227" s="71">
        <f>IF(B227="&lt;2 kilometres",1,0)*VLOOKUP(C227, Percentage_dist_journeys_by_purpose_and_distance_to_2km[#All],MATCH(A227, Percentage_dist_journeys_by_purpose_and_distance_to_2km[#Headers],0),0)/100</f>
        <v>0</v>
      </c>
      <c r="F227" s="4">
        <f>IF(B227="2-4 kilometres",1,0)*VLOOKUP(C227, Percentage_dist_journeys_by_purpose_and_distance_2_to_4km[#All],MATCH(A227, Percentage_dist_journeys_by_purpose_and_distance_2_to_4km[#Headers],0),0)/100</f>
        <v>0</v>
      </c>
      <c r="G227" s="72">
        <f>IF(B227="4-6 kilometres",1,0)*VLOOKUP(C227, Percentage_dist_journeys_by_purpose_and_distance_4_to_6km[#All],MATCH(A227, Percentage_dist_journeys_by_purpose_and_distance_4_to_6km[#Headers],0),0)/100</f>
        <v>0</v>
      </c>
      <c r="H227" s="4">
        <f>IF(B227="6-8 kilometres",1,0)*VLOOKUP(C227, Percentage_dist_journeys_by_purpose_and_distance_6_to_8km[#All],MATCH(A227, Percentage_dist_journeys_by_purpose_and_distance_6_to_8km[#Headers],0),0)/100</f>
        <v>0</v>
      </c>
      <c r="I227" s="72">
        <f>IF(B227="8+ kilometres",1,0)*VLOOKUP(C227, Percentage_dist_journeys_by_purpose_and_distance_8km[#All],MATCH(A227, Percentage_dist_journeys_by_purpose_and_distance_8km[#Headers],0),0)/100</f>
        <v>0.09</v>
      </c>
      <c r="J227" s="73">
        <f>VLOOKUP(B227,Average_Distance_by_kilometres_grouping_for_trip_purpose[#All],MATCH(A227,Average_Distance_by_kilometres_grouping_for_trip_purpose[#Headers],0),0)</f>
        <v>43.24</v>
      </c>
      <c r="K227" s="77">
        <f>VLOOKUP(C227, Adjustment_factor_for_distance_based_on_trip_purpose[#All],MATCH(A227, Adjustment_factor_for_distance_based_on_trip_purpose[#Headers],0),0)</f>
        <v>0.94444444444444442</v>
      </c>
      <c r="L227" s="78" t="e">
        <f>VLOOKUP($L$2, Total_Journeys_Per_Year[#All],MATCH(A227, Total_Journeys_Per_Year[#Headers],0),0)</f>
        <v>#N/A</v>
      </c>
      <c r="M227" s="35" t="e">
        <f t="shared" si="3"/>
        <v>#N/A</v>
      </c>
      <c r="N227" s="35" t="e">
        <f>VLOOKUP($N$2, Private_Vehicle_Kilometres_Car_Stock[#All],MATCH(A227, Private_Vehicle_Kilometres_Car_Stock[#Headers],0),0)</f>
        <v>#N/A</v>
      </c>
    </row>
    <row r="228" spans="1:14" x14ac:dyDescent="0.25">
      <c r="A228" s="79" t="s">
        <v>36</v>
      </c>
      <c r="B228" s="13" t="s">
        <v>12</v>
      </c>
      <c r="C228" s="13" t="s">
        <v>48</v>
      </c>
      <c r="D228" s="5">
        <f>VLOOKUP(B228,Percentage_distribution_of_journey_distance_for_all_regions[#All],MATCH(A228,Percentage_distribution_of_journey_distance_for_all_regions[#Headers],0),0)/100</f>
        <v>0.255</v>
      </c>
      <c r="E228" s="71">
        <f>IF(B228="&lt;2 kilometres",1,0)*VLOOKUP(C228, Percentage_dist_journeys_by_purpose_and_distance_to_2km[#All],MATCH(A228, Percentage_dist_journeys_by_purpose_and_distance_to_2km[#Headers],0),0)/100</f>
        <v>5.2999999999999999E-2</v>
      </c>
      <c r="F228" s="4">
        <f>IF(B228="2-4 kilometres",1,0)*VLOOKUP(C228, Percentage_dist_journeys_by_purpose_and_distance_2_to_4km[#All],MATCH(A228, Percentage_dist_journeys_by_purpose_and_distance_2_to_4km[#Headers],0),0)/100</f>
        <v>0</v>
      </c>
      <c r="G228" s="72">
        <f>IF(B228="4-6 kilometres",1,0)*VLOOKUP(C228, Percentage_dist_journeys_by_purpose_and_distance_4_to_6km[#All],MATCH(A228, Percentage_dist_journeys_by_purpose_and_distance_4_to_6km[#Headers],0),0)/100</f>
        <v>0</v>
      </c>
      <c r="H228" s="4">
        <f>IF(B228="6-8 kilometres",1,0)*VLOOKUP(C228, Percentage_dist_journeys_by_purpose_and_distance_6_to_8km[#All],MATCH(A228, Percentage_dist_journeys_by_purpose_and_distance_6_to_8km[#Headers],0),0)/100</f>
        <v>0</v>
      </c>
      <c r="I228" s="72">
        <f>IF(B228="8+ kilometres",1,0)*VLOOKUP(C228, Percentage_dist_journeys_by_purpose_and_distance_8km[#All],MATCH(A228, Percentage_dist_journeys_by_purpose_and_distance_8km[#Headers],0),0)/100</f>
        <v>0</v>
      </c>
      <c r="J228" s="73">
        <f>VLOOKUP(B228,Average_Distance_by_kilometres_grouping_for_trip_purpose[#All],MATCH(A228,Average_Distance_by_kilometres_grouping_for_trip_purpose[#Headers],0),0)</f>
        <v>1</v>
      </c>
      <c r="K228" s="77">
        <f>VLOOKUP(C228, Adjustment_factor_for_distance_based_on_trip_purpose[#All],MATCH(A228, Adjustment_factor_for_distance_based_on_trip_purpose[#Headers],0),0)</f>
        <v>0.66666666666666663</v>
      </c>
      <c r="L228" s="78" t="e">
        <f>VLOOKUP($L$2, Total_Journeys_Per_Year[#All],MATCH(A228, Total_Journeys_Per_Year[#Headers],0),0)</f>
        <v>#N/A</v>
      </c>
      <c r="M228" s="35" t="e">
        <f t="shared" si="3"/>
        <v>#N/A</v>
      </c>
      <c r="N228" s="35" t="e">
        <f>VLOOKUP($N$2, Private_Vehicle_Kilometres_Car_Stock[#All],MATCH(A228, Private_Vehicle_Kilometres_Car_Stock[#Headers],0),0)</f>
        <v>#N/A</v>
      </c>
    </row>
    <row r="229" spans="1:14" x14ac:dyDescent="0.25">
      <c r="A229" s="79" t="s">
        <v>36</v>
      </c>
      <c r="B229" s="13" t="s">
        <v>181</v>
      </c>
      <c r="C229" s="13" t="s">
        <v>48</v>
      </c>
      <c r="D229" s="5">
        <f>VLOOKUP(B229,Percentage_distribution_of_journey_distance_for_all_regions[#All],MATCH(A229,Percentage_distribution_of_journey_distance_for_all_regions[#Headers],0),0)/100</f>
        <v>0.13400000000000001</v>
      </c>
      <c r="E229" s="71">
        <f>IF(B229="&lt;2 kilometres",1,0)*VLOOKUP(C229, Percentage_dist_journeys_by_purpose_and_distance_to_2km[#All],MATCH(A229, Percentage_dist_journeys_by_purpose_and_distance_to_2km[#Headers],0),0)/100</f>
        <v>0</v>
      </c>
      <c r="F229" s="4">
        <f>IF(B229="2-4 kilometres",1,0)*VLOOKUP(C229, Percentage_dist_journeys_by_purpose_and_distance_2_to_4km[#All],MATCH(A229, Percentage_dist_journeys_by_purpose_and_distance_2_to_4km[#Headers],0),0)/100</f>
        <v>5.2000000000000005E-2</v>
      </c>
      <c r="G229" s="72">
        <f>IF(B229="4-6 kilometres",1,0)*VLOOKUP(C229, Percentage_dist_journeys_by_purpose_and_distance_4_to_6km[#All],MATCH(A229, Percentage_dist_journeys_by_purpose_and_distance_4_to_6km[#Headers],0),0)/100</f>
        <v>0</v>
      </c>
      <c r="H229" s="4">
        <f>IF(B229="6-8 kilometres",1,0)*VLOOKUP(C229, Percentage_dist_journeys_by_purpose_and_distance_6_to_8km[#All],MATCH(A229, Percentage_dist_journeys_by_purpose_and_distance_6_to_8km[#Headers],0),0)/100</f>
        <v>0</v>
      </c>
      <c r="I229" s="72">
        <f>IF(B229="8+ kilometres",1,0)*VLOOKUP(C229, Percentage_dist_journeys_by_purpose_and_distance_8km[#All],MATCH(A229, Percentage_dist_journeys_by_purpose_and_distance_8km[#Headers],0),0)/100</f>
        <v>0</v>
      </c>
      <c r="J229" s="73">
        <f>VLOOKUP(B229,Average_Distance_by_kilometres_grouping_for_trip_purpose[#All],MATCH(A229,Average_Distance_by_kilometres_grouping_for_trip_purpose[#Headers],0),0)</f>
        <v>3</v>
      </c>
      <c r="K229" s="77">
        <f>VLOOKUP(C229, Adjustment_factor_for_distance_based_on_trip_purpose[#All],MATCH(A229, Adjustment_factor_for_distance_based_on_trip_purpose[#Headers],0),0)</f>
        <v>0.66666666666666663</v>
      </c>
      <c r="L229" s="78" t="e">
        <f>VLOOKUP($L$2, Total_Journeys_Per_Year[#All],MATCH(A229, Total_Journeys_Per_Year[#Headers],0),0)</f>
        <v>#N/A</v>
      </c>
      <c r="M229" s="35" t="e">
        <f t="shared" si="3"/>
        <v>#N/A</v>
      </c>
      <c r="N229" s="35" t="e">
        <f>VLOOKUP($N$2, Private_Vehicle_Kilometres_Car_Stock[#All],MATCH(A229, Private_Vehicle_Kilometres_Car_Stock[#Headers],0),0)</f>
        <v>#N/A</v>
      </c>
    </row>
    <row r="230" spans="1:14" x14ac:dyDescent="0.25">
      <c r="A230" s="79" t="s">
        <v>36</v>
      </c>
      <c r="B230" s="13" t="s">
        <v>180</v>
      </c>
      <c r="C230" s="13" t="s">
        <v>48</v>
      </c>
      <c r="D230" s="5">
        <f>VLOOKUP(B230,Percentage_distribution_of_journey_distance_for_all_regions[#All],MATCH(A230,Percentage_distribution_of_journey_distance_for_all_regions[#Headers],0),0)/100</f>
        <v>0.11900000000000001</v>
      </c>
      <c r="E230" s="71">
        <f>IF(B230="&lt;2 kilometres",1,0)*VLOOKUP(C230, Percentage_dist_journeys_by_purpose_and_distance_to_2km[#All],MATCH(A230, Percentage_dist_journeys_by_purpose_and_distance_to_2km[#Headers],0),0)/100</f>
        <v>0</v>
      </c>
      <c r="F230" s="4">
        <f>IF(B230="2-4 kilometres",1,0)*VLOOKUP(C230, Percentage_dist_journeys_by_purpose_and_distance_2_to_4km[#All],MATCH(A230, Percentage_dist_journeys_by_purpose_and_distance_2_to_4km[#Headers],0),0)/100</f>
        <v>0</v>
      </c>
      <c r="G230" s="72">
        <f>IF(B230="4-6 kilometres",1,0)*VLOOKUP(C230, Percentage_dist_journeys_by_purpose_and_distance_4_to_6km[#All],MATCH(A230, Percentage_dist_journeys_by_purpose_and_distance_4_to_6km[#Headers],0),0)/100</f>
        <v>4.4999999999999998E-2</v>
      </c>
      <c r="H230" s="4">
        <f>IF(B230="6-8 kilometres",1,0)*VLOOKUP(C230, Percentage_dist_journeys_by_purpose_and_distance_6_to_8km[#All],MATCH(A230, Percentage_dist_journeys_by_purpose_and_distance_6_to_8km[#Headers],0),0)/100</f>
        <v>0</v>
      </c>
      <c r="I230" s="72">
        <f>IF(B230="8+ kilometres",1,0)*VLOOKUP(C230, Percentage_dist_journeys_by_purpose_and_distance_8km[#All],MATCH(A230, Percentage_dist_journeys_by_purpose_and_distance_8km[#Headers],0),0)/100</f>
        <v>0</v>
      </c>
      <c r="J230" s="73">
        <f>VLOOKUP(B230,Average_Distance_by_kilometres_grouping_for_trip_purpose[#All],MATCH(A230,Average_Distance_by_kilometres_grouping_for_trip_purpose[#Headers],0),0)</f>
        <v>5</v>
      </c>
      <c r="K230" s="77">
        <f>VLOOKUP(C230, Adjustment_factor_for_distance_based_on_trip_purpose[#All],MATCH(A230, Adjustment_factor_for_distance_based_on_trip_purpose[#Headers],0),0)</f>
        <v>0.66666666666666663</v>
      </c>
      <c r="L230" s="78" t="e">
        <f>VLOOKUP($L$2, Total_Journeys_Per_Year[#All],MATCH(A230, Total_Journeys_Per_Year[#Headers],0),0)</f>
        <v>#N/A</v>
      </c>
      <c r="M230" s="35" t="e">
        <f t="shared" si="3"/>
        <v>#N/A</v>
      </c>
      <c r="N230" s="35" t="e">
        <f>VLOOKUP($N$2, Private_Vehicle_Kilometres_Car_Stock[#All],MATCH(A230, Private_Vehicle_Kilometres_Car_Stock[#Headers],0),0)</f>
        <v>#N/A</v>
      </c>
    </row>
    <row r="231" spans="1:14" x14ac:dyDescent="0.25">
      <c r="A231" s="79" t="s">
        <v>36</v>
      </c>
      <c r="B231" s="13" t="s">
        <v>182</v>
      </c>
      <c r="C231" s="13" t="s">
        <v>48</v>
      </c>
      <c r="D231" s="5">
        <f>VLOOKUP(B231,Percentage_distribution_of_journey_distance_for_all_regions[#All],MATCH(A231,Percentage_distribution_of_journey_distance_for_all_regions[#Headers],0),0)/100</f>
        <v>5.9000000000000004E-2</v>
      </c>
      <c r="E231" s="71">
        <f>IF(B231="&lt;2 kilometres",1,0)*VLOOKUP(C231, Percentage_dist_journeys_by_purpose_and_distance_to_2km[#All],MATCH(A231, Percentage_dist_journeys_by_purpose_and_distance_to_2km[#Headers],0),0)/100</f>
        <v>0</v>
      </c>
      <c r="F231" s="4">
        <f>IF(B231="2-4 kilometres",1,0)*VLOOKUP(C231, Percentage_dist_journeys_by_purpose_and_distance_2_to_4km[#All],MATCH(A231, Percentage_dist_journeys_by_purpose_and_distance_2_to_4km[#Headers],0),0)/100</f>
        <v>0</v>
      </c>
      <c r="G231" s="72">
        <f>IF(B231="4-6 kilometres",1,0)*VLOOKUP(C231, Percentage_dist_journeys_by_purpose_and_distance_4_to_6km[#All],MATCH(A231, Percentage_dist_journeys_by_purpose_and_distance_4_to_6km[#Headers],0),0)/100</f>
        <v>0</v>
      </c>
      <c r="H231" s="4">
        <f>IF(B231="6-8 kilometres",1,0)*VLOOKUP(C231, Percentage_dist_journeys_by_purpose_and_distance_6_to_8km[#All],MATCH(A231, Percentage_dist_journeys_by_purpose_and_distance_6_to_8km[#Headers],0),0)/100</f>
        <v>0.04</v>
      </c>
      <c r="I231" s="72">
        <f>IF(B231="8+ kilometres",1,0)*VLOOKUP(C231, Percentage_dist_journeys_by_purpose_and_distance_8km[#All],MATCH(A231, Percentage_dist_journeys_by_purpose_and_distance_8km[#Headers],0),0)/100</f>
        <v>0</v>
      </c>
      <c r="J231" s="73">
        <f>VLOOKUP(B231,Average_Distance_by_kilometres_grouping_for_trip_purpose[#All],MATCH(A231,Average_Distance_by_kilometres_grouping_for_trip_purpose[#Headers],0),0)</f>
        <v>7</v>
      </c>
      <c r="K231" s="77">
        <f>VLOOKUP(C231, Adjustment_factor_for_distance_based_on_trip_purpose[#All],MATCH(A231, Adjustment_factor_for_distance_based_on_trip_purpose[#Headers],0),0)</f>
        <v>0.66666666666666663</v>
      </c>
      <c r="L231" s="78" t="e">
        <f>VLOOKUP($L$2, Total_Journeys_Per_Year[#All],MATCH(A231, Total_Journeys_Per_Year[#Headers],0),0)</f>
        <v>#N/A</v>
      </c>
      <c r="M231" s="35" t="e">
        <f t="shared" si="3"/>
        <v>#N/A</v>
      </c>
      <c r="N231" s="35" t="e">
        <f>VLOOKUP($N$2, Private_Vehicle_Kilometres_Car_Stock[#All],MATCH(A231, Private_Vehicle_Kilometres_Car_Stock[#Headers],0),0)</f>
        <v>#N/A</v>
      </c>
    </row>
    <row r="232" spans="1:14" x14ac:dyDescent="0.25">
      <c r="A232" s="79" t="s">
        <v>36</v>
      </c>
      <c r="B232" s="13" t="s">
        <v>1</v>
      </c>
      <c r="C232" s="13" t="s">
        <v>48</v>
      </c>
      <c r="D232" s="5">
        <f>VLOOKUP(B232,Percentage_distribution_of_journey_distance_for_all_regions[#All],MATCH(A232,Percentage_distribution_of_journey_distance_for_all_regions[#Headers],0),0)/100</f>
        <v>0.433</v>
      </c>
      <c r="E232" s="71">
        <f>IF(B232="&lt;2 kilometres",1,0)*VLOOKUP(C232, Percentage_dist_journeys_by_purpose_and_distance_to_2km[#All],MATCH(A232, Percentage_dist_journeys_by_purpose_and_distance_to_2km[#Headers],0),0)/100</f>
        <v>0</v>
      </c>
      <c r="F232" s="4">
        <f>IF(B232="2-4 kilometres",1,0)*VLOOKUP(C232, Percentage_dist_journeys_by_purpose_and_distance_2_to_4km[#All],MATCH(A232, Percentage_dist_journeys_by_purpose_and_distance_2_to_4km[#Headers],0),0)/100</f>
        <v>0</v>
      </c>
      <c r="G232" s="72">
        <f>IF(B232="4-6 kilometres",1,0)*VLOOKUP(C232, Percentage_dist_journeys_by_purpose_and_distance_4_to_6km[#All],MATCH(A232, Percentage_dist_journeys_by_purpose_and_distance_4_to_6km[#Headers],0),0)/100</f>
        <v>0</v>
      </c>
      <c r="H232" s="4">
        <f>IF(B232="6-8 kilometres",1,0)*VLOOKUP(C232, Percentage_dist_journeys_by_purpose_and_distance_6_to_8km[#All],MATCH(A232, Percentage_dist_journeys_by_purpose_and_distance_6_to_8km[#Headers],0),0)/100</f>
        <v>0</v>
      </c>
      <c r="I232" s="72">
        <f>IF(B232="8+ kilometres",1,0)*VLOOKUP(C232, Percentage_dist_journeys_by_purpose_and_distance_8km[#All],MATCH(A232, Percentage_dist_journeys_by_purpose_and_distance_8km[#Headers],0),0)/100</f>
        <v>6.7000000000000004E-2</v>
      </c>
      <c r="J232" s="73">
        <f>VLOOKUP(B232,Average_Distance_by_kilometres_grouping_for_trip_purpose[#All],MATCH(A232,Average_Distance_by_kilometres_grouping_for_trip_purpose[#Headers],0),0)</f>
        <v>43.24</v>
      </c>
      <c r="K232" s="77">
        <f>VLOOKUP(C232, Adjustment_factor_for_distance_based_on_trip_purpose[#All],MATCH(A232, Adjustment_factor_for_distance_based_on_trip_purpose[#Headers],0),0)</f>
        <v>0.66666666666666663</v>
      </c>
      <c r="L232" s="78" t="e">
        <f>VLOOKUP($L$2, Total_Journeys_Per_Year[#All],MATCH(A232, Total_Journeys_Per_Year[#Headers],0),0)</f>
        <v>#N/A</v>
      </c>
      <c r="M232" s="35" t="e">
        <f t="shared" si="3"/>
        <v>#N/A</v>
      </c>
      <c r="N232" s="35" t="e">
        <f>VLOOKUP($N$2, Private_Vehicle_Kilometres_Car_Stock[#All],MATCH(A232, Private_Vehicle_Kilometres_Car_Stock[#Headers],0),0)</f>
        <v>#N/A</v>
      </c>
    </row>
    <row r="233" spans="1:14" x14ac:dyDescent="0.25">
      <c r="A233" s="79" t="s">
        <v>36</v>
      </c>
      <c r="B233" s="13" t="s">
        <v>12</v>
      </c>
      <c r="C233" s="13" t="s">
        <v>49</v>
      </c>
      <c r="D233" s="5">
        <f>VLOOKUP(B233,Percentage_distribution_of_journey_distance_for_all_regions[#All],MATCH(A233,Percentage_distribution_of_journey_distance_for_all_regions[#Headers],0),0)/100</f>
        <v>0.255</v>
      </c>
      <c r="E233" s="71">
        <f>IF(B233="&lt;2 kilometres",1,0)*VLOOKUP(C233, Percentage_dist_journeys_by_purpose_and_distance_to_2km[#All],MATCH(A233, Percentage_dist_journeys_by_purpose_and_distance_to_2km[#Headers],0),0)/100</f>
        <v>0.185</v>
      </c>
      <c r="F233" s="4">
        <f>IF(B233="2-4 kilometres",1,0)*VLOOKUP(C233, Percentage_dist_journeys_by_purpose_and_distance_2_to_4km[#All],MATCH(A233, Percentage_dist_journeys_by_purpose_and_distance_2_to_4km[#Headers],0),0)/100</f>
        <v>0</v>
      </c>
      <c r="G233" s="72">
        <f>IF(B233="4-6 kilometres",1,0)*VLOOKUP(C233, Percentage_dist_journeys_by_purpose_and_distance_4_to_6km[#All],MATCH(A233, Percentage_dist_journeys_by_purpose_and_distance_4_to_6km[#Headers],0),0)/100</f>
        <v>0</v>
      </c>
      <c r="H233" s="4">
        <f>IF(B233="6-8 kilometres",1,0)*VLOOKUP(C233, Percentage_dist_journeys_by_purpose_and_distance_6_to_8km[#All],MATCH(A233, Percentage_dist_journeys_by_purpose_and_distance_6_to_8km[#Headers],0),0)/100</f>
        <v>0</v>
      </c>
      <c r="I233" s="72">
        <f>IF(B233="8+ kilometres",1,0)*VLOOKUP(C233, Percentage_dist_journeys_by_purpose_and_distance_8km[#All],MATCH(A233, Percentage_dist_journeys_by_purpose_and_distance_8km[#Headers],0),0)/100</f>
        <v>0</v>
      </c>
      <c r="J233" s="73">
        <f>VLOOKUP(B233,Average_Distance_by_kilometres_grouping_for_trip_purpose[#All],MATCH(A233,Average_Distance_by_kilometres_grouping_for_trip_purpose[#Headers],0),0)</f>
        <v>1</v>
      </c>
      <c r="K233" s="77">
        <f>VLOOKUP(C233, Adjustment_factor_for_distance_based_on_trip_purpose[#All],MATCH(A233, Adjustment_factor_for_distance_based_on_trip_purpose[#Headers],0),0)</f>
        <v>1.2222222222222223</v>
      </c>
      <c r="L233" s="78" t="e">
        <f>VLOOKUP($L$2, Total_Journeys_Per_Year[#All],MATCH(A233, Total_Journeys_Per_Year[#Headers],0),0)</f>
        <v>#N/A</v>
      </c>
      <c r="M233" s="35" t="e">
        <f t="shared" si="3"/>
        <v>#N/A</v>
      </c>
      <c r="N233" s="35" t="e">
        <f>VLOOKUP($N$2, Private_Vehicle_Kilometres_Car_Stock[#All],MATCH(A233, Private_Vehicle_Kilometres_Car_Stock[#Headers],0),0)</f>
        <v>#N/A</v>
      </c>
    </row>
    <row r="234" spans="1:14" x14ac:dyDescent="0.25">
      <c r="A234" s="79" t="s">
        <v>36</v>
      </c>
      <c r="B234" s="13" t="s">
        <v>181</v>
      </c>
      <c r="C234" s="13" t="s">
        <v>49</v>
      </c>
      <c r="D234" s="5">
        <f>VLOOKUP(B234,Percentage_distribution_of_journey_distance_for_all_regions[#All],MATCH(A234,Percentage_distribution_of_journey_distance_for_all_regions[#Headers],0),0)/100</f>
        <v>0.13400000000000001</v>
      </c>
      <c r="E234" s="71">
        <f>IF(B234="&lt;2 kilometres",1,0)*VLOOKUP(C234, Percentage_dist_journeys_by_purpose_and_distance_to_2km[#All],MATCH(A234, Percentage_dist_journeys_by_purpose_and_distance_to_2km[#Headers],0),0)/100</f>
        <v>0</v>
      </c>
      <c r="F234" s="4">
        <f>IF(B234="2-4 kilometres",1,0)*VLOOKUP(C234, Percentage_dist_journeys_by_purpose_and_distance_2_to_4km[#All],MATCH(A234, Percentage_dist_journeys_by_purpose_and_distance_2_to_4km[#Headers],0),0)/100</f>
        <v>0.18899999999999997</v>
      </c>
      <c r="G234" s="72">
        <f>IF(B234="4-6 kilometres",1,0)*VLOOKUP(C234, Percentage_dist_journeys_by_purpose_and_distance_4_to_6km[#All],MATCH(A234, Percentage_dist_journeys_by_purpose_and_distance_4_to_6km[#Headers],0),0)/100</f>
        <v>0</v>
      </c>
      <c r="H234" s="4">
        <f>IF(B234="6-8 kilometres",1,0)*VLOOKUP(C234, Percentage_dist_journeys_by_purpose_and_distance_6_to_8km[#All],MATCH(A234, Percentage_dist_journeys_by_purpose_and_distance_6_to_8km[#Headers],0),0)/100</f>
        <v>0</v>
      </c>
      <c r="I234" s="72">
        <f>IF(B234="8+ kilometres",1,0)*VLOOKUP(C234, Percentage_dist_journeys_by_purpose_and_distance_8km[#All],MATCH(A234, Percentage_dist_journeys_by_purpose_and_distance_8km[#Headers],0),0)/100</f>
        <v>0</v>
      </c>
      <c r="J234" s="73">
        <f>VLOOKUP(B234,Average_Distance_by_kilometres_grouping_for_trip_purpose[#All],MATCH(A234,Average_Distance_by_kilometres_grouping_for_trip_purpose[#Headers],0),0)</f>
        <v>3</v>
      </c>
      <c r="K234" s="77">
        <f>VLOOKUP(C234, Adjustment_factor_for_distance_based_on_trip_purpose[#All],MATCH(A234, Adjustment_factor_for_distance_based_on_trip_purpose[#Headers],0),0)</f>
        <v>1.2222222222222223</v>
      </c>
      <c r="L234" s="78" t="e">
        <f>VLOOKUP($L$2, Total_Journeys_Per_Year[#All],MATCH(A234, Total_Journeys_Per_Year[#Headers],0),0)</f>
        <v>#N/A</v>
      </c>
      <c r="M234" s="35" t="e">
        <f t="shared" si="3"/>
        <v>#N/A</v>
      </c>
      <c r="N234" s="35" t="e">
        <f>VLOOKUP($N$2, Private_Vehicle_Kilometres_Car_Stock[#All],MATCH(A234, Private_Vehicle_Kilometres_Car_Stock[#Headers],0),0)</f>
        <v>#N/A</v>
      </c>
    </row>
    <row r="235" spans="1:14" x14ac:dyDescent="0.25">
      <c r="A235" s="79" t="s">
        <v>36</v>
      </c>
      <c r="B235" s="13" t="s">
        <v>180</v>
      </c>
      <c r="C235" s="13" t="s">
        <v>49</v>
      </c>
      <c r="D235" s="5">
        <f>VLOOKUP(B235,Percentage_distribution_of_journey_distance_for_all_regions[#All],MATCH(A235,Percentage_distribution_of_journey_distance_for_all_regions[#Headers],0),0)/100</f>
        <v>0.11900000000000001</v>
      </c>
      <c r="E235" s="71">
        <f>IF(B235="&lt;2 kilometres",1,0)*VLOOKUP(C235, Percentage_dist_journeys_by_purpose_and_distance_to_2km[#All],MATCH(A235, Percentage_dist_journeys_by_purpose_and_distance_to_2km[#Headers],0),0)/100</f>
        <v>0</v>
      </c>
      <c r="F235" s="4">
        <f>IF(B235="2-4 kilometres",1,0)*VLOOKUP(C235, Percentage_dist_journeys_by_purpose_and_distance_2_to_4km[#All],MATCH(A235, Percentage_dist_journeys_by_purpose_and_distance_2_to_4km[#Headers],0),0)/100</f>
        <v>0</v>
      </c>
      <c r="G235" s="72">
        <f>IF(B235="4-6 kilometres",1,0)*VLOOKUP(C235, Percentage_dist_journeys_by_purpose_and_distance_4_to_6km[#All],MATCH(A235, Percentage_dist_journeys_by_purpose_and_distance_4_to_6km[#Headers],0),0)/100</f>
        <v>0.17699999999999999</v>
      </c>
      <c r="H235" s="4">
        <f>IF(B235="6-8 kilometres",1,0)*VLOOKUP(C235, Percentage_dist_journeys_by_purpose_and_distance_6_to_8km[#All],MATCH(A235, Percentage_dist_journeys_by_purpose_and_distance_6_to_8km[#Headers],0),0)/100</f>
        <v>0</v>
      </c>
      <c r="I235" s="72">
        <f>IF(B235="8+ kilometres",1,0)*VLOOKUP(C235, Percentage_dist_journeys_by_purpose_and_distance_8km[#All],MATCH(A235, Percentage_dist_journeys_by_purpose_and_distance_8km[#Headers],0),0)/100</f>
        <v>0</v>
      </c>
      <c r="J235" s="73">
        <f>VLOOKUP(B235,Average_Distance_by_kilometres_grouping_for_trip_purpose[#All],MATCH(A235,Average_Distance_by_kilometres_grouping_for_trip_purpose[#Headers],0),0)</f>
        <v>5</v>
      </c>
      <c r="K235" s="77">
        <f>VLOOKUP(C235, Adjustment_factor_for_distance_based_on_trip_purpose[#All],MATCH(A235, Adjustment_factor_for_distance_based_on_trip_purpose[#Headers],0),0)</f>
        <v>1.2222222222222223</v>
      </c>
      <c r="L235" s="78" t="e">
        <f>VLOOKUP($L$2, Total_Journeys_Per_Year[#All],MATCH(A235, Total_Journeys_Per_Year[#Headers],0),0)</f>
        <v>#N/A</v>
      </c>
      <c r="M235" s="35" t="e">
        <f t="shared" si="3"/>
        <v>#N/A</v>
      </c>
      <c r="N235" s="35" t="e">
        <f>VLOOKUP($N$2, Private_Vehicle_Kilometres_Car_Stock[#All],MATCH(A235, Private_Vehicle_Kilometres_Car_Stock[#Headers],0),0)</f>
        <v>#N/A</v>
      </c>
    </row>
    <row r="236" spans="1:14" x14ac:dyDescent="0.25">
      <c r="A236" s="79" t="s">
        <v>36</v>
      </c>
      <c r="B236" s="13" t="s">
        <v>182</v>
      </c>
      <c r="C236" s="13" t="s">
        <v>49</v>
      </c>
      <c r="D236" s="5">
        <f>VLOOKUP(B236,Percentage_distribution_of_journey_distance_for_all_regions[#All],MATCH(A236,Percentage_distribution_of_journey_distance_for_all_regions[#Headers],0),0)/100</f>
        <v>5.9000000000000004E-2</v>
      </c>
      <c r="E236" s="71">
        <f>IF(B236="&lt;2 kilometres",1,0)*VLOOKUP(C236, Percentage_dist_journeys_by_purpose_and_distance_to_2km[#All],MATCH(A236, Percentage_dist_journeys_by_purpose_and_distance_to_2km[#Headers],0),0)/100</f>
        <v>0</v>
      </c>
      <c r="F236" s="4">
        <f>IF(B236="2-4 kilometres",1,0)*VLOOKUP(C236, Percentage_dist_journeys_by_purpose_and_distance_2_to_4km[#All],MATCH(A236, Percentage_dist_journeys_by_purpose_and_distance_2_to_4km[#Headers],0),0)/100</f>
        <v>0</v>
      </c>
      <c r="G236" s="72">
        <f>IF(B236="4-6 kilometres",1,0)*VLOOKUP(C236, Percentage_dist_journeys_by_purpose_and_distance_4_to_6km[#All],MATCH(A236, Percentage_dist_journeys_by_purpose_and_distance_4_to_6km[#Headers],0),0)/100</f>
        <v>0</v>
      </c>
      <c r="H236" s="4">
        <f>IF(B236="6-8 kilometres",1,0)*VLOOKUP(C236, Percentage_dist_journeys_by_purpose_and_distance_6_to_8km[#All],MATCH(A236, Percentage_dist_journeys_by_purpose_and_distance_6_to_8km[#Headers],0),0)/100</f>
        <v>0.19</v>
      </c>
      <c r="I236" s="72">
        <f>IF(B236="8+ kilometres",1,0)*VLOOKUP(C236, Percentage_dist_journeys_by_purpose_and_distance_8km[#All],MATCH(A236, Percentage_dist_journeys_by_purpose_and_distance_8km[#Headers],0),0)/100</f>
        <v>0</v>
      </c>
      <c r="J236" s="73">
        <f>VLOOKUP(B236,Average_Distance_by_kilometres_grouping_for_trip_purpose[#All],MATCH(A236,Average_Distance_by_kilometres_grouping_for_trip_purpose[#Headers],0),0)</f>
        <v>7</v>
      </c>
      <c r="K236" s="77">
        <f>VLOOKUP(C236, Adjustment_factor_for_distance_based_on_trip_purpose[#All],MATCH(A236, Adjustment_factor_for_distance_based_on_trip_purpose[#Headers],0),0)</f>
        <v>1.2222222222222223</v>
      </c>
      <c r="L236" s="78" t="e">
        <f>VLOOKUP($L$2, Total_Journeys_Per_Year[#All],MATCH(A236, Total_Journeys_Per_Year[#Headers],0),0)</f>
        <v>#N/A</v>
      </c>
      <c r="M236" s="35" t="e">
        <f t="shared" si="3"/>
        <v>#N/A</v>
      </c>
      <c r="N236" s="35" t="e">
        <f>VLOOKUP($N$2, Private_Vehicle_Kilometres_Car_Stock[#All],MATCH(A236, Private_Vehicle_Kilometres_Car_Stock[#Headers],0),0)</f>
        <v>#N/A</v>
      </c>
    </row>
    <row r="237" spans="1:14" x14ac:dyDescent="0.25">
      <c r="A237" s="79" t="s">
        <v>36</v>
      </c>
      <c r="B237" s="13" t="s">
        <v>1</v>
      </c>
      <c r="C237" s="13" t="s">
        <v>49</v>
      </c>
      <c r="D237" s="5">
        <f>VLOOKUP(B237,Percentage_distribution_of_journey_distance_for_all_regions[#All],MATCH(A237,Percentage_distribution_of_journey_distance_for_all_regions[#Headers],0),0)/100</f>
        <v>0.433</v>
      </c>
      <c r="E237" s="71">
        <f>IF(B237="&lt;2 kilometres",1,0)*VLOOKUP(C237, Percentage_dist_journeys_by_purpose_and_distance_to_2km[#All],MATCH(A237, Percentage_dist_journeys_by_purpose_and_distance_to_2km[#Headers],0),0)/100</f>
        <v>0</v>
      </c>
      <c r="F237" s="4">
        <f>IF(B237="2-4 kilometres",1,0)*VLOOKUP(C237, Percentage_dist_journeys_by_purpose_and_distance_2_to_4km[#All],MATCH(A237, Percentage_dist_journeys_by_purpose_and_distance_2_to_4km[#Headers],0),0)/100</f>
        <v>0</v>
      </c>
      <c r="G237" s="72">
        <f>IF(B237="4-6 kilometres",1,0)*VLOOKUP(C237, Percentage_dist_journeys_by_purpose_and_distance_4_to_6km[#All],MATCH(A237, Percentage_dist_journeys_by_purpose_and_distance_4_to_6km[#Headers],0),0)/100</f>
        <v>0</v>
      </c>
      <c r="H237" s="4">
        <f>IF(B237="6-8 kilometres",1,0)*VLOOKUP(C237, Percentage_dist_journeys_by_purpose_and_distance_6_to_8km[#All],MATCH(A237, Percentage_dist_journeys_by_purpose_and_distance_6_to_8km[#Headers],0),0)/100</f>
        <v>0</v>
      </c>
      <c r="I237" s="72">
        <f>IF(B237="8+ kilometres",1,0)*VLOOKUP(C237, Percentage_dist_journeys_by_purpose_and_distance_8km[#All],MATCH(A237, Percentage_dist_journeys_by_purpose_and_distance_8km[#Headers],0),0)/100</f>
        <v>0.107</v>
      </c>
      <c r="J237" s="73">
        <f>VLOOKUP(B237,Average_Distance_by_kilometres_grouping_for_trip_purpose[#All],MATCH(A237,Average_Distance_by_kilometres_grouping_for_trip_purpose[#Headers],0),0)</f>
        <v>43.24</v>
      </c>
      <c r="K237" s="77">
        <f>VLOOKUP(C237, Adjustment_factor_for_distance_based_on_trip_purpose[#All],MATCH(A237, Adjustment_factor_for_distance_based_on_trip_purpose[#Headers],0),0)</f>
        <v>1.2222222222222223</v>
      </c>
      <c r="L237" s="78" t="e">
        <f>VLOOKUP($L$2, Total_Journeys_Per_Year[#All],MATCH(A237, Total_Journeys_Per_Year[#Headers],0),0)</f>
        <v>#N/A</v>
      </c>
      <c r="M237" s="35" t="e">
        <f t="shared" si="3"/>
        <v>#N/A</v>
      </c>
      <c r="N237" s="35" t="e">
        <f>VLOOKUP($N$2, Private_Vehicle_Kilometres_Car_Stock[#All],MATCH(A237, Private_Vehicle_Kilometres_Car_Stock[#Headers],0),0)</f>
        <v>#N/A</v>
      </c>
    </row>
    <row r="238" spans="1:14" x14ac:dyDescent="0.25">
      <c r="A238" s="79" t="s">
        <v>36</v>
      </c>
      <c r="B238" s="13" t="s">
        <v>12</v>
      </c>
      <c r="C238" s="13" t="s">
        <v>50</v>
      </c>
      <c r="D238" s="5">
        <f>VLOOKUP(B238,Percentage_distribution_of_journey_distance_for_all_regions[#All],MATCH(A238,Percentage_distribution_of_journey_distance_for_all_regions[#Headers],0),0)/100</f>
        <v>0.255</v>
      </c>
      <c r="E238" s="71">
        <f>IF(B238="&lt;2 kilometres",1,0)*VLOOKUP(C238, Percentage_dist_journeys_by_purpose_and_distance_to_2km[#All],MATCH(A238, Percentage_dist_journeys_by_purpose_and_distance_to_2km[#Headers],0),0)/100</f>
        <v>4.2000000000000003E-2</v>
      </c>
      <c r="F238" s="4">
        <f>IF(B238="2-4 kilometres",1,0)*VLOOKUP(C238, Percentage_dist_journeys_by_purpose_and_distance_2_to_4km[#All],MATCH(A238, Percentage_dist_journeys_by_purpose_and_distance_2_to_4km[#Headers],0),0)/100</f>
        <v>0</v>
      </c>
      <c r="G238" s="72">
        <f>IF(B238="4-6 kilometres",1,0)*VLOOKUP(C238, Percentage_dist_journeys_by_purpose_and_distance_4_to_6km[#All],MATCH(A238, Percentage_dist_journeys_by_purpose_and_distance_4_to_6km[#Headers],0),0)/100</f>
        <v>0</v>
      </c>
      <c r="H238" s="4">
        <f>IF(B238="6-8 kilometres",1,0)*VLOOKUP(C238, Percentage_dist_journeys_by_purpose_and_distance_6_to_8km[#All],MATCH(A238, Percentage_dist_journeys_by_purpose_and_distance_6_to_8km[#Headers],0),0)/100</f>
        <v>0</v>
      </c>
      <c r="I238" s="72">
        <f>IF(B238="8+ kilometres",1,0)*VLOOKUP(C238, Percentage_dist_journeys_by_purpose_and_distance_8km[#All],MATCH(A238, Percentage_dist_journeys_by_purpose_and_distance_8km[#Headers],0),0)/100</f>
        <v>0</v>
      </c>
      <c r="J238" s="73">
        <f>VLOOKUP(B238,Average_Distance_by_kilometres_grouping_for_trip_purpose[#All],MATCH(A238,Average_Distance_by_kilometres_grouping_for_trip_purpose[#Headers],0),0)</f>
        <v>1</v>
      </c>
      <c r="K238" s="77">
        <f>VLOOKUP(C238, Adjustment_factor_for_distance_based_on_trip_purpose[#All],MATCH(A238, Adjustment_factor_for_distance_based_on_trip_purpose[#Headers],0),0)</f>
        <v>0.77777777777777779</v>
      </c>
      <c r="L238" s="78" t="e">
        <f>VLOOKUP($L$2, Total_Journeys_Per_Year[#All],MATCH(A238, Total_Journeys_Per_Year[#Headers],0),0)</f>
        <v>#N/A</v>
      </c>
      <c r="M238" s="35" t="e">
        <f t="shared" si="3"/>
        <v>#N/A</v>
      </c>
      <c r="N238" s="35" t="e">
        <f>VLOOKUP($N$2, Private_Vehicle_Kilometres_Car_Stock[#All],MATCH(A238, Private_Vehicle_Kilometres_Car_Stock[#Headers],0),0)</f>
        <v>#N/A</v>
      </c>
    </row>
    <row r="239" spans="1:14" x14ac:dyDescent="0.25">
      <c r="A239" s="79" t="s">
        <v>36</v>
      </c>
      <c r="B239" s="13" t="s">
        <v>181</v>
      </c>
      <c r="C239" s="13" t="s">
        <v>50</v>
      </c>
      <c r="D239" s="5">
        <f>VLOOKUP(B239,Percentage_distribution_of_journey_distance_for_all_regions[#All],MATCH(A239,Percentage_distribution_of_journey_distance_for_all_regions[#Headers],0),0)/100</f>
        <v>0.13400000000000001</v>
      </c>
      <c r="E239" s="71">
        <f>IF(B239="&lt;2 kilometres",1,0)*VLOOKUP(C239, Percentage_dist_journeys_by_purpose_and_distance_to_2km[#All],MATCH(A239, Percentage_dist_journeys_by_purpose_and_distance_to_2km[#Headers],0),0)/100</f>
        <v>0</v>
      </c>
      <c r="F239" s="4">
        <f>IF(B239="2-4 kilometres",1,0)*VLOOKUP(C239, Percentage_dist_journeys_by_purpose_and_distance_2_to_4km[#All],MATCH(A239, Percentage_dist_journeys_by_purpose_and_distance_2_to_4km[#Headers],0),0)/100</f>
        <v>4.2000000000000003E-2</v>
      </c>
      <c r="G239" s="72">
        <f>IF(B239="4-6 kilometres",1,0)*VLOOKUP(C239, Percentage_dist_journeys_by_purpose_and_distance_4_to_6km[#All],MATCH(A239, Percentage_dist_journeys_by_purpose_and_distance_4_to_6km[#Headers],0),0)/100</f>
        <v>0</v>
      </c>
      <c r="H239" s="4">
        <f>IF(B239="6-8 kilometres",1,0)*VLOOKUP(C239, Percentage_dist_journeys_by_purpose_and_distance_6_to_8km[#All],MATCH(A239, Percentage_dist_journeys_by_purpose_and_distance_6_to_8km[#Headers],0),0)/100</f>
        <v>0</v>
      </c>
      <c r="I239" s="72">
        <f>IF(B239="8+ kilometres",1,0)*VLOOKUP(C239, Percentage_dist_journeys_by_purpose_and_distance_8km[#All],MATCH(A239, Percentage_dist_journeys_by_purpose_and_distance_8km[#Headers],0),0)/100</f>
        <v>0</v>
      </c>
      <c r="J239" s="73">
        <f>VLOOKUP(B239,Average_Distance_by_kilometres_grouping_for_trip_purpose[#All],MATCH(A239,Average_Distance_by_kilometres_grouping_for_trip_purpose[#Headers],0),0)</f>
        <v>3</v>
      </c>
      <c r="K239" s="77">
        <f>VLOOKUP(C239, Adjustment_factor_for_distance_based_on_trip_purpose[#All],MATCH(A239, Adjustment_factor_for_distance_based_on_trip_purpose[#Headers],0),0)</f>
        <v>0.77777777777777779</v>
      </c>
      <c r="L239" s="78" t="e">
        <f>VLOOKUP($L$2, Total_Journeys_Per_Year[#All],MATCH(A239, Total_Journeys_Per_Year[#Headers],0),0)</f>
        <v>#N/A</v>
      </c>
      <c r="M239" s="35" t="e">
        <f t="shared" si="3"/>
        <v>#N/A</v>
      </c>
      <c r="N239" s="35" t="e">
        <f>VLOOKUP($N$2, Private_Vehicle_Kilometres_Car_Stock[#All],MATCH(A239, Private_Vehicle_Kilometres_Car_Stock[#Headers],0),0)</f>
        <v>#N/A</v>
      </c>
    </row>
    <row r="240" spans="1:14" x14ac:dyDescent="0.25">
      <c r="A240" s="79" t="s">
        <v>36</v>
      </c>
      <c r="B240" s="13" t="s">
        <v>180</v>
      </c>
      <c r="C240" s="13" t="s">
        <v>50</v>
      </c>
      <c r="D240" s="5">
        <f>VLOOKUP(B240,Percentage_distribution_of_journey_distance_for_all_regions[#All],MATCH(A240,Percentage_distribution_of_journey_distance_for_all_regions[#Headers],0),0)/100</f>
        <v>0.11900000000000001</v>
      </c>
      <c r="E240" s="71">
        <f>IF(B240="&lt;2 kilometres",1,0)*VLOOKUP(C240, Percentage_dist_journeys_by_purpose_and_distance_to_2km[#All],MATCH(A240, Percentage_dist_journeys_by_purpose_and_distance_to_2km[#Headers],0),0)/100</f>
        <v>0</v>
      </c>
      <c r="F240" s="4">
        <f>IF(B240="2-4 kilometres",1,0)*VLOOKUP(C240, Percentage_dist_journeys_by_purpose_and_distance_2_to_4km[#All],MATCH(A240, Percentage_dist_journeys_by_purpose_and_distance_2_to_4km[#Headers],0),0)/100</f>
        <v>0</v>
      </c>
      <c r="G240" s="72">
        <f>IF(B240="4-6 kilometres",1,0)*VLOOKUP(C240, Percentage_dist_journeys_by_purpose_and_distance_4_to_6km[#All],MATCH(A240, Percentage_dist_journeys_by_purpose_and_distance_4_to_6km[#Headers],0),0)/100</f>
        <v>4.9000000000000002E-2</v>
      </c>
      <c r="H240" s="4">
        <f>IF(B240="6-8 kilometres",1,0)*VLOOKUP(C240, Percentage_dist_journeys_by_purpose_and_distance_6_to_8km[#All],MATCH(A240, Percentage_dist_journeys_by_purpose_and_distance_6_to_8km[#Headers],0),0)/100</f>
        <v>0</v>
      </c>
      <c r="I240" s="72">
        <f>IF(B240="8+ kilometres",1,0)*VLOOKUP(C240, Percentage_dist_journeys_by_purpose_and_distance_8km[#All],MATCH(A240, Percentage_dist_journeys_by_purpose_and_distance_8km[#Headers],0),0)/100</f>
        <v>0</v>
      </c>
      <c r="J240" s="73">
        <f>VLOOKUP(B240,Average_Distance_by_kilometres_grouping_for_trip_purpose[#All],MATCH(A240,Average_Distance_by_kilometres_grouping_for_trip_purpose[#Headers],0),0)</f>
        <v>5</v>
      </c>
      <c r="K240" s="77">
        <f>VLOOKUP(C240, Adjustment_factor_for_distance_based_on_trip_purpose[#All],MATCH(A240, Adjustment_factor_for_distance_based_on_trip_purpose[#Headers],0),0)</f>
        <v>0.77777777777777779</v>
      </c>
      <c r="L240" s="78" t="e">
        <f>VLOOKUP($L$2, Total_Journeys_Per_Year[#All],MATCH(A240, Total_Journeys_Per_Year[#Headers],0),0)</f>
        <v>#N/A</v>
      </c>
      <c r="M240" s="35" t="e">
        <f t="shared" si="3"/>
        <v>#N/A</v>
      </c>
      <c r="N240" s="35" t="e">
        <f>VLOOKUP($N$2, Private_Vehicle_Kilometres_Car_Stock[#All],MATCH(A240, Private_Vehicle_Kilometres_Car_Stock[#Headers],0),0)</f>
        <v>#N/A</v>
      </c>
    </row>
    <row r="241" spans="1:14" x14ac:dyDescent="0.25">
      <c r="A241" s="79" t="s">
        <v>36</v>
      </c>
      <c r="B241" s="13" t="s">
        <v>182</v>
      </c>
      <c r="C241" s="13" t="s">
        <v>50</v>
      </c>
      <c r="D241" s="5">
        <f>VLOOKUP(B241,Percentage_distribution_of_journey_distance_for_all_regions[#All],MATCH(A241,Percentage_distribution_of_journey_distance_for_all_regions[#Headers],0),0)/100</f>
        <v>5.9000000000000004E-2</v>
      </c>
      <c r="E241" s="71">
        <f>IF(B241="&lt;2 kilometres",1,0)*VLOOKUP(C241, Percentage_dist_journeys_by_purpose_and_distance_to_2km[#All],MATCH(A241, Percentage_dist_journeys_by_purpose_and_distance_to_2km[#Headers],0),0)/100</f>
        <v>0</v>
      </c>
      <c r="F241" s="4">
        <f>IF(B241="2-4 kilometres",1,0)*VLOOKUP(C241, Percentage_dist_journeys_by_purpose_and_distance_2_to_4km[#All],MATCH(A241, Percentage_dist_journeys_by_purpose_and_distance_2_to_4km[#Headers],0),0)/100</f>
        <v>0</v>
      </c>
      <c r="G241" s="72">
        <f>IF(B241="4-6 kilometres",1,0)*VLOOKUP(C241, Percentage_dist_journeys_by_purpose_and_distance_4_to_6km[#All],MATCH(A241, Percentage_dist_journeys_by_purpose_and_distance_4_to_6km[#Headers],0),0)/100</f>
        <v>0</v>
      </c>
      <c r="H241" s="4">
        <f>IF(B241="6-8 kilometres",1,0)*VLOOKUP(C241, Percentage_dist_journeys_by_purpose_and_distance_6_to_8km[#All],MATCH(A241, Percentage_dist_journeys_by_purpose_and_distance_6_to_8km[#Headers],0),0)/100</f>
        <v>2.7999999999999997E-2</v>
      </c>
      <c r="I241" s="72">
        <f>IF(B241="8+ kilometres",1,0)*VLOOKUP(C241, Percentage_dist_journeys_by_purpose_and_distance_8km[#All],MATCH(A241, Percentage_dist_journeys_by_purpose_and_distance_8km[#Headers],0),0)/100</f>
        <v>0</v>
      </c>
      <c r="J241" s="73">
        <f>VLOOKUP(B241,Average_Distance_by_kilometres_grouping_for_trip_purpose[#All],MATCH(A241,Average_Distance_by_kilometres_grouping_for_trip_purpose[#Headers],0),0)</f>
        <v>7</v>
      </c>
      <c r="K241" s="77">
        <f>VLOOKUP(C241, Adjustment_factor_for_distance_based_on_trip_purpose[#All],MATCH(A241, Adjustment_factor_for_distance_based_on_trip_purpose[#Headers],0),0)</f>
        <v>0.77777777777777779</v>
      </c>
      <c r="L241" s="78" t="e">
        <f>VLOOKUP($L$2, Total_Journeys_Per_Year[#All],MATCH(A241, Total_Journeys_Per_Year[#Headers],0),0)</f>
        <v>#N/A</v>
      </c>
      <c r="M241" s="35" t="e">
        <f t="shared" si="3"/>
        <v>#N/A</v>
      </c>
      <c r="N241" s="35" t="e">
        <f>VLOOKUP($N$2, Private_Vehicle_Kilometres_Car_Stock[#All],MATCH(A241, Private_Vehicle_Kilometres_Car_Stock[#Headers],0),0)</f>
        <v>#N/A</v>
      </c>
    </row>
    <row r="242" spans="1:14" x14ac:dyDescent="0.25">
      <c r="A242" s="79" t="s">
        <v>36</v>
      </c>
      <c r="B242" s="13" t="s">
        <v>1</v>
      </c>
      <c r="C242" s="13" t="s">
        <v>50</v>
      </c>
      <c r="D242" s="5">
        <f>VLOOKUP(B242,Percentage_distribution_of_journey_distance_for_all_regions[#All],MATCH(A242,Percentage_distribution_of_journey_distance_for_all_regions[#Headers],0),0)/100</f>
        <v>0.433</v>
      </c>
      <c r="E242" s="71">
        <f>IF(B242="&lt;2 kilometres",1,0)*VLOOKUP(C242, Percentage_dist_journeys_by_purpose_and_distance_to_2km[#All],MATCH(A242, Percentage_dist_journeys_by_purpose_and_distance_to_2km[#Headers],0),0)/100</f>
        <v>0</v>
      </c>
      <c r="F242" s="4">
        <f>IF(B242="2-4 kilometres",1,0)*VLOOKUP(C242, Percentage_dist_journeys_by_purpose_and_distance_2_to_4km[#All],MATCH(A242, Percentage_dist_journeys_by_purpose_and_distance_2_to_4km[#Headers],0),0)/100</f>
        <v>0</v>
      </c>
      <c r="G242" s="72">
        <f>IF(B242="4-6 kilometres",1,0)*VLOOKUP(C242, Percentage_dist_journeys_by_purpose_and_distance_4_to_6km[#All],MATCH(A242, Percentage_dist_journeys_by_purpose_and_distance_4_to_6km[#Headers],0),0)/100</f>
        <v>0</v>
      </c>
      <c r="H242" s="4">
        <f>IF(B242="6-8 kilometres",1,0)*VLOOKUP(C242, Percentage_dist_journeys_by_purpose_and_distance_6_to_8km[#All],MATCH(A242, Percentage_dist_journeys_by_purpose_and_distance_6_to_8km[#Headers],0),0)/100</f>
        <v>0</v>
      </c>
      <c r="I242" s="72">
        <f>IF(B242="8+ kilometres",1,0)*VLOOKUP(C242, Percentage_dist_journeys_by_purpose_and_distance_8km[#All],MATCH(A242, Percentage_dist_journeys_by_purpose_and_distance_8km[#Headers],0),0)/100</f>
        <v>3.3000000000000002E-2</v>
      </c>
      <c r="J242" s="73">
        <f>VLOOKUP(B242,Average_Distance_by_kilometres_grouping_for_trip_purpose[#All],MATCH(A242,Average_Distance_by_kilometres_grouping_for_trip_purpose[#Headers],0),0)</f>
        <v>43.24</v>
      </c>
      <c r="K242" s="77">
        <f>VLOOKUP(C242, Adjustment_factor_for_distance_based_on_trip_purpose[#All],MATCH(A242, Adjustment_factor_for_distance_based_on_trip_purpose[#Headers],0),0)</f>
        <v>0.77777777777777779</v>
      </c>
      <c r="L242" s="78" t="e">
        <f>VLOOKUP($L$2, Total_Journeys_Per_Year[#All],MATCH(A242, Total_Journeys_Per_Year[#Headers],0),0)</f>
        <v>#N/A</v>
      </c>
      <c r="M242" s="35" t="e">
        <f t="shared" si="3"/>
        <v>#N/A</v>
      </c>
      <c r="N242" s="35" t="e">
        <f>VLOOKUP($N$2, Private_Vehicle_Kilometres_Car_Stock[#All],MATCH(A242, Private_Vehicle_Kilometres_Car_Stock[#Headers],0),0)</f>
        <v>#N/A</v>
      </c>
    </row>
    <row r="243" spans="1:14" x14ac:dyDescent="0.25">
      <c r="A243" s="79" t="s">
        <v>39</v>
      </c>
      <c r="B243" s="13" t="s">
        <v>12</v>
      </c>
      <c r="C243" s="13" t="s">
        <v>42</v>
      </c>
      <c r="D243" s="5">
        <f>VLOOKUP(B243,Percentage_distribution_of_journey_distance_for_all_regions[#All],MATCH(A243,Percentage_distribution_of_journey_distance_for_all_regions[#Headers],0),0)/100</f>
        <v>0.28600000000000003</v>
      </c>
      <c r="E243" s="71">
        <f>IF(B243="&lt;2 kilometres",1,0)*VLOOKUP(C243, Percentage_dist_journeys_by_purpose_and_distance_to_2km[#All],MATCH(A243, Percentage_dist_journeys_by_purpose_and_distance_to_2km[#Headers],0),0)/100</f>
        <v>0.14199999999999999</v>
      </c>
      <c r="F243" s="4">
        <f>IF(B243="2-4 kilometres",1,0)*VLOOKUP(C243, Percentage_dist_journeys_by_purpose_and_distance_2_to_4km[#All],MATCH(A243, Percentage_dist_journeys_by_purpose_and_distance_2_to_4km[#Headers],0),0)/100</f>
        <v>0</v>
      </c>
      <c r="G243" s="72">
        <f>IF(B243="4-6 kilometres",1,0)*VLOOKUP(C243, Percentage_dist_journeys_by_purpose_and_distance_4_to_6km[#All],MATCH(A243, Percentage_dist_journeys_by_purpose_and_distance_4_to_6km[#Headers],0),0)/100</f>
        <v>0</v>
      </c>
      <c r="H243" s="4">
        <f>IF(B243="6-8 kilometres",1,0)*VLOOKUP(C243, Percentage_dist_journeys_by_purpose_and_distance_6_to_8km[#All],MATCH(A243, Percentage_dist_journeys_by_purpose_and_distance_6_to_8km[#Headers],0),0)/100</f>
        <v>0</v>
      </c>
      <c r="I243" s="72">
        <f>IF(B243="8+ kilometres",1,0)*VLOOKUP(C243, Percentage_dist_journeys_by_purpose_and_distance_8km[#All],MATCH(A243, Percentage_dist_journeys_by_purpose_and_distance_8km[#Headers],0),0)/100</f>
        <v>0</v>
      </c>
      <c r="J243" s="73">
        <f>VLOOKUP(B243,Average_Distance_by_kilometres_grouping_for_trip_purpose[#All],MATCH(A243,Average_Distance_by_kilometres_grouping_for_trip_purpose[#Headers],0),0)</f>
        <v>1</v>
      </c>
      <c r="K243" s="77">
        <f>VLOOKUP(C243, Adjustment_factor_for_distance_based_on_trip_purpose[#All],MATCH(A243, Adjustment_factor_for_distance_based_on_trip_purpose[#Headers],0),0)</f>
        <v>1</v>
      </c>
      <c r="L243" s="78" t="e">
        <f>VLOOKUP($L$2, Total_Journeys_Per_Year[#All],MATCH(A243, Total_Journeys_Per_Year[#Headers],0),0)</f>
        <v>#N/A</v>
      </c>
      <c r="M243" s="35" t="e">
        <f t="shared" si="3"/>
        <v>#N/A</v>
      </c>
      <c r="N243" s="35" t="e">
        <f>VLOOKUP($N$2, Private_Vehicle_Kilometres_Car_Stock[#All],MATCH(A243, Private_Vehicle_Kilometres_Car_Stock[#Headers],0),0)</f>
        <v>#N/A</v>
      </c>
    </row>
    <row r="244" spans="1:14" x14ac:dyDescent="0.25">
      <c r="A244" s="79" t="s">
        <v>39</v>
      </c>
      <c r="B244" s="13" t="s">
        <v>181</v>
      </c>
      <c r="C244" s="13" t="s">
        <v>42</v>
      </c>
      <c r="D244" s="5">
        <f>VLOOKUP(B244,Percentage_distribution_of_journey_distance_for_all_regions[#All],MATCH(A244,Percentage_distribution_of_journey_distance_for_all_regions[#Headers],0),0)/100</f>
        <v>0.15</v>
      </c>
      <c r="E244" s="71">
        <f>IF(B244="&lt;2 kilometres",1,0)*VLOOKUP(C244, Percentage_dist_journeys_by_purpose_and_distance_to_2km[#All],MATCH(A244, Percentage_dist_journeys_by_purpose_and_distance_to_2km[#Headers],0),0)/100</f>
        <v>0</v>
      </c>
      <c r="F244" s="4">
        <f>IF(B244="2-4 kilometres",1,0)*VLOOKUP(C244, Percentage_dist_journeys_by_purpose_and_distance_2_to_4km[#All],MATCH(A244, Percentage_dist_journeys_by_purpose_and_distance_2_to_4km[#Headers],0),0)/100</f>
        <v>0.17399999999999999</v>
      </c>
      <c r="G244" s="72">
        <f>IF(B244="4-6 kilometres",1,0)*VLOOKUP(C244, Percentage_dist_journeys_by_purpose_and_distance_4_to_6km[#All],MATCH(A244, Percentage_dist_journeys_by_purpose_and_distance_4_to_6km[#Headers],0),0)/100</f>
        <v>0</v>
      </c>
      <c r="H244" s="4">
        <f>IF(B244="6-8 kilometres",1,0)*VLOOKUP(C244, Percentage_dist_journeys_by_purpose_and_distance_6_to_8km[#All],MATCH(A244, Percentage_dist_journeys_by_purpose_and_distance_6_to_8km[#Headers],0),0)/100</f>
        <v>0</v>
      </c>
      <c r="I244" s="72">
        <f>IF(B244="8+ kilometres",1,0)*VLOOKUP(C244, Percentage_dist_journeys_by_purpose_and_distance_8km[#All],MATCH(A244, Percentage_dist_journeys_by_purpose_and_distance_8km[#Headers],0),0)/100</f>
        <v>0</v>
      </c>
      <c r="J244" s="73">
        <f>VLOOKUP(B244,Average_Distance_by_kilometres_grouping_for_trip_purpose[#All],MATCH(A244,Average_Distance_by_kilometres_grouping_for_trip_purpose[#Headers],0),0)</f>
        <v>3</v>
      </c>
      <c r="K244" s="77">
        <f>VLOOKUP(C244, Adjustment_factor_for_distance_based_on_trip_purpose[#All],MATCH(A244, Adjustment_factor_for_distance_based_on_trip_purpose[#Headers],0),0)</f>
        <v>1</v>
      </c>
      <c r="L244" s="78" t="e">
        <f>VLOOKUP($L$2, Total_Journeys_Per_Year[#All],MATCH(A244, Total_Journeys_Per_Year[#Headers],0),0)</f>
        <v>#N/A</v>
      </c>
      <c r="M244" s="35" t="e">
        <f t="shared" si="3"/>
        <v>#N/A</v>
      </c>
      <c r="N244" s="35" t="e">
        <f>VLOOKUP($N$2, Private_Vehicle_Kilometres_Car_Stock[#All],MATCH(A244, Private_Vehicle_Kilometres_Car_Stock[#Headers],0),0)</f>
        <v>#N/A</v>
      </c>
    </row>
    <row r="245" spans="1:14" x14ac:dyDescent="0.25">
      <c r="A245" s="79" t="s">
        <v>39</v>
      </c>
      <c r="B245" s="13" t="s">
        <v>180</v>
      </c>
      <c r="C245" s="13" t="s">
        <v>42</v>
      </c>
      <c r="D245" s="5">
        <f>VLOOKUP(B245,Percentage_distribution_of_journey_distance_for_all_regions[#All],MATCH(A245,Percentage_distribution_of_journey_distance_for_all_regions[#Headers],0),0)/100</f>
        <v>0.125</v>
      </c>
      <c r="E245" s="71">
        <f>IF(B245="&lt;2 kilometres",1,0)*VLOOKUP(C245, Percentage_dist_journeys_by_purpose_and_distance_to_2km[#All],MATCH(A245, Percentage_dist_journeys_by_purpose_and_distance_to_2km[#Headers],0),0)/100</f>
        <v>0</v>
      </c>
      <c r="F245" s="4">
        <f>IF(B245="2-4 kilometres",1,0)*VLOOKUP(C245, Percentage_dist_journeys_by_purpose_and_distance_2_to_4km[#All],MATCH(A245, Percentage_dist_journeys_by_purpose_and_distance_2_to_4km[#Headers],0),0)/100</f>
        <v>0</v>
      </c>
      <c r="G245" s="72">
        <f>IF(B245="4-6 kilometres",1,0)*VLOOKUP(C245, Percentage_dist_journeys_by_purpose_and_distance_4_to_6km[#All],MATCH(A245, Percentage_dist_journeys_by_purpose_and_distance_4_to_6km[#Headers],0),0)/100</f>
        <v>0.221</v>
      </c>
      <c r="H245" s="4">
        <f>IF(B245="6-8 kilometres",1,0)*VLOOKUP(C245, Percentage_dist_journeys_by_purpose_and_distance_6_to_8km[#All],MATCH(A245, Percentage_dist_journeys_by_purpose_and_distance_6_to_8km[#Headers],0),0)/100</f>
        <v>0</v>
      </c>
      <c r="I245" s="72">
        <f>IF(B245="8+ kilometres",1,0)*VLOOKUP(C245, Percentage_dist_journeys_by_purpose_and_distance_8km[#All],MATCH(A245, Percentage_dist_journeys_by_purpose_and_distance_8km[#Headers],0),0)/100</f>
        <v>0</v>
      </c>
      <c r="J245" s="73">
        <f>VLOOKUP(B245,Average_Distance_by_kilometres_grouping_for_trip_purpose[#All],MATCH(A245,Average_Distance_by_kilometres_grouping_for_trip_purpose[#Headers],0),0)</f>
        <v>5</v>
      </c>
      <c r="K245" s="77">
        <f>VLOOKUP(C245, Adjustment_factor_for_distance_based_on_trip_purpose[#All],MATCH(A245, Adjustment_factor_for_distance_based_on_trip_purpose[#Headers],0),0)</f>
        <v>1</v>
      </c>
      <c r="L245" s="78" t="e">
        <f>VLOOKUP($L$2, Total_Journeys_Per_Year[#All],MATCH(A245, Total_Journeys_Per_Year[#Headers],0),0)</f>
        <v>#N/A</v>
      </c>
      <c r="M245" s="35" t="e">
        <f t="shared" si="3"/>
        <v>#N/A</v>
      </c>
      <c r="N245" s="35" t="e">
        <f>VLOOKUP($N$2, Private_Vehicle_Kilometres_Car_Stock[#All],MATCH(A245, Private_Vehicle_Kilometres_Car_Stock[#Headers],0),0)</f>
        <v>#N/A</v>
      </c>
    </row>
    <row r="246" spans="1:14" x14ac:dyDescent="0.25">
      <c r="A246" s="79" t="s">
        <v>39</v>
      </c>
      <c r="B246" s="13" t="s">
        <v>182</v>
      </c>
      <c r="C246" s="13" t="s">
        <v>42</v>
      </c>
      <c r="D246" s="5">
        <f>VLOOKUP(B246,Percentage_distribution_of_journey_distance_for_all_regions[#All],MATCH(A246,Percentage_distribution_of_journey_distance_for_all_regions[#Headers],0),0)/100</f>
        <v>7.0000000000000007E-2</v>
      </c>
      <c r="E246" s="71">
        <f>IF(B246="&lt;2 kilometres",1,0)*VLOOKUP(C246, Percentage_dist_journeys_by_purpose_and_distance_to_2km[#All],MATCH(A246, Percentage_dist_journeys_by_purpose_and_distance_to_2km[#Headers],0),0)/100</f>
        <v>0</v>
      </c>
      <c r="F246" s="4">
        <f>IF(B246="2-4 kilometres",1,0)*VLOOKUP(C246, Percentage_dist_journeys_by_purpose_and_distance_2_to_4km[#All],MATCH(A246, Percentage_dist_journeys_by_purpose_and_distance_2_to_4km[#Headers],0),0)/100</f>
        <v>0</v>
      </c>
      <c r="G246" s="72">
        <f>IF(B246="4-6 kilometres",1,0)*VLOOKUP(C246, Percentage_dist_journeys_by_purpose_and_distance_4_to_6km[#All],MATCH(A246, Percentage_dist_journeys_by_purpose_and_distance_4_to_6km[#Headers],0),0)/100</f>
        <v>0</v>
      </c>
      <c r="H246" s="4">
        <f>IF(B246="6-8 kilometres",1,0)*VLOOKUP(C246, Percentage_dist_journeys_by_purpose_and_distance_6_to_8km[#All],MATCH(A246, Percentage_dist_journeys_by_purpose_and_distance_6_to_8km[#Headers],0),0)/100</f>
        <v>0.223</v>
      </c>
      <c r="I246" s="72">
        <f>IF(B246="8+ kilometres",1,0)*VLOOKUP(C246, Percentage_dist_journeys_by_purpose_and_distance_8km[#All],MATCH(A246, Percentage_dist_journeys_by_purpose_and_distance_8km[#Headers],0),0)/100</f>
        <v>0</v>
      </c>
      <c r="J246" s="73">
        <f>VLOOKUP(B246,Average_Distance_by_kilometres_grouping_for_trip_purpose[#All],MATCH(A246,Average_Distance_by_kilometres_grouping_for_trip_purpose[#Headers],0),0)</f>
        <v>7</v>
      </c>
      <c r="K246" s="77">
        <f>VLOOKUP(C246, Adjustment_factor_for_distance_based_on_trip_purpose[#All],MATCH(A246, Adjustment_factor_for_distance_based_on_trip_purpose[#Headers],0),0)</f>
        <v>1</v>
      </c>
      <c r="L246" s="78" t="e">
        <f>VLOOKUP($L$2, Total_Journeys_Per_Year[#All],MATCH(A246, Total_Journeys_Per_Year[#Headers],0),0)</f>
        <v>#N/A</v>
      </c>
      <c r="M246" s="35" t="e">
        <f t="shared" si="3"/>
        <v>#N/A</v>
      </c>
      <c r="N246" s="35" t="e">
        <f>VLOOKUP($N$2, Private_Vehicle_Kilometres_Car_Stock[#All],MATCH(A246, Private_Vehicle_Kilometres_Car_Stock[#Headers],0),0)</f>
        <v>#N/A</v>
      </c>
    </row>
    <row r="247" spans="1:14" x14ac:dyDescent="0.25">
      <c r="A247" s="79" t="s">
        <v>39</v>
      </c>
      <c r="B247" s="13" t="s">
        <v>1</v>
      </c>
      <c r="C247" s="13" t="s">
        <v>42</v>
      </c>
      <c r="D247" s="5">
        <f>VLOOKUP(B247,Percentage_distribution_of_journey_distance_for_all_regions[#All],MATCH(A247,Percentage_distribution_of_journey_distance_for_all_regions[#Headers],0),0)/100</f>
        <v>0.36799999999999999</v>
      </c>
      <c r="E247" s="71">
        <f>IF(B247="&lt;2 kilometres",1,0)*VLOOKUP(C247, Percentage_dist_journeys_by_purpose_and_distance_to_2km[#All],MATCH(A247, Percentage_dist_journeys_by_purpose_and_distance_to_2km[#Headers],0),0)/100</f>
        <v>0</v>
      </c>
      <c r="F247" s="4">
        <f>IF(B247="2-4 kilometres",1,0)*VLOOKUP(C247, Percentage_dist_journeys_by_purpose_and_distance_2_to_4km[#All],MATCH(A247, Percentage_dist_journeys_by_purpose_and_distance_2_to_4km[#Headers],0),0)/100</f>
        <v>0</v>
      </c>
      <c r="G247" s="72">
        <f>IF(B247="4-6 kilometres",1,0)*VLOOKUP(C247, Percentage_dist_journeys_by_purpose_and_distance_4_to_6km[#All],MATCH(A247, Percentage_dist_journeys_by_purpose_and_distance_4_to_6km[#Headers],0),0)/100</f>
        <v>0</v>
      </c>
      <c r="H247" s="4">
        <f>IF(B247="6-8 kilometres",1,0)*VLOOKUP(C247, Percentage_dist_journeys_by_purpose_and_distance_6_to_8km[#All],MATCH(A247, Percentage_dist_journeys_by_purpose_and_distance_6_to_8km[#Headers],0),0)/100</f>
        <v>0</v>
      </c>
      <c r="I247" s="72">
        <f>IF(B247="8+ kilometres",1,0)*VLOOKUP(C247, Percentage_dist_journeys_by_purpose_and_distance_8km[#All],MATCH(A247, Percentage_dist_journeys_by_purpose_and_distance_8km[#Headers],0),0)/100</f>
        <v>0.314</v>
      </c>
      <c r="J247" s="73">
        <f>VLOOKUP(B247,Average_Distance_by_kilometres_grouping_for_trip_purpose[#All],MATCH(A247,Average_Distance_by_kilometres_grouping_for_trip_purpose[#Headers],0),0)</f>
        <v>28.2</v>
      </c>
      <c r="K247" s="77">
        <f>VLOOKUP(C247, Adjustment_factor_for_distance_based_on_trip_purpose[#All],MATCH(A247, Adjustment_factor_for_distance_based_on_trip_purpose[#Headers],0),0)</f>
        <v>1</v>
      </c>
      <c r="L247" s="78" t="e">
        <f>VLOOKUP($L$2, Total_Journeys_Per_Year[#All],MATCH(A247, Total_Journeys_Per_Year[#Headers],0),0)</f>
        <v>#N/A</v>
      </c>
      <c r="M247" s="35" t="e">
        <f t="shared" si="3"/>
        <v>#N/A</v>
      </c>
      <c r="N247" s="35" t="e">
        <f>VLOOKUP($N$2, Private_Vehicle_Kilometres_Car_Stock[#All],MATCH(A247, Private_Vehicle_Kilometres_Car_Stock[#Headers],0),0)</f>
        <v>#N/A</v>
      </c>
    </row>
    <row r="248" spans="1:14" x14ac:dyDescent="0.25">
      <c r="A248" s="79" t="s">
        <v>39</v>
      </c>
      <c r="B248" s="13" t="s">
        <v>12</v>
      </c>
      <c r="C248" s="13" t="s">
        <v>43</v>
      </c>
      <c r="D248" s="5">
        <f>VLOOKUP(B248,Percentage_distribution_of_journey_distance_for_all_regions[#All],MATCH(A248,Percentage_distribution_of_journey_distance_for_all_regions[#Headers],0),0)/100</f>
        <v>0.28600000000000003</v>
      </c>
      <c r="E248" s="71">
        <f>IF(B248="&lt;2 kilometres",1,0)*VLOOKUP(C248, Percentage_dist_journeys_by_purpose_and_distance_to_2km[#All],MATCH(A248, Percentage_dist_journeys_by_purpose_and_distance_to_2km[#Headers],0),0)/100</f>
        <v>2.4E-2</v>
      </c>
      <c r="F248" s="4">
        <f>IF(B248="2-4 kilometres",1,0)*VLOOKUP(C248, Percentage_dist_journeys_by_purpose_and_distance_2_to_4km[#All],MATCH(A248, Percentage_dist_journeys_by_purpose_and_distance_2_to_4km[#Headers],0),0)/100</f>
        <v>0</v>
      </c>
      <c r="G248" s="72">
        <f>IF(B248="4-6 kilometres",1,0)*VLOOKUP(C248, Percentage_dist_journeys_by_purpose_and_distance_4_to_6km[#All],MATCH(A248, Percentage_dist_journeys_by_purpose_and_distance_4_to_6km[#Headers],0),0)/100</f>
        <v>0</v>
      </c>
      <c r="H248" s="4">
        <f>IF(B248="6-8 kilometres",1,0)*VLOOKUP(C248, Percentage_dist_journeys_by_purpose_and_distance_6_to_8km[#All],MATCH(A248, Percentage_dist_journeys_by_purpose_and_distance_6_to_8km[#Headers],0),0)/100</f>
        <v>0</v>
      </c>
      <c r="I248" s="72">
        <f>IF(B248="8+ kilometres",1,0)*VLOOKUP(C248, Percentage_dist_journeys_by_purpose_and_distance_8km[#All],MATCH(A248, Percentage_dist_journeys_by_purpose_and_distance_8km[#Headers],0),0)/100</f>
        <v>0</v>
      </c>
      <c r="J248" s="73">
        <f>VLOOKUP(B248,Average_Distance_by_kilometres_grouping_for_trip_purpose[#All],MATCH(A248,Average_Distance_by_kilometres_grouping_for_trip_purpose[#Headers],0),0)</f>
        <v>1</v>
      </c>
      <c r="K248" s="77">
        <f>VLOOKUP(C248, Adjustment_factor_for_distance_based_on_trip_purpose[#All],MATCH(A248, Adjustment_factor_for_distance_based_on_trip_purpose[#Headers],0),0)</f>
        <v>0.88888888888888884</v>
      </c>
      <c r="L248" s="78" t="e">
        <f>VLOOKUP($L$2, Total_Journeys_Per_Year[#All],MATCH(A248, Total_Journeys_Per_Year[#Headers],0),0)</f>
        <v>#N/A</v>
      </c>
      <c r="M248" s="35" t="e">
        <f t="shared" si="3"/>
        <v>#N/A</v>
      </c>
      <c r="N248" s="35" t="e">
        <f>VLOOKUP($N$2, Private_Vehicle_Kilometres_Car_Stock[#All],MATCH(A248, Private_Vehicle_Kilometres_Car_Stock[#Headers],0),0)</f>
        <v>#N/A</v>
      </c>
    </row>
    <row r="249" spans="1:14" x14ac:dyDescent="0.25">
      <c r="A249" s="79" t="s">
        <v>39</v>
      </c>
      <c r="B249" s="13" t="s">
        <v>181</v>
      </c>
      <c r="C249" s="13" t="s">
        <v>43</v>
      </c>
      <c r="D249" s="5">
        <f>VLOOKUP(B249,Percentage_distribution_of_journey_distance_for_all_regions[#All],MATCH(A249,Percentage_distribution_of_journey_distance_for_all_regions[#Headers],0),0)/100</f>
        <v>0.15</v>
      </c>
      <c r="E249" s="71">
        <f>IF(B249="&lt;2 kilometres",1,0)*VLOOKUP(C249, Percentage_dist_journeys_by_purpose_and_distance_to_2km[#All],MATCH(A249, Percentage_dist_journeys_by_purpose_and_distance_to_2km[#Headers],0),0)/100</f>
        <v>0</v>
      </c>
      <c r="F249" s="4">
        <f>IF(B249="2-4 kilometres",1,0)*VLOOKUP(C249, Percentage_dist_journeys_by_purpose_and_distance_2_to_4km[#All],MATCH(A249, Percentage_dist_journeys_by_purpose_and_distance_2_to_4km[#Headers],0),0)/100</f>
        <v>2.8999999999999998E-2</v>
      </c>
      <c r="G249" s="72">
        <f>IF(B249="4-6 kilometres",1,0)*VLOOKUP(C249, Percentage_dist_journeys_by_purpose_and_distance_4_to_6km[#All],MATCH(A249, Percentage_dist_journeys_by_purpose_and_distance_4_to_6km[#Headers],0),0)/100</f>
        <v>0</v>
      </c>
      <c r="H249" s="4">
        <f>IF(B249="6-8 kilometres",1,0)*VLOOKUP(C249, Percentage_dist_journeys_by_purpose_and_distance_6_to_8km[#All],MATCH(A249, Percentage_dist_journeys_by_purpose_and_distance_6_to_8km[#Headers],0),0)/100</f>
        <v>0</v>
      </c>
      <c r="I249" s="72">
        <f>IF(B249="8+ kilometres",1,0)*VLOOKUP(C249, Percentage_dist_journeys_by_purpose_and_distance_8km[#All],MATCH(A249, Percentage_dist_journeys_by_purpose_and_distance_8km[#Headers],0),0)/100</f>
        <v>0</v>
      </c>
      <c r="J249" s="73">
        <f>VLOOKUP(B249,Average_Distance_by_kilometres_grouping_for_trip_purpose[#All],MATCH(A249,Average_Distance_by_kilometres_grouping_for_trip_purpose[#Headers],0),0)</f>
        <v>3</v>
      </c>
      <c r="K249" s="77">
        <f>VLOOKUP(C249, Adjustment_factor_for_distance_based_on_trip_purpose[#All],MATCH(A249, Adjustment_factor_for_distance_based_on_trip_purpose[#Headers],0),0)</f>
        <v>0.88888888888888884</v>
      </c>
      <c r="L249" s="78" t="e">
        <f>VLOOKUP($L$2, Total_Journeys_Per_Year[#All],MATCH(A249, Total_Journeys_Per_Year[#Headers],0),0)</f>
        <v>#N/A</v>
      </c>
      <c r="M249" s="35" t="e">
        <f t="shared" si="3"/>
        <v>#N/A</v>
      </c>
      <c r="N249" s="35" t="e">
        <f>VLOOKUP($N$2, Private_Vehicle_Kilometres_Car_Stock[#All],MATCH(A249, Private_Vehicle_Kilometres_Car_Stock[#Headers],0),0)</f>
        <v>#N/A</v>
      </c>
    </row>
    <row r="250" spans="1:14" x14ac:dyDescent="0.25">
      <c r="A250" s="79" t="s">
        <v>39</v>
      </c>
      <c r="B250" s="13" t="s">
        <v>180</v>
      </c>
      <c r="C250" s="13" t="s">
        <v>43</v>
      </c>
      <c r="D250" s="5">
        <f>VLOOKUP(B250,Percentage_distribution_of_journey_distance_for_all_regions[#All],MATCH(A250,Percentage_distribution_of_journey_distance_for_all_regions[#Headers],0),0)/100</f>
        <v>0.125</v>
      </c>
      <c r="E250" s="71">
        <f>IF(B250="&lt;2 kilometres",1,0)*VLOOKUP(C250, Percentage_dist_journeys_by_purpose_and_distance_to_2km[#All],MATCH(A250, Percentage_dist_journeys_by_purpose_and_distance_to_2km[#Headers],0),0)/100</f>
        <v>0</v>
      </c>
      <c r="F250" s="4">
        <f>IF(B250="2-4 kilometres",1,0)*VLOOKUP(C250, Percentage_dist_journeys_by_purpose_and_distance_2_to_4km[#All],MATCH(A250, Percentage_dist_journeys_by_purpose_and_distance_2_to_4km[#Headers],0),0)/100</f>
        <v>0</v>
      </c>
      <c r="G250" s="72">
        <f>IF(B250="4-6 kilometres",1,0)*VLOOKUP(C250, Percentage_dist_journeys_by_purpose_and_distance_4_to_6km[#All],MATCH(A250, Percentage_dist_journeys_by_purpose_and_distance_4_to_6km[#Headers],0),0)/100</f>
        <v>3.7999999999999999E-2</v>
      </c>
      <c r="H250" s="4">
        <f>IF(B250="6-8 kilometres",1,0)*VLOOKUP(C250, Percentage_dist_journeys_by_purpose_and_distance_6_to_8km[#All],MATCH(A250, Percentage_dist_journeys_by_purpose_and_distance_6_to_8km[#Headers],0),0)/100</f>
        <v>0</v>
      </c>
      <c r="I250" s="72">
        <f>IF(B250="8+ kilometres",1,0)*VLOOKUP(C250, Percentage_dist_journeys_by_purpose_and_distance_8km[#All],MATCH(A250, Percentage_dist_journeys_by_purpose_and_distance_8km[#Headers],0),0)/100</f>
        <v>0</v>
      </c>
      <c r="J250" s="73">
        <f>VLOOKUP(B250,Average_Distance_by_kilometres_grouping_for_trip_purpose[#All],MATCH(A250,Average_Distance_by_kilometres_grouping_for_trip_purpose[#Headers],0),0)</f>
        <v>5</v>
      </c>
      <c r="K250" s="77">
        <f>VLOOKUP(C250, Adjustment_factor_for_distance_based_on_trip_purpose[#All],MATCH(A250, Adjustment_factor_for_distance_based_on_trip_purpose[#Headers],0),0)</f>
        <v>0.88888888888888884</v>
      </c>
      <c r="L250" s="78" t="e">
        <f>VLOOKUP($L$2, Total_Journeys_Per_Year[#All],MATCH(A250, Total_Journeys_Per_Year[#Headers],0),0)</f>
        <v>#N/A</v>
      </c>
      <c r="M250" s="35" t="e">
        <f t="shared" si="3"/>
        <v>#N/A</v>
      </c>
      <c r="N250" s="35" t="e">
        <f>VLOOKUP($N$2, Private_Vehicle_Kilometres_Car_Stock[#All],MATCH(A250, Private_Vehicle_Kilometres_Car_Stock[#Headers],0),0)</f>
        <v>#N/A</v>
      </c>
    </row>
    <row r="251" spans="1:14" x14ac:dyDescent="0.25">
      <c r="A251" s="79" t="s">
        <v>39</v>
      </c>
      <c r="B251" s="13" t="s">
        <v>182</v>
      </c>
      <c r="C251" s="13" t="s">
        <v>43</v>
      </c>
      <c r="D251" s="5">
        <f>VLOOKUP(B251,Percentage_distribution_of_journey_distance_for_all_regions[#All],MATCH(A251,Percentage_distribution_of_journey_distance_for_all_regions[#Headers],0),0)/100</f>
        <v>7.0000000000000007E-2</v>
      </c>
      <c r="E251" s="71">
        <f>IF(B251="&lt;2 kilometres",1,0)*VLOOKUP(C251, Percentage_dist_journeys_by_purpose_and_distance_to_2km[#All],MATCH(A251, Percentage_dist_journeys_by_purpose_and_distance_to_2km[#Headers],0),0)/100</f>
        <v>0</v>
      </c>
      <c r="F251" s="4">
        <f>IF(B251="2-4 kilometres",1,0)*VLOOKUP(C251, Percentage_dist_journeys_by_purpose_and_distance_2_to_4km[#All],MATCH(A251, Percentage_dist_journeys_by_purpose_and_distance_2_to_4km[#Headers],0),0)/100</f>
        <v>0</v>
      </c>
      <c r="G251" s="72">
        <f>IF(B251="4-6 kilometres",1,0)*VLOOKUP(C251, Percentage_dist_journeys_by_purpose_and_distance_4_to_6km[#All],MATCH(A251, Percentage_dist_journeys_by_purpose_and_distance_4_to_6km[#Headers],0),0)/100</f>
        <v>0</v>
      </c>
      <c r="H251" s="4">
        <f>IF(B251="6-8 kilometres",1,0)*VLOOKUP(C251, Percentage_dist_journeys_by_purpose_and_distance_6_to_8km[#All],MATCH(A251, Percentage_dist_journeys_by_purpose_and_distance_6_to_8km[#Headers],0),0)/100</f>
        <v>3.5000000000000003E-2</v>
      </c>
      <c r="I251" s="72">
        <f>IF(B251="8+ kilometres",1,0)*VLOOKUP(C251, Percentage_dist_journeys_by_purpose_and_distance_8km[#All],MATCH(A251, Percentage_dist_journeys_by_purpose_and_distance_8km[#Headers],0),0)/100</f>
        <v>0</v>
      </c>
      <c r="J251" s="73">
        <f>VLOOKUP(B251,Average_Distance_by_kilometres_grouping_for_trip_purpose[#All],MATCH(A251,Average_Distance_by_kilometres_grouping_for_trip_purpose[#Headers],0),0)</f>
        <v>7</v>
      </c>
      <c r="K251" s="77">
        <f>VLOOKUP(C251, Adjustment_factor_for_distance_based_on_trip_purpose[#All],MATCH(A251, Adjustment_factor_for_distance_based_on_trip_purpose[#Headers],0),0)</f>
        <v>0.88888888888888884</v>
      </c>
      <c r="L251" s="78" t="e">
        <f>VLOOKUP($L$2, Total_Journeys_Per_Year[#All],MATCH(A251, Total_Journeys_Per_Year[#Headers],0),0)</f>
        <v>#N/A</v>
      </c>
      <c r="M251" s="35" t="e">
        <f t="shared" si="3"/>
        <v>#N/A</v>
      </c>
      <c r="N251" s="35" t="e">
        <f>VLOOKUP($N$2, Private_Vehicle_Kilometres_Car_Stock[#All],MATCH(A251, Private_Vehicle_Kilometres_Car_Stock[#Headers],0),0)</f>
        <v>#N/A</v>
      </c>
    </row>
    <row r="252" spans="1:14" x14ac:dyDescent="0.25">
      <c r="A252" s="79" t="s">
        <v>39</v>
      </c>
      <c r="B252" s="13" t="s">
        <v>1</v>
      </c>
      <c r="C252" s="13" t="s">
        <v>43</v>
      </c>
      <c r="D252" s="5">
        <f>VLOOKUP(B252,Percentage_distribution_of_journey_distance_for_all_regions[#All],MATCH(A252,Percentage_distribution_of_journey_distance_for_all_regions[#Headers],0),0)/100</f>
        <v>0.36799999999999999</v>
      </c>
      <c r="E252" s="71">
        <f>IF(B252="&lt;2 kilometres",1,0)*VLOOKUP(C252, Percentage_dist_journeys_by_purpose_and_distance_to_2km[#All],MATCH(A252, Percentage_dist_journeys_by_purpose_and_distance_to_2km[#Headers],0),0)/100</f>
        <v>0</v>
      </c>
      <c r="F252" s="4">
        <f>IF(B252="2-4 kilometres",1,0)*VLOOKUP(C252, Percentage_dist_journeys_by_purpose_and_distance_2_to_4km[#All],MATCH(A252, Percentage_dist_journeys_by_purpose_and_distance_2_to_4km[#Headers],0),0)/100</f>
        <v>0</v>
      </c>
      <c r="G252" s="72">
        <f>IF(B252="4-6 kilometres",1,0)*VLOOKUP(C252, Percentage_dist_journeys_by_purpose_and_distance_4_to_6km[#All],MATCH(A252, Percentage_dist_journeys_by_purpose_and_distance_4_to_6km[#Headers],0),0)/100</f>
        <v>0</v>
      </c>
      <c r="H252" s="4">
        <f>IF(B252="6-8 kilometres",1,0)*VLOOKUP(C252, Percentage_dist_journeys_by_purpose_and_distance_6_to_8km[#All],MATCH(A252, Percentage_dist_journeys_by_purpose_and_distance_6_to_8km[#Headers],0),0)/100</f>
        <v>0</v>
      </c>
      <c r="I252" s="72">
        <f>IF(B252="8+ kilometres",1,0)*VLOOKUP(C252, Percentage_dist_journeys_by_purpose_and_distance_8km[#All],MATCH(A252, Percentage_dist_journeys_by_purpose_and_distance_8km[#Headers],0),0)/100</f>
        <v>2.5000000000000001E-2</v>
      </c>
      <c r="J252" s="73">
        <f>VLOOKUP(B252,Average_Distance_by_kilometres_grouping_for_trip_purpose[#All],MATCH(A252,Average_Distance_by_kilometres_grouping_for_trip_purpose[#Headers],0),0)</f>
        <v>28.2</v>
      </c>
      <c r="K252" s="77">
        <f>VLOOKUP(C252, Adjustment_factor_for_distance_based_on_trip_purpose[#All],MATCH(A252, Adjustment_factor_for_distance_based_on_trip_purpose[#Headers],0),0)</f>
        <v>0.88888888888888884</v>
      </c>
      <c r="L252" s="78" t="e">
        <f>VLOOKUP($L$2, Total_Journeys_Per_Year[#All],MATCH(A252, Total_Journeys_Per_Year[#Headers],0),0)</f>
        <v>#N/A</v>
      </c>
      <c r="M252" s="35" t="e">
        <f t="shared" si="3"/>
        <v>#N/A</v>
      </c>
      <c r="N252" s="35" t="e">
        <f>VLOOKUP($N$2, Private_Vehicle_Kilometres_Car_Stock[#All],MATCH(A252, Private_Vehicle_Kilometres_Car_Stock[#Headers],0),0)</f>
        <v>#N/A</v>
      </c>
    </row>
    <row r="253" spans="1:14" x14ac:dyDescent="0.25">
      <c r="A253" s="79" t="s">
        <v>39</v>
      </c>
      <c r="B253" s="13" t="s">
        <v>12</v>
      </c>
      <c r="C253" s="13" t="s">
        <v>44</v>
      </c>
      <c r="D253" s="5">
        <f>VLOOKUP(B253,Percentage_distribution_of_journey_distance_for_all_regions[#All],MATCH(A253,Percentage_distribution_of_journey_distance_for_all_regions[#Headers],0),0)/100</f>
        <v>0.28600000000000003</v>
      </c>
      <c r="E253" s="71">
        <f>IF(B253="&lt;2 kilometres",1,0)*VLOOKUP(C253, Percentage_dist_journeys_by_purpose_and_distance_to_2km[#All],MATCH(A253, Percentage_dist_journeys_by_purpose_and_distance_to_2km[#Headers],0),0)/100</f>
        <v>0.26500000000000001</v>
      </c>
      <c r="F253" s="4">
        <f>IF(B253="2-4 kilometres",1,0)*VLOOKUP(C253, Percentage_dist_journeys_by_purpose_and_distance_2_to_4km[#All],MATCH(A253, Percentage_dist_journeys_by_purpose_and_distance_2_to_4km[#Headers],0),0)/100</f>
        <v>0</v>
      </c>
      <c r="G253" s="72">
        <f>IF(B253="4-6 kilometres",1,0)*VLOOKUP(C253, Percentage_dist_journeys_by_purpose_and_distance_4_to_6km[#All],MATCH(A253, Percentage_dist_journeys_by_purpose_and_distance_4_to_6km[#Headers],0),0)/100</f>
        <v>0</v>
      </c>
      <c r="H253" s="4">
        <f>IF(B253="6-8 kilometres",1,0)*VLOOKUP(C253, Percentage_dist_journeys_by_purpose_and_distance_6_to_8km[#All],MATCH(A253, Percentage_dist_journeys_by_purpose_and_distance_6_to_8km[#Headers],0),0)/100</f>
        <v>0</v>
      </c>
      <c r="I253" s="72">
        <f>IF(B253="8+ kilometres",1,0)*VLOOKUP(C253, Percentage_dist_journeys_by_purpose_and_distance_8km[#All],MATCH(A253, Percentage_dist_journeys_by_purpose_and_distance_8km[#Headers],0),0)/100</f>
        <v>0</v>
      </c>
      <c r="J253" s="73">
        <f>VLOOKUP(B253,Average_Distance_by_kilometres_grouping_for_trip_purpose[#All],MATCH(A253,Average_Distance_by_kilometres_grouping_for_trip_purpose[#Headers],0),0)</f>
        <v>1</v>
      </c>
      <c r="K253" s="77">
        <f>VLOOKUP(C253, Adjustment_factor_for_distance_based_on_trip_purpose[#All],MATCH(A253, Adjustment_factor_for_distance_based_on_trip_purpose[#Headers],0),0)</f>
        <v>0.44444444444444442</v>
      </c>
      <c r="L253" s="78" t="e">
        <f>VLOOKUP($L$2, Total_Journeys_Per_Year[#All],MATCH(A253, Total_Journeys_Per_Year[#Headers],0),0)</f>
        <v>#N/A</v>
      </c>
      <c r="M253" s="35" t="e">
        <f t="shared" si="3"/>
        <v>#N/A</v>
      </c>
      <c r="N253" s="35" t="e">
        <f>VLOOKUP($N$2, Private_Vehicle_Kilometres_Car_Stock[#All],MATCH(A253, Private_Vehicle_Kilometres_Car_Stock[#Headers],0),0)</f>
        <v>#N/A</v>
      </c>
    </row>
    <row r="254" spans="1:14" x14ac:dyDescent="0.25">
      <c r="A254" s="79" t="s">
        <v>39</v>
      </c>
      <c r="B254" s="13" t="s">
        <v>181</v>
      </c>
      <c r="C254" s="13" t="s">
        <v>44</v>
      </c>
      <c r="D254" s="5">
        <f>VLOOKUP(B254,Percentage_distribution_of_journey_distance_for_all_regions[#All],MATCH(A254,Percentage_distribution_of_journey_distance_for_all_regions[#Headers],0),0)/100</f>
        <v>0.15</v>
      </c>
      <c r="E254" s="71">
        <f>IF(B254="&lt;2 kilometres",1,0)*VLOOKUP(C254, Percentage_dist_journeys_by_purpose_and_distance_to_2km[#All],MATCH(A254, Percentage_dist_journeys_by_purpose_and_distance_to_2km[#Headers],0),0)/100</f>
        <v>0</v>
      </c>
      <c r="F254" s="4">
        <f>IF(B254="2-4 kilometres",1,0)*VLOOKUP(C254, Percentage_dist_journeys_by_purpose_and_distance_2_to_4km[#All],MATCH(A254, Percentage_dist_journeys_by_purpose_and_distance_2_to_4km[#Headers],0),0)/100</f>
        <v>0.25600000000000001</v>
      </c>
      <c r="G254" s="72">
        <f>IF(B254="4-6 kilometres",1,0)*VLOOKUP(C254, Percentage_dist_journeys_by_purpose_and_distance_4_to_6km[#All],MATCH(A254, Percentage_dist_journeys_by_purpose_and_distance_4_to_6km[#Headers],0),0)/100</f>
        <v>0</v>
      </c>
      <c r="H254" s="4">
        <f>IF(B254="6-8 kilometres",1,0)*VLOOKUP(C254, Percentage_dist_journeys_by_purpose_and_distance_6_to_8km[#All],MATCH(A254, Percentage_dist_journeys_by_purpose_and_distance_6_to_8km[#Headers],0),0)/100</f>
        <v>0</v>
      </c>
      <c r="I254" s="72">
        <f>IF(B254="8+ kilometres",1,0)*VLOOKUP(C254, Percentage_dist_journeys_by_purpose_and_distance_8km[#All],MATCH(A254, Percentage_dist_journeys_by_purpose_and_distance_8km[#Headers],0),0)/100</f>
        <v>0</v>
      </c>
      <c r="J254" s="73">
        <f>VLOOKUP(B254,Average_Distance_by_kilometres_grouping_for_trip_purpose[#All],MATCH(A254,Average_Distance_by_kilometres_grouping_for_trip_purpose[#Headers],0),0)</f>
        <v>3</v>
      </c>
      <c r="K254" s="77">
        <f>VLOOKUP(C254, Adjustment_factor_for_distance_based_on_trip_purpose[#All],MATCH(A254, Adjustment_factor_for_distance_based_on_trip_purpose[#Headers],0),0)</f>
        <v>0.44444444444444442</v>
      </c>
      <c r="L254" s="78" t="e">
        <f>VLOOKUP($L$2, Total_Journeys_Per_Year[#All],MATCH(A254, Total_Journeys_Per_Year[#Headers],0),0)</f>
        <v>#N/A</v>
      </c>
      <c r="M254" s="35" t="e">
        <f t="shared" si="3"/>
        <v>#N/A</v>
      </c>
      <c r="N254" s="35" t="e">
        <f>VLOOKUP($N$2, Private_Vehicle_Kilometres_Car_Stock[#All],MATCH(A254, Private_Vehicle_Kilometres_Car_Stock[#Headers],0),0)</f>
        <v>#N/A</v>
      </c>
    </row>
    <row r="255" spans="1:14" x14ac:dyDescent="0.25">
      <c r="A255" s="79" t="s">
        <v>39</v>
      </c>
      <c r="B255" s="13" t="s">
        <v>180</v>
      </c>
      <c r="C255" s="13" t="s">
        <v>44</v>
      </c>
      <c r="D255" s="5">
        <f>VLOOKUP(B255,Percentage_distribution_of_journey_distance_for_all_regions[#All],MATCH(A255,Percentage_distribution_of_journey_distance_for_all_regions[#Headers],0),0)/100</f>
        <v>0.125</v>
      </c>
      <c r="E255" s="71">
        <f>IF(B255="&lt;2 kilometres",1,0)*VLOOKUP(C255, Percentage_dist_journeys_by_purpose_and_distance_to_2km[#All],MATCH(A255, Percentage_dist_journeys_by_purpose_and_distance_to_2km[#Headers],0),0)/100</f>
        <v>0</v>
      </c>
      <c r="F255" s="4">
        <f>IF(B255="2-4 kilometres",1,0)*VLOOKUP(C255, Percentage_dist_journeys_by_purpose_and_distance_2_to_4km[#All],MATCH(A255, Percentage_dist_journeys_by_purpose_and_distance_2_to_4km[#Headers],0),0)/100</f>
        <v>0</v>
      </c>
      <c r="G255" s="72">
        <f>IF(B255="4-6 kilometres",1,0)*VLOOKUP(C255, Percentage_dist_journeys_by_purpose_and_distance_4_to_6km[#All],MATCH(A255, Percentage_dist_journeys_by_purpose_and_distance_4_to_6km[#Headers],0),0)/100</f>
        <v>0.16899999999999998</v>
      </c>
      <c r="H255" s="4">
        <f>IF(B255="6-8 kilometres",1,0)*VLOOKUP(C255, Percentage_dist_journeys_by_purpose_and_distance_6_to_8km[#All],MATCH(A255, Percentage_dist_journeys_by_purpose_and_distance_6_to_8km[#Headers],0),0)/100</f>
        <v>0</v>
      </c>
      <c r="I255" s="72">
        <f>IF(B255="8+ kilometres",1,0)*VLOOKUP(C255, Percentage_dist_journeys_by_purpose_and_distance_8km[#All],MATCH(A255, Percentage_dist_journeys_by_purpose_and_distance_8km[#Headers],0),0)/100</f>
        <v>0</v>
      </c>
      <c r="J255" s="73">
        <f>VLOOKUP(B255,Average_Distance_by_kilometres_grouping_for_trip_purpose[#All],MATCH(A255,Average_Distance_by_kilometres_grouping_for_trip_purpose[#Headers],0),0)</f>
        <v>5</v>
      </c>
      <c r="K255" s="77">
        <f>VLOOKUP(C255, Adjustment_factor_for_distance_based_on_trip_purpose[#All],MATCH(A255, Adjustment_factor_for_distance_based_on_trip_purpose[#Headers],0),0)</f>
        <v>0.44444444444444442</v>
      </c>
      <c r="L255" s="78" t="e">
        <f>VLOOKUP($L$2, Total_Journeys_Per_Year[#All],MATCH(A255, Total_Journeys_Per_Year[#Headers],0),0)</f>
        <v>#N/A</v>
      </c>
      <c r="M255" s="35" t="e">
        <f t="shared" si="3"/>
        <v>#N/A</v>
      </c>
      <c r="N255" s="35" t="e">
        <f>VLOOKUP($N$2, Private_Vehicle_Kilometres_Car_Stock[#All],MATCH(A255, Private_Vehicle_Kilometres_Car_Stock[#Headers],0),0)</f>
        <v>#N/A</v>
      </c>
    </row>
    <row r="256" spans="1:14" x14ac:dyDescent="0.25">
      <c r="A256" s="79" t="s">
        <v>39</v>
      </c>
      <c r="B256" s="13" t="s">
        <v>182</v>
      </c>
      <c r="C256" s="13" t="s">
        <v>44</v>
      </c>
      <c r="D256" s="5">
        <f>VLOOKUP(B256,Percentage_distribution_of_journey_distance_for_all_regions[#All],MATCH(A256,Percentage_distribution_of_journey_distance_for_all_regions[#Headers],0),0)/100</f>
        <v>7.0000000000000007E-2</v>
      </c>
      <c r="E256" s="71">
        <f>IF(B256="&lt;2 kilometres",1,0)*VLOOKUP(C256, Percentage_dist_journeys_by_purpose_and_distance_to_2km[#All],MATCH(A256, Percentage_dist_journeys_by_purpose_and_distance_to_2km[#Headers],0),0)/100</f>
        <v>0</v>
      </c>
      <c r="F256" s="4">
        <f>IF(B256="2-4 kilometres",1,0)*VLOOKUP(C256, Percentage_dist_journeys_by_purpose_and_distance_2_to_4km[#All],MATCH(A256, Percentage_dist_journeys_by_purpose_and_distance_2_to_4km[#Headers],0),0)/100</f>
        <v>0</v>
      </c>
      <c r="G256" s="72">
        <f>IF(B256="4-6 kilometres",1,0)*VLOOKUP(C256, Percentage_dist_journeys_by_purpose_and_distance_4_to_6km[#All],MATCH(A256, Percentage_dist_journeys_by_purpose_and_distance_4_to_6km[#Headers],0),0)/100</f>
        <v>0</v>
      </c>
      <c r="H256" s="4">
        <f>IF(B256="6-8 kilometres",1,0)*VLOOKUP(C256, Percentage_dist_journeys_by_purpose_and_distance_6_to_8km[#All],MATCH(A256, Percentage_dist_journeys_by_purpose_and_distance_6_to_8km[#Headers],0),0)/100</f>
        <v>0.21899999999999997</v>
      </c>
      <c r="I256" s="72">
        <f>IF(B256="8+ kilometres",1,0)*VLOOKUP(C256, Percentage_dist_journeys_by_purpose_and_distance_8km[#All],MATCH(A256, Percentage_dist_journeys_by_purpose_and_distance_8km[#Headers],0),0)/100</f>
        <v>0</v>
      </c>
      <c r="J256" s="73">
        <f>VLOOKUP(B256,Average_Distance_by_kilometres_grouping_for_trip_purpose[#All],MATCH(A256,Average_Distance_by_kilometres_grouping_for_trip_purpose[#Headers],0),0)</f>
        <v>7</v>
      </c>
      <c r="K256" s="77">
        <f>VLOOKUP(C256, Adjustment_factor_for_distance_based_on_trip_purpose[#All],MATCH(A256, Adjustment_factor_for_distance_based_on_trip_purpose[#Headers],0),0)</f>
        <v>0.44444444444444442</v>
      </c>
      <c r="L256" s="78" t="e">
        <f>VLOOKUP($L$2, Total_Journeys_Per_Year[#All],MATCH(A256, Total_Journeys_Per_Year[#Headers],0),0)</f>
        <v>#N/A</v>
      </c>
      <c r="M256" s="35" t="e">
        <f t="shared" si="3"/>
        <v>#N/A</v>
      </c>
      <c r="N256" s="35" t="e">
        <f>VLOOKUP($N$2, Private_Vehicle_Kilometres_Car_Stock[#All],MATCH(A256, Private_Vehicle_Kilometres_Car_Stock[#Headers],0),0)</f>
        <v>#N/A</v>
      </c>
    </row>
    <row r="257" spans="1:14" x14ac:dyDescent="0.25">
      <c r="A257" s="79" t="s">
        <v>39</v>
      </c>
      <c r="B257" s="13" t="s">
        <v>1</v>
      </c>
      <c r="C257" s="13" t="s">
        <v>44</v>
      </c>
      <c r="D257" s="5">
        <f>VLOOKUP(B257,Percentage_distribution_of_journey_distance_for_all_regions[#All],MATCH(A257,Percentage_distribution_of_journey_distance_for_all_regions[#Headers],0),0)/100</f>
        <v>0.36799999999999999</v>
      </c>
      <c r="E257" s="71">
        <f>IF(B257="&lt;2 kilometres",1,0)*VLOOKUP(C257, Percentage_dist_journeys_by_purpose_and_distance_to_2km[#All],MATCH(A257, Percentage_dist_journeys_by_purpose_and_distance_to_2km[#Headers],0),0)/100</f>
        <v>0</v>
      </c>
      <c r="F257" s="4">
        <f>IF(B257="2-4 kilometres",1,0)*VLOOKUP(C257, Percentage_dist_journeys_by_purpose_and_distance_2_to_4km[#All],MATCH(A257, Percentage_dist_journeys_by_purpose_and_distance_2_to_4km[#Headers],0),0)/100</f>
        <v>0</v>
      </c>
      <c r="G257" s="72">
        <f>IF(B257="4-6 kilometres",1,0)*VLOOKUP(C257, Percentage_dist_journeys_by_purpose_and_distance_4_to_6km[#All],MATCH(A257, Percentage_dist_journeys_by_purpose_and_distance_4_to_6km[#Headers],0),0)/100</f>
        <v>0</v>
      </c>
      <c r="H257" s="4">
        <f>IF(B257="6-8 kilometres",1,0)*VLOOKUP(C257, Percentage_dist_journeys_by_purpose_and_distance_6_to_8km[#All],MATCH(A257, Percentage_dist_journeys_by_purpose_and_distance_6_to_8km[#Headers],0),0)/100</f>
        <v>0</v>
      </c>
      <c r="I257" s="72">
        <f>IF(B257="8+ kilometres",1,0)*VLOOKUP(C257, Percentage_dist_journeys_by_purpose_and_distance_8km[#All],MATCH(A257, Percentage_dist_journeys_by_purpose_and_distance_8km[#Headers],0),0)/100</f>
        <v>0.182</v>
      </c>
      <c r="J257" s="73">
        <f>VLOOKUP(B257,Average_Distance_by_kilometres_grouping_for_trip_purpose[#All],MATCH(A257,Average_Distance_by_kilometres_grouping_for_trip_purpose[#Headers],0),0)</f>
        <v>28.2</v>
      </c>
      <c r="K257" s="77">
        <f>VLOOKUP(C257, Adjustment_factor_for_distance_based_on_trip_purpose[#All],MATCH(A257, Adjustment_factor_for_distance_based_on_trip_purpose[#Headers],0),0)</f>
        <v>0.44444444444444442</v>
      </c>
      <c r="L257" s="78" t="e">
        <f>VLOOKUP($L$2, Total_Journeys_Per_Year[#All],MATCH(A257, Total_Journeys_Per_Year[#Headers],0),0)</f>
        <v>#N/A</v>
      </c>
      <c r="M257" s="35" t="e">
        <f t="shared" si="3"/>
        <v>#N/A</v>
      </c>
      <c r="N257" s="35" t="e">
        <f>VLOOKUP($N$2, Private_Vehicle_Kilometres_Car_Stock[#All],MATCH(A257, Private_Vehicle_Kilometres_Car_Stock[#Headers],0),0)</f>
        <v>#N/A</v>
      </c>
    </row>
    <row r="258" spans="1:14" x14ac:dyDescent="0.25">
      <c r="A258" s="79" t="s">
        <v>39</v>
      </c>
      <c r="B258" s="13" t="s">
        <v>12</v>
      </c>
      <c r="C258" s="13" t="s">
        <v>45</v>
      </c>
      <c r="D258" s="5">
        <f>VLOOKUP(B258,Percentage_distribution_of_journey_distance_for_all_regions[#All],MATCH(A258,Percentage_distribution_of_journey_distance_for_all_regions[#Headers],0),0)/100</f>
        <v>0.28600000000000003</v>
      </c>
      <c r="E258" s="71">
        <f>IF(B258="&lt;2 kilometres",1,0)*VLOOKUP(C258, Percentage_dist_journeys_by_purpose_and_distance_to_2km[#All],MATCH(A258, Percentage_dist_journeys_by_purpose_and_distance_to_2km[#Headers],0),0)/100</f>
        <v>4.4999999999999998E-2</v>
      </c>
      <c r="F258" s="4">
        <f>IF(B258="2-4 kilometres",1,0)*VLOOKUP(C258, Percentage_dist_journeys_by_purpose_and_distance_2_to_4km[#All],MATCH(A258, Percentage_dist_journeys_by_purpose_and_distance_2_to_4km[#Headers],0),0)/100</f>
        <v>0</v>
      </c>
      <c r="G258" s="72">
        <f>IF(B258="4-6 kilometres",1,0)*VLOOKUP(C258, Percentage_dist_journeys_by_purpose_and_distance_4_to_6km[#All],MATCH(A258, Percentage_dist_journeys_by_purpose_and_distance_4_to_6km[#Headers],0),0)/100</f>
        <v>0</v>
      </c>
      <c r="H258" s="4">
        <f>IF(B258="6-8 kilometres",1,0)*VLOOKUP(C258, Percentage_dist_journeys_by_purpose_and_distance_6_to_8km[#All],MATCH(A258, Percentage_dist_journeys_by_purpose_and_distance_6_to_8km[#Headers],0),0)/100</f>
        <v>0</v>
      </c>
      <c r="I258" s="72">
        <f>IF(B258="8+ kilometres",1,0)*VLOOKUP(C258, Percentage_dist_journeys_by_purpose_and_distance_8km[#All],MATCH(A258, Percentage_dist_journeys_by_purpose_and_distance_8km[#Headers],0),0)/100</f>
        <v>0</v>
      </c>
      <c r="J258" s="73">
        <f>VLOOKUP(B258,Average_Distance_by_kilometres_grouping_for_trip_purpose[#All],MATCH(A258,Average_Distance_by_kilometres_grouping_for_trip_purpose[#Headers],0),0)</f>
        <v>1</v>
      </c>
      <c r="K258" s="77">
        <f>VLOOKUP(C258, Adjustment_factor_for_distance_based_on_trip_purpose[#All],MATCH(A258, Adjustment_factor_for_distance_based_on_trip_purpose[#Headers],0),0)</f>
        <v>0.44444444444444442</v>
      </c>
      <c r="L258" s="78" t="e">
        <f>VLOOKUP($L$2, Total_Journeys_Per_Year[#All],MATCH(A258, Total_Journeys_Per_Year[#Headers],0),0)</f>
        <v>#N/A</v>
      </c>
      <c r="M258" s="35" t="e">
        <f t="shared" si="3"/>
        <v>#N/A</v>
      </c>
      <c r="N258" s="35" t="e">
        <f>VLOOKUP($N$2, Private_Vehicle_Kilometres_Car_Stock[#All],MATCH(A258, Private_Vehicle_Kilometres_Car_Stock[#Headers],0),0)</f>
        <v>#N/A</v>
      </c>
    </row>
    <row r="259" spans="1:14" x14ac:dyDescent="0.25">
      <c r="A259" s="79" t="s">
        <v>39</v>
      </c>
      <c r="B259" s="13" t="s">
        <v>181</v>
      </c>
      <c r="C259" s="13" t="s">
        <v>45</v>
      </c>
      <c r="D259" s="5">
        <f>VLOOKUP(B259,Percentage_distribution_of_journey_distance_for_all_regions[#All],MATCH(A259,Percentage_distribution_of_journey_distance_for_all_regions[#Headers],0),0)/100</f>
        <v>0.15</v>
      </c>
      <c r="E259" s="71">
        <f>IF(B259="&lt;2 kilometres",1,0)*VLOOKUP(C259, Percentage_dist_journeys_by_purpose_and_distance_to_2km[#All],MATCH(A259, Percentage_dist_journeys_by_purpose_and_distance_to_2km[#Headers],0),0)/100</f>
        <v>0</v>
      </c>
      <c r="F259" s="4">
        <f>IF(B259="2-4 kilometres",1,0)*VLOOKUP(C259, Percentage_dist_journeys_by_purpose_and_distance_2_to_4km[#All],MATCH(A259, Percentage_dist_journeys_by_purpose_and_distance_2_to_4km[#Headers],0),0)/100</f>
        <v>3.5000000000000003E-2</v>
      </c>
      <c r="G259" s="72">
        <f>IF(B259="4-6 kilometres",1,0)*VLOOKUP(C259, Percentage_dist_journeys_by_purpose_and_distance_4_to_6km[#All],MATCH(A259, Percentage_dist_journeys_by_purpose_and_distance_4_to_6km[#Headers],0),0)/100</f>
        <v>0</v>
      </c>
      <c r="H259" s="4">
        <f>IF(B259="6-8 kilometres",1,0)*VLOOKUP(C259, Percentage_dist_journeys_by_purpose_and_distance_6_to_8km[#All],MATCH(A259, Percentage_dist_journeys_by_purpose_and_distance_6_to_8km[#Headers],0),0)/100</f>
        <v>0</v>
      </c>
      <c r="I259" s="72">
        <f>IF(B259="8+ kilometres",1,0)*VLOOKUP(C259, Percentage_dist_journeys_by_purpose_and_distance_8km[#All],MATCH(A259, Percentage_dist_journeys_by_purpose_and_distance_8km[#Headers],0),0)/100</f>
        <v>0</v>
      </c>
      <c r="J259" s="73">
        <f>VLOOKUP(B259,Average_Distance_by_kilometres_grouping_for_trip_purpose[#All],MATCH(A259,Average_Distance_by_kilometres_grouping_for_trip_purpose[#Headers],0),0)</f>
        <v>3</v>
      </c>
      <c r="K259" s="77">
        <f>VLOOKUP(C259, Adjustment_factor_for_distance_based_on_trip_purpose[#All],MATCH(A259, Adjustment_factor_for_distance_based_on_trip_purpose[#Headers],0),0)</f>
        <v>0.44444444444444442</v>
      </c>
      <c r="L259" s="78" t="e">
        <f>VLOOKUP($L$2, Total_Journeys_Per_Year[#All],MATCH(A259, Total_Journeys_Per_Year[#Headers],0),0)</f>
        <v>#N/A</v>
      </c>
      <c r="M259" s="35" t="e">
        <f t="shared" si="3"/>
        <v>#N/A</v>
      </c>
      <c r="N259" s="35" t="e">
        <f>VLOOKUP($N$2, Private_Vehicle_Kilometres_Car_Stock[#All],MATCH(A259, Private_Vehicle_Kilometres_Car_Stock[#Headers],0),0)</f>
        <v>#N/A</v>
      </c>
    </row>
    <row r="260" spans="1:14" x14ac:dyDescent="0.25">
      <c r="A260" s="79" t="s">
        <v>39</v>
      </c>
      <c r="B260" s="13" t="s">
        <v>180</v>
      </c>
      <c r="C260" s="13" t="s">
        <v>45</v>
      </c>
      <c r="D260" s="5">
        <f>VLOOKUP(B260,Percentage_distribution_of_journey_distance_for_all_regions[#All],MATCH(A260,Percentage_distribution_of_journey_distance_for_all_regions[#Headers],0),0)/100</f>
        <v>0.125</v>
      </c>
      <c r="E260" s="71">
        <f>IF(B260="&lt;2 kilometres",1,0)*VLOOKUP(C260, Percentage_dist_journeys_by_purpose_and_distance_to_2km[#All],MATCH(A260, Percentage_dist_journeys_by_purpose_and_distance_to_2km[#Headers],0),0)/100</f>
        <v>0</v>
      </c>
      <c r="F260" s="4">
        <f>IF(B260="2-4 kilometres",1,0)*VLOOKUP(C260, Percentage_dist_journeys_by_purpose_and_distance_2_to_4km[#All],MATCH(A260, Percentage_dist_journeys_by_purpose_and_distance_2_to_4km[#Headers],0),0)/100</f>
        <v>0</v>
      </c>
      <c r="G260" s="72">
        <f>IF(B260="4-6 kilometres",1,0)*VLOOKUP(C260, Percentage_dist_journeys_by_purpose_and_distance_4_to_6km[#All],MATCH(A260, Percentage_dist_journeys_by_purpose_and_distance_4_to_6km[#Headers],0),0)/100</f>
        <v>5.4000000000000006E-2</v>
      </c>
      <c r="H260" s="4">
        <f>IF(B260="6-8 kilometres",1,0)*VLOOKUP(C260, Percentage_dist_journeys_by_purpose_and_distance_6_to_8km[#All],MATCH(A260, Percentage_dist_journeys_by_purpose_and_distance_6_to_8km[#Headers],0),0)/100</f>
        <v>0</v>
      </c>
      <c r="I260" s="72">
        <f>IF(B260="8+ kilometres",1,0)*VLOOKUP(C260, Percentage_dist_journeys_by_purpose_and_distance_8km[#All],MATCH(A260, Percentage_dist_journeys_by_purpose_and_distance_8km[#Headers],0),0)/100</f>
        <v>0</v>
      </c>
      <c r="J260" s="73">
        <f>VLOOKUP(B260,Average_Distance_by_kilometres_grouping_for_trip_purpose[#All],MATCH(A260,Average_Distance_by_kilometres_grouping_for_trip_purpose[#Headers],0),0)</f>
        <v>5</v>
      </c>
      <c r="K260" s="77">
        <f>VLOOKUP(C260, Adjustment_factor_for_distance_based_on_trip_purpose[#All],MATCH(A260, Adjustment_factor_for_distance_based_on_trip_purpose[#Headers],0),0)</f>
        <v>0.44444444444444442</v>
      </c>
      <c r="L260" s="78" t="e">
        <f>VLOOKUP($L$2, Total_Journeys_Per_Year[#All],MATCH(A260, Total_Journeys_Per_Year[#Headers],0),0)</f>
        <v>#N/A</v>
      </c>
      <c r="M260" s="35" t="e">
        <f t="shared" si="3"/>
        <v>#N/A</v>
      </c>
      <c r="N260" s="35" t="e">
        <f>VLOOKUP($N$2, Private_Vehicle_Kilometres_Car_Stock[#All],MATCH(A260, Private_Vehicle_Kilometres_Car_Stock[#Headers],0),0)</f>
        <v>#N/A</v>
      </c>
    </row>
    <row r="261" spans="1:14" x14ac:dyDescent="0.25">
      <c r="A261" s="79" t="s">
        <v>39</v>
      </c>
      <c r="B261" s="13" t="s">
        <v>182</v>
      </c>
      <c r="C261" s="13" t="s">
        <v>45</v>
      </c>
      <c r="D261" s="5">
        <f>VLOOKUP(B261,Percentage_distribution_of_journey_distance_for_all_regions[#All],MATCH(A261,Percentage_distribution_of_journey_distance_for_all_regions[#Headers],0),0)/100</f>
        <v>7.0000000000000007E-2</v>
      </c>
      <c r="E261" s="71">
        <f>IF(B261="&lt;2 kilometres",1,0)*VLOOKUP(C261, Percentage_dist_journeys_by_purpose_and_distance_to_2km[#All],MATCH(A261, Percentage_dist_journeys_by_purpose_and_distance_to_2km[#Headers],0),0)/100</f>
        <v>0</v>
      </c>
      <c r="F261" s="4">
        <f>IF(B261="2-4 kilometres",1,0)*VLOOKUP(C261, Percentage_dist_journeys_by_purpose_and_distance_2_to_4km[#All],MATCH(A261, Percentage_dist_journeys_by_purpose_and_distance_2_to_4km[#Headers],0),0)/100</f>
        <v>0</v>
      </c>
      <c r="G261" s="72">
        <f>IF(B261="4-6 kilometres",1,0)*VLOOKUP(C261, Percentage_dist_journeys_by_purpose_and_distance_4_to_6km[#All],MATCH(A261, Percentage_dist_journeys_by_purpose_and_distance_4_to_6km[#Headers],0),0)/100</f>
        <v>0</v>
      </c>
      <c r="H261" s="4">
        <f>IF(B261="6-8 kilometres",1,0)*VLOOKUP(C261, Percentage_dist_journeys_by_purpose_and_distance_6_to_8km[#All],MATCH(A261, Percentage_dist_journeys_by_purpose_and_distance_6_to_8km[#Headers],0),0)/100</f>
        <v>2.7999999999999997E-2</v>
      </c>
      <c r="I261" s="72">
        <f>IF(B261="8+ kilometres",1,0)*VLOOKUP(C261, Percentage_dist_journeys_by_purpose_and_distance_8km[#All],MATCH(A261, Percentage_dist_journeys_by_purpose_and_distance_8km[#Headers],0),0)/100</f>
        <v>0</v>
      </c>
      <c r="J261" s="73">
        <f>VLOOKUP(B261,Average_Distance_by_kilometres_grouping_for_trip_purpose[#All],MATCH(A261,Average_Distance_by_kilometres_grouping_for_trip_purpose[#Headers],0),0)</f>
        <v>7</v>
      </c>
      <c r="K261" s="77">
        <f>VLOOKUP(C261, Adjustment_factor_for_distance_based_on_trip_purpose[#All],MATCH(A261, Adjustment_factor_for_distance_based_on_trip_purpose[#Headers],0),0)</f>
        <v>0.44444444444444442</v>
      </c>
      <c r="L261" s="78" t="e">
        <f>VLOOKUP($L$2, Total_Journeys_Per_Year[#All],MATCH(A261, Total_Journeys_Per_Year[#Headers],0),0)</f>
        <v>#N/A</v>
      </c>
      <c r="M261" s="35" t="e">
        <f t="shared" si="3"/>
        <v>#N/A</v>
      </c>
      <c r="N261" s="35" t="e">
        <f>VLOOKUP($N$2, Private_Vehicle_Kilometres_Car_Stock[#All],MATCH(A261, Private_Vehicle_Kilometres_Car_Stock[#Headers],0),0)</f>
        <v>#N/A</v>
      </c>
    </row>
    <row r="262" spans="1:14" x14ac:dyDescent="0.25">
      <c r="A262" s="79" t="s">
        <v>39</v>
      </c>
      <c r="B262" s="13" t="s">
        <v>1</v>
      </c>
      <c r="C262" s="13" t="s">
        <v>45</v>
      </c>
      <c r="D262" s="5">
        <f>VLOOKUP(B262,Percentage_distribution_of_journey_distance_for_all_regions[#All],MATCH(A262,Percentage_distribution_of_journey_distance_for_all_regions[#Headers],0),0)/100</f>
        <v>0.36799999999999999</v>
      </c>
      <c r="E262" s="71">
        <f>IF(B262="&lt;2 kilometres",1,0)*VLOOKUP(C262, Percentage_dist_journeys_by_purpose_and_distance_to_2km[#All],MATCH(A262, Percentage_dist_journeys_by_purpose_and_distance_to_2km[#Headers],0),0)/100</f>
        <v>0</v>
      </c>
      <c r="F262" s="4">
        <f>IF(B262="2-4 kilometres",1,0)*VLOOKUP(C262, Percentage_dist_journeys_by_purpose_and_distance_2_to_4km[#All],MATCH(A262, Percentage_dist_journeys_by_purpose_and_distance_2_to_4km[#Headers],0),0)/100</f>
        <v>0</v>
      </c>
      <c r="G262" s="72">
        <f>IF(B262="4-6 kilometres",1,0)*VLOOKUP(C262, Percentage_dist_journeys_by_purpose_and_distance_4_to_6km[#All],MATCH(A262, Percentage_dist_journeys_by_purpose_and_distance_4_to_6km[#Headers],0),0)/100</f>
        <v>0</v>
      </c>
      <c r="H262" s="4">
        <f>IF(B262="6-8 kilometres",1,0)*VLOOKUP(C262, Percentage_dist_journeys_by_purpose_and_distance_6_to_8km[#All],MATCH(A262, Percentage_dist_journeys_by_purpose_and_distance_6_to_8km[#Headers],0),0)/100</f>
        <v>0</v>
      </c>
      <c r="I262" s="72">
        <f>IF(B262="8+ kilometres",1,0)*VLOOKUP(C262, Percentage_dist_journeys_by_purpose_and_distance_8km[#All],MATCH(A262, Percentage_dist_journeys_by_purpose_and_distance_8km[#Headers],0),0)/100</f>
        <v>2.4E-2</v>
      </c>
      <c r="J262" s="73">
        <f>VLOOKUP(B262,Average_Distance_by_kilometres_grouping_for_trip_purpose[#All],MATCH(A262,Average_Distance_by_kilometres_grouping_for_trip_purpose[#Headers],0),0)</f>
        <v>28.2</v>
      </c>
      <c r="K262" s="77">
        <f>VLOOKUP(C262, Adjustment_factor_for_distance_based_on_trip_purpose[#All],MATCH(A262, Adjustment_factor_for_distance_based_on_trip_purpose[#Headers],0),0)</f>
        <v>0.44444444444444442</v>
      </c>
      <c r="L262" s="78" t="e">
        <f>VLOOKUP($L$2, Total_Journeys_Per_Year[#All],MATCH(A262, Total_Journeys_Per_Year[#Headers],0),0)</f>
        <v>#N/A</v>
      </c>
      <c r="M262" s="35" t="e">
        <f t="shared" si="3"/>
        <v>#N/A</v>
      </c>
      <c r="N262" s="35" t="e">
        <f>VLOOKUP($N$2, Private_Vehicle_Kilometres_Car_Stock[#All],MATCH(A262, Private_Vehicle_Kilometres_Car_Stock[#Headers],0),0)</f>
        <v>#N/A</v>
      </c>
    </row>
    <row r="263" spans="1:14" x14ac:dyDescent="0.25">
      <c r="A263" s="79" t="s">
        <v>39</v>
      </c>
      <c r="B263" s="13" t="s">
        <v>12</v>
      </c>
      <c r="C263" s="13" t="s">
        <v>46</v>
      </c>
      <c r="D263" s="5">
        <f>VLOOKUP(B263,Percentage_distribution_of_journey_distance_for_all_regions[#All],MATCH(A263,Percentage_distribution_of_journey_distance_for_all_regions[#Headers],0),0)/100</f>
        <v>0.28600000000000003</v>
      </c>
      <c r="E263" s="71">
        <f>IF(B263="&lt;2 kilometres",1,0)*VLOOKUP(C263, Percentage_dist_journeys_by_purpose_and_distance_to_2km[#All],MATCH(A263, Percentage_dist_journeys_by_purpose_and_distance_to_2km[#Headers],0),0)/100</f>
        <v>7.9000000000000001E-2</v>
      </c>
      <c r="F263" s="4">
        <f>IF(B263="2-4 kilometres",1,0)*VLOOKUP(C263, Percentage_dist_journeys_by_purpose_and_distance_2_to_4km[#All],MATCH(A263, Percentage_dist_journeys_by_purpose_and_distance_2_to_4km[#Headers],0),0)/100</f>
        <v>0</v>
      </c>
      <c r="G263" s="72">
        <f>IF(B263="4-6 kilometres",1,0)*VLOOKUP(C263, Percentage_dist_journeys_by_purpose_and_distance_4_to_6km[#All],MATCH(A263, Percentage_dist_journeys_by_purpose_and_distance_4_to_6km[#Headers],0),0)/100</f>
        <v>0</v>
      </c>
      <c r="H263" s="4">
        <f>IF(B263="6-8 kilometres",1,0)*VLOOKUP(C263, Percentage_dist_journeys_by_purpose_and_distance_6_to_8km[#All],MATCH(A263, Percentage_dist_journeys_by_purpose_and_distance_6_to_8km[#Headers],0),0)/100</f>
        <v>0</v>
      </c>
      <c r="I263" s="72">
        <f>IF(B263="8+ kilometres",1,0)*VLOOKUP(C263, Percentage_dist_journeys_by_purpose_and_distance_8km[#All],MATCH(A263, Percentage_dist_journeys_by_purpose_and_distance_8km[#Headers],0),0)/100</f>
        <v>0</v>
      </c>
      <c r="J263" s="73">
        <f>VLOOKUP(B263,Average_Distance_by_kilometres_grouping_for_trip_purpose[#All],MATCH(A263,Average_Distance_by_kilometres_grouping_for_trip_purpose[#Headers],0),0)</f>
        <v>1</v>
      </c>
      <c r="K263" s="77">
        <f>VLOOKUP(C263, Adjustment_factor_for_distance_based_on_trip_purpose[#All],MATCH(A263, Adjustment_factor_for_distance_based_on_trip_purpose[#Headers],0),0)</f>
        <v>0.94444444444444442</v>
      </c>
      <c r="L263" s="78" t="e">
        <f>VLOOKUP($L$2, Total_Journeys_Per_Year[#All],MATCH(A263, Total_Journeys_Per_Year[#Headers],0),0)</f>
        <v>#N/A</v>
      </c>
      <c r="M263" s="35" t="e">
        <f t="shared" si="3"/>
        <v>#N/A</v>
      </c>
      <c r="N263" s="35" t="e">
        <f>VLOOKUP($N$2, Private_Vehicle_Kilometres_Car_Stock[#All],MATCH(A263, Private_Vehicle_Kilometres_Car_Stock[#Headers],0),0)</f>
        <v>#N/A</v>
      </c>
    </row>
    <row r="264" spans="1:14" x14ac:dyDescent="0.25">
      <c r="A264" s="79" t="s">
        <v>39</v>
      </c>
      <c r="B264" s="13" t="s">
        <v>181</v>
      </c>
      <c r="C264" s="13" t="s">
        <v>46</v>
      </c>
      <c r="D264" s="5">
        <f>VLOOKUP(B264,Percentage_distribution_of_journey_distance_for_all_regions[#All],MATCH(A264,Percentage_distribution_of_journey_distance_for_all_regions[#Headers],0),0)/100</f>
        <v>0.15</v>
      </c>
      <c r="E264" s="71">
        <f>IF(B264="&lt;2 kilometres",1,0)*VLOOKUP(C264, Percentage_dist_journeys_by_purpose_and_distance_to_2km[#All],MATCH(A264, Percentage_dist_journeys_by_purpose_and_distance_to_2km[#Headers],0),0)/100</f>
        <v>0</v>
      </c>
      <c r="F264" s="4">
        <f>IF(B264="2-4 kilometres",1,0)*VLOOKUP(C264, Percentage_dist_journeys_by_purpose_and_distance_2_to_4km[#All],MATCH(A264, Percentage_dist_journeys_by_purpose_and_distance_2_to_4km[#Headers],0),0)/100</f>
        <v>9.1999999999999998E-2</v>
      </c>
      <c r="G264" s="72">
        <f>IF(B264="4-6 kilometres",1,0)*VLOOKUP(C264, Percentage_dist_journeys_by_purpose_and_distance_4_to_6km[#All],MATCH(A264, Percentage_dist_journeys_by_purpose_and_distance_4_to_6km[#Headers],0),0)/100</f>
        <v>0</v>
      </c>
      <c r="H264" s="4">
        <f>IF(B264="6-8 kilometres",1,0)*VLOOKUP(C264, Percentage_dist_journeys_by_purpose_and_distance_6_to_8km[#All],MATCH(A264, Percentage_dist_journeys_by_purpose_and_distance_6_to_8km[#Headers],0),0)/100</f>
        <v>0</v>
      </c>
      <c r="I264" s="72">
        <f>IF(B264="8+ kilometres",1,0)*VLOOKUP(C264, Percentage_dist_journeys_by_purpose_and_distance_8km[#All],MATCH(A264, Percentage_dist_journeys_by_purpose_and_distance_8km[#Headers],0),0)/100</f>
        <v>0</v>
      </c>
      <c r="J264" s="73">
        <f>VLOOKUP(B264,Average_Distance_by_kilometres_grouping_for_trip_purpose[#All],MATCH(A264,Average_Distance_by_kilometres_grouping_for_trip_purpose[#Headers],0),0)</f>
        <v>3</v>
      </c>
      <c r="K264" s="77">
        <f>VLOOKUP(C264, Adjustment_factor_for_distance_based_on_trip_purpose[#All],MATCH(A264, Adjustment_factor_for_distance_based_on_trip_purpose[#Headers],0),0)</f>
        <v>0.94444444444444442</v>
      </c>
      <c r="L264" s="78" t="e">
        <f>VLOOKUP($L$2, Total_Journeys_Per_Year[#All],MATCH(A264, Total_Journeys_Per_Year[#Headers],0),0)</f>
        <v>#N/A</v>
      </c>
      <c r="M264" s="35" t="e">
        <f t="shared" si="3"/>
        <v>#N/A</v>
      </c>
      <c r="N264" s="35" t="e">
        <f>VLOOKUP($N$2, Private_Vehicle_Kilometres_Car_Stock[#All],MATCH(A264, Private_Vehicle_Kilometres_Car_Stock[#Headers],0),0)</f>
        <v>#N/A</v>
      </c>
    </row>
    <row r="265" spans="1:14" x14ac:dyDescent="0.25">
      <c r="A265" s="79" t="s">
        <v>39</v>
      </c>
      <c r="B265" s="13" t="s">
        <v>180</v>
      </c>
      <c r="C265" s="13" t="s">
        <v>46</v>
      </c>
      <c r="D265" s="5">
        <f>VLOOKUP(B265,Percentage_distribution_of_journey_distance_for_all_regions[#All],MATCH(A265,Percentage_distribution_of_journey_distance_for_all_regions[#Headers],0),0)/100</f>
        <v>0.125</v>
      </c>
      <c r="E265" s="71">
        <f>IF(B265="&lt;2 kilometres",1,0)*VLOOKUP(C265, Percentage_dist_journeys_by_purpose_and_distance_to_2km[#All],MATCH(A265, Percentage_dist_journeys_by_purpose_and_distance_to_2km[#Headers],0),0)/100</f>
        <v>0</v>
      </c>
      <c r="F265" s="4">
        <f>IF(B265="2-4 kilometres",1,0)*VLOOKUP(C265, Percentage_dist_journeys_by_purpose_and_distance_2_to_4km[#All],MATCH(A265, Percentage_dist_journeys_by_purpose_and_distance_2_to_4km[#Headers],0),0)/100</f>
        <v>0</v>
      </c>
      <c r="G265" s="72">
        <f>IF(B265="4-6 kilometres",1,0)*VLOOKUP(C265, Percentage_dist_journeys_by_purpose_and_distance_4_to_6km[#All],MATCH(A265, Percentage_dist_journeys_by_purpose_and_distance_4_to_6km[#Headers],0),0)/100</f>
        <v>0.10199999999999999</v>
      </c>
      <c r="H265" s="4">
        <f>IF(B265="6-8 kilometres",1,0)*VLOOKUP(C265, Percentage_dist_journeys_by_purpose_and_distance_6_to_8km[#All],MATCH(A265, Percentage_dist_journeys_by_purpose_and_distance_6_to_8km[#Headers],0),0)/100</f>
        <v>0</v>
      </c>
      <c r="I265" s="72">
        <f>IF(B265="8+ kilometres",1,0)*VLOOKUP(C265, Percentage_dist_journeys_by_purpose_and_distance_8km[#All],MATCH(A265, Percentage_dist_journeys_by_purpose_and_distance_8km[#Headers],0),0)/100</f>
        <v>0</v>
      </c>
      <c r="J265" s="73">
        <f>VLOOKUP(B265,Average_Distance_by_kilometres_grouping_for_trip_purpose[#All],MATCH(A265,Average_Distance_by_kilometres_grouping_for_trip_purpose[#Headers],0),0)</f>
        <v>5</v>
      </c>
      <c r="K265" s="77">
        <f>VLOOKUP(C265, Adjustment_factor_for_distance_based_on_trip_purpose[#All],MATCH(A265, Adjustment_factor_for_distance_based_on_trip_purpose[#Headers],0),0)</f>
        <v>0.94444444444444442</v>
      </c>
      <c r="L265" s="78" t="e">
        <f>VLOOKUP($L$2, Total_Journeys_Per_Year[#All],MATCH(A265, Total_Journeys_Per_Year[#Headers],0),0)</f>
        <v>#N/A</v>
      </c>
      <c r="M265" s="35" t="e">
        <f t="shared" si="3"/>
        <v>#N/A</v>
      </c>
      <c r="N265" s="35" t="e">
        <f>VLOOKUP($N$2, Private_Vehicle_Kilometres_Car_Stock[#All],MATCH(A265, Private_Vehicle_Kilometres_Car_Stock[#Headers],0),0)</f>
        <v>#N/A</v>
      </c>
    </row>
    <row r="266" spans="1:14" x14ac:dyDescent="0.25">
      <c r="A266" s="79" t="s">
        <v>39</v>
      </c>
      <c r="B266" s="13" t="s">
        <v>182</v>
      </c>
      <c r="C266" s="13" t="s">
        <v>46</v>
      </c>
      <c r="D266" s="5">
        <f>VLOOKUP(B266,Percentage_distribution_of_journey_distance_for_all_regions[#All],MATCH(A266,Percentage_distribution_of_journey_distance_for_all_regions[#Headers],0),0)/100</f>
        <v>7.0000000000000007E-2</v>
      </c>
      <c r="E266" s="71">
        <f>IF(B266="&lt;2 kilometres",1,0)*VLOOKUP(C266, Percentage_dist_journeys_by_purpose_and_distance_to_2km[#All],MATCH(A266, Percentage_dist_journeys_by_purpose_and_distance_to_2km[#Headers],0),0)/100</f>
        <v>0</v>
      </c>
      <c r="F266" s="4">
        <f>IF(B266="2-4 kilometres",1,0)*VLOOKUP(C266, Percentage_dist_journeys_by_purpose_and_distance_2_to_4km[#All],MATCH(A266, Percentage_dist_journeys_by_purpose_and_distance_2_to_4km[#Headers],0),0)/100</f>
        <v>0</v>
      </c>
      <c r="G266" s="72">
        <f>IF(B266="4-6 kilometres",1,0)*VLOOKUP(C266, Percentage_dist_journeys_by_purpose_and_distance_4_to_6km[#All],MATCH(A266, Percentage_dist_journeys_by_purpose_and_distance_4_to_6km[#Headers],0),0)/100</f>
        <v>0</v>
      </c>
      <c r="H266" s="4">
        <f>IF(B266="6-8 kilometres",1,0)*VLOOKUP(C266, Percentage_dist_journeys_by_purpose_and_distance_6_to_8km[#All],MATCH(A266, Percentage_dist_journeys_by_purpose_and_distance_6_to_8km[#Headers],0),0)/100</f>
        <v>8.900000000000001E-2</v>
      </c>
      <c r="I266" s="72">
        <f>IF(B266="8+ kilometres",1,0)*VLOOKUP(C266, Percentage_dist_journeys_by_purpose_and_distance_8km[#All],MATCH(A266, Percentage_dist_journeys_by_purpose_and_distance_8km[#Headers],0),0)/100</f>
        <v>0</v>
      </c>
      <c r="J266" s="73">
        <f>VLOOKUP(B266,Average_Distance_by_kilometres_grouping_for_trip_purpose[#All],MATCH(A266,Average_Distance_by_kilometres_grouping_for_trip_purpose[#Headers],0),0)</f>
        <v>7</v>
      </c>
      <c r="K266" s="77">
        <f>VLOOKUP(C266, Adjustment_factor_for_distance_based_on_trip_purpose[#All],MATCH(A266, Adjustment_factor_for_distance_based_on_trip_purpose[#Headers],0),0)</f>
        <v>0.94444444444444442</v>
      </c>
      <c r="L266" s="78" t="e">
        <f>VLOOKUP($L$2, Total_Journeys_Per_Year[#All],MATCH(A266, Total_Journeys_Per_Year[#Headers],0),0)</f>
        <v>#N/A</v>
      </c>
      <c r="M266" s="35" t="e">
        <f t="shared" si="3"/>
        <v>#N/A</v>
      </c>
      <c r="N266" s="35" t="e">
        <f>VLOOKUP($N$2, Private_Vehicle_Kilometres_Car_Stock[#All],MATCH(A266, Private_Vehicle_Kilometres_Car_Stock[#Headers],0),0)</f>
        <v>#N/A</v>
      </c>
    </row>
    <row r="267" spans="1:14" x14ac:dyDescent="0.25">
      <c r="A267" s="79" t="s">
        <v>39</v>
      </c>
      <c r="B267" s="13" t="s">
        <v>1</v>
      </c>
      <c r="C267" s="13" t="s">
        <v>46</v>
      </c>
      <c r="D267" s="5">
        <f>VLOOKUP(B267,Percentage_distribution_of_journey_distance_for_all_regions[#All],MATCH(A267,Percentage_distribution_of_journey_distance_for_all_regions[#Headers],0),0)/100</f>
        <v>0.36799999999999999</v>
      </c>
      <c r="E267" s="71">
        <f>IF(B267="&lt;2 kilometres",1,0)*VLOOKUP(C267, Percentage_dist_journeys_by_purpose_and_distance_to_2km[#All],MATCH(A267, Percentage_dist_journeys_by_purpose_and_distance_to_2km[#Headers],0),0)/100</f>
        <v>0</v>
      </c>
      <c r="F267" s="4">
        <f>IF(B267="2-4 kilometres",1,0)*VLOOKUP(C267, Percentage_dist_journeys_by_purpose_and_distance_2_to_4km[#All],MATCH(A267, Percentage_dist_journeys_by_purpose_and_distance_2_to_4km[#Headers],0),0)/100</f>
        <v>0</v>
      </c>
      <c r="G267" s="72">
        <f>IF(B267="4-6 kilometres",1,0)*VLOOKUP(C267, Percentage_dist_journeys_by_purpose_and_distance_4_to_6km[#All],MATCH(A267, Percentage_dist_journeys_by_purpose_and_distance_4_to_6km[#Headers],0),0)/100</f>
        <v>0</v>
      </c>
      <c r="H267" s="4">
        <f>IF(B267="6-8 kilometres",1,0)*VLOOKUP(C267, Percentage_dist_journeys_by_purpose_and_distance_6_to_8km[#All],MATCH(A267, Percentage_dist_journeys_by_purpose_and_distance_6_to_8km[#Headers],0),0)/100</f>
        <v>0</v>
      </c>
      <c r="I267" s="72">
        <f>IF(B267="8+ kilometres",1,0)*VLOOKUP(C267, Percentage_dist_journeys_by_purpose_and_distance_8km[#All],MATCH(A267, Percentage_dist_journeys_by_purpose_and_distance_8km[#Headers],0),0)/100</f>
        <v>0.124</v>
      </c>
      <c r="J267" s="73">
        <f>VLOOKUP(B267,Average_Distance_by_kilometres_grouping_for_trip_purpose[#All],MATCH(A267,Average_Distance_by_kilometres_grouping_for_trip_purpose[#Headers],0),0)</f>
        <v>28.2</v>
      </c>
      <c r="K267" s="77">
        <f>VLOOKUP(C267, Adjustment_factor_for_distance_based_on_trip_purpose[#All],MATCH(A267, Adjustment_factor_for_distance_based_on_trip_purpose[#Headers],0),0)</f>
        <v>0.94444444444444442</v>
      </c>
      <c r="L267" s="78" t="e">
        <f>VLOOKUP($L$2, Total_Journeys_Per_Year[#All],MATCH(A267, Total_Journeys_Per_Year[#Headers],0),0)</f>
        <v>#N/A</v>
      </c>
      <c r="M267" s="35" t="e">
        <f t="shared" si="3"/>
        <v>#N/A</v>
      </c>
      <c r="N267" s="35" t="e">
        <f>VLOOKUP($N$2, Private_Vehicle_Kilometres_Car_Stock[#All],MATCH(A267, Private_Vehicle_Kilometres_Car_Stock[#Headers],0),0)</f>
        <v>#N/A</v>
      </c>
    </row>
    <row r="268" spans="1:14" x14ac:dyDescent="0.25">
      <c r="A268" s="79" t="s">
        <v>39</v>
      </c>
      <c r="B268" s="13" t="s">
        <v>12</v>
      </c>
      <c r="C268" s="13" t="s">
        <v>47</v>
      </c>
      <c r="D268" s="5">
        <f>VLOOKUP(B268,Percentage_distribution_of_journey_distance_for_all_regions[#All],MATCH(A268,Percentage_distribution_of_journey_distance_for_all_regions[#Headers],0),0)/100</f>
        <v>0.28600000000000003</v>
      </c>
      <c r="E268" s="71">
        <f>IF(B268="&lt;2 kilometres",1,0)*VLOOKUP(C268, Percentage_dist_journeys_by_purpose_and_distance_to_2km[#All],MATCH(A268, Percentage_dist_journeys_by_purpose_and_distance_to_2km[#Headers],0),0)/100</f>
        <v>6.9000000000000006E-2</v>
      </c>
      <c r="F268" s="4">
        <f>IF(B268="2-4 kilometres",1,0)*VLOOKUP(C268, Percentage_dist_journeys_by_purpose_and_distance_2_to_4km[#All],MATCH(A268, Percentage_dist_journeys_by_purpose_and_distance_2_to_4km[#Headers],0),0)/100</f>
        <v>0</v>
      </c>
      <c r="G268" s="72">
        <f>IF(B268="4-6 kilometres",1,0)*VLOOKUP(C268, Percentage_dist_journeys_by_purpose_and_distance_4_to_6km[#All],MATCH(A268, Percentage_dist_journeys_by_purpose_and_distance_4_to_6km[#Headers],0),0)/100</f>
        <v>0</v>
      </c>
      <c r="H268" s="4">
        <f>IF(B268="6-8 kilometres",1,0)*VLOOKUP(C268, Percentage_dist_journeys_by_purpose_and_distance_6_to_8km[#All],MATCH(A268, Percentage_dist_journeys_by_purpose_and_distance_6_to_8km[#Headers],0),0)/100</f>
        <v>0</v>
      </c>
      <c r="I268" s="72">
        <f>IF(B268="8+ kilometres",1,0)*VLOOKUP(C268, Percentage_dist_journeys_by_purpose_and_distance_8km[#All],MATCH(A268, Percentage_dist_journeys_by_purpose_and_distance_8km[#Headers],0),0)/100</f>
        <v>0</v>
      </c>
      <c r="J268" s="73">
        <f>VLOOKUP(B268,Average_Distance_by_kilometres_grouping_for_trip_purpose[#All],MATCH(A268,Average_Distance_by_kilometres_grouping_for_trip_purpose[#Headers],0),0)</f>
        <v>1</v>
      </c>
      <c r="K268" s="77">
        <f>VLOOKUP(C268, Adjustment_factor_for_distance_based_on_trip_purpose[#All],MATCH(A268, Adjustment_factor_for_distance_based_on_trip_purpose[#Headers],0),0)</f>
        <v>0.94444444444444442</v>
      </c>
      <c r="L268" s="78" t="e">
        <f>VLOOKUP($L$2, Total_Journeys_Per_Year[#All],MATCH(A268, Total_Journeys_Per_Year[#Headers],0),0)</f>
        <v>#N/A</v>
      </c>
      <c r="M268" s="35" t="e">
        <f t="shared" si="3"/>
        <v>#N/A</v>
      </c>
      <c r="N268" s="35" t="e">
        <f>VLOOKUP($N$2, Private_Vehicle_Kilometres_Car_Stock[#All],MATCH(A268, Private_Vehicle_Kilometres_Car_Stock[#Headers],0),0)</f>
        <v>#N/A</v>
      </c>
    </row>
    <row r="269" spans="1:14" x14ac:dyDescent="0.25">
      <c r="A269" s="79" t="s">
        <v>39</v>
      </c>
      <c r="B269" s="13" t="s">
        <v>181</v>
      </c>
      <c r="C269" s="13" t="s">
        <v>47</v>
      </c>
      <c r="D269" s="5">
        <f>VLOOKUP(B269,Percentage_distribution_of_journey_distance_for_all_regions[#All],MATCH(A269,Percentage_distribution_of_journey_distance_for_all_regions[#Headers],0),0)/100</f>
        <v>0.15</v>
      </c>
      <c r="E269" s="71">
        <f>IF(B269="&lt;2 kilometres",1,0)*VLOOKUP(C269, Percentage_dist_journeys_by_purpose_and_distance_to_2km[#All],MATCH(A269, Percentage_dist_journeys_by_purpose_and_distance_to_2km[#Headers],0),0)/100</f>
        <v>0</v>
      </c>
      <c r="F269" s="4">
        <f>IF(B269="2-4 kilometres",1,0)*VLOOKUP(C269, Percentage_dist_journeys_by_purpose_and_distance_2_to_4km[#All],MATCH(A269, Percentage_dist_journeys_by_purpose_and_distance_2_to_4km[#Headers],0),0)/100</f>
        <v>0.111</v>
      </c>
      <c r="G269" s="72">
        <f>IF(B269="4-6 kilometres",1,0)*VLOOKUP(C269, Percentage_dist_journeys_by_purpose_and_distance_4_to_6km[#All],MATCH(A269, Percentage_dist_journeys_by_purpose_and_distance_4_to_6km[#Headers],0),0)/100</f>
        <v>0</v>
      </c>
      <c r="H269" s="4">
        <f>IF(B269="6-8 kilometres",1,0)*VLOOKUP(C269, Percentage_dist_journeys_by_purpose_and_distance_6_to_8km[#All],MATCH(A269, Percentage_dist_journeys_by_purpose_and_distance_6_to_8km[#Headers],0),0)/100</f>
        <v>0</v>
      </c>
      <c r="I269" s="72">
        <f>IF(B269="8+ kilometres",1,0)*VLOOKUP(C269, Percentage_dist_journeys_by_purpose_and_distance_8km[#All],MATCH(A269, Percentage_dist_journeys_by_purpose_and_distance_8km[#Headers],0),0)/100</f>
        <v>0</v>
      </c>
      <c r="J269" s="73">
        <f>VLOOKUP(B269,Average_Distance_by_kilometres_grouping_for_trip_purpose[#All],MATCH(A269,Average_Distance_by_kilometres_grouping_for_trip_purpose[#Headers],0),0)</f>
        <v>3</v>
      </c>
      <c r="K269" s="77">
        <f>VLOOKUP(C269, Adjustment_factor_for_distance_based_on_trip_purpose[#All],MATCH(A269, Adjustment_factor_for_distance_based_on_trip_purpose[#Headers],0),0)</f>
        <v>0.94444444444444442</v>
      </c>
      <c r="L269" s="78" t="e">
        <f>VLOOKUP($L$2, Total_Journeys_Per_Year[#All],MATCH(A269, Total_Journeys_Per_Year[#Headers],0),0)</f>
        <v>#N/A</v>
      </c>
      <c r="M269" s="35" t="e">
        <f t="shared" si="3"/>
        <v>#N/A</v>
      </c>
      <c r="N269" s="35" t="e">
        <f>VLOOKUP($N$2, Private_Vehicle_Kilometres_Car_Stock[#All],MATCH(A269, Private_Vehicle_Kilometres_Car_Stock[#Headers],0),0)</f>
        <v>#N/A</v>
      </c>
    </row>
    <row r="270" spans="1:14" x14ac:dyDescent="0.25">
      <c r="A270" s="79" t="s">
        <v>39</v>
      </c>
      <c r="B270" s="13" t="s">
        <v>180</v>
      </c>
      <c r="C270" s="13" t="s">
        <v>47</v>
      </c>
      <c r="D270" s="5">
        <f>VLOOKUP(B270,Percentage_distribution_of_journey_distance_for_all_regions[#All],MATCH(A270,Percentage_distribution_of_journey_distance_for_all_regions[#Headers],0),0)/100</f>
        <v>0.125</v>
      </c>
      <c r="E270" s="71">
        <f>IF(B270="&lt;2 kilometres",1,0)*VLOOKUP(C270, Percentage_dist_journeys_by_purpose_and_distance_to_2km[#All],MATCH(A270, Percentage_dist_journeys_by_purpose_and_distance_to_2km[#Headers],0),0)/100</f>
        <v>0</v>
      </c>
      <c r="F270" s="4">
        <f>IF(B270="2-4 kilometres",1,0)*VLOOKUP(C270, Percentage_dist_journeys_by_purpose_and_distance_2_to_4km[#All],MATCH(A270, Percentage_dist_journeys_by_purpose_and_distance_2_to_4km[#Headers],0),0)/100</f>
        <v>0</v>
      </c>
      <c r="G270" s="72">
        <f>IF(B270="4-6 kilometres",1,0)*VLOOKUP(C270, Percentage_dist_journeys_by_purpose_and_distance_4_to_6km[#All],MATCH(A270, Percentage_dist_journeys_by_purpose_and_distance_4_to_6km[#Headers],0),0)/100</f>
        <v>0.124</v>
      </c>
      <c r="H270" s="4">
        <f>IF(B270="6-8 kilometres",1,0)*VLOOKUP(C270, Percentage_dist_journeys_by_purpose_and_distance_6_to_8km[#All],MATCH(A270, Percentage_dist_journeys_by_purpose_and_distance_6_to_8km[#Headers],0),0)/100</f>
        <v>0</v>
      </c>
      <c r="I270" s="72">
        <f>IF(B270="8+ kilometres",1,0)*VLOOKUP(C270, Percentage_dist_journeys_by_purpose_and_distance_8km[#All],MATCH(A270, Percentage_dist_journeys_by_purpose_and_distance_8km[#Headers],0),0)/100</f>
        <v>0</v>
      </c>
      <c r="J270" s="73">
        <f>VLOOKUP(B270,Average_Distance_by_kilometres_grouping_for_trip_purpose[#All],MATCH(A270,Average_Distance_by_kilometres_grouping_for_trip_purpose[#Headers],0),0)</f>
        <v>5</v>
      </c>
      <c r="K270" s="77">
        <f>VLOOKUP(C270, Adjustment_factor_for_distance_based_on_trip_purpose[#All],MATCH(A270, Adjustment_factor_for_distance_based_on_trip_purpose[#Headers],0),0)</f>
        <v>0.94444444444444442</v>
      </c>
      <c r="L270" s="78" t="e">
        <f>VLOOKUP($L$2, Total_Journeys_Per_Year[#All],MATCH(A270, Total_Journeys_Per_Year[#Headers],0),0)</f>
        <v>#N/A</v>
      </c>
      <c r="M270" s="35" t="e">
        <f t="shared" si="3"/>
        <v>#N/A</v>
      </c>
      <c r="N270" s="35" t="e">
        <f>VLOOKUP($N$2, Private_Vehicle_Kilometres_Car_Stock[#All],MATCH(A270, Private_Vehicle_Kilometres_Car_Stock[#Headers],0),0)</f>
        <v>#N/A</v>
      </c>
    </row>
    <row r="271" spans="1:14" x14ac:dyDescent="0.25">
      <c r="A271" s="79" t="s">
        <v>39</v>
      </c>
      <c r="B271" s="13" t="s">
        <v>182</v>
      </c>
      <c r="C271" s="13" t="s">
        <v>47</v>
      </c>
      <c r="D271" s="5">
        <f>VLOOKUP(B271,Percentage_distribution_of_journey_distance_for_all_regions[#All],MATCH(A271,Percentage_distribution_of_journey_distance_for_all_regions[#Headers],0),0)/100</f>
        <v>7.0000000000000007E-2</v>
      </c>
      <c r="E271" s="71">
        <f>IF(B271="&lt;2 kilometres",1,0)*VLOOKUP(C271, Percentage_dist_journeys_by_purpose_and_distance_to_2km[#All],MATCH(A271, Percentage_dist_journeys_by_purpose_and_distance_to_2km[#Headers],0),0)/100</f>
        <v>0</v>
      </c>
      <c r="F271" s="4">
        <f>IF(B271="2-4 kilometres",1,0)*VLOOKUP(C271, Percentage_dist_journeys_by_purpose_and_distance_2_to_4km[#All],MATCH(A271, Percentage_dist_journeys_by_purpose_and_distance_2_to_4km[#Headers],0),0)/100</f>
        <v>0</v>
      </c>
      <c r="G271" s="72">
        <f>IF(B271="4-6 kilometres",1,0)*VLOOKUP(C271, Percentage_dist_journeys_by_purpose_and_distance_4_to_6km[#All],MATCH(A271, Percentage_dist_journeys_by_purpose_and_distance_4_to_6km[#Headers],0),0)/100</f>
        <v>0</v>
      </c>
      <c r="H271" s="4">
        <f>IF(B271="6-8 kilometres",1,0)*VLOOKUP(C271, Percentage_dist_journeys_by_purpose_and_distance_6_to_8km[#All],MATCH(A271, Percentage_dist_journeys_by_purpose_and_distance_6_to_8km[#Headers],0),0)/100</f>
        <v>0.13100000000000001</v>
      </c>
      <c r="I271" s="72">
        <f>IF(B271="8+ kilometres",1,0)*VLOOKUP(C271, Percentage_dist_journeys_by_purpose_and_distance_8km[#All],MATCH(A271, Percentage_dist_journeys_by_purpose_and_distance_8km[#Headers],0),0)/100</f>
        <v>0</v>
      </c>
      <c r="J271" s="73">
        <f>VLOOKUP(B271,Average_Distance_by_kilometres_grouping_for_trip_purpose[#All],MATCH(A271,Average_Distance_by_kilometres_grouping_for_trip_purpose[#Headers],0),0)</f>
        <v>7</v>
      </c>
      <c r="K271" s="77">
        <f>VLOOKUP(C271, Adjustment_factor_for_distance_based_on_trip_purpose[#All],MATCH(A271, Adjustment_factor_for_distance_based_on_trip_purpose[#Headers],0),0)</f>
        <v>0.94444444444444442</v>
      </c>
      <c r="L271" s="78" t="e">
        <f>VLOOKUP($L$2, Total_Journeys_Per_Year[#All],MATCH(A271, Total_Journeys_Per_Year[#Headers],0),0)</f>
        <v>#N/A</v>
      </c>
      <c r="M271" s="35" t="e">
        <f t="shared" si="3"/>
        <v>#N/A</v>
      </c>
      <c r="N271" s="35" t="e">
        <f>VLOOKUP($N$2, Private_Vehicle_Kilometres_Car_Stock[#All],MATCH(A271, Private_Vehicle_Kilometres_Car_Stock[#Headers],0),0)</f>
        <v>#N/A</v>
      </c>
    </row>
    <row r="272" spans="1:14" x14ac:dyDescent="0.25">
      <c r="A272" s="79" t="s">
        <v>39</v>
      </c>
      <c r="B272" s="13" t="s">
        <v>1</v>
      </c>
      <c r="C272" s="13" t="s">
        <v>47</v>
      </c>
      <c r="D272" s="5">
        <f>VLOOKUP(B272,Percentage_distribution_of_journey_distance_for_all_regions[#All],MATCH(A272,Percentage_distribution_of_journey_distance_for_all_regions[#Headers],0),0)/100</f>
        <v>0.36799999999999999</v>
      </c>
      <c r="E272" s="71">
        <f>IF(B272="&lt;2 kilometres",1,0)*VLOOKUP(C272, Percentage_dist_journeys_by_purpose_and_distance_to_2km[#All],MATCH(A272, Percentage_dist_journeys_by_purpose_and_distance_to_2km[#Headers],0),0)/100</f>
        <v>0</v>
      </c>
      <c r="F272" s="4">
        <f>IF(B272="2-4 kilometres",1,0)*VLOOKUP(C272, Percentage_dist_journeys_by_purpose_and_distance_2_to_4km[#All],MATCH(A272, Percentage_dist_journeys_by_purpose_and_distance_2_to_4km[#Headers],0),0)/100</f>
        <v>0</v>
      </c>
      <c r="G272" s="72">
        <f>IF(B272="4-6 kilometres",1,0)*VLOOKUP(C272, Percentage_dist_journeys_by_purpose_and_distance_4_to_6km[#All],MATCH(A272, Percentage_dist_journeys_by_purpose_and_distance_4_to_6km[#Headers],0),0)/100</f>
        <v>0</v>
      </c>
      <c r="H272" s="4">
        <f>IF(B272="6-8 kilometres",1,0)*VLOOKUP(C272, Percentage_dist_journeys_by_purpose_and_distance_6_to_8km[#All],MATCH(A272, Percentage_dist_journeys_by_purpose_and_distance_6_to_8km[#Headers],0),0)/100</f>
        <v>0</v>
      </c>
      <c r="I272" s="72">
        <f>IF(B272="8+ kilometres",1,0)*VLOOKUP(C272, Percentage_dist_journeys_by_purpose_and_distance_8km[#All],MATCH(A272, Percentage_dist_journeys_by_purpose_and_distance_8km[#Headers],0),0)/100</f>
        <v>8.5999999999999993E-2</v>
      </c>
      <c r="J272" s="73">
        <f>VLOOKUP(B272,Average_Distance_by_kilometres_grouping_for_trip_purpose[#All],MATCH(A272,Average_Distance_by_kilometres_grouping_for_trip_purpose[#Headers],0),0)</f>
        <v>28.2</v>
      </c>
      <c r="K272" s="77">
        <f>VLOOKUP(C272, Adjustment_factor_for_distance_based_on_trip_purpose[#All],MATCH(A272, Adjustment_factor_for_distance_based_on_trip_purpose[#Headers],0),0)</f>
        <v>0.94444444444444442</v>
      </c>
      <c r="L272" s="78" t="e">
        <f>VLOOKUP($L$2, Total_Journeys_Per_Year[#All],MATCH(A272, Total_Journeys_Per_Year[#Headers],0),0)</f>
        <v>#N/A</v>
      </c>
      <c r="M272" s="35" t="e">
        <f t="shared" si="3"/>
        <v>#N/A</v>
      </c>
      <c r="N272" s="35" t="e">
        <f>VLOOKUP($N$2, Private_Vehicle_Kilometres_Car_Stock[#All],MATCH(A272, Private_Vehicle_Kilometres_Car_Stock[#Headers],0),0)</f>
        <v>#N/A</v>
      </c>
    </row>
    <row r="273" spans="1:14" x14ac:dyDescent="0.25">
      <c r="A273" s="79" t="s">
        <v>39</v>
      </c>
      <c r="B273" s="13" t="s">
        <v>12</v>
      </c>
      <c r="C273" s="13" t="s">
        <v>48</v>
      </c>
      <c r="D273" s="5">
        <f>VLOOKUP(B273,Percentage_distribution_of_journey_distance_for_all_regions[#All],MATCH(A273,Percentage_distribution_of_journey_distance_for_all_regions[#Headers],0),0)/100</f>
        <v>0.28600000000000003</v>
      </c>
      <c r="E273" s="71">
        <f>IF(B273="&lt;2 kilometres",1,0)*VLOOKUP(C273, Percentage_dist_journeys_by_purpose_and_distance_to_2km[#All],MATCH(A273, Percentage_dist_journeys_by_purpose_and_distance_to_2km[#Headers],0),0)/100</f>
        <v>3.6000000000000004E-2</v>
      </c>
      <c r="F273" s="4">
        <f>IF(B273="2-4 kilometres",1,0)*VLOOKUP(C273, Percentage_dist_journeys_by_purpose_and_distance_2_to_4km[#All],MATCH(A273, Percentage_dist_journeys_by_purpose_and_distance_2_to_4km[#Headers],0),0)/100</f>
        <v>0</v>
      </c>
      <c r="G273" s="72">
        <f>IF(B273="4-6 kilometres",1,0)*VLOOKUP(C273, Percentage_dist_journeys_by_purpose_and_distance_4_to_6km[#All],MATCH(A273, Percentage_dist_journeys_by_purpose_and_distance_4_to_6km[#Headers],0),0)/100</f>
        <v>0</v>
      </c>
      <c r="H273" s="4">
        <f>IF(B273="6-8 kilometres",1,0)*VLOOKUP(C273, Percentage_dist_journeys_by_purpose_and_distance_6_to_8km[#All],MATCH(A273, Percentage_dist_journeys_by_purpose_and_distance_6_to_8km[#Headers],0),0)/100</f>
        <v>0</v>
      </c>
      <c r="I273" s="72">
        <f>IF(B273="8+ kilometres",1,0)*VLOOKUP(C273, Percentage_dist_journeys_by_purpose_and_distance_8km[#All],MATCH(A273, Percentage_dist_journeys_by_purpose_and_distance_8km[#Headers],0),0)/100</f>
        <v>0</v>
      </c>
      <c r="J273" s="73">
        <f>VLOOKUP(B273,Average_Distance_by_kilometres_grouping_for_trip_purpose[#All],MATCH(A273,Average_Distance_by_kilometres_grouping_for_trip_purpose[#Headers],0),0)</f>
        <v>1</v>
      </c>
      <c r="K273" s="77">
        <f>VLOOKUP(C273, Adjustment_factor_for_distance_based_on_trip_purpose[#All],MATCH(A273, Adjustment_factor_for_distance_based_on_trip_purpose[#Headers],0),0)</f>
        <v>0.66666666666666663</v>
      </c>
      <c r="L273" s="78" t="e">
        <f>VLOOKUP($L$2, Total_Journeys_Per_Year[#All],MATCH(A273, Total_Journeys_Per_Year[#Headers],0),0)</f>
        <v>#N/A</v>
      </c>
      <c r="M273" s="35" t="e">
        <f t="shared" si="3"/>
        <v>#N/A</v>
      </c>
      <c r="N273" s="35" t="e">
        <f>VLOOKUP($N$2, Private_Vehicle_Kilometres_Car_Stock[#All],MATCH(A273, Private_Vehicle_Kilometres_Car_Stock[#Headers],0),0)</f>
        <v>#N/A</v>
      </c>
    </row>
    <row r="274" spans="1:14" x14ac:dyDescent="0.25">
      <c r="A274" s="79" t="s">
        <v>39</v>
      </c>
      <c r="B274" s="13" t="s">
        <v>181</v>
      </c>
      <c r="C274" s="13" t="s">
        <v>48</v>
      </c>
      <c r="D274" s="5">
        <f>VLOOKUP(B274,Percentage_distribution_of_journey_distance_for_all_regions[#All],MATCH(A274,Percentage_distribution_of_journey_distance_for_all_regions[#Headers],0),0)/100</f>
        <v>0.15</v>
      </c>
      <c r="E274" s="71">
        <f>IF(B274="&lt;2 kilometres",1,0)*VLOOKUP(C274, Percentage_dist_journeys_by_purpose_and_distance_to_2km[#All],MATCH(A274, Percentage_dist_journeys_by_purpose_and_distance_to_2km[#Headers],0),0)/100</f>
        <v>0</v>
      </c>
      <c r="F274" s="4">
        <f>IF(B274="2-4 kilometres",1,0)*VLOOKUP(C274, Percentage_dist_journeys_by_purpose_and_distance_2_to_4km[#All],MATCH(A274, Percentage_dist_journeys_by_purpose_and_distance_2_to_4km[#Headers],0),0)/100</f>
        <v>4.9000000000000002E-2</v>
      </c>
      <c r="G274" s="72">
        <f>IF(B274="4-6 kilometres",1,0)*VLOOKUP(C274, Percentage_dist_journeys_by_purpose_and_distance_4_to_6km[#All],MATCH(A274, Percentage_dist_journeys_by_purpose_and_distance_4_to_6km[#Headers],0),0)/100</f>
        <v>0</v>
      </c>
      <c r="H274" s="4">
        <f>IF(B274="6-8 kilometres",1,0)*VLOOKUP(C274, Percentage_dist_journeys_by_purpose_and_distance_6_to_8km[#All],MATCH(A274, Percentage_dist_journeys_by_purpose_and_distance_6_to_8km[#Headers],0),0)/100</f>
        <v>0</v>
      </c>
      <c r="I274" s="72">
        <f>IF(B274="8+ kilometres",1,0)*VLOOKUP(C274, Percentage_dist_journeys_by_purpose_and_distance_8km[#All],MATCH(A274, Percentage_dist_journeys_by_purpose_and_distance_8km[#Headers],0),0)/100</f>
        <v>0</v>
      </c>
      <c r="J274" s="73">
        <f>VLOOKUP(B274,Average_Distance_by_kilometres_grouping_for_trip_purpose[#All],MATCH(A274,Average_Distance_by_kilometres_grouping_for_trip_purpose[#Headers],0),0)</f>
        <v>3</v>
      </c>
      <c r="K274" s="77">
        <f>VLOOKUP(C274, Adjustment_factor_for_distance_based_on_trip_purpose[#All],MATCH(A274, Adjustment_factor_for_distance_based_on_trip_purpose[#Headers],0),0)</f>
        <v>0.66666666666666663</v>
      </c>
      <c r="L274" s="78" t="e">
        <f>VLOOKUP($L$2, Total_Journeys_Per_Year[#All],MATCH(A274, Total_Journeys_Per_Year[#Headers],0),0)</f>
        <v>#N/A</v>
      </c>
      <c r="M274" s="35" t="e">
        <f t="shared" si="3"/>
        <v>#N/A</v>
      </c>
      <c r="N274" s="35" t="e">
        <f>VLOOKUP($N$2, Private_Vehicle_Kilometres_Car_Stock[#All],MATCH(A274, Private_Vehicle_Kilometres_Car_Stock[#Headers],0),0)</f>
        <v>#N/A</v>
      </c>
    </row>
    <row r="275" spans="1:14" x14ac:dyDescent="0.25">
      <c r="A275" s="79" t="s">
        <v>39</v>
      </c>
      <c r="B275" s="13" t="s">
        <v>180</v>
      </c>
      <c r="C275" s="13" t="s">
        <v>48</v>
      </c>
      <c r="D275" s="5">
        <f>VLOOKUP(B275,Percentage_distribution_of_journey_distance_for_all_regions[#All],MATCH(A275,Percentage_distribution_of_journey_distance_for_all_regions[#Headers],0),0)/100</f>
        <v>0.125</v>
      </c>
      <c r="E275" s="71">
        <f>IF(B275="&lt;2 kilometres",1,0)*VLOOKUP(C275, Percentage_dist_journeys_by_purpose_and_distance_to_2km[#All],MATCH(A275, Percentage_dist_journeys_by_purpose_and_distance_to_2km[#Headers],0),0)/100</f>
        <v>0</v>
      </c>
      <c r="F275" s="4">
        <f>IF(B275="2-4 kilometres",1,0)*VLOOKUP(C275, Percentage_dist_journeys_by_purpose_and_distance_2_to_4km[#All],MATCH(A275, Percentage_dist_journeys_by_purpose_and_distance_2_to_4km[#Headers],0),0)/100</f>
        <v>0</v>
      </c>
      <c r="G275" s="72">
        <f>IF(B275="4-6 kilometres",1,0)*VLOOKUP(C275, Percentage_dist_journeys_by_purpose_and_distance_4_to_6km[#All],MATCH(A275, Percentage_dist_journeys_by_purpose_and_distance_4_to_6km[#Headers],0),0)/100</f>
        <v>6.4000000000000001E-2</v>
      </c>
      <c r="H275" s="4">
        <f>IF(B275="6-8 kilometres",1,0)*VLOOKUP(C275, Percentage_dist_journeys_by_purpose_and_distance_6_to_8km[#All],MATCH(A275, Percentage_dist_journeys_by_purpose_and_distance_6_to_8km[#Headers],0),0)/100</f>
        <v>0</v>
      </c>
      <c r="I275" s="72">
        <f>IF(B275="8+ kilometres",1,0)*VLOOKUP(C275, Percentage_dist_journeys_by_purpose_and_distance_8km[#All],MATCH(A275, Percentage_dist_journeys_by_purpose_and_distance_8km[#Headers],0),0)/100</f>
        <v>0</v>
      </c>
      <c r="J275" s="73">
        <f>VLOOKUP(B275,Average_Distance_by_kilometres_grouping_for_trip_purpose[#All],MATCH(A275,Average_Distance_by_kilometres_grouping_for_trip_purpose[#Headers],0),0)</f>
        <v>5</v>
      </c>
      <c r="K275" s="77">
        <f>VLOOKUP(C275, Adjustment_factor_for_distance_based_on_trip_purpose[#All],MATCH(A275, Adjustment_factor_for_distance_based_on_trip_purpose[#Headers],0),0)</f>
        <v>0.66666666666666663</v>
      </c>
      <c r="L275" s="78" t="e">
        <f>VLOOKUP($L$2, Total_Journeys_Per_Year[#All],MATCH(A275, Total_Journeys_Per_Year[#Headers],0),0)</f>
        <v>#N/A</v>
      </c>
      <c r="M275" s="35" t="e">
        <f t="shared" ref="M275:M287" si="4">D275*(SUM(E275:I275))*J275*L275</f>
        <v>#N/A</v>
      </c>
      <c r="N275" s="35" t="e">
        <f>VLOOKUP($N$2, Private_Vehicle_Kilometres_Car_Stock[#All],MATCH(A275, Private_Vehicle_Kilometres_Car_Stock[#Headers],0),0)</f>
        <v>#N/A</v>
      </c>
    </row>
    <row r="276" spans="1:14" x14ac:dyDescent="0.25">
      <c r="A276" s="79" t="s">
        <v>39</v>
      </c>
      <c r="B276" s="13" t="s">
        <v>182</v>
      </c>
      <c r="C276" s="13" t="s">
        <v>48</v>
      </c>
      <c r="D276" s="5">
        <f>VLOOKUP(B276,Percentage_distribution_of_journey_distance_for_all_regions[#All],MATCH(A276,Percentage_distribution_of_journey_distance_for_all_regions[#Headers],0),0)/100</f>
        <v>7.0000000000000007E-2</v>
      </c>
      <c r="E276" s="71">
        <f>IF(B276="&lt;2 kilometres",1,0)*VLOOKUP(C276, Percentage_dist_journeys_by_purpose_and_distance_to_2km[#All],MATCH(A276, Percentage_dist_journeys_by_purpose_and_distance_to_2km[#Headers],0),0)/100</f>
        <v>0</v>
      </c>
      <c r="F276" s="4">
        <f>IF(B276="2-4 kilometres",1,0)*VLOOKUP(C276, Percentage_dist_journeys_by_purpose_and_distance_2_to_4km[#All],MATCH(A276, Percentage_dist_journeys_by_purpose_and_distance_2_to_4km[#Headers],0),0)/100</f>
        <v>0</v>
      </c>
      <c r="G276" s="72">
        <f>IF(B276="4-6 kilometres",1,0)*VLOOKUP(C276, Percentage_dist_journeys_by_purpose_and_distance_4_to_6km[#All],MATCH(A276, Percentage_dist_journeys_by_purpose_and_distance_4_to_6km[#Headers],0),0)/100</f>
        <v>0</v>
      </c>
      <c r="H276" s="4">
        <f>IF(B276="6-8 kilometres",1,0)*VLOOKUP(C276, Percentage_dist_journeys_by_purpose_and_distance_6_to_8km[#All],MATCH(A276, Percentage_dist_journeys_by_purpose_and_distance_6_to_8km[#Headers],0),0)/100</f>
        <v>5.7000000000000002E-2</v>
      </c>
      <c r="I276" s="72">
        <f>IF(B276="8+ kilometres",1,0)*VLOOKUP(C276, Percentage_dist_journeys_by_purpose_and_distance_8km[#All],MATCH(A276, Percentage_dist_journeys_by_purpose_and_distance_8km[#Headers],0),0)/100</f>
        <v>0</v>
      </c>
      <c r="J276" s="73">
        <f>VLOOKUP(B276,Average_Distance_by_kilometres_grouping_for_trip_purpose[#All],MATCH(A276,Average_Distance_by_kilometres_grouping_for_trip_purpose[#Headers],0),0)</f>
        <v>7</v>
      </c>
      <c r="K276" s="77">
        <f>VLOOKUP(C276, Adjustment_factor_for_distance_based_on_trip_purpose[#All],MATCH(A276, Adjustment_factor_for_distance_based_on_trip_purpose[#Headers],0),0)</f>
        <v>0.66666666666666663</v>
      </c>
      <c r="L276" s="78" t="e">
        <f>VLOOKUP($L$2, Total_Journeys_Per_Year[#All],MATCH(A276, Total_Journeys_Per_Year[#Headers],0),0)</f>
        <v>#N/A</v>
      </c>
      <c r="M276" s="35" t="e">
        <f t="shared" si="4"/>
        <v>#N/A</v>
      </c>
      <c r="N276" s="35" t="e">
        <f>VLOOKUP($N$2, Private_Vehicle_Kilometres_Car_Stock[#All],MATCH(A276, Private_Vehicle_Kilometres_Car_Stock[#Headers],0),0)</f>
        <v>#N/A</v>
      </c>
    </row>
    <row r="277" spans="1:14" x14ac:dyDescent="0.25">
      <c r="A277" s="79" t="s">
        <v>39</v>
      </c>
      <c r="B277" s="13" t="s">
        <v>1</v>
      </c>
      <c r="C277" s="13" t="s">
        <v>48</v>
      </c>
      <c r="D277" s="5">
        <f>VLOOKUP(B277,Percentage_distribution_of_journey_distance_for_all_regions[#All],MATCH(A277,Percentage_distribution_of_journey_distance_for_all_regions[#Headers],0),0)/100</f>
        <v>0.36799999999999999</v>
      </c>
      <c r="E277" s="71">
        <f>IF(B277="&lt;2 kilometres",1,0)*VLOOKUP(C277, Percentage_dist_journeys_by_purpose_and_distance_to_2km[#All],MATCH(A277, Percentage_dist_journeys_by_purpose_and_distance_to_2km[#Headers],0),0)/100</f>
        <v>0</v>
      </c>
      <c r="F277" s="4">
        <f>IF(B277="2-4 kilometres",1,0)*VLOOKUP(C277, Percentage_dist_journeys_by_purpose_and_distance_2_to_4km[#All],MATCH(A277, Percentage_dist_journeys_by_purpose_and_distance_2_to_4km[#Headers],0),0)/100</f>
        <v>0</v>
      </c>
      <c r="G277" s="72">
        <f>IF(B277="4-6 kilometres",1,0)*VLOOKUP(C277, Percentage_dist_journeys_by_purpose_and_distance_4_to_6km[#All],MATCH(A277, Percentage_dist_journeys_by_purpose_and_distance_4_to_6km[#Headers],0),0)/100</f>
        <v>0</v>
      </c>
      <c r="H277" s="4">
        <f>IF(B277="6-8 kilometres",1,0)*VLOOKUP(C277, Percentage_dist_journeys_by_purpose_and_distance_6_to_8km[#All],MATCH(A277, Percentage_dist_journeys_by_purpose_and_distance_6_to_8km[#Headers],0),0)/100</f>
        <v>0</v>
      </c>
      <c r="I277" s="72">
        <f>IF(B277="8+ kilometres",1,0)*VLOOKUP(C277, Percentage_dist_journeys_by_purpose_and_distance_8km[#All],MATCH(A277, Percentage_dist_journeys_by_purpose_and_distance_8km[#Headers],0),0)/100</f>
        <v>6.2E-2</v>
      </c>
      <c r="J277" s="73">
        <f>VLOOKUP(B277,Average_Distance_by_kilometres_grouping_for_trip_purpose[#All],MATCH(A277,Average_Distance_by_kilometres_grouping_for_trip_purpose[#Headers],0),0)</f>
        <v>28.2</v>
      </c>
      <c r="K277" s="77">
        <f>VLOOKUP(C277, Adjustment_factor_for_distance_based_on_trip_purpose[#All],MATCH(A277, Adjustment_factor_for_distance_based_on_trip_purpose[#Headers],0),0)</f>
        <v>0.66666666666666663</v>
      </c>
      <c r="L277" s="78" t="e">
        <f>VLOOKUP($L$2, Total_Journeys_Per_Year[#All],MATCH(A277, Total_Journeys_Per_Year[#Headers],0),0)</f>
        <v>#N/A</v>
      </c>
      <c r="M277" s="35" t="e">
        <f t="shared" si="4"/>
        <v>#N/A</v>
      </c>
      <c r="N277" s="35" t="e">
        <f>VLOOKUP($N$2, Private_Vehicle_Kilometres_Car_Stock[#All],MATCH(A277, Private_Vehicle_Kilometres_Car_Stock[#Headers],0),0)</f>
        <v>#N/A</v>
      </c>
    </row>
    <row r="278" spans="1:14" x14ac:dyDescent="0.25">
      <c r="A278" s="79" t="s">
        <v>39</v>
      </c>
      <c r="B278" s="13" t="s">
        <v>12</v>
      </c>
      <c r="C278" s="13" t="s">
        <v>49</v>
      </c>
      <c r="D278" s="5">
        <f>VLOOKUP(B278,Percentage_distribution_of_journey_distance_for_all_regions[#All],MATCH(A278,Percentage_distribution_of_journey_distance_for_all_regions[#Headers],0),0)/100</f>
        <v>0.28600000000000003</v>
      </c>
      <c r="E278" s="71">
        <f>IF(B278="&lt;2 kilometres",1,0)*VLOOKUP(C278, Percentage_dist_journeys_by_purpose_and_distance_to_2km[#All],MATCH(A278, Percentage_dist_journeys_by_purpose_and_distance_to_2km[#Headers],0),0)/100</f>
        <v>0.29499999999999998</v>
      </c>
      <c r="F278" s="4">
        <f>IF(B278="2-4 kilometres",1,0)*VLOOKUP(C278, Percentage_dist_journeys_by_purpose_and_distance_2_to_4km[#All],MATCH(A278, Percentage_dist_journeys_by_purpose_and_distance_2_to_4km[#Headers],0),0)/100</f>
        <v>0</v>
      </c>
      <c r="G278" s="72">
        <f>IF(B278="4-6 kilometres",1,0)*VLOOKUP(C278, Percentage_dist_journeys_by_purpose_and_distance_4_to_6km[#All],MATCH(A278, Percentage_dist_journeys_by_purpose_and_distance_4_to_6km[#Headers],0),0)/100</f>
        <v>0</v>
      </c>
      <c r="H278" s="4">
        <f>IF(B278="6-8 kilometres",1,0)*VLOOKUP(C278, Percentage_dist_journeys_by_purpose_and_distance_6_to_8km[#All],MATCH(A278, Percentage_dist_journeys_by_purpose_and_distance_6_to_8km[#Headers],0),0)/100</f>
        <v>0</v>
      </c>
      <c r="I278" s="72">
        <f>IF(B278="8+ kilometres",1,0)*VLOOKUP(C278, Percentage_dist_journeys_by_purpose_and_distance_8km[#All],MATCH(A278, Percentage_dist_journeys_by_purpose_and_distance_8km[#Headers],0),0)/100</f>
        <v>0</v>
      </c>
      <c r="J278" s="73">
        <f>VLOOKUP(B278,Average_Distance_by_kilometres_grouping_for_trip_purpose[#All],MATCH(A278,Average_Distance_by_kilometres_grouping_for_trip_purpose[#Headers],0),0)</f>
        <v>1</v>
      </c>
      <c r="K278" s="77">
        <f>VLOOKUP(C278, Adjustment_factor_for_distance_based_on_trip_purpose[#All],MATCH(A278, Adjustment_factor_for_distance_based_on_trip_purpose[#Headers],0),0)</f>
        <v>1.2222222222222223</v>
      </c>
      <c r="L278" s="78" t="e">
        <f>VLOOKUP($L$2, Total_Journeys_Per_Year[#All],MATCH(A278, Total_Journeys_Per_Year[#Headers],0),0)</f>
        <v>#N/A</v>
      </c>
      <c r="M278" s="35" t="e">
        <f t="shared" si="4"/>
        <v>#N/A</v>
      </c>
      <c r="N278" s="35" t="e">
        <f>VLOOKUP($N$2, Private_Vehicle_Kilometres_Car_Stock[#All],MATCH(A278, Private_Vehicle_Kilometres_Car_Stock[#Headers],0),0)</f>
        <v>#N/A</v>
      </c>
    </row>
    <row r="279" spans="1:14" x14ac:dyDescent="0.25">
      <c r="A279" s="79" t="s">
        <v>39</v>
      </c>
      <c r="B279" s="13" t="s">
        <v>181</v>
      </c>
      <c r="C279" s="13" t="s">
        <v>49</v>
      </c>
      <c r="D279" s="5">
        <f>VLOOKUP(B279,Percentage_distribution_of_journey_distance_for_all_regions[#All],MATCH(A279,Percentage_distribution_of_journey_distance_for_all_regions[#Headers],0),0)/100</f>
        <v>0.15</v>
      </c>
      <c r="E279" s="71">
        <f>IF(B279="&lt;2 kilometres",1,0)*VLOOKUP(C279, Percentage_dist_journeys_by_purpose_and_distance_to_2km[#All],MATCH(A279, Percentage_dist_journeys_by_purpose_and_distance_to_2km[#Headers],0),0)/100</f>
        <v>0</v>
      </c>
      <c r="F279" s="4">
        <f>IF(B279="2-4 kilometres",1,0)*VLOOKUP(C279, Percentage_dist_journeys_by_purpose_and_distance_2_to_4km[#All],MATCH(A279, Percentage_dist_journeys_by_purpose_and_distance_2_to_4km[#Headers],0),0)/100</f>
        <v>0.221</v>
      </c>
      <c r="G279" s="72">
        <f>IF(B279="4-6 kilometres",1,0)*VLOOKUP(C279, Percentage_dist_journeys_by_purpose_and_distance_4_to_6km[#All],MATCH(A279, Percentage_dist_journeys_by_purpose_and_distance_4_to_6km[#Headers],0),0)/100</f>
        <v>0</v>
      </c>
      <c r="H279" s="4">
        <f>IF(B279="6-8 kilometres",1,0)*VLOOKUP(C279, Percentage_dist_journeys_by_purpose_and_distance_6_to_8km[#All],MATCH(A279, Percentage_dist_journeys_by_purpose_and_distance_6_to_8km[#Headers],0),0)/100</f>
        <v>0</v>
      </c>
      <c r="I279" s="72">
        <f>IF(B279="8+ kilometres",1,0)*VLOOKUP(C279, Percentage_dist_journeys_by_purpose_and_distance_8km[#All],MATCH(A279, Percentage_dist_journeys_by_purpose_and_distance_8km[#Headers],0),0)/100</f>
        <v>0</v>
      </c>
      <c r="J279" s="73">
        <f>VLOOKUP(B279,Average_Distance_by_kilometres_grouping_for_trip_purpose[#All],MATCH(A279,Average_Distance_by_kilometres_grouping_for_trip_purpose[#Headers],0),0)</f>
        <v>3</v>
      </c>
      <c r="K279" s="77">
        <f>VLOOKUP(C279, Adjustment_factor_for_distance_based_on_trip_purpose[#All],MATCH(A279, Adjustment_factor_for_distance_based_on_trip_purpose[#Headers],0),0)</f>
        <v>1.2222222222222223</v>
      </c>
      <c r="L279" s="78" t="e">
        <f>VLOOKUP($L$2, Total_Journeys_Per_Year[#All],MATCH(A279, Total_Journeys_Per_Year[#Headers],0),0)</f>
        <v>#N/A</v>
      </c>
      <c r="M279" s="35" t="e">
        <f t="shared" si="4"/>
        <v>#N/A</v>
      </c>
      <c r="N279" s="35" t="e">
        <f>VLOOKUP($N$2, Private_Vehicle_Kilometres_Car_Stock[#All],MATCH(A279, Private_Vehicle_Kilometres_Car_Stock[#Headers],0),0)</f>
        <v>#N/A</v>
      </c>
    </row>
    <row r="280" spans="1:14" x14ac:dyDescent="0.25">
      <c r="A280" s="79" t="s">
        <v>39</v>
      </c>
      <c r="B280" s="13" t="s">
        <v>180</v>
      </c>
      <c r="C280" s="13" t="s">
        <v>49</v>
      </c>
      <c r="D280" s="5">
        <f>VLOOKUP(B280,Percentage_distribution_of_journey_distance_for_all_regions[#All],MATCH(A280,Percentage_distribution_of_journey_distance_for_all_regions[#Headers],0),0)/100</f>
        <v>0.125</v>
      </c>
      <c r="E280" s="71">
        <f>IF(B280="&lt;2 kilometres",1,0)*VLOOKUP(C280, Percentage_dist_journeys_by_purpose_and_distance_to_2km[#All],MATCH(A280, Percentage_dist_journeys_by_purpose_and_distance_to_2km[#Headers],0),0)/100</f>
        <v>0</v>
      </c>
      <c r="F280" s="4">
        <f>IF(B280="2-4 kilometres",1,0)*VLOOKUP(C280, Percentage_dist_journeys_by_purpose_and_distance_2_to_4km[#All],MATCH(A280, Percentage_dist_journeys_by_purpose_and_distance_2_to_4km[#Headers],0),0)/100</f>
        <v>0</v>
      </c>
      <c r="G280" s="72">
        <f>IF(B280="4-6 kilometres",1,0)*VLOOKUP(C280, Percentage_dist_journeys_by_purpose_and_distance_4_to_6km[#All],MATCH(A280, Percentage_dist_journeys_by_purpose_and_distance_4_to_6km[#Headers],0),0)/100</f>
        <v>0.19500000000000001</v>
      </c>
      <c r="H280" s="4">
        <f>IF(B280="6-8 kilometres",1,0)*VLOOKUP(C280, Percentage_dist_journeys_by_purpose_and_distance_6_to_8km[#All],MATCH(A280, Percentage_dist_journeys_by_purpose_and_distance_6_to_8km[#Headers],0),0)/100</f>
        <v>0</v>
      </c>
      <c r="I280" s="72">
        <f>IF(B280="8+ kilometres",1,0)*VLOOKUP(C280, Percentage_dist_journeys_by_purpose_and_distance_8km[#All],MATCH(A280, Percentage_dist_journeys_by_purpose_and_distance_8km[#Headers],0),0)/100</f>
        <v>0</v>
      </c>
      <c r="J280" s="73">
        <f>VLOOKUP(B280,Average_Distance_by_kilometres_grouping_for_trip_purpose[#All],MATCH(A280,Average_Distance_by_kilometres_grouping_for_trip_purpose[#Headers],0),0)</f>
        <v>5</v>
      </c>
      <c r="K280" s="77">
        <f>VLOOKUP(C280, Adjustment_factor_for_distance_based_on_trip_purpose[#All],MATCH(A280, Adjustment_factor_for_distance_based_on_trip_purpose[#Headers],0),0)</f>
        <v>1.2222222222222223</v>
      </c>
      <c r="L280" s="78" t="e">
        <f>VLOOKUP($L$2, Total_Journeys_Per_Year[#All],MATCH(A280, Total_Journeys_Per_Year[#Headers],0),0)</f>
        <v>#N/A</v>
      </c>
      <c r="M280" s="35" t="e">
        <f t="shared" si="4"/>
        <v>#N/A</v>
      </c>
      <c r="N280" s="35" t="e">
        <f>VLOOKUP($N$2, Private_Vehicle_Kilometres_Car_Stock[#All],MATCH(A280, Private_Vehicle_Kilometres_Car_Stock[#Headers],0),0)</f>
        <v>#N/A</v>
      </c>
    </row>
    <row r="281" spans="1:14" x14ac:dyDescent="0.25">
      <c r="A281" s="79" t="s">
        <v>39</v>
      </c>
      <c r="B281" s="13" t="s">
        <v>182</v>
      </c>
      <c r="C281" s="13" t="s">
        <v>49</v>
      </c>
      <c r="D281" s="5">
        <f>VLOOKUP(B281,Percentage_distribution_of_journey_distance_for_all_regions[#All],MATCH(A281,Percentage_distribution_of_journey_distance_for_all_regions[#Headers],0),0)/100</f>
        <v>7.0000000000000007E-2</v>
      </c>
      <c r="E281" s="71">
        <f>IF(B281="&lt;2 kilometres",1,0)*VLOOKUP(C281, Percentage_dist_journeys_by_purpose_and_distance_to_2km[#All],MATCH(A281, Percentage_dist_journeys_by_purpose_and_distance_to_2km[#Headers],0),0)/100</f>
        <v>0</v>
      </c>
      <c r="F281" s="4">
        <f>IF(B281="2-4 kilometres",1,0)*VLOOKUP(C281, Percentage_dist_journeys_by_purpose_and_distance_2_to_4km[#All],MATCH(A281, Percentage_dist_journeys_by_purpose_and_distance_2_to_4km[#Headers],0),0)/100</f>
        <v>0</v>
      </c>
      <c r="G281" s="72">
        <f>IF(B281="4-6 kilometres",1,0)*VLOOKUP(C281, Percentage_dist_journeys_by_purpose_and_distance_4_to_6km[#All],MATCH(A281, Percentage_dist_journeys_by_purpose_and_distance_4_to_6km[#Headers],0),0)/100</f>
        <v>0</v>
      </c>
      <c r="H281" s="4">
        <f>IF(B281="6-8 kilometres",1,0)*VLOOKUP(C281, Percentage_dist_journeys_by_purpose_and_distance_6_to_8km[#All],MATCH(A281, Percentage_dist_journeys_by_purpose_and_distance_6_to_8km[#Headers],0),0)/100</f>
        <v>0.188</v>
      </c>
      <c r="I281" s="72">
        <f>IF(B281="8+ kilometres",1,0)*VLOOKUP(C281, Percentage_dist_journeys_by_purpose_and_distance_8km[#All],MATCH(A281, Percentage_dist_journeys_by_purpose_and_distance_8km[#Headers],0),0)/100</f>
        <v>0</v>
      </c>
      <c r="J281" s="73">
        <f>VLOOKUP(B281,Average_Distance_by_kilometres_grouping_for_trip_purpose[#All],MATCH(A281,Average_Distance_by_kilometres_grouping_for_trip_purpose[#Headers],0),0)</f>
        <v>7</v>
      </c>
      <c r="K281" s="77">
        <f>VLOOKUP(C281, Adjustment_factor_for_distance_based_on_trip_purpose[#All],MATCH(A281, Adjustment_factor_for_distance_based_on_trip_purpose[#Headers],0),0)</f>
        <v>1.2222222222222223</v>
      </c>
      <c r="L281" s="78" t="e">
        <f>VLOOKUP($L$2, Total_Journeys_Per_Year[#All],MATCH(A281, Total_Journeys_Per_Year[#Headers],0),0)</f>
        <v>#N/A</v>
      </c>
      <c r="M281" s="35" t="e">
        <f t="shared" si="4"/>
        <v>#N/A</v>
      </c>
      <c r="N281" s="35" t="e">
        <f>VLOOKUP($N$2, Private_Vehicle_Kilometres_Car_Stock[#All],MATCH(A281, Private_Vehicle_Kilometres_Car_Stock[#Headers],0),0)</f>
        <v>#N/A</v>
      </c>
    </row>
    <row r="282" spans="1:14" x14ac:dyDescent="0.25">
      <c r="A282" s="79" t="s">
        <v>39</v>
      </c>
      <c r="B282" s="13" t="s">
        <v>1</v>
      </c>
      <c r="C282" s="13" t="s">
        <v>49</v>
      </c>
      <c r="D282" s="5">
        <f>VLOOKUP(B282,Percentage_distribution_of_journey_distance_for_all_regions[#All],MATCH(A282,Percentage_distribution_of_journey_distance_for_all_regions[#Headers],0),0)/100</f>
        <v>0.36799999999999999</v>
      </c>
      <c r="E282" s="71">
        <f>IF(B282="&lt;2 kilometres",1,0)*VLOOKUP(C282, Percentage_dist_journeys_by_purpose_and_distance_to_2km[#All],MATCH(A282, Percentage_dist_journeys_by_purpose_and_distance_to_2km[#Headers],0),0)/100</f>
        <v>0</v>
      </c>
      <c r="F282" s="4">
        <f>IF(B282="2-4 kilometres",1,0)*VLOOKUP(C282, Percentage_dist_journeys_by_purpose_and_distance_2_to_4km[#All],MATCH(A282, Percentage_dist_journeys_by_purpose_and_distance_2_to_4km[#Headers],0),0)/100</f>
        <v>0</v>
      </c>
      <c r="G282" s="72">
        <f>IF(B282="4-6 kilometres",1,0)*VLOOKUP(C282, Percentage_dist_journeys_by_purpose_and_distance_4_to_6km[#All],MATCH(A282, Percentage_dist_journeys_by_purpose_and_distance_4_to_6km[#Headers],0),0)/100</f>
        <v>0</v>
      </c>
      <c r="H282" s="4">
        <f>IF(B282="6-8 kilometres",1,0)*VLOOKUP(C282, Percentage_dist_journeys_by_purpose_and_distance_6_to_8km[#All],MATCH(A282, Percentage_dist_journeys_by_purpose_and_distance_6_to_8km[#Headers],0),0)/100</f>
        <v>0</v>
      </c>
      <c r="I282" s="72">
        <f>IF(B282="8+ kilometres",1,0)*VLOOKUP(C282, Percentage_dist_journeys_by_purpose_and_distance_8km[#All],MATCH(A282, Percentage_dist_journeys_by_purpose_and_distance_8km[#Headers],0),0)/100</f>
        <v>0.14599999999999999</v>
      </c>
      <c r="J282" s="73">
        <f>VLOOKUP(B282,Average_Distance_by_kilometres_grouping_for_trip_purpose[#All],MATCH(A282,Average_Distance_by_kilometres_grouping_for_trip_purpose[#Headers],0),0)</f>
        <v>28.2</v>
      </c>
      <c r="K282" s="77">
        <f>VLOOKUP(C282, Adjustment_factor_for_distance_based_on_trip_purpose[#All],MATCH(A282, Adjustment_factor_for_distance_based_on_trip_purpose[#Headers],0),0)</f>
        <v>1.2222222222222223</v>
      </c>
      <c r="L282" s="78" t="e">
        <f>VLOOKUP($L$2, Total_Journeys_Per_Year[#All],MATCH(A282, Total_Journeys_Per_Year[#Headers],0),0)</f>
        <v>#N/A</v>
      </c>
      <c r="M282" s="35" t="e">
        <f t="shared" si="4"/>
        <v>#N/A</v>
      </c>
      <c r="N282" s="35" t="e">
        <f>VLOOKUP($N$2, Private_Vehicle_Kilometres_Car_Stock[#All],MATCH(A282, Private_Vehicle_Kilometres_Car_Stock[#Headers],0),0)</f>
        <v>#N/A</v>
      </c>
    </row>
    <row r="283" spans="1:14" x14ac:dyDescent="0.25">
      <c r="A283" s="79" t="s">
        <v>39</v>
      </c>
      <c r="B283" s="13" t="s">
        <v>12</v>
      </c>
      <c r="C283" s="13" t="s">
        <v>50</v>
      </c>
      <c r="D283" s="5">
        <f>VLOOKUP(B283,Percentage_distribution_of_journey_distance_for_all_regions[#All],MATCH(A283,Percentage_distribution_of_journey_distance_for_all_regions[#Headers],0),0)/100</f>
        <v>0.28600000000000003</v>
      </c>
      <c r="E283" s="71">
        <f>IF(B283="&lt;2 kilometres",1,0)*VLOOKUP(C283, Percentage_dist_journeys_by_purpose_and_distance_to_2km[#All],MATCH(A283, Percentage_dist_journeys_by_purpose_and_distance_to_2km[#Headers],0),0)/100</f>
        <v>4.4000000000000004E-2</v>
      </c>
      <c r="F283" s="4">
        <f>IF(B283="2-4 kilometres",1,0)*VLOOKUP(C283, Percentage_dist_journeys_by_purpose_and_distance_2_to_4km[#All],MATCH(A283, Percentage_dist_journeys_by_purpose_and_distance_2_to_4km[#Headers],0),0)/100</f>
        <v>0</v>
      </c>
      <c r="G283" s="72">
        <f>IF(B283="4-6 kilometres",1,0)*VLOOKUP(C283, Percentage_dist_journeys_by_purpose_and_distance_4_to_6km[#All],MATCH(A283, Percentage_dist_journeys_by_purpose_and_distance_4_to_6km[#Headers],0),0)/100</f>
        <v>0</v>
      </c>
      <c r="H283" s="4">
        <f>IF(B283="6-8 kilometres",1,0)*VLOOKUP(C283, Percentage_dist_journeys_by_purpose_and_distance_6_to_8km[#All],MATCH(A283, Percentage_dist_journeys_by_purpose_and_distance_6_to_8km[#Headers],0),0)/100</f>
        <v>0</v>
      </c>
      <c r="I283" s="72">
        <f>IF(B283="8+ kilometres",1,0)*VLOOKUP(C283, Percentage_dist_journeys_by_purpose_and_distance_8km[#All],MATCH(A283, Percentage_dist_journeys_by_purpose_and_distance_8km[#Headers],0),0)/100</f>
        <v>0</v>
      </c>
      <c r="J283" s="73">
        <f>VLOOKUP(B283,Average_Distance_by_kilometres_grouping_for_trip_purpose[#All],MATCH(A283,Average_Distance_by_kilometres_grouping_for_trip_purpose[#Headers],0),0)</f>
        <v>1</v>
      </c>
      <c r="K283" s="77">
        <f>VLOOKUP(C283, Adjustment_factor_for_distance_based_on_trip_purpose[#All],MATCH(A283, Adjustment_factor_for_distance_based_on_trip_purpose[#Headers],0),0)</f>
        <v>0.77777777777777779</v>
      </c>
      <c r="L283" s="78" t="e">
        <f>VLOOKUP($L$2, Total_Journeys_Per_Year[#All],MATCH(A283, Total_Journeys_Per_Year[#Headers],0),0)</f>
        <v>#N/A</v>
      </c>
      <c r="M283" s="35" t="e">
        <f t="shared" si="4"/>
        <v>#N/A</v>
      </c>
      <c r="N283" s="35" t="e">
        <f>VLOOKUP($N$2, Private_Vehicle_Kilometres_Car_Stock[#All],MATCH(A283, Private_Vehicle_Kilometres_Car_Stock[#Headers],0),0)</f>
        <v>#N/A</v>
      </c>
    </row>
    <row r="284" spans="1:14" x14ac:dyDescent="0.25">
      <c r="A284" s="79" t="s">
        <v>39</v>
      </c>
      <c r="B284" s="13" t="s">
        <v>181</v>
      </c>
      <c r="C284" s="13" t="s">
        <v>50</v>
      </c>
      <c r="D284" s="5">
        <f>VLOOKUP(B284,Percentage_distribution_of_journey_distance_for_all_regions[#All],MATCH(A284,Percentage_distribution_of_journey_distance_for_all_regions[#Headers],0),0)/100</f>
        <v>0.15</v>
      </c>
      <c r="E284" s="71">
        <f>IF(B284="&lt;2 kilometres",1,0)*VLOOKUP(C284, Percentage_dist_journeys_by_purpose_and_distance_to_2km[#All],MATCH(A284, Percentage_dist_journeys_by_purpose_and_distance_to_2km[#Headers],0),0)/100</f>
        <v>0</v>
      </c>
      <c r="F284" s="4">
        <f>IF(B284="2-4 kilometres",1,0)*VLOOKUP(C284, Percentage_dist_journeys_by_purpose_and_distance_2_to_4km[#All],MATCH(A284, Percentage_dist_journeys_by_purpose_and_distance_2_to_4km[#Headers],0),0)/100</f>
        <v>3.4000000000000002E-2</v>
      </c>
      <c r="G284" s="72">
        <f>IF(B284="4-6 kilometres",1,0)*VLOOKUP(C284, Percentage_dist_journeys_by_purpose_and_distance_4_to_6km[#All],MATCH(A284, Percentage_dist_journeys_by_purpose_and_distance_4_to_6km[#Headers],0),0)/100</f>
        <v>0</v>
      </c>
      <c r="H284" s="4">
        <f>IF(B284="6-8 kilometres",1,0)*VLOOKUP(C284, Percentage_dist_journeys_by_purpose_and_distance_6_to_8km[#All],MATCH(A284, Percentage_dist_journeys_by_purpose_and_distance_6_to_8km[#Headers],0),0)/100</f>
        <v>0</v>
      </c>
      <c r="I284" s="72">
        <f>IF(B284="8+ kilometres",1,0)*VLOOKUP(C284, Percentage_dist_journeys_by_purpose_and_distance_8km[#All],MATCH(A284, Percentage_dist_journeys_by_purpose_and_distance_8km[#Headers],0),0)/100</f>
        <v>0</v>
      </c>
      <c r="J284" s="73">
        <f>VLOOKUP(B284,Average_Distance_by_kilometres_grouping_for_trip_purpose[#All],MATCH(A284,Average_Distance_by_kilometres_grouping_for_trip_purpose[#Headers],0),0)</f>
        <v>3</v>
      </c>
      <c r="K284" s="77">
        <f>VLOOKUP(C284, Adjustment_factor_for_distance_based_on_trip_purpose[#All],MATCH(A284, Adjustment_factor_for_distance_based_on_trip_purpose[#Headers],0),0)</f>
        <v>0.77777777777777779</v>
      </c>
      <c r="L284" s="78" t="e">
        <f>VLOOKUP($L$2, Total_Journeys_Per_Year[#All],MATCH(A284, Total_Journeys_Per_Year[#Headers],0),0)</f>
        <v>#N/A</v>
      </c>
      <c r="M284" s="35" t="e">
        <f t="shared" si="4"/>
        <v>#N/A</v>
      </c>
      <c r="N284" s="35" t="e">
        <f>VLOOKUP($N$2, Private_Vehicle_Kilometres_Car_Stock[#All],MATCH(A284, Private_Vehicle_Kilometres_Car_Stock[#Headers],0),0)</f>
        <v>#N/A</v>
      </c>
    </row>
    <row r="285" spans="1:14" x14ac:dyDescent="0.25">
      <c r="A285" s="79" t="s">
        <v>39</v>
      </c>
      <c r="B285" s="13" t="s">
        <v>180</v>
      </c>
      <c r="C285" s="13" t="s">
        <v>50</v>
      </c>
      <c r="D285" s="5">
        <f>VLOOKUP(B285,Percentage_distribution_of_journey_distance_for_all_regions[#All],MATCH(A285,Percentage_distribution_of_journey_distance_for_all_regions[#Headers],0),0)/100</f>
        <v>0.125</v>
      </c>
      <c r="E285" s="71">
        <f>IF(B285="&lt;2 kilometres",1,0)*VLOOKUP(C285, Percentage_dist_journeys_by_purpose_and_distance_to_2km[#All],MATCH(A285, Percentage_dist_journeys_by_purpose_and_distance_to_2km[#Headers],0),0)/100</f>
        <v>0</v>
      </c>
      <c r="F285" s="4">
        <f>IF(B285="2-4 kilometres",1,0)*VLOOKUP(C285, Percentage_dist_journeys_by_purpose_and_distance_2_to_4km[#All],MATCH(A285, Percentage_dist_journeys_by_purpose_and_distance_2_to_4km[#Headers],0),0)/100</f>
        <v>0</v>
      </c>
      <c r="G285" s="72">
        <f>IF(B285="4-6 kilometres",1,0)*VLOOKUP(C285, Percentage_dist_journeys_by_purpose_and_distance_4_to_6km[#All],MATCH(A285, Percentage_dist_journeys_by_purpose_and_distance_4_to_6km[#Headers],0),0)/100</f>
        <v>3.2000000000000001E-2</v>
      </c>
      <c r="H285" s="4">
        <f>IF(B285="6-8 kilometres",1,0)*VLOOKUP(C285, Percentage_dist_journeys_by_purpose_and_distance_6_to_8km[#All],MATCH(A285, Percentage_dist_journeys_by_purpose_and_distance_6_to_8km[#Headers],0),0)/100</f>
        <v>0</v>
      </c>
      <c r="I285" s="72">
        <f>IF(B285="8+ kilometres",1,0)*VLOOKUP(C285, Percentage_dist_journeys_by_purpose_and_distance_8km[#All],MATCH(A285, Percentage_dist_journeys_by_purpose_and_distance_8km[#Headers],0),0)/100</f>
        <v>0</v>
      </c>
      <c r="J285" s="73">
        <f>VLOOKUP(B285,Average_Distance_by_kilometres_grouping_for_trip_purpose[#All],MATCH(A285,Average_Distance_by_kilometres_grouping_for_trip_purpose[#Headers],0),0)</f>
        <v>5</v>
      </c>
      <c r="K285" s="77">
        <f>VLOOKUP(C285, Adjustment_factor_for_distance_based_on_trip_purpose[#All],MATCH(A285, Adjustment_factor_for_distance_based_on_trip_purpose[#Headers],0),0)</f>
        <v>0.77777777777777779</v>
      </c>
      <c r="L285" s="78" t="e">
        <f>VLOOKUP($L$2, Total_Journeys_Per_Year[#All],MATCH(A285, Total_Journeys_Per_Year[#Headers],0),0)</f>
        <v>#N/A</v>
      </c>
      <c r="M285" s="35" t="e">
        <f t="shared" si="4"/>
        <v>#N/A</v>
      </c>
      <c r="N285" s="35" t="e">
        <f>VLOOKUP($N$2, Private_Vehicle_Kilometres_Car_Stock[#All],MATCH(A285, Private_Vehicle_Kilometres_Car_Stock[#Headers],0),0)</f>
        <v>#N/A</v>
      </c>
    </row>
    <row r="286" spans="1:14" x14ac:dyDescent="0.25">
      <c r="A286" s="79" t="s">
        <v>39</v>
      </c>
      <c r="B286" s="13" t="s">
        <v>182</v>
      </c>
      <c r="C286" s="13" t="s">
        <v>50</v>
      </c>
      <c r="D286" s="5">
        <f>VLOOKUP(B286,Percentage_distribution_of_journey_distance_for_all_regions[#All],MATCH(A286,Percentage_distribution_of_journey_distance_for_all_regions[#Headers],0),0)/100</f>
        <v>7.0000000000000007E-2</v>
      </c>
      <c r="E286" s="71">
        <f>IF(B286="&lt;2 kilometres",1,0)*VLOOKUP(C286, Percentage_dist_journeys_by_purpose_and_distance_to_2km[#All],MATCH(A286, Percentage_dist_journeys_by_purpose_and_distance_to_2km[#Headers],0),0)/100</f>
        <v>0</v>
      </c>
      <c r="F286" s="4">
        <f>IF(B286="2-4 kilometres",1,0)*VLOOKUP(C286, Percentage_dist_journeys_by_purpose_and_distance_2_to_4km[#All],MATCH(A286, Percentage_dist_journeys_by_purpose_and_distance_2_to_4km[#Headers],0),0)/100</f>
        <v>0</v>
      </c>
      <c r="G286" s="72">
        <f>IF(B286="4-6 kilometres",1,0)*VLOOKUP(C286, Percentage_dist_journeys_by_purpose_and_distance_4_to_6km[#All],MATCH(A286, Percentage_dist_journeys_by_purpose_and_distance_4_to_6km[#Headers],0),0)/100</f>
        <v>0</v>
      </c>
      <c r="H286" s="4">
        <f>IF(B286="6-8 kilometres",1,0)*VLOOKUP(C286, Percentage_dist_journeys_by_purpose_and_distance_6_to_8km[#All],MATCH(A286, Percentage_dist_journeys_by_purpose_and_distance_6_to_8km[#Headers],0),0)/100</f>
        <v>3.1E-2</v>
      </c>
      <c r="I286" s="72">
        <f>IF(B286="8+ kilometres",1,0)*VLOOKUP(C286, Percentage_dist_journeys_by_purpose_and_distance_8km[#All],MATCH(A286, Percentage_dist_journeys_by_purpose_and_distance_8km[#Headers],0),0)/100</f>
        <v>0</v>
      </c>
      <c r="J286" s="73">
        <f>VLOOKUP(B286,Average_Distance_by_kilometres_grouping_for_trip_purpose[#All],MATCH(A286,Average_Distance_by_kilometres_grouping_for_trip_purpose[#Headers],0),0)</f>
        <v>7</v>
      </c>
      <c r="K286" s="77">
        <f>VLOOKUP(C286, Adjustment_factor_for_distance_based_on_trip_purpose[#All],MATCH(A286, Adjustment_factor_for_distance_based_on_trip_purpose[#Headers],0),0)</f>
        <v>0.77777777777777779</v>
      </c>
      <c r="L286" s="78" t="e">
        <f>VLOOKUP($L$2, Total_Journeys_Per_Year[#All],MATCH(A286, Total_Journeys_Per_Year[#Headers],0),0)</f>
        <v>#N/A</v>
      </c>
      <c r="M286" s="35" t="e">
        <f t="shared" si="4"/>
        <v>#N/A</v>
      </c>
      <c r="N286" s="35" t="e">
        <f>VLOOKUP($N$2, Private_Vehicle_Kilometres_Car_Stock[#All],MATCH(A286, Private_Vehicle_Kilometres_Car_Stock[#Headers],0),0)</f>
        <v>#N/A</v>
      </c>
    </row>
    <row r="287" spans="1:14" x14ac:dyDescent="0.25">
      <c r="A287" s="79" t="s">
        <v>39</v>
      </c>
      <c r="B287" s="13" t="s">
        <v>1</v>
      </c>
      <c r="C287" s="13" t="s">
        <v>50</v>
      </c>
      <c r="D287" s="5">
        <f>VLOOKUP(B287,Percentage_distribution_of_journey_distance_for_all_regions[#All],MATCH(A287,Percentage_distribution_of_journey_distance_for_all_regions[#Headers],0),0)/100</f>
        <v>0.36799999999999999</v>
      </c>
      <c r="E287" s="71">
        <f>IF(B287="&lt;2 kilometres",1,0)*VLOOKUP(C287, Percentage_dist_journeys_by_purpose_and_distance_to_2km[#All],MATCH(A287, Percentage_dist_journeys_by_purpose_and_distance_to_2km[#Headers],0),0)/100</f>
        <v>0</v>
      </c>
      <c r="F287" s="4">
        <f>IF(B287="2-4 kilometres",1,0)*VLOOKUP(C287, Percentage_dist_journeys_by_purpose_and_distance_2_to_4km[#All],MATCH(A287, Percentage_dist_journeys_by_purpose_and_distance_2_to_4km[#Headers],0),0)/100</f>
        <v>0</v>
      </c>
      <c r="G287" s="72">
        <f>IF(B287="4-6 kilometres",1,0)*VLOOKUP(C287, Percentage_dist_journeys_by_purpose_and_distance_4_to_6km[#All],MATCH(A287, Percentage_dist_journeys_by_purpose_and_distance_4_to_6km[#Headers],0),0)/100</f>
        <v>0</v>
      </c>
      <c r="H287" s="4">
        <f>IF(B287="6-8 kilometres",1,0)*VLOOKUP(C287, Percentage_dist_journeys_by_purpose_and_distance_6_to_8km[#All],MATCH(A287, Percentage_dist_journeys_by_purpose_and_distance_6_to_8km[#Headers],0),0)/100</f>
        <v>0</v>
      </c>
      <c r="I287" s="72">
        <f>IF(B287="8+ kilometres",1,0)*VLOOKUP(C287, Percentage_dist_journeys_by_purpose_and_distance_8km[#All],MATCH(A287, Percentage_dist_journeys_by_purpose_and_distance_8km[#Headers],0),0)/100</f>
        <v>3.7000000000000005E-2</v>
      </c>
      <c r="J287" s="73">
        <f>VLOOKUP(B287,Average_Distance_by_kilometres_grouping_for_trip_purpose[#All],MATCH(A287,Average_Distance_by_kilometres_grouping_for_trip_purpose[#Headers],0),0)</f>
        <v>28.2</v>
      </c>
      <c r="K287" s="77">
        <f>VLOOKUP(C287, Adjustment_factor_for_distance_based_on_trip_purpose[#All],MATCH(A287, Adjustment_factor_for_distance_based_on_trip_purpose[#Headers],0),0)</f>
        <v>0.77777777777777779</v>
      </c>
      <c r="L287" s="78" t="e">
        <f>VLOOKUP($L$2, Total_Journeys_Per_Year[#All],MATCH(A287, Total_Journeys_Per_Year[#Headers],0),0)</f>
        <v>#N/A</v>
      </c>
      <c r="M287" s="35" t="e">
        <f t="shared" si="4"/>
        <v>#N/A</v>
      </c>
      <c r="N287" s="35" t="e">
        <f>VLOOKUP($N$2, Private_Vehicle_Kilometres_Car_Stock[#All],MATCH(A287, Private_Vehicle_Kilometres_Car_Stock[#Headers],0),0)</f>
        <v>#N/A</v>
      </c>
    </row>
    <row r="289" spans="1:3" x14ac:dyDescent="0.25">
      <c r="A289" s="26" t="s">
        <v>81</v>
      </c>
      <c r="B289" t="s">
        <v>462</v>
      </c>
    </row>
    <row r="290" spans="1:3" x14ac:dyDescent="0.25">
      <c r="A290" s="27" t="s">
        <v>39</v>
      </c>
      <c r="B290" s="8">
        <v>16017123933.244123</v>
      </c>
    </row>
    <row r="291" spans="1:3" x14ac:dyDescent="0.25">
      <c r="A291" s="110" t="s">
        <v>42</v>
      </c>
      <c r="B291" s="8">
        <v>16017123933.244123</v>
      </c>
    </row>
    <row r="292" spans="1:3" x14ac:dyDescent="0.25">
      <c r="A292" s="180" t="s">
        <v>8</v>
      </c>
      <c r="B292" s="8">
        <v>1290440909.6444335</v>
      </c>
      <c r="C292" s="181">
        <f>B292/$B$291</f>
        <v>8.0566331073088374E-2</v>
      </c>
    </row>
    <row r="293" spans="1:3" x14ac:dyDescent="0.25">
      <c r="A293" s="180" t="s">
        <v>9</v>
      </c>
      <c r="B293" s="8">
        <v>48888659.217681423</v>
      </c>
      <c r="C293" s="181">
        <f t="shared" ref="C293:C299" si="5">B293/$B$291</f>
        <v>3.0522745170380576E-3</v>
      </c>
    </row>
    <row r="294" spans="1:3" x14ac:dyDescent="0.25">
      <c r="A294" s="180" t="s">
        <v>90</v>
      </c>
      <c r="B294" s="8">
        <v>1609516969.0562801</v>
      </c>
      <c r="C294" s="181">
        <f t="shared" si="5"/>
        <v>0.10048726449045381</v>
      </c>
    </row>
    <row r="295" spans="1:3" x14ac:dyDescent="0.25">
      <c r="A295" s="180" t="s">
        <v>5</v>
      </c>
      <c r="B295" s="8">
        <v>9197563626.8690739</v>
      </c>
      <c r="C295" s="181">
        <f t="shared" si="5"/>
        <v>0.57423315603990521</v>
      </c>
    </row>
    <row r="296" spans="1:3" x14ac:dyDescent="0.25">
      <c r="A296" s="180" t="s">
        <v>6</v>
      </c>
      <c r="B296" s="8">
        <v>2301493206.097754</v>
      </c>
      <c r="C296" s="181">
        <f t="shared" si="5"/>
        <v>0.14368954224802627</v>
      </c>
    </row>
    <row r="297" spans="1:3" x14ac:dyDescent="0.25">
      <c r="A297" s="180" t="s">
        <v>10</v>
      </c>
      <c r="B297" s="8">
        <v>1398582488.1034815</v>
      </c>
      <c r="C297" s="181">
        <f t="shared" si="5"/>
        <v>8.7317953830691963E-2</v>
      </c>
    </row>
    <row r="298" spans="1:3" x14ac:dyDescent="0.25">
      <c r="A298" s="180" t="s">
        <v>11</v>
      </c>
      <c r="B298" s="8">
        <v>106997950.78156298</v>
      </c>
      <c r="C298" s="181">
        <f t="shared" si="5"/>
        <v>6.6802224436488776E-3</v>
      </c>
    </row>
    <row r="299" spans="1:3" x14ac:dyDescent="0.25">
      <c r="A299" s="180" t="s">
        <v>7</v>
      </c>
      <c r="B299" s="8">
        <v>63640123.473857634</v>
      </c>
      <c r="C299" s="181">
        <f t="shared" si="5"/>
        <v>3.9732553571474993E-3</v>
      </c>
    </row>
    <row r="300" spans="1:3" x14ac:dyDescent="0.25">
      <c r="A300" s="27" t="s">
        <v>82</v>
      </c>
      <c r="B300" s="8">
        <v>16017123933.244123</v>
      </c>
      <c r="C300" s="182">
        <f>SUM(C292:C299)</f>
        <v>1</v>
      </c>
    </row>
  </sheetData>
  <mergeCells count="1">
    <mergeCell ref="A16:N1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2641-8B0D-4AED-BE70-56B04BCA7F4D}">
  <dimension ref="A1:N252"/>
  <sheetViews>
    <sheetView topLeftCell="A28" workbookViewId="0">
      <selection activeCell="D6" sqref="D6"/>
    </sheetView>
  </sheetViews>
  <sheetFormatPr defaultRowHeight="15" x14ac:dyDescent="0.25"/>
  <cols>
    <col min="1" max="1" width="8.42578125" customWidth="1"/>
    <col min="2" max="2" width="15.28515625" bestFit="1" customWidth="1"/>
    <col min="3" max="3" width="22.5703125" bestFit="1" customWidth="1"/>
    <col min="4" max="4" width="13.28515625" customWidth="1"/>
    <col min="5" max="6" width="15.28515625" bestFit="1" customWidth="1"/>
    <col min="7" max="7" width="81.42578125" bestFit="1" customWidth="1"/>
    <col min="12" max="12" width="20.42578125" bestFit="1" customWidth="1"/>
    <col min="13" max="13" width="27" bestFit="1" customWidth="1"/>
    <col min="14" max="14" width="24.5703125" bestFit="1" customWidth="1"/>
  </cols>
  <sheetData>
    <row r="1" spans="1:14" ht="15.75" thickBot="1" x14ac:dyDescent="0.3">
      <c r="A1" s="199" t="s">
        <v>177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</row>
    <row r="2" spans="1:14" ht="15" customHeight="1" thickBot="1" x14ac:dyDescent="0.3">
      <c r="A2" s="98" t="s">
        <v>63</v>
      </c>
      <c r="B2" s="99" t="s">
        <v>178</v>
      </c>
      <c r="C2" s="99" t="s">
        <v>179</v>
      </c>
      <c r="D2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2" s="99" t="s">
        <v>134</v>
      </c>
      <c r="F2" s="99" t="s">
        <v>135</v>
      </c>
      <c r="G2" s="99" t="s">
        <v>132</v>
      </c>
      <c r="H2" s="99" t="s">
        <v>133</v>
      </c>
      <c r="I2" s="99" t="s">
        <v>136</v>
      </c>
      <c r="J2" s="99" t="s">
        <v>183</v>
      </c>
      <c r="K2" s="99" t="s">
        <v>184</v>
      </c>
      <c r="L2" s="99" t="str">
        <f>Total_Journeys_Per_Year[Total journeys per year total, National Travel Survey, 2009 - 2019]</f>
        <v>Number of journeys</v>
      </c>
      <c r="M2" s="99" t="s">
        <v>188</v>
      </c>
      <c r="N2" s="97" t="s">
        <v>200</v>
      </c>
    </row>
    <row r="3" spans="1:14" x14ac:dyDescent="0.25">
      <c r="A3" s="79" t="s">
        <v>128</v>
      </c>
      <c r="B3" s="13" t="s">
        <v>12</v>
      </c>
      <c r="C3" s="14" t="s">
        <v>5</v>
      </c>
      <c r="D3" s="5">
        <f>VLOOKUP(B3,Percentage_distribution_of_journey_distance_for_all_regions[#All],MATCH(A3,Percentage_distribution_of_journey_distance_for_all_regions[#Headers],0),0)/100</f>
        <v>0.22</v>
      </c>
      <c r="E3" s="71">
        <f>IF(B3="&lt;2 kilometres",1,0)*VLOOKUP(C3, Percentage_dist_journeys_by_mode_and_distance_to_2km[#All],MATCH(A3, Percentage_dist_journeys_by_mode_and_distance_to_2km[#Headers],0),0)/100</f>
        <v>0.4</v>
      </c>
      <c r="F3" s="4">
        <f>IF(B3="2-4 kilometres",1,0)*VLOOKUP(C3, Percentage_dist_journeys_by_mode_and_distance_2_to_4km[#All],MATCH(A3, Percentage_dist_journeys_by_mode_and_distance_2_to_4km[#Headers],0),0)/100</f>
        <v>0</v>
      </c>
      <c r="G3" s="72">
        <f>IF(B3="4-6 kilometres",1,0)*VLOOKUP(C3, Percentage_dist_journeys_by_mode_and_distance_4_to_6km[#All],MATCH(A3, Percentage_dist_journeys_by_mode_and_distance_4_to_6km[#Headers],0),0)/100</f>
        <v>0</v>
      </c>
      <c r="H3" s="4">
        <f>IF(B3="6-8 kilometres",1,0)*VLOOKUP(C3, Percentage_dist_journeys_by_mode_and_distance_6_to_8km[#All],MATCH(A3, Percentage_dist_journeys_by_mode_and_distance_6_to_8km[#Headers],0),0)/100</f>
        <v>0</v>
      </c>
      <c r="I3" s="72">
        <f>IF(B3="8+ kilometres",1,0)*VLOOKUP(C3, Percentage_dist_journeys_by_mode_and_distance_8km[#All],MATCH(A3, Percentage_dist_journeys_by_mode_and_distance_8km[#Headers],0),0)/100</f>
        <v>0</v>
      </c>
      <c r="J3" s="73">
        <f>VLOOKUP(B3,Average_Distance_by_kilometre_grouping_for_mode_type[#All],MATCH(A3,Average_Distance_by_kilometre_grouping_for_mode_type[#Headers],0),0)</f>
        <v>1</v>
      </c>
      <c r="K3" s="77">
        <f>VLOOKUP(C3, Adjustment_factor_for_distance_based_on_mode[#All],MATCH(A3, Adjustment_factor_for_distance_based_on_mode[#Headers],0),0)</f>
        <v>1</v>
      </c>
      <c r="L3" s="78">
        <f>VLOOKUP($L$2, Total_Journeys_Per_Year[#All],MATCH(A3, Total_Journeys_Per_Year[#Headers],0),0)</f>
        <v>4007543571.4285707</v>
      </c>
      <c r="M3" s="35">
        <f>D3*(SUM(E3:I3))*J3*K3*L3</f>
        <v>352663834.28571427</v>
      </c>
      <c r="N3" s="35">
        <f>VLOOKUP($N$2, Private_Vehicle_Kilometres_Car_Stock[#All],MATCH(A3, Private_Vehicle_Kilometres_Car_Stock[#Headers],0),0)</f>
        <v>32873713915</v>
      </c>
    </row>
    <row r="4" spans="1:14" x14ac:dyDescent="0.25">
      <c r="A4" s="79" t="s">
        <v>128</v>
      </c>
      <c r="B4" s="13" t="s">
        <v>181</v>
      </c>
      <c r="C4" s="14" t="s">
        <v>5</v>
      </c>
      <c r="D4" s="5">
        <f>VLOOKUP(B4,Percentage_distribution_of_journey_distance_for_all_regions[#All],MATCH(A4,Percentage_distribution_of_journey_distance_for_all_regions[#Headers],0),0)/100</f>
        <v>0.19</v>
      </c>
      <c r="E4" s="71">
        <f>IF(B4="&lt;2 kilometres",1,0)*VLOOKUP(C4, Percentage_dist_journeys_by_mode_and_distance_to_2km[#All],MATCH(A4, Percentage_dist_journeys_by_mode_and_distance_to_2km[#Headers],0),0)/100</f>
        <v>0</v>
      </c>
      <c r="F4" s="4">
        <f>IF(B4="2-4 kilometres",1,0)*VLOOKUP(C4, Percentage_dist_journeys_by_mode_and_distance_2_to_4km[#All],MATCH(A4, Percentage_dist_journeys_by_mode_and_distance_2_to_4km[#Headers],0),0)/100</f>
        <v>0.63366336633663367</v>
      </c>
      <c r="G4" s="72">
        <f>IF(B4="4-6 kilometres",1,0)*VLOOKUP(C4, Percentage_dist_journeys_by_mode_and_distance_4_to_6km[#All],MATCH(A4, Percentage_dist_journeys_by_mode_and_distance_4_to_6km[#Headers],0),0)/100</f>
        <v>0</v>
      </c>
      <c r="H4" s="4">
        <f>IF(B4="6-8 kilometres",1,0)*VLOOKUP(C4, Percentage_dist_journeys_by_mode_and_distance_6_to_8km[#All],MATCH(A4, Percentage_dist_journeys_by_mode_and_distance_6_to_8km[#Headers],0),0)/100</f>
        <v>0</v>
      </c>
      <c r="I4" s="72">
        <f>IF(B4="8+ kilometres",1,0)*VLOOKUP(C4, Percentage_dist_journeys_by_mode_and_distance_8km[#All],MATCH(A4, Percentage_dist_journeys_by_mode_and_distance_8km[#Headers],0),0)/100</f>
        <v>0</v>
      </c>
      <c r="J4" s="73">
        <f>VLOOKUP(B4,Average_Distance_by_kilometre_grouping_for_mode_type[#All],MATCH(A4,Average_Distance_by_kilometre_grouping_for_mode_type[#Headers],0),0)</f>
        <v>3</v>
      </c>
      <c r="K4" s="77">
        <f>VLOOKUP(C4, Adjustment_factor_for_distance_based_on_mode[#All],MATCH(A4, Adjustment_factor_for_distance_based_on_mode[#Headers],0),0)</f>
        <v>1</v>
      </c>
      <c r="L4" s="78">
        <f>VLOOKUP($L$2, Total_Journeys_Per_Year[#All],MATCH(A4, Total_Journeys_Per_Year[#Headers],0),0)</f>
        <v>4007543571.4285707</v>
      </c>
      <c r="M4" s="35">
        <f t="shared" ref="M4:M67" si="0">D4*(SUM(E4:I4))*J4*K4*L4</f>
        <v>1447477123.6209335</v>
      </c>
      <c r="N4" s="35">
        <f>VLOOKUP($N$2, Private_Vehicle_Kilometres_Car_Stock[#All],MATCH(A4, Private_Vehicle_Kilometres_Car_Stock[#Headers],0),0)</f>
        <v>32873713915</v>
      </c>
    </row>
    <row r="5" spans="1:14" x14ac:dyDescent="0.25">
      <c r="A5" s="79" t="s">
        <v>128</v>
      </c>
      <c r="B5" s="13" t="s">
        <v>180</v>
      </c>
      <c r="C5" s="14" t="s">
        <v>5</v>
      </c>
      <c r="D5" s="5">
        <f>VLOOKUP(B5,Percentage_distribution_of_journey_distance_for_all_regions[#All],MATCH(A5,Percentage_distribution_of_journey_distance_for_all_regions[#Headers],0),0)/100</f>
        <v>0.11</v>
      </c>
      <c r="E5" s="71">
        <f>IF(B5="&lt;2 kilometres",1,0)*VLOOKUP(C5, Percentage_dist_journeys_by_mode_and_distance_to_2km[#All],MATCH(A5, Percentage_dist_journeys_by_mode_and_distance_to_2km[#Headers],0),0)/100</f>
        <v>0</v>
      </c>
      <c r="F5" s="4">
        <f>IF(B5="2-4 kilometres",1,0)*VLOOKUP(C5, Percentage_dist_journeys_by_mode_and_distance_2_to_4km[#All],MATCH(A5, Percentage_dist_journeys_by_mode_and_distance_2_to_4km[#Headers],0),0)/100</f>
        <v>0</v>
      </c>
      <c r="G5" s="72">
        <f>IF(B5="4-6 kilometres",1,0)*VLOOKUP(C5, Percentage_dist_journeys_by_mode_and_distance_4_to_6km[#All],MATCH(A5, Percentage_dist_journeys_by_mode_and_distance_4_to_6km[#Headers],0),0)/100</f>
        <v>0.71717171717171724</v>
      </c>
      <c r="H5" s="4">
        <f>IF(B5="6-8 kilometres",1,0)*VLOOKUP(C5, Percentage_dist_journeys_by_mode_and_distance_6_to_8km[#All],MATCH(A5, Percentage_dist_journeys_by_mode_and_distance_6_to_8km[#Headers],0),0)/100</f>
        <v>0</v>
      </c>
      <c r="I5" s="72">
        <f>IF(B5="8+ kilometres",1,0)*VLOOKUP(C5, Percentage_dist_journeys_by_mode_and_distance_8km[#All],MATCH(A5, Percentage_dist_journeys_by_mode_and_distance_8km[#Headers],0),0)/100</f>
        <v>0</v>
      </c>
      <c r="J5" s="73">
        <f>VLOOKUP(B5,Average_Distance_by_kilometre_grouping_for_mode_type[#All],MATCH(A5,Average_Distance_by_kilometre_grouping_for_mode_type[#Headers],0),0)</f>
        <v>5</v>
      </c>
      <c r="K5" s="77">
        <f>VLOOKUP(C5, Adjustment_factor_for_distance_based_on_mode[#All],MATCH(A5, Adjustment_factor_for_distance_based_on_mode[#Headers],0),0)</f>
        <v>1</v>
      </c>
      <c r="L5" s="78">
        <f>VLOOKUP($L$2, Total_Journeys_Per_Year[#All],MATCH(A5, Total_Journeys_Per_Year[#Headers],0),0)</f>
        <v>4007543571.4285707</v>
      </c>
      <c r="M5" s="35">
        <f t="shared" si="0"/>
        <v>1580753297.6190474</v>
      </c>
      <c r="N5" s="35">
        <f>VLOOKUP($N$2, Private_Vehicle_Kilometres_Car_Stock[#All],MATCH(A5, Private_Vehicle_Kilometres_Car_Stock[#Headers],0),0)</f>
        <v>32873713915</v>
      </c>
    </row>
    <row r="6" spans="1:14" x14ac:dyDescent="0.25">
      <c r="A6" s="79" t="s">
        <v>128</v>
      </c>
      <c r="B6" s="13" t="s">
        <v>182</v>
      </c>
      <c r="C6" s="14" t="s">
        <v>5</v>
      </c>
      <c r="D6" s="5">
        <f>VLOOKUP(B6,Percentage_distribution_of_journey_distance_for_all_regions[#All],MATCH(A6,Percentage_distribution_of_journey_distance_for_all_regions[#Headers],0),0)/100</f>
        <v>0.06</v>
      </c>
      <c r="E6" s="71">
        <f>IF(B6="&lt;2 kilometres",1,0)*VLOOKUP(C6, Percentage_dist_journeys_by_mode_and_distance_to_2km[#All],MATCH(A6, Percentage_dist_journeys_by_mode_and_distance_to_2km[#Headers],0),0)/100</f>
        <v>0</v>
      </c>
      <c r="F6" s="4">
        <f>IF(B6="2-4 kilometres",1,0)*VLOOKUP(C6, Percentage_dist_journeys_by_mode_and_distance_2_to_4km[#All],MATCH(A6, Percentage_dist_journeys_by_mode_and_distance_2_to_4km[#Headers],0),0)/100</f>
        <v>0</v>
      </c>
      <c r="G6" s="72">
        <f>IF(B6="4-6 kilometres",1,0)*VLOOKUP(C6, Percentage_dist_journeys_by_mode_and_distance_4_to_6km[#All],MATCH(A6, Percentage_dist_journeys_by_mode_and_distance_4_to_6km[#Headers],0),0)/100</f>
        <v>0</v>
      </c>
      <c r="H6" s="4">
        <f>IF(B6="6-8 kilometres",1,0)*VLOOKUP(C6, Percentage_dist_journeys_by_mode_and_distance_6_to_8km[#All],MATCH(A6, Percentage_dist_journeys_by_mode_and_distance_6_to_8km[#Headers],0),0)/100</f>
        <v>0.71717171717171724</v>
      </c>
      <c r="I6" s="72">
        <f>IF(B6="8+ kilometres",1,0)*VLOOKUP(C6, Percentage_dist_journeys_by_mode_and_distance_8km[#All],MATCH(A6, Percentage_dist_journeys_by_mode_and_distance_8km[#Headers],0),0)/100</f>
        <v>0</v>
      </c>
      <c r="J6" s="73">
        <f>VLOOKUP(B6,Average_Distance_by_kilometre_grouping_for_mode_type[#All],MATCH(A6,Average_Distance_by_kilometre_grouping_for_mode_type[#Headers],0),0)</f>
        <v>7</v>
      </c>
      <c r="K6" s="77">
        <f>VLOOKUP(C6, Adjustment_factor_for_distance_based_on_mode[#All],MATCH(A6, Adjustment_factor_for_distance_based_on_mode[#Headers],0),0)</f>
        <v>1</v>
      </c>
      <c r="L6" s="78">
        <f>VLOOKUP($L$2, Total_Journeys_Per_Year[#All],MATCH(A6, Total_Journeys_Per_Year[#Headers],0),0)</f>
        <v>4007543571.4285707</v>
      </c>
      <c r="M6" s="35">
        <f t="shared" si="0"/>
        <v>1207120699.9999998</v>
      </c>
      <c r="N6" s="35">
        <f>VLOOKUP($N$2, Private_Vehicle_Kilometres_Car_Stock[#All],MATCH(A6, Private_Vehicle_Kilometres_Car_Stock[#Headers],0),0)</f>
        <v>32873713915</v>
      </c>
    </row>
    <row r="7" spans="1:14" x14ac:dyDescent="0.25">
      <c r="A7" s="79" t="s">
        <v>128</v>
      </c>
      <c r="B7" s="13" t="s">
        <v>1</v>
      </c>
      <c r="C7" s="14" t="s">
        <v>5</v>
      </c>
      <c r="D7" s="5">
        <f>VLOOKUP(B7,Percentage_distribution_of_journey_distance_for_all_regions[#All],MATCH(A7,Percentage_distribution_of_journey_distance_for_all_regions[#Headers],0),0)/100</f>
        <v>0.41</v>
      </c>
      <c r="E7" s="71">
        <f>IF(B7="&lt;2 kilometres",1,0)*VLOOKUP(C7, Percentage_dist_journeys_by_mode_and_distance_to_2km[#All],MATCH(A7, Percentage_dist_journeys_by_mode_and_distance_to_2km[#Headers],0),0)/100</f>
        <v>0</v>
      </c>
      <c r="F7" s="4">
        <f>IF(B7="2-4 kilometres",1,0)*VLOOKUP(C7, Percentage_dist_journeys_by_mode_and_distance_2_to_4km[#All],MATCH(A7, Percentage_dist_journeys_by_mode_and_distance_2_to_4km[#Headers],0),0)/100</f>
        <v>0</v>
      </c>
      <c r="G7" s="72">
        <f>IF(B7="4-6 kilometres",1,0)*VLOOKUP(C7, Percentage_dist_journeys_by_mode_and_distance_4_to_6km[#All],MATCH(A7, Percentage_dist_journeys_by_mode_and_distance_4_to_6km[#Headers],0),0)/100</f>
        <v>0</v>
      </c>
      <c r="H7" s="4">
        <f>IF(B7="6-8 kilometres",1,0)*VLOOKUP(C7, Percentage_dist_journeys_by_mode_and_distance_6_to_8km[#All],MATCH(A7, Percentage_dist_journeys_by_mode_and_distance_6_to_8km[#Headers],0),0)/100</f>
        <v>0</v>
      </c>
      <c r="I7" s="72">
        <f>IF(B7="8+ kilometres",1,0)*VLOOKUP(C7, Percentage_dist_journeys_by_mode_and_distance_8km[#All],MATCH(A7, Percentage_dist_journeys_by_mode_and_distance_8km[#Headers],0),0)/100</f>
        <v>0.74</v>
      </c>
      <c r="J7" s="73">
        <f>VLOOKUP(B7,Average_Distance_by_kilometre_grouping_for_mode_type[#All],MATCH(A7,Average_Distance_by_kilometre_grouping_for_mode_type[#Headers],0),0)</f>
        <v>30.1</v>
      </c>
      <c r="K7" s="77">
        <f>VLOOKUP(C7, Adjustment_factor_for_distance_based_on_mode[#All],MATCH(A7, Adjustment_factor_for_distance_based_on_mode[#Headers],0),0)</f>
        <v>1</v>
      </c>
      <c r="L7" s="78">
        <f>VLOOKUP($L$2, Total_Journeys_Per_Year[#All],MATCH(A7, Total_Journeys_Per_Year[#Headers],0),0)</f>
        <v>4007543571.4285707</v>
      </c>
      <c r="M7" s="35">
        <f t="shared" si="0"/>
        <v>36598250459.099998</v>
      </c>
      <c r="N7" s="35">
        <f>VLOOKUP($N$2, Private_Vehicle_Kilometres_Car_Stock[#All],MATCH(A7, Private_Vehicle_Kilometres_Car_Stock[#Headers],0),0)</f>
        <v>32873713915</v>
      </c>
    </row>
    <row r="8" spans="1:14" x14ac:dyDescent="0.25">
      <c r="A8" s="79" t="s">
        <v>128</v>
      </c>
      <c r="B8" s="13" t="s">
        <v>12</v>
      </c>
      <c r="C8" s="14" t="s">
        <v>6</v>
      </c>
      <c r="D8" s="5">
        <f>VLOOKUP(B8,Percentage_distribution_of_journey_distance_for_all_regions[#All],MATCH(A8,Percentage_distribution_of_journey_distance_for_all_regions[#Headers],0),0)/100</f>
        <v>0.22</v>
      </c>
      <c r="E8" s="71">
        <f>IF(B8="&lt;2 kilometres",1,0)*VLOOKUP(C8, Percentage_dist_journeys_by_mode_and_distance_to_2km[#All],MATCH(A8, Percentage_dist_journeys_by_mode_and_distance_to_2km[#Headers],0),0)/100</f>
        <v>0.05</v>
      </c>
      <c r="F8" s="4">
        <f>IF(B8="2-4 kilometres",1,0)*VLOOKUP(C8, Percentage_dist_journeys_by_mode_and_distance_2_to_4km[#All],MATCH(A8, Percentage_dist_journeys_by_mode_and_distance_2_to_4km[#Headers],0),0)/100</f>
        <v>0</v>
      </c>
      <c r="G8" s="72">
        <f>IF(B8="4-6 kilometres",1,0)*VLOOKUP(C8, Percentage_dist_journeys_by_mode_and_distance_4_to_6km[#All],MATCH(A8, Percentage_dist_journeys_by_mode_and_distance_4_to_6km[#Headers],0),0)/100</f>
        <v>0</v>
      </c>
      <c r="H8" s="4">
        <f>IF(B8="6-8 kilometres",1,0)*VLOOKUP(C8, Percentage_dist_journeys_by_mode_and_distance_6_to_8km[#All],MATCH(A8, Percentage_dist_journeys_by_mode_and_distance_6_to_8km[#Headers],0),0)/100</f>
        <v>0</v>
      </c>
      <c r="I8" s="72">
        <f>IF(B8="8+ kilometres",1,0)*VLOOKUP(C8, Percentage_dist_journeys_by_mode_and_distance_8km[#All],MATCH(A8, Percentage_dist_journeys_by_mode_and_distance_8km[#Headers],0),0)/100</f>
        <v>0</v>
      </c>
      <c r="J8" s="73">
        <f>VLOOKUP(B8,Average_Distance_by_kilometre_grouping_for_mode_type[#All],MATCH(A8,Average_Distance_by_kilometre_grouping_for_mode_type[#Headers],0),0)</f>
        <v>1</v>
      </c>
      <c r="K8" s="77">
        <f>VLOOKUP(C8, Adjustment_factor_for_distance_based_on_mode[#All],MATCH(A8, Adjustment_factor_for_distance_based_on_mode[#Headers],0),0)</f>
        <v>1.2857142857142858</v>
      </c>
      <c r="L8" s="78">
        <f>VLOOKUP($L$2, Total_Journeys_Per_Year[#All],MATCH(A8, Total_Journeys_Per_Year[#Headers],0),0)</f>
        <v>4007543571.4285707</v>
      </c>
      <c r="M8" s="35">
        <f t="shared" si="0"/>
        <v>56678116.224489793</v>
      </c>
      <c r="N8" s="35">
        <f>VLOOKUP($N$2, Private_Vehicle_Kilometres_Car_Stock[#All],MATCH(A8, Private_Vehicle_Kilometres_Car_Stock[#Headers],0),0)</f>
        <v>32873713915</v>
      </c>
    </row>
    <row r="9" spans="1:14" x14ac:dyDescent="0.25">
      <c r="A9" s="79" t="s">
        <v>128</v>
      </c>
      <c r="B9" s="13" t="s">
        <v>181</v>
      </c>
      <c r="C9" s="14" t="s">
        <v>6</v>
      </c>
      <c r="D9" s="5">
        <f>VLOOKUP(B9,Percentage_distribution_of_journey_distance_for_all_regions[#All],MATCH(A9,Percentage_distribution_of_journey_distance_for_all_regions[#Headers],0),0)/100</f>
        <v>0.19</v>
      </c>
      <c r="E9" s="71">
        <f>IF(B9="&lt;2 kilometres",1,0)*VLOOKUP(C9, Percentage_dist_journeys_by_mode_and_distance_to_2km[#All],MATCH(A9, Percentage_dist_journeys_by_mode_and_distance_to_2km[#Headers],0),0)/100</f>
        <v>0</v>
      </c>
      <c r="F9" s="4">
        <f>IF(B9="2-4 kilometres",1,0)*VLOOKUP(C9, Percentage_dist_journeys_by_mode_and_distance_2_to_4km[#All],MATCH(A9, Percentage_dist_journeys_by_mode_and_distance_2_to_4km[#Headers],0),0)/100</f>
        <v>8.9108910891089119E-2</v>
      </c>
      <c r="G9" s="72">
        <f>IF(B9="4-6 kilometres",1,0)*VLOOKUP(C9, Percentage_dist_journeys_by_mode_and_distance_4_to_6km[#All],MATCH(A9, Percentage_dist_journeys_by_mode_and_distance_4_to_6km[#Headers],0),0)/100</f>
        <v>0</v>
      </c>
      <c r="H9" s="4">
        <f>IF(B9="6-8 kilometres",1,0)*VLOOKUP(C9, Percentage_dist_journeys_by_mode_and_distance_6_to_8km[#All],MATCH(A9, Percentage_dist_journeys_by_mode_and_distance_6_to_8km[#Headers],0),0)/100</f>
        <v>0</v>
      </c>
      <c r="I9" s="72">
        <f>IF(B9="8+ kilometres",1,0)*VLOOKUP(C9, Percentage_dist_journeys_by_mode_and_distance_8km[#All],MATCH(A9, Percentage_dist_journeys_by_mode_and_distance_8km[#Headers],0),0)/100</f>
        <v>0</v>
      </c>
      <c r="J9" s="73">
        <f>VLOOKUP(B9,Average_Distance_by_kilometre_grouping_for_mode_type[#All],MATCH(A9,Average_Distance_by_kilometre_grouping_for_mode_type[#Headers],0),0)</f>
        <v>3</v>
      </c>
      <c r="K9" s="77">
        <f>VLOOKUP(C9, Adjustment_factor_for_distance_based_on_mode[#All],MATCH(A9, Adjustment_factor_for_distance_based_on_mode[#Headers],0),0)</f>
        <v>1.2857142857142858</v>
      </c>
      <c r="L9" s="78">
        <f>VLOOKUP($L$2, Total_Journeys_Per_Year[#All],MATCH(A9, Total_Journeys_Per_Year[#Headers],0),0)</f>
        <v>4007543571.4285707</v>
      </c>
      <c r="M9" s="35">
        <f t="shared" si="0"/>
        <v>261709033.51182058</v>
      </c>
      <c r="N9" s="35">
        <f>VLOOKUP($N$2, Private_Vehicle_Kilometres_Car_Stock[#All],MATCH(A9, Private_Vehicle_Kilometres_Car_Stock[#Headers],0),0)</f>
        <v>32873713915</v>
      </c>
    </row>
    <row r="10" spans="1:14" x14ac:dyDescent="0.25">
      <c r="A10" s="79" t="s">
        <v>128</v>
      </c>
      <c r="B10" s="13" t="s">
        <v>180</v>
      </c>
      <c r="C10" s="14" t="s">
        <v>6</v>
      </c>
      <c r="D10" s="5">
        <f>VLOOKUP(B10,Percentage_distribution_of_journey_distance_for_all_regions[#All],MATCH(A10,Percentage_distribution_of_journey_distance_for_all_regions[#Headers],0),0)/100</f>
        <v>0.11</v>
      </c>
      <c r="E10" s="71">
        <f>IF(B10="&lt;2 kilometres",1,0)*VLOOKUP(C10, Percentage_dist_journeys_by_mode_and_distance_to_2km[#All],MATCH(A10, Percentage_dist_journeys_by_mode_and_distance_to_2km[#Headers],0),0)/100</f>
        <v>0</v>
      </c>
      <c r="F10" s="4">
        <f>IF(B10="2-4 kilometres",1,0)*VLOOKUP(C10, Percentage_dist_journeys_by_mode_and_distance_2_to_4km[#All],MATCH(A10, Percentage_dist_journeys_by_mode_and_distance_2_to_4km[#Headers],0),0)/100</f>
        <v>0</v>
      </c>
      <c r="G10" s="72">
        <f>IF(B10="4-6 kilometres",1,0)*VLOOKUP(C10, Percentage_dist_journeys_by_mode_and_distance_4_to_6km[#All],MATCH(A10, Percentage_dist_journeys_by_mode_and_distance_4_to_6km[#Headers],0),0)/100</f>
        <v>9.0909090909090912E-2</v>
      </c>
      <c r="H10" s="4">
        <f>IF(B10="6-8 kilometres",1,0)*VLOOKUP(C10, Percentage_dist_journeys_by_mode_and_distance_6_to_8km[#All],MATCH(A10, Percentage_dist_journeys_by_mode_and_distance_6_to_8km[#Headers],0),0)/100</f>
        <v>0</v>
      </c>
      <c r="I10" s="72">
        <f>IF(B10="8+ kilometres",1,0)*VLOOKUP(C10, Percentage_dist_journeys_by_mode_and_distance_8km[#All],MATCH(A10, Percentage_dist_journeys_by_mode_and_distance_8km[#Headers],0),0)/100</f>
        <v>0</v>
      </c>
      <c r="J10" s="73">
        <f>VLOOKUP(B10,Average_Distance_by_kilometre_grouping_for_mode_type[#All],MATCH(A10,Average_Distance_by_kilometre_grouping_for_mode_type[#Headers],0),0)</f>
        <v>5</v>
      </c>
      <c r="K10" s="77">
        <f>VLOOKUP(C10, Adjustment_factor_for_distance_based_on_mode[#All],MATCH(A10, Adjustment_factor_for_distance_based_on_mode[#Headers],0),0)</f>
        <v>1.2857142857142858</v>
      </c>
      <c r="L10" s="78">
        <f>VLOOKUP($L$2, Total_Journeys_Per_Year[#All],MATCH(A10, Total_Journeys_Per_Year[#Headers],0),0)</f>
        <v>4007543571.4285707</v>
      </c>
      <c r="M10" s="35">
        <f t="shared" si="0"/>
        <v>257627801.02040815</v>
      </c>
      <c r="N10" s="35">
        <f>VLOOKUP($N$2, Private_Vehicle_Kilometres_Car_Stock[#All],MATCH(A10, Private_Vehicle_Kilometres_Car_Stock[#Headers],0),0)</f>
        <v>32873713915</v>
      </c>
    </row>
    <row r="11" spans="1:14" x14ac:dyDescent="0.25">
      <c r="A11" s="79" t="s">
        <v>128</v>
      </c>
      <c r="B11" s="13" t="s">
        <v>182</v>
      </c>
      <c r="C11" s="14" t="s">
        <v>6</v>
      </c>
      <c r="D11" s="5">
        <f>VLOOKUP(B11,Percentage_distribution_of_journey_distance_for_all_regions[#All],MATCH(A11,Percentage_distribution_of_journey_distance_for_all_regions[#Headers],0),0)/100</f>
        <v>0.06</v>
      </c>
      <c r="E11" s="71">
        <f>IF(B11="&lt;2 kilometres",1,0)*VLOOKUP(C11, Percentage_dist_journeys_by_mode_and_distance_to_2km[#All],MATCH(A11, Percentage_dist_journeys_by_mode_and_distance_to_2km[#Headers],0),0)/100</f>
        <v>0</v>
      </c>
      <c r="F11" s="4">
        <f>IF(B11="2-4 kilometres",1,0)*VLOOKUP(C11, Percentage_dist_journeys_by_mode_and_distance_2_to_4km[#All],MATCH(A11, Percentage_dist_journeys_by_mode_and_distance_2_to_4km[#Headers],0),0)/100</f>
        <v>0</v>
      </c>
      <c r="G11" s="72">
        <f>IF(B11="4-6 kilometres",1,0)*VLOOKUP(C11, Percentage_dist_journeys_by_mode_and_distance_4_to_6km[#All],MATCH(A11, Percentage_dist_journeys_by_mode_and_distance_4_to_6km[#Headers],0),0)/100</f>
        <v>0</v>
      </c>
      <c r="H11" s="4">
        <f>IF(B11="6-8 kilometres",1,0)*VLOOKUP(C11, Percentage_dist_journeys_by_mode_and_distance_6_to_8km[#All],MATCH(A11, Percentage_dist_journeys_by_mode_and_distance_6_to_8km[#Headers],0),0)/100</f>
        <v>0.10101010101010101</v>
      </c>
      <c r="I11" s="72">
        <f>IF(B11="8+ kilometres",1,0)*VLOOKUP(C11, Percentage_dist_journeys_by_mode_and_distance_8km[#All],MATCH(A11, Percentage_dist_journeys_by_mode_and_distance_8km[#Headers],0),0)/100</f>
        <v>0</v>
      </c>
      <c r="J11" s="73">
        <f>VLOOKUP(B11,Average_Distance_by_kilometre_grouping_for_mode_type[#All],MATCH(A11,Average_Distance_by_kilometre_grouping_for_mode_type[#Headers],0),0)</f>
        <v>7</v>
      </c>
      <c r="K11" s="77">
        <f>VLOOKUP(C11, Adjustment_factor_for_distance_based_on_mode[#All],MATCH(A11, Adjustment_factor_for_distance_based_on_mode[#Headers],0),0)</f>
        <v>1.2857142857142858</v>
      </c>
      <c r="L11" s="78">
        <f>VLOOKUP($L$2, Total_Journeys_Per_Year[#All],MATCH(A11, Total_Journeys_Per_Year[#Headers],0),0)</f>
        <v>4007543571.4285707</v>
      </c>
      <c r="M11" s="35">
        <f t="shared" si="0"/>
        <v>218593285.7142857</v>
      </c>
      <c r="N11" s="35">
        <f>VLOOKUP($N$2, Private_Vehicle_Kilometres_Car_Stock[#All],MATCH(A11, Private_Vehicle_Kilometres_Car_Stock[#Headers],0),0)</f>
        <v>32873713915</v>
      </c>
    </row>
    <row r="12" spans="1:14" x14ac:dyDescent="0.25">
      <c r="A12" s="79" t="s">
        <v>128</v>
      </c>
      <c r="B12" s="13" t="s">
        <v>1</v>
      </c>
      <c r="C12" s="14" t="s">
        <v>6</v>
      </c>
      <c r="D12" s="5">
        <f>VLOOKUP(B12,Percentage_distribution_of_journey_distance_for_all_regions[#All],MATCH(A12,Percentage_distribution_of_journey_distance_for_all_regions[#Headers],0),0)/100</f>
        <v>0.41</v>
      </c>
      <c r="E12" s="71">
        <f>IF(B12="&lt;2 kilometres",1,0)*VLOOKUP(C12, Percentage_dist_journeys_by_mode_and_distance_to_2km[#All],MATCH(A12, Percentage_dist_journeys_by_mode_and_distance_to_2km[#Headers],0),0)/100</f>
        <v>0</v>
      </c>
      <c r="F12" s="4">
        <f>IF(B12="2-4 kilometres",1,0)*VLOOKUP(C12, Percentage_dist_journeys_by_mode_and_distance_2_to_4km[#All],MATCH(A12, Percentage_dist_journeys_by_mode_and_distance_2_to_4km[#Headers],0),0)/100</f>
        <v>0</v>
      </c>
      <c r="G12" s="72">
        <f>IF(B12="4-6 kilometres",1,0)*VLOOKUP(C12, Percentage_dist_journeys_by_mode_and_distance_4_to_6km[#All],MATCH(A12, Percentage_dist_journeys_by_mode_and_distance_4_to_6km[#Headers],0),0)/100</f>
        <v>0</v>
      </c>
      <c r="H12" s="4">
        <f>IF(B12="6-8 kilometres",1,0)*VLOOKUP(C12, Percentage_dist_journeys_by_mode_and_distance_6_to_8km[#All],MATCH(A12, Percentage_dist_journeys_by_mode_and_distance_6_to_8km[#Headers],0),0)/100</f>
        <v>0</v>
      </c>
      <c r="I12" s="72">
        <f>IF(B12="8+ kilometres",1,0)*VLOOKUP(C12, Percentage_dist_journeys_by_mode_and_distance_8km[#All],MATCH(A12, Percentage_dist_journeys_by_mode_and_distance_8km[#Headers],0),0)/100</f>
        <v>0.11</v>
      </c>
      <c r="J12" s="73">
        <f>VLOOKUP(B12,Average_Distance_by_kilometre_grouping_for_mode_type[#All],MATCH(A12,Average_Distance_by_kilometre_grouping_for_mode_type[#Headers],0),0)</f>
        <v>30.1</v>
      </c>
      <c r="K12" s="77">
        <f>VLOOKUP(C12, Adjustment_factor_for_distance_based_on_mode[#All],MATCH(A12, Adjustment_factor_for_distance_based_on_mode[#Headers],0),0)</f>
        <v>1.2857142857142858</v>
      </c>
      <c r="L12" s="78">
        <f>VLOOKUP($L$2, Total_Journeys_Per_Year[#All],MATCH(A12, Total_Journeys_Per_Year[#Headers],0),0)</f>
        <v>4007543571.4285707</v>
      </c>
      <c r="M12" s="35">
        <f t="shared" si="0"/>
        <v>6994646323.2642851</v>
      </c>
      <c r="N12" s="35">
        <f>VLOOKUP($N$2, Private_Vehicle_Kilometres_Car_Stock[#All],MATCH(A12, Private_Vehicle_Kilometres_Car_Stock[#Headers],0),0)</f>
        <v>32873713915</v>
      </c>
    </row>
    <row r="13" spans="1:14" s="31" customFormat="1" x14ac:dyDescent="0.25">
      <c r="A13" s="79" t="s">
        <v>128</v>
      </c>
      <c r="B13" s="13" t="s">
        <v>12</v>
      </c>
      <c r="C13" s="14" t="s">
        <v>7</v>
      </c>
      <c r="D13" s="5">
        <f>VLOOKUP(B13,Percentage_distribution_of_journey_distance_for_all_regions[#All],MATCH(A13,Percentage_distribution_of_journey_distance_for_all_regions[#Headers],0),0)/100</f>
        <v>0.22</v>
      </c>
      <c r="E13" s="71">
        <f>IF(B13="&lt;2 kilometres",1,0)*VLOOKUP(C13, Percentage_dist_journeys_by_mode_and_distance_to_2km[#All],MATCH(A13, Percentage_dist_journeys_by_mode_and_distance_to_2km[#Headers],0),0)/100</f>
        <v>0.51</v>
      </c>
      <c r="F13" s="4">
        <f>IF(B13="2-4 kilometres",1,0)*VLOOKUP(C13, Percentage_dist_journeys_by_mode_and_distance_2_to_4km[#All],MATCH(A13, Percentage_dist_journeys_by_mode_and_distance_2_to_4km[#Headers],0),0)/100</f>
        <v>0</v>
      </c>
      <c r="G13" s="72">
        <f>IF(B13="4-6 kilometres",1,0)*VLOOKUP(C13, Percentage_dist_journeys_by_mode_and_distance_4_to_6km[#All],MATCH(A13, Percentage_dist_journeys_by_mode_and_distance_4_to_6km[#Headers],0),0)/100</f>
        <v>0</v>
      </c>
      <c r="H13" s="4">
        <f>IF(B13="6-8 kilometres",1,0)*VLOOKUP(C13, Percentage_dist_journeys_by_mode_and_distance_6_to_8km[#All],MATCH(A13, Percentage_dist_journeys_by_mode_and_distance_6_to_8km[#Headers],0),0)/100</f>
        <v>0</v>
      </c>
      <c r="I13" s="72">
        <f>IF(B13="8+ kilometres",1,0)*VLOOKUP(C13, Percentage_dist_journeys_by_mode_and_distance_8km[#All],MATCH(A13, Percentage_dist_journeys_by_mode_and_distance_8km[#Headers],0),0)/100</f>
        <v>0</v>
      </c>
      <c r="J13" s="73">
        <f>VLOOKUP(B13,Average_Distance_by_kilometre_grouping_for_mode_type[#All],MATCH(A13,Average_Distance_by_kilometre_grouping_for_mode_type[#Headers],0),0)</f>
        <v>1</v>
      </c>
      <c r="K13" s="77">
        <f>VLOOKUP(C13, Adjustment_factor_for_distance_based_on_mode[#All],MATCH(A13, Adjustment_factor_for_distance_based_on_mode[#Headers],0),0)</f>
        <v>0.14285714285714285</v>
      </c>
      <c r="L13" s="78">
        <f>VLOOKUP($L$2, Total_Journeys_Per_Year[#All],MATCH(A13, Total_Journeys_Per_Year[#Headers],0),0)</f>
        <v>4007543571.4285707</v>
      </c>
      <c r="M13" s="35">
        <f t="shared" si="0"/>
        <v>64235198.387755096</v>
      </c>
      <c r="N13" s="35">
        <f>VLOOKUP($N$2, Private_Vehicle_Kilometres_Car_Stock[#All],MATCH(A13, Private_Vehicle_Kilometres_Car_Stock[#Headers],0),0)</f>
        <v>32873713915</v>
      </c>
    </row>
    <row r="14" spans="1:14" x14ac:dyDescent="0.25">
      <c r="A14" s="79" t="s">
        <v>128</v>
      </c>
      <c r="B14" s="13" t="s">
        <v>181</v>
      </c>
      <c r="C14" s="14" t="s">
        <v>7</v>
      </c>
      <c r="D14" s="5">
        <f>VLOOKUP(B14,Percentage_distribution_of_journey_distance_for_all_regions[#All],MATCH(A14,Percentage_distribution_of_journey_distance_for_all_regions[#Headers],0),0)/100</f>
        <v>0.19</v>
      </c>
      <c r="E14" s="71">
        <f>IF(B14="&lt;2 kilometres",1,0)*VLOOKUP(C14, Percentage_dist_journeys_by_mode_and_distance_to_2km[#All],MATCH(A14, Percentage_dist_journeys_by_mode_and_distance_to_2km[#Headers],0),0)/100</f>
        <v>0</v>
      </c>
      <c r="F14" s="4">
        <f>IF(B14="2-4 kilometres",1,0)*VLOOKUP(C14, Percentage_dist_journeys_by_mode_and_distance_2_to_4km[#All],MATCH(A14, Percentage_dist_journeys_by_mode_and_distance_2_to_4km[#Headers],0),0)/100</f>
        <v>0.17821782178217824</v>
      </c>
      <c r="G14" s="72">
        <f>IF(B14="4-6 kilometres",1,0)*VLOOKUP(C14, Percentage_dist_journeys_by_mode_and_distance_4_to_6km[#All],MATCH(A14, Percentage_dist_journeys_by_mode_and_distance_4_to_6km[#Headers],0),0)/100</f>
        <v>0</v>
      </c>
      <c r="H14" s="4">
        <f>IF(B14="6-8 kilometres",1,0)*VLOOKUP(C14, Percentage_dist_journeys_by_mode_and_distance_6_to_8km[#All],MATCH(A14, Percentage_dist_journeys_by_mode_and_distance_6_to_8km[#Headers],0),0)/100</f>
        <v>0</v>
      </c>
      <c r="I14" s="72">
        <f>IF(B14="8+ kilometres",1,0)*VLOOKUP(C14, Percentage_dist_journeys_by_mode_and_distance_8km[#All],MATCH(A14, Percentage_dist_journeys_by_mode_and_distance_8km[#Headers],0),0)/100</f>
        <v>0</v>
      </c>
      <c r="J14" s="73">
        <f>VLOOKUP(B14,Average_Distance_by_kilometre_grouping_for_mode_type[#All],MATCH(A14,Average_Distance_by_kilometre_grouping_for_mode_type[#Headers],0),0)</f>
        <v>3</v>
      </c>
      <c r="K14" s="77">
        <f>VLOOKUP(C14, Adjustment_factor_for_distance_based_on_mode[#All],MATCH(A14, Adjustment_factor_for_distance_based_on_mode[#Headers],0),0)</f>
        <v>0.14285714285714285</v>
      </c>
      <c r="L14" s="78">
        <f>VLOOKUP($L$2, Total_Journeys_Per_Year[#All],MATCH(A14, Total_Journeys_Per_Year[#Headers],0),0)</f>
        <v>4007543571.4285707</v>
      </c>
      <c r="M14" s="35">
        <f t="shared" si="0"/>
        <v>58157563.002626784</v>
      </c>
      <c r="N14" s="35">
        <f>VLOOKUP($N$2, Private_Vehicle_Kilometres_Car_Stock[#All],MATCH(A14, Private_Vehicle_Kilometres_Car_Stock[#Headers],0),0)</f>
        <v>32873713915</v>
      </c>
    </row>
    <row r="15" spans="1:14" x14ac:dyDescent="0.25">
      <c r="A15" s="79" t="s">
        <v>128</v>
      </c>
      <c r="B15" s="13" t="s">
        <v>180</v>
      </c>
      <c r="C15" s="14" t="s">
        <v>7</v>
      </c>
      <c r="D15" s="5">
        <f>VLOOKUP(B15,Percentage_distribution_of_journey_distance_for_all_regions[#All],MATCH(A15,Percentage_distribution_of_journey_distance_for_all_regions[#Headers],0),0)/100</f>
        <v>0.11</v>
      </c>
      <c r="E15" s="71">
        <f>IF(B15="&lt;2 kilometres",1,0)*VLOOKUP(C15, Percentage_dist_journeys_by_mode_and_distance_to_2km[#All],MATCH(A15, Percentage_dist_journeys_by_mode_and_distance_to_2km[#Headers],0),0)/100</f>
        <v>0</v>
      </c>
      <c r="F15" s="4">
        <f>IF(B15="2-4 kilometres",1,0)*VLOOKUP(C15, Percentage_dist_journeys_by_mode_and_distance_2_to_4km[#All],MATCH(A15, Percentage_dist_journeys_by_mode_and_distance_2_to_4km[#Headers],0),0)/100</f>
        <v>0</v>
      </c>
      <c r="G15" s="72">
        <f>IF(B15="4-6 kilometres",1,0)*VLOOKUP(C15, Percentage_dist_journeys_by_mode_and_distance_4_to_6km[#All],MATCH(A15, Percentage_dist_journeys_by_mode_and_distance_4_to_6km[#Headers],0),0)/100</f>
        <v>8.0808080808080815E-2</v>
      </c>
      <c r="H15" s="4">
        <f>IF(B15="6-8 kilometres",1,0)*VLOOKUP(C15, Percentage_dist_journeys_by_mode_and_distance_6_to_8km[#All],MATCH(A15, Percentage_dist_journeys_by_mode_and_distance_6_to_8km[#Headers],0),0)/100</f>
        <v>0</v>
      </c>
      <c r="I15" s="72">
        <f>IF(B15="8+ kilometres",1,0)*VLOOKUP(C15, Percentage_dist_journeys_by_mode_and_distance_8km[#All],MATCH(A15, Percentage_dist_journeys_by_mode_and_distance_8km[#Headers],0),0)/100</f>
        <v>0</v>
      </c>
      <c r="J15" s="73">
        <f>VLOOKUP(B15,Average_Distance_by_kilometre_grouping_for_mode_type[#All],MATCH(A15,Average_Distance_by_kilometre_grouping_for_mode_type[#Headers],0),0)</f>
        <v>5</v>
      </c>
      <c r="K15" s="77">
        <f>VLOOKUP(C15, Adjustment_factor_for_distance_based_on_mode[#All],MATCH(A15, Adjustment_factor_for_distance_based_on_mode[#Headers],0),0)</f>
        <v>0.14285714285714285</v>
      </c>
      <c r="L15" s="78">
        <f>VLOOKUP($L$2, Total_Journeys_Per_Year[#All],MATCH(A15, Total_Journeys_Per_Year[#Headers],0),0)</f>
        <v>4007543571.4285707</v>
      </c>
      <c r="M15" s="35">
        <f t="shared" si="0"/>
        <v>25444721.08843537</v>
      </c>
      <c r="N15" s="35">
        <f>VLOOKUP($N$2, Private_Vehicle_Kilometres_Car_Stock[#All],MATCH(A15, Private_Vehicle_Kilometres_Car_Stock[#Headers],0),0)</f>
        <v>32873713915</v>
      </c>
    </row>
    <row r="16" spans="1:14" x14ac:dyDescent="0.25">
      <c r="A16" s="79" t="s">
        <v>128</v>
      </c>
      <c r="B16" s="13" t="s">
        <v>182</v>
      </c>
      <c r="C16" s="14" t="s">
        <v>7</v>
      </c>
      <c r="D16" s="5">
        <f>VLOOKUP(B16,Percentage_distribution_of_journey_distance_for_all_regions[#All],MATCH(A16,Percentage_distribution_of_journey_distance_for_all_regions[#Headers],0),0)/100</f>
        <v>0.06</v>
      </c>
      <c r="E16" s="71">
        <f>IF(B16="&lt;2 kilometres",1,0)*VLOOKUP(C16, Percentage_dist_journeys_by_mode_and_distance_to_2km[#All],MATCH(A16, Percentage_dist_journeys_by_mode_and_distance_to_2km[#Headers],0),0)/100</f>
        <v>0</v>
      </c>
      <c r="F16" s="4">
        <f>IF(B16="2-4 kilometres",1,0)*VLOOKUP(C16, Percentage_dist_journeys_by_mode_and_distance_2_to_4km[#All],MATCH(A16, Percentage_dist_journeys_by_mode_and_distance_2_to_4km[#Headers],0),0)/100</f>
        <v>0</v>
      </c>
      <c r="G16" s="72">
        <f>IF(B16="4-6 kilometres",1,0)*VLOOKUP(C16, Percentage_dist_journeys_by_mode_and_distance_4_to_6km[#All],MATCH(A16, Percentage_dist_journeys_by_mode_and_distance_4_to_6km[#Headers],0),0)/100</f>
        <v>0</v>
      </c>
      <c r="H16" s="4">
        <f>IF(B16="6-8 kilometres",1,0)*VLOOKUP(C16, Percentage_dist_journeys_by_mode_and_distance_6_to_8km[#All],MATCH(A16, Percentage_dist_journeys_by_mode_and_distance_6_to_8km[#Headers],0),0)/100</f>
        <v>4.0404040404040407E-2</v>
      </c>
      <c r="I16" s="72">
        <f>IF(B16="8+ kilometres",1,0)*VLOOKUP(C16, Percentage_dist_journeys_by_mode_and_distance_8km[#All],MATCH(A16, Percentage_dist_journeys_by_mode_and_distance_8km[#Headers],0),0)/100</f>
        <v>0</v>
      </c>
      <c r="J16" s="73">
        <f>VLOOKUP(B16,Average_Distance_by_kilometre_grouping_for_mode_type[#All],MATCH(A16,Average_Distance_by_kilometre_grouping_for_mode_type[#Headers],0),0)</f>
        <v>7</v>
      </c>
      <c r="K16" s="77">
        <f>VLOOKUP(C16, Adjustment_factor_for_distance_based_on_mode[#All],MATCH(A16, Adjustment_factor_for_distance_based_on_mode[#Headers],0),0)</f>
        <v>0.14285714285714285</v>
      </c>
      <c r="L16" s="78">
        <f>VLOOKUP($L$2, Total_Journeys_Per_Year[#All],MATCH(A16, Total_Journeys_Per_Year[#Headers],0),0)</f>
        <v>4007543571.4285707</v>
      </c>
      <c r="M16" s="35">
        <f t="shared" si="0"/>
        <v>9715257.1428571399</v>
      </c>
      <c r="N16" s="35">
        <f>VLOOKUP($N$2, Private_Vehicle_Kilometres_Car_Stock[#All],MATCH(A16, Private_Vehicle_Kilometres_Car_Stock[#Headers],0),0)</f>
        <v>32873713915</v>
      </c>
    </row>
    <row r="17" spans="1:14" x14ac:dyDescent="0.25">
      <c r="A17" s="79" t="s">
        <v>128</v>
      </c>
      <c r="B17" s="13" t="s">
        <v>1</v>
      </c>
      <c r="C17" s="14" t="s">
        <v>7</v>
      </c>
      <c r="D17" s="5">
        <f>VLOOKUP(B17,Percentage_distribution_of_journey_distance_for_all_regions[#All],MATCH(A17,Percentage_distribution_of_journey_distance_for_all_regions[#Headers],0),0)/100</f>
        <v>0.41</v>
      </c>
      <c r="E17" s="71">
        <f>IF(B17="&lt;2 kilometres",1,0)*VLOOKUP(C17, Percentage_dist_journeys_by_mode_and_distance_to_2km[#All],MATCH(A17, Percentage_dist_journeys_by_mode_and_distance_to_2km[#Headers],0),0)/100</f>
        <v>0</v>
      </c>
      <c r="F17" s="4">
        <f>IF(B17="2-4 kilometres",1,0)*VLOOKUP(C17, Percentage_dist_journeys_by_mode_and_distance_2_to_4km[#All],MATCH(A17, Percentage_dist_journeys_by_mode_and_distance_2_to_4km[#Headers],0),0)/100</f>
        <v>0</v>
      </c>
      <c r="G17" s="72">
        <f>IF(B17="4-6 kilometres",1,0)*VLOOKUP(C17, Percentage_dist_journeys_by_mode_and_distance_4_to_6km[#All],MATCH(A17, Percentage_dist_journeys_by_mode_and_distance_4_to_6km[#Headers],0),0)/100</f>
        <v>0</v>
      </c>
      <c r="H17" s="4">
        <f>IF(B17="6-8 kilometres",1,0)*VLOOKUP(C17, Percentage_dist_journeys_by_mode_and_distance_6_to_8km[#All],MATCH(A17, Percentage_dist_journeys_by_mode_and_distance_6_to_8km[#Headers],0),0)/100</f>
        <v>0</v>
      </c>
      <c r="I17" s="72">
        <f>IF(B17="8+ kilometres",1,0)*VLOOKUP(C17, Percentage_dist_journeys_by_mode_and_distance_8km[#All],MATCH(A17, Percentage_dist_journeys_by_mode_and_distance_8km[#Headers],0),0)/100</f>
        <v>0</v>
      </c>
      <c r="J17" s="73">
        <f>VLOOKUP(B17,Average_Distance_by_kilometre_grouping_for_mode_type[#All],MATCH(A17,Average_Distance_by_kilometre_grouping_for_mode_type[#Headers],0),0)</f>
        <v>30.1</v>
      </c>
      <c r="K17" s="77">
        <f>VLOOKUP(C17, Adjustment_factor_for_distance_based_on_mode[#All],MATCH(A17, Adjustment_factor_for_distance_based_on_mode[#Headers],0),0)</f>
        <v>0.14285714285714285</v>
      </c>
      <c r="L17" s="78">
        <f>VLOOKUP($L$2, Total_Journeys_Per_Year[#All],MATCH(A17, Total_Journeys_Per_Year[#Headers],0),0)</f>
        <v>4007543571.4285707</v>
      </c>
      <c r="M17" s="35">
        <f t="shared" si="0"/>
        <v>0</v>
      </c>
      <c r="N17" s="35">
        <f>VLOOKUP($N$2, Private_Vehicle_Kilometres_Car_Stock[#All],MATCH(A17, Private_Vehicle_Kilometres_Car_Stock[#Headers],0),0)</f>
        <v>32873713915</v>
      </c>
    </row>
    <row r="18" spans="1:14" s="31" customFormat="1" x14ac:dyDescent="0.25">
      <c r="A18" s="79" t="s">
        <v>128</v>
      </c>
      <c r="B18" s="13" t="s">
        <v>12</v>
      </c>
      <c r="C18" s="14" t="s">
        <v>8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Percentage_dist_journeys_by_mode_and_distance_to_2km[#All],MATCH(A18, Percentage_dist_journeys_by_mode_and_distance_to_2km[#Headers],0),0)/100</f>
        <v>0.01</v>
      </c>
      <c r="F18" s="4">
        <f>IF(B18="2-4 kilometres",1,0)*VLOOKUP(C18, Percentage_dist_journeys_by_mode_and_distance_2_to_4km[#All],MATCH(A18, Percentage_dist_journeys_by_mode_and_distance_2_to_4km[#Headers],0),0)/100</f>
        <v>0</v>
      </c>
      <c r="G18" s="72">
        <f>IF(B18="4-6 kilometres",1,0)*VLOOKUP(C18, Percentage_dist_journeys_by_mode_and_distance_4_to_6km[#All],MATCH(A18, Percentage_dist_journeys_by_mode_and_distance_4_to_6km[#Headers],0),0)/100</f>
        <v>0</v>
      </c>
      <c r="H18" s="4">
        <f>IF(B18="6-8 kilometres",1,0)*VLOOKUP(C18, Percentage_dist_journeys_by_mode_and_distance_6_to_8km[#All],MATCH(A18, Percentage_dist_journeys_by_mode_and_distance_6_to_8km[#Headers],0),0)/100</f>
        <v>0</v>
      </c>
      <c r="I18" s="72">
        <f>IF(B18="8+ kilometres",1,0)*VLOOKUP(C18, Percentage_dist_journeys_by_mode_and_distance_8km[#All],MATCH(A18, Percentage_dist_journeys_by_mode_and_distance_8km[#Headers],0),0)/100</f>
        <v>0</v>
      </c>
      <c r="J18" s="73">
        <f>VLOOKUP(B18,Average_Distance_by_kilometre_grouping_for_mode_type[#All],MATCH(A18,Average_Distance_by_kilometre_grouping_for_mode_type[#Headers],0),0)</f>
        <v>1</v>
      </c>
      <c r="K18" s="77">
        <f>VLOOKUP(C18, Adjustment_factor_for_distance_based_on_mode[#All],MATCH(A18, Adjustment_factor_for_distance_based_on_mode[#Headers],0),0)</f>
        <v>1</v>
      </c>
      <c r="L18" s="78">
        <f>VLOOKUP($L$2, Total_Journeys_Per_Year[#All],MATCH(A18, Total_Journeys_Per_Year[#Headers],0),0)</f>
        <v>4007543571.4285707</v>
      </c>
      <c r="M18" s="35">
        <f t="shared" si="0"/>
        <v>8816595.8571428563</v>
      </c>
      <c r="N18" s="35">
        <f>VLOOKUP($N$2, Private_Vehicle_Kilometres_Car_Stock[#All],MATCH(A18, Private_Vehicle_Kilometres_Car_Stock[#Headers],0),0)</f>
        <v>32873713915</v>
      </c>
    </row>
    <row r="19" spans="1:14" s="31" customFormat="1" x14ac:dyDescent="0.25">
      <c r="A19" s="79" t="s">
        <v>128</v>
      </c>
      <c r="B19" s="13" t="s">
        <v>181</v>
      </c>
      <c r="C19" s="14" t="s">
        <v>8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Percentage_dist_journeys_by_mode_and_distance_to_2km[#All],MATCH(A19, Percentage_dist_journeys_by_mode_and_distance_to_2km[#Headers],0),0)/100</f>
        <v>0</v>
      </c>
      <c r="F19" s="4">
        <f>IF(B19="2-4 kilometres",1,0)*VLOOKUP(C19, Percentage_dist_journeys_by_mode_and_distance_2_to_4km[#All],MATCH(A19, Percentage_dist_journeys_by_mode_and_distance_2_to_4km[#Headers],0),0)/100</f>
        <v>3.9603960396039604E-2</v>
      </c>
      <c r="G19" s="72">
        <f>IF(B19="4-6 kilometres",1,0)*VLOOKUP(C19, Percentage_dist_journeys_by_mode_and_distance_4_to_6km[#All],MATCH(A19, Percentage_dist_journeys_by_mode_and_distance_4_to_6km[#Headers],0),0)/100</f>
        <v>0</v>
      </c>
      <c r="H19" s="4">
        <f>IF(B19="6-8 kilometres",1,0)*VLOOKUP(C19, Percentage_dist_journeys_by_mode_and_distance_6_to_8km[#All],MATCH(A19, Percentage_dist_journeys_by_mode_and_distance_6_to_8km[#Headers],0),0)/100</f>
        <v>0</v>
      </c>
      <c r="I19" s="72">
        <f>IF(B19="8+ kilometres",1,0)*VLOOKUP(C19, Percentage_dist_journeys_by_mode_and_distance_8km[#All],MATCH(A19, Percentage_dist_journeys_by_mode_and_distance_8km[#Headers],0),0)/100</f>
        <v>0</v>
      </c>
      <c r="J19" s="73">
        <f>VLOOKUP(B19,Average_Distance_by_kilometre_grouping_for_mode_type[#All],MATCH(A19,Average_Distance_by_kilometre_grouping_for_mode_type[#Headers],0),0)</f>
        <v>3</v>
      </c>
      <c r="K19" s="77">
        <f>VLOOKUP(C19, Adjustment_factor_for_distance_based_on_mode[#All],MATCH(A19, Adjustment_factor_for_distance_based_on_mode[#Headers],0),0)</f>
        <v>1</v>
      </c>
      <c r="L19" s="78">
        <f>VLOOKUP($L$2, Total_Journeys_Per_Year[#All],MATCH(A19, Total_Journeys_Per_Year[#Headers],0),0)</f>
        <v>4007543571.4285707</v>
      </c>
      <c r="M19" s="35">
        <f t="shared" si="0"/>
        <v>90467320.226308346</v>
      </c>
      <c r="N19" s="35">
        <f>VLOOKUP($N$2, Private_Vehicle_Kilometres_Car_Stock[#All],MATCH(A19, Private_Vehicle_Kilometres_Car_Stock[#Headers],0),0)</f>
        <v>32873713915</v>
      </c>
    </row>
    <row r="20" spans="1:14" s="31" customFormat="1" x14ac:dyDescent="0.25">
      <c r="A20" s="79" t="s">
        <v>128</v>
      </c>
      <c r="B20" s="13" t="s">
        <v>180</v>
      </c>
      <c r="C20" s="14" t="s">
        <v>8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Percentage_dist_journeys_by_mode_and_distance_to_2km[#All],MATCH(A20, Percentage_dist_journeys_by_mode_and_distance_to_2km[#Headers],0),0)/100</f>
        <v>0</v>
      </c>
      <c r="F20" s="4">
        <f>IF(B20="2-4 kilometres",1,0)*VLOOKUP(C20, Percentage_dist_journeys_by_mode_and_distance_2_to_4km[#All],MATCH(A20, Percentage_dist_journeys_by_mode_and_distance_2_to_4km[#Headers],0),0)/100</f>
        <v>0</v>
      </c>
      <c r="G20" s="72">
        <f>IF(B20="4-6 kilometres",1,0)*VLOOKUP(C20, Percentage_dist_journeys_by_mode_and_distance_4_to_6km[#All],MATCH(A20, Percentage_dist_journeys_by_mode_and_distance_4_to_6km[#Headers],0),0)/100</f>
        <v>6.0606060606060608E-2</v>
      </c>
      <c r="H20" s="4">
        <f>IF(B20="6-8 kilometres",1,0)*VLOOKUP(C20, Percentage_dist_journeys_by_mode_and_distance_6_to_8km[#All],MATCH(A20, Percentage_dist_journeys_by_mode_and_distance_6_to_8km[#Headers],0),0)/100</f>
        <v>0</v>
      </c>
      <c r="I20" s="72">
        <f>IF(B20="8+ kilometres",1,0)*VLOOKUP(C20, Percentage_dist_journeys_by_mode_and_distance_8km[#All],MATCH(A20, Percentage_dist_journeys_by_mode_and_distance_8km[#Headers],0),0)/100</f>
        <v>0</v>
      </c>
      <c r="J20" s="73">
        <f>VLOOKUP(B20,Average_Distance_by_kilometre_grouping_for_mode_type[#All],MATCH(A20,Average_Distance_by_kilometre_grouping_for_mode_type[#Headers],0),0)</f>
        <v>5</v>
      </c>
      <c r="K20" s="77">
        <f>VLOOKUP(C20, Adjustment_factor_for_distance_based_on_mode[#All],MATCH(A20, Adjustment_factor_for_distance_based_on_mode[#Headers],0),0)</f>
        <v>1</v>
      </c>
      <c r="L20" s="78">
        <f>VLOOKUP($L$2, Total_Journeys_Per_Year[#All],MATCH(A20, Total_Journeys_Per_Year[#Headers],0),0)</f>
        <v>4007543571.4285707</v>
      </c>
      <c r="M20" s="35">
        <f t="shared" si="0"/>
        <v>133584785.71428569</v>
      </c>
      <c r="N20" s="35">
        <f>VLOOKUP($N$2, Private_Vehicle_Kilometres_Car_Stock[#All],MATCH(A20, Private_Vehicle_Kilometres_Car_Stock[#Headers],0),0)</f>
        <v>32873713915</v>
      </c>
    </row>
    <row r="21" spans="1:14" s="31" customFormat="1" x14ac:dyDescent="0.25">
      <c r="A21" s="79" t="s">
        <v>128</v>
      </c>
      <c r="B21" s="13" t="s">
        <v>182</v>
      </c>
      <c r="C21" s="14" t="s">
        <v>8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Percentage_dist_journeys_by_mode_and_distance_to_2km[#All],MATCH(A21, Percentage_dist_journeys_by_mode_and_distance_to_2km[#Headers],0),0)/100</f>
        <v>0</v>
      </c>
      <c r="F21" s="4">
        <f>IF(B21="2-4 kilometres",1,0)*VLOOKUP(C21, Percentage_dist_journeys_by_mode_and_distance_2_to_4km[#All],MATCH(A21, Percentage_dist_journeys_by_mode_and_distance_2_to_4km[#Headers],0),0)/100</f>
        <v>0</v>
      </c>
      <c r="G21" s="72">
        <f>IF(B21="4-6 kilometres",1,0)*VLOOKUP(C21, Percentage_dist_journeys_by_mode_and_distance_4_to_6km[#All],MATCH(A21, Percentage_dist_journeys_by_mode_and_distance_4_to_6km[#Headers],0),0)/100</f>
        <v>0</v>
      </c>
      <c r="H21" s="4">
        <f>IF(B21="6-8 kilometres",1,0)*VLOOKUP(C21, Percentage_dist_journeys_by_mode_and_distance_6_to_8km[#All],MATCH(A21, Percentage_dist_journeys_by_mode_and_distance_6_to_8km[#Headers],0),0)/100</f>
        <v>6.0606060606060608E-2</v>
      </c>
      <c r="I21" s="72">
        <f>IF(B21="8+ kilometres",1,0)*VLOOKUP(C21, Percentage_dist_journeys_by_mode_and_distance_8km[#All],MATCH(A21, Percentage_dist_journeys_by_mode_and_distance_8km[#Headers],0),0)/100</f>
        <v>0</v>
      </c>
      <c r="J21" s="73">
        <f>VLOOKUP(B21,Average_Distance_by_kilometre_grouping_for_mode_type[#All],MATCH(A21,Average_Distance_by_kilometre_grouping_for_mode_type[#Headers],0),0)</f>
        <v>7</v>
      </c>
      <c r="K21" s="77">
        <f>VLOOKUP(C21, Adjustment_factor_for_distance_based_on_mode[#All],MATCH(A21, Adjustment_factor_for_distance_based_on_mode[#Headers],0),0)</f>
        <v>1</v>
      </c>
      <c r="L21" s="78">
        <f>VLOOKUP($L$2, Total_Journeys_Per_Year[#All],MATCH(A21, Total_Journeys_Per_Year[#Headers],0),0)</f>
        <v>4007543571.4285707</v>
      </c>
      <c r="M21" s="35">
        <f t="shared" si="0"/>
        <v>102010199.99999999</v>
      </c>
      <c r="N21" s="35">
        <f>VLOOKUP($N$2, Private_Vehicle_Kilometres_Car_Stock[#All],MATCH(A21, Private_Vehicle_Kilometres_Car_Stock[#Headers],0),0)</f>
        <v>32873713915</v>
      </c>
    </row>
    <row r="22" spans="1:14" s="31" customFormat="1" x14ac:dyDescent="0.25">
      <c r="A22" s="79" t="s">
        <v>128</v>
      </c>
      <c r="B22" s="13" t="s">
        <v>1</v>
      </c>
      <c r="C22" s="14" t="s">
        <v>8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Percentage_dist_journeys_by_mode_and_distance_to_2km[#All],MATCH(A22, Percentage_dist_journeys_by_mode_and_distance_to_2km[#Headers],0),0)/100</f>
        <v>0</v>
      </c>
      <c r="F22" s="4">
        <f>IF(B22="2-4 kilometres",1,0)*VLOOKUP(C22, Percentage_dist_journeys_by_mode_and_distance_2_to_4km[#All],MATCH(A22, Percentage_dist_journeys_by_mode_and_distance_2_to_4km[#Headers],0),0)/100</f>
        <v>0</v>
      </c>
      <c r="G22" s="72">
        <f>IF(B22="4-6 kilometres",1,0)*VLOOKUP(C22, Percentage_dist_journeys_by_mode_and_distance_4_to_6km[#All],MATCH(A22, Percentage_dist_journeys_by_mode_and_distance_4_to_6km[#Headers],0),0)/100</f>
        <v>0</v>
      </c>
      <c r="H22" s="4">
        <f>IF(B22="6-8 kilometres",1,0)*VLOOKUP(C22, Percentage_dist_journeys_by_mode_and_distance_6_to_8km[#All],MATCH(A22, Percentage_dist_journeys_by_mode_and_distance_6_to_8km[#Headers],0),0)/100</f>
        <v>0</v>
      </c>
      <c r="I22" s="72">
        <f>IF(B22="8+ kilometres",1,0)*VLOOKUP(C22, Percentage_dist_journeys_by_mode_and_distance_8km[#All],MATCH(A22, Percentage_dist_journeys_by_mode_and_distance_8km[#Headers],0),0)/100</f>
        <v>0.05</v>
      </c>
      <c r="J22" s="73">
        <f>VLOOKUP(B22,Average_Distance_by_kilometre_grouping_for_mode_type[#All],MATCH(A22,Average_Distance_by_kilometre_grouping_for_mode_type[#Headers],0),0)</f>
        <v>30.1</v>
      </c>
      <c r="K22" s="77">
        <f>VLOOKUP(C22, Adjustment_factor_for_distance_based_on_mode[#All],MATCH(A22, Adjustment_factor_for_distance_based_on_mode[#Headers],0),0)</f>
        <v>1</v>
      </c>
      <c r="L22" s="78">
        <f>VLOOKUP($L$2, Total_Journeys_Per_Year[#All],MATCH(A22, Total_Journeys_Per_Year[#Headers],0),0)</f>
        <v>4007543571.4285707</v>
      </c>
      <c r="M22" s="35">
        <f t="shared" si="0"/>
        <v>2472854760.75</v>
      </c>
      <c r="N22" s="35">
        <f>VLOOKUP($N$2, Private_Vehicle_Kilometres_Car_Stock[#All],MATCH(A22, Private_Vehicle_Kilometres_Car_Stock[#Headers],0),0)</f>
        <v>32873713915</v>
      </c>
    </row>
    <row r="23" spans="1:14" s="31" customFormat="1" x14ac:dyDescent="0.25">
      <c r="A23" s="79" t="s">
        <v>128</v>
      </c>
      <c r="B23" s="13" t="s">
        <v>12</v>
      </c>
      <c r="C23" s="14" t="s">
        <v>9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Percentage_dist_journeys_by_mode_and_distance_to_2km[#All],MATCH(A23, Percentage_dist_journeys_by_mode_and_distance_to_2km[#Headers],0),0)/100</f>
        <v>0.01</v>
      </c>
      <c r="F23" s="4">
        <f>IF(B23="2-4 kilometres",1,0)*VLOOKUP(C23, Percentage_dist_journeys_by_mode_and_distance_2_to_4km[#All],MATCH(A23, Percentage_dist_journeys_by_mode_and_distance_2_to_4km[#Headers],0),0)/100</f>
        <v>0</v>
      </c>
      <c r="G23" s="72">
        <f>IF(B23="4-6 kilometres",1,0)*VLOOKUP(C23, Percentage_dist_journeys_by_mode_and_distance_4_to_6km[#All],MATCH(A23, Percentage_dist_journeys_by_mode_and_distance_4_to_6km[#Headers],0),0)/100</f>
        <v>0</v>
      </c>
      <c r="H23" s="4">
        <f>IF(B23="6-8 kilometres",1,0)*VLOOKUP(C23, Percentage_dist_journeys_by_mode_and_distance_6_to_8km[#All],MATCH(A23, Percentage_dist_journeys_by_mode_and_distance_6_to_8km[#Headers],0),0)/100</f>
        <v>0</v>
      </c>
      <c r="I23" s="72">
        <f>IF(B23="8+ kilometres",1,0)*VLOOKUP(C23, Percentage_dist_journeys_by_mode_and_distance_8km[#All],MATCH(A23, Percentage_dist_journeys_by_mode_and_distance_8km[#Headers],0),0)/100</f>
        <v>0</v>
      </c>
      <c r="J23" s="73">
        <f>VLOOKUP(B23,Average_Distance_by_kilometre_grouping_for_mode_type[#All],MATCH(A23,Average_Distance_by_kilometre_grouping_for_mode_type[#Headers],0),0)</f>
        <v>1</v>
      </c>
      <c r="K23" s="77">
        <f>VLOOKUP(C23, Adjustment_factor_for_distance_based_on_mode[#All],MATCH(A23, Adjustment_factor_for_distance_based_on_mode[#Headers],0),0)</f>
        <v>0.35714285714285715</v>
      </c>
      <c r="L23" s="78">
        <f>VLOOKUP($L$2, Total_Journeys_Per_Year[#All],MATCH(A23, Total_Journeys_Per_Year[#Headers],0),0)</f>
        <v>4007543571.4285707</v>
      </c>
      <c r="M23" s="35">
        <f t="shared" si="0"/>
        <v>3148784.2346938769</v>
      </c>
      <c r="N23" s="35">
        <f>VLOOKUP($N$2, Private_Vehicle_Kilometres_Car_Stock[#All],MATCH(A23, Private_Vehicle_Kilometres_Car_Stock[#Headers],0),0)</f>
        <v>32873713915</v>
      </c>
    </row>
    <row r="24" spans="1:14" s="31" customFormat="1" x14ac:dyDescent="0.25">
      <c r="A24" s="79" t="s">
        <v>128</v>
      </c>
      <c r="B24" s="13" t="s">
        <v>181</v>
      </c>
      <c r="C24" s="14" t="s">
        <v>9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Percentage_dist_journeys_by_mode_and_distance_to_2km[#All],MATCH(A24, Percentage_dist_journeys_by_mode_and_distance_to_2km[#Headers],0),0)/100</f>
        <v>0</v>
      </c>
      <c r="F24" s="4">
        <f>IF(B24="2-4 kilometres",1,0)*VLOOKUP(C24, Percentage_dist_journeys_by_mode_and_distance_2_to_4km[#All],MATCH(A24, Percentage_dist_journeys_by_mode_and_distance_2_to_4km[#Headers],0),0)/100</f>
        <v>1.9801980198019802E-2</v>
      </c>
      <c r="G24" s="72">
        <f>IF(B24="4-6 kilometres",1,0)*VLOOKUP(C24, Percentage_dist_journeys_by_mode_and_distance_4_to_6km[#All],MATCH(A24, Percentage_dist_journeys_by_mode_and_distance_4_to_6km[#Headers],0),0)/100</f>
        <v>0</v>
      </c>
      <c r="H24" s="4">
        <f>IF(B24="6-8 kilometres",1,0)*VLOOKUP(C24, Percentage_dist_journeys_by_mode_and_distance_6_to_8km[#All],MATCH(A24, Percentage_dist_journeys_by_mode_and_distance_6_to_8km[#Headers],0),0)/100</f>
        <v>0</v>
      </c>
      <c r="I24" s="72">
        <f>IF(B24="8+ kilometres",1,0)*VLOOKUP(C24, Percentage_dist_journeys_by_mode_and_distance_8km[#All],MATCH(A24, Percentage_dist_journeys_by_mode_and_distance_8km[#Headers],0),0)/100</f>
        <v>0</v>
      </c>
      <c r="J24" s="73">
        <f>VLOOKUP(B24,Average_Distance_by_kilometre_grouping_for_mode_type[#All],MATCH(A24,Average_Distance_by_kilometre_grouping_for_mode_type[#Headers],0),0)</f>
        <v>3</v>
      </c>
      <c r="K24" s="77">
        <f>VLOOKUP(C24, Adjustment_factor_for_distance_based_on_mode[#All],MATCH(A24, Adjustment_factor_for_distance_based_on_mode[#Headers],0),0)</f>
        <v>0.35714285714285715</v>
      </c>
      <c r="L24" s="78">
        <f>VLOOKUP($L$2, Total_Journeys_Per_Year[#All],MATCH(A24, Total_Journeys_Per_Year[#Headers],0),0)</f>
        <v>4007543571.4285707</v>
      </c>
      <c r="M24" s="35">
        <f t="shared" si="0"/>
        <v>16154878.611840773</v>
      </c>
      <c r="N24" s="35">
        <f>VLOOKUP($N$2, Private_Vehicle_Kilometres_Car_Stock[#All],MATCH(A24, Private_Vehicle_Kilometres_Car_Stock[#Headers],0),0)</f>
        <v>32873713915</v>
      </c>
    </row>
    <row r="25" spans="1:14" s="31" customFormat="1" x14ac:dyDescent="0.25">
      <c r="A25" s="79" t="s">
        <v>128</v>
      </c>
      <c r="B25" s="13" t="s">
        <v>180</v>
      </c>
      <c r="C25" s="14" t="s">
        <v>9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Percentage_dist_journeys_by_mode_and_distance_to_2km[#All],MATCH(A25, Percentage_dist_journeys_by_mode_and_distance_to_2km[#Headers],0),0)/100</f>
        <v>0</v>
      </c>
      <c r="F25" s="4">
        <f>IF(B25="2-4 kilometres",1,0)*VLOOKUP(C25, Percentage_dist_journeys_by_mode_and_distance_2_to_4km[#All],MATCH(A25, Percentage_dist_journeys_by_mode_and_distance_2_to_4km[#Headers],0),0)/100</f>
        <v>0</v>
      </c>
      <c r="G25" s="72">
        <f>IF(B25="4-6 kilometres",1,0)*VLOOKUP(C25, Percentage_dist_journeys_by_mode_and_distance_4_to_6km[#All],MATCH(A25, Percentage_dist_journeys_by_mode_and_distance_4_to_6km[#Headers],0),0)/100</f>
        <v>2.0202020202020204E-2</v>
      </c>
      <c r="H25" s="4">
        <f>IF(B25="6-8 kilometres",1,0)*VLOOKUP(C25, Percentage_dist_journeys_by_mode_and_distance_6_to_8km[#All],MATCH(A25, Percentage_dist_journeys_by_mode_and_distance_6_to_8km[#Headers],0),0)/100</f>
        <v>0</v>
      </c>
      <c r="I25" s="72">
        <f>IF(B25="8+ kilometres",1,0)*VLOOKUP(C25, Percentage_dist_journeys_by_mode_and_distance_8km[#All],MATCH(A25, Percentage_dist_journeys_by_mode_and_distance_8km[#Headers],0),0)/100</f>
        <v>0</v>
      </c>
      <c r="J25" s="73">
        <f>VLOOKUP(B25,Average_Distance_by_kilometre_grouping_for_mode_type[#All],MATCH(A25,Average_Distance_by_kilometre_grouping_for_mode_type[#Headers],0),0)</f>
        <v>5</v>
      </c>
      <c r="K25" s="77">
        <f>VLOOKUP(C25, Adjustment_factor_for_distance_based_on_mode[#All],MATCH(A25, Adjustment_factor_for_distance_based_on_mode[#Headers],0),0)</f>
        <v>0.35714285714285715</v>
      </c>
      <c r="L25" s="78">
        <f>VLOOKUP($L$2, Total_Journeys_Per_Year[#All],MATCH(A25, Total_Journeys_Per_Year[#Headers],0),0)</f>
        <v>4007543571.4285707</v>
      </c>
      <c r="M25" s="35">
        <f t="shared" si="0"/>
        <v>15902950.680272108</v>
      </c>
      <c r="N25" s="35">
        <f>VLOOKUP($N$2, Private_Vehicle_Kilometres_Car_Stock[#All],MATCH(A25, Private_Vehicle_Kilometres_Car_Stock[#Headers],0),0)</f>
        <v>32873713915</v>
      </c>
    </row>
    <row r="26" spans="1:14" s="31" customFormat="1" x14ac:dyDescent="0.25">
      <c r="A26" s="79" t="s">
        <v>128</v>
      </c>
      <c r="B26" s="13" t="s">
        <v>182</v>
      </c>
      <c r="C26" s="14" t="s">
        <v>9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Percentage_dist_journeys_by_mode_and_distance_to_2km[#All],MATCH(A26, Percentage_dist_journeys_by_mode_and_distance_to_2km[#Headers],0),0)/100</f>
        <v>0</v>
      </c>
      <c r="F26" s="4">
        <f>IF(B26="2-4 kilometres",1,0)*VLOOKUP(C26, Percentage_dist_journeys_by_mode_and_distance_2_to_4km[#All],MATCH(A26, Percentage_dist_journeys_by_mode_and_distance_2_to_4km[#Headers],0),0)/100</f>
        <v>0</v>
      </c>
      <c r="G26" s="72">
        <f>IF(B26="4-6 kilometres",1,0)*VLOOKUP(C26, Percentage_dist_journeys_by_mode_and_distance_4_to_6km[#All],MATCH(A26, Percentage_dist_journeys_by_mode_and_distance_4_to_6km[#Headers],0),0)/100</f>
        <v>0</v>
      </c>
      <c r="H26" s="4">
        <f>IF(B26="6-8 kilometres",1,0)*VLOOKUP(C26, Percentage_dist_journeys_by_mode_and_distance_6_to_8km[#All],MATCH(A26, Percentage_dist_journeys_by_mode_and_distance_6_to_8km[#Headers],0),0)/100</f>
        <v>2.0202020202020204E-2</v>
      </c>
      <c r="I26" s="72">
        <f>IF(B26="8+ kilometres",1,0)*VLOOKUP(C26, Percentage_dist_journeys_by_mode_and_distance_8km[#All],MATCH(A26, Percentage_dist_journeys_by_mode_and_distance_8km[#Headers],0),0)/100</f>
        <v>0</v>
      </c>
      <c r="J26" s="73">
        <f>VLOOKUP(B26,Average_Distance_by_kilometre_grouping_for_mode_type[#All],MATCH(A26,Average_Distance_by_kilometre_grouping_for_mode_type[#Headers],0),0)</f>
        <v>7</v>
      </c>
      <c r="K26" s="77">
        <f>VLOOKUP(C26, Adjustment_factor_for_distance_based_on_mode[#All],MATCH(A26, Adjustment_factor_for_distance_based_on_mode[#Headers],0),0)</f>
        <v>0.35714285714285715</v>
      </c>
      <c r="L26" s="78">
        <f>VLOOKUP($L$2, Total_Journeys_Per_Year[#All],MATCH(A26, Total_Journeys_Per_Year[#Headers],0),0)</f>
        <v>4007543571.4285707</v>
      </c>
      <c r="M26" s="35">
        <f t="shared" si="0"/>
        <v>12144071.428571425</v>
      </c>
      <c r="N26" s="35">
        <f>VLOOKUP($N$2, Private_Vehicle_Kilometres_Car_Stock[#All],MATCH(A26, Private_Vehicle_Kilometres_Car_Stock[#Headers],0),0)</f>
        <v>32873713915</v>
      </c>
    </row>
    <row r="27" spans="1:14" s="31" customFormat="1" x14ac:dyDescent="0.25">
      <c r="A27" s="79" t="s">
        <v>128</v>
      </c>
      <c r="B27" s="13" t="s">
        <v>1</v>
      </c>
      <c r="C27" s="14" t="s">
        <v>9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Percentage_dist_journeys_by_mode_and_distance_to_2km[#All],MATCH(A27, Percentage_dist_journeys_by_mode_and_distance_to_2km[#Headers],0),0)/100</f>
        <v>0</v>
      </c>
      <c r="F27" s="4">
        <f>IF(B27="2-4 kilometres",1,0)*VLOOKUP(C27, Percentage_dist_journeys_by_mode_and_distance_2_to_4km[#All],MATCH(A27, Percentage_dist_journeys_by_mode_and_distance_2_to_4km[#Headers],0),0)/100</f>
        <v>0</v>
      </c>
      <c r="G27" s="72">
        <f>IF(B27="4-6 kilometres",1,0)*VLOOKUP(C27, Percentage_dist_journeys_by_mode_and_distance_4_to_6km[#All],MATCH(A27, Percentage_dist_journeys_by_mode_and_distance_4_to_6km[#Headers],0),0)/100</f>
        <v>0</v>
      </c>
      <c r="H27" s="4">
        <f>IF(B27="6-8 kilometres",1,0)*VLOOKUP(C27, Percentage_dist_journeys_by_mode_and_distance_6_to_8km[#All],MATCH(A27, Percentage_dist_journeys_by_mode_and_distance_6_to_8km[#Headers],0),0)/100</f>
        <v>0</v>
      </c>
      <c r="I27" s="72">
        <f>IF(B27="8+ kilometres",1,0)*VLOOKUP(C27, Percentage_dist_journeys_by_mode_and_distance_8km[#All],MATCH(A27, Percentage_dist_journeys_by_mode_and_distance_8km[#Headers],0),0)/100</f>
        <v>0.01</v>
      </c>
      <c r="J27" s="73">
        <f>VLOOKUP(B27,Average_Distance_by_kilometre_grouping_for_mode_type[#All],MATCH(A27,Average_Distance_by_kilometre_grouping_for_mode_type[#Headers],0),0)</f>
        <v>30.1</v>
      </c>
      <c r="K27" s="77">
        <f>VLOOKUP(C27, Adjustment_factor_for_distance_based_on_mode[#All],MATCH(A27, Adjustment_factor_for_distance_based_on_mode[#Headers],0),0)</f>
        <v>0.35714285714285715</v>
      </c>
      <c r="L27" s="78">
        <f>VLOOKUP($L$2, Total_Journeys_Per_Year[#All],MATCH(A27, Total_Journeys_Per_Year[#Headers],0),0)</f>
        <v>4007543571.4285707</v>
      </c>
      <c r="M27" s="35">
        <f t="shared" si="0"/>
        <v>176632482.91071424</v>
      </c>
      <c r="N27" s="35">
        <f>VLOOKUP($N$2, Private_Vehicle_Kilometres_Car_Stock[#All],MATCH(A27, Private_Vehicle_Kilometres_Car_Stock[#Headers],0),0)</f>
        <v>32873713915</v>
      </c>
    </row>
    <row r="28" spans="1:14" s="31" customFormat="1" x14ac:dyDescent="0.25">
      <c r="A28" s="79" t="s">
        <v>128</v>
      </c>
      <c r="B28" s="13" t="s">
        <v>12</v>
      </c>
      <c r="C28" s="14" t="s">
        <v>10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Percentage_dist_journeys_by_mode_and_distance_to_2km[#All],MATCH(A28, Percentage_dist_journeys_by_mode_and_distance_to_2km[#Headers],0),0)/100</f>
        <v>0</v>
      </c>
      <c r="F28" s="4">
        <f>IF(B28="2-4 kilometres",1,0)*VLOOKUP(C28, Percentage_dist_journeys_by_mode_and_distance_2_to_4km[#All],MATCH(A28, Percentage_dist_journeys_by_mode_and_distance_2_to_4km[#Headers],0),0)/100</f>
        <v>0</v>
      </c>
      <c r="G28" s="72">
        <f>IF(B28="4-6 kilometres",1,0)*VLOOKUP(C28, Percentage_dist_journeys_by_mode_and_distance_4_to_6km[#All],MATCH(A28, Percentage_dist_journeys_by_mode_and_distance_4_to_6km[#Headers],0),0)/100</f>
        <v>0</v>
      </c>
      <c r="H28" s="4">
        <f>IF(B28="6-8 kilometres",1,0)*VLOOKUP(C28, Percentage_dist_journeys_by_mode_and_distance_6_to_8km[#All],MATCH(A28, Percentage_dist_journeys_by_mode_and_distance_6_to_8km[#Headers],0),0)/100</f>
        <v>0</v>
      </c>
      <c r="I28" s="72">
        <f>IF(B28="8+ kilometres",1,0)*VLOOKUP(C28, Percentage_dist_journeys_by_mode_and_distance_8km[#All],MATCH(A28, Percentage_dist_journeys_by_mode_and_distance_8km[#Headers],0),0)/100</f>
        <v>0</v>
      </c>
      <c r="J28" s="73">
        <f>VLOOKUP(B28,Average_Distance_by_kilometre_grouping_for_mode_type[#All],MATCH(A28,Average_Distance_by_kilometre_grouping_for_mode_type[#Headers],0),0)</f>
        <v>1</v>
      </c>
      <c r="K28" s="77">
        <f>VLOOKUP(C28, Adjustment_factor_for_distance_based_on_mode[#All],MATCH(A28, Adjustment_factor_for_distance_based_on_mode[#Headers],0),0)</f>
        <v>1.8571428571428572</v>
      </c>
      <c r="L28" s="78">
        <f>VLOOKUP($L$2, Total_Journeys_Per_Year[#All],MATCH(A28, Total_Journeys_Per_Year[#Headers],0),0)</f>
        <v>4007543571.4285707</v>
      </c>
      <c r="M28" s="35">
        <f t="shared" si="0"/>
        <v>0</v>
      </c>
      <c r="N28" s="35">
        <f>VLOOKUP($N$2, Private_Vehicle_Kilometres_Car_Stock[#All],MATCH(A28, Private_Vehicle_Kilometres_Car_Stock[#Headers],0),0)</f>
        <v>32873713915</v>
      </c>
    </row>
    <row r="29" spans="1:14" s="31" customFormat="1" x14ac:dyDescent="0.25">
      <c r="A29" s="79" t="s">
        <v>128</v>
      </c>
      <c r="B29" s="13" t="s">
        <v>181</v>
      </c>
      <c r="C29" s="14" t="s">
        <v>10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Percentage_dist_journeys_by_mode_and_distance_to_2km[#All],MATCH(A29, Percentage_dist_journeys_by_mode_and_distance_to_2km[#Headers],0),0)/100</f>
        <v>0</v>
      </c>
      <c r="F29" s="4">
        <f>IF(B29="2-4 kilometres",1,0)*VLOOKUP(C29, Percentage_dist_journeys_by_mode_and_distance_2_to_4km[#All],MATCH(A29, Percentage_dist_journeys_by_mode_and_distance_2_to_4km[#Headers],0),0)/100</f>
        <v>0</v>
      </c>
      <c r="G29" s="72">
        <f>IF(B29="4-6 kilometres",1,0)*VLOOKUP(C29, Percentage_dist_journeys_by_mode_and_distance_4_to_6km[#All],MATCH(A29, Percentage_dist_journeys_by_mode_and_distance_4_to_6km[#Headers],0),0)/100</f>
        <v>0</v>
      </c>
      <c r="H29" s="4">
        <f>IF(B29="6-8 kilometres",1,0)*VLOOKUP(C29, Percentage_dist_journeys_by_mode_and_distance_6_to_8km[#All],MATCH(A29, Percentage_dist_journeys_by_mode_and_distance_6_to_8km[#Headers],0),0)/100</f>
        <v>0</v>
      </c>
      <c r="I29" s="72">
        <f>IF(B29="8+ kilometres",1,0)*VLOOKUP(C29, Percentage_dist_journeys_by_mode_and_distance_8km[#All],MATCH(A29, Percentage_dist_journeys_by_mode_and_distance_8km[#Headers],0),0)/100</f>
        <v>0</v>
      </c>
      <c r="J29" s="73">
        <f>VLOOKUP(B29,Average_Distance_by_kilometre_grouping_for_mode_type[#All],MATCH(A29,Average_Distance_by_kilometre_grouping_for_mode_type[#Headers],0),0)</f>
        <v>3</v>
      </c>
      <c r="K29" s="77">
        <f>VLOOKUP(C29, Adjustment_factor_for_distance_based_on_mode[#All],MATCH(A29, Adjustment_factor_for_distance_based_on_mode[#Headers],0),0)</f>
        <v>1.8571428571428572</v>
      </c>
      <c r="L29" s="78">
        <f>VLOOKUP($L$2, Total_Journeys_Per_Year[#All],MATCH(A29, Total_Journeys_Per_Year[#Headers],0),0)</f>
        <v>4007543571.4285707</v>
      </c>
      <c r="M29" s="35">
        <f t="shared" si="0"/>
        <v>0</v>
      </c>
      <c r="N29" s="35">
        <f>VLOOKUP($N$2, Private_Vehicle_Kilometres_Car_Stock[#All],MATCH(A29, Private_Vehicle_Kilometres_Car_Stock[#Headers],0),0)</f>
        <v>32873713915</v>
      </c>
    </row>
    <row r="30" spans="1:14" s="31" customFormat="1" x14ac:dyDescent="0.25">
      <c r="A30" s="79" t="s">
        <v>128</v>
      </c>
      <c r="B30" s="13" t="s">
        <v>180</v>
      </c>
      <c r="C30" s="14" t="s">
        <v>10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Percentage_dist_journeys_by_mode_and_distance_to_2km[#All],MATCH(A30, Percentage_dist_journeys_by_mode_and_distance_to_2km[#Headers],0),0)/100</f>
        <v>0</v>
      </c>
      <c r="F30" s="4">
        <f>IF(B30="2-4 kilometres",1,0)*VLOOKUP(C30, Percentage_dist_journeys_by_mode_and_distance_2_to_4km[#All],MATCH(A30, Percentage_dist_journeys_by_mode_and_distance_2_to_4km[#Headers],0),0)/100</f>
        <v>0</v>
      </c>
      <c r="G30" s="72">
        <f>IF(B30="4-6 kilometres",1,0)*VLOOKUP(C30, Percentage_dist_journeys_by_mode_and_distance_4_to_6km[#All],MATCH(A30, Percentage_dist_journeys_by_mode_and_distance_4_to_6km[#Headers],0),0)/100</f>
        <v>0</v>
      </c>
      <c r="H30" s="4">
        <f>IF(B30="6-8 kilometres",1,0)*VLOOKUP(C30, Percentage_dist_journeys_by_mode_and_distance_6_to_8km[#All],MATCH(A30, Percentage_dist_journeys_by_mode_and_distance_6_to_8km[#Headers],0),0)/100</f>
        <v>0</v>
      </c>
      <c r="I30" s="72">
        <f>IF(B30="8+ kilometres",1,0)*VLOOKUP(C30, Percentage_dist_journeys_by_mode_and_distance_8km[#All],MATCH(A30, Percentage_dist_journeys_by_mode_and_distance_8km[#Headers],0),0)/100</f>
        <v>0</v>
      </c>
      <c r="J30" s="73">
        <f>VLOOKUP(B30,Average_Distance_by_kilometre_grouping_for_mode_type[#All],MATCH(A30,Average_Distance_by_kilometre_grouping_for_mode_type[#Headers],0),0)</f>
        <v>5</v>
      </c>
      <c r="K30" s="77">
        <f>VLOOKUP(C30, Adjustment_factor_for_distance_based_on_mode[#All],MATCH(A30, Adjustment_factor_for_distance_based_on_mode[#Headers],0),0)</f>
        <v>1.8571428571428572</v>
      </c>
      <c r="L30" s="78">
        <f>VLOOKUP($L$2, Total_Journeys_Per_Year[#All],MATCH(A30, Total_Journeys_Per_Year[#Headers],0),0)</f>
        <v>4007543571.4285707</v>
      </c>
      <c r="M30" s="35">
        <f t="shared" si="0"/>
        <v>0</v>
      </c>
      <c r="N30" s="35">
        <f>VLOOKUP($N$2, Private_Vehicle_Kilometres_Car_Stock[#All],MATCH(A30, Private_Vehicle_Kilometres_Car_Stock[#Headers],0),0)</f>
        <v>32873713915</v>
      </c>
    </row>
    <row r="31" spans="1:14" s="31" customFormat="1" x14ac:dyDescent="0.25">
      <c r="A31" s="79" t="s">
        <v>128</v>
      </c>
      <c r="B31" s="13" t="s">
        <v>182</v>
      </c>
      <c r="C31" s="14" t="s">
        <v>10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Percentage_dist_journeys_by_mode_and_distance_to_2km[#All],MATCH(A31, Percentage_dist_journeys_by_mode_and_distance_to_2km[#Headers],0),0)/100</f>
        <v>0</v>
      </c>
      <c r="F31" s="4">
        <f>IF(B31="2-4 kilometres",1,0)*VLOOKUP(C31, Percentage_dist_journeys_by_mode_and_distance_2_to_4km[#All],MATCH(A31, Percentage_dist_journeys_by_mode_and_distance_2_to_4km[#Headers],0),0)/100</f>
        <v>0</v>
      </c>
      <c r="G31" s="72">
        <f>IF(B31="4-6 kilometres",1,0)*VLOOKUP(C31, Percentage_dist_journeys_by_mode_and_distance_4_to_6km[#All],MATCH(A31, Percentage_dist_journeys_by_mode_and_distance_4_to_6km[#Headers],0),0)/100</f>
        <v>0</v>
      </c>
      <c r="H31" s="4">
        <f>IF(B31="6-8 kilometres",1,0)*VLOOKUP(C31, Percentage_dist_journeys_by_mode_and_distance_6_to_8km[#All],MATCH(A31, Percentage_dist_journeys_by_mode_and_distance_6_to_8km[#Headers],0),0)/100</f>
        <v>0</v>
      </c>
      <c r="I31" s="72">
        <f>IF(B31="8+ kilometres",1,0)*VLOOKUP(C31, Percentage_dist_journeys_by_mode_and_distance_8km[#All],MATCH(A31, Percentage_dist_journeys_by_mode_and_distance_8km[#Headers],0),0)/100</f>
        <v>0</v>
      </c>
      <c r="J31" s="73">
        <f>VLOOKUP(B31,Average_Distance_by_kilometre_grouping_for_mode_type[#All],MATCH(A31,Average_Distance_by_kilometre_grouping_for_mode_type[#Headers],0),0)</f>
        <v>7</v>
      </c>
      <c r="K31" s="77">
        <f>VLOOKUP(C31, Adjustment_factor_for_distance_based_on_mode[#All],MATCH(A31, Adjustment_factor_for_distance_based_on_mode[#Headers],0),0)</f>
        <v>1.8571428571428572</v>
      </c>
      <c r="L31" s="78">
        <f>VLOOKUP($L$2, Total_Journeys_Per_Year[#All],MATCH(A31, Total_Journeys_Per_Year[#Headers],0),0)</f>
        <v>4007543571.4285707</v>
      </c>
      <c r="M31" s="35">
        <f t="shared" si="0"/>
        <v>0</v>
      </c>
      <c r="N31" s="35">
        <f>VLOOKUP($N$2, Private_Vehicle_Kilometres_Car_Stock[#All],MATCH(A31, Private_Vehicle_Kilometres_Car_Stock[#Headers],0),0)</f>
        <v>32873713915</v>
      </c>
    </row>
    <row r="32" spans="1:14" s="31" customFormat="1" x14ac:dyDescent="0.25">
      <c r="A32" s="79" t="s">
        <v>128</v>
      </c>
      <c r="B32" s="13" t="s">
        <v>1</v>
      </c>
      <c r="C32" s="14" t="s">
        <v>10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Percentage_dist_journeys_by_mode_and_distance_to_2km[#All],MATCH(A32, Percentage_dist_journeys_by_mode_and_distance_to_2km[#Headers],0),0)/100</f>
        <v>0</v>
      </c>
      <c r="F32" s="4">
        <f>IF(B32="2-4 kilometres",1,0)*VLOOKUP(C32, Percentage_dist_journeys_by_mode_and_distance_2_to_4km[#All],MATCH(A32, Percentage_dist_journeys_by_mode_and_distance_2_to_4km[#Headers],0),0)/100</f>
        <v>0</v>
      </c>
      <c r="G32" s="72">
        <f>IF(B32="4-6 kilometres",1,0)*VLOOKUP(C32, Percentage_dist_journeys_by_mode_and_distance_4_to_6km[#All],MATCH(A32, Percentage_dist_journeys_by_mode_and_distance_4_to_6km[#Headers],0),0)/100</f>
        <v>0</v>
      </c>
      <c r="H32" s="4">
        <f>IF(B32="6-8 kilometres",1,0)*VLOOKUP(C32, Percentage_dist_journeys_by_mode_and_distance_6_to_8km[#All],MATCH(A32, Percentage_dist_journeys_by_mode_and_distance_6_to_8km[#Headers],0),0)/100</f>
        <v>0</v>
      </c>
      <c r="I32" s="72">
        <f>IF(B32="8+ kilometres",1,0)*VLOOKUP(C32, Percentage_dist_journeys_by_mode_and_distance_8km[#All],MATCH(A32, Percentage_dist_journeys_by_mode_and_distance_8km[#Headers],0),0)/100</f>
        <v>0.03</v>
      </c>
      <c r="J32" s="73">
        <f>VLOOKUP(B32,Average_Distance_by_kilometre_grouping_for_mode_type[#All],MATCH(A32,Average_Distance_by_kilometre_grouping_for_mode_type[#Headers],0),0)</f>
        <v>30.1</v>
      </c>
      <c r="K32" s="77">
        <f>VLOOKUP(C32, Adjustment_factor_for_distance_based_on_mode[#All],MATCH(A32, Adjustment_factor_for_distance_based_on_mode[#Headers],0),0)</f>
        <v>1.8571428571428572</v>
      </c>
      <c r="L32" s="78">
        <f>VLOOKUP($L$2, Total_Journeys_Per_Year[#All],MATCH(A32, Total_Journeys_Per_Year[#Headers],0),0)</f>
        <v>4007543571.4285707</v>
      </c>
      <c r="M32" s="35">
        <f t="shared" si="0"/>
        <v>2755466733.4071422</v>
      </c>
      <c r="N32" s="35">
        <f>VLOOKUP($N$2, Private_Vehicle_Kilometres_Car_Stock[#All],MATCH(A32, Private_Vehicle_Kilometres_Car_Stock[#Headers],0),0)</f>
        <v>32873713915</v>
      </c>
    </row>
    <row r="33" spans="1:14" s="31" customFormat="1" x14ac:dyDescent="0.25">
      <c r="A33" s="79" t="s">
        <v>128</v>
      </c>
      <c r="B33" s="13" t="s">
        <v>12</v>
      </c>
      <c r="C33" s="14" t="s">
        <v>11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Percentage_dist_journeys_by_mode_and_distance_to_2km[#All],MATCH(A33, Percentage_dist_journeys_by_mode_and_distance_to_2km[#Headers],0),0)/100</f>
        <v>0</v>
      </c>
      <c r="F33" s="4">
        <f>IF(B33="2-4 kilometres",1,0)*VLOOKUP(C33, Percentage_dist_journeys_by_mode_and_distance_2_to_4km[#All],MATCH(A33, Percentage_dist_journeys_by_mode_and_distance_2_to_4km[#Headers],0),0)/100</f>
        <v>0</v>
      </c>
      <c r="G33" s="72">
        <f>IF(B33="4-6 kilometres",1,0)*VLOOKUP(C33, Percentage_dist_journeys_by_mode_and_distance_4_to_6km[#All],MATCH(A33, Percentage_dist_journeys_by_mode_and_distance_4_to_6km[#Headers],0),0)/100</f>
        <v>0</v>
      </c>
      <c r="H33" s="4">
        <f>IF(B33="6-8 kilometres",1,0)*VLOOKUP(C33, Percentage_dist_journeys_by_mode_and_distance_6_to_8km[#All],MATCH(A33, Percentage_dist_journeys_by_mode_and_distance_6_to_8km[#Headers],0),0)/100</f>
        <v>0</v>
      </c>
      <c r="I33" s="72">
        <f>IF(B33="8+ kilometres",1,0)*VLOOKUP(C33, Percentage_dist_journeys_by_mode_and_distance_8km[#All],MATCH(A33, Percentage_dist_journeys_by_mode_and_distance_8km[#Headers],0),0)/100</f>
        <v>0</v>
      </c>
      <c r="J33" s="73">
        <f>VLOOKUP(B33,Average_Distance_by_kilometre_grouping_for_mode_type[#All],MATCH(A33,Average_Distance_by_kilometre_grouping_for_mode_type[#Headers],0),0)</f>
        <v>1</v>
      </c>
      <c r="K33" s="77">
        <f>VLOOKUP(C33, Adjustment_factor_for_distance_based_on_mode[#All],MATCH(A33, Adjustment_factor_for_distance_based_on_mode[#Headers],0),0)</f>
        <v>0</v>
      </c>
      <c r="L33" s="78">
        <f>VLOOKUP($L$2, Total_Journeys_Per_Year[#All],MATCH(A33, Total_Journeys_Per_Year[#Headers],0),0)</f>
        <v>4007543571.4285707</v>
      </c>
      <c r="M33" s="35">
        <f t="shared" si="0"/>
        <v>0</v>
      </c>
      <c r="N33" s="35">
        <f>VLOOKUP($N$2, Private_Vehicle_Kilometres_Car_Stock[#All],MATCH(A33, Private_Vehicle_Kilometres_Car_Stock[#Headers],0),0)</f>
        <v>32873713915</v>
      </c>
    </row>
    <row r="34" spans="1:14" s="31" customFormat="1" x14ac:dyDescent="0.25">
      <c r="A34" s="79" t="s">
        <v>128</v>
      </c>
      <c r="B34" s="13" t="s">
        <v>181</v>
      </c>
      <c r="C34" s="14" t="s">
        <v>11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Percentage_dist_journeys_by_mode_and_distance_to_2km[#All],MATCH(A34, Percentage_dist_journeys_by_mode_and_distance_to_2km[#Headers],0),0)/100</f>
        <v>0</v>
      </c>
      <c r="F34" s="4">
        <f>IF(B34="2-4 kilometres",1,0)*VLOOKUP(C34, Percentage_dist_journeys_by_mode_and_distance_2_to_4km[#All],MATCH(A34, Percentage_dist_journeys_by_mode_and_distance_2_to_4km[#Headers],0),0)/100</f>
        <v>0</v>
      </c>
      <c r="G34" s="72">
        <f>IF(B34="4-6 kilometres",1,0)*VLOOKUP(C34, Percentage_dist_journeys_by_mode_and_distance_4_to_6km[#All],MATCH(A34, Percentage_dist_journeys_by_mode_and_distance_4_to_6km[#Headers],0),0)/100</f>
        <v>0</v>
      </c>
      <c r="H34" s="4">
        <f>IF(B34="6-8 kilometres",1,0)*VLOOKUP(C34, Percentage_dist_journeys_by_mode_and_distance_6_to_8km[#All],MATCH(A34, Percentage_dist_journeys_by_mode_and_distance_6_to_8km[#Headers],0),0)/100</f>
        <v>0</v>
      </c>
      <c r="I34" s="72">
        <f>IF(B34="8+ kilometres",1,0)*VLOOKUP(C34, Percentage_dist_journeys_by_mode_and_distance_8km[#All],MATCH(A34, Percentage_dist_journeys_by_mode_and_distance_8km[#Headers],0),0)/100</f>
        <v>0</v>
      </c>
      <c r="J34" s="73">
        <f>VLOOKUP(B34,Average_Distance_by_kilometre_grouping_for_mode_type[#All],MATCH(A34,Average_Distance_by_kilometre_grouping_for_mode_type[#Headers],0),0)</f>
        <v>3</v>
      </c>
      <c r="K34" s="77">
        <f>VLOOKUP(C34, Adjustment_factor_for_distance_based_on_mode[#All],MATCH(A34, Adjustment_factor_for_distance_based_on_mode[#Headers],0),0)</f>
        <v>0</v>
      </c>
      <c r="L34" s="78">
        <f>VLOOKUP($L$2, Total_Journeys_Per_Year[#All],MATCH(A34, Total_Journeys_Per_Year[#Headers],0),0)</f>
        <v>4007543571.4285707</v>
      </c>
      <c r="M34" s="35">
        <f t="shared" si="0"/>
        <v>0</v>
      </c>
      <c r="N34" s="35">
        <f>VLOOKUP($N$2, Private_Vehicle_Kilometres_Car_Stock[#All],MATCH(A34, Private_Vehicle_Kilometres_Car_Stock[#Headers],0),0)</f>
        <v>32873713915</v>
      </c>
    </row>
    <row r="35" spans="1:14" s="31" customFormat="1" x14ac:dyDescent="0.25">
      <c r="A35" s="79" t="s">
        <v>128</v>
      </c>
      <c r="B35" s="13" t="s">
        <v>180</v>
      </c>
      <c r="C35" s="14" t="s">
        <v>11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Percentage_dist_journeys_by_mode_and_distance_to_2km[#All],MATCH(A35, Percentage_dist_journeys_by_mode_and_distance_to_2km[#Headers],0),0)/100</f>
        <v>0</v>
      </c>
      <c r="F35" s="4">
        <f>IF(B35="2-4 kilometres",1,0)*VLOOKUP(C35, Percentage_dist_journeys_by_mode_and_distance_2_to_4km[#All],MATCH(A35, Percentage_dist_journeys_by_mode_and_distance_2_to_4km[#Headers],0),0)/100</f>
        <v>0</v>
      </c>
      <c r="G35" s="72">
        <f>IF(B35="4-6 kilometres",1,0)*VLOOKUP(C35, Percentage_dist_journeys_by_mode_and_distance_4_to_6km[#All],MATCH(A35, Percentage_dist_journeys_by_mode_and_distance_4_to_6km[#Headers],0),0)/100</f>
        <v>0</v>
      </c>
      <c r="H35" s="4">
        <f>IF(B35="6-8 kilometres",1,0)*VLOOKUP(C35, Percentage_dist_journeys_by_mode_and_distance_6_to_8km[#All],MATCH(A35, Percentage_dist_journeys_by_mode_and_distance_6_to_8km[#Headers],0),0)/100</f>
        <v>0</v>
      </c>
      <c r="I35" s="72">
        <f>IF(B35="8+ kilometres",1,0)*VLOOKUP(C35, Percentage_dist_journeys_by_mode_and_distance_8km[#All],MATCH(A35, Percentage_dist_journeys_by_mode_and_distance_8km[#Headers],0),0)/100</f>
        <v>0</v>
      </c>
      <c r="J35" s="73">
        <f>VLOOKUP(B35,Average_Distance_by_kilometre_grouping_for_mode_type[#All],MATCH(A35,Average_Distance_by_kilometre_grouping_for_mode_type[#Headers],0),0)</f>
        <v>5</v>
      </c>
      <c r="K35" s="77">
        <f>VLOOKUP(C35, Adjustment_factor_for_distance_based_on_mode[#All],MATCH(A35, Adjustment_factor_for_distance_based_on_mode[#Headers],0),0)</f>
        <v>0</v>
      </c>
      <c r="L35" s="78">
        <f>VLOOKUP($L$2, Total_Journeys_Per_Year[#All],MATCH(A35, Total_Journeys_Per_Year[#Headers],0),0)</f>
        <v>4007543571.4285707</v>
      </c>
      <c r="M35" s="35">
        <f t="shared" si="0"/>
        <v>0</v>
      </c>
      <c r="N35" s="35">
        <f>VLOOKUP($N$2, Private_Vehicle_Kilometres_Car_Stock[#All],MATCH(A35, Private_Vehicle_Kilometres_Car_Stock[#Headers],0),0)</f>
        <v>32873713915</v>
      </c>
    </row>
    <row r="36" spans="1:14" s="31" customFormat="1" x14ac:dyDescent="0.25">
      <c r="A36" s="79" t="s">
        <v>128</v>
      </c>
      <c r="B36" s="13" t="s">
        <v>182</v>
      </c>
      <c r="C36" s="14" t="s">
        <v>11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Percentage_dist_journeys_by_mode_and_distance_to_2km[#All],MATCH(A36, Percentage_dist_journeys_by_mode_and_distance_to_2km[#Headers],0),0)/100</f>
        <v>0</v>
      </c>
      <c r="F36" s="4">
        <f>IF(B36="2-4 kilometres",1,0)*VLOOKUP(C36, Percentage_dist_journeys_by_mode_and_distance_2_to_4km[#All],MATCH(A36, Percentage_dist_journeys_by_mode_and_distance_2_to_4km[#Headers],0),0)/100</f>
        <v>0</v>
      </c>
      <c r="G36" s="72">
        <f>IF(B36="4-6 kilometres",1,0)*VLOOKUP(C36, Percentage_dist_journeys_by_mode_and_distance_4_to_6km[#All],MATCH(A36, Percentage_dist_journeys_by_mode_and_distance_4_to_6km[#Headers],0),0)/100</f>
        <v>0</v>
      </c>
      <c r="H36" s="4">
        <f>IF(B36="6-8 kilometres",1,0)*VLOOKUP(C36, Percentage_dist_journeys_by_mode_and_distance_6_to_8km[#All],MATCH(A36, Percentage_dist_journeys_by_mode_and_distance_6_to_8km[#Headers],0),0)/100</f>
        <v>0</v>
      </c>
      <c r="I36" s="72">
        <f>IF(B36="8+ kilometres",1,0)*VLOOKUP(C36, Percentage_dist_journeys_by_mode_and_distance_8km[#All],MATCH(A36, Percentage_dist_journeys_by_mode_and_distance_8km[#Headers],0),0)/100</f>
        <v>0</v>
      </c>
      <c r="J36" s="73">
        <f>VLOOKUP(B36,Average_Distance_by_kilometre_grouping_for_mode_type[#All],MATCH(A36,Average_Distance_by_kilometre_grouping_for_mode_type[#Headers],0),0)</f>
        <v>7</v>
      </c>
      <c r="K36" s="77">
        <f>VLOOKUP(C36, Adjustment_factor_for_distance_based_on_mode[#All],MATCH(A36, Adjustment_factor_for_distance_based_on_mode[#Headers],0),0)</f>
        <v>0</v>
      </c>
      <c r="L36" s="78">
        <f>VLOOKUP($L$2, Total_Journeys_Per_Year[#All],MATCH(A36, Total_Journeys_Per_Year[#Headers],0),0)</f>
        <v>4007543571.4285707</v>
      </c>
      <c r="M36" s="35">
        <f t="shared" si="0"/>
        <v>0</v>
      </c>
      <c r="N36" s="35">
        <f>VLOOKUP($N$2, Private_Vehicle_Kilometres_Car_Stock[#All],MATCH(A36, Private_Vehicle_Kilometres_Car_Stock[#Headers],0),0)</f>
        <v>32873713915</v>
      </c>
    </row>
    <row r="37" spans="1:14" s="31" customFormat="1" x14ac:dyDescent="0.25">
      <c r="A37" s="79" t="s">
        <v>128</v>
      </c>
      <c r="B37" s="13" t="s">
        <v>1</v>
      </c>
      <c r="C37" s="14" t="s">
        <v>11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Percentage_dist_journeys_by_mode_and_distance_to_2km[#All],MATCH(A37, Percentage_dist_journeys_by_mode_and_distance_to_2km[#Headers],0),0)/100</f>
        <v>0</v>
      </c>
      <c r="F37" s="4">
        <f>IF(B37="2-4 kilometres",1,0)*VLOOKUP(C37, Percentage_dist_journeys_by_mode_and_distance_2_to_4km[#All],MATCH(A37, Percentage_dist_journeys_by_mode_and_distance_2_to_4km[#Headers],0),0)/100</f>
        <v>0</v>
      </c>
      <c r="G37" s="72">
        <f>IF(B37="4-6 kilometres",1,0)*VLOOKUP(C37, Percentage_dist_journeys_by_mode_and_distance_4_to_6km[#All],MATCH(A37, Percentage_dist_journeys_by_mode_and_distance_4_to_6km[#Headers],0),0)/100</f>
        <v>0</v>
      </c>
      <c r="H37" s="4">
        <f>IF(B37="6-8 kilometres",1,0)*VLOOKUP(C37, Percentage_dist_journeys_by_mode_and_distance_6_to_8km[#All],MATCH(A37, Percentage_dist_journeys_by_mode_and_distance_6_to_8km[#Headers],0),0)/100</f>
        <v>0</v>
      </c>
      <c r="I37" s="72">
        <f>IF(B37="8+ kilometres",1,0)*VLOOKUP(C37, Percentage_dist_journeys_by_mode_and_distance_8km[#All],MATCH(A37, Percentage_dist_journeys_by_mode_and_distance_8km[#Headers],0),0)/100</f>
        <v>0</v>
      </c>
      <c r="J37" s="73">
        <f>VLOOKUP(B37,Average_Distance_by_kilometre_grouping_for_mode_type[#All],MATCH(A37,Average_Distance_by_kilometre_grouping_for_mode_type[#Headers],0),0)</f>
        <v>30.1</v>
      </c>
      <c r="K37" s="77">
        <f>VLOOKUP(C37, Adjustment_factor_for_distance_based_on_mode[#All],MATCH(A37, Adjustment_factor_for_distance_based_on_mode[#Headers],0),0)</f>
        <v>0</v>
      </c>
      <c r="L37" s="78">
        <f>VLOOKUP($L$2, Total_Journeys_Per_Year[#All],MATCH(A37, Total_Journeys_Per_Year[#Headers],0),0)</f>
        <v>4007543571.4285707</v>
      </c>
      <c r="M37" s="35">
        <f t="shared" si="0"/>
        <v>0</v>
      </c>
      <c r="N37" s="35">
        <f>VLOOKUP($N$2, Private_Vehicle_Kilometres_Car_Stock[#All],MATCH(A37, Private_Vehicle_Kilometres_Car_Stock[#Headers],0),0)</f>
        <v>32873713915</v>
      </c>
    </row>
    <row r="38" spans="1:14" s="31" customFormat="1" x14ac:dyDescent="0.25">
      <c r="A38" s="79" t="s">
        <v>128</v>
      </c>
      <c r="B38" s="13" t="s">
        <v>12</v>
      </c>
      <c r="C38" s="14" t="s">
        <v>90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Percentage_dist_journeys_by_mode_and_distance_to_2km[#All],MATCH(A38, Percentage_dist_journeys_by_mode_and_distance_to_2km[#Headers],0),0)/100</f>
        <v>0.02</v>
      </c>
      <c r="F38" s="4">
        <f>IF(B38="2-4 kilometres",1,0)*VLOOKUP(C38, Percentage_dist_journeys_by_mode_and_distance_2_to_4km[#All],MATCH(A38, Percentage_dist_journeys_by_mode_and_distance_2_to_4km[#Headers],0),0)/100</f>
        <v>0</v>
      </c>
      <c r="G38" s="72">
        <f>IF(B38="4-6 kilometres",1,0)*VLOOKUP(C38, Percentage_dist_journeys_by_mode_and_distance_4_to_6km[#All],MATCH(A38, Percentage_dist_journeys_by_mode_and_distance_4_to_6km[#Headers],0),0)/100</f>
        <v>0</v>
      </c>
      <c r="H38" s="4">
        <f>IF(B38="6-8 kilometres",1,0)*VLOOKUP(C38, Percentage_dist_journeys_by_mode_and_distance_6_to_8km[#All],MATCH(A38, Percentage_dist_journeys_by_mode_and_distance_6_to_8km[#Headers],0),0)/100</f>
        <v>0</v>
      </c>
      <c r="I38" s="72">
        <f>IF(B38="8+ kilometres",1,0)*VLOOKUP(C38, Percentage_dist_journeys_by_mode_and_distance_8km[#All],MATCH(A38, Percentage_dist_journeys_by_mode_and_distance_8km[#Headers],0),0)/100</f>
        <v>0</v>
      </c>
      <c r="J38" s="73">
        <f>VLOOKUP(B38,Average_Distance_by_kilometre_grouping_for_mode_type[#All],MATCH(A38,Average_Distance_by_kilometre_grouping_for_mode_type[#Headers],0),0)</f>
        <v>1</v>
      </c>
      <c r="K38" s="77">
        <f>VLOOKUP(C38, Adjustment_factor_for_distance_based_on_mode[#All],MATCH(A38, Adjustment_factor_for_distance_based_on_mode[#Headers],0),0)</f>
        <v>1.5714285714285714</v>
      </c>
      <c r="L38" s="78">
        <f>VLOOKUP($L$2, Total_Journeys_Per_Year[#All],MATCH(A38, Total_Journeys_Per_Year[#Headers],0),0)</f>
        <v>4007543571.4285707</v>
      </c>
      <c r="M38" s="35">
        <f t="shared" si="0"/>
        <v>27709301.265306119</v>
      </c>
      <c r="N38" s="35">
        <f>VLOOKUP($N$2, Private_Vehicle_Kilometres_Car_Stock[#All],MATCH(A38, Private_Vehicle_Kilometres_Car_Stock[#Headers],0),0)</f>
        <v>32873713915</v>
      </c>
    </row>
    <row r="39" spans="1:14" s="31" customFormat="1" x14ac:dyDescent="0.25">
      <c r="A39" s="79" t="s">
        <v>128</v>
      </c>
      <c r="B39" s="13" t="s">
        <v>181</v>
      </c>
      <c r="C39" s="14" t="s">
        <v>90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Percentage_dist_journeys_by_mode_and_distance_to_2km[#All],MATCH(A39, Percentage_dist_journeys_by_mode_and_distance_to_2km[#Headers],0),0)/100</f>
        <v>0</v>
      </c>
      <c r="F39" s="4">
        <f>IF(B39="2-4 kilometres",1,0)*VLOOKUP(C39, Percentage_dist_journeys_by_mode_and_distance_2_to_4km[#All],MATCH(A39, Percentage_dist_journeys_by_mode_and_distance_2_to_4km[#Headers],0),0)/100</f>
        <v>3.9603960396039604E-2</v>
      </c>
      <c r="G39" s="72">
        <f>IF(B39="4-6 kilometres",1,0)*VLOOKUP(C39, Percentage_dist_journeys_by_mode_and_distance_4_to_6km[#All],MATCH(A39, Percentage_dist_journeys_by_mode_and_distance_4_to_6km[#Headers],0),0)/100</f>
        <v>0</v>
      </c>
      <c r="H39" s="4">
        <f>IF(B39="6-8 kilometres",1,0)*VLOOKUP(C39, Percentage_dist_journeys_by_mode_and_distance_6_to_8km[#All],MATCH(A39, Percentage_dist_journeys_by_mode_and_distance_6_to_8km[#Headers],0),0)/100</f>
        <v>0</v>
      </c>
      <c r="I39" s="72">
        <f>IF(B39="8+ kilometres",1,0)*VLOOKUP(C39, Percentage_dist_journeys_by_mode_and_distance_8km[#All],MATCH(A39, Percentage_dist_journeys_by_mode_and_distance_8km[#Headers],0),0)/100</f>
        <v>0</v>
      </c>
      <c r="J39" s="73">
        <f>VLOOKUP(B39,Average_Distance_by_kilometre_grouping_for_mode_type[#All],MATCH(A39,Average_Distance_by_kilometre_grouping_for_mode_type[#Headers],0),0)</f>
        <v>3</v>
      </c>
      <c r="K39" s="77">
        <f>VLOOKUP(C39, Adjustment_factor_for_distance_based_on_mode[#All],MATCH(A39, Adjustment_factor_for_distance_based_on_mode[#Headers],0),0)</f>
        <v>1.5714285714285714</v>
      </c>
      <c r="L39" s="78">
        <f>VLOOKUP($L$2, Total_Journeys_Per_Year[#All],MATCH(A39, Total_Journeys_Per_Year[#Headers],0),0)</f>
        <v>4007543571.4285707</v>
      </c>
      <c r="M39" s="35">
        <f t="shared" si="0"/>
        <v>142162931.78419882</v>
      </c>
      <c r="N39" s="35">
        <f>VLOOKUP($N$2, Private_Vehicle_Kilometres_Car_Stock[#All],MATCH(A39, Private_Vehicle_Kilometres_Car_Stock[#Headers],0),0)</f>
        <v>32873713915</v>
      </c>
    </row>
    <row r="40" spans="1:14" s="31" customFormat="1" x14ac:dyDescent="0.25">
      <c r="A40" s="79" t="s">
        <v>128</v>
      </c>
      <c r="B40" s="13" t="s">
        <v>180</v>
      </c>
      <c r="C40" s="14" t="s">
        <v>90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Percentage_dist_journeys_by_mode_and_distance_to_2km[#All],MATCH(A40, Percentage_dist_journeys_by_mode_and_distance_to_2km[#Headers],0),0)/100</f>
        <v>0</v>
      </c>
      <c r="F40" s="4">
        <f>IF(B40="2-4 kilometres",1,0)*VLOOKUP(C40, Percentage_dist_journeys_by_mode_and_distance_2_to_4km[#All],MATCH(A40, Percentage_dist_journeys_by_mode_and_distance_2_to_4km[#Headers],0),0)/100</f>
        <v>0</v>
      </c>
      <c r="G40" s="72">
        <f>IF(B40="4-6 kilometres",1,0)*VLOOKUP(C40, Percentage_dist_journeys_by_mode_and_distance_4_to_6km[#All],MATCH(A40, Percentage_dist_journeys_by_mode_and_distance_4_to_6km[#Headers],0),0)/100</f>
        <v>3.0303030303030304E-2</v>
      </c>
      <c r="H40" s="4">
        <f>IF(B40="6-8 kilometres",1,0)*VLOOKUP(C40, Percentage_dist_journeys_by_mode_and_distance_6_to_8km[#All],MATCH(A40, Percentage_dist_journeys_by_mode_and_distance_6_to_8km[#Headers],0),0)/100</f>
        <v>0</v>
      </c>
      <c r="I40" s="72">
        <f>IF(B40="8+ kilometres",1,0)*VLOOKUP(C40, Percentage_dist_journeys_by_mode_and_distance_8km[#All],MATCH(A40, Percentage_dist_journeys_by_mode_and_distance_8km[#Headers],0),0)/100</f>
        <v>0</v>
      </c>
      <c r="J40" s="73">
        <f>VLOOKUP(B40,Average_Distance_by_kilometre_grouping_for_mode_type[#All],MATCH(A40,Average_Distance_by_kilometre_grouping_for_mode_type[#Headers],0),0)</f>
        <v>5</v>
      </c>
      <c r="K40" s="77">
        <f>VLOOKUP(C40, Adjustment_factor_for_distance_based_on_mode[#All],MATCH(A40, Adjustment_factor_for_distance_based_on_mode[#Headers],0),0)</f>
        <v>1.5714285714285714</v>
      </c>
      <c r="L40" s="78">
        <f>VLOOKUP($L$2, Total_Journeys_Per_Year[#All],MATCH(A40, Total_Journeys_Per_Year[#Headers],0),0)</f>
        <v>4007543571.4285707</v>
      </c>
      <c r="M40" s="35">
        <f t="shared" si="0"/>
        <v>104959474.48979591</v>
      </c>
      <c r="N40" s="35">
        <f>VLOOKUP($N$2, Private_Vehicle_Kilometres_Car_Stock[#All],MATCH(A40, Private_Vehicle_Kilometres_Car_Stock[#Headers],0),0)</f>
        <v>32873713915</v>
      </c>
    </row>
    <row r="41" spans="1:14" s="31" customFormat="1" x14ac:dyDescent="0.25">
      <c r="A41" s="79" t="s">
        <v>128</v>
      </c>
      <c r="B41" s="13" t="s">
        <v>182</v>
      </c>
      <c r="C41" s="14" t="s">
        <v>90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Percentage_dist_journeys_by_mode_and_distance_to_2km[#All],MATCH(A41, Percentage_dist_journeys_by_mode_and_distance_to_2km[#Headers],0),0)/100</f>
        <v>0</v>
      </c>
      <c r="F41" s="4">
        <f>IF(B41="2-4 kilometres",1,0)*VLOOKUP(C41, Percentage_dist_journeys_by_mode_and_distance_2_to_4km[#All],MATCH(A41, Percentage_dist_journeys_by_mode_and_distance_2_to_4km[#Headers],0),0)/100</f>
        <v>0</v>
      </c>
      <c r="G41" s="72">
        <f>IF(B41="4-6 kilometres",1,0)*VLOOKUP(C41, Percentage_dist_journeys_by_mode_and_distance_4_to_6km[#All],MATCH(A41, Percentage_dist_journeys_by_mode_and_distance_4_to_6km[#Headers],0),0)/100</f>
        <v>0</v>
      </c>
      <c r="H41" s="4">
        <f>IF(B41="6-8 kilometres",1,0)*VLOOKUP(C41, Percentage_dist_journeys_by_mode_and_distance_6_to_8km[#All],MATCH(A41, Percentage_dist_journeys_by_mode_and_distance_6_to_8km[#Headers],0),0)/100</f>
        <v>6.0606060606060608E-2</v>
      </c>
      <c r="I41" s="72">
        <f>IF(B41="8+ kilometres",1,0)*VLOOKUP(C41, Percentage_dist_journeys_by_mode_and_distance_8km[#All],MATCH(A41, Percentage_dist_journeys_by_mode_and_distance_8km[#Headers],0),0)/100</f>
        <v>0</v>
      </c>
      <c r="J41" s="73">
        <f>VLOOKUP(B41,Average_Distance_by_kilometre_grouping_for_mode_type[#All],MATCH(A41,Average_Distance_by_kilometre_grouping_for_mode_type[#Headers],0),0)</f>
        <v>7</v>
      </c>
      <c r="K41" s="77">
        <f>VLOOKUP(C41, Adjustment_factor_for_distance_based_on_mode[#All],MATCH(A41, Adjustment_factor_for_distance_based_on_mode[#Headers],0),0)</f>
        <v>1.5714285714285714</v>
      </c>
      <c r="L41" s="78">
        <f>VLOOKUP($L$2, Total_Journeys_Per_Year[#All],MATCH(A41, Total_Journeys_Per_Year[#Headers],0),0)</f>
        <v>4007543571.4285707</v>
      </c>
      <c r="M41" s="35">
        <f t="shared" si="0"/>
        <v>160301742.85714284</v>
      </c>
      <c r="N41" s="35">
        <f>VLOOKUP($N$2, Private_Vehicle_Kilometres_Car_Stock[#All],MATCH(A41, Private_Vehicle_Kilometres_Car_Stock[#Headers],0),0)</f>
        <v>32873713915</v>
      </c>
    </row>
    <row r="42" spans="1:14" s="31" customFormat="1" x14ac:dyDescent="0.25">
      <c r="A42" s="79" t="s">
        <v>128</v>
      </c>
      <c r="B42" s="13" t="s">
        <v>1</v>
      </c>
      <c r="C42" s="14" t="s">
        <v>90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Percentage_dist_journeys_by_mode_and_distance_to_2km[#All],MATCH(A42, Percentage_dist_journeys_by_mode_and_distance_to_2km[#Headers],0),0)/100</f>
        <v>0</v>
      </c>
      <c r="F42" s="4">
        <f>IF(B42="2-4 kilometres",1,0)*VLOOKUP(C42, Percentage_dist_journeys_by_mode_and_distance_2_to_4km[#All],MATCH(A42, Percentage_dist_journeys_by_mode_and_distance_2_to_4km[#Headers],0),0)/100</f>
        <v>0</v>
      </c>
      <c r="G42" s="72">
        <f>IF(B42="4-6 kilometres",1,0)*VLOOKUP(C42, Percentage_dist_journeys_by_mode_and_distance_4_to_6km[#All],MATCH(A42, Percentage_dist_journeys_by_mode_and_distance_4_to_6km[#Headers],0),0)/100</f>
        <v>0</v>
      </c>
      <c r="H42" s="4">
        <f>IF(B42="6-8 kilometres",1,0)*VLOOKUP(C42, Percentage_dist_journeys_by_mode_and_distance_6_to_8km[#All],MATCH(A42, Percentage_dist_journeys_by_mode_and_distance_6_to_8km[#Headers],0),0)/100</f>
        <v>0</v>
      </c>
      <c r="I42" s="72">
        <f>IF(B42="8+ kilometres",1,0)*VLOOKUP(C42, Percentage_dist_journeys_by_mode_and_distance_8km[#All],MATCH(A42, Percentage_dist_journeys_by_mode_and_distance_8km[#Headers],0),0)/100</f>
        <v>7.0000000000000007E-2</v>
      </c>
      <c r="J42" s="73">
        <f>VLOOKUP(B42,Average_Distance_by_kilometre_grouping_for_mode_type[#All],MATCH(A42,Average_Distance_by_kilometre_grouping_for_mode_type[#Headers],0),0)</f>
        <v>30.1</v>
      </c>
      <c r="K42" s="77">
        <f>VLOOKUP(C42, Adjustment_factor_for_distance_based_on_mode[#All],MATCH(A42, Adjustment_factor_for_distance_based_on_mode[#Headers],0),0)</f>
        <v>1.5714285714285714</v>
      </c>
      <c r="L42" s="78">
        <f>VLOOKUP($L$2, Total_Journeys_Per_Year[#All],MATCH(A42, Total_Journeys_Per_Year[#Headers],0),0)</f>
        <v>4007543571.4285707</v>
      </c>
      <c r="M42" s="35">
        <f t="shared" si="0"/>
        <v>5440280473.6499987</v>
      </c>
      <c r="N42" s="35">
        <f>VLOOKUP($N$2, Private_Vehicle_Kilometres_Car_Stock[#All],MATCH(A42, Private_Vehicle_Kilometres_Car_Stock[#Headers],0),0)</f>
        <v>32873713915</v>
      </c>
    </row>
    <row r="43" spans="1:14" x14ac:dyDescent="0.25">
      <c r="A43" s="79" t="s">
        <v>32</v>
      </c>
      <c r="B43" s="13" t="s">
        <v>12</v>
      </c>
      <c r="C43" s="14" t="s">
        <v>5</v>
      </c>
      <c r="D43" s="5">
        <f>VLOOKUP(B43,Percentage_distribution_of_journey_distance_for_all_regions[#All],MATCH(A43,Percentage_distribution_of_journey_distance_for_all_regions[#Headers],0),0)/100</f>
        <v>0.223</v>
      </c>
      <c r="E43" s="71">
        <f>IF(B43="&lt;2 kilometres",1,0)*VLOOKUP(C43, Percentage_dist_journeys_by_mode_and_distance_to_2km[#All],MATCH(A43, Percentage_dist_journeys_by_mode_and_distance_to_2km[#Headers],0),0)/100</f>
        <v>0.51900000000000002</v>
      </c>
      <c r="F43" s="4">
        <f>IF(B43="2-4 kilometres",1,0)*VLOOKUP(C43, Percentage_dist_journeys_by_mode_and_distance_2_to_4km[#All],MATCH(A43, Percentage_dist_journeys_by_mode_and_distance_2_to_4km[#Headers],0),0)/100</f>
        <v>0</v>
      </c>
      <c r="G43" s="72">
        <f>IF(B43="4-6 kilometres",1,0)*VLOOKUP(C43, Percentage_dist_journeys_by_mode_and_distance_4_to_6km[#All],MATCH(A43, Percentage_dist_journeys_by_mode_and_distance_4_to_6km[#Headers],0),0)/100</f>
        <v>0</v>
      </c>
      <c r="H43" s="4">
        <f>IF(B43="6-8 kilometres",1,0)*VLOOKUP(C43, Percentage_dist_journeys_by_mode_and_distance_6_to_8km[#All],MATCH(A43, Percentage_dist_journeys_by_mode_and_distance_6_to_8km[#Headers],0),0)/100</f>
        <v>0</v>
      </c>
      <c r="I43" s="72">
        <f>IF(B43="8+ kilometres",1,0)*VLOOKUP(C43, Percentage_dist_journeys_by_mode_and_distance_8km[#All],MATCH(A43, Percentage_dist_journeys_by_mode_and_distance_8km[#Headers],0),0)/100</f>
        <v>0</v>
      </c>
      <c r="J43" s="73">
        <f>VLOOKUP(B43,Average_Distance_by_kilometre_grouping_for_mode_type[#All],MATCH(A43,Average_Distance_by_kilometre_grouping_for_mode_type[#Headers],0),0)</f>
        <v>1</v>
      </c>
      <c r="K43" s="77">
        <f>VLOOKUP(C43, Adjustment_factor_for_distance_based_on_mode[#All],MATCH(A43, Adjustment_factor_for_distance_based_on_mode[#Headers],0),0)</f>
        <v>1</v>
      </c>
      <c r="L43" s="78">
        <f>VLOOKUP($L$2, Total_Journeys_Per_Year[#All],MATCH(A43, Total_Journeys_Per_Year[#Headers],0),0)</f>
        <v>3165688023.0367908</v>
      </c>
      <c r="M43" s="35">
        <f t="shared" si="0"/>
        <v>366387234.7222091</v>
      </c>
      <c r="N43" s="35">
        <f>VLOOKUP($N$2, Private_Vehicle_Kilometres_Car_Stock[#All],MATCH(A43, Private_Vehicle_Kilometres_Car_Stock[#Headers],0),0)</f>
        <v>29535056173</v>
      </c>
    </row>
    <row r="44" spans="1:14" x14ac:dyDescent="0.25">
      <c r="A44" s="79" t="s">
        <v>32</v>
      </c>
      <c r="B44" s="13" t="s">
        <v>181</v>
      </c>
      <c r="C44" s="14" t="s">
        <v>5</v>
      </c>
      <c r="D44" s="5">
        <f>VLOOKUP(B44,Percentage_distribution_of_journey_distance_for_all_regions[#All],MATCH(A44,Percentage_distribution_of_journey_distance_for_all_regions[#Headers],0),0)/100</f>
        <v>0.182</v>
      </c>
      <c r="E44" s="71">
        <f>IF(B44="&lt;2 kilometres",1,0)*VLOOKUP(C44, Percentage_dist_journeys_by_mode_and_distance_to_2km[#All],MATCH(A44, Percentage_dist_journeys_by_mode_and_distance_to_2km[#Headers],0),0)/100</f>
        <v>0</v>
      </c>
      <c r="F44" s="4">
        <f>IF(B44="2-4 kilometres",1,0)*VLOOKUP(C44, Percentage_dist_journeys_by_mode_and_distance_2_to_4km[#All],MATCH(A44, Percentage_dist_journeys_by_mode_and_distance_2_to_4km[#Headers],0),0)/100</f>
        <v>0.69499999999999995</v>
      </c>
      <c r="G44" s="72">
        <f>IF(B44="4-6 kilometres",1,0)*VLOOKUP(C44, Percentage_dist_journeys_by_mode_and_distance_4_to_6km[#All],MATCH(A44, Percentage_dist_journeys_by_mode_and_distance_4_to_6km[#Headers],0),0)/100</f>
        <v>0</v>
      </c>
      <c r="H44" s="4">
        <f>IF(B44="6-8 kilometres",1,0)*VLOOKUP(C44, Percentage_dist_journeys_by_mode_and_distance_6_to_8km[#All],MATCH(A44, Percentage_dist_journeys_by_mode_and_distance_6_to_8km[#Headers],0),0)/100</f>
        <v>0</v>
      </c>
      <c r="I44" s="72">
        <f>IF(B44="8+ kilometres",1,0)*VLOOKUP(C44, Percentage_dist_journeys_by_mode_and_distance_8km[#All],MATCH(A44, Percentage_dist_journeys_by_mode_and_distance_8km[#Headers],0),0)/100</f>
        <v>0</v>
      </c>
      <c r="J44" s="73">
        <f>VLOOKUP(B44,Average_Distance_by_kilometre_grouping_for_mode_type[#All],MATCH(A44,Average_Distance_by_kilometre_grouping_for_mode_type[#Headers],0),0)</f>
        <v>3</v>
      </c>
      <c r="K44" s="77">
        <f>VLOOKUP(C44, Adjustment_factor_for_distance_based_on_mode[#All],MATCH(A44, Adjustment_factor_for_distance_based_on_mode[#Headers],0),0)</f>
        <v>1</v>
      </c>
      <c r="L44" s="78">
        <f>VLOOKUP($L$2, Total_Journeys_Per_Year[#All],MATCH(A44, Total_Journeys_Per_Year[#Headers],0),0)</f>
        <v>3165688023.0367908</v>
      </c>
      <c r="M44" s="35">
        <f t="shared" si="0"/>
        <v>1201283634.1017709</v>
      </c>
      <c r="N44" s="35">
        <f>VLOOKUP($N$2, Private_Vehicle_Kilometres_Car_Stock[#All],MATCH(A44, Private_Vehicle_Kilometres_Car_Stock[#Headers],0),0)</f>
        <v>29535056173</v>
      </c>
    </row>
    <row r="45" spans="1:14" x14ac:dyDescent="0.25">
      <c r="A45" s="79" t="s">
        <v>32</v>
      </c>
      <c r="B45" s="13" t="s">
        <v>180</v>
      </c>
      <c r="C45" s="14" t="s">
        <v>5</v>
      </c>
      <c r="D45" s="5">
        <f>VLOOKUP(B45,Percentage_distribution_of_journey_distance_for_all_regions[#All],MATCH(A45,Percentage_distribution_of_journey_distance_for_all_regions[#Headers],0),0)/100</f>
        <v>0.11699999999999999</v>
      </c>
      <c r="E45" s="71">
        <f>IF(B45="&lt;2 kilometres",1,0)*VLOOKUP(C45, Percentage_dist_journeys_by_mode_and_distance_to_2km[#All],MATCH(A45, Percentage_dist_journeys_by_mode_and_distance_to_2km[#Headers],0),0)/100</f>
        <v>0</v>
      </c>
      <c r="F45" s="4">
        <f>IF(B45="2-4 kilometres",1,0)*VLOOKUP(C45, Percentage_dist_journeys_by_mode_and_distance_2_to_4km[#All],MATCH(A45, Percentage_dist_journeys_by_mode_and_distance_2_to_4km[#Headers],0),0)/100</f>
        <v>0</v>
      </c>
      <c r="G45" s="72">
        <f>IF(B45="4-6 kilometres",1,0)*VLOOKUP(C45, Percentage_dist_journeys_by_mode_and_distance_4_to_6km[#All],MATCH(A45, Percentage_dist_journeys_by_mode_and_distance_4_to_6km[#Headers],0),0)/100</f>
        <v>0.72599999999999998</v>
      </c>
      <c r="H45" s="4">
        <f>IF(B45="6-8 kilometres",1,0)*VLOOKUP(C45, Percentage_dist_journeys_by_mode_and_distance_6_to_8km[#All],MATCH(A45, Percentage_dist_journeys_by_mode_and_distance_6_to_8km[#Headers],0),0)/100</f>
        <v>0</v>
      </c>
      <c r="I45" s="72">
        <f>IF(B45="8+ kilometres",1,0)*VLOOKUP(C45, Percentage_dist_journeys_by_mode_and_distance_8km[#All],MATCH(A45, Percentage_dist_journeys_by_mode_and_distance_8km[#Headers],0),0)/100</f>
        <v>0</v>
      </c>
      <c r="J45" s="73">
        <f>VLOOKUP(B45,Average_Distance_by_kilometre_grouping_for_mode_type[#All],MATCH(A45,Average_Distance_by_kilometre_grouping_for_mode_type[#Headers],0),0)</f>
        <v>5</v>
      </c>
      <c r="K45" s="77">
        <f>VLOOKUP(C45, Adjustment_factor_for_distance_based_on_mode[#All],MATCH(A45, Adjustment_factor_for_distance_based_on_mode[#Headers],0),0)</f>
        <v>1</v>
      </c>
      <c r="L45" s="78">
        <f>VLOOKUP($L$2, Total_Journeys_Per_Year[#All],MATCH(A45, Total_Journeys_Per_Year[#Headers],0),0)</f>
        <v>3165688023.0367908</v>
      </c>
      <c r="M45" s="35">
        <f t="shared" si="0"/>
        <v>1344499360.2639551</v>
      </c>
      <c r="N45" s="35">
        <f>VLOOKUP($N$2, Private_Vehicle_Kilometres_Car_Stock[#All],MATCH(A45, Private_Vehicle_Kilometres_Car_Stock[#Headers],0),0)</f>
        <v>29535056173</v>
      </c>
    </row>
    <row r="46" spans="1:14" x14ac:dyDescent="0.25">
      <c r="A46" s="79" t="s">
        <v>32</v>
      </c>
      <c r="B46" s="13" t="s">
        <v>182</v>
      </c>
      <c r="C46" s="14" t="s">
        <v>5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Percentage_dist_journeys_by_mode_and_distance_to_2km[#All],MATCH(A46, Percentage_dist_journeys_by_mode_and_distance_to_2km[#Headers],0),0)/100</f>
        <v>0</v>
      </c>
      <c r="F46" s="4">
        <f>IF(B46="2-4 kilometres",1,0)*VLOOKUP(C46, Percentage_dist_journeys_by_mode_and_distance_2_to_4km[#All],MATCH(A46, Percentage_dist_journeys_by_mode_and_distance_2_to_4km[#Headers],0),0)/100</f>
        <v>0</v>
      </c>
      <c r="G46" s="72">
        <f>IF(B46="4-6 kilometres",1,0)*VLOOKUP(C46, Percentage_dist_journeys_by_mode_and_distance_4_to_6km[#All],MATCH(A46, Percentage_dist_journeys_by_mode_and_distance_4_to_6km[#Headers],0),0)/100</f>
        <v>0</v>
      </c>
      <c r="H46" s="4">
        <f>IF(B46="6-8 kilometres",1,0)*VLOOKUP(C46, Percentage_dist_journeys_by_mode_and_distance_6_to_8km[#All],MATCH(A46, Percentage_dist_journeys_by_mode_and_distance_6_to_8km[#Headers],0),0)/100</f>
        <v>0.73099999999999998</v>
      </c>
      <c r="I46" s="72">
        <f>IF(B46="8+ kilometres",1,0)*VLOOKUP(C46, Percentage_dist_journeys_by_mode_and_distance_8km[#All],MATCH(A46, Percentage_dist_journeys_by_mode_and_distance_8km[#Headers],0),0)/100</f>
        <v>0</v>
      </c>
      <c r="J46" s="73">
        <f>VLOOKUP(B46,Average_Distance_by_kilometre_grouping_for_mode_type[#All],MATCH(A46,Average_Distance_by_kilometre_grouping_for_mode_type[#Headers],0),0)</f>
        <v>7</v>
      </c>
      <c r="K46" s="77">
        <f>VLOOKUP(C46, Adjustment_factor_for_distance_based_on_mode[#All],MATCH(A46, Adjustment_factor_for_distance_based_on_mode[#Headers],0),0)</f>
        <v>1</v>
      </c>
      <c r="L46" s="78">
        <f>VLOOKUP($L$2, Total_Journeys_Per_Year[#All],MATCH(A46, Total_Journeys_Per_Year[#Headers],0),0)</f>
        <v>3165688023.0367908</v>
      </c>
      <c r="M46" s="35">
        <f t="shared" si="0"/>
        <v>971929536.83275545</v>
      </c>
      <c r="N46" s="35">
        <f>VLOOKUP($N$2, Private_Vehicle_Kilometres_Car_Stock[#All],MATCH(A46, Private_Vehicle_Kilometres_Car_Stock[#Headers],0),0)</f>
        <v>29535056173</v>
      </c>
    </row>
    <row r="47" spans="1:14" x14ac:dyDescent="0.25">
      <c r="A47" s="79" t="s">
        <v>32</v>
      </c>
      <c r="B47" s="13" t="s">
        <v>1</v>
      </c>
      <c r="C47" s="14" t="s">
        <v>5</v>
      </c>
      <c r="D47" s="5">
        <f>VLOOKUP(B47,Percentage_distribution_of_journey_distance_for_all_regions[#All],MATCH(A47,Percentage_distribution_of_journey_distance_for_all_regions[#Headers],0),0)/100</f>
        <v>0.41899999999999998</v>
      </c>
      <c r="E47" s="71">
        <f>IF(B47="&lt;2 kilometres",1,0)*VLOOKUP(C47, Percentage_dist_journeys_by_mode_and_distance_to_2km[#All],MATCH(A47, Percentage_dist_journeys_by_mode_and_distance_to_2km[#Headers],0),0)/100</f>
        <v>0</v>
      </c>
      <c r="F47" s="4">
        <f>IF(B47="2-4 kilometres",1,0)*VLOOKUP(C47, Percentage_dist_journeys_by_mode_and_distance_2_to_4km[#All],MATCH(A47, Percentage_dist_journeys_by_mode_and_distance_2_to_4km[#Headers],0),0)/100</f>
        <v>0</v>
      </c>
      <c r="G47" s="72">
        <f>IF(B47="4-6 kilometres",1,0)*VLOOKUP(C47, Percentage_dist_journeys_by_mode_and_distance_4_to_6km[#All],MATCH(A47, Percentage_dist_journeys_by_mode_and_distance_4_to_6km[#Headers],0),0)/100</f>
        <v>0</v>
      </c>
      <c r="H47" s="4">
        <f>IF(B47="6-8 kilometres",1,0)*VLOOKUP(C47, Percentage_dist_journeys_by_mode_and_distance_6_to_8km[#All],MATCH(A47, Percentage_dist_journeys_by_mode_and_distance_6_to_8km[#Headers],0),0)/100</f>
        <v>0</v>
      </c>
      <c r="I47" s="72">
        <f>IF(B47="8+ kilometres",1,0)*VLOOKUP(C47, Percentage_dist_journeys_by_mode_and_distance_8km[#All],MATCH(A47, Percentage_dist_journeys_by_mode_and_distance_8km[#Headers],0),0)/100</f>
        <v>0.79700000000000004</v>
      </c>
      <c r="J47" s="73">
        <f>VLOOKUP(B47,Average_Distance_by_kilometre_grouping_for_mode_type[#All],MATCH(A47,Average_Distance_by_kilometre_grouping_for_mode_type[#Headers],0),0)</f>
        <v>31.75</v>
      </c>
      <c r="K47" s="77">
        <f>VLOOKUP(C47, Adjustment_factor_for_distance_based_on_mode[#All],MATCH(A47, Adjustment_factor_for_distance_based_on_mode[#Headers],0),0)</f>
        <v>1</v>
      </c>
      <c r="L47" s="78">
        <f>VLOOKUP($L$2, Total_Journeys_Per_Year[#All],MATCH(A47, Total_Journeys_Per_Year[#Headers],0),0)</f>
        <v>3165688023.0367908</v>
      </c>
      <c r="M47" s="35">
        <f t="shared" si="0"/>
        <v>33564809536.393959</v>
      </c>
      <c r="N47" s="35">
        <f>VLOOKUP($N$2, Private_Vehicle_Kilometres_Car_Stock[#All],MATCH(A47, Private_Vehicle_Kilometres_Car_Stock[#Headers],0),0)</f>
        <v>29535056173</v>
      </c>
    </row>
    <row r="48" spans="1:14" x14ac:dyDescent="0.25">
      <c r="A48" s="79" t="s">
        <v>32</v>
      </c>
      <c r="B48" s="13" t="s">
        <v>12</v>
      </c>
      <c r="C48" s="14" t="s">
        <v>6</v>
      </c>
      <c r="D48" s="5">
        <f>VLOOKUP(B48,Percentage_distribution_of_journey_distance_for_all_regions[#All],MATCH(A48,Percentage_distribution_of_journey_distance_for_all_regions[#Headers],0),0)/100</f>
        <v>0.223</v>
      </c>
      <c r="E48" s="71">
        <f>IF(B48="&lt;2 kilometres",1,0)*VLOOKUP(C48, Percentage_dist_journeys_by_mode_and_distance_to_2km[#All],MATCH(A48, Percentage_dist_journeys_by_mode_and_distance_to_2km[#Headers],0),0)/100</f>
        <v>3.2000000000000001E-2</v>
      </c>
      <c r="F48" s="4">
        <f>IF(B48="2-4 kilometres",1,0)*VLOOKUP(C48, Percentage_dist_journeys_by_mode_and_distance_2_to_4km[#All],MATCH(A48, Percentage_dist_journeys_by_mode_and_distance_2_to_4km[#Headers],0),0)/100</f>
        <v>0</v>
      </c>
      <c r="G48" s="72">
        <f>IF(B48="4-6 kilometres",1,0)*VLOOKUP(C48, Percentage_dist_journeys_by_mode_and_distance_4_to_6km[#All],MATCH(A48, Percentage_dist_journeys_by_mode_and_distance_4_to_6km[#Headers],0),0)/100</f>
        <v>0</v>
      </c>
      <c r="H48" s="4">
        <f>IF(B48="6-8 kilometres",1,0)*VLOOKUP(C48, Percentage_dist_journeys_by_mode_and_distance_6_to_8km[#All],MATCH(A48, Percentage_dist_journeys_by_mode_and_distance_6_to_8km[#Headers],0),0)/100</f>
        <v>0</v>
      </c>
      <c r="I48" s="72">
        <f>IF(B48="8+ kilometres",1,0)*VLOOKUP(C48, Percentage_dist_journeys_by_mode_and_distance_8km[#All],MATCH(A48, Percentage_dist_journeys_by_mode_and_distance_8km[#Headers],0),0)/100</f>
        <v>0</v>
      </c>
      <c r="J48" s="73">
        <f>VLOOKUP(B48,Average_Distance_by_kilometre_grouping_for_mode_type[#All],MATCH(A48,Average_Distance_by_kilometre_grouping_for_mode_type[#Headers],0),0)</f>
        <v>1</v>
      </c>
      <c r="K48" s="77">
        <f>VLOOKUP(C48, Adjustment_factor_for_distance_based_on_mode[#All],MATCH(A48, Adjustment_factor_for_distance_based_on_mode[#Headers],0),0)</f>
        <v>1.7132867132867131</v>
      </c>
      <c r="L48" s="78">
        <f>VLOOKUP($L$2, Total_Journeys_Per_Year[#All],MATCH(A48, Total_Journeys_Per_Year[#Headers],0),0)</f>
        <v>3165688023.0367908</v>
      </c>
      <c r="M48" s="35">
        <f t="shared" si="0"/>
        <v>38703746.04500477</v>
      </c>
      <c r="N48" s="35">
        <f>VLOOKUP($N$2, Private_Vehicle_Kilometres_Car_Stock[#All],MATCH(A48, Private_Vehicle_Kilometres_Car_Stock[#Headers],0),0)</f>
        <v>29535056173</v>
      </c>
    </row>
    <row r="49" spans="1:14" x14ac:dyDescent="0.25">
      <c r="A49" s="79" t="s">
        <v>32</v>
      </c>
      <c r="B49" s="13" t="s">
        <v>181</v>
      </c>
      <c r="C49" s="14" t="s">
        <v>6</v>
      </c>
      <c r="D49" s="5">
        <f>VLOOKUP(B49,Percentage_distribution_of_journey_distance_for_all_regions[#All],MATCH(A49,Percentage_distribution_of_journey_distance_for_all_regions[#Headers],0),0)/100</f>
        <v>0.182</v>
      </c>
      <c r="E49" s="71">
        <f>IF(B49="&lt;2 kilometres",1,0)*VLOOKUP(C49, Percentage_dist_journeys_by_mode_and_distance_to_2km[#All],MATCH(A49, Percentage_dist_journeys_by_mode_and_distance_to_2km[#Headers],0),0)/100</f>
        <v>0</v>
      </c>
      <c r="F49" s="4">
        <f>IF(B49="2-4 kilometres",1,0)*VLOOKUP(C49, Percentage_dist_journeys_by_mode_and_distance_2_to_4km[#All],MATCH(A49, Percentage_dist_journeys_by_mode_and_distance_2_to_4km[#Headers],0),0)/100</f>
        <v>4.4999999999999998E-2</v>
      </c>
      <c r="G49" s="72">
        <f>IF(B49="4-6 kilometres",1,0)*VLOOKUP(C49, Percentage_dist_journeys_by_mode_and_distance_4_to_6km[#All],MATCH(A49, Percentage_dist_journeys_by_mode_and_distance_4_to_6km[#Headers],0),0)/100</f>
        <v>0</v>
      </c>
      <c r="H49" s="4">
        <f>IF(B49="6-8 kilometres",1,0)*VLOOKUP(C49, Percentage_dist_journeys_by_mode_and_distance_6_to_8km[#All],MATCH(A49, Percentage_dist_journeys_by_mode_and_distance_6_to_8km[#Headers],0),0)/100</f>
        <v>0</v>
      </c>
      <c r="I49" s="72">
        <f>IF(B49="8+ kilometres",1,0)*VLOOKUP(C49, Percentage_dist_journeys_by_mode_and_distance_8km[#All],MATCH(A49, Percentage_dist_journeys_by_mode_and_distance_8km[#Headers],0),0)/100</f>
        <v>0</v>
      </c>
      <c r="J49" s="73">
        <f>VLOOKUP(B49,Average_Distance_by_kilometre_grouping_for_mode_type[#All],MATCH(A49,Average_Distance_by_kilometre_grouping_for_mode_type[#Headers],0),0)</f>
        <v>3</v>
      </c>
      <c r="K49" s="77">
        <f>VLOOKUP(C49, Adjustment_factor_for_distance_based_on_mode[#All],MATCH(A49, Adjustment_factor_for_distance_based_on_mode[#Headers],0),0)</f>
        <v>1.7132867132867131</v>
      </c>
      <c r="L49" s="78">
        <f>VLOOKUP($L$2, Total_Journeys_Per_Year[#All],MATCH(A49, Total_Journeys_Per_Year[#Headers],0),0)</f>
        <v>3165688023.0367908</v>
      </c>
      <c r="M49" s="35">
        <f t="shared" si="0"/>
        <v>133261076.27883507</v>
      </c>
      <c r="N49" s="35">
        <f>VLOOKUP($N$2, Private_Vehicle_Kilometres_Car_Stock[#All],MATCH(A49, Private_Vehicle_Kilometres_Car_Stock[#Headers],0),0)</f>
        <v>29535056173</v>
      </c>
    </row>
    <row r="50" spans="1:14" x14ac:dyDescent="0.25">
      <c r="A50" s="79" t="s">
        <v>32</v>
      </c>
      <c r="B50" s="13" t="s">
        <v>180</v>
      </c>
      <c r="C50" s="14" t="s">
        <v>6</v>
      </c>
      <c r="D50" s="5">
        <f>VLOOKUP(B50,Percentage_distribution_of_journey_distance_for_all_regions[#All],MATCH(A50,Percentage_distribution_of_journey_distance_for_all_regions[#Headers],0),0)/100</f>
        <v>0.11699999999999999</v>
      </c>
      <c r="E50" s="71">
        <f>IF(B50="&lt;2 kilometres",1,0)*VLOOKUP(C50, Percentage_dist_journeys_by_mode_and_distance_to_2km[#All],MATCH(A50, Percentage_dist_journeys_by_mode_and_distance_to_2km[#Headers],0),0)/100</f>
        <v>0</v>
      </c>
      <c r="F50" s="4">
        <f>IF(B50="2-4 kilometres",1,0)*VLOOKUP(C50, Percentage_dist_journeys_by_mode_and_distance_2_to_4km[#All],MATCH(A50, Percentage_dist_journeys_by_mode_and_distance_2_to_4km[#Headers],0),0)/100</f>
        <v>0</v>
      </c>
      <c r="G50" s="72">
        <f>IF(B50="4-6 kilometres",1,0)*VLOOKUP(C50, Percentage_dist_journeys_by_mode_and_distance_4_to_6km[#All],MATCH(A50, Percentage_dist_journeys_by_mode_and_distance_4_to_6km[#Headers],0),0)/100</f>
        <v>5.7000000000000002E-2</v>
      </c>
      <c r="H50" s="4">
        <f>IF(B50="6-8 kilometres",1,0)*VLOOKUP(C50, Percentage_dist_journeys_by_mode_and_distance_6_to_8km[#All],MATCH(A50, Percentage_dist_journeys_by_mode_and_distance_6_to_8km[#Headers],0),0)/100</f>
        <v>0</v>
      </c>
      <c r="I50" s="72">
        <f>IF(B50="8+ kilometres",1,0)*VLOOKUP(C50, Percentage_dist_journeys_by_mode_and_distance_8km[#All],MATCH(A50, Percentage_dist_journeys_by_mode_and_distance_8km[#Headers],0),0)/100</f>
        <v>0</v>
      </c>
      <c r="J50" s="73">
        <f>VLOOKUP(B50,Average_Distance_by_kilometre_grouping_for_mode_type[#All],MATCH(A50,Average_Distance_by_kilometre_grouping_for_mode_type[#Headers],0),0)</f>
        <v>5</v>
      </c>
      <c r="K50" s="77">
        <f>VLOOKUP(C50, Adjustment_factor_for_distance_based_on_mode[#All],MATCH(A50, Adjustment_factor_for_distance_based_on_mode[#Headers],0),0)</f>
        <v>1.7132867132867131</v>
      </c>
      <c r="L50" s="78">
        <f>VLOOKUP($L$2, Total_Journeys_Per_Year[#All],MATCH(A50, Total_Journeys_Per_Year[#Headers],0),0)</f>
        <v>3165688023.0367908</v>
      </c>
      <c r="M50" s="35">
        <f t="shared" si="0"/>
        <v>180854317.80699044</v>
      </c>
      <c r="N50" s="35">
        <f>VLOOKUP($N$2, Private_Vehicle_Kilometres_Car_Stock[#All],MATCH(A50, Private_Vehicle_Kilometres_Car_Stock[#Headers],0),0)</f>
        <v>29535056173</v>
      </c>
    </row>
    <row r="51" spans="1:14" x14ac:dyDescent="0.25">
      <c r="A51" s="79" t="s">
        <v>32</v>
      </c>
      <c r="B51" s="13" t="s">
        <v>182</v>
      </c>
      <c r="C51" s="14" t="s">
        <v>6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Percentage_dist_journeys_by_mode_and_distance_to_2km[#All],MATCH(A51, Percentage_dist_journeys_by_mode_and_distance_to_2km[#Headers],0),0)/100</f>
        <v>0</v>
      </c>
      <c r="F51" s="4">
        <f>IF(B51="2-4 kilometres",1,0)*VLOOKUP(C51, Percentage_dist_journeys_by_mode_and_distance_2_to_4km[#All],MATCH(A51, Percentage_dist_journeys_by_mode_and_distance_2_to_4km[#Headers],0),0)/100</f>
        <v>0</v>
      </c>
      <c r="G51" s="72">
        <f>IF(B51="4-6 kilometres",1,0)*VLOOKUP(C51, Percentage_dist_journeys_by_mode_and_distance_4_to_6km[#All],MATCH(A51, Percentage_dist_journeys_by_mode_and_distance_4_to_6km[#Headers],0),0)/100</f>
        <v>0</v>
      </c>
      <c r="H51" s="4">
        <f>IF(B51="6-8 kilometres",1,0)*VLOOKUP(C51, Percentage_dist_journeys_by_mode_and_distance_6_to_8km[#All],MATCH(A51, Percentage_dist_journeys_by_mode_and_distance_6_to_8km[#Headers],0),0)/100</f>
        <v>5.7999999999999996E-2</v>
      </c>
      <c r="I51" s="72">
        <f>IF(B51="8+ kilometres",1,0)*VLOOKUP(C51, Percentage_dist_journeys_by_mode_and_distance_8km[#All],MATCH(A51, Percentage_dist_journeys_by_mode_and_distance_8km[#Headers],0),0)/100</f>
        <v>0</v>
      </c>
      <c r="J51" s="73">
        <f>VLOOKUP(B51,Average_Distance_by_kilometre_grouping_for_mode_type[#All],MATCH(A51,Average_Distance_by_kilometre_grouping_for_mode_type[#Headers],0),0)</f>
        <v>7</v>
      </c>
      <c r="K51" s="77">
        <f>VLOOKUP(C51, Adjustment_factor_for_distance_based_on_mode[#All],MATCH(A51, Adjustment_factor_for_distance_based_on_mode[#Headers],0),0)</f>
        <v>1.7132867132867131</v>
      </c>
      <c r="L51" s="78">
        <f>VLOOKUP($L$2, Total_Journeys_Per_Year[#All],MATCH(A51, Total_Journeys_Per_Year[#Headers],0),0)</f>
        <v>3165688023.0367908</v>
      </c>
      <c r="M51" s="35">
        <f t="shared" si="0"/>
        <v>132122092.7208963</v>
      </c>
      <c r="N51" s="35">
        <f>VLOOKUP($N$2, Private_Vehicle_Kilometres_Car_Stock[#All],MATCH(A51, Private_Vehicle_Kilometres_Car_Stock[#Headers],0),0)</f>
        <v>29535056173</v>
      </c>
    </row>
    <row r="52" spans="1:14" x14ac:dyDescent="0.25">
      <c r="A52" s="79" t="s">
        <v>32</v>
      </c>
      <c r="B52" s="13" t="s">
        <v>1</v>
      </c>
      <c r="C52" s="14" t="s">
        <v>6</v>
      </c>
      <c r="D52" s="5">
        <f>VLOOKUP(B52,Percentage_distribution_of_journey_distance_for_all_regions[#All],MATCH(A52,Percentage_distribution_of_journey_distance_for_all_regions[#Headers],0),0)/100</f>
        <v>0.41899999999999998</v>
      </c>
      <c r="E52" s="71">
        <f>IF(B52="&lt;2 kilometres",1,0)*VLOOKUP(C52, Percentage_dist_journeys_by_mode_and_distance_to_2km[#All],MATCH(A52, Percentage_dist_journeys_by_mode_and_distance_to_2km[#Headers],0),0)/100</f>
        <v>0</v>
      </c>
      <c r="F52" s="4">
        <f>IF(B52="2-4 kilometres",1,0)*VLOOKUP(C52, Percentage_dist_journeys_by_mode_and_distance_2_to_4km[#All],MATCH(A52, Percentage_dist_journeys_by_mode_and_distance_2_to_4km[#Headers],0),0)/100</f>
        <v>0</v>
      </c>
      <c r="G52" s="72">
        <f>IF(B52="4-6 kilometres",1,0)*VLOOKUP(C52, Percentage_dist_journeys_by_mode_and_distance_4_to_6km[#All],MATCH(A52, Percentage_dist_journeys_by_mode_and_distance_4_to_6km[#Headers],0),0)/100</f>
        <v>0</v>
      </c>
      <c r="H52" s="4">
        <f>IF(B52="6-8 kilometres",1,0)*VLOOKUP(C52, Percentage_dist_journeys_by_mode_and_distance_6_to_8km[#All],MATCH(A52, Percentage_dist_journeys_by_mode_and_distance_6_to_8km[#Headers],0),0)/100</f>
        <v>0</v>
      </c>
      <c r="I52" s="72">
        <f>IF(B52="8+ kilometres",1,0)*VLOOKUP(C52, Percentage_dist_journeys_by_mode_and_distance_8km[#All],MATCH(A52, Percentage_dist_journeys_by_mode_and_distance_8km[#Headers],0),0)/100</f>
        <v>8.4000000000000005E-2</v>
      </c>
      <c r="J52" s="73">
        <f>VLOOKUP(B52,Average_Distance_by_kilometre_grouping_for_mode_type[#All],MATCH(A52,Average_Distance_by_kilometre_grouping_for_mode_type[#Headers],0),0)</f>
        <v>31.75</v>
      </c>
      <c r="K52" s="77">
        <f>VLOOKUP(C52, Adjustment_factor_for_distance_based_on_mode[#All],MATCH(A52, Adjustment_factor_for_distance_based_on_mode[#Headers],0),0)</f>
        <v>1.7132867132867131</v>
      </c>
      <c r="L52" s="78">
        <f>VLOOKUP($L$2, Total_Journeys_Per_Year[#All],MATCH(A52, Total_Journeys_Per_Year[#Headers],0),0)</f>
        <v>3165688023.0367908</v>
      </c>
      <c r="M52" s="35">
        <f t="shared" si="0"/>
        <v>6060873206.8595304</v>
      </c>
      <c r="N52" s="35">
        <f>VLOOKUP($N$2, Private_Vehicle_Kilometres_Car_Stock[#All],MATCH(A52, Private_Vehicle_Kilometres_Car_Stock[#Headers],0),0)</f>
        <v>29535056173</v>
      </c>
    </row>
    <row r="53" spans="1:14" x14ac:dyDescent="0.25">
      <c r="A53" s="79" t="s">
        <v>32</v>
      </c>
      <c r="B53" s="13" t="s">
        <v>12</v>
      </c>
      <c r="C53" s="14" t="s">
        <v>7</v>
      </c>
      <c r="D53" s="5">
        <f>VLOOKUP(B53,Percentage_distribution_of_journey_distance_for_all_regions[#All],MATCH(A53,Percentage_distribution_of_journey_distance_for_all_regions[#Headers],0),0)/100</f>
        <v>0.223</v>
      </c>
      <c r="E53" s="71">
        <f>IF(B53="&lt;2 kilometres",1,0)*VLOOKUP(C53, Percentage_dist_journeys_by_mode_and_distance_to_2km[#All],MATCH(A53, Percentage_dist_journeys_by_mode_and_distance_to_2km[#Headers],0),0)/100</f>
        <v>0.40700000000000003</v>
      </c>
      <c r="F53" s="4">
        <f>IF(B53="2-4 kilometres",1,0)*VLOOKUP(C53, Percentage_dist_journeys_by_mode_and_distance_2_to_4km[#All],MATCH(A53, Percentage_dist_journeys_by_mode_and_distance_2_to_4km[#Headers],0),0)/100</f>
        <v>0</v>
      </c>
      <c r="G53" s="72">
        <f>IF(B53="4-6 kilometres",1,0)*VLOOKUP(C53, Percentage_dist_journeys_by_mode_and_distance_4_to_6km[#All],MATCH(A53, Percentage_dist_journeys_by_mode_and_distance_4_to_6km[#Headers],0),0)/100</f>
        <v>0</v>
      </c>
      <c r="H53" s="4">
        <f>IF(B53="6-8 kilometres",1,0)*VLOOKUP(C53, Percentage_dist_journeys_by_mode_and_distance_6_to_8km[#All],MATCH(A53, Percentage_dist_journeys_by_mode_and_distance_6_to_8km[#Headers],0),0)/100</f>
        <v>0</v>
      </c>
      <c r="I53" s="72">
        <f>IF(B53="8+ kilometres",1,0)*VLOOKUP(C53, Percentage_dist_journeys_by_mode_and_distance_8km[#All],MATCH(A53, Percentage_dist_journeys_by_mode_and_distance_8km[#Headers],0),0)/100</f>
        <v>0</v>
      </c>
      <c r="J53" s="73">
        <f>VLOOKUP(B53,Average_Distance_by_kilometre_grouping_for_mode_type[#All],MATCH(A53,Average_Distance_by_kilometre_grouping_for_mode_type[#Headers],0),0)</f>
        <v>1</v>
      </c>
      <c r="K53" s="77">
        <f>VLOOKUP(C53, Adjustment_factor_for_distance_based_on_mode[#All],MATCH(A53, Adjustment_factor_for_distance_based_on_mode[#Headers],0),0)</f>
        <v>0.12587412587412586</v>
      </c>
      <c r="L53" s="78">
        <f>VLOOKUP($L$2, Total_Journeys_Per_Year[#All],MATCH(A53, Total_Journeys_Per_Year[#Headers],0),0)</f>
        <v>3165688023.0367908</v>
      </c>
      <c r="M53" s="35">
        <f t="shared" si="0"/>
        <v>36166281.061952159</v>
      </c>
      <c r="N53" s="35">
        <f>VLOOKUP($N$2, Private_Vehicle_Kilometres_Car_Stock[#All],MATCH(A53, Private_Vehicle_Kilometres_Car_Stock[#Headers],0),0)</f>
        <v>29535056173</v>
      </c>
    </row>
    <row r="54" spans="1:14" x14ac:dyDescent="0.25">
      <c r="A54" s="79" t="s">
        <v>32</v>
      </c>
      <c r="B54" s="13" t="s">
        <v>181</v>
      </c>
      <c r="C54" s="14" t="s">
        <v>7</v>
      </c>
      <c r="D54" s="5">
        <f>VLOOKUP(B54,Percentage_distribution_of_journey_distance_for_all_regions[#All],MATCH(A54,Percentage_distribution_of_journey_distance_for_all_regions[#Headers],0),0)/100</f>
        <v>0.182</v>
      </c>
      <c r="E54" s="71">
        <f>IF(B54="&lt;2 kilometres",1,0)*VLOOKUP(C54, Percentage_dist_journeys_by_mode_and_distance_to_2km[#All],MATCH(A54, Percentage_dist_journeys_by_mode_and_distance_to_2km[#Headers],0),0)/100</f>
        <v>0</v>
      </c>
      <c r="F54" s="4">
        <f>IF(B54="2-4 kilometres",1,0)*VLOOKUP(C54, Percentage_dist_journeys_by_mode_and_distance_2_to_4km[#All],MATCH(A54, Percentage_dist_journeys_by_mode_and_distance_2_to_4km[#Headers],0),0)/100</f>
        <v>0.16699999999999998</v>
      </c>
      <c r="G54" s="72">
        <f>IF(B54="4-6 kilometres",1,0)*VLOOKUP(C54, Percentage_dist_journeys_by_mode_and_distance_4_to_6km[#All],MATCH(A54, Percentage_dist_journeys_by_mode_and_distance_4_to_6km[#Headers],0),0)/100</f>
        <v>0</v>
      </c>
      <c r="H54" s="4">
        <f>IF(B54="6-8 kilometres",1,0)*VLOOKUP(C54, Percentage_dist_journeys_by_mode_and_distance_6_to_8km[#All],MATCH(A54, Percentage_dist_journeys_by_mode_and_distance_6_to_8km[#Headers],0),0)/100</f>
        <v>0</v>
      </c>
      <c r="I54" s="72">
        <f>IF(B54="8+ kilometres",1,0)*VLOOKUP(C54, Percentage_dist_journeys_by_mode_and_distance_8km[#All],MATCH(A54, Percentage_dist_journeys_by_mode_and_distance_8km[#Headers],0),0)/100</f>
        <v>0</v>
      </c>
      <c r="J54" s="73">
        <f>VLOOKUP(B54,Average_Distance_by_kilometre_grouping_for_mode_type[#All],MATCH(A54,Average_Distance_by_kilometre_grouping_for_mode_type[#Headers],0),0)</f>
        <v>3</v>
      </c>
      <c r="K54" s="77">
        <f>VLOOKUP(C54, Adjustment_factor_for_distance_based_on_mode[#All],MATCH(A54, Adjustment_factor_for_distance_based_on_mode[#Headers],0),0)</f>
        <v>0.12587412587412586</v>
      </c>
      <c r="L54" s="78">
        <f>VLOOKUP($L$2, Total_Journeys_Per_Year[#All],MATCH(A54, Total_Journeys_Per_Year[#Headers],0),0)</f>
        <v>3165688023.0367908</v>
      </c>
      <c r="M54" s="35">
        <f t="shared" si="0"/>
        <v>36334040.38949462</v>
      </c>
      <c r="N54" s="35">
        <f>VLOOKUP($N$2, Private_Vehicle_Kilometres_Car_Stock[#All],MATCH(A54, Private_Vehicle_Kilometres_Car_Stock[#Headers],0),0)</f>
        <v>29535056173</v>
      </c>
    </row>
    <row r="55" spans="1:14" x14ac:dyDescent="0.25">
      <c r="A55" s="79" t="s">
        <v>32</v>
      </c>
      <c r="B55" s="13" t="s">
        <v>180</v>
      </c>
      <c r="C55" s="14" t="s">
        <v>7</v>
      </c>
      <c r="D55" s="5">
        <f>VLOOKUP(B55,Percentage_distribution_of_journey_distance_for_all_regions[#All],MATCH(A55,Percentage_distribution_of_journey_distance_for_all_regions[#Headers],0),0)/100</f>
        <v>0.11699999999999999</v>
      </c>
      <c r="E55" s="71">
        <f>IF(B55="&lt;2 kilometres",1,0)*VLOOKUP(C55, Percentage_dist_journeys_by_mode_and_distance_to_2km[#All],MATCH(A55, Percentage_dist_journeys_by_mode_and_distance_to_2km[#Headers],0),0)/100</f>
        <v>0</v>
      </c>
      <c r="F55" s="4">
        <f>IF(B55="2-4 kilometres",1,0)*VLOOKUP(C55, Percentage_dist_journeys_by_mode_and_distance_2_to_4km[#All],MATCH(A55, Percentage_dist_journeys_by_mode_and_distance_2_to_4km[#Headers],0),0)/100</f>
        <v>0</v>
      </c>
      <c r="G55" s="72">
        <f>IF(B55="4-6 kilometres",1,0)*VLOOKUP(C55, Percentage_dist_journeys_by_mode_and_distance_4_to_6km[#All],MATCH(A55, Percentage_dist_journeys_by_mode_and_distance_4_to_6km[#Headers],0),0)/100</f>
        <v>8.199999999999999E-2</v>
      </c>
      <c r="H55" s="4">
        <f>IF(B55="6-8 kilometres",1,0)*VLOOKUP(C55, Percentage_dist_journeys_by_mode_and_distance_6_to_8km[#All],MATCH(A55, Percentage_dist_journeys_by_mode_and_distance_6_to_8km[#Headers],0),0)/100</f>
        <v>0</v>
      </c>
      <c r="I55" s="72">
        <f>IF(B55="8+ kilometres",1,0)*VLOOKUP(C55, Percentage_dist_journeys_by_mode_and_distance_8km[#All],MATCH(A55, Percentage_dist_journeys_by_mode_and_distance_8km[#Headers],0),0)/100</f>
        <v>0</v>
      </c>
      <c r="J55" s="73">
        <f>VLOOKUP(B55,Average_Distance_by_kilometre_grouping_for_mode_type[#All],MATCH(A55,Average_Distance_by_kilometre_grouping_for_mode_type[#Headers],0),0)</f>
        <v>5</v>
      </c>
      <c r="K55" s="77">
        <f>VLOOKUP(C55, Adjustment_factor_for_distance_based_on_mode[#All],MATCH(A55, Adjustment_factor_for_distance_based_on_mode[#Headers],0),0)</f>
        <v>0.12587412587412586</v>
      </c>
      <c r="L55" s="78">
        <f>VLOOKUP($L$2, Total_Journeys_Per_Year[#All],MATCH(A55, Total_Journeys_Per_Year[#Headers],0),0)</f>
        <v>3165688023.0367908</v>
      </c>
      <c r="M55" s="35">
        <f t="shared" si="0"/>
        <v>19114999.862736691</v>
      </c>
      <c r="N55" s="35">
        <f>VLOOKUP($N$2, Private_Vehicle_Kilometres_Car_Stock[#All],MATCH(A55, Private_Vehicle_Kilometres_Car_Stock[#Headers],0),0)</f>
        <v>29535056173</v>
      </c>
    </row>
    <row r="56" spans="1:14" x14ac:dyDescent="0.25">
      <c r="A56" s="79" t="s">
        <v>32</v>
      </c>
      <c r="B56" s="13" t="s">
        <v>182</v>
      </c>
      <c r="C56" s="14" t="s">
        <v>7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Percentage_dist_journeys_by_mode_and_distance_to_2km[#All],MATCH(A56, Percentage_dist_journeys_by_mode_and_distance_to_2km[#Headers],0),0)/100</f>
        <v>0</v>
      </c>
      <c r="F56" s="4">
        <f>IF(B56="2-4 kilometres",1,0)*VLOOKUP(C56, Percentage_dist_journeys_by_mode_and_distance_2_to_4km[#All],MATCH(A56, Percentage_dist_journeys_by_mode_and_distance_2_to_4km[#Headers],0),0)/100</f>
        <v>0</v>
      </c>
      <c r="G56" s="72">
        <f>IF(B56="4-6 kilometres",1,0)*VLOOKUP(C56, Percentage_dist_journeys_by_mode_and_distance_4_to_6km[#All],MATCH(A56, Percentage_dist_journeys_by_mode_and_distance_4_to_6km[#Headers],0),0)/100</f>
        <v>0</v>
      </c>
      <c r="H56" s="4">
        <f>IF(B56="6-8 kilometres",1,0)*VLOOKUP(C56, Percentage_dist_journeys_by_mode_and_distance_6_to_8km[#All],MATCH(A56, Percentage_dist_journeys_by_mode_and_distance_6_to_8km[#Headers],0),0)/100</f>
        <v>0.06</v>
      </c>
      <c r="I56" s="72">
        <f>IF(B56="8+ kilometres",1,0)*VLOOKUP(C56, Percentage_dist_journeys_by_mode_and_distance_8km[#All],MATCH(A56, Percentage_dist_journeys_by_mode_and_distance_8km[#Headers],0),0)/100</f>
        <v>0</v>
      </c>
      <c r="J56" s="73">
        <f>VLOOKUP(B56,Average_Distance_by_kilometre_grouping_for_mode_type[#All],MATCH(A56,Average_Distance_by_kilometre_grouping_for_mode_type[#Headers],0),0)</f>
        <v>7</v>
      </c>
      <c r="K56" s="77">
        <f>VLOOKUP(C56, Adjustment_factor_for_distance_based_on_mode[#All],MATCH(A56, Adjustment_factor_for_distance_based_on_mode[#Headers],0),0)</f>
        <v>0.12587412587412586</v>
      </c>
      <c r="L56" s="78">
        <f>VLOOKUP($L$2, Total_Journeys_Per_Year[#All],MATCH(A56, Total_Journeys_Per_Year[#Headers],0),0)</f>
        <v>3165688023.0367908</v>
      </c>
      <c r="M56" s="35">
        <f t="shared" si="0"/>
        <v>10041650.959786629</v>
      </c>
      <c r="N56" s="35">
        <f>VLOOKUP($N$2, Private_Vehicle_Kilometres_Car_Stock[#All],MATCH(A56, Private_Vehicle_Kilometres_Car_Stock[#Headers],0),0)</f>
        <v>29535056173</v>
      </c>
    </row>
    <row r="57" spans="1:14" x14ac:dyDescent="0.25">
      <c r="A57" s="79" t="s">
        <v>32</v>
      </c>
      <c r="B57" s="13" t="s">
        <v>1</v>
      </c>
      <c r="C57" s="14" t="s">
        <v>7</v>
      </c>
      <c r="D57" s="5">
        <f>VLOOKUP(B57,Percentage_distribution_of_journey_distance_for_all_regions[#All],MATCH(A57,Percentage_distribution_of_journey_distance_for_all_regions[#Headers],0),0)/100</f>
        <v>0.41899999999999998</v>
      </c>
      <c r="E57" s="71">
        <f>IF(B57="&lt;2 kilometres",1,0)*VLOOKUP(C57, Percentage_dist_journeys_by_mode_and_distance_to_2km[#All],MATCH(A57, Percentage_dist_journeys_by_mode_and_distance_to_2km[#Headers],0),0)/100</f>
        <v>0</v>
      </c>
      <c r="F57" s="4">
        <f>IF(B57="2-4 kilometres",1,0)*VLOOKUP(C57, Percentage_dist_journeys_by_mode_and_distance_2_to_4km[#All],MATCH(A57, Percentage_dist_journeys_by_mode_and_distance_2_to_4km[#Headers],0),0)/100</f>
        <v>0</v>
      </c>
      <c r="G57" s="72">
        <f>IF(B57="4-6 kilometres",1,0)*VLOOKUP(C57, Percentage_dist_journeys_by_mode_and_distance_4_to_6km[#All],MATCH(A57, Percentage_dist_journeys_by_mode_and_distance_4_to_6km[#Headers],0),0)/100</f>
        <v>0</v>
      </c>
      <c r="H57" s="4">
        <f>IF(B57="6-8 kilometres",1,0)*VLOOKUP(C57, Percentage_dist_journeys_by_mode_and_distance_6_to_8km[#All],MATCH(A57, Percentage_dist_journeys_by_mode_and_distance_6_to_8km[#Headers],0),0)/100</f>
        <v>0</v>
      </c>
      <c r="I57" s="72">
        <f>IF(B57="8+ kilometres",1,0)*VLOOKUP(C57, Percentage_dist_journeys_by_mode_and_distance_8km[#All],MATCH(A57, Percentage_dist_journeys_by_mode_and_distance_8km[#Headers],0),0)/100</f>
        <v>4.0000000000000001E-3</v>
      </c>
      <c r="J57" s="73">
        <f>VLOOKUP(B57,Average_Distance_by_kilometre_grouping_for_mode_type[#All],MATCH(A57,Average_Distance_by_kilometre_grouping_for_mode_type[#Headers],0),0)</f>
        <v>31.75</v>
      </c>
      <c r="K57" s="77">
        <f>VLOOKUP(C57, Adjustment_factor_for_distance_based_on_mode[#All],MATCH(A57, Adjustment_factor_for_distance_based_on_mode[#Headers],0),0)</f>
        <v>0.12587412587412586</v>
      </c>
      <c r="L57" s="78">
        <f>VLOOKUP($L$2, Total_Journeys_Per_Year[#All],MATCH(A57, Total_Journeys_Per_Year[#Headers],0),0)</f>
        <v>3165688023.0367908</v>
      </c>
      <c r="M57" s="35">
        <f t="shared" si="0"/>
        <v>21204221.131870076</v>
      </c>
      <c r="N57" s="35">
        <f>VLOOKUP($N$2, Private_Vehicle_Kilometres_Car_Stock[#All],MATCH(A57, Private_Vehicle_Kilometres_Car_Stock[#Headers],0),0)</f>
        <v>29535056173</v>
      </c>
    </row>
    <row r="58" spans="1:14" x14ac:dyDescent="0.25">
      <c r="A58" s="79" t="s">
        <v>32</v>
      </c>
      <c r="B58" s="13" t="s">
        <v>12</v>
      </c>
      <c r="C58" s="14" t="s">
        <v>8</v>
      </c>
      <c r="D58" s="5">
        <f>VLOOKUP(B58,Percentage_distribution_of_journey_distance_for_all_regions[#All],MATCH(A58,Percentage_distribution_of_journey_distance_for_all_regions[#Headers],0),0)/100</f>
        <v>0.223</v>
      </c>
      <c r="E58" s="71">
        <f>IF(B58="&lt;2 kilometres",1,0)*VLOOKUP(C58, Percentage_dist_journeys_by_mode_and_distance_to_2km[#All],MATCH(A58, Percentage_dist_journeys_by_mode_and_distance_to_2km[#Headers],0),0)/100</f>
        <v>9.0000000000000011E-3</v>
      </c>
      <c r="F58" s="4">
        <f>IF(B58="2-4 kilometres",1,0)*VLOOKUP(C58, Percentage_dist_journeys_by_mode_and_distance_2_to_4km[#All],MATCH(A58, Percentage_dist_journeys_by_mode_and_distance_2_to_4km[#Headers],0),0)/100</f>
        <v>0</v>
      </c>
      <c r="G58" s="72">
        <f>IF(B58="4-6 kilometres",1,0)*VLOOKUP(C58, Percentage_dist_journeys_by_mode_and_distance_4_to_6km[#All],MATCH(A58, Percentage_dist_journeys_by_mode_and_distance_4_to_6km[#Headers],0),0)/100</f>
        <v>0</v>
      </c>
      <c r="H58" s="4">
        <f>IF(B58="6-8 kilometres",1,0)*VLOOKUP(C58, Percentage_dist_journeys_by_mode_and_distance_6_to_8km[#All],MATCH(A58, Percentage_dist_journeys_by_mode_and_distance_6_to_8km[#Headers],0),0)/100</f>
        <v>0</v>
      </c>
      <c r="I58" s="72">
        <f>IF(B58="8+ kilometres",1,0)*VLOOKUP(C58, Percentage_dist_journeys_by_mode_and_distance_8km[#All],MATCH(A58, Percentage_dist_journeys_by_mode_and_distance_8km[#Headers],0),0)/100</f>
        <v>0</v>
      </c>
      <c r="J58" s="73">
        <f>VLOOKUP(B58,Average_Distance_by_kilometre_grouping_for_mode_type[#All],MATCH(A58,Average_Distance_by_kilometre_grouping_for_mode_type[#Headers],0),0)</f>
        <v>1</v>
      </c>
      <c r="K58" s="77">
        <f>VLOOKUP(C58, Adjustment_factor_for_distance_based_on_mode[#All],MATCH(A58, Adjustment_factor_for_distance_based_on_mode[#Headers],0),0)</f>
        <v>1.034965034965035</v>
      </c>
      <c r="L58" s="78">
        <f>VLOOKUP($L$2, Total_Journeys_Per_Year[#All],MATCH(A58, Total_Journeys_Per_Year[#Headers],0),0)</f>
        <v>3165688023.0367908</v>
      </c>
      <c r="M58" s="35">
        <f t="shared" si="0"/>
        <v>6575687.4658094849</v>
      </c>
      <c r="N58" s="35">
        <f>VLOOKUP($N$2, Private_Vehicle_Kilometres_Car_Stock[#All],MATCH(A58, Private_Vehicle_Kilometres_Car_Stock[#Headers],0),0)</f>
        <v>29535056173</v>
      </c>
    </row>
    <row r="59" spans="1:14" x14ac:dyDescent="0.25">
      <c r="A59" s="79" t="s">
        <v>32</v>
      </c>
      <c r="B59" s="13" t="s">
        <v>181</v>
      </c>
      <c r="C59" s="14" t="s">
        <v>8</v>
      </c>
      <c r="D59" s="5">
        <f>VLOOKUP(B59,Percentage_distribution_of_journey_distance_for_all_regions[#All],MATCH(A59,Percentage_distribution_of_journey_distance_for_all_regions[#Headers],0),0)/100</f>
        <v>0.182</v>
      </c>
      <c r="E59" s="71">
        <f>IF(B59="&lt;2 kilometres",1,0)*VLOOKUP(C59, Percentage_dist_journeys_by_mode_and_distance_to_2km[#All],MATCH(A59, Percentage_dist_journeys_by_mode_and_distance_to_2km[#Headers],0),0)/100</f>
        <v>0</v>
      </c>
      <c r="F59" s="4">
        <f>IF(B59="2-4 kilometres",1,0)*VLOOKUP(C59, Percentage_dist_journeys_by_mode_and_distance_2_to_4km[#All],MATCH(A59, Percentage_dist_journeys_by_mode_and_distance_2_to_4km[#Headers],0),0)/100</f>
        <v>3.6000000000000004E-2</v>
      </c>
      <c r="G59" s="72">
        <f>IF(B59="4-6 kilometres",1,0)*VLOOKUP(C59, Percentage_dist_journeys_by_mode_and_distance_4_to_6km[#All],MATCH(A59, Percentage_dist_journeys_by_mode_and_distance_4_to_6km[#Headers],0),0)/100</f>
        <v>0</v>
      </c>
      <c r="H59" s="4">
        <f>IF(B59="6-8 kilometres",1,0)*VLOOKUP(C59, Percentage_dist_journeys_by_mode_and_distance_6_to_8km[#All],MATCH(A59, Percentage_dist_journeys_by_mode_and_distance_6_to_8km[#Headers],0),0)/100</f>
        <v>0</v>
      </c>
      <c r="I59" s="72">
        <f>IF(B59="8+ kilometres",1,0)*VLOOKUP(C59, Percentage_dist_journeys_by_mode_and_distance_8km[#All],MATCH(A59, Percentage_dist_journeys_by_mode_and_distance_8km[#Headers],0),0)/100</f>
        <v>0</v>
      </c>
      <c r="J59" s="73">
        <f>VLOOKUP(B59,Average_Distance_by_kilometre_grouping_for_mode_type[#All],MATCH(A59,Average_Distance_by_kilometre_grouping_for_mode_type[#Headers],0),0)</f>
        <v>3</v>
      </c>
      <c r="K59" s="77">
        <f>VLOOKUP(C59, Adjustment_factor_for_distance_based_on_mode[#All],MATCH(A59, Adjustment_factor_for_distance_based_on_mode[#Headers],0),0)</f>
        <v>1.034965034965035</v>
      </c>
      <c r="L59" s="78">
        <f>VLOOKUP($L$2, Total_Journeys_Per_Year[#All],MATCH(A59, Total_Journeys_Per_Year[#Headers],0),0)</f>
        <v>3165688023.0367908</v>
      </c>
      <c r="M59" s="35">
        <f t="shared" si="0"/>
        <v>64400454.822098263</v>
      </c>
      <c r="N59" s="35">
        <f>VLOOKUP($N$2, Private_Vehicle_Kilometres_Car_Stock[#All],MATCH(A59, Private_Vehicle_Kilometres_Car_Stock[#Headers],0),0)</f>
        <v>29535056173</v>
      </c>
    </row>
    <row r="60" spans="1:14" x14ac:dyDescent="0.25">
      <c r="A60" s="79" t="s">
        <v>32</v>
      </c>
      <c r="B60" s="13" t="s">
        <v>180</v>
      </c>
      <c r="C60" s="14" t="s">
        <v>8</v>
      </c>
      <c r="D60" s="5">
        <f>VLOOKUP(B60,Percentage_distribution_of_journey_distance_for_all_regions[#All],MATCH(A60,Percentage_distribution_of_journey_distance_for_all_regions[#Headers],0),0)/100</f>
        <v>0.11699999999999999</v>
      </c>
      <c r="E60" s="71">
        <f>IF(B60="&lt;2 kilometres",1,0)*VLOOKUP(C60, Percentage_dist_journeys_by_mode_and_distance_to_2km[#All],MATCH(A60, Percentage_dist_journeys_by_mode_and_distance_to_2km[#Headers],0),0)/100</f>
        <v>0</v>
      </c>
      <c r="F60" s="4">
        <f>IF(B60="2-4 kilometres",1,0)*VLOOKUP(C60, Percentage_dist_journeys_by_mode_and_distance_2_to_4km[#All],MATCH(A60, Percentage_dist_journeys_by_mode_and_distance_2_to_4km[#Headers],0),0)/100</f>
        <v>0</v>
      </c>
      <c r="G60" s="72">
        <f>IF(B60="4-6 kilometres",1,0)*VLOOKUP(C60, Percentage_dist_journeys_by_mode_and_distance_4_to_6km[#All],MATCH(A60, Percentage_dist_journeys_by_mode_and_distance_4_to_6km[#Headers],0),0)/100</f>
        <v>6.8000000000000005E-2</v>
      </c>
      <c r="H60" s="4">
        <f>IF(B60="6-8 kilometres",1,0)*VLOOKUP(C60, Percentage_dist_journeys_by_mode_and_distance_6_to_8km[#All],MATCH(A60, Percentage_dist_journeys_by_mode_and_distance_6_to_8km[#Headers],0),0)/100</f>
        <v>0</v>
      </c>
      <c r="I60" s="72">
        <f>IF(B60="8+ kilometres",1,0)*VLOOKUP(C60, Percentage_dist_journeys_by_mode_and_distance_8km[#All],MATCH(A60, Percentage_dist_journeys_by_mode_and_distance_8km[#Headers],0),0)/100</f>
        <v>0</v>
      </c>
      <c r="J60" s="73">
        <f>VLOOKUP(B60,Average_Distance_by_kilometre_grouping_for_mode_type[#All],MATCH(A60,Average_Distance_by_kilometre_grouping_for_mode_type[#Headers],0),0)</f>
        <v>5</v>
      </c>
      <c r="K60" s="77">
        <f>VLOOKUP(C60, Adjustment_factor_for_distance_based_on_mode[#All],MATCH(A60, Adjustment_factor_for_distance_based_on_mode[#Headers],0),0)</f>
        <v>1.034965034965035</v>
      </c>
      <c r="L60" s="78">
        <f>VLOOKUP($L$2, Total_Journeys_Per_Year[#All],MATCH(A60, Total_Journeys_Per_Year[#Headers],0),0)</f>
        <v>3165688023.0367908</v>
      </c>
      <c r="M60" s="35">
        <f t="shared" si="0"/>
        <v>130334253.80662744</v>
      </c>
      <c r="N60" s="35">
        <f>VLOOKUP($N$2, Private_Vehicle_Kilometres_Car_Stock[#All],MATCH(A60, Private_Vehicle_Kilometres_Car_Stock[#Headers],0),0)</f>
        <v>29535056173</v>
      </c>
    </row>
    <row r="61" spans="1:14" x14ac:dyDescent="0.25">
      <c r="A61" s="79" t="s">
        <v>32</v>
      </c>
      <c r="B61" s="13" t="s">
        <v>182</v>
      </c>
      <c r="C61" s="14" t="s">
        <v>8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Percentage_dist_journeys_by_mode_and_distance_to_2km[#All],MATCH(A61, Percentage_dist_journeys_by_mode_and_distance_to_2km[#Headers],0),0)/100</f>
        <v>0</v>
      </c>
      <c r="F61" s="4">
        <f>IF(B61="2-4 kilometres",1,0)*VLOOKUP(C61, Percentage_dist_journeys_by_mode_and_distance_2_to_4km[#All],MATCH(A61, Percentage_dist_journeys_by_mode_and_distance_2_to_4km[#Headers],0),0)/100</f>
        <v>0</v>
      </c>
      <c r="G61" s="72">
        <f>IF(B61="4-6 kilometres",1,0)*VLOOKUP(C61, Percentage_dist_journeys_by_mode_and_distance_4_to_6km[#All],MATCH(A61, Percentage_dist_journeys_by_mode_and_distance_4_to_6km[#Headers],0),0)/100</f>
        <v>0</v>
      </c>
      <c r="H61" s="4">
        <f>IF(B61="6-8 kilometres",1,0)*VLOOKUP(C61, Percentage_dist_journeys_by_mode_and_distance_6_to_8km[#All],MATCH(A61, Percentage_dist_journeys_by_mode_and_distance_6_to_8km[#Headers],0),0)/100</f>
        <v>7.6999999999999999E-2</v>
      </c>
      <c r="I61" s="72">
        <f>IF(B61="8+ kilometres",1,0)*VLOOKUP(C61, Percentage_dist_journeys_by_mode_and_distance_8km[#All],MATCH(A61, Percentage_dist_journeys_by_mode_and_distance_8km[#Headers],0),0)/100</f>
        <v>0</v>
      </c>
      <c r="J61" s="73">
        <f>VLOOKUP(B61,Average_Distance_by_kilometre_grouping_for_mode_type[#All],MATCH(A61,Average_Distance_by_kilometre_grouping_for_mode_type[#Headers],0),0)</f>
        <v>7</v>
      </c>
      <c r="K61" s="77">
        <f>VLOOKUP(C61, Adjustment_factor_for_distance_based_on_mode[#All],MATCH(A61, Adjustment_factor_for_distance_based_on_mode[#Headers],0),0)</f>
        <v>1.034965034965035</v>
      </c>
      <c r="L61" s="78">
        <f>VLOOKUP($L$2, Total_Journeys_Per_Year[#All],MATCH(A61, Total_Journeys_Per_Year[#Headers],0),0)</f>
        <v>3165688023.0367908</v>
      </c>
      <c r="M61" s="35">
        <f t="shared" si="0"/>
        <v>105958013.27567451</v>
      </c>
      <c r="N61" s="35">
        <f>VLOOKUP($N$2, Private_Vehicle_Kilometres_Car_Stock[#All],MATCH(A61, Private_Vehicle_Kilometres_Car_Stock[#Headers],0),0)</f>
        <v>29535056173</v>
      </c>
    </row>
    <row r="62" spans="1:14" x14ac:dyDescent="0.25">
      <c r="A62" s="79" t="s">
        <v>32</v>
      </c>
      <c r="B62" s="13" t="s">
        <v>1</v>
      </c>
      <c r="C62" s="14" t="s">
        <v>8</v>
      </c>
      <c r="D62" s="5">
        <f>VLOOKUP(B62,Percentage_distribution_of_journey_distance_for_all_regions[#All],MATCH(A62,Percentage_distribution_of_journey_distance_for_all_regions[#Headers],0),0)/100</f>
        <v>0.41899999999999998</v>
      </c>
      <c r="E62" s="71">
        <f>IF(B62="&lt;2 kilometres",1,0)*VLOOKUP(C62, Percentage_dist_journeys_by_mode_and_distance_to_2km[#All],MATCH(A62, Percentage_dist_journeys_by_mode_and_distance_to_2km[#Headers],0),0)/100</f>
        <v>0</v>
      </c>
      <c r="F62" s="4">
        <f>IF(B62="2-4 kilometres",1,0)*VLOOKUP(C62, Percentage_dist_journeys_by_mode_and_distance_2_to_4km[#All],MATCH(A62, Percentage_dist_journeys_by_mode_and_distance_2_to_4km[#Headers],0),0)/100</f>
        <v>0</v>
      </c>
      <c r="G62" s="72">
        <f>IF(B62="4-6 kilometres",1,0)*VLOOKUP(C62, Percentage_dist_journeys_by_mode_and_distance_4_to_6km[#All],MATCH(A62, Percentage_dist_journeys_by_mode_and_distance_4_to_6km[#Headers],0),0)/100</f>
        <v>0</v>
      </c>
      <c r="H62" s="4">
        <f>IF(B62="6-8 kilometres",1,0)*VLOOKUP(C62, Percentage_dist_journeys_by_mode_and_distance_6_to_8km[#All],MATCH(A62, Percentage_dist_journeys_by_mode_and_distance_6_to_8km[#Headers],0),0)/100</f>
        <v>0</v>
      </c>
      <c r="I62" s="72">
        <f>IF(B62="8+ kilometres",1,0)*VLOOKUP(C62, Percentage_dist_journeys_by_mode_and_distance_8km[#All],MATCH(A62, Percentage_dist_journeys_by_mode_and_distance_8km[#Headers],0),0)/100</f>
        <v>4.2000000000000003E-2</v>
      </c>
      <c r="J62" s="73">
        <f>VLOOKUP(B62,Average_Distance_by_kilometre_grouping_for_mode_type[#All],MATCH(A62,Average_Distance_by_kilometre_grouping_for_mode_type[#Headers],0),0)</f>
        <v>31.75</v>
      </c>
      <c r="K62" s="77">
        <f>VLOOKUP(C62, Adjustment_factor_for_distance_based_on_mode[#All],MATCH(A62, Adjustment_factor_for_distance_based_on_mode[#Headers],0),0)</f>
        <v>1.034965034965035</v>
      </c>
      <c r="L62" s="78">
        <f>VLOOKUP($L$2, Total_Journeys_Per_Year[#All],MATCH(A62, Total_Journeys_Per_Year[#Headers],0),0)</f>
        <v>3165688023.0367908</v>
      </c>
      <c r="M62" s="35">
        <f t="shared" si="0"/>
        <v>1830631091.0514505</v>
      </c>
      <c r="N62" s="35">
        <f>VLOOKUP($N$2, Private_Vehicle_Kilometres_Car_Stock[#All],MATCH(A62, Private_Vehicle_Kilometres_Car_Stock[#Headers],0),0)</f>
        <v>29535056173</v>
      </c>
    </row>
    <row r="63" spans="1:14" x14ac:dyDescent="0.25">
      <c r="A63" s="79" t="s">
        <v>32</v>
      </c>
      <c r="B63" s="13" t="s">
        <v>12</v>
      </c>
      <c r="C63" s="14" t="s">
        <v>9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Percentage_dist_journeys_by_mode_and_distance_to_2km[#All],MATCH(A63, Percentage_dist_journeys_by_mode_and_distance_to_2km[#Headers],0),0)/100</f>
        <v>0.01</v>
      </c>
      <c r="F63" s="4">
        <f>IF(B63="2-4 kilometres",1,0)*VLOOKUP(C63, Percentage_dist_journeys_by_mode_and_distance_2_to_4km[#All],MATCH(A63, Percentage_dist_journeys_by_mode_and_distance_2_to_4km[#Headers],0),0)/100</f>
        <v>0</v>
      </c>
      <c r="G63" s="72">
        <f>IF(B63="4-6 kilometres",1,0)*VLOOKUP(C63, Percentage_dist_journeys_by_mode_and_distance_4_to_6km[#All],MATCH(A63, Percentage_dist_journeys_by_mode_and_distance_4_to_6km[#Headers],0),0)/100</f>
        <v>0</v>
      </c>
      <c r="H63" s="4">
        <f>IF(B63="6-8 kilometres",1,0)*VLOOKUP(C63, Percentage_dist_journeys_by_mode_and_distance_6_to_8km[#All],MATCH(A63, Percentage_dist_journeys_by_mode_and_distance_6_to_8km[#Headers],0),0)/100</f>
        <v>0</v>
      </c>
      <c r="I63" s="72">
        <f>IF(B63="8+ kilometres",1,0)*VLOOKUP(C63, Percentage_dist_journeys_by_mode_and_distance_8km[#All],MATCH(A63, Percentage_dist_journeys_by_mode_and_distance_8km[#Headers],0),0)/100</f>
        <v>0</v>
      </c>
      <c r="J63" s="73">
        <f>VLOOKUP(B63,Average_Distance_by_kilometre_grouping_for_mode_type[#All],MATCH(A63,Average_Distance_by_kilometre_grouping_for_mode_type[#Headers],0),0)</f>
        <v>1</v>
      </c>
      <c r="K63" s="77">
        <f>VLOOKUP(C63, Adjustment_factor_for_distance_based_on_mode[#All],MATCH(A63, Adjustment_factor_for_distance_based_on_mode[#Headers],0),0)</f>
        <v>0.4825174825174825</v>
      </c>
      <c r="L63" s="78">
        <f>VLOOKUP($L$2, Total_Journeys_Per_Year[#All],MATCH(A63, Total_Journeys_Per_Year[#Headers],0),0)</f>
        <v>3165688023.0367908</v>
      </c>
      <c r="M63" s="35">
        <f t="shared" si="0"/>
        <v>3406324.5881445524</v>
      </c>
      <c r="N63" s="35">
        <f>VLOOKUP($N$2, Private_Vehicle_Kilometres_Car_Stock[#All],MATCH(A63, Private_Vehicle_Kilometres_Car_Stock[#Headers],0),0)</f>
        <v>29535056173</v>
      </c>
    </row>
    <row r="64" spans="1:14" x14ac:dyDescent="0.25">
      <c r="A64" s="79" t="s">
        <v>32</v>
      </c>
      <c r="B64" s="13" t="s">
        <v>181</v>
      </c>
      <c r="C64" s="14" t="s">
        <v>9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Percentage_dist_journeys_by_mode_and_distance_to_2km[#All],MATCH(A64, Percentage_dist_journeys_by_mode_and_distance_to_2km[#Headers],0),0)/100</f>
        <v>0</v>
      </c>
      <c r="F64" s="4">
        <f>IF(B64="2-4 kilometres",1,0)*VLOOKUP(C64, Percentage_dist_journeys_by_mode_and_distance_2_to_4km[#All],MATCH(A64, Percentage_dist_journeys_by_mode_and_distance_2_to_4km[#Headers],0),0)/100</f>
        <v>2.3E-2</v>
      </c>
      <c r="G64" s="72">
        <f>IF(B64="4-6 kilometres",1,0)*VLOOKUP(C64, Percentage_dist_journeys_by_mode_and_distance_4_to_6km[#All],MATCH(A64, Percentage_dist_journeys_by_mode_and_distance_4_to_6km[#Headers],0),0)/100</f>
        <v>0</v>
      </c>
      <c r="H64" s="4">
        <f>IF(B64="6-8 kilometres",1,0)*VLOOKUP(C64, Percentage_dist_journeys_by_mode_and_distance_6_to_8km[#All],MATCH(A64, Percentage_dist_journeys_by_mode_and_distance_6_to_8km[#Headers],0),0)/100</f>
        <v>0</v>
      </c>
      <c r="I64" s="72">
        <f>IF(B64="8+ kilometres",1,0)*VLOOKUP(C64, Percentage_dist_journeys_by_mode_and_distance_8km[#All],MATCH(A64, Percentage_dist_journeys_by_mode_and_distance_8km[#Headers],0),0)/100</f>
        <v>0</v>
      </c>
      <c r="J64" s="73">
        <f>VLOOKUP(B64,Average_Distance_by_kilometre_grouping_for_mode_type[#All],MATCH(A64,Average_Distance_by_kilometre_grouping_for_mode_type[#Headers],0),0)</f>
        <v>3</v>
      </c>
      <c r="K64" s="77">
        <f>VLOOKUP(C64, Adjustment_factor_for_distance_based_on_mode[#All],MATCH(A64, Adjustment_factor_for_distance_based_on_mode[#Headers],0),0)</f>
        <v>0.4825174825174825</v>
      </c>
      <c r="L64" s="78">
        <f>VLOOKUP($L$2, Total_Journeys_Per_Year[#All],MATCH(A64, Total_Journeys_Per_Year[#Headers],0),0)</f>
        <v>3165688023.0367908</v>
      </c>
      <c r="M64" s="35">
        <f t="shared" si="0"/>
        <v>19182342.680681296</v>
      </c>
      <c r="N64" s="35">
        <f>VLOOKUP($N$2, Private_Vehicle_Kilometres_Car_Stock[#All],MATCH(A64, Private_Vehicle_Kilometres_Car_Stock[#Headers],0),0)</f>
        <v>29535056173</v>
      </c>
    </row>
    <row r="65" spans="1:14" x14ac:dyDescent="0.25">
      <c r="A65" s="79" t="s">
        <v>32</v>
      </c>
      <c r="B65" s="13" t="s">
        <v>180</v>
      </c>
      <c r="C65" s="14" t="s">
        <v>9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Percentage_dist_journeys_by_mode_and_distance_to_2km[#All],MATCH(A65, Percentage_dist_journeys_by_mode_and_distance_to_2km[#Headers],0),0)/100</f>
        <v>0</v>
      </c>
      <c r="F65" s="4">
        <f>IF(B65="2-4 kilometres",1,0)*VLOOKUP(C65, Percentage_dist_journeys_by_mode_and_distance_2_to_4km[#All],MATCH(A65, Percentage_dist_journeys_by_mode_and_distance_2_to_4km[#Headers],0),0)/100</f>
        <v>0</v>
      </c>
      <c r="G65" s="72">
        <f>IF(B65="4-6 kilometres",1,0)*VLOOKUP(C65, Percentage_dist_journeys_by_mode_and_distance_4_to_6km[#All],MATCH(A65, Percentage_dist_journeys_by_mode_and_distance_4_to_6km[#Headers],0),0)/100</f>
        <v>1.7000000000000001E-2</v>
      </c>
      <c r="H65" s="4">
        <f>IF(B65="6-8 kilometres",1,0)*VLOOKUP(C65, Percentage_dist_journeys_by_mode_and_distance_6_to_8km[#All],MATCH(A65, Percentage_dist_journeys_by_mode_and_distance_6_to_8km[#Headers],0),0)/100</f>
        <v>0</v>
      </c>
      <c r="I65" s="72">
        <f>IF(B65="8+ kilometres",1,0)*VLOOKUP(C65, Percentage_dist_journeys_by_mode_and_distance_8km[#All],MATCH(A65, Percentage_dist_journeys_by_mode_and_distance_8km[#Headers],0),0)/100</f>
        <v>0</v>
      </c>
      <c r="J65" s="73">
        <f>VLOOKUP(B65,Average_Distance_by_kilometre_grouping_for_mode_type[#All],MATCH(A65,Average_Distance_by_kilometre_grouping_for_mode_type[#Headers],0),0)</f>
        <v>5</v>
      </c>
      <c r="K65" s="77">
        <f>VLOOKUP(C65, Adjustment_factor_for_distance_based_on_mode[#All],MATCH(A65, Adjustment_factor_for_distance_based_on_mode[#Headers],0),0)</f>
        <v>0.4825174825174825</v>
      </c>
      <c r="L65" s="78">
        <f>VLOOKUP($L$2, Total_Journeys_Per_Year[#All],MATCH(A65, Total_Journeys_Per_Year[#Headers],0),0)</f>
        <v>3165688023.0367908</v>
      </c>
      <c r="M65" s="35">
        <f t="shared" si="0"/>
        <v>15190985.663272452</v>
      </c>
      <c r="N65" s="35">
        <f>VLOOKUP($N$2, Private_Vehicle_Kilometres_Car_Stock[#All],MATCH(A65, Private_Vehicle_Kilometres_Car_Stock[#Headers],0),0)</f>
        <v>29535056173</v>
      </c>
    </row>
    <row r="66" spans="1:14" x14ac:dyDescent="0.25">
      <c r="A66" s="79" t="s">
        <v>32</v>
      </c>
      <c r="B66" s="13" t="s">
        <v>182</v>
      </c>
      <c r="C66" s="14" t="s">
        <v>9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Percentage_dist_journeys_by_mode_and_distance_to_2km[#All],MATCH(A66, Percentage_dist_journeys_by_mode_and_distance_to_2km[#Headers],0),0)/100</f>
        <v>0</v>
      </c>
      <c r="F66" s="4">
        <f>IF(B66="2-4 kilometres",1,0)*VLOOKUP(C66, Percentage_dist_journeys_by_mode_and_distance_2_to_4km[#All],MATCH(A66, Percentage_dist_journeys_by_mode_and_distance_2_to_4km[#Headers],0),0)/100</f>
        <v>0</v>
      </c>
      <c r="G66" s="72">
        <f>IF(B66="4-6 kilometres",1,0)*VLOOKUP(C66, Percentage_dist_journeys_by_mode_and_distance_4_to_6km[#All],MATCH(A66, Percentage_dist_journeys_by_mode_and_distance_4_to_6km[#Headers],0),0)/100</f>
        <v>0</v>
      </c>
      <c r="H66" s="4">
        <f>IF(B66="6-8 kilometres",1,0)*VLOOKUP(C66, Percentage_dist_journeys_by_mode_and_distance_6_to_8km[#All],MATCH(A66, Percentage_dist_journeys_by_mode_and_distance_6_to_8km[#Headers],0),0)/100</f>
        <v>1.3999999999999999E-2</v>
      </c>
      <c r="I66" s="72">
        <f>IF(B66="8+ kilometres",1,0)*VLOOKUP(C66, Percentage_dist_journeys_by_mode_and_distance_8km[#All],MATCH(A66, Percentage_dist_journeys_by_mode_and_distance_8km[#Headers],0),0)/100</f>
        <v>0</v>
      </c>
      <c r="J66" s="73">
        <f>VLOOKUP(B66,Average_Distance_by_kilometre_grouping_for_mode_type[#All],MATCH(A66,Average_Distance_by_kilometre_grouping_for_mode_type[#Headers],0),0)</f>
        <v>7</v>
      </c>
      <c r="K66" s="77">
        <f>VLOOKUP(C66, Adjustment_factor_for_distance_based_on_mode[#All],MATCH(A66, Adjustment_factor_for_distance_based_on_mode[#Headers],0),0)</f>
        <v>0.4825174825174825</v>
      </c>
      <c r="L66" s="78">
        <f>VLOOKUP($L$2, Total_Journeys_Per_Year[#All],MATCH(A66, Total_Journeys_Per_Year[#Headers],0),0)</f>
        <v>3165688023.0367908</v>
      </c>
      <c r="M66" s="35">
        <f t="shared" si="0"/>
        <v>8981698.9140313752</v>
      </c>
      <c r="N66" s="35">
        <f>VLOOKUP($N$2, Private_Vehicle_Kilometres_Car_Stock[#All],MATCH(A66, Private_Vehicle_Kilometres_Car_Stock[#Headers],0),0)</f>
        <v>29535056173</v>
      </c>
    </row>
    <row r="67" spans="1:14" x14ac:dyDescent="0.25">
      <c r="A67" s="79" t="s">
        <v>32</v>
      </c>
      <c r="B67" s="13" t="s">
        <v>1</v>
      </c>
      <c r="C67" s="14" t="s">
        <v>9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Percentage_dist_journeys_by_mode_and_distance_to_2km[#All],MATCH(A67, Percentage_dist_journeys_by_mode_and_distance_to_2km[#Headers],0),0)/100</f>
        <v>0</v>
      </c>
      <c r="F67" s="4">
        <f>IF(B67="2-4 kilometres",1,0)*VLOOKUP(C67, Percentage_dist_journeys_by_mode_and_distance_2_to_4km[#All],MATCH(A67, Percentage_dist_journeys_by_mode_and_distance_2_to_4km[#Headers],0),0)/100</f>
        <v>0</v>
      </c>
      <c r="G67" s="72">
        <f>IF(B67="4-6 kilometres",1,0)*VLOOKUP(C67, Percentage_dist_journeys_by_mode_and_distance_4_to_6km[#All],MATCH(A67, Percentage_dist_journeys_by_mode_and_distance_4_to_6km[#Headers],0),0)/100</f>
        <v>0</v>
      </c>
      <c r="H67" s="4">
        <f>IF(B67="6-8 kilometres",1,0)*VLOOKUP(C67, Percentage_dist_journeys_by_mode_and_distance_6_to_8km[#All],MATCH(A67, Percentage_dist_journeys_by_mode_and_distance_6_to_8km[#Headers],0),0)/100</f>
        <v>0</v>
      </c>
      <c r="I67" s="72">
        <f>IF(B67="8+ kilometres",1,0)*VLOOKUP(C67, Percentage_dist_journeys_by_mode_and_distance_8km[#All],MATCH(A67, Percentage_dist_journeys_by_mode_and_distance_8km[#Headers],0),0)/100</f>
        <v>6.0000000000000001E-3</v>
      </c>
      <c r="J67" s="73">
        <f>VLOOKUP(B67,Average_Distance_by_kilometre_grouping_for_mode_type[#All],MATCH(A67,Average_Distance_by_kilometre_grouping_for_mode_type[#Headers],0),0)</f>
        <v>31.75</v>
      </c>
      <c r="K67" s="77">
        <f>VLOOKUP(C67, Adjustment_factor_for_distance_based_on_mode[#All],MATCH(A67, Adjustment_factor_for_distance_based_on_mode[#Headers],0),0)</f>
        <v>0.4825174825174825</v>
      </c>
      <c r="L67" s="78">
        <f>VLOOKUP($L$2, Total_Journeys_Per_Year[#All],MATCH(A67, Total_Journeys_Per_Year[#Headers],0),0)</f>
        <v>3165688023.0367908</v>
      </c>
      <c r="M67" s="35">
        <f t="shared" si="0"/>
        <v>121924271.50825295</v>
      </c>
      <c r="N67" s="35">
        <f>VLOOKUP($N$2, Private_Vehicle_Kilometres_Car_Stock[#All],MATCH(A67, Private_Vehicle_Kilometres_Car_Stock[#Headers],0),0)</f>
        <v>29535056173</v>
      </c>
    </row>
    <row r="68" spans="1:14" x14ac:dyDescent="0.25">
      <c r="A68" s="79" t="s">
        <v>32</v>
      </c>
      <c r="B68" s="13" t="s">
        <v>12</v>
      </c>
      <c r="C68" s="14" t="s">
        <v>10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Percentage_dist_journeys_by_mode_and_distance_to_2km[#All],MATCH(A68, Percentage_dist_journeys_by_mode_and_distance_to_2km[#Headers],0),0)/100</f>
        <v>1E-3</v>
      </c>
      <c r="F68" s="4">
        <f>IF(B68="2-4 kilometres",1,0)*VLOOKUP(C68, Percentage_dist_journeys_by_mode_and_distance_2_to_4km[#All],MATCH(A68, Percentage_dist_journeys_by_mode_and_distance_2_to_4km[#Headers],0),0)/100</f>
        <v>0</v>
      </c>
      <c r="G68" s="72">
        <f>IF(B68="4-6 kilometres",1,0)*VLOOKUP(C68, Percentage_dist_journeys_by_mode_and_distance_4_to_6km[#All],MATCH(A68, Percentage_dist_journeys_by_mode_and_distance_4_to_6km[#Headers],0),0)/100</f>
        <v>0</v>
      </c>
      <c r="H68" s="4">
        <f>IF(B68="6-8 kilometres",1,0)*VLOOKUP(C68, Percentage_dist_journeys_by_mode_and_distance_6_to_8km[#All],MATCH(A68, Percentage_dist_journeys_by_mode_and_distance_6_to_8km[#Headers],0),0)/100</f>
        <v>0</v>
      </c>
      <c r="I68" s="72">
        <f>IF(B68="8+ kilometres",1,0)*VLOOKUP(C68, Percentage_dist_journeys_by_mode_and_distance_8km[#All],MATCH(A68, Percentage_dist_journeys_by_mode_and_distance_8km[#Headers],0),0)/100</f>
        <v>0</v>
      </c>
      <c r="J68" s="73">
        <f>VLOOKUP(B68,Average_Distance_by_kilometre_grouping_for_mode_type[#All],MATCH(A68,Average_Distance_by_kilometre_grouping_for_mode_type[#Headers],0),0)</f>
        <v>1</v>
      </c>
      <c r="K68" s="77">
        <f>VLOOKUP(C68, Adjustment_factor_for_distance_based_on_mode[#All],MATCH(A68, Adjustment_factor_for_distance_based_on_mode[#Headers],0),0)</f>
        <v>2.0489510489510487</v>
      </c>
      <c r="L68" s="78">
        <f>VLOOKUP($L$2, Total_Journeys_Per_Year[#All],MATCH(A68, Total_Journeys_Per_Year[#Headers],0),0)</f>
        <v>3165688023.0367908</v>
      </c>
      <c r="M68" s="35">
        <f t="shared" ref="M68:M131" si="1">D68*(SUM(E68:I68))*J68*K68*L68</f>
        <v>1446453.7743860199</v>
      </c>
      <c r="N68" s="35">
        <f>VLOOKUP($N$2, Private_Vehicle_Kilometres_Car_Stock[#All],MATCH(A68, Private_Vehicle_Kilometres_Car_Stock[#Headers],0),0)</f>
        <v>29535056173</v>
      </c>
    </row>
    <row r="69" spans="1:14" x14ac:dyDescent="0.25">
      <c r="A69" s="79" t="s">
        <v>32</v>
      </c>
      <c r="B69" s="13" t="s">
        <v>181</v>
      </c>
      <c r="C69" s="14" t="s">
        <v>10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Percentage_dist_journeys_by_mode_and_distance_to_2km[#All],MATCH(A69, Percentage_dist_journeys_by_mode_and_distance_to_2km[#Headers],0),0)/100</f>
        <v>0</v>
      </c>
      <c r="F69" s="4">
        <f>IF(B69="2-4 kilometres",1,0)*VLOOKUP(C69, Percentage_dist_journeys_by_mode_and_distance_2_to_4km[#All],MATCH(A69, Percentage_dist_journeys_by_mode_and_distance_2_to_4km[#Headers],0),0)/100</f>
        <v>5.0000000000000001E-3</v>
      </c>
      <c r="G69" s="72">
        <f>IF(B69="4-6 kilometres",1,0)*VLOOKUP(C69, Percentage_dist_journeys_by_mode_and_distance_4_to_6km[#All],MATCH(A69, Percentage_dist_journeys_by_mode_and_distance_4_to_6km[#Headers],0),0)/100</f>
        <v>0</v>
      </c>
      <c r="H69" s="4">
        <f>IF(B69="6-8 kilometres",1,0)*VLOOKUP(C69, Percentage_dist_journeys_by_mode_and_distance_6_to_8km[#All],MATCH(A69, Percentage_dist_journeys_by_mode_and_distance_6_to_8km[#Headers],0),0)/100</f>
        <v>0</v>
      </c>
      <c r="I69" s="72">
        <f>IF(B69="8+ kilometres",1,0)*VLOOKUP(C69, Percentage_dist_journeys_by_mode_and_distance_8km[#All],MATCH(A69, Percentage_dist_journeys_by_mode_and_distance_8km[#Headers],0),0)/100</f>
        <v>0</v>
      </c>
      <c r="J69" s="73">
        <f>VLOOKUP(B69,Average_Distance_by_kilometre_grouping_for_mode_type[#All],MATCH(A69,Average_Distance_by_kilometre_grouping_for_mode_type[#Headers],0),0)</f>
        <v>3</v>
      </c>
      <c r="K69" s="77">
        <f>VLOOKUP(C69, Adjustment_factor_for_distance_based_on_mode[#All],MATCH(A69, Adjustment_factor_for_distance_based_on_mode[#Headers],0),0)</f>
        <v>2.0489510489510487</v>
      </c>
      <c r="L69" s="78">
        <f>VLOOKUP($L$2, Total_Journeys_Per_Year[#All],MATCH(A69, Total_Journeys_Per_Year[#Headers],0),0)</f>
        <v>3165688023.0367908</v>
      </c>
      <c r="M69" s="35">
        <f t="shared" si="1"/>
        <v>17707707.641586699</v>
      </c>
      <c r="N69" s="35">
        <f>VLOOKUP($N$2, Private_Vehicle_Kilometres_Car_Stock[#All],MATCH(A69, Private_Vehicle_Kilometres_Car_Stock[#Headers],0),0)</f>
        <v>29535056173</v>
      </c>
    </row>
    <row r="70" spans="1:14" x14ac:dyDescent="0.25">
      <c r="A70" s="79" t="s">
        <v>32</v>
      </c>
      <c r="B70" s="13" t="s">
        <v>180</v>
      </c>
      <c r="C70" s="14" t="s">
        <v>10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Percentage_dist_journeys_by_mode_and_distance_to_2km[#All],MATCH(A70, Percentage_dist_journeys_by_mode_and_distance_to_2km[#Headers],0),0)/100</f>
        <v>0</v>
      </c>
      <c r="F70" s="4">
        <f>IF(B70="2-4 kilometres",1,0)*VLOOKUP(C70, Percentage_dist_journeys_by_mode_and_distance_2_to_4km[#All],MATCH(A70, Percentage_dist_journeys_by_mode_and_distance_2_to_4km[#Headers],0),0)/100</f>
        <v>0</v>
      </c>
      <c r="G70" s="72">
        <f>IF(B70="4-6 kilometres",1,0)*VLOOKUP(C70, Percentage_dist_journeys_by_mode_and_distance_4_to_6km[#All],MATCH(A70, Percentage_dist_journeys_by_mode_and_distance_4_to_6km[#Headers],0),0)/100</f>
        <v>1.3999999999999999E-2</v>
      </c>
      <c r="H70" s="4">
        <f>IF(B70="6-8 kilometres",1,0)*VLOOKUP(C70, Percentage_dist_journeys_by_mode_and_distance_6_to_8km[#All],MATCH(A70, Percentage_dist_journeys_by_mode_and_distance_6_to_8km[#Headers],0),0)/100</f>
        <v>0</v>
      </c>
      <c r="I70" s="72">
        <f>IF(B70="8+ kilometres",1,0)*VLOOKUP(C70, Percentage_dist_journeys_by_mode_and_distance_8km[#All],MATCH(A70, Percentage_dist_journeys_by_mode_and_distance_8km[#Headers],0),0)/100</f>
        <v>0</v>
      </c>
      <c r="J70" s="73">
        <f>VLOOKUP(B70,Average_Distance_by_kilometre_grouping_for_mode_type[#All],MATCH(A70,Average_Distance_by_kilometre_grouping_for_mode_type[#Headers],0),0)</f>
        <v>5</v>
      </c>
      <c r="K70" s="77">
        <f>VLOOKUP(C70, Adjustment_factor_for_distance_based_on_mode[#All],MATCH(A70, Adjustment_factor_for_distance_based_on_mode[#Headers],0),0)</f>
        <v>2.0489510489510487</v>
      </c>
      <c r="L70" s="78">
        <f>VLOOKUP($L$2, Total_Journeys_Per_Year[#All],MATCH(A70, Total_Journeys_Per_Year[#Headers],0),0)</f>
        <v>3165688023.0367908</v>
      </c>
      <c r="M70" s="35">
        <f t="shared" si="1"/>
        <v>53123122.924760103</v>
      </c>
      <c r="N70" s="35">
        <f>VLOOKUP($N$2, Private_Vehicle_Kilometres_Car_Stock[#All],MATCH(A70, Private_Vehicle_Kilometres_Car_Stock[#Headers],0),0)</f>
        <v>29535056173</v>
      </c>
    </row>
    <row r="71" spans="1:14" x14ac:dyDescent="0.25">
      <c r="A71" s="79" t="s">
        <v>32</v>
      </c>
      <c r="B71" s="13" t="s">
        <v>182</v>
      </c>
      <c r="C71" s="14" t="s">
        <v>10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Percentage_dist_journeys_by_mode_and_distance_to_2km[#All],MATCH(A71, Percentage_dist_journeys_by_mode_and_distance_to_2km[#Headers],0),0)/100</f>
        <v>0</v>
      </c>
      <c r="F71" s="4">
        <f>IF(B71="2-4 kilometres",1,0)*VLOOKUP(C71, Percentage_dist_journeys_by_mode_and_distance_2_to_4km[#All],MATCH(A71, Percentage_dist_journeys_by_mode_and_distance_2_to_4km[#Headers],0),0)/100</f>
        <v>0</v>
      </c>
      <c r="G71" s="72">
        <f>IF(B71="4-6 kilometres",1,0)*VLOOKUP(C71, Percentage_dist_journeys_by_mode_and_distance_4_to_6km[#All],MATCH(A71, Percentage_dist_journeys_by_mode_and_distance_4_to_6km[#Headers],0),0)/100</f>
        <v>0</v>
      </c>
      <c r="H71" s="4">
        <f>IF(B71="6-8 kilometres",1,0)*VLOOKUP(C71, Percentage_dist_journeys_by_mode_and_distance_6_to_8km[#All],MATCH(A71, Percentage_dist_journeys_by_mode_and_distance_6_to_8km[#Headers],0),0)/100</f>
        <v>1.4999999999999999E-2</v>
      </c>
      <c r="I71" s="72">
        <f>IF(B71="8+ kilometres",1,0)*VLOOKUP(C71, Percentage_dist_journeys_by_mode_and_distance_8km[#All],MATCH(A71, Percentage_dist_journeys_by_mode_and_distance_8km[#Headers],0),0)/100</f>
        <v>0</v>
      </c>
      <c r="J71" s="73">
        <f>VLOOKUP(B71,Average_Distance_by_kilometre_grouping_for_mode_type[#All],MATCH(A71,Average_Distance_by_kilometre_grouping_for_mode_type[#Headers],0),0)</f>
        <v>7</v>
      </c>
      <c r="K71" s="77">
        <f>VLOOKUP(C71, Adjustment_factor_for_distance_based_on_mode[#All],MATCH(A71, Adjustment_factor_for_distance_based_on_mode[#Headers],0),0)</f>
        <v>2.0489510489510487</v>
      </c>
      <c r="L71" s="78">
        <f>VLOOKUP($L$2, Total_Journeys_Per_Year[#All],MATCH(A71, Total_Journeys_Per_Year[#Headers],0),0)</f>
        <v>3165688023.0367908</v>
      </c>
      <c r="M71" s="35">
        <f t="shared" si="1"/>
        <v>40863940.711353928</v>
      </c>
      <c r="N71" s="35">
        <f>VLOOKUP($N$2, Private_Vehicle_Kilometres_Car_Stock[#All],MATCH(A71, Private_Vehicle_Kilometres_Car_Stock[#Headers],0),0)</f>
        <v>29535056173</v>
      </c>
    </row>
    <row r="72" spans="1:14" x14ac:dyDescent="0.25">
      <c r="A72" s="79" t="s">
        <v>32</v>
      </c>
      <c r="B72" s="13" t="s">
        <v>1</v>
      </c>
      <c r="C72" s="14" t="s">
        <v>10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Percentage_dist_journeys_by_mode_and_distance_to_2km[#All],MATCH(A72, Percentage_dist_journeys_by_mode_and_distance_to_2km[#Headers],0),0)/100</f>
        <v>0</v>
      </c>
      <c r="F72" s="4">
        <f>IF(B72="2-4 kilometres",1,0)*VLOOKUP(C72, Percentage_dist_journeys_by_mode_and_distance_2_to_4km[#All],MATCH(A72, Percentage_dist_journeys_by_mode_and_distance_2_to_4km[#Headers],0),0)/100</f>
        <v>0</v>
      </c>
      <c r="G72" s="72">
        <f>IF(B72="4-6 kilometres",1,0)*VLOOKUP(C72, Percentage_dist_journeys_by_mode_and_distance_4_to_6km[#All],MATCH(A72, Percentage_dist_journeys_by_mode_and_distance_4_to_6km[#Headers],0),0)/100</f>
        <v>0</v>
      </c>
      <c r="H72" s="4">
        <f>IF(B72="6-8 kilometres",1,0)*VLOOKUP(C72, Percentage_dist_journeys_by_mode_and_distance_6_to_8km[#All],MATCH(A72, Percentage_dist_journeys_by_mode_and_distance_6_to_8km[#Headers],0),0)/100</f>
        <v>0</v>
      </c>
      <c r="I72" s="72">
        <f>IF(B72="8+ kilometres",1,0)*VLOOKUP(C72, Percentage_dist_journeys_by_mode_and_distance_8km[#All],MATCH(A72, Percentage_dist_journeys_by_mode_and_distance_8km[#Headers],0),0)/100</f>
        <v>2.3E-2</v>
      </c>
      <c r="J72" s="73">
        <f>VLOOKUP(B72,Average_Distance_by_kilometre_grouping_for_mode_type[#All],MATCH(A72,Average_Distance_by_kilometre_grouping_for_mode_type[#Headers],0),0)</f>
        <v>31.75</v>
      </c>
      <c r="K72" s="77">
        <f>VLOOKUP(C72, Adjustment_factor_for_distance_based_on_mode[#All],MATCH(A72, Adjustment_factor_for_distance_based_on_mode[#Headers],0),0)</f>
        <v>2.0489510489510487</v>
      </c>
      <c r="L72" s="78">
        <f>VLOOKUP($L$2, Total_Journeys_Per_Year[#All],MATCH(A72, Total_Journeys_Per_Year[#Headers],0),0)</f>
        <v>3165688023.0367908</v>
      </c>
      <c r="M72" s="35">
        <f t="shared" si="1"/>
        <v>1984656197.3287842</v>
      </c>
      <c r="N72" s="35">
        <f>VLOOKUP($N$2, Private_Vehicle_Kilometres_Car_Stock[#All],MATCH(A72, Private_Vehicle_Kilometres_Car_Stock[#Headers],0),0)</f>
        <v>29535056173</v>
      </c>
    </row>
    <row r="73" spans="1:14" x14ac:dyDescent="0.25">
      <c r="A73" s="79" t="s">
        <v>32</v>
      </c>
      <c r="B73" s="13" t="s">
        <v>12</v>
      </c>
      <c r="C73" s="14" t="s">
        <v>11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Percentage_dist_journeys_by_mode_and_distance_to_2km[#All],MATCH(A73, Percentage_dist_journeys_by_mode_and_distance_to_2km[#Headers],0),0)/100</f>
        <v>5.0000000000000001E-3</v>
      </c>
      <c r="F73" s="4">
        <f>IF(B73="2-4 kilometres",1,0)*VLOOKUP(C73, Percentage_dist_journeys_by_mode_and_distance_2_to_4km[#All],MATCH(A73, Percentage_dist_journeys_by_mode_and_distance_2_to_4km[#Headers],0),0)/100</f>
        <v>0</v>
      </c>
      <c r="G73" s="72">
        <f>IF(B73="4-6 kilometres",1,0)*VLOOKUP(C73, Percentage_dist_journeys_by_mode_and_distance_4_to_6km[#All],MATCH(A73, Percentage_dist_journeys_by_mode_and_distance_4_to_6km[#Headers],0),0)/100</f>
        <v>0</v>
      </c>
      <c r="H73" s="4">
        <f>IF(B73="6-8 kilometres",1,0)*VLOOKUP(C73, Percentage_dist_journeys_by_mode_and_distance_6_to_8km[#All],MATCH(A73, Percentage_dist_journeys_by_mode_and_distance_6_to_8km[#Headers],0),0)/100</f>
        <v>0</v>
      </c>
      <c r="I73" s="72">
        <f>IF(B73="8+ kilometres",1,0)*VLOOKUP(C73, Percentage_dist_journeys_by_mode_and_distance_8km[#All],MATCH(A73, Percentage_dist_journeys_by_mode_and_distance_8km[#Headers],0),0)/100</f>
        <v>0</v>
      </c>
      <c r="J73" s="73">
        <f>VLOOKUP(B73,Average_Distance_by_kilometre_grouping_for_mode_type[#All],MATCH(A73,Average_Distance_by_kilometre_grouping_for_mode_type[#Headers],0),0)</f>
        <v>1</v>
      </c>
      <c r="K73" s="77">
        <f>VLOOKUP(C73, Adjustment_factor_for_distance_based_on_mode[#All],MATCH(A73, Adjustment_factor_for_distance_based_on_mode[#Headers],0),0)</f>
        <v>0.71328671328671323</v>
      </c>
      <c r="L73" s="78">
        <f>VLOOKUP($L$2, Total_Journeys_Per_Year[#All],MATCH(A73, Total_Journeys_Per_Year[#Headers],0),0)</f>
        <v>3165688023.0367908</v>
      </c>
      <c r="M73" s="35">
        <f t="shared" si="1"/>
        <v>2517718.1738459733</v>
      </c>
      <c r="N73" s="35">
        <f>VLOOKUP($N$2, Private_Vehicle_Kilometres_Car_Stock[#All],MATCH(A73, Private_Vehicle_Kilometres_Car_Stock[#Headers],0),0)</f>
        <v>29535056173</v>
      </c>
    </row>
    <row r="74" spans="1:14" x14ac:dyDescent="0.25">
      <c r="A74" s="79" t="s">
        <v>32</v>
      </c>
      <c r="B74" s="13" t="s">
        <v>181</v>
      </c>
      <c r="C74" s="14" t="s">
        <v>11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Percentage_dist_journeys_by_mode_and_distance_to_2km[#All],MATCH(A74, Percentage_dist_journeys_by_mode_and_distance_to_2km[#Headers],0),0)/100</f>
        <v>0</v>
      </c>
      <c r="F74" s="4">
        <f>IF(B74="2-4 kilometres",1,0)*VLOOKUP(C74, Percentage_dist_journeys_by_mode_and_distance_2_to_4km[#All],MATCH(A74, Percentage_dist_journeys_by_mode_and_distance_2_to_4km[#Headers],0),0)/100</f>
        <v>1.2E-2</v>
      </c>
      <c r="G74" s="72">
        <f>IF(B74="4-6 kilometres",1,0)*VLOOKUP(C74, Percentage_dist_journeys_by_mode_and_distance_4_to_6km[#All],MATCH(A74, Percentage_dist_journeys_by_mode_and_distance_4_to_6km[#Headers],0),0)/100</f>
        <v>0</v>
      </c>
      <c r="H74" s="4">
        <f>IF(B74="6-8 kilometres",1,0)*VLOOKUP(C74, Percentage_dist_journeys_by_mode_and_distance_6_to_8km[#All],MATCH(A74, Percentage_dist_journeys_by_mode_and_distance_6_to_8km[#Headers],0),0)/100</f>
        <v>0</v>
      </c>
      <c r="I74" s="72">
        <f>IF(B74="8+ kilometres",1,0)*VLOOKUP(C74, Percentage_dist_journeys_by_mode_and_distance_8km[#All],MATCH(A74, Percentage_dist_journeys_by_mode_and_distance_8km[#Headers],0),0)/100</f>
        <v>0</v>
      </c>
      <c r="J74" s="73">
        <f>VLOOKUP(B74,Average_Distance_by_kilometre_grouping_for_mode_type[#All],MATCH(A74,Average_Distance_by_kilometre_grouping_for_mode_type[#Headers],0),0)</f>
        <v>3</v>
      </c>
      <c r="K74" s="77">
        <f>VLOOKUP(C74, Adjustment_factor_for_distance_based_on_mode[#All],MATCH(A74, Adjustment_factor_for_distance_based_on_mode[#Headers],0),0)</f>
        <v>0.71328671328671323</v>
      </c>
      <c r="L74" s="78">
        <f>VLOOKUP($L$2, Total_Journeys_Per_Year[#All],MATCH(A74, Total_Journeys_Per_Year[#Headers],0),0)</f>
        <v>3165688023.0367908</v>
      </c>
      <c r="M74" s="35">
        <f t="shared" si="1"/>
        <v>14794699.080752306</v>
      </c>
      <c r="N74" s="35">
        <f>VLOOKUP($N$2, Private_Vehicle_Kilometres_Car_Stock[#All],MATCH(A74, Private_Vehicle_Kilometres_Car_Stock[#Headers],0),0)</f>
        <v>29535056173</v>
      </c>
    </row>
    <row r="75" spans="1:14" x14ac:dyDescent="0.25">
      <c r="A75" s="79" t="s">
        <v>32</v>
      </c>
      <c r="B75" s="13" t="s">
        <v>180</v>
      </c>
      <c r="C75" s="14" t="s">
        <v>11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Percentage_dist_journeys_by_mode_and_distance_to_2km[#All],MATCH(A75, Percentage_dist_journeys_by_mode_and_distance_to_2km[#Headers],0),0)/100</f>
        <v>0</v>
      </c>
      <c r="F75" s="4">
        <f>IF(B75="2-4 kilometres",1,0)*VLOOKUP(C75, Percentage_dist_journeys_by_mode_and_distance_2_to_4km[#All],MATCH(A75, Percentage_dist_journeys_by_mode_and_distance_2_to_4km[#Headers],0),0)/100</f>
        <v>0</v>
      </c>
      <c r="G75" s="72">
        <f>IF(B75="4-6 kilometres",1,0)*VLOOKUP(C75, Percentage_dist_journeys_by_mode_and_distance_4_to_6km[#All],MATCH(A75, Percentage_dist_journeys_by_mode_and_distance_4_to_6km[#Headers],0),0)/100</f>
        <v>1.2E-2</v>
      </c>
      <c r="H75" s="4">
        <f>IF(B75="6-8 kilometres",1,0)*VLOOKUP(C75, Percentage_dist_journeys_by_mode_and_distance_6_to_8km[#All],MATCH(A75, Percentage_dist_journeys_by_mode_and_distance_6_to_8km[#Headers],0),0)/100</f>
        <v>0</v>
      </c>
      <c r="I75" s="72">
        <f>IF(B75="8+ kilometres",1,0)*VLOOKUP(C75, Percentage_dist_journeys_by_mode_and_distance_8km[#All],MATCH(A75, Percentage_dist_journeys_by_mode_and_distance_8km[#Headers],0),0)/100</f>
        <v>0</v>
      </c>
      <c r="J75" s="73">
        <f>VLOOKUP(B75,Average_Distance_by_kilometre_grouping_for_mode_type[#All],MATCH(A75,Average_Distance_by_kilometre_grouping_for_mode_type[#Headers],0),0)</f>
        <v>5</v>
      </c>
      <c r="K75" s="77">
        <f>VLOOKUP(C75, Adjustment_factor_for_distance_based_on_mode[#All],MATCH(A75, Adjustment_factor_for_distance_based_on_mode[#Headers],0),0)</f>
        <v>0.71328671328671323</v>
      </c>
      <c r="L75" s="78">
        <f>VLOOKUP($L$2, Total_Journeys_Per_Year[#All],MATCH(A75, Total_Journeys_Per_Year[#Headers],0),0)</f>
        <v>3165688023.0367908</v>
      </c>
      <c r="M75" s="35">
        <f t="shared" si="1"/>
        <v>15851463.300806038</v>
      </c>
      <c r="N75" s="35">
        <f>VLOOKUP($N$2, Private_Vehicle_Kilometres_Car_Stock[#All],MATCH(A75, Private_Vehicle_Kilometres_Car_Stock[#Headers],0),0)</f>
        <v>29535056173</v>
      </c>
    </row>
    <row r="76" spans="1:14" x14ac:dyDescent="0.25">
      <c r="A76" s="79" t="s">
        <v>32</v>
      </c>
      <c r="B76" s="13" t="s">
        <v>182</v>
      </c>
      <c r="C76" s="14" t="s">
        <v>11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Percentage_dist_journeys_by_mode_and_distance_to_2km[#All],MATCH(A76, Percentage_dist_journeys_by_mode_and_distance_to_2km[#Headers],0),0)/100</f>
        <v>0</v>
      </c>
      <c r="F76" s="4">
        <f>IF(B76="2-4 kilometres",1,0)*VLOOKUP(C76, Percentage_dist_journeys_by_mode_and_distance_2_to_4km[#All],MATCH(A76, Percentage_dist_journeys_by_mode_and_distance_2_to_4km[#Headers],0),0)/100</f>
        <v>0</v>
      </c>
      <c r="G76" s="72">
        <f>IF(B76="4-6 kilometres",1,0)*VLOOKUP(C76, Percentage_dist_journeys_by_mode_and_distance_4_to_6km[#All],MATCH(A76, Percentage_dist_journeys_by_mode_and_distance_4_to_6km[#Headers],0),0)/100</f>
        <v>0</v>
      </c>
      <c r="H76" s="4">
        <f>IF(B76="6-8 kilometres",1,0)*VLOOKUP(C76, Percentage_dist_journeys_by_mode_and_distance_6_to_8km[#All],MATCH(A76, Percentage_dist_journeys_by_mode_and_distance_6_to_8km[#Headers],0),0)/100</f>
        <v>1.8000000000000002E-2</v>
      </c>
      <c r="I76" s="72">
        <f>IF(B76="8+ kilometres",1,0)*VLOOKUP(C76, Percentage_dist_journeys_by_mode_and_distance_8km[#All],MATCH(A76, Percentage_dist_journeys_by_mode_and_distance_8km[#Headers],0),0)/100</f>
        <v>0</v>
      </c>
      <c r="J76" s="73">
        <f>VLOOKUP(B76,Average_Distance_by_kilometre_grouping_for_mode_type[#All],MATCH(A76,Average_Distance_by_kilometre_grouping_for_mode_type[#Headers],0),0)</f>
        <v>7</v>
      </c>
      <c r="K76" s="77">
        <f>VLOOKUP(C76, Adjustment_factor_for_distance_based_on_mode[#All],MATCH(A76, Adjustment_factor_for_distance_based_on_mode[#Headers],0),0)</f>
        <v>0.71328671328671323</v>
      </c>
      <c r="L76" s="78">
        <f>VLOOKUP($L$2, Total_Journeys_Per_Year[#All],MATCH(A76, Total_Journeys_Per_Year[#Headers],0),0)</f>
        <v>3165688023.0367908</v>
      </c>
      <c r="M76" s="35">
        <f t="shared" si="1"/>
        <v>17070806.631637271</v>
      </c>
      <c r="N76" s="35">
        <f>VLOOKUP($N$2, Private_Vehicle_Kilometres_Car_Stock[#All],MATCH(A76, Private_Vehicle_Kilometres_Car_Stock[#Headers],0),0)</f>
        <v>29535056173</v>
      </c>
    </row>
    <row r="77" spans="1:14" x14ac:dyDescent="0.25">
      <c r="A77" s="79" t="s">
        <v>32</v>
      </c>
      <c r="B77" s="13" t="s">
        <v>1</v>
      </c>
      <c r="C77" s="14" t="s">
        <v>11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Percentage_dist_journeys_by_mode_and_distance_to_2km[#All],MATCH(A77, Percentage_dist_journeys_by_mode_and_distance_to_2km[#Headers],0),0)/100</f>
        <v>0</v>
      </c>
      <c r="F77" s="4">
        <f>IF(B77="2-4 kilometres",1,0)*VLOOKUP(C77, Percentage_dist_journeys_by_mode_and_distance_2_to_4km[#All],MATCH(A77, Percentage_dist_journeys_by_mode_and_distance_2_to_4km[#Headers],0),0)/100</f>
        <v>0</v>
      </c>
      <c r="G77" s="72">
        <f>IF(B77="4-6 kilometres",1,0)*VLOOKUP(C77, Percentage_dist_journeys_by_mode_and_distance_4_to_6km[#All],MATCH(A77, Percentage_dist_journeys_by_mode_and_distance_4_to_6km[#Headers],0),0)/100</f>
        <v>0</v>
      </c>
      <c r="H77" s="4">
        <f>IF(B77="6-8 kilometres",1,0)*VLOOKUP(C77, Percentage_dist_journeys_by_mode_and_distance_6_to_8km[#All],MATCH(A77, Percentage_dist_journeys_by_mode_and_distance_6_to_8km[#Headers],0),0)/100</f>
        <v>0</v>
      </c>
      <c r="I77" s="72">
        <f>IF(B77="8+ kilometres",1,0)*VLOOKUP(C77, Percentage_dist_journeys_by_mode_and_distance_8km[#All],MATCH(A77, Percentage_dist_journeys_by_mode_and_distance_8km[#Headers],0),0)/100</f>
        <v>5.0000000000000001E-3</v>
      </c>
      <c r="J77" s="73">
        <f>VLOOKUP(B77,Average_Distance_by_kilometre_grouping_for_mode_type[#All],MATCH(A77,Average_Distance_by_kilometre_grouping_for_mode_type[#Headers],0),0)</f>
        <v>31.75</v>
      </c>
      <c r="K77" s="77">
        <f>VLOOKUP(C77, Adjustment_factor_for_distance_based_on_mode[#All],MATCH(A77, Adjustment_factor_for_distance_based_on_mode[#Headers],0),0)</f>
        <v>0.71328671328671323</v>
      </c>
      <c r="L77" s="78">
        <f>VLOOKUP($L$2, Total_Journeys_Per_Year[#All],MATCH(A77, Total_Journeys_Per_Year[#Headers],0),0)</f>
        <v>3165688023.0367908</v>
      </c>
      <c r="M77" s="35">
        <f t="shared" si="1"/>
        <v>150196566.35074639</v>
      </c>
      <c r="N77" s="35">
        <f>VLOOKUP($N$2, Private_Vehicle_Kilometres_Car_Stock[#All],MATCH(A77, Private_Vehicle_Kilometres_Car_Stock[#Headers],0),0)</f>
        <v>29535056173</v>
      </c>
    </row>
    <row r="78" spans="1:14" x14ac:dyDescent="0.25">
      <c r="A78" s="79" t="s">
        <v>32</v>
      </c>
      <c r="B78" s="13" t="s">
        <v>12</v>
      </c>
      <c r="C78" s="14" t="s">
        <v>90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Percentage_dist_journeys_by_mode_and_distance_to_2km[#All],MATCH(A78, Percentage_dist_journeys_by_mode_and_distance_to_2km[#Headers],0),0)/100</f>
        <v>1.4999999999999999E-2</v>
      </c>
      <c r="F78" s="4">
        <f>IF(B78="2-4 kilometres",1,0)*VLOOKUP(C78, Percentage_dist_journeys_by_mode_and_distance_2_to_4km[#All],MATCH(A78, Percentage_dist_journeys_by_mode_and_distance_2_to_4km[#Headers],0),0)/100</f>
        <v>0</v>
      </c>
      <c r="G78" s="72">
        <f>IF(B78="4-6 kilometres",1,0)*VLOOKUP(C78, Percentage_dist_journeys_by_mode_and_distance_4_to_6km[#All],MATCH(A78, Percentage_dist_journeys_by_mode_and_distance_4_to_6km[#Headers],0),0)/100</f>
        <v>0</v>
      </c>
      <c r="H78" s="4">
        <f>IF(B78="6-8 kilometres",1,0)*VLOOKUP(C78, Percentage_dist_journeys_by_mode_and_distance_6_to_8km[#All],MATCH(A78, Percentage_dist_journeys_by_mode_and_distance_6_to_8km[#Headers],0),0)/100</f>
        <v>0</v>
      </c>
      <c r="I78" s="72">
        <f>IF(B78="8+ kilometres",1,0)*VLOOKUP(C78, Percentage_dist_journeys_by_mode_and_distance_8km[#All],MATCH(A78, Percentage_dist_journeys_by_mode_and_distance_8km[#Headers],0),0)/100</f>
        <v>0</v>
      </c>
      <c r="J78" s="73">
        <f>VLOOKUP(B78,Average_Distance_by_kilometre_grouping_for_mode_type[#All],MATCH(A78,Average_Distance_by_kilometre_grouping_for_mode_type[#Headers],0),0)</f>
        <v>1</v>
      </c>
      <c r="K78" s="77">
        <f>VLOOKUP(C78, Adjustment_factor_for_distance_based_on_mode[#All],MATCH(A78, Adjustment_factor_for_distance_based_on_mode[#Headers],0),0)</f>
        <v>1.776223776223776</v>
      </c>
      <c r="L78" s="78">
        <f>VLOOKUP($L$2, Total_Journeys_Per_Year[#All],MATCH(A78, Total_Journeys_Per_Year[#Headers],0),0)</f>
        <v>3165688023.0367908</v>
      </c>
      <c r="M78" s="35">
        <f t="shared" si="1"/>
        <v>18808835.769319918</v>
      </c>
      <c r="N78" s="35">
        <f>VLOOKUP($N$2, Private_Vehicle_Kilometres_Car_Stock[#All],MATCH(A78, Private_Vehicle_Kilometres_Car_Stock[#Headers],0),0)</f>
        <v>29535056173</v>
      </c>
    </row>
    <row r="79" spans="1:14" x14ac:dyDescent="0.25">
      <c r="A79" s="79" t="s">
        <v>32</v>
      </c>
      <c r="B79" s="13" t="s">
        <v>181</v>
      </c>
      <c r="C79" s="14" t="s">
        <v>90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Percentage_dist_journeys_by_mode_and_distance_to_2km[#All],MATCH(A79, Percentage_dist_journeys_by_mode_and_distance_to_2km[#Headers],0),0)/100</f>
        <v>0</v>
      </c>
      <c r="F79" s="4">
        <f>IF(B79="2-4 kilometres",1,0)*VLOOKUP(C79, Percentage_dist_journeys_by_mode_and_distance_2_to_4km[#All],MATCH(A79, Percentage_dist_journeys_by_mode_and_distance_2_to_4km[#Headers],0),0)/100</f>
        <v>1.4999999999999999E-2</v>
      </c>
      <c r="G79" s="72">
        <f>IF(B79="4-6 kilometres",1,0)*VLOOKUP(C79, Percentage_dist_journeys_by_mode_and_distance_4_to_6km[#All],MATCH(A79, Percentage_dist_journeys_by_mode_and_distance_4_to_6km[#Headers],0),0)/100</f>
        <v>0</v>
      </c>
      <c r="H79" s="4">
        <f>IF(B79="6-8 kilometres",1,0)*VLOOKUP(C79, Percentage_dist_journeys_by_mode_and_distance_6_to_8km[#All],MATCH(A79, Percentage_dist_journeys_by_mode_and_distance_6_to_8km[#Headers],0),0)/100</f>
        <v>0</v>
      </c>
      <c r="I79" s="72">
        <f>IF(B79="8+ kilometres",1,0)*VLOOKUP(C79, Percentage_dist_journeys_by_mode_and_distance_8km[#All],MATCH(A79, Percentage_dist_journeys_by_mode_and_distance_8km[#Headers],0),0)/100</f>
        <v>0</v>
      </c>
      <c r="J79" s="73">
        <f>VLOOKUP(B79,Average_Distance_by_kilometre_grouping_for_mode_type[#All],MATCH(A79,Average_Distance_by_kilometre_grouping_for_mode_type[#Headers],0),0)</f>
        <v>3</v>
      </c>
      <c r="K79" s="77">
        <f>VLOOKUP(C79, Adjustment_factor_for_distance_based_on_mode[#All],MATCH(A79, Adjustment_factor_for_distance_based_on_mode[#Headers],0),0)</f>
        <v>1.776223776223776</v>
      </c>
      <c r="L79" s="78">
        <f>VLOOKUP($L$2, Total_Journeys_Per_Year[#All],MATCH(A79, Total_Journeys_Per_Year[#Headers],0),0)</f>
        <v>3165688023.0367908</v>
      </c>
      <c r="M79" s="35">
        <f t="shared" si="1"/>
        <v>46052127.040577017</v>
      </c>
      <c r="N79" s="35">
        <f>VLOOKUP($N$2, Private_Vehicle_Kilometres_Car_Stock[#All],MATCH(A79, Private_Vehicle_Kilometres_Car_Stock[#Headers],0),0)</f>
        <v>29535056173</v>
      </c>
    </row>
    <row r="80" spans="1:14" x14ac:dyDescent="0.25">
      <c r="A80" s="79" t="s">
        <v>32</v>
      </c>
      <c r="B80" s="13" t="s">
        <v>180</v>
      </c>
      <c r="C80" s="14" t="s">
        <v>90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Percentage_dist_journeys_by_mode_and_distance_to_2km[#All],MATCH(A80, Percentage_dist_journeys_by_mode_and_distance_to_2km[#Headers],0),0)/100</f>
        <v>0</v>
      </c>
      <c r="F80" s="4">
        <f>IF(B80="2-4 kilometres",1,0)*VLOOKUP(C80, Percentage_dist_journeys_by_mode_and_distance_2_to_4km[#All],MATCH(A80, Percentage_dist_journeys_by_mode_and_distance_2_to_4km[#Headers],0),0)/100</f>
        <v>0</v>
      </c>
      <c r="G80" s="72">
        <f>IF(B80="4-6 kilometres",1,0)*VLOOKUP(C80, Percentage_dist_journeys_by_mode_and_distance_4_to_6km[#All],MATCH(A80, Percentage_dist_journeys_by_mode_and_distance_4_to_6km[#Headers],0),0)/100</f>
        <v>2.3E-2</v>
      </c>
      <c r="H80" s="4">
        <f>IF(B80="6-8 kilometres",1,0)*VLOOKUP(C80, Percentage_dist_journeys_by_mode_and_distance_6_to_8km[#All],MATCH(A80, Percentage_dist_journeys_by_mode_and_distance_6_to_8km[#Headers],0),0)/100</f>
        <v>0</v>
      </c>
      <c r="I80" s="72">
        <f>IF(B80="8+ kilometres",1,0)*VLOOKUP(C80, Percentage_dist_journeys_by_mode_and_distance_8km[#All],MATCH(A80, Percentage_dist_journeys_by_mode_and_distance_8km[#Headers],0),0)/100</f>
        <v>0</v>
      </c>
      <c r="J80" s="73">
        <f>VLOOKUP(B80,Average_Distance_by_kilometre_grouping_for_mode_type[#All],MATCH(A80,Average_Distance_by_kilometre_grouping_for_mode_type[#Headers],0),0)</f>
        <v>5</v>
      </c>
      <c r="K80" s="77">
        <f>VLOOKUP(C80, Adjustment_factor_for_distance_based_on_mode[#All],MATCH(A80, Adjustment_factor_for_distance_based_on_mode[#Headers],0),0)</f>
        <v>1.776223776223776</v>
      </c>
      <c r="L80" s="78">
        <f>VLOOKUP($L$2, Total_Journeys_Per_Year[#All],MATCH(A80, Total_Journeys_Per_Year[#Headers],0),0)</f>
        <v>3165688023.0367908</v>
      </c>
      <c r="M80" s="35">
        <f t="shared" si="1"/>
        <v>75657065.852376521</v>
      </c>
      <c r="N80" s="35">
        <f>VLOOKUP($N$2, Private_Vehicle_Kilometres_Car_Stock[#All],MATCH(A80, Private_Vehicle_Kilometres_Car_Stock[#Headers],0),0)</f>
        <v>29535056173</v>
      </c>
    </row>
    <row r="81" spans="1:14" x14ac:dyDescent="0.25">
      <c r="A81" s="79" t="s">
        <v>32</v>
      </c>
      <c r="B81" s="13" t="s">
        <v>182</v>
      </c>
      <c r="C81" s="14" t="s">
        <v>90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Percentage_dist_journeys_by_mode_and_distance_to_2km[#All],MATCH(A81, Percentage_dist_journeys_by_mode_and_distance_to_2km[#Headers],0),0)/100</f>
        <v>0</v>
      </c>
      <c r="F81" s="4">
        <f>IF(B81="2-4 kilometres",1,0)*VLOOKUP(C81, Percentage_dist_journeys_by_mode_and_distance_2_to_4km[#All],MATCH(A81, Percentage_dist_journeys_by_mode_and_distance_2_to_4km[#Headers],0),0)/100</f>
        <v>0</v>
      </c>
      <c r="G81" s="72">
        <f>IF(B81="4-6 kilometres",1,0)*VLOOKUP(C81, Percentage_dist_journeys_by_mode_and_distance_4_to_6km[#All],MATCH(A81, Percentage_dist_journeys_by_mode_and_distance_4_to_6km[#Headers],0),0)/100</f>
        <v>0</v>
      </c>
      <c r="H81" s="4">
        <f>IF(B81="6-8 kilometres",1,0)*VLOOKUP(C81, Percentage_dist_journeys_by_mode_and_distance_6_to_8km[#All],MATCH(A81, Percentage_dist_journeys_by_mode_and_distance_6_to_8km[#Headers],0),0)/100</f>
        <v>2.6000000000000002E-2</v>
      </c>
      <c r="I81" s="72">
        <f>IF(B81="8+ kilometres",1,0)*VLOOKUP(C81, Percentage_dist_journeys_by_mode_and_distance_8km[#All],MATCH(A81, Percentage_dist_journeys_by_mode_and_distance_8km[#Headers],0),0)/100</f>
        <v>0</v>
      </c>
      <c r="J81" s="73">
        <f>VLOOKUP(B81,Average_Distance_by_kilometre_grouping_for_mode_type[#All],MATCH(A81,Average_Distance_by_kilometre_grouping_for_mode_type[#Headers],0),0)</f>
        <v>7</v>
      </c>
      <c r="K81" s="77">
        <f>VLOOKUP(C81, Adjustment_factor_for_distance_based_on_mode[#All],MATCH(A81, Adjustment_factor_for_distance_based_on_mode[#Headers],0),0)</f>
        <v>1.776223776223776</v>
      </c>
      <c r="L81" s="78">
        <f>VLOOKUP($L$2, Total_Journeys_Per_Year[#All],MATCH(A81, Total_Journeys_Per_Year[#Headers],0),0)</f>
        <v>3165688023.0367908</v>
      </c>
      <c r="M81" s="35">
        <f t="shared" si="1"/>
        <v>61402836.054102682</v>
      </c>
      <c r="N81" s="35">
        <f>VLOOKUP($N$2, Private_Vehicle_Kilometres_Car_Stock[#All],MATCH(A81, Private_Vehicle_Kilometres_Car_Stock[#Headers],0),0)</f>
        <v>29535056173</v>
      </c>
    </row>
    <row r="82" spans="1:14" x14ac:dyDescent="0.25">
      <c r="A82" s="79" t="s">
        <v>32</v>
      </c>
      <c r="B82" s="13" t="s">
        <v>1</v>
      </c>
      <c r="C82" s="14" t="s">
        <v>90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Percentage_dist_journeys_by_mode_and_distance_to_2km[#All],MATCH(A82, Percentage_dist_journeys_by_mode_and_distance_to_2km[#Headers],0),0)/100</f>
        <v>0</v>
      </c>
      <c r="F82" s="4">
        <f>IF(B82="2-4 kilometres",1,0)*VLOOKUP(C82, Percentage_dist_journeys_by_mode_and_distance_2_to_4km[#All],MATCH(A82, Percentage_dist_journeys_by_mode_and_distance_2_to_4km[#Headers],0),0)/100</f>
        <v>0</v>
      </c>
      <c r="G82" s="72">
        <f>IF(B82="4-6 kilometres",1,0)*VLOOKUP(C82, Percentage_dist_journeys_by_mode_and_distance_4_to_6km[#All],MATCH(A82, Percentage_dist_journeys_by_mode_and_distance_4_to_6km[#Headers],0),0)/100</f>
        <v>0</v>
      </c>
      <c r="H82" s="4">
        <f>IF(B82="6-8 kilometres",1,0)*VLOOKUP(C82, Percentage_dist_journeys_by_mode_and_distance_6_to_8km[#All],MATCH(A82, Percentage_dist_journeys_by_mode_and_distance_6_to_8km[#Headers],0),0)/100</f>
        <v>0</v>
      </c>
      <c r="I82" s="72">
        <f>IF(B82="8+ kilometres",1,0)*VLOOKUP(C82, Percentage_dist_journeys_by_mode_and_distance_8km[#All],MATCH(A82, Percentage_dist_journeys_by_mode_and_distance_8km[#Headers],0),0)/100</f>
        <v>3.7999999999999999E-2</v>
      </c>
      <c r="J82" s="73">
        <f>VLOOKUP(B82,Average_Distance_by_kilometre_grouping_for_mode_type[#All],MATCH(A82,Average_Distance_by_kilometre_grouping_for_mode_type[#Headers],0),0)</f>
        <v>31.75</v>
      </c>
      <c r="K82" s="77">
        <f>VLOOKUP(C82, Adjustment_factor_for_distance_based_on_mode[#All],MATCH(A82, Adjustment_factor_for_distance_based_on_mode[#Headers],0),0)</f>
        <v>1.776223776223776</v>
      </c>
      <c r="L82" s="78">
        <f>VLOOKUP($L$2, Total_Journeys_Per_Year[#All],MATCH(A82, Total_Journeys_Per_Year[#Headers],0),0)</f>
        <v>3165688023.0367908</v>
      </c>
      <c r="M82" s="35">
        <f t="shared" si="1"/>
        <v>2842543643.9556937</v>
      </c>
      <c r="N82" s="35">
        <f>VLOOKUP($N$2, Private_Vehicle_Kilometres_Car_Stock[#All],MATCH(A82, Private_Vehicle_Kilometres_Car_Stock[#Headers],0),0)</f>
        <v>29535056173</v>
      </c>
    </row>
    <row r="83" spans="1:14" x14ac:dyDescent="0.25">
      <c r="A83" s="79" t="s">
        <v>33</v>
      </c>
      <c r="B83" s="13" t="s">
        <v>12</v>
      </c>
      <c r="C83" s="14" t="s">
        <v>5</v>
      </c>
      <c r="D83" s="5">
        <f>VLOOKUP(B83,Percentage_distribution_of_journey_distance_for_all_regions[#All],MATCH(A83,Percentage_distribution_of_journey_distance_for_all_regions[#Headers],0),0)/100</f>
        <v>0.21100000000000002</v>
      </c>
      <c r="E83" s="71">
        <f>IF(B83="&lt;2 kilometres",1,0)*VLOOKUP(C83, Percentage_dist_journeys_by_mode_and_distance_to_2km[#All],MATCH(A83, Percentage_dist_journeys_by_mode_and_distance_to_2km[#Headers],0),0)/100</f>
        <v>0.46299999999999997</v>
      </c>
      <c r="F83" s="4">
        <f>IF(B83="2-4 kilometres",1,0)*VLOOKUP(C83, Percentage_dist_journeys_by_mode_and_distance_2_to_4km[#All],MATCH(A83, Percentage_dist_journeys_by_mode_and_distance_2_to_4km[#Headers],0),0)/100</f>
        <v>0</v>
      </c>
      <c r="G83" s="72">
        <f>IF(B83="4-6 kilometres",1,0)*VLOOKUP(C83, Percentage_dist_journeys_by_mode_and_distance_4_to_6km[#All],MATCH(A83, Percentage_dist_journeys_by_mode_and_distance_4_to_6km[#Headers],0),0)/100</f>
        <v>0</v>
      </c>
      <c r="H83" s="4">
        <f>IF(B83="6-8 kilometres",1,0)*VLOOKUP(C83, Percentage_dist_journeys_by_mode_and_distance_6_to_8km[#All],MATCH(A83, Percentage_dist_journeys_by_mode_and_distance_6_to_8km[#Headers],0),0)/100</f>
        <v>0</v>
      </c>
      <c r="I83" s="72">
        <f>IF(B83="8+ kilometres",1,0)*VLOOKUP(C83, Percentage_dist_journeys_by_mode_and_distance_8km[#All],MATCH(A83, Percentage_dist_journeys_by_mode_and_distance_8km[#Headers],0),0)/100</f>
        <v>0</v>
      </c>
      <c r="J83" s="73">
        <f>VLOOKUP(B83,Average_Distance_by_kilometre_grouping_for_mode_type[#All],MATCH(A83,Average_Distance_by_kilometre_grouping_for_mode_type[#Headers],0),0)</f>
        <v>1</v>
      </c>
      <c r="K83" s="77">
        <f>VLOOKUP(C83, Adjustment_factor_for_distance_based_on_mode[#All],MATCH(A83, Adjustment_factor_for_distance_based_on_mode[#Headers],0),0)</f>
        <v>1</v>
      </c>
      <c r="L83" s="78">
        <f>VLOOKUP($L$2, Total_Journeys_Per_Year[#All],MATCH(A83, Total_Journeys_Per_Year[#Headers],0),0)</f>
        <v>3171485717.1895118</v>
      </c>
      <c r="M83" s="35">
        <f t="shared" si="1"/>
        <v>309831954.16939497</v>
      </c>
      <c r="N83" s="35">
        <f>VLOOKUP($N$2, Private_Vehicle_Kilometres_Car_Stock[#All],MATCH(A83, Private_Vehicle_Kilometres_Car_Stock[#Headers],0),0)</f>
        <v>31821299194</v>
      </c>
    </row>
    <row r="84" spans="1:14" x14ac:dyDescent="0.25">
      <c r="A84" s="79" t="s">
        <v>33</v>
      </c>
      <c r="B84" s="13" t="s">
        <v>181</v>
      </c>
      <c r="C84" s="14" t="s">
        <v>5</v>
      </c>
      <c r="D84" s="5">
        <f>VLOOKUP(B84,Percentage_distribution_of_journey_distance_for_all_regions[#All],MATCH(A84,Percentage_distribution_of_journey_distance_for_all_regions[#Headers],0),0)/100</f>
        <v>0.18899999999999997</v>
      </c>
      <c r="E84" s="71">
        <f>IF(B84="&lt;2 kilometres",1,0)*VLOOKUP(C84, Percentage_dist_journeys_by_mode_and_distance_to_2km[#All],MATCH(A84, Percentage_dist_journeys_by_mode_and_distance_to_2km[#Headers],0),0)/100</f>
        <v>0</v>
      </c>
      <c r="F84" s="4">
        <f>IF(B84="2-4 kilometres",1,0)*VLOOKUP(C84, Percentage_dist_journeys_by_mode_and_distance_2_to_4km[#All],MATCH(A84, Percentage_dist_journeys_by_mode_and_distance_2_to_4km[#Headers],0),0)/100</f>
        <v>0.67400000000000004</v>
      </c>
      <c r="G84" s="72">
        <f>IF(B84="4-6 kilometres",1,0)*VLOOKUP(C84, Percentage_dist_journeys_by_mode_and_distance_4_to_6km[#All],MATCH(A84, Percentage_dist_journeys_by_mode_and_distance_4_to_6km[#Headers],0),0)/100</f>
        <v>0</v>
      </c>
      <c r="H84" s="4">
        <f>IF(B84="6-8 kilometres",1,0)*VLOOKUP(C84, Percentage_dist_journeys_by_mode_and_distance_6_to_8km[#All],MATCH(A84, Percentage_dist_journeys_by_mode_and_distance_6_to_8km[#Headers],0),0)/100</f>
        <v>0</v>
      </c>
      <c r="I84" s="72">
        <f>IF(B84="8+ kilometres",1,0)*VLOOKUP(C84, Percentage_dist_journeys_by_mode_and_distance_8km[#All],MATCH(A84, Percentage_dist_journeys_by_mode_and_distance_8km[#Headers],0),0)/100</f>
        <v>0</v>
      </c>
      <c r="J84" s="73">
        <f>VLOOKUP(B84,Average_Distance_by_kilometre_grouping_for_mode_type[#All],MATCH(A84,Average_Distance_by_kilometre_grouping_for_mode_type[#Headers],0),0)</f>
        <v>3</v>
      </c>
      <c r="K84" s="77">
        <f>VLOOKUP(C84, Adjustment_factor_for_distance_based_on_mode[#All],MATCH(A84, Adjustment_factor_for_distance_based_on_mode[#Headers],0),0)</f>
        <v>1</v>
      </c>
      <c r="L84" s="78">
        <f>VLOOKUP($L$2, Total_Journeys_Per_Year[#All],MATCH(A84, Total_Journeys_Per_Year[#Headers],0),0)</f>
        <v>3171485717.1895118</v>
      </c>
      <c r="M84" s="35">
        <f t="shared" si="1"/>
        <v>1212008638.7097094</v>
      </c>
      <c r="N84" s="35">
        <f>VLOOKUP($N$2, Private_Vehicle_Kilometres_Car_Stock[#All],MATCH(A84, Private_Vehicle_Kilometres_Car_Stock[#Headers],0),0)</f>
        <v>31821299194</v>
      </c>
    </row>
    <row r="85" spans="1:14" x14ac:dyDescent="0.25">
      <c r="A85" s="79" t="s">
        <v>33</v>
      </c>
      <c r="B85" s="13" t="s">
        <v>180</v>
      </c>
      <c r="C85" s="14" t="s">
        <v>5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Percentage_dist_journeys_by_mode_and_distance_to_2km[#All],MATCH(A85, Percentage_dist_journeys_by_mode_and_distance_to_2km[#Headers],0),0)/100</f>
        <v>0</v>
      </c>
      <c r="F85" s="4">
        <f>IF(B85="2-4 kilometres",1,0)*VLOOKUP(C85, Percentage_dist_journeys_by_mode_and_distance_2_to_4km[#All],MATCH(A85, Percentage_dist_journeys_by_mode_and_distance_2_to_4km[#Headers],0),0)/100</f>
        <v>0</v>
      </c>
      <c r="G85" s="72">
        <f>IF(B85="4-6 kilometres",1,0)*VLOOKUP(C85, Percentage_dist_journeys_by_mode_and_distance_4_to_6km[#All],MATCH(A85, Percentage_dist_journeys_by_mode_and_distance_4_to_6km[#Headers],0),0)/100</f>
        <v>0.73099999999999998</v>
      </c>
      <c r="H85" s="4">
        <f>IF(B85="6-8 kilometres",1,0)*VLOOKUP(C85, Percentage_dist_journeys_by_mode_and_distance_6_to_8km[#All],MATCH(A85, Percentage_dist_journeys_by_mode_and_distance_6_to_8km[#Headers],0),0)/100</f>
        <v>0</v>
      </c>
      <c r="I85" s="72">
        <f>IF(B85="8+ kilometres",1,0)*VLOOKUP(C85, Percentage_dist_journeys_by_mode_and_distance_8km[#All],MATCH(A85, Percentage_dist_journeys_by_mode_and_distance_8km[#Headers],0),0)/100</f>
        <v>0</v>
      </c>
      <c r="J85" s="73">
        <f>VLOOKUP(B85,Average_Distance_by_kilometre_grouping_for_mode_type[#All],MATCH(A85,Average_Distance_by_kilometre_grouping_for_mode_type[#Headers],0),0)</f>
        <v>5</v>
      </c>
      <c r="K85" s="77">
        <f>VLOOKUP(C85, Adjustment_factor_for_distance_based_on_mode[#All],MATCH(A85, Adjustment_factor_for_distance_based_on_mode[#Headers],0),0)</f>
        <v>1</v>
      </c>
      <c r="L85" s="78">
        <f>VLOOKUP($L$2, Total_Journeys_Per_Year[#All],MATCH(A85, Total_Journeys_Per_Year[#Headers],0),0)</f>
        <v>3171485717.1895118</v>
      </c>
      <c r="M85" s="35">
        <f t="shared" si="1"/>
        <v>1356238294.6703367</v>
      </c>
      <c r="N85" s="35">
        <f>VLOOKUP($N$2, Private_Vehicle_Kilometres_Car_Stock[#All],MATCH(A85, Private_Vehicle_Kilometres_Car_Stock[#Headers],0),0)</f>
        <v>31821299194</v>
      </c>
    </row>
    <row r="86" spans="1:14" x14ac:dyDescent="0.25">
      <c r="A86" s="79" t="s">
        <v>33</v>
      </c>
      <c r="B86" s="13" t="s">
        <v>182</v>
      </c>
      <c r="C86" s="14" t="s">
        <v>5</v>
      </c>
      <c r="D86" s="5">
        <f>VLOOKUP(B86,Percentage_distribution_of_journey_distance_for_all_regions[#All],MATCH(A86,Percentage_distribution_of_journey_distance_for_all_regions[#Headers],0),0)/100</f>
        <v>6.6000000000000003E-2</v>
      </c>
      <c r="E86" s="71">
        <f>IF(B86="&lt;2 kilometres",1,0)*VLOOKUP(C86, Percentage_dist_journeys_by_mode_and_distance_to_2km[#All],MATCH(A86, Percentage_dist_journeys_by_mode_and_distance_to_2km[#Headers],0),0)/100</f>
        <v>0</v>
      </c>
      <c r="F86" s="4">
        <f>IF(B86="2-4 kilometres",1,0)*VLOOKUP(C86, Percentage_dist_journeys_by_mode_and_distance_2_to_4km[#All],MATCH(A86, Percentage_dist_journeys_by_mode_and_distance_2_to_4km[#Headers],0),0)/100</f>
        <v>0</v>
      </c>
      <c r="G86" s="72">
        <f>IF(B86="4-6 kilometres",1,0)*VLOOKUP(C86, Percentage_dist_journeys_by_mode_and_distance_4_to_6km[#All],MATCH(A86, Percentage_dist_journeys_by_mode_and_distance_4_to_6km[#Headers],0),0)/100</f>
        <v>0</v>
      </c>
      <c r="H86" s="4">
        <f>IF(B86="6-8 kilometres",1,0)*VLOOKUP(C86, Percentage_dist_journeys_by_mode_and_distance_6_to_8km[#All],MATCH(A86, Percentage_dist_journeys_by_mode_and_distance_6_to_8km[#Headers],0),0)/100</f>
        <v>0.7390000000000001</v>
      </c>
      <c r="I86" s="72">
        <f>IF(B86="8+ kilometres",1,0)*VLOOKUP(C86, Percentage_dist_journeys_by_mode_and_distance_8km[#All],MATCH(A86, Percentage_dist_journeys_by_mode_and_distance_8km[#Headers],0),0)/100</f>
        <v>0</v>
      </c>
      <c r="J86" s="73">
        <f>VLOOKUP(B86,Average_Distance_by_kilometre_grouping_for_mode_type[#All],MATCH(A86,Average_Distance_by_kilometre_grouping_for_mode_type[#Headers],0),0)</f>
        <v>7</v>
      </c>
      <c r="K86" s="77">
        <f>VLOOKUP(C86, Adjustment_factor_for_distance_based_on_mode[#All],MATCH(A86, Adjustment_factor_for_distance_based_on_mode[#Headers],0),0)</f>
        <v>1</v>
      </c>
      <c r="L86" s="78">
        <f>VLOOKUP($L$2, Total_Journeys_Per_Year[#All],MATCH(A86, Total_Journeys_Per_Year[#Headers],0),0)</f>
        <v>3171485717.1895118</v>
      </c>
      <c r="M86" s="35">
        <f t="shared" si="1"/>
        <v>1082802310.591409</v>
      </c>
      <c r="N86" s="35">
        <f>VLOOKUP($N$2, Private_Vehicle_Kilometres_Car_Stock[#All],MATCH(A86, Private_Vehicle_Kilometres_Car_Stock[#Headers],0),0)</f>
        <v>31821299194</v>
      </c>
    </row>
    <row r="87" spans="1:14" x14ac:dyDescent="0.25">
      <c r="A87" s="79" t="s">
        <v>33</v>
      </c>
      <c r="B87" s="13" t="s">
        <v>1</v>
      </c>
      <c r="C87" s="14" t="s">
        <v>5</v>
      </c>
      <c r="D87" s="5">
        <f>VLOOKUP(B87,Percentage_distribution_of_journey_distance_for_all_regions[#All],MATCH(A87,Percentage_distribution_of_journey_distance_for_all_regions[#Headers],0),0)/100</f>
        <v>0.41700000000000004</v>
      </c>
      <c r="E87" s="71">
        <f>IF(B87="&lt;2 kilometres",1,0)*VLOOKUP(C87, Percentage_dist_journeys_by_mode_and_distance_to_2km[#All],MATCH(A87, Percentage_dist_journeys_by_mode_and_distance_to_2km[#Headers],0),0)/100</f>
        <v>0</v>
      </c>
      <c r="F87" s="4">
        <f>IF(B87="2-4 kilometres",1,0)*VLOOKUP(C87, Percentage_dist_journeys_by_mode_and_distance_2_to_4km[#All],MATCH(A87, Percentage_dist_journeys_by_mode_and_distance_2_to_4km[#Headers],0),0)/100</f>
        <v>0</v>
      </c>
      <c r="G87" s="72">
        <f>IF(B87="4-6 kilometres",1,0)*VLOOKUP(C87, Percentage_dist_journeys_by_mode_and_distance_4_to_6km[#All],MATCH(A87, Percentage_dist_journeys_by_mode_and_distance_4_to_6km[#Headers],0),0)/100</f>
        <v>0</v>
      </c>
      <c r="H87" s="4">
        <f>IF(B87="6-8 kilometres",1,0)*VLOOKUP(C87, Percentage_dist_journeys_by_mode_and_distance_6_to_8km[#All],MATCH(A87, Percentage_dist_journeys_by_mode_and_distance_6_to_8km[#Headers],0),0)/100</f>
        <v>0</v>
      </c>
      <c r="I87" s="72">
        <f>IF(B87="8+ kilometres",1,0)*VLOOKUP(C87, Percentage_dist_journeys_by_mode_and_distance_8km[#All],MATCH(A87, Percentage_dist_journeys_by_mode_and_distance_8km[#Headers],0),0)/100</f>
        <v>0.79299999999999993</v>
      </c>
      <c r="J87" s="73">
        <f>VLOOKUP(B87,Average_Distance_by_kilometre_grouping_for_mode_type[#All],MATCH(A87,Average_Distance_by_kilometre_grouping_for_mode_type[#Headers],0),0)</f>
        <v>35.22</v>
      </c>
      <c r="K87" s="77">
        <f>VLOOKUP(C87, Adjustment_factor_for_distance_based_on_mode[#All],MATCH(A87, Adjustment_factor_for_distance_based_on_mode[#Headers],0),0)</f>
        <v>1</v>
      </c>
      <c r="L87" s="78">
        <f>VLOOKUP($L$2, Total_Journeys_Per_Year[#All],MATCH(A87, Total_Journeys_Per_Year[#Headers],0),0)</f>
        <v>3171485717.1895118</v>
      </c>
      <c r="M87" s="35">
        <f t="shared" si="1"/>
        <v>36936977410.666176</v>
      </c>
      <c r="N87" s="35">
        <f>VLOOKUP($N$2, Private_Vehicle_Kilometres_Car_Stock[#All],MATCH(A87, Private_Vehicle_Kilometres_Car_Stock[#Headers],0),0)</f>
        <v>31821299194</v>
      </c>
    </row>
    <row r="88" spans="1:14" x14ac:dyDescent="0.25">
      <c r="A88" s="79" t="s">
        <v>33</v>
      </c>
      <c r="B88" s="13" t="s">
        <v>12</v>
      </c>
      <c r="C88" s="14" t="s">
        <v>6</v>
      </c>
      <c r="D88" s="5">
        <f>VLOOKUP(B88,Percentage_distribution_of_journey_distance_for_all_regions[#All],MATCH(A88,Percentage_distribution_of_journey_distance_for_all_regions[#Headers],0),0)/100</f>
        <v>0.21100000000000002</v>
      </c>
      <c r="E88" s="71">
        <f>IF(B88="&lt;2 kilometres",1,0)*VLOOKUP(C88, Percentage_dist_journeys_by_mode_and_distance_to_2km[#All],MATCH(A88, Percentage_dist_journeys_by_mode_and_distance_to_2km[#Headers],0),0)/100</f>
        <v>3.1E-2</v>
      </c>
      <c r="F88" s="4">
        <f>IF(B88="2-4 kilometres",1,0)*VLOOKUP(C88, Percentage_dist_journeys_by_mode_and_distance_2_to_4km[#All],MATCH(A88, Percentage_dist_journeys_by_mode_and_distance_2_to_4km[#Headers],0),0)/100</f>
        <v>0</v>
      </c>
      <c r="G88" s="72">
        <f>IF(B88="4-6 kilometres",1,0)*VLOOKUP(C88, Percentage_dist_journeys_by_mode_and_distance_4_to_6km[#All],MATCH(A88, Percentage_dist_journeys_by_mode_and_distance_4_to_6km[#Headers],0),0)/100</f>
        <v>0</v>
      </c>
      <c r="H88" s="4">
        <f>IF(B88="6-8 kilometres",1,0)*VLOOKUP(C88, Percentage_dist_journeys_by_mode_and_distance_6_to_8km[#All],MATCH(A88, Percentage_dist_journeys_by_mode_and_distance_6_to_8km[#Headers],0),0)/100</f>
        <v>0</v>
      </c>
      <c r="I88" s="72">
        <f>IF(B88="8+ kilometres",1,0)*VLOOKUP(C88, Percentage_dist_journeys_by_mode_and_distance_8km[#All],MATCH(A88, Percentage_dist_journeys_by_mode_and_distance_8km[#Headers],0),0)/100</f>
        <v>0</v>
      </c>
      <c r="J88" s="73">
        <f>VLOOKUP(B88,Average_Distance_by_kilometre_grouping_for_mode_type[#All],MATCH(A88,Average_Distance_by_kilometre_grouping_for_mode_type[#Headers],0),0)</f>
        <v>1</v>
      </c>
      <c r="K88" s="77">
        <f>VLOOKUP(C88, Adjustment_factor_for_distance_based_on_mode[#All],MATCH(A88, Adjustment_factor_for_distance_based_on_mode[#Headers],0),0)</f>
        <v>1.6298701298701299</v>
      </c>
      <c r="L88" s="78">
        <f>VLOOKUP($L$2, Total_Journeys_Per_Year[#All],MATCH(A88, Total_Journeys_Per_Year[#Headers],0),0)</f>
        <v>3171485717.1895118</v>
      </c>
      <c r="M88" s="35">
        <f t="shared" si="1"/>
        <v>33811147.448768094</v>
      </c>
      <c r="N88" s="35">
        <f>VLOOKUP($N$2, Private_Vehicle_Kilometres_Car_Stock[#All],MATCH(A88, Private_Vehicle_Kilometres_Car_Stock[#Headers],0),0)</f>
        <v>31821299194</v>
      </c>
    </row>
    <row r="89" spans="1:14" x14ac:dyDescent="0.25">
      <c r="A89" s="79" t="s">
        <v>33</v>
      </c>
      <c r="B89" s="13" t="s">
        <v>181</v>
      </c>
      <c r="C89" s="14" t="s">
        <v>6</v>
      </c>
      <c r="D89" s="5">
        <f>VLOOKUP(B89,Percentage_distribution_of_journey_distance_for_all_regions[#All],MATCH(A89,Percentage_distribution_of_journey_distance_for_all_regions[#Headers],0),0)/100</f>
        <v>0.18899999999999997</v>
      </c>
      <c r="E89" s="71">
        <f>IF(B89="&lt;2 kilometres",1,0)*VLOOKUP(C89, Percentage_dist_journeys_by_mode_and_distance_to_2km[#All],MATCH(A89, Percentage_dist_journeys_by_mode_and_distance_to_2km[#Headers],0),0)/100</f>
        <v>0</v>
      </c>
      <c r="F89" s="4">
        <f>IF(B89="2-4 kilometres",1,0)*VLOOKUP(C89, Percentage_dist_journeys_by_mode_and_distance_2_to_4km[#All],MATCH(A89, Percentage_dist_journeys_by_mode_and_distance_2_to_4km[#Headers],0),0)/100</f>
        <v>4.2000000000000003E-2</v>
      </c>
      <c r="G89" s="72">
        <f>IF(B89="4-6 kilometres",1,0)*VLOOKUP(C89, Percentage_dist_journeys_by_mode_and_distance_4_to_6km[#All],MATCH(A89, Percentage_dist_journeys_by_mode_and_distance_4_to_6km[#Headers],0),0)/100</f>
        <v>0</v>
      </c>
      <c r="H89" s="4">
        <f>IF(B89="6-8 kilometres",1,0)*VLOOKUP(C89, Percentage_dist_journeys_by_mode_and_distance_6_to_8km[#All],MATCH(A89, Percentage_dist_journeys_by_mode_and_distance_6_to_8km[#Headers],0),0)/100</f>
        <v>0</v>
      </c>
      <c r="I89" s="72">
        <f>IF(B89="8+ kilometres",1,0)*VLOOKUP(C89, Percentage_dist_journeys_by_mode_and_distance_8km[#All],MATCH(A89, Percentage_dist_journeys_by_mode_and_distance_8km[#Headers],0),0)/100</f>
        <v>0</v>
      </c>
      <c r="J89" s="73">
        <f>VLOOKUP(B89,Average_Distance_by_kilometre_grouping_for_mode_type[#All],MATCH(A89,Average_Distance_by_kilometre_grouping_for_mode_type[#Headers],0),0)</f>
        <v>3</v>
      </c>
      <c r="K89" s="77">
        <f>VLOOKUP(C89, Adjustment_factor_for_distance_based_on_mode[#All],MATCH(A89, Adjustment_factor_for_distance_based_on_mode[#Headers],0),0)</f>
        <v>1.6298701298701299</v>
      </c>
      <c r="L89" s="78">
        <f>VLOOKUP($L$2, Total_Journeys_Per_Year[#All],MATCH(A89, Total_Journeys_Per_Year[#Headers],0),0)</f>
        <v>3171485717.1895118</v>
      </c>
      <c r="M89" s="35">
        <f t="shared" si="1"/>
        <v>123097181.67634355</v>
      </c>
      <c r="N89" s="35">
        <f>VLOOKUP($N$2, Private_Vehicle_Kilometres_Car_Stock[#All],MATCH(A89, Private_Vehicle_Kilometres_Car_Stock[#Headers],0),0)</f>
        <v>31821299194</v>
      </c>
    </row>
    <row r="90" spans="1:14" x14ac:dyDescent="0.25">
      <c r="A90" s="79" t="s">
        <v>33</v>
      </c>
      <c r="B90" s="13" t="s">
        <v>180</v>
      </c>
      <c r="C90" s="14" t="s">
        <v>6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Percentage_dist_journeys_by_mode_and_distance_to_2km[#All],MATCH(A90, Percentage_dist_journeys_by_mode_and_distance_to_2km[#Headers],0),0)/100</f>
        <v>0</v>
      </c>
      <c r="F90" s="4">
        <f>IF(B90="2-4 kilometres",1,0)*VLOOKUP(C90, Percentage_dist_journeys_by_mode_and_distance_2_to_4km[#All],MATCH(A90, Percentage_dist_journeys_by_mode_and_distance_2_to_4km[#Headers],0),0)/100</f>
        <v>0</v>
      </c>
      <c r="G90" s="72">
        <f>IF(B90="4-6 kilometres",1,0)*VLOOKUP(C90, Percentage_dist_journeys_by_mode_and_distance_4_to_6km[#All],MATCH(A90, Percentage_dist_journeys_by_mode_and_distance_4_to_6km[#Headers],0),0)/100</f>
        <v>5.2000000000000005E-2</v>
      </c>
      <c r="H90" s="4">
        <f>IF(B90="6-8 kilometres",1,0)*VLOOKUP(C90, Percentage_dist_journeys_by_mode_and_distance_6_to_8km[#All],MATCH(A90, Percentage_dist_journeys_by_mode_and_distance_6_to_8km[#Headers],0),0)/100</f>
        <v>0</v>
      </c>
      <c r="I90" s="72">
        <f>IF(B90="8+ kilometres",1,0)*VLOOKUP(C90, Percentage_dist_journeys_by_mode_and_distance_8km[#All],MATCH(A90, Percentage_dist_journeys_by_mode_and_distance_8km[#Headers],0),0)/100</f>
        <v>0</v>
      </c>
      <c r="J90" s="73">
        <f>VLOOKUP(B90,Average_Distance_by_kilometre_grouping_for_mode_type[#All],MATCH(A90,Average_Distance_by_kilometre_grouping_for_mode_type[#Headers],0),0)</f>
        <v>5</v>
      </c>
      <c r="K90" s="77">
        <f>VLOOKUP(C90, Adjustment_factor_for_distance_based_on_mode[#All],MATCH(A90, Adjustment_factor_for_distance_based_on_mode[#Headers],0),0)</f>
        <v>1.6298701298701299</v>
      </c>
      <c r="L90" s="78">
        <f>VLOOKUP($L$2, Total_Journeys_Per_Year[#All],MATCH(A90, Total_Journeys_Per_Year[#Headers],0),0)</f>
        <v>3171485717.1895118</v>
      </c>
      <c r="M90" s="35">
        <f t="shared" si="1"/>
        <v>157244321.26456586</v>
      </c>
      <c r="N90" s="35">
        <f>VLOOKUP($N$2, Private_Vehicle_Kilometres_Car_Stock[#All],MATCH(A90, Private_Vehicle_Kilometres_Car_Stock[#Headers],0),0)</f>
        <v>31821299194</v>
      </c>
    </row>
    <row r="91" spans="1:14" x14ac:dyDescent="0.25">
      <c r="A91" s="79" t="s">
        <v>33</v>
      </c>
      <c r="B91" s="13" t="s">
        <v>182</v>
      </c>
      <c r="C91" s="14" t="s">
        <v>6</v>
      </c>
      <c r="D91" s="5">
        <f>VLOOKUP(B91,Percentage_distribution_of_journey_distance_for_all_regions[#All],MATCH(A91,Percentage_distribution_of_journey_distance_for_all_regions[#Headers],0),0)/100</f>
        <v>6.6000000000000003E-2</v>
      </c>
      <c r="E91" s="71">
        <f>IF(B91="&lt;2 kilometres",1,0)*VLOOKUP(C91, Percentage_dist_journeys_by_mode_and_distance_to_2km[#All],MATCH(A91, Percentage_dist_journeys_by_mode_and_distance_to_2km[#Headers],0),0)/100</f>
        <v>0</v>
      </c>
      <c r="F91" s="4">
        <f>IF(B91="2-4 kilometres",1,0)*VLOOKUP(C91, Percentage_dist_journeys_by_mode_and_distance_2_to_4km[#All],MATCH(A91, Percentage_dist_journeys_by_mode_and_distance_2_to_4km[#Headers],0),0)/100</f>
        <v>0</v>
      </c>
      <c r="G91" s="72">
        <f>IF(B91="4-6 kilometres",1,0)*VLOOKUP(C91, Percentage_dist_journeys_by_mode_and_distance_4_to_6km[#All],MATCH(A91, Percentage_dist_journeys_by_mode_and_distance_4_to_6km[#Headers],0),0)/100</f>
        <v>0</v>
      </c>
      <c r="H91" s="4">
        <f>IF(B91="6-8 kilometres",1,0)*VLOOKUP(C91, Percentage_dist_journeys_by_mode_and_distance_6_to_8km[#All],MATCH(A91, Percentage_dist_journeys_by_mode_and_distance_6_to_8km[#Headers],0),0)/100</f>
        <v>6.0999999999999999E-2</v>
      </c>
      <c r="I91" s="72">
        <f>IF(B91="8+ kilometres",1,0)*VLOOKUP(C91, Percentage_dist_journeys_by_mode_and_distance_8km[#All],MATCH(A91, Percentage_dist_journeys_by_mode_and_distance_8km[#Headers],0),0)/100</f>
        <v>0</v>
      </c>
      <c r="J91" s="73">
        <f>VLOOKUP(B91,Average_Distance_by_kilometre_grouping_for_mode_type[#All],MATCH(A91,Average_Distance_by_kilometre_grouping_for_mode_type[#Headers],0),0)</f>
        <v>7</v>
      </c>
      <c r="K91" s="77">
        <f>VLOOKUP(C91, Adjustment_factor_for_distance_based_on_mode[#All],MATCH(A91, Adjustment_factor_for_distance_based_on_mode[#Headers],0),0)</f>
        <v>1.6298701298701299</v>
      </c>
      <c r="L91" s="78">
        <f>VLOOKUP($L$2, Total_Journeys_Per_Year[#All],MATCH(A91, Total_Journeys_Per_Year[#Headers],0),0)</f>
        <v>3171485717.1895118</v>
      </c>
      <c r="M91" s="35">
        <f t="shared" si="1"/>
        <v>145675853.44766584</v>
      </c>
      <c r="N91" s="35">
        <f>VLOOKUP($N$2, Private_Vehicle_Kilometres_Car_Stock[#All],MATCH(A91, Private_Vehicle_Kilometres_Car_Stock[#Headers],0),0)</f>
        <v>31821299194</v>
      </c>
    </row>
    <row r="92" spans="1:14" x14ac:dyDescent="0.25">
      <c r="A92" s="79" t="s">
        <v>33</v>
      </c>
      <c r="B92" s="13" t="s">
        <v>1</v>
      </c>
      <c r="C92" s="14" t="s">
        <v>6</v>
      </c>
      <c r="D92" s="5">
        <f>VLOOKUP(B92,Percentage_distribution_of_journey_distance_for_all_regions[#All],MATCH(A92,Percentage_distribution_of_journey_distance_for_all_regions[#Headers],0),0)/100</f>
        <v>0.41700000000000004</v>
      </c>
      <c r="E92" s="71">
        <f>IF(B92="&lt;2 kilometres",1,0)*VLOOKUP(C92, Percentage_dist_journeys_by_mode_and_distance_to_2km[#All],MATCH(A92, Percentage_dist_journeys_by_mode_and_distance_to_2km[#Headers],0),0)/100</f>
        <v>0</v>
      </c>
      <c r="F92" s="4">
        <f>IF(B92="2-4 kilometres",1,0)*VLOOKUP(C92, Percentage_dist_journeys_by_mode_and_distance_2_to_4km[#All],MATCH(A92, Percentage_dist_journeys_by_mode_and_distance_2_to_4km[#Headers],0),0)/100</f>
        <v>0</v>
      </c>
      <c r="G92" s="72">
        <f>IF(B92="4-6 kilometres",1,0)*VLOOKUP(C92, Percentage_dist_journeys_by_mode_and_distance_4_to_6km[#All],MATCH(A92, Percentage_dist_journeys_by_mode_and_distance_4_to_6km[#Headers],0),0)/100</f>
        <v>0</v>
      </c>
      <c r="H92" s="4">
        <f>IF(B92="6-8 kilometres",1,0)*VLOOKUP(C92, Percentage_dist_journeys_by_mode_and_distance_6_to_8km[#All],MATCH(A92, Percentage_dist_journeys_by_mode_and_distance_6_to_8km[#Headers],0),0)/100</f>
        <v>0</v>
      </c>
      <c r="I92" s="72">
        <f>IF(B92="8+ kilometres",1,0)*VLOOKUP(C92, Percentage_dist_journeys_by_mode_and_distance_8km[#All],MATCH(A92, Percentage_dist_journeys_by_mode_and_distance_8km[#Headers],0),0)/100</f>
        <v>0.08</v>
      </c>
      <c r="J92" s="73">
        <f>VLOOKUP(B92,Average_Distance_by_kilometre_grouping_for_mode_type[#All],MATCH(A92,Average_Distance_by_kilometre_grouping_for_mode_type[#Headers],0),0)</f>
        <v>35.22</v>
      </c>
      <c r="K92" s="77">
        <f>VLOOKUP(C92, Adjustment_factor_for_distance_based_on_mode[#All],MATCH(A92, Adjustment_factor_for_distance_based_on_mode[#Headers],0),0)</f>
        <v>1.6298701298701299</v>
      </c>
      <c r="L92" s="78">
        <f>VLOOKUP($L$2, Total_Journeys_Per_Year[#All],MATCH(A92, Total_Journeys_Per_Year[#Headers],0),0)</f>
        <v>3171485717.1895118</v>
      </c>
      <c r="M92" s="35">
        <f t="shared" si="1"/>
        <v>6073389777.4862595</v>
      </c>
      <c r="N92" s="35">
        <f>VLOOKUP($N$2, Private_Vehicle_Kilometres_Car_Stock[#All],MATCH(A92, Private_Vehicle_Kilometres_Car_Stock[#Headers],0),0)</f>
        <v>31821299194</v>
      </c>
    </row>
    <row r="93" spans="1:14" x14ac:dyDescent="0.25">
      <c r="A93" s="79" t="s">
        <v>33</v>
      </c>
      <c r="B93" s="13" t="s">
        <v>12</v>
      </c>
      <c r="C93" s="14" t="s">
        <v>7</v>
      </c>
      <c r="D93" s="5">
        <f>VLOOKUP(B93,Percentage_distribution_of_journey_distance_for_all_regions[#All],MATCH(A93,Percentage_distribution_of_journey_distance_for_all_regions[#Headers],0),0)/100</f>
        <v>0.21100000000000002</v>
      </c>
      <c r="E93" s="71">
        <f>IF(B93="&lt;2 kilometres",1,0)*VLOOKUP(C93, Percentage_dist_journeys_by_mode_and_distance_to_2km[#All],MATCH(A93, Percentage_dist_journeys_by_mode_and_distance_to_2km[#Headers],0),0)/100</f>
        <v>0.46399999999999997</v>
      </c>
      <c r="F93" s="4">
        <f>IF(B93="2-4 kilometres",1,0)*VLOOKUP(C93, Percentage_dist_journeys_by_mode_and_distance_2_to_4km[#All],MATCH(A93, Percentage_dist_journeys_by_mode_and_distance_2_to_4km[#Headers],0),0)/100</f>
        <v>0</v>
      </c>
      <c r="G93" s="72">
        <f>IF(B93="4-6 kilometres",1,0)*VLOOKUP(C93, Percentage_dist_journeys_by_mode_and_distance_4_to_6km[#All],MATCH(A93, Percentage_dist_journeys_by_mode_and_distance_4_to_6km[#Headers],0),0)/100</f>
        <v>0</v>
      </c>
      <c r="H93" s="4">
        <f>IF(B93="6-8 kilometres",1,0)*VLOOKUP(C93, Percentage_dist_journeys_by_mode_and_distance_6_to_8km[#All],MATCH(A93, Percentage_dist_journeys_by_mode_and_distance_6_to_8km[#Headers],0),0)/100</f>
        <v>0</v>
      </c>
      <c r="I93" s="72">
        <f>IF(B93="8+ kilometres",1,0)*VLOOKUP(C93, Percentage_dist_journeys_by_mode_and_distance_8km[#All],MATCH(A93, Percentage_dist_journeys_by_mode_and_distance_8km[#Headers],0),0)/100</f>
        <v>0</v>
      </c>
      <c r="J93" s="73">
        <f>VLOOKUP(B93,Average_Distance_by_kilometre_grouping_for_mode_type[#All],MATCH(A93,Average_Distance_by_kilometre_grouping_for_mode_type[#Headers],0),0)</f>
        <v>1</v>
      </c>
      <c r="K93" s="77">
        <f>VLOOKUP(C93, Adjustment_factor_for_distance_based_on_mode[#All],MATCH(A93, Adjustment_factor_for_distance_based_on_mode[#Headers],0),0)</f>
        <v>0.12337662337662336</v>
      </c>
      <c r="L93" s="78">
        <f>VLOOKUP($L$2, Total_Journeys_Per_Year[#All],MATCH(A93, Total_Journeys_Per_Year[#Headers],0),0)</f>
        <v>3171485717.1895118</v>
      </c>
      <c r="M93" s="35">
        <f t="shared" si="1"/>
        <v>38308581.918563098</v>
      </c>
      <c r="N93" s="35">
        <f>VLOOKUP($N$2, Private_Vehicle_Kilometres_Car_Stock[#All],MATCH(A93, Private_Vehicle_Kilometres_Car_Stock[#Headers],0),0)</f>
        <v>31821299194</v>
      </c>
    </row>
    <row r="94" spans="1:14" x14ac:dyDescent="0.25">
      <c r="A94" s="79" t="s">
        <v>33</v>
      </c>
      <c r="B94" s="13" t="s">
        <v>181</v>
      </c>
      <c r="C94" s="14" t="s">
        <v>7</v>
      </c>
      <c r="D94" s="5">
        <f>VLOOKUP(B94,Percentage_distribution_of_journey_distance_for_all_regions[#All],MATCH(A94,Percentage_distribution_of_journey_distance_for_all_regions[#Headers],0),0)/100</f>
        <v>0.18899999999999997</v>
      </c>
      <c r="E94" s="71">
        <f>IF(B94="&lt;2 kilometres",1,0)*VLOOKUP(C94, Percentage_dist_journeys_by_mode_and_distance_to_2km[#All],MATCH(A94, Percentage_dist_journeys_by_mode_and_distance_to_2km[#Headers],0),0)/100</f>
        <v>0</v>
      </c>
      <c r="F94" s="4">
        <f>IF(B94="2-4 kilometres",1,0)*VLOOKUP(C94, Percentage_dist_journeys_by_mode_and_distance_2_to_4km[#All],MATCH(A94, Percentage_dist_journeys_by_mode_and_distance_2_to_4km[#Headers],0),0)/100</f>
        <v>0.19600000000000001</v>
      </c>
      <c r="G94" s="72">
        <f>IF(B94="4-6 kilometres",1,0)*VLOOKUP(C94, Percentage_dist_journeys_by_mode_and_distance_4_to_6km[#All],MATCH(A94, Percentage_dist_journeys_by_mode_and_distance_4_to_6km[#Headers],0),0)/100</f>
        <v>0</v>
      </c>
      <c r="H94" s="4">
        <f>IF(B94="6-8 kilometres",1,0)*VLOOKUP(C94, Percentage_dist_journeys_by_mode_and_distance_6_to_8km[#All],MATCH(A94, Percentage_dist_journeys_by_mode_and_distance_6_to_8km[#Headers],0),0)/100</f>
        <v>0</v>
      </c>
      <c r="I94" s="72">
        <f>IF(B94="8+ kilometres",1,0)*VLOOKUP(C94, Percentage_dist_journeys_by_mode_and_distance_8km[#All],MATCH(A94, Percentage_dist_journeys_by_mode_and_distance_8km[#Headers],0),0)/100</f>
        <v>0</v>
      </c>
      <c r="J94" s="73">
        <f>VLOOKUP(B94,Average_Distance_by_kilometre_grouping_for_mode_type[#All],MATCH(A94,Average_Distance_by_kilometre_grouping_for_mode_type[#Headers],0),0)</f>
        <v>3</v>
      </c>
      <c r="K94" s="77">
        <f>VLOOKUP(C94, Adjustment_factor_for_distance_based_on_mode[#All],MATCH(A94, Adjustment_factor_for_distance_based_on_mode[#Headers],0),0)</f>
        <v>0.12337662337662336</v>
      </c>
      <c r="L94" s="78">
        <f>VLOOKUP($L$2, Total_Journeys_Per_Year[#All],MATCH(A94, Total_Journeys_Per_Year[#Headers],0),0)</f>
        <v>3171485717.1895118</v>
      </c>
      <c r="M94" s="35">
        <f t="shared" si="1"/>
        <v>43484528.985268764</v>
      </c>
      <c r="N94" s="35">
        <f>VLOOKUP($N$2, Private_Vehicle_Kilometres_Car_Stock[#All],MATCH(A94, Private_Vehicle_Kilometres_Car_Stock[#Headers],0),0)</f>
        <v>31821299194</v>
      </c>
    </row>
    <row r="95" spans="1:14" x14ac:dyDescent="0.25">
      <c r="A95" s="79" t="s">
        <v>33</v>
      </c>
      <c r="B95" s="13" t="s">
        <v>180</v>
      </c>
      <c r="C95" s="14" t="s">
        <v>7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Percentage_dist_journeys_by_mode_and_distance_to_2km[#All],MATCH(A95, Percentage_dist_journeys_by_mode_and_distance_to_2km[#Headers],0),0)/100</f>
        <v>0</v>
      </c>
      <c r="F95" s="4">
        <f>IF(B95="2-4 kilometres",1,0)*VLOOKUP(C95, Percentage_dist_journeys_by_mode_and_distance_2_to_4km[#All],MATCH(A95, Percentage_dist_journeys_by_mode_and_distance_2_to_4km[#Headers],0),0)/100</f>
        <v>0</v>
      </c>
      <c r="G95" s="72">
        <f>IF(B95="4-6 kilometres",1,0)*VLOOKUP(C95, Percentage_dist_journeys_by_mode_and_distance_4_to_6km[#All],MATCH(A95, Percentage_dist_journeys_by_mode_and_distance_4_to_6km[#Headers],0),0)/100</f>
        <v>0.10300000000000001</v>
      </c>
      <c r="H95" s="4">
        <f>IF(B95="6-8 kilometres",1,0)*VLOOKUP(C95, Percentage_dist_journeys_by_mode_and_distance_6_to_8km[#All],MATCH(A95, Percentage_dist_journeys_by_mode_and_distance_6_to_8km[#Headers],0),0)/100</f>
        <v>0</v>
      </c>
      <c r="I95" s="72">
        <f>IF(B95="8+ kilometres",1,0)*VLOOKUP(C95, Percentage_dist_journeys_by_mode_and_distance_8km[#All],MATCH(A95, Percentage_dist_journeys_by_mode_and_distance_8km[#Headers],0),0)/100</f>
        <v>0</v>
      </c>
      <c r="J95" s="73">
        <f>VLOOKUP(B95,Average_Distance_by_kilometre_grouping_for_mode_type[#All],MATCH(A95,Average_Distance_by_kilometre_grouping_for_mode_type[#Headers],0),0)</f>
        <v>5</v>
      </c>
      <c r="K95" s="77">
        <f>VLOOKUP(C95, Adjustment_factor_for_distance_based_on_mode[#All],MATCH(A95, Adjustment_factor_for_distance_based_on_mode[#Headers],0),0)</f>
        <v>0.12337662337662336</v>
      </c>
      <c r="L95" s="78">
        <f>VLOOKUP($L$2, Total_Journeys_Per_Year[#All],MATCH(A95, Total_Journeys_Per_Year[#Headers],0),0)</f>
        <v>3171485717.1895118</v>
      </c>
      <c r="M95" s="35">
        <f t="shared" si="1"/>
        <v>23577010.168154716</v>
      </c>
      <c r="N95" s="35">
        <f>VLOOKUP($N$2, Private_Vehicle_Kilometres_Car_Stock[#All],MATCH(A95, Private_Vehicle_Kilometres_Car_Stock[#Headers],0),0)</f>
        <v>31821299194</v>
      </c>
    </row>
    <row r="96" spans="1:14" x14ac:dyDescent="0.25">
      <c r="A96" s="79" t="s">
        <v>33</v>
      </c>
      <c r="B96" s="13" t="s">
        <v>182</v>
      </c>
      <c r="C96" s="14" t="s">
        <v>7</v>
      </c>
      <c r="D96" s="5">
        <f>VLOOKUP(B96,Percentage_distribution_of_journey_distance_for_all_regions[#All],MATCH(A96,Percentage_distribution_of_journey_distance_for_all_regions[#Headers],0),0)/100</f>
        <v>6.6000000000000003E-2</v>
      </c>
      <c r="E96" s="71">
        <f>IF(B96="&lt;2 kilometres",1,0)*VLOOKUP(C96, Percentage_dist_journeys_by_mode_and_distance_to_2km[#All],MATCH(A96, Percentage_dist_journeys_by_mode_and_distance_to_2km[#Headers],0),0)/100</f>
        <v>0</v>
      </c>
      <c r="F96" s="4">
        <f>IF(B96="2-4 kilometres",1,0)*VLOOKUP(C96, Percentage_dist_journeys_by_mode_and_distance_2_to_4km[#All],MATCH(A96, Percentage_dist_journeys_by_mode_and_distance_2_to_4km[#Headers],0),0)/100</f>
        <v>0</v>
      </c>
      <c r="G96" s="72">
        <f>IF(B96="4-6 kilometres",1,0)*VLOOKUP(C96, Percentage_dist_journeys_by_mode_and_distance_4_to_6km[#All],MATCH(A96, Percentage_dist_journeys_by_mode_and_distance_4_to_6km[#Headers],0),0)/100</f>
        <v>0</v>
      </c>
      <c r="H96" s="4">
        <f>IF(B96="6-8 kilometres",1,0)*VLOOKUP(C96, Percentage_dist_journeys_by_mode_and_distance_6_to_8km[#All],MATCH(A96, Percentage_dist_journeys_by_mode_and_distance_6_to_8km[#Headers],0),0)/100</f>
        <v>6.4000000000000001E-2</v>
      </c>
      <c r="I96" s="72">
        <f>IF(B96="8+ kilometres",1,0)*VLOOKUP(C96, Percentage_dist_journeys_by_mode_and_distance_8km[#All],MATCH(A96, Percentage_dist_journeys_by_mode_and_distance_8km[#Headers],0),0)/100</f>
        <v>0</v>
      </c>
      <c r="J96" s="73">
        <f>VLOOKUP(B96,Average_Distance_by_kilometre_grouping_for_mode_type[#All],MATCH(A96,Average_Distance_by_kilometre_grouping_for_mode_type[#Headers],0),0)</f>
        <v>7</v>
      </c>
      <c r="K96" s="77">
        <f>VLOOKUP(C96, Adjustment_factor_for_distance_based_on_mode[#All],MATCH(A96, Adjustment_factor_for_distance_based_on_mode[#Headers],0),0)</f>
        <v>0.12337662337662336</v>
      </c>
      <c r="L96" s="78">
        <f>VLOOKUP($L$2, Total_Journeys_Per_Year[#All],MATCH(A96, Total_Journeys_Per_Year[#Headers],0),0)</f>
        <v>3171485717.1895118</v>
      </c>
      <c r="M96" s="35">
        <f t="shared" si="1"/>
        <v>11569579.89630734</v>
      </c>
      <c r="N96" s="35">
        <f>VLOOKUP($N$2, Private_Vehicle_Kilometres_Car_Stock[#All],MATCH(A96, Private_Vehicle_Kilometres_Car_Stock[#Headers],0),0)</f>
        <v>31821299194</v>
      </c>
    </row>
    <row r="97" spans="1:14" x14ac:dyDescent="0.25">
      <c r="A97" s="79" t="s">
        <v>33</v>
      </c>
      <c r="B97" s="13" t="s">
        <v>1</v>
      </c>
      <c r="C97" s="14" t="s">
        <v>7</v>
      </c>
      <c r="D97" s="5">
        <f>VLOOKUP(B97,Percentage_distribution_of_journey_distance_for_all_regions[#All],MATCH(A97,Percentage_distribution_of_journey_distance_for_all_regions[#Headers],0),0)/100</f>
        <v>0.41700000000000004</v>
      </c>
      <c r="E97" s="71">
        <f>IF(B97="&lt;2 kilometres",1,0)*VLOOKUP(C97, Percentage_dist_journeys_by_mode_and_distance_to_2km[#All],MATCH(A97, Percentage_dist_journeys_by_mode_and_distance_to_2km[#Headers],0),0)/100</f>
        <v>0</v>
      </c>
      <c r="F97" s="4">
        <f>IF(B97="2-4 kilometres",1,0)*VLOOKUP(C97, Percentage_dist_journeys_by_mode_and_distance_2_to_4km[#All],MATCH(A97, Percentage_dist_journeys_by_mode_and_distance_2_to_4km[#Headers],0),0)/100</f>
        <v>0</v>
      </c>
      <c r="G97" s="72">
        <f>IF(B97="4-6 kilometres",1,0)*VLOOKUP(C97, Percentage_dist_journeys_by_mode_and_distance_4_to_6km[#All],MATCH(A97, Percentage_dist_journeys_by_mode_and_distance_4_to_6km[#Headers],0),0)/100</f>
        <v>0</v>
      </c>
      <c r="H97" s="4">
        <f>IF(B97="6-8 kilometres",1,0)*VLOOKUP(C97, Percentage_dist_journeys_by_mode_and_distance_6_to_8km[#All],MATCH(A97, Percentage_dist_journeys_by_mode_and_distance_6_to_8km[#Headers],0),0)/100</f>
        <v>0</v>
      </c>
      <c r="I97" s="72">
        <f>IF(B97="8+ kilometres",1,0)*VLOOKUP(C97, Percentage_dist_journeys_by_mode_and_distance_8km[#All],MATCH(A97, Percentage_dist_journeys_by_mode_and_distance_8km[#Headers],0),0)/100</f>
        <v>6.9999999999999993E-3</v>
      </c>
      <c r="J97" s="73">
        <f>VLOOKUP(B97,Average_Distance_by_kilometre_grouping_for_mode_type[#All],MATCH(A97,Average_Distance_by_kilometre_grouping_for_mode_type[#Headers],0),0)</f>
        <v>35.22</v>
      </c>
      <c r="K97" s="77">
        <f>VLOOKUP(C97, Adjustment_factor_for_distance_based_on_mode[#All],MATCH(A97, Adjustment_factor_for_distance_based_on_mode[#Headers],0),0)</f>
        <v>0.12337662337662336</v>
      </c>
      <c r="L97" s="78">
        <f>VLOOKUP($L$2, Total_Journeys_Per_Year[#All],MATCH(A97, Total_Journeys_Per_Year[#Headers],0),0)</f>
        <v>3171485717.1895118</v>
      </c>
      <c r="M97" s="35">
        <f t="shared" si="1"/>
        <v>40227133.486338265</v>
      </c>
      <c r="N97" s="35">
        <f>VLOOKUP($N$2, Private_Vehicle_Kilometres_Car_Stock[#All],MATCH(A97, Private_Vehicle_Kilometres_Car_Stock[#Headers],0),0)</f>
        <v>31821299194</v>
      </c>
    </row>
    <row r="98" spans="1:14" x14ac:dyDescent="0.25">
      <c r="A98" s="79" t="s">
        <v>33</v>
      </c>
      <c r="B98" s="13" t="s">
        <v>12</v>
      </c>
      <c r="C98" s="14" t="s">
        <v>8</v>
      </c>
      <c r="D98" s="5">
        <f>VLOOKUP(B98,Percentage_distribution_of_journey_distance_for_all_regions[#All],MATCH(A98,Percentage_distribution_of_journey_distance_for_all_regions[#Headers],0),0)/100</f>
        <v>0.21100000000000002</v>
      </c>
      <c r="E98" s="71">
        <f>IF(B98="&lt;2 kilometres",1,0)*VLOOKUP(C98, Percentage_dist_journeys_by_mode_and_distance_to_2km[#All],MATCH(A98, Percentage_dist_journeys_by_mode_and_distance_to_2km[#Headers],0),0)/100</f>
        <v>6.9999999999999993E-3</v>
      </c>
      <c r="F98" s="4">
        <f>IF(B98="2-4 kilometres",1,0)*VLOOKUP(C98, Percentage_dist_journeys_by_mode_and_distance_2_to_4km[#All],MATCH(A98, Percentage_dist_journeys_by_mode_and_distance_2_to_4km[#Headers],0),0)/100</f>
        <v>0</v>
      </c>
      <c r="G98" s="72">
        <f>IF(B98="4-6 kilometres",1,0)*VLOOKUP(C98, Percentage_dist_journeys_by_mode_and_distance_4_to_6km[#All],MATCH(A98, Percentage_dist_journeys_by_mode_and_distance_4_to_6km[#Headers],0),0)/100</f>
        <v>0</v>
      </c>
      <c r="H98" s="4">
        <f>IF(B98="6-8 kilometres",1,0)*VLOOKUP(C98, Percentage_dist_journeys_by_mode_and_distance_6_to_8km[#All],MATCH(A98, Percentage_dist_journeys_by_mode_and_distance_6_to_8km[#Headers],0),0)/100</f>
        <v>0</v>
      </c>
      <c r="I98" s="72">
        <f>IF(B98="8+ kilometres",1,0)*VLOOKUP(C98, Percentage_dist_journeys_by_mode_and_distance_8km[#All],MATCH(A98, Percentage_dist_journeys_by_mode_and_distance_8km[#Headers],0),0)/100</f>
        <v>0</v>
      </c>
      <c r="J98" s="73">
        <f>VLOOKUP(B98,Average_Distance_by_kilometre_grouping_for_mode_type[#All],MATCH(A98,Average_Distance_by_kilometre_grouping_for_mode_type[#Headers],0),0)</f>
        <v>1</v>
      </c>
      <c r="K98" s="77">
        <f>VLOOKUP(C98, Adjustment_factor_for_distance_based_on_mode[#All],MATCH(A98, Adjustment_factor_for_distance_based_on_mode[#Headers],0),0)</f>
        <v>1.1753246753246753</v>
      </c>
      <c r="L98" s="78">
        <f>VLOOKUP($L$2, Total_Journeys_Per_Year[#All],MATCH(A98, Total_Journeys_Per_Year[#Headers],0),0)</f>
        <v>3171485717.1895118</v>
      </c>
      <c r="M98" s="35">
        <f t="shared" si="1"/>
        <v>5505555.0465993024</v>
      </c>
      <c r="N98" s="35">
        <f>VLOOKUP($N$2, Private_Vehicle_Kilometres_Car_Stock[#All],MATCH(A98, Private_Vehicle_Kilometres_Car_Stock[#Headers],0),0)</f>
        <v>31821299194</v>
      </c>
    </row>
    <row r="99" spans="1:14" x14ac:dyDescent="0.25">
      <c r="A99" s="79" t="s">
        <v>33</v>
      </c>
      <c r="B99" s="13" t="s">
        <v>181</v>
      </c>
      <c r="C99" s="14" t="s">
        <v>8</v>
      </c>
      <c r="D99" s="5">
        <f>VLOOKUP(B99,Percentage_distribution_of_journey_distance_for_all_regions[#All],MATCH(A99,Percentage_distribution_of_journey_distance_for_all_regions[#Headers],0),0)/100</f>
        <v>0.18899999999999997</v>
      </c>
      <c r="E99" s="71">
        <f>IF(B99="&lt;2 kilometres",1,0)*VLOOKUP(C99, Percentage_dist_journeys_by_mode_and_distance_to_2km[#All],MATCH(A99, Percentage_dist_journeys_by_mode_and_distance_to_2km[#Headers],0),0)/100</f>
        <v>0</v>
      </c>
      <c r="F99" s="4">
        <f>IF(B99="2-4 kilometres",1,0)*VLOOKUP(C99, Percentage_dist_journeys_by_mode_and_distance_2_to_4km[#All],MATCH(A99, Percentage_dist_journeys_by_mode_and_distance_2_to_4km[#Headers],0),0)/100</f>
        <v>3.9E-2</v>
      </c>
      <c r="G99" s="72">
        <f>IF(B99="4-6 kilometres",1,0)*VLOOKUP(C99, Percentage_dist_journeys_by_mode_and_distance_4_to_6km[#All],MATCH(A99, Percentage_dist_journeys_by_mode_and_distance_4_to_6km[#Headers],0),0)/100</f>
        <v>0</v>
      </c>
      <c r="H99" s="4">
        <f>IF(B99="6-8 kilometres",1,0)*VLOOKUP(C99, Percentage_dist_journeys_by_mode_and_distance_6_to_8km[#All],MATCH(A99, Percentage_dist_journeys_by_mode_and_distance_6_to_8km[#Headers],0),0)/100</f>
        <v>0</v>
      </c>
      <c r="I99" s="72">
        <f>IF(B99="8+ kilometres",1,0)*VLOOKUP(C99, Percentage_dist_journeys_by_mode_and_distance_8km[#All],MATCH(A99, Percentage_dist_journeys_by_mode_and_distance_8km[#Headers],0),0)/100</f>
        <v>0</v>
      </c>
      <c r="J99" s="73">
        <f>VLOOKUP(B99,Average_Distance_by_kilometre_grouping_for_mode_type[#All],MATCH(A99,Average_Distance_by_kilometre_grouping_for_mode_type[#Headers],0),0)</f>
        <v>3</v>
      </c>
      <c r="K99" s="77">
        <f>VLOOKUP(C99, Adjustment_factor_for_distance_based_on_mode[#All],MATCH(A99, Adjustment_factor_for_distance_based_on_mode[#Headers],0),0)</f>
        <v>1.1753246753246753</v>
      </c>
      <c r="L99" s="78">
        <f>VLOOKUP($L$2, Total_Journeys_Per_Year[#All],MATCH(A99, Total_Journeys_Per_Year[#Headers],0),0)</f>
        <v>3171485717.1895118</v>
      </c>
      <c r="M99" s="35">
        <f t="shared" si="1"/>
        <v>82426769.631313711</v>
      </c>
      <c r="N99" s="35">
        <f>VLOOKUP($N$2, Private_Vehicle_Kilometres_Car_Stock[#All],MATCH(A99, Private_Vehicle_Kilometres_Car_Stock[#Headers],0),0)</f>
        <v>31821299194</v>
      </c>
    </row>
    <row r="100" spans="1:14" x14ac:dyDescent="0.25">
      <c r="A100" s="79" t="s">
        <v>33</v>
      </c>
      <c r="B100" s="13" t="s">
        <v>180</v>
      </c>
      <c r="C100" s="14" t="s">
        <v>8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Percentage_dist_journeys_by_mode_and_distance_to_2km[#All],MATCH(A100, Percentage_dist_journeys_by_mode_and_distance_to_2km[#Headers],0),0)/100</f>
        <v>0</v>
      </c>
      <c r="F100" s="4">
        <f>IF(B100="2-4 kilometres",1,0)*VLOOKUP(C100, Percentage_dist_journeys_by_mode_and_distance_2_to_4km[#All],MATCH(A100, Percentage_dist_journeys_by_mode_and_distance_2_to_4km[#Headers],0),0)/100</f>
        <v>0</v>
      </c>
      <c r="G100" s="72">
        <f>IF(B100="4-6 kilometres",1,0)*VLOOKUP(C100, Percentage_dist_journeys_by_mode_and_distance_4_to_6km[#All],MATCH(A100, Percentage_dist_journeys_by_mode_and_distance_4_to_6km[#Headers],0),0)/100</f>
        <v>5.5E-2</v>
      </c>
      <c r="H100" s="4">
        <f>IF(B100="6-8 kilometres",1,0)*VLOOKUP(C100, Percentage_dist_journeys_by_mode_and_distance_6_to_8km[#All],MATCH(A100, Percentage_dist_journeys_by_mode_and_distance_6_to_8km[#Headers],0),0)/100</f>
        <v>0</v>
      </c>
      <c r="I100" s="72">
        <f>IF(B100="8+ kilometres",1,0)*VLOOKUP(C100, Percentage_dist_journeys_by_mode_and_distance_8km[#All],MATCH(A100, Percentage_dist_journeys_by_mode_and_distance_8km[#Headers],0),0)/100</f>
        <v>0</v>
      </c>
      <c r="J100" s="73">
        <f>VLOOKUP(B100,Average_Distance_by_kilometre_grouping_for_mode_type[#All],MATCH(A100,Average_Distance_by_kilometre_grouping_for_mode_type[#Headers],0),0)</f>
        <v>5</v>
      </c>
      <c r="K100" s="77">
        <f>VLOOKUP(C100, Adjustment_factor_for_distance_based_on_mode[#All],MATCH(A100, Adjustment_factor_for_distance_based_on_mode[#Headers],0),0)</f>
        <v>1.1753246753246753</v>
      </c>
      <c r="L100" s="78">
        <f>VLOOKUP($L$2, Total_Journeys_Per_Year[#All],MATCH(A100, Total_Journeys_Per_Year[#Headers],0),0)</f>
        <v>3171485717.1895118</v>
      </c>
      <c r="M100" s="35">
        <f t="shared" si="1"/>
        <v>119933130.41593264</v>
      </c>
      <c r="N100" s="35">
        <f>VLOOKUP($N$2, Private_Vehicle_Kilometres_Car_Stock[#All],MATCH(A100, Private_Vehicle_Kilometres_Car_Stock[#Headers],0),0)</f>
        <v>31821299194</v>
      </c>
    </row>
    <row r="101" spans="1:14" x14ac:dyDescent="0.25">
      <c r="A101" s="79" t="s">
        <v>33</v>
      </c>
      <c r="B101" s="13" t="s">
        <v>182</v>
      </c>
      <c r="C101" s="14" t="s">
        <v>8</v>
      </c>
      <c r="D101" s="5">
        <f>VLOOKUP(B101,Percentage_distribution_of_journey_distance_for_all_regions[#All],MATCH(A101,Percentage_distribution_of_journey_distance_for_all_regions[#Headers],0),0)/100</f>
        <v>6.6000000000000003E-2</v>
      </c>
      <c r="E101" s="71">
        <f>IF(B101="&lt;2 kilometres",1,0)*VLOOKUP(C101, Percentage_dist_journeys_by_mode_and_distance_to_2km[#All],MATCH(A101, Percentage_dist_journeys_by_mode_and_distance_to_2km[#Headers],0),0)/100</f>
        <v>0</v>
      </c>
      <c r="F101" s="4">
        <f>IF(B101="2-4 kilometres",1,0)*VLOOKUP(C101, Percentage_dist_journeys_by_mode_and_distance_2_to_4km[#All],MATCH(A101, Percentage_dist_journeys_by_mode_and_distance_2_to_4km[#Headers],0),0)/100</f>
        <v>0</v>
      </c>
      <c r="G101" s="72">
        <f>IF(B101="4-6 kilometres",1,0)*VLOOKUP(C101, Percentage_dist_journeys_by_mode_and_distance_4_to_6km[#All],MATCH(A101, Percentage_dist_journeys_by_mode_and_distance_4_to_6km[#Headers],0),0)/100</f>
        <v>0</v>
      </c>
      <c r="H101" s="4">
        <f>IF(B101="6-8 kilometres",1,0)*VLOOKUP(C101, Percentage_dist_journeys_by_mode_and_distance_6_to_8km[#All],MATCH(A101, Percentage_dist_journeys_by_mode_and_distance_6_to_8km[#Headers],0),0)/100</f>
        <v>0.06</v>
      </c>
      <c r="I101" s="72">
        <f>IF(B101="8+ kilometres",1,0)*VLOOKUP(C101, Percentage_dist_journeys_by_mode_and_distance_8km[#All],MATCH(A101, Percentage_dist_journeys_by_mode_and_distance_8km[#Headers],0),0)/100</f>
        <v>0</v>
      </c>
      <c r="J101" s="73">
        <f>VLOOKUP(B101,Average_Distance_by_kilometre_grouping_for_mode_type[#All],MATCH(A101,Average_Distance_by_kilometre_grouping_for_mode_type[#Headers],0),0)</f>
        <v>7</v>
      </c>
      <c r="K101" s="77">
        <f>VLOOKUP(C101, Adjustment_factor_for_distance_based_on_mode[#All],MATCH(A101, Adjustment_factor_for_distance_based_on_mode[#Headers],0),0)</f>
        <v>1.1753246753246753</v>
      </c>
      <c r="L101" s="78">
        <f>VLOOKUP($L$2, Total_Journeys_Per_Year[#All],MATCH(A101, Total_Journeys_Per_Year[#Headers],0),0)</f>
        <v>3171485717.1895118</v>
      </c>
      <c r="M101" s="35">
        <f t="shared" si="1"/>
        <v>103327004.66603431</v>
      </c>
      <c r="N101" s="35">
        <f>VLOOKUP($N$2, Private_Vehicle_Kilometres_Car_Stock[#All],MATCH(A101, Private_Vehicle_Kilometres_Car_Stock[#Headers],0),0)</f>
        <v>31821299194</v>
      </c>
    </row>
    <row r="102" spans="1:14" x14ac:dyDescent="0.25">
      <c r="A102" s="79" t="s">
        <v>33</v>
      </c>
      <c r="B102" s="13" t="s">
        <v>1</v>
      </c>
      <c r="C102" s="14" t="s">
        <v>8</v>
      </c>
      <c r="D102" s="5">
        <f>VLOOKUP(B102,Percentage_distribution_of_journey_distance_for_all_regions[#All],MATCH(A102,Percentage_distribution_of_journey_distance_for_all_regions[#Headers],0),0)/100</f>
        <v>0.41700000000000004</v>
      </c>
      <c r="E102" s="71">
        <f>IF(B102="&lt;2 kilometres",1,0)*VLOOKUP(C102, Percentage_dist_journeys_by_mode_and_distance_to_2km[#All],MATCH(A102, Percentage_dist_journeys_by_mode_and_distance_to_2km[#Headers],0),0)/100</f>
        <v>0</v>
      </c>
      <c r="F102" s="4">
        <f>IF(B102="2-4 kilometres",1,0)*VLOOKUP(C102, Percentage_dist_journeys_by_mode_and_distance_2_to_4km[#All],MATCH(A102, Percentage_dist_journeys_by_mode_and_distance_2_to_4km[#Headers],0),0)/100</f>
        <v>0</v>
      </c>
      <c r="G102" s="72">
        <f>IF(B102="4-6 kilometres",1,0)*VLOOKUP(C102, Percentage_dist_journeys_by_mode_and_distance_4_to_6km[#All],MATCH(A102, Percentage_dist_journeys_by_mode_and_distance_4_to_6km[#Headers],0),0)/100</f>
        <v>0</v>
      </c>
      <c r="H102" s="4">
        <f>IF(B102="6-8 kilometres",1,0)*VLOOKUP(C102, Percentage_dist_journeys_by_mode_and_distance_6_to_8km[#All],MATCH(A102, Percentage_dist_journeys_by_mode_and_distance_6_to_8km[#Headers],0),0)/100</f>
        <v>0</v>
      </c>
      <c r="I102" s="72">
        <f>IF(B102="8+ kilometres",1,0)*VLOOKUP(C102, Percentage_dist_journeys_by_mode_and_distance_8km[#All],MATCH(A102, Percentage_dist_journeys_by_mode_and_distance_8km[#Headers],0),0)/100</f>
        <v>4.4000000000000004E-2</v>
      </c>
      <c r="J102" s="73">
        <f>VLOOKUP(B102,Average_Distance_by_kilometre_grouping_for_mode_type[#All],MATCH(A102,Average_Distance_by_kilometre_grouping_for_mode_type[#Headers],0),0)</f>
        <v>35.22</v>
      </c>
      <c r="K102" s="77">
        <f>VLOOKUP(C102, Adjustment_factor_for_distance_based_on_mode[#All],MATCH(A102, Adjustment_factor_for_distance_based_on_mode[#Headers],0),0)</f>
        <v>1.1753246753246753</v>
      </c>
      <c r="L102" s="78">
        <f>VLOOKUP($L$2, Total_Journeys_Per_Year[#All],MATCH(A102, Total_Journeys_Per_Year[#Headers],0),0)</f>
        <v>3171485717.1895118</v>
      </c>
      <c r="M102" s="35">
        <f t="shared" si="1"/>
        <v>2408788654.7759252</v>
      </c>
      <c r="N102" s="35">
        <f>VLOOKUP($N$2, Private_Vehicle_Kilometres_Car_Stock[#All],MATCH(A102, Private_Vehicle_Kilometres_Car_Stock[#Headers],0),0)</f>
        <v>31821299194</v>
      </c>
    </row>
    <row r="103" spans="1:14" x14ac:dyDescent="0.25">
      <c r="A103" s="79" t="s">
        <v>33</v>
      </c>
      <c r="B103" s="13" t="s">
        <v>12</v>
      </c>
      <c r="C103" s="14" t="s">
        <v>9</v>
      </c>
      <c r="D103" s="5">
        <f>VLOOKUP(B103,Percentage_distribution_of_journey_distance_for_all_regions[#All],MATCH(A103,Percentage_distribution_of_journey_distance_for_all_regions[#Headers],0),0)/100</f>
        <v>0.21100000000000002</v>
      </c>
      <c r="E103" s="71">
        <f>IF(B103="&lt;2 kilometres",1,0)*VLOOKUP(C103, Percentage_dist_journeys_by_mode_and_distance_to_2km[#All],MATCH(A103, Percentage_dist_journeys_by_mode_and_distance_to_2km[#Headers],0),0)/100</f>
        <v>1.3000000000000001E-2</v>
      </c>
      <c r="F103" s="4">
        <f>IF(B103="2-4 kilometres",1,0)*VLOOKUP(C103, Percentage_dist_journeys_by_mode_and_distance_2_to_4km[#All],MATCH(A103, Percentage_dist_journeys_by_mode_and_distance_2_to_4km[#Headers],0),0)/100</f>
        <v>0</v>
      </c>
      <c r="G103" s="72">
        <f>IF(B103="4-6 kilometres",1,0)*VLOOKUP(C103, Percentage_dist_journeys_by_mode_and_distance_4_to_6km[#All],MATCH(A103, Percentage_dist_journeys_by_mode_and_distance_4_to_6km[#Headers],0),0)/100</f>
        <v>0</v>
      </c>
      <c r="H103" s="4">
        <f>IF(B103="6-8 kilometres",1,0)*VLOOKUP(C103, Percentage_dist_journeys_by_mode_and_distance_6_to_8km[#All],MATCH(A103, Percentage_dist_journeys_by_mode_and_distance_6_to_8km[#Headers],0),0)/100</f>
        <v>0</v>
      </c>
      <c r="I103" s="72">
        <f>IF(B103="8+ kilometres",1,0)*VLOOKUP(C103, Percentage_dist_journeys_by_mode_and_distance_8km[#All],MATCH(A103, Percentage_dist_journeys_by_mode_and_distance_8km[#Headers],0),0)/100</f>
        <v>0</v>
      </c>
      <c r="J103" s="73">
        <f>VLOOKUP(B103,Average_Distance_by_kilometre_grouping_for_mode_type[#All],MATCH(A103,Average_Distance_by_kilometre_grouping_for_mode_type[#Headers],0),0)</f>
        <v>1</v>
      </c>
      <c r="K103" s="77">
        <f>VLOOKUP(C103, Adjustment_factor_for_distance_based_on_mode[#All],MATCH(A103, Adjustment_factor_for_distance_based_on_mode[#Headers],0),0)</f>
        <v>0.37012987012987014</v>
      </c>
      <c r="L103" s="78">
        <f>VLOOKUP($L$2, Total_Journeys_Per_Year[#All],MATCH(A103, Total_Journeys_Per_Year[#Headers],0),0)</f>
        <v>3171485717.1895118</v>
      </c>
      <c r="M103" s="35">
        <f t="shared" si="1"/>
        <v>3219902.3595343996</v>
      </c>
      <c r="N103" s="35">
        <f>VLOOKUP($N$2, Private_Vehicle_Kilometres_Car_Stock[#All],MATCH(A103, Private_Vehicle_Kilometres_Car_Stock[#Headers],0),0)</f>
        <v>31821299194</v>
      </c>
    </row>
    <row r="104" spans="1:14" x14ac:dyDescent="0.25">
      <c r="A104" s="79" t="s">
        <v>33</v>
      </c>
      <c r="B104" s="13" t="s">
        <v>181</v>
      </c>
      <c r="C104" s="14" t="s">
        <v>9</v>
      </c>
      <c r="D104" s="5">
        <f>VLOOKUP(B104,Percentage_distribution_of_journey_distance_for_all_regions[#All],MATCH(A104,Percentage_distribution_of_journey_distance_for_all_regions[#Headers],0),0)/100</f>
        <v>0.18899999999999997</v>
      </c>
      <c r="E104" s="71">
        <f>IF(B104="&lt;2 kilometres",1,0)*VLOOKUP(C104, Percentage_dist_journeys_by_mode_and_distance_to_2km[#All],MATCH(A104, Percentage_dist_journeys_by_mode_and_distance_to_2km[#Headers],0),0)/100</f>
        <v>0</v>
      </c>
      <c r="F104" s="4">
        <f>IF(B104="2-4 kilometres",1,0)*VLOOKUP(C104, Percentage_dist_journeys_by_mode_and_distance_2_to_4km[#All],MATCH(A104, Percentage_dist_journeys_by_mode_and_distance_2_to_4km[#Headers],0),0)/100</f>
        <v>1.9E-2</v>
      </c>
      <c r="G104" s="72">
        <f>IF(B104="4-6 kilometres",1,0)*VLOOKUP(C104, Percentage_dist_journeys_by_mode_and_distance_4_to_6km[#All],MATCH(A104, Percentage_dist_journeys_by_mode_and_distance_4_to_6km[#Headers],0),0)/100</f>
        <v>0</v>
      </c>
      <c r="H104" s="4">
        <f>IF(B104="6-8 kilometres",1,0)*VLOOKUP(C104, Percentage_dist_journeys_by_mode_and_distance_6_to_8km[#All],MATCH(A104, Percentage_dist_journeys_by_mode_and_distance_6_to_8km[#Headers],0),0)/100</f>
        <v>0</v>
      </c>
      <c r="I104" s="72">
        <f>IF(B104="8+ kilometres",1,0)*VLOOKUP(C104, Percentage_dist_journeys_by_mode_and_distance_8km[#All],MATCH(A104, Percentage_dist_journeys_by_mode_and_distance_8km[#Headers],0),0)/100</f>
        <v>0</v>
      </c>
      <c r="J104" s="73">
        <f>VLOOKUP(B104,Average_Distance_by_kilometre_grouping_for_mode_type[#All],MATCH(A104,Average_Distance_by_kilometre_grouping_for_mode_type[#Headers],0),0)</f>
        <v>3</v>
      </c>
      <c r="K104" s="77">
        <f>VLOOKUP(C104, Adjustment_factor_for_distance_based_on_mode[#All],MATCH(A104, Adjustment_factor_for_distance_based_on_mode[#Headers],0),0)</f>
        <v>0.37012987012987014</v>
      </c>
      <c r="L104" s="78">
        <f>VLOOKUP($L$2, Total_Journeys_Per_Year[#All],MATCH(A104, Total_Journeys_Per_Year[#Headers],0),0)</f>
        <v>3171485717.1895118</v>
      </c>
      <c r="M104" s="35">
        <f t="shared" si="1"/>
        <v>12646010.980409795</v>
      </c>
      <c r="N104" s="35">
        <f>VLOOKUP($N$2, Private_Vehicle_Kilometres_Car_Stock[#All],MATCH(A104, Private_Vehicle_Kilometres_Car_Stock[#Headers],0),0)</f>
        <v>31821299194</v>
      </c>
    </row>
    <row r="105" spans="1:14" x14ac:dyDescent="0.25">
      <c r="A105" s="79" t="s">
        <v>33</v>
      </c>
      <c r="B105" s="13" t="s">
        <v>180</v>
      </c>
      <c r="C105" s="14" t="s">
        <v>9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Percentage_dist_journeys_by_mode_and_distance_to_2km[#All],MATCH(A105, Percentage_dist_journeys_by_mode_and_distance_to_2km[#Headers],0),0)/100</f>
        <v>0</v>
      </c>
      <c r="F105" s="4">
        <f>IF(B105="2-4 kilometres",1,0)*VLOOKUP(C105, Percentage_dist_journeys_by_mode_and_distance_2_to_4km[#All],MATCH(A105, Percentage_dist_journeys_by_mode_and_distance_2_to_4km[#Headers],0),0)/100</f>
        <v>0</v>
      </c>
      <c r="G105" s="72">
        <f>IF(B105="4-6 kilometres",1,0)*VLOOKUP(C105, Percentage_dist_journeys_by_mode_and_distance_4_to_6km[#All],MATCH(A105, Percentage_dist_journeys_by_mode_and_distance_4_to_6km[#Headers],0),0)/100</f>
        <v>0.02</v>
      </c>
      <c r="H105" s="4">
        <f>IF(B105="6-8 kilometres",1,0)*VLOOKUP(C105, Percentage_dist_journeys_by_mode_and_distance_6_to_8km[#All],MATCH(A105, Percentage_dist_journeys_by_mode_and_distance_6_to_8km[#Headers],0),0)/100</f>
        <v>0</v>
      </c>
      <c r="I105" s="72">
        <f>IF(B105="8+ kilometres",1,0)*VLOOKUP(C105, Percentage_dist_journeys_by_mode_and_distance_8km[#All],MATCH(A105, Percentage_dist_journeys_by_mode_and_distance_8km[#Headers],0),0)/100</f>
        <v>0</v>
      </c>
      <c r="J105" s="73">
        <f>VLOOKUP(B105,Average_Distance_by_kilometre_grouping_for_mode_type[#All],MATCH(A105,Average_Distance_by_kilometre_grouping_for_mode_type[#Headers],0),0)</f>
        <v>5</v>
      </c>
      <c r="K105" s="77">
        <f>VLOOKUP(C105, Adjustment_factor_for_distance_based_on_mode[#All],MATCH(A105, Adjustment_factor_for_distance_based_on_mode[#Headers],0),0)</f>
        <v>0.37012987012987014</v>
      </c>
      <c r="L105" s="78">
        <f>VLOOKUP($L$2, Total_Journeys_Per_Year[#All],MATCH(A105, Total_Journeys_Per_Year[#Headers],0),0)</f>
        <v>3171485717.1895118</v>
      </c>
      <c r="M105" s="35">
        <f t="shared" si="1"/>
        <v>13734180.680478478</v>
      </c>
      <c r="N105" s="35">
        <f>VLOOKUP($N$2, Private_Vehicle_Kilometres_Car_Stock[#All],MATCH(A105, Private_Vehicle_Kilometres_Car_Stock[#Headers],0),0)</f>
        <v>31821299194</v>
      </c>
    </row>
    <row r="106" spans="1:14" x14ac:dyDescent="0.25">
      <c r="A106" s="79" t="s">
        <v>33</v>
      </c>
      <c r="B106" s="13" t="s">
        <v>182</v>
      </c>
      <c r="C106" s="14" t="s">
        <v>9</v>
      </c>
      <c r="D106" s="5">
        <f>VLOOKUP(B106,Percentage_distribution_of_journey_distance_for_all_regions[#All],MATCH(A106,Percentage_distribution_of_journey_distance_for_all_regions[#Headers],0),0)/100</f>
        <v>6.6000000000000003E-2</v>
      </c>
      <c r="E106" s="71">
        <f>IF(B106="&lt;2 kilometres",1,0)*VLOOKUP(C106, Percentage_dist_journeys_by_mode_and_distance_to_2km[#All],MATCH(A106, Percentage_dist_journeys_by_mode_and_distance_to_2km[#Headers],0),0)/100</f>
        <v>0</v>
      </c>
      <c r="F106" s="4">
        <f>IF(B106="2-4 kilometres",1,0)*VLOOKUP(C106, Percentage_dist_journeys_by_mode_and_distance_2_to_4km[#All],MATCH(A106, Percentage_dist_journeys_by_mode_and_distance_2_to_4km[#Headers],0),0)/100</f>
        <v>0</v>
      </c>
      <c r="G106" s="72">
        <f>IF(B106="4-6 kilometres",1,0)*VLOOKUP(C106, Percentage_dist_journeys_by_mode_and_distance_4_to_6km[#All],MATCH(A106, Percentage_dist_journeys_by_mode_and_distance_4_to_6km[#Headers],0),0)/100</f>
        <v>0</v>
      </c>
      <c r="H106" s="4">
        <f>IF(B106="6-8 kilometres",1,0)*VLOOKUP(C106, Percentage_dist_journeys_by_mode_and_distance_6_to_8km[#All],MATCH(A106, Percentage_dist_journeys_by_mode_and_distance_6_to_8km[#Headers],0),0)/100</f>
        <v>2.3E-2</v>
      </c>
      <c r="I106" s="72">
        <f>IF(B106="8+ kilometres",1,0)*VLOOKUP(C106, Percentage_dist_journeys_by_mode_and_distance_8km[#All],MATCH(A106, Percentage_dist_journeys_by_mode_and_distance_8km[#Headers],0),0)/100</f>
        <v>0</v>
      </c>
      <c r="J106" s="73">
        <f>VLOOKUP(B106,Average_Distance_by_kilometre_grouping_for_mode_type[#All],MATCH(A106,Average_Distance_by_kilometre_grouping_for_mode_type[#Headers],0),0)</f>
        <v>7</v>
      </c>
      <c r="K106" s="77">
        <f>VLOOKUP(C106, Adjustment_factor_for_distance_based_on_mode[#All],MATCH(A106, Adjustment_factor_for_distance_based_on_mode[#Headers],0),0)</f>
        <v>0.37012987012987014</v>
      </c>
      <c r="L106" s="78">
        <f>VLOOKUP($L$2, Total_Journeys_Per_Year[#All],MATCH(A106, Total_Journeys_Per_Year[#Headers],0),0)</f>
        <v>3171485717.1895118</v>
      </c>
      <c r="M106" s="35">
        <f t="shared" si="1"/>
        <v>12473453.32570635</v>
      </c>
      <c r="N106" s="35">
        <f>VLOOKUP($N$2, Private_Vehicle_Kilometres_Car_Stock[#All],MATCH(A106, Private_Vehicle_Kilometres_Car_Stock[#Headers],0),0)</f>
        <v>31821299194</v>
      </c>
    </row>
    <row r="107" spans="1:14" x14ac:dyDescent="0.25">
      <c r="A107" s="79" t="s">
        <v>33</v>
      </c>
      <c r="B107" s="13" t="s">
        <v>1</v>
      </c>
      <c r="C107" s="14" t="s">
        <v>9</v>
      </c>
      <c r="D107" s="5">
        <f>VLOOKUP(B107,Percentage_distribution_of_journey_distance_for_all_regions[#All],MATCH(A107,Percentage_distribution_of_journey_distance_for_all_regions[#Headers],0),0)/100</f>
        <v>0.41700000000000004</v>
      </c>
      <c r="E107" s="71">
        <f>IF(B107="&lt;2 kilometres",1,0)*VLOOKUP(C107, Percentage_dist_journeys_by_mode_and_distance_to_2km[#All],MATCH(A107, Percentage_dist_journeys_by_mode_and_distance_to_2km[#Headers],0),0)/100</f>
        <v>0</v>
      </c>
      <c r="F107" s="4">
        <f>IF(B107="2-4 kilometres",1,0)*VLOOKUP(C107, Percentage_dist_journeys_by_mode_and_distance_2_to_4km[#All],MATCH(A107, Percentage_dist_journeys_by_mode_and_distance_2_to_4km[#Headers],0),0)/100</f>
        <v>0</v>
      </c>
      <c r="G107" s="72">
        <f>IF(B107="4-6 kilometres",1,0)*VLOOKUP(C107, Percentage_dist_journeys_by_mode_and_distance_4_to_6km[#All],MATCH(A107, Percentage_dist_journeys_by_mode_and_distance_4_to_6km[#Headers],0),0)/100</f>
        <v>0</v>
      </c>
      <c r="H107" s="4">
        <f>IF(B107="6-8 kilometres",1,0)*VLOOKUP(C107, Percentage_dist_journeys_by_mode_and_distance_6_to_8km[#All],MATCH(A107, Percentage_dist_journeys_by_mode_and_distance_6_to_8km[#Headers],0),0)/100</f>
        <v>0</v>
      </c>
      <c r="I107" s="72">
        <f>IF(B107="8+ kilometres",1,0)*VLOOKUP(C107, Percentage_dist_journeys_by_mode_and_distance_8km[#All],MATCH(A107, Percentage_dist_journeys_by_mode_and_distance_8km[#Headers],0),0)/100</f>
        <v>6.0000000000000001E-3</v>
      </c>
      <c r="J107" s="73">
        <f>VLOOKUP(B107,Average_Distance_by_kilometre_grouping_for_mode_type[#All],MATCH(A107,Average_Distance_by_kilometre_grouping_for_mode_type[#Headers],0),0)</f>
        <v>35.22</v>
      </c>
      <c r="K107" s="77">
        <f>VLOOKUP(C107, Adjustment_factor_for_distance_based_on_mode[#All],MATCH(A107, Adjustment_factor_for_distance_based_on_mode[#Headers],0),0)</f>
        <v>0.37012987012987014</v>
      </c>
      <c r="L107" s="78">
        <f>VLOOKUP($L$2, Total_Journeys_Per_Year[#All],MATCH(A107, Total_Journeys_Per_Year[#Headers],0),0)</f>
        <v>3171485717.1895118</v>
      </c>
      <c r="M107" s="35">
        <f t="shared" si="1"/>
        <v>103441200.39344127</v>
      </c>
      <c r="N107" s="35">
        <f>VLOOKUP($N$2, Private_Vehicle_Kilometres_Car_Stock[#All],MATCH(A107, Private_Vehicle_Kilometres_Car_Stock[#Headers],0),0)</f>
        <v>31821299194</v>
      </c>
    </row>
    <row r="108" spans="1:14" x14ac:dyDescent="0.25">
      <c r="A108" s="79" t="s">
        <v>33</v>
      </c>
      <c r="B108" s="13" t="s">
        <v>12</v>
      </c>
      <c r="C108" s="14" t="s">
        <v>10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Percentage_dist_journeys_by_mode_and_distance_to_2km[#All],MATCH(A108, Percentage_dist_journeys_by_mode_and_distance_to_2km[#Headers],0),0)/100</f>
        <v>2E-3</v>
      </c>
      <c r="F108" s="4">
        <f>IF(B108="2-4 kilometres",1,0)*VLOOKUP(C108, Percentage_dist_journeys_by_mode_and_distance_2_to_4km[#All],MATCH(A108, Percentage_dist_journeys_by_mode_and_distance_2_to_4km[#Headers],0),0)/100</f>
        <v>0</v>
      </c>
      <c r="G108" s="72">
        <f>IF(B108="4-6 kilometres",1,0)*VLOOKUP(C108, Percentage_dist_journeys_by_mode_and_distance_4_to_6km[#All],MATCH(A108, Percentage_dist_journeys_by_mode_and_distance_4_to_6km[#Headers],0),0)/100</f>
        <v>0</v>
      </c>
      <c r="H108" s="4">
        <f>IF(B108="6-8 kilometres",1,0)*VLOOKUP(C108, Percentage_dist_journeys_by_mode_and_distance_6_to_8km[#All],MATCH(A108, Percentage_dist_journeys_by_mode_and_distance_6_to_8km[#Headers],0),0)/100</f>
        <v>0</v>
      </c>
      <c r="I108" s="72">
        <f>IF(B108="8+ kilometres",1,0)*VLOOKUP(C108, Percentage_dist_journeys_by_mode_and_distance_8km[#All],MATCH(A108, Percentage_dist_journeys_by_mode_and_distance_8km[#Headers],0),0)/100</f>
        <v>0</v>
      </c>
      <c r="J108" s="73">
        <f>VLOOKUP(B108,Average_Distance_by_kilometre_grouping_for_mode_type[#All],MATCH(A108,Average_Distance_by_kilometre_grouping_for_mode_type[#Headers],0),0)</f>
        <v>1</v>
      </c>
      <c r="K108" s="77">
        <f>VLOOKUP(C108, Adjustment_factor_for_distance_based_on_mode[#All],MATCH(A108, Adjustment_factor_for_distance_based_on_mode[#Headers],0),0)</f>
        <v>1.8181818181818181</v>
      </c>
      <c r="L108" s="78">
        <f>VLOOKUP($L$2, Total_Journeys_Per_Year[#All],MATCH(A108, Total_Journeys_Per_Year[#Headers],0),0)</f>
        <v>3171485717.1895118</v>
      </c>
      <c r="M108" s="35">
        <f t="shared" si="1"/>
        <v>2433394.4957344984</v>
      </c>
      <c r="N108" s="35">
        <f>VLOOKUP($N$2, Private_Vehicle_Kilometres_Car_Stock[#All],MATCH(A108, Private_Vehicle_Kilometres_Car_Stock[#Headers],0),0)</f>
        <v>31821299194</v>
      </c>
    </row>
    <row r="109" spans="1:14" x14ac:dyDescent="0.25">
      <c r="A109" s="79" t="s">
        <v>33</v>
      </c>
      <c r="B109" s="13" t="s">
        <v>181</v>
      </c>
      <c r="C109" s="14" t="s">
        <v>10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Percentage_dist_journeys_by_mode_and_distance_to_2km[#All],MATCH(A109, Percentage_dist_journeys_by_mode_and_distance_to_2km[#Headers],0),0)/100</f>
        <v>0</v>
      </c>
      <c r="F109" s="4">
        <f>IF(B109="2-4 kilometres",1,0)*VLOOKUP(C109, Percentage_dist_journeys_by_mode_and_distance_2_to_4km[#All],MATCH(A109, Percentage_dist_journeys_by_mode_and_distance_2_to_4km[#Headers],0),0)/100</f>
        <v>6.9999999999999993E-3</v>
      </c>
      <c r="G109" s="72">
        <f>IF(B109="4-6 kilometres",1,0)*VLOOKUP(C109, Percentage_dist_journeys_by_mode_and_distance_4_to_6km[#All],MATCH(A109, Percentage_dist_journeys_by_mode_and_distance_4_to_6km[#Headers],0),0)/100</f>
        <v>0</v>
      </c>
      <c r="H109" s="4">
        <f>IF(B109="6-8 kilometres",1,0)*VLOOKUP(C109, Percentage_dist_journeys_by_mode_and_distance_6_to_8km[#All],MATCH(A109, Percentage_dist_journeys_by_mode_and_distance_6_to_8km[#Headers],0),0)/100</f>
        <v>0</v>
      </c>
      <c r="I109" s="72">
        <f>IF(B109="8+ kilometres",1,0)*VLOOKUP(C109, Percentage_dist_journeys_by_mode_and_distance_8km[#All],MATCH(A109, Percentage_dist_journeys_by_mode_and_distance_8km[#Headers],0),0)/100</f>
        <v>0</v>
      </c>
      <c r="J109" s="73">
        <f>VLOOKUP(B109,Average_Distance_by_kilometre_grouping_for_mode_type[#All],MATCH(A109,Average_Distance_by_kilometre_grouping_for_mode_type[#Headers],0),0)</f>
        <v>3</v>
      </c>
      <c r="K109" s="77">
        <f>VLOOKUP(C109, Adjustment_factor_for_distance_based_on_mode[#All],MATCH(A109, Adjustment_factor_for_distance_based_on_mode[#Headers],0),0)</f>
        <v>1.8181818181818181</v>
      </c>
      <c r="L109" s="78">
        <f>VLOOKUP($L$2, Total_Journeys_Per_Year[#All],MATCH(A109, Total_Journeys_Per_Year[#Headers],0),0)</f>
        <v>3171485717.1895118</v>
      </c>
      <c r="M109" s="35">
        <f t="shared" si="1"/>
        <v>22886594.202773038</v>
      </c>
      <c r="N109" s="35">
        <f>VLOOKUP($N$2, Private_Vehicle_Kilometres_Car_Stock[#All],MATCH(A109, Private_Vehicle_Kilometres_Car_Stock[#Headers],0),0)</f>
        <v>31821299194</v>
      </c>
    </row>
    <row r="110" spans="1:14" x14ac:dyDescent="0.25">
      <c r="A110" s="79" t="s">
        <v>33</v>
      </c>
      <c r="B110" s="13" t="s">
        <v>180</v>
      </c>
      <c r="C110" s="14" t="s">
        <v>10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Percentage_dist_journeys_by_mode_and_distance_to_2km[#All],MATCH(A110, Percentage_dist_journeys_by_mode_and_distance_to_2km[#Headers],0),0)/100</f>
        <v>0</v>
      </c>
      <c r="F110" s="4">
        <f>IF(B110="2-4 kilometres",1,0)*VLOOKUP(C110, Percentage_dist_journeys_by_mode_and_distance_2_to_4km[#All],MATCH(A110, Percentage_dist_journeys_by_mode_and_distance_2_to_4km[#Headers],0),0)/100</f>
        <v>0</v>
      </c>
      <c r="G110" s="72">
        <f>IF(B110="4-6 kilometres",1,0)*VLOOKUP(C110, Percentage_dist_journeys_by_mode_and_distance_4_to_6km[#All],MATCH(A110, Percentage_dist_journeys_by_mode_and_distance_4_to_6km[#Headers],0),0)/100</f>
        <v>1.3000000000000001E-2</v>
      </c>
      <c r="H110" s="4">
        <f>IF(B110="6-8 kilometres",1,0)*VLOOKUP(C110, Percentage_dist_journeys_by_mode_and_distance_6_to_8km[#All],MATCH(A110, Percentage_dist_journeys_by_mode_and_distance_6_to_8km[#Headers],0),0)/100</f>
        <v>0</v>
      </c>
      <c r="I110" s="72">
        <f>IF(B110="8+ kilometres",1,0)*VLOOKUP(C110, Percentage_dist_journeys_by_mode_and_distance_8km[#All],MATCH(A110, Percentage_dist_journeys_by_mode_and_distance_8km[#Headers],0),0)/100</f>
        <v>0</v>
      </c>
      <c r="J110" s="73">
        <f>VLOOKUP(B110,Average_Distance_by_kilometre_grouping_for_mode_type[#All],MATCH(A110,Average_Distance_by_kilometre_grouping_for_mode_type[#Headers],0),0)</f>
        <v>5</v>
      </c>
      <c r="K110" s="77">
        <f>VLOOKUP(C110, Adjustment_factor_for_distance_based_on_mode[#All],MATCH(A110, Adjustment_factor_for_distance_based_on_mode[#Headers],0),0)</f>
        <v>1.8181818181818181</v>
      </c>
      <c r="L110" s="78">
        <f>VLOOKUP($L$2, Total_Journeys_Per_Year[#All],MATCH(A110, Total_Journeys_Per_Year[#Headers],0),0)</f>
        <v>3171485717.1895118</v>
      </c>
      <c r="M110" s="35">
        <f t="shared" si="1"/>
        <v>43852997.96222952</v>
      </c>
      <c r="N110" s="35">
        <f>VLOOKUP($N$2, Private_Vehicle_Kilometres_Car_Stock[#All],MATCH(A110, Private_Vehicle_Kilometres_Car_Stock[#Headers],0),0)</f>
        <v>31821299194</v>
      </c>
    </row>
    <row r="111" spans="1:14" x14ac:dyDescent="0.25">
      <c r="A111" s="79" t="s">
        <v>33</v>
      </c>
      <c r="B111" s="13" t="s">
        <v>182</v>
      </c>
      <c r="C111" s="14" t="s">
        <v>10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Percentage_dist_journeys_by_mode_and_distance_to_2km[#All],MATCH(A111, Percentage_dist_journeys_by_mode_and_distance_to_2km[#Headers],0),0)/100</f>
        <v>0</v>
      </c>
      <c r="F111" s="4">
        <f>IF(B111="2-4 kilometres",1,0)*VLOOKUP(C111, Percentage_dist_journeys_by_mode_and_distance_2_to_4km[#All],MATCH(A111, Percentage_dist_journeys_by_mode_and_distance_2_to_4km[#Headers],0),0)/100</f>
        <v>0</v>
      </c>
      <c r="G111" s="72">
        <f>IF(B111="4-6 kilometres",1,0)*VLOOKUP(C111, Percentage_dist_journeys_by_mode_and_distance_4_to_6km[#All],MATCH(A111, Percentage_dist_journeys_by_mode_and_distance_4_to_6km[#Headers],0),0)/100</f>
        <v>0</v>
      </c>
      <c r="H111" s="4">
        <f>IF(B111="6-8 kilometres",1,0)*VLOOKUP(C111, Percentage_dist_journeys_by_mode_and_distance_6_to_8km[#All],MATCH(A111, Percentage_dist_journeys_by_mode_and_distance_6_to_8km[#Headers],0),0)/100</f>
        <v>1.4999999999999999E-2</v>
      </c>
      <c r="I111" s="72">
        <f>IF(B111="8+ kilometres",1,0)*VLOOKUP(C111, Percentage_dist_journeys_by_mode_and_distance_8km[#All],MATCH(A111, Percentage_dist_journeys_by_mode_and_distance_8km[#Headers],0),0)/100</f>
        <v>0</v>
      </c>
      <c r="J111" s="73">
        <f>VLOOKUP(B111,Average_Distance_by_kilometre_grouping_for_mode_type[#All],MATCH(A111,Average_Distance_by_kilometre_grouping_for_mode_type[#Headers],0),0)</f>
        <v>7</v>
      </c>
      <c r="K111" s="77">
        <f>VLOOKUP(C111, Adjustment_factor_for_distance_based_on_mode[#All],MATCH(A111, Adjustment_factor_for_distance_based_on_mode[#Headers],0),0)</f>
        <v>1.8181818181818181</v>
      </c>
      <c r="L111" s="78">
        <f>VLOOKUP($L$2, Total_Journeys_Per_Year[#All],MATCH(A111, Total_Journeys_Per_Year[#Headers],0),0)</f>
        <v>3171485717.1895118</v>
      </c>
      <c r="M111" s="35">
        <f t="shared" si="1"/>
        <v>39960720.036587849</v>
      </c>
      <c r="N111" s="35">
        <f>VLOOKUP($N$2, Private_Vehicle_Kilometres_Car_Stock[#All],MATCH(A111, Private_Vehicle_Kilometres_Car_Stock[#Headers],0),0)</f>
        <v>31821299194</v>
      </c>
    </row>
    <row r="112" spans="1:14" x14ac:dyDescent="0.25">
      <c r="A112" s="79" t="s">
        <v>33</v>
      </c>
      <c r="B112" s="13" t="s">
        <v>1</v>
      </c>
      <c r="C112" s="14" t="s">
        <v>10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Percentage_dist_journeys_by_mode_and_distance_to_2km[#All],MATCH(A112, Percentage_dist_journeys_by_mode_and_distance_to_2km[#Headers],0),0)/100</f>
        <v>0</v>
      </c>
      <c r="F112" s="4">
        <f>IF(B112="2-4 kilometres",1,0)*VLOOKUP(C112, Percentage_dist_journeys_by_mode_and_distance_2_to_4km[#All],MATCH(A112, Percentage_dist_journeys_by_mode_and_distance_2_to_4km[#Headers],0),0)/100</f>
        <v>0</v>
      </c>
      <c r="G112" s="72">
        <f>IF(B112="4-6 kilometres",1,0)*VLOOKUP(C112, Percentage_dist_journeys_by_mode_and_distance_4_to_6km[#All],MATCH(A112, Percentage_dist_journeys_by_mode_and_distance_4_to_6km[#Headers],0),0)/100</f>
        <v>0</v>
      </c>
      <c r="H112" s="4">
        <f>IF(B112="6-8 kilometres",1,0)*VLOOKUP(C112, Percentage_dist_journeys_by_mode_and_distance_6_to_8km[#All],MATCH(A112, Percentage_dist_journeys_by_mode_and_distance_6_to_8km[#Headers],0),0)/100</f>
        <v>0</v>
      </c>
      <c r="I112" s="72">
        <f>IF(B112="8+ kilometres",1,0)*VLOOKUP(C112, Percentage_dist_journeys_by_mode_and_distance_8km[#All],MATCH(A112, Percentage_dist_journeys_by_mode_and_distance_8km[#Headers],0),0)/100</f>
        <v>2.4E-2</v>
      </c>
      <c r="J112" s="73">
        <f>VLOOKUP(B112,Average_Distance_by_kilometre_grouping_for_mode_type[#All],MATCH(A112,Average_Distance_by_kilometre_grouping_for_mode_type[#Headers],0),0)</f>
        <v>35.22</v>
      </c>
      <c r="K112" s="77">
        <f>VLOOKUP(C112, Adjustment_factor_for_distance_based_on_mode[#All],MATCH(A112, Adjustment_factor_for_distance_based_on_mode[#Headers],0),0)</f>
        <v>1.8181818181818181</v>
      </c>
      <c r="L112" s="78">
        <f>VLOOKUP($L$2, Total_Journeys_Per_Year[#All],MATCH(A112, Total_Journeys_Per_Year[#Headers],0),0)</f>
        <v>3171485717.1895118</v>
      </c>
      <c r="M112" s="35">
        <f t="shared" si="1"/>
        <v>2032528849.8360391</v>
      </c>
      <c r="N112" s="35">
        <f>VLOOKUP($N$2, Private_Vehicle_Kilometres_Car_Stock[#All],MATCH(A112, Private_Vehicle_Kilometres_Car_Stock[#Headers],0),0)</f>
        <v>31821299194</v>
      </c>
    </row>
    <row r="113" spans="1:14" x14ac:dyDescent="0.25">
      <c r="A113" s="79" t="s">
        <v>33</v>
      </c>
      <c r="B113" s="13" t="s">
        <v>12</v>
      </c>
      <c r="C113" s="14" t="s">
        <v>11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Percentage_dist_journeys_by_mode_and_distance_to_2km[#All],MATCH(A113, Percentage_dist_journeys_by_mode_and_distance_to_2km[#Headers],0),0)/100</f>
        <v>6.0000000000000001E-3</v>
      </c>
      <c r="F113" s="4">
        <f>IF(B113="2-4 kilometres",1,0)*VLOOKUP(C113, Percentage_dist_journeys_by_mode_and_distance_2_to_4km[#All],MATCH(A113, Percentage_dist_journeys_by_mode_and_distance_2_to_4km[#Headers],0),0)/100</f>
        <v>0</v>
      </c>
      <c r="G113" s="72">
        <f>IF(B113="4-6 kilometres",1,0)*VLOOKUP(C113, Percentage_dist_journeys_by_mode_and_distance_4_to_6km[#All],MATCH(A113, Percentage_dist_journeys_by_mode_and_distance_4_to_6km[#Headers],0),0)/100</f>
        <v>0</v>
      </c>
      <c r="H113" s="4">
        <f>IF(B113="6-8 kilometres",1,0)*VLOOKUP(C113, Percentage_dist_journeys_by_mode_and_distance_6_to_8km[#All],MATCH(A113, Percentage_dist_journeys_by_mode_and_distance_6_to_8km[#Headers],0),0)/100</f>
        <v>0</v>
      </c>
      <c r="I113" s="72">
        <f>IF(B113="8+ kilometres",1,0)*VLOOKUP(C113, Percentage_dist_journeys_by_mode_and_distance_8km[#All],MATCH(A113, Percentage_dist_journeys_by_mode_and_distance_8km[#Headers],0),0)/100</f>
        <v>0</v>
      </c>
      <c r="J113" s="73">
        <f>VLOOKUP(B113,Average_Distance_by_kilometre_grouping_for_mode_type[#All],MATCH(A113,Average_Distance_by_kilometre_grouping_for_mode_type[#Headers],0),0)</f>
        <v>1</v>
      </c>
      <c r="K113" s="77">
        <f>VLOOKUP(C113, Adjustment_factor_for_distance_based_on_mode[#All],MATCH(A113, Adjustment_factor_for_distance_based_on_mode[#Headers],0),0)</f>
        <v>0.44155844155844154</v>
      </c>
      <c r="L113" s="78">
        <f>VLOOKUP($L$2, Total_Journeys_Per_Year[#All],MATCH(A113, Total_Journeys_Per_Year[#Headers],0),0)</f>
        <v>3171485717.1895118</v>
      </c>
      <c r="M113" s="35">
        <f t="shared" si="1"/>
        <v>1772901.7040351345</v>
      </c>
      <c r="N113" s="35">
        <f>VLOOKUP($N$2, Private_Vehicle_Kilometres_Car_Stock[#All],MATCH(A113, Private_Vehicle_Kilometres_Car_Stock[#Headers],0),0)</f>
        <v>31821299194</v>
      </c>
    </row>
    <row r="114" spans="1:14" x14ac:dyDescent="0.25">
      <c r="A114" s="79" t="s">
        <v>33</v>
      </c>
      <c r="B114" s="13" t="s">
        <v>181</v>
      </c>
      <c r="C114" s="14" t="s">
        <v>11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Percentage_dist_journeys_by_mode_and_distance_to_2km[#All],MATCH(A114, Percentage_dist_journeys_by_mode_and_distance_to_2km[#Headers],0),0)/100</f>
        <v>0</v>
      </c>
      <c r="F114" s="4">
        <f>IF(B114="2-4 kilometres",1,0)*VLOOKUP(C114, Percentage_dist_journeys_by_mode_and_distance_2_to_4km[#All],MATCH(A114, Percentage_dist_journeys_by_mode_and_distance_2_to_4km[#Headers],0),0)/100</f>
        <v>1.1000000000000001E-2</v>
      </c>
      <c r="G114" s="72">
        <f>IF(B114="4-6 kilometres",1,0)*VLOOKUP(C114, Percentage_dist_journeys_by_mode_and_distance_4_to_6km[#All],MATCH(A114, Percentage_dist_journeys_by_mode_and_distance_4_to_6km[#Headers],0),0)/100</f>
        <v>0</v>
      </c>
      <c r="H114" s="4">
        <f>IF(B114="6-8 kilometres",1,0)*VLOOKUP(C114, Percentage_dist_journeys_by_mode_and_distance_6_to_8km[#All],MATCH(A114, Percentage_dist_journeys_by_mode_and_distance_6_to_8km[#Headers],0),0)/100</f>
        <v>0</v>
      </c>
      <c r="I114" s="72">
        <f>IF(B114="8+ kilometres",1,0)*VLOOKUP(C114, Percentage_dist_journeys_by_mode_and_distance_8km[#All],MATCH(A114, Percentage_dist_journeys_by_mode_and_distance_8km[#Headers],0),0)/100</f>
        <v>0</v>
      </c>
      <c r="J114" s="73">
        <f>VLOOKUP(B114,Average_Distance_by_kilometre_grouping_for_mode_type[#All],MATCH(A114,Average_Distance_by_kilometre_grouping_for_mode_type[#Headers],0),0)</f>
        <v>3</v>
      </c>
      <c r="K114" s="77">
        <f>VLOOKUP(C114, Adjustment_factor_for_distance_based_on_mode[#All],MATCH(A114, Adjustment_factor_for_distance_based_on_mode[#Headers],0),0)</f>
        <v>0.44155844155844154</v>
      </c>
      <c r="L114" s="78">
        <f>VLOOKUP($L$2, Total_Journeys_Per_Year[#All],MATCH(A114, Total_Journeys_Per_Year[#Headers],0),0)</f>
        <v>3171485717.1895118</v>
      </c>
      <c r="M114" s="35">
        <f t="shared" si="1"/>
        <v>8734271.6651399154</v>
      </c>
      <c r="N114" s="35">
        <f>VLOOKUP($N$2, Private_Vehicle_Kilometres_Car_Stock[#All],MATCH(A114, Private_Vehicle_Kilometres_Car_Stock[#Headers],0),0)</f>
        <v>31821299194</v>
      </c>
    </row>
    <row r="115" spans="1:14" x14ac:dyDescent="0.25">
      <c r="A115" s="79" t="s">
        <v>33</v>
      </c>
      <c r="B115" s="13" t="s">
        <v>180</v>
      </c>
      <c r="C115" s="14" t="s">
        <v>11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Percentage_dist_journeys_by_mode_and_distance_to_2km[#All],MATCH(A115, Percentage_dist_journeys_by_mode_and_distance_to_2km[#Headers],0),0)/100</f>
        <v>0</v>
      </c>
      <c r="F115" s="4">
        <f>IF(B115="2-4 kilometres",1,0)*VLOOKUP(C115, Percentage_dist_journeys_by_mode_and_distance_2_to_4km[#All],MATCH(A115, Percentage_dist_journeys_by_mode_and_distance_2_to_4km[#Headers],0),0)/100</f>
        <v>0</v>
      </c>
      <c r="G115" s="72">
        <f>IF(B115="4-6 kilometres",1,0)*VLOOKUP(C115, Percentage_dist_journeys_by_mode_and_distance_4_to_6km[#All],MATCH(A115, Percentage_dist_journeys_by_mode_and_distance_4_to_6km[#Headers],0),0)/100</f>
        <v>1.2E-2</v>
      </c>
      <c r="H115" s="4">
        <f>IF(B115="6-8 kilometres",1,0)*VLOOKUP(C115, Percentage_dist_journeys_by_mode_and_distance_6_to_8km[#All],MATCH(A115, Percentage_dist_journeys_by_mode_and_distance_6_to_8km[#Headers],0),0)/100</f>
        <v>0</v>
      </c>
      <c r="I115" s="72">
        <f>IF(B115="8+ kilometres",1,0)*VLOOKUP(C115, Percentage_dist_journeys_by_mode_and_distance_8km[#All],MATCH(A115, Percentage_dist_journeys_by_mode_and_distance_8km[#Headers],0),0)/100</f>
        <v>0</v>
      </c>
      <c r="J115" s="73">
        <f>VLOOKUP(B115,Average_Distance_by_kilometre_grouping_for_mode_type[#All],MATCH(A115,Average_Distance_by_kilometre_grouping_for_mode_type[#Headers],0),0)</f>
        <v>5</v>
      </c>
      <c r="K115" s="77">
        <f>VLOOKUP(C115, Adjustment_factor_for_distance_based_on_mode[#All],MATCH(A115, Adjustment_factor_for_distance_based_on_mode[#Headers],0),0)</f>
        <v>0.44155844155844154</v>
      </c>
      <c r="L115" s="78">
        <f>VLOOKUP($L$2, Total_Journeys_Per_Year[#All],MATCH(A115, Total_Journeys_Per_Year[#Headers],0),0)</f>
        <v>3171485717.1895118</v>
      </c>
      <c r="M115" s="35">
        <f t="shared" si="1"/>
        <v>9830781.9607635401</v>
      </c>
      <c r="N115" s="35">
        <f>VLOOKUP($N$2, Private_Vehicle_Kilometres_Car_Stock[#All],MATCH(A115, Private_Vehicle_Kilometres_Car_Stock[#Headers],0),0)</f>
        <v>31821299194</v>
      </c>
    </row>
    <row r="116" spans="1:14" x14ac:dyDescent="0.25">
      <c r="A116" s="79" t="s">
        <v>33</v>
      </c>
      <c r="B116" s="13" t="s">
        <v>182</v>
      </c>
      <c r="C116" s="14" t="s">
        <v>11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Percentage_dist_journeys_by_mode_and_distance_to_2km[#All],MATCH(A116, Percentage_dist_journeys_by_mode_and_distance_to_2km[#Headers],0),0)/100</f>
        <v>0</v>
      </c>
      <c r="F116" s="4">
        <f>IF(B116="2-4 kilometres",1,0)*VLOOKUP(C116, Percentage_dist_journeys_by_mode_and_distance_2_to_4km[#All],MATCH(A116, Percentage_dist_journeys_by_mode_and_distance_2_to_4km[#Headers],0),0)/100</f>
        <v>0</v>
      </c>
      <c r="G116" s="72">
        <f>IF(B116="4-6 kilometres",1,0)*VLOOKUP(C116, Percentage_dist_journeys_by_mode_and_distance_4_to_6km[#All],MATCH(A116, Percentage_dist_journeys_by_mode_and_distance_4_to_6km[#Headers],0),0)/100</f>
        <v>0</v>
      </c>
      <c r="H116" s="4">
        <f>IF(B116="6-8 kilometres",1,0)*VLOOKUP(C116, Percentage_dist_journeys_by_mode_and_distance_6_to_8km[#All],MATCH(A116, Percentage_dist_journeys_by_mode_and_distance_6_to_8km[#Headers],0),0)/100</f>
        <v>1.7000000000000001E-2</v>
      </c>
      <c r="I116" s="72">
        <f>IF(B116="8+ kilometres",1,0)*VLOOKUP(C116, Percentage_dist_journeys_by_mode_and_distance_8km[#All],MATCH(A116, Percentage_dist_journeys_by_mode_and_distance_8km[#Headers],0),0)/100</f>
        <v>0</v>
      </c>
      <c r="J116" s="73">
        <f>VLOOKUP(B116,Average_Distance_by_kilometre_grouping_for_mode_type[#All],MATCH(A116,Average_Distance_by_kilometre_grouping_for_mode_type[#Headers],0),0)</f>
        <v>7</v>
      </c>
      <c r="K116" s="77">
        <f>VLOOKUP(C116, Adjustment_factor_for_distance_based_on_mode[#All],MATCH(A116, Adjustment_factor_for_distance_based_on_mode[#Headers],0),0)</f>
        <v>0.44155844155844154</v>
      </c>
      <c r="L116" s="78">
        <f>VLOOKUP($L$2, Total_Journeys_Per_Year[#All],MATCH(A116, Total_Journeys_Per_Year[#Headers],0),0)</f>
        <v>3171485717.1895118</v>
      </c>
      <c r="M116" s="35">
        <f t="shared" si="1"/>
        <v>10998712.467213228</v>
      </c>
      <c r="N116" s="35">
        <f>VLOOKUP($N$2, Private_Vehicle_Kilometres_Car_Stock[#All],MATCH(A116, Private_Vehicle_Kilometres_Car_Stock[#Headers],0),0)</f>
        <v>31821299194</v>
      </c>
    </row>
    <row r="117" spans="1:14" x14ac:dyDescent="0.25">
      <c r="A117" s="79" t="s">
        <v>33</v>
      </c>
      <c r="B117" s="13" t="s">
        <v>1</v>
      </c>
      <c r="C117" s="14" t="s">
        <v>11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Percentage_dist_journeys_by_mode_and_distance_to_2km[#All],MATCH(A117, Percentage_dist_journeys_by_mode_and_distance_to_2km[#Headers],0),0)/100</f>
        <v>0</v>
      </c>
      <c r="F117" s="4">
        <f>IF(B117="2-4 kilometres",1,0)*VLOOKUP(C117, Percentage_dist_journeys_by_mode_and_distance_2_to_4km[#All],MATCH(A117, Percentage_dist_journeys_by_mode_and_distance_2_to_4km[#Headers],0),0)/100</f>
        <v>0</v>
      </c>
      <c r="G117" s="72">
        <f>IF(B117="4-6 kilometres",1,0)*VLOOKUP(C117, Percentage_dist_journeys_by_mode_and_distance_4_to_6km[#All],MATCH(A117, Percentage_dist_journeys_by_mode_and_distance_4_to_6km[#Headers],0),0)/100</f>
        <v>0</v>
      </c>
      <c r="H117" s="4">
        <f>IF(B117="6-8 kilometres",1,0)*VLOOKUP(C117, Percentage_dist_journeys_by_mode_and_distance_6_to_8km[#All],MATCH(A117, Percentage_dist_journeys_by_mode_and_distance_6_to_8km[#Headers],0),0)/100</f>
        <v>0</v>
      </c>
      <c r="I117" s="72">
        <f>IF(B117="8+ kilometres",1,0)*VLOOKUP(C117, Percentage_dist_journeys_by_mode_and_distance_8km[#All],MATCH(A117, Percentage_dist_journeys_by_mode_and_distance_8km[#Headers],0),0)/100</f>
        <v>6.9999999999999993E-3</v>
      </c>
      <c r="J117" s="73">
        <f>VLOOKUP(B117,Average_Distance_by_kilometre_grouping_for_mode_type[#All],MATCH(A117,Average_Distance_by_kilometre_grouping_for_mode_type[#Headers],0),0)</f>
        <v>35.22</v>
      </c>
      <c r="K117" s="77">
        <f>VLOOKUP(C117, Adjustment_factor_for_distance_based_on_mode[#All],MATCH(A117, Adjustment_factor_for_distance_based_on_mode[#Headers],0),0)</f>
        <v>0.44155844155844154</v>
      </c>
      <c r="L117" s="78">
        <f>VLOOKUP($L$2, Total_Journeys_Per_Year[#All],MATCH(A117, Total_Journeys_Per_Year[#Headers],0),0)</f>
        <v>3171485717.1895118</v>
      </c>
      <c r="M117" s="35">
        <f t="shared" si="1"/>
        <v>143970793.53005275</v>
      </c>
      <c r="N117" s="35">
        <f>VLOOKUP($N$2, Private_Vehicle_Kilometres_Car_Stock[#All],MATCH(A117, Private_Vehicle_Kilometres_Car_Stock[#Headers],0),0)</f>
        <v>31821299194</v>
      </c>
    </row>
    <row r="118" spans="1:14" x14ac:dyDescent="0.25">
      <c r="A118" s="79" t="s">
        <v>33</v>
      </c>
      <c r="B118" s="13" t="s">
        <v>12</v>
      </c>
      <c r="C118" s="14" t="s">
        <v>90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Percentage_dist_journeys_by_mode_and_distance_to_2km[#All],MATCH(A118, Percentage_dist_journeys_by_mode_and_distance_to_2km[#Headers],0),0)/100</f>
        <v>1.3999999999999999E-2</v>
      </c>
      <c r="F118" s="4">
        <f>IF(B118="2-4 kilometres",1,0)*VLOOKUP(C118, Percentage_dist_journeys_by_mode_and_distance_2_to_4km[#All],MATCH(A118, Percentage_dist_journeys_by_mode_and_distance_2_to_4km[#Headers],0),0)/100</f>
        <v>0</v>
      </c>
      <c r="G118" s="72">
        <f>IF(B118="4-6 kilometres",1,0)*VLOOKUP(C118, Percentage_dist_journeys_by_mode_and_distance_4_to_6km[#All],MATCH(A118, Percentage_dist_journeys_by_mode_and_distance_4_to_6km[#Headers],0),0)/100</f>
        <v>0</v>
      </c>
      <c r="H118" s="4">
        <f>IF(B118="6-8 kilometres",1,0)*VLOOKUP(C118, Percentage_dist_journeys_by_mode_and_distance_6_to_8km[#All],MATCH(A118, Percentage_dist_journeys_by_mode_and_distance_6_to_8km[#Headers],0),0)/100</f>
        <v>0</v>
      </c>
      <c r="I118" s="72">
        <f>IF(B118="8+ kilometres",1,0)*VLOOKUP(C118, Percentage_dist_journeys_by_mode_and_distance_8km[#All],MATCH(A118, Percentage_dist_journeys_by_mode_and_distance_8km[#Headers],0),0)/100</f>
        <v>0</v>
      </c>
      <c r="J118" s="73">
        <f>VLOOKUP(B118,Average_Distance_by_kilometre_grouping_for_mode_type[#All],MATCH(A118,Average_Distance_by_kilometre_grouping_for_mode_type[#Headers],0),0)</f>
        <v>1</v>
      </c>
      <c r="K118" s="77">
        <f>VLOOKUP(C118, Adjustment_factor_for_distance_based_on_mode[#All],MATCH(A118, Adjustment_factor_for_distance_based_on_mode[#Headers],0),0)</f>
        <v>1.8051948051948052</v>
      </c>
      <c r="L118" s="78">
        <f>VLOOKUP($L$2, Total_Journeys_Per_Year[#All],MATCH(A118, Total_Journeys_Per_Year[#Headers],0),0)</f>
        <v>3171485717.1895118</v>
      </c>
      <c r="M118" s="35">
        <f t="shared" si="1"/>
        <v>16912091.74535476</v>
      </c>
      <c r="N118" s="35">
        <f>VLOOKUP($N$2, Private_Vehicle_Kilometres_Car_Stock[#All],MATCH(A118, Private_Vehicle_Kilometres_Car_Stock[#Headers],0),0)</f>
        <v>31821299194</v>
      </c>
    </row>
    <row r="119" spans="1:14" x14ac:dyDescent="0.25">
      <c r="A119" s="79" t="s">
        <v>33</v>
      </c>
      <c r="B119" s="13" t="s">
        <v>181</v>
      </c>
      <c r="C119" s="14" t="s">
        <v>90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Percentage_dist_journeys_by_mode_and_distance_to_2km[#All],MATCH(A119, Percentage_dist_journeys_by_mode_and_distance_to_2km[#Headers],0),0)/100</f>
        <v>0</v>
      </c>
      <c r="F119" s="4">
        <f>IF(B119="2-4 kilometres",1,0)*VLOOKUP(C119, Percentage_dist_journeys_by_mode_and_distance_2_to_4km[#All],MATCH(A119, Percentage_dist_journeys_by_mode_and_distance_2_to_4km[#Headers],0),0)/100</f>
        <v>1.3000000000000001E-2</v>
      </c>
      <c r="G119" s="72">
        <f>IF(B119="4-6 kilometres",1,0)*VLOOKUP(C119, Percentage_dist_journeys_by_mode_and_distance_4_to_6km[#All],MATCH(A119, Percentage_dist_journeys_by_mode_and_distance_4_to_6km[#Headers],0),0)/100</f>
        <v>0</v>
      </c>
      <c r="H119" s="4">
        <f>IF(B119="6-8 kilometres",1,0)*VLOOKUP(C119, Percentage_dist_journeys_by_mode_and_distance_6_to_8km[#All],MATCH(A119, Percentage_dist_journeys_by_mode_and_distance_6_to_8km[#Headers],0),0)/100</f>
        <v>0</v>
      </c>
      <c r="I119" s="72">
        <f>IF(B119="8+ kilometres",1,0)*VLOOKUP(C119, Percentage_dist_journeys_by_mode_and_distance_8km[#All],MATCH(A119, Percentage_dist_journeys_by_mode_and_distance_8km[#Headers],0),0)/100</f>
        <v>0</v>
      </c>
      <c r="J119" s="73">
        <f>VLOOKUP(B119,Average_Distance_by_kilometre_grouping_for_mode_type[#All],MATCH(A119,Average_Distance_by_kilometre_grouping_for_mode_type[#Headers],0),0)</f>
        <v>3</v>
      </c>
      <c r="K119" s="77">
        <f>VLOOKUP(C119, Adjustment_factor_for_distance_based_on_mode[#All],MATCH(A119, Adjustment_factor_for_distance_based_on_mode[#Headers],0),0)</f>
        <v>1.8051948051948052</v>
      </c>
      <c r="L119" s="78">
        <f>VLOOKUP($L$2, Total_Journeys_Per_Year[#All],MATCH(A119, Total_Journeys_Per_Year[#Headers],0),0)</f>
        <v>3171485717.1895118</v>
      </c>
      <c r="M119" s="35">
        <f t="shared" si="1"/>
        <v>42200077.269807026</v>
      </c>
      <c r="N119" s="35">
        <f>VLOOKUP($N$2, Private_Vehicle_Kilometres_Car_Stock[#All],MATCH(A119, Private_Vehicle_Kilometres_Car_Stock[#Headers],0),0)</f>
        <v>31821299194</v>
      </c>
    </row>
    <row r="120" spans="1:14" x14ac:dyDescent="0.25">
      <c r="A120" s="79" t="s">
        <v>33</v>
      </c>
      <c r="B120" s="13" t="s">
        <v>180</v>
      </c>
      <c r="C120" s="14" t="s">
        <v>90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Percentage_dist_journeys_by_mode_and_distance_to_2km[#All],MATCH(A120, Percentage_dist_journeys_by_mode_and_distance_to_2km[#Headers],0),0)/100</f>
        <v>0</v>
      </c>
      <c r="F120" s="4">
        <f>IF(B120="2-4 kilometres",1,0)*VLOOKUP(C120, Percentage_dist_journeys_by_mode_and_distance_2_to_4km[#All],MATCH(A120, Percentage_dist_journeys_by_mode_and_distance_2_to_4km[#Headers],0),0)/100</f>
        <v>0</v>
      </c>
      <c r="G120" s="72">
        <f>IF(B120="4-6 kilometres",1,0)*VLOOKUP(C120, Percentage_dist_journeys_by_mode_and_distance_4_to_6km[#All],MATCH(A120, Percentage_dist_journeys_by_mode_and_distance_4_to_6km[#Headers],0),0)/100</f>
        <v>1.3999999999999999E-2</v>
      </c>
      <c r="H120" s="4">
        <f>IF(B120="6-8 kilometres",1,0)*VLOOKUP(C120, Percentage_dist_journeys_by_mode_and_distance_6_to_8km[#All],MATCH(A120, Percentage_dist_journeys_by_mode_and_distance_6_to_8km[#Headers],0),0)/100</f>
        <v>0</v>
      </c>
      <c r="I120" s="72">
        <f>IF(B120="8+ kilometres",1,0)*VLOOKUP(C120, Percentage_dist_journeys_by_mode_and_distance_8km[#All],MATCH(A120, Percentage_dist_journeys_by_mode_and_distance_8km[#Headers],0),0)/100</f>
        <v>0</v>
      </c>
      <c r="J120" s="73">
        <f>VLOOKUP(B120,Average_Distance_by_kilometre_grouping_for_mode_type[#All],MATCH(A120,Average_Distance_by_kilometre_grouping_for_mode_type[#Headers],0),0)</f>
        <v>5</v>
      </c>
      <c r="K120" s="77">
        <f>VLOOKUP(C120, Adjustment_factor_for_distance_based_on_mode[#All],MATCH(A120, Adjustment_factor_for_distance_based_on_mode[#Headers],0),0)</f>
        <v>1.8051948051948052</v>
      </c>
      <c r="L120" s="78">
        <f>VLOOKUP($L$2, Total_Journeys_Per_Year[#All],MATCH(A120, Total_Journeys_Per_Year[#Headers],0),0)</f>
        <v>3171485717.1895118</v>
      </c>
      <c r="M120" s="35">
        <f t="shared" si="1"/>
        <v>46888974.744230025</v>
      </c>
      <c r="N120" s="35">
        <f>VLOOKUP($N$2, Private_Vehicle_Kilometres_Car_Stock[#All],MATCH(A120, Private_Vehicle_Kilometres_Car_Stock[#Headers],0),0)</f>
        <v>31821299194</v>
      </c>
    </row>
    <row r="121" spans="1:14" x14ac:dyDescent="0.25">
      <c r="A121" s="79" t="s">
        <v>33</v>
      </c>
      <c r="B121" s="13" t="s">
        <v>182</v>
      </c>
      <c r="C121" s="14" t="s">
        <v>90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Percentage_dist_journeys_by_mode_and_distance_to_2km[#All],MATCH(A121, Percentage_dist_journeys_by_mode_and_distance_to_2km[#Headers],0),0)/100</f>
        <v>0</v>
      </c>
      <c r="F121" s="4">
        <f>IF(B121="2-4 kilometres",1,0)*VLOOKUP(C121, Percentage_dist_journeys_by_mode_and_distance_2_to_4km[#All],MATCH(A121, Percentage_dist_journeys_by_mode_and_distance_2_to_4km[#Headers],0),0)/100</f>
        <v>0</v>
      </c>
      <c r="G121" s="72">
        <f>IF(B121="4-6 kilometres",1,0)*VLOOKUP(C121, Percentage_dist_journeys_by_mode_and_distance_4_to_6km[#All],MATCH(A121, Percentage_dist_journeys_by_mode_and_distance_4_to_6km[#Headers],0),0)/100</f>
        <v>0</v>
      </c>
      <c r="H121" s="4">
        <f>IF(B121="6-8 kilometres",1,0)*VLOOKUP(C121, Percentage_dist_journeys_by_mode_and_distance_6_to_8km[#All],MATCH(A121, Percentage_dist_journeys_by_mode_and_distance_6_to_8km[#Headers],0),0)/100</f>
        <v>2.2000000000000002E-2</v>
      </c>
      <c r="I121" s="72">
        <f>IF(B121="8+ kilometres",1,0)*VLOOKUP(C121, Percentage_dist_journeys_by_mode_and_distance_8km[#All],MATCH(A121, Percentage_dist_journeys_by_mode_and_distance_8km[#Headers],0),0)/100</f>
        <v>0</v>
      </c>
      <c r="J121" s="73">
        <f>VLOOKUP(B121,Average_Distance_by_kilometre_grouping_for_mode_type[#All],MATCH(A121,Average_Distance_by_kilometre_grouping_for_mode_type[#Headers],0),0)</f>
        <v>7</v>
      </c>
      <c r="K121" s="77">
        <f>VLOOKUP(C121, Adjustment_factor_for_distance_based_on_mode[#All],MATCH(A121, Adjustment_factor_for_distance_based_on_mode[#Headers],0),0)</f>
        <v>1.8051948051948052</v>
      </c>
      <c r="L121" s="78">
        <f>VLOOKUP($L$2, Total_Journeys_Per_Year[#All],MATCH(A121, Total_Journeys_Per_Year[#Headers],0),0)</f>
        <v>3171485717.1895118</v>
      </c>
      <c r="M121" s="35">
        <f t="shared" si="1"/>
        <v>58190419.938993171</v>
      </c>
      <c r="N121" s="35">
        <f>VLOOKUP($N$2, Private_Vehicle_Kilometres_Car_Stock[#All],MATCH(A121, Private_Vehicle_Kilometres_Car_Stock[#Headers],0),0)</f>
        <v>31821299194</v>
      </c>
    </row>
    <row r="122" spans="1:14" x14ac:dyDescent="0.25">
      <c r="A122" s="79" t="s">
        <v>33</v>
      </c>
      <c r="B122" s="13" t="s">
        <v>1</v>
      </c>
      <c r="C122" s="14" t="s">
        <v>90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Percentage_dist_journeys_by_mode_and_distance_to_2km[#All],MATCH(A122, Percentage_dist_journeys_by_mode_and_distance_to_2km[#Headers],0),0)/100</f>
        <v>0</v>
      </c>
      <c r="F122" s="4">
        <f>IF(B122="2-4 kilometres",1,0)*VLOOKUP(C122, Percentage_dist_journeys_by_mode_and_distance_2_to_4km[#All],MATCH(A122, Percentage_dist_journeys_by_mode_and_distance_2_to_4km[#Headers],0),0)/100</f>
        <v>0</v>
      </c>
      <c r="G122" s="72">
        <f>IF(B122="4-6 kilometres",1,0)*VLOOKUP(C122, Percentage_dist_journeys_by_mode_and_distance_4_to_6km[#All],MATCH(A122, Percentage_dist_journeys_by_mode_and_distance_4_to_6km[#Headers],0),0)/100</f>
        <v>0</v>
      </c>
      <c r="H122" s="4">
        <f>IF(B122="6-8 kilometres",1,0)*VLOOKUP(C122, Percentage_dist_journeys_by_mode_and_distance_6_to_8km[#All],MATCH(A122, Percentage_dist_journeys_by_mode_and_distance_6_to_8km[#Headers],0),0)/100</f>
        <v>0</v>
      </c>
      <c r="I122" s="72">
        <f>IF(B122="8+ kilometres",1,0)*VLOOKUP(C122, Percentage_dist_journeys_by_mode_and_distance_8km[#All],MATCH(A122, Percentage_dist_journeys_by_mode_and_distance_8km[#Headers],0),0)/100</f>
        <v>3.9E-2</v>
      </c>
      <c r="J122" s="73">
        <f>VLOOKUP(B122,Average_Distance_by_kilometre_grouping_for_mode_type[#All],MATCH(A122,Average_Distance_by_kilometre_grouping_for_mode_type[#Headers],0),0)</f>
        <v>35.22</v>
      </c>
      <c r="K122" s="77">
        <f>VLOOKUP(C122, Adjustment_factor_for_distance_based_on_mode[#All],MATCH(A122, Adjustment_factor_for_distance_based_on_mode[#Headers],0),0)</f>
        <v>1.8051948051948052</v>
      </c>
      <c r="L122" s="78">
        <f>VLOOKUP($L$2, Total_Journeys_Per_Year[#All],MATCH(A122, Total_Journeys_Per_Year[#Headers],0),0)</f>
        <v>3171485717.1895118</v>
      </c>
      <c r="M122" s="35">
        <f t="shared" si="1"/>
        <v>3279267528.2622523</v>
      </c>
      <c r="N122" s="35">
        <f>VLOOKUP($N$2, Private_Vehicle_Kilometres_Car_Stock[#All],MATCH(A122, Private_Vehicle_Kilometres_Car_Stock[#Headers],0),0)</f>
        <v>31821299194</v>
      </c>
    </row>
    <row r="123" spans="1:14" x14ac:dyDescent="0.25">
      <c r="A123" s="79" t="s">
        <v>34</v>
      </c>
      <c r="B123" s="13" t="s">
        <v>12</v>
      </c>
      <c r="C123" s="14" t="s">
        <v>5</v>
      </c>
      <c r="D123" s="5">
        <f>VLOOKUP(B123,Percentage_distribution_of_journey_distance_for_all_regions[#All],MATCH(A123,Percentage_distribution_of_journey_distance_for_all_regions[#Headers],0),0)/100</f>
        <v>0.188</v>
      </c>
      <c r="E123" s="71">
        <f>IF(B123="&lt;2 kilometres",1,0)*VLOOKUP(C123, Percentage_dist_journeys_by_mode_and_distance_to_2km[#All],MATCH(A123, Percentage_dist_journeys_by_mode_and_distance_to_2km[#Headers],0),0)/100</f>
        <v>0.49099999999999999</v>
      </c>
      <c r="F123" s="4">
        <f>IF(B123="2-4 kilometres",1,0)*VLOOKUP(C123, Percentage_dist_journeys_by_mode_and_distance_2_to_4km[#All],MATCH(A123, Percentage_dist_journeys_by_mode_and_distance_2_to_4km[#Headers],0),0)/100</f>
        <v>0</v>
      </c>
      <c r="G123" s="72">
        <f>IF(B123="4-6 kilometres",1,0)*VLOOKUP(C123, Percentage_dist_journeys_by_mode_and_distance_4_to_6km[#All],MATCH(A123, Percentage_dist_journeys_by_mode_and_distance_4_to_6km[#Headers],0),0)/100</f>
        <v>0</v>
      </c>
      <c r="H123" s="4">
        <f>IF(B123="6-8 kilometres",1,0)*VLOOKUP(C123, Percentage_dist_journeys_by_mode_and_distance_6_to_8km[#All],MATCH(A123, Percentage_dist_journeys_by_mode_and_distance_6_to_8km[#Headers],0),0)/100</f>
        <v>0</v>
      </c>
      <c r="I123" s="72">
        <f>IF(B123="8+ kilometres",1,0)*VLOOKUP(C123, Percentage_dist_journeys_by_mode_and_distance_8km[#All],MATCH(A123, Percentage_dist_journeys_by_mode_and_distance_8km[#Headers],0),0)/100</f>
        <v>0</v>
      </c>
      <c r="J123" s="73">
        <f>VLOOKUP(B123,Average_Distance_by_kilometre_grouping_for_mode_type[#All],MATCH(A123,Average_Distance_by_kilometre_grouping_for_mode_type[#Headers],0),0)</f>
        <v>1</v>
      </c>
      <c r="K123" s="77">
        <f>VLOOKUP(C123, Adjustment_factor_for_distance_based_on_mode[#All],MATCH(A123, Adjustment_factor_for_distance_based_on_mode[#Headers],0),0)</f>
        <v>1</v>
      </c>
      <c r="L123" s="78">
        <f>VLOOKUP($L$2, Total_Journeys_Per_Year[#All],MATCH(A123, Total_Journeys_Per_Year[#Headers],0),0)</f>
        <v>2940102000.5779233</v>
      </c>
      <c r="M123" s="35">
        <f t="shared" si="1"/>
        <v>271394935.46934694</v>
      </c>
      <c r="N123" s="35">
        <f>VLOOKUP($N$2, Private_Vehicle_Kilometres_Car_Stock[#All],MATCH(A123, Private_Vehicle_Kilometres_Car_Stock[#Headers],0),0)</f>
        <v>32323075433</v>
      </c>
    </row>
    <row r="124" spans="1:14" x14ac:dyDescent="0.25">
      <c r="A124" s="79" t="s">
        <v>34</v>
      </c>
      <c r="B124" s="13" t="s">
        <v>181</v>
      </c>
      <c r="C124" s="14" t="s">
        <v>5</v>
      </c>
      <c r="D124" s="5">
        <f>VLOOKUP(B124,Percentage_distribution_of_journey_distance_for_all_regions[#All],MATCH(A124,Percentage_distribution_of_journey_distance_for_all_regions[#Headers],0),0)/100</f>
        <v>0.2</v>
      </c>
      <c r="E124" s="71">
        <f>IF(B124="&lt;2 kilometres",1,0)*VLOOKUP(C124, Percentage_dist_journeys_by_mode_and_distance_to_2km[#All],MATCH(A124, Percentage_dist_journeys_by_mode_and_distance_to_2km[#Headers],0),0)/100</f>
        <v>0</v>
      </c>
      <c r="F124" s="4">
        <f>IF(B124="2-4 kilometres",1,0)*VLOOKUP(C124, Percentage_dist_journeys_by_mode_and_distance_2_to_4km[#All],MATCH(A124, Percentage_dist_journeys_by_mode_and_distance_2_to_4km[#Headers],0),0)/100</f>
        <v>0.65599999999999992</v>
      </c>
      <c r="G124" s="72">
        <f>IF(B124="4-6 kilometres",1,0)*VLOOKUP(C124, Percentage_dist_journeys_by_mode_and_distance_4_to_6km[#All],MATCH(A124, Percentage_dist_journeys_by_mode_and_distance_4_to_6km[#Headers],0),0)/100</f>
        <v>0</v>
      </c>
      <c r="H124" s="4">
        <f>IF(B124="6-8 kilometres",1,0)*VLOOKUP(C124, Percentage_dist_journeys_by_mode_and_distance_6_to_8km[#All],MATCH(A124, Percentage_dist_journeys_by_mode_and_distance_6_to_8km[#Headers],0),0)/100</f>
        <v>0</v>
      </c>
      <c r="I124" s="72">
        <f>IF(B124="8+ kilometres",1,0)*VLOOKUP(C124, Percentage_dist_journeys_by_mode_and_distance_8km[#All],MATCH(A124, Percentage_dist_journeys_by_mode_and_distance_8km[#Headers],0),0)/100</f>
        <v>0</v>
      </c>
      <c r="J124" s="73">
        <f>VLOOKUP(B124,Average_Distance_by_kilometre_grouping_for_mode_type[#All],MATCH(A124,Average_Distance_by_kilometre_grouping_for_mode_type[#Headers],0),0)</f>
        <v>3</v>
      </c>
      <c r="K124" s="77">
        <f>VLOOKUP(C124, Adjustment_factor_for_distance_based_on_mode[#All],MATCH(A124, Adjustment_factor_for_distance_based_on_mode[#Headers],0),0)</f>
        <v>1</v>
      </c>
      <c r="L124" s="78">
        <f>VLOOKUP($L$2, Total_Journeys_Per_Year[#All],MATCH(A124, Total_Journeys_Per_Year[#Headers],0),0)</f>
        <v>2940102000.5779233</v>
      </c>
      <c r="M124" s="35">
        <f t="shared" si="1"/>
        <v>1157224147.4274704</v>
      </c>
      <c r="N124" s="35">
        <f>VLOOKUP($N$2, Private_Vehicle_Kilometres_Car_Stock[#All],MATCH(A124, Private_Vehicle_Kilometres_Car_Stock[#Headers],0),0)</f>
        <v>32323075433</v>
      </c>
    </row>
    <row r="125" spans="1:14" x14ac:dyDescent="0.25">
      <c r="A125" s="79" t="s">
        <v>34</v>
      </c>
      <c r="B125" s="13" t="s">
        <v>180</v>
      </c>
      <c r="C125" s="14" t="s">
        <v>5</v>
      </c>
      <c r="D125" s="5">
        <f>VLOOKUP(B125,Percentage_distribution_of_journey_distance_for_all_regions[#All],MATCH(A125,Percentage_distribution_of_journey_distance_for_all_regions[#Headers],0),0)/100</f>
        <v>0.13</v>
      </c>
      <c r="E125" s="71">
        <f>IF(B125="&lt;2 kilometres",1,0)*VLOOKUP(C125, Percentage_dist_journeys_by_mode_and_distance_to_2km[#All],MATCH(A125, Percentage_dist_journeys_by_mode_and_distance_to_2km[#Headers],0),0)/100</f>
        <v>0</v>
      </c>
      <c r="F125" s="4">
        <f>IF(B125="2-4 kilometres",1,0)*VLOOKUP(C125, Percentage_dist_journeys_by_mode_and_distance_2_to_4km[#All],MATCH(A125, Percentage_dist_journeys_by_mode_and_distance_2_to_4km[#Headers],0),0)/100</f>
        <v>0</v>
      </c>
      <c r="G125" s="72">
        <f>IF(B125="4-6 kilometres",1,0)*VLOOKUP(C125, Percentage_dist_journeys_by_mode_and_distance_4_to_6km[#All],MATCH(A125, Percentage_dist_journeys_by_mode_and_distance_4_to_6km[#Headers],0),0)/100</f>
        <v>0.70599999999999996</v>
      </c>
      <c r="H125" s="4">
        <f>IF(B125="6-8 kilometres",1,0)*VLOOKUP(C125, Percentage_dist_journeys_by_mode_and_distance_6_to_8km[#All],MATCH(A125, Percentage_dist_journeys_by_mode_and_distance_6_to_8km[#Headers],0),0)/100</f>
        <v>0</v>
      </c>
      <c r="I125" s="72">
        <f>IF(B125="8+ kilometres",1,0)*VLOOKUP(C125, Percentage_dist_journeys_by_mode_and_distance_8km[#All],MATCH(A125, Percentage_dist_journeys_by_mode_and_distance_8km[#Headers],0),0)/100</f>
        <v>0</v>
      </c>
      <c r="J125" s="73">
        <f>VLOOKUP(B125,Average_Distance_by_kilometre_grouping_for_mode_type[#All],MATCH(A125,Average_Distance_by_kilometre_grouping_for_mode_type[#Headers],0),0)</f>
        <v>5</v>
      </c>
      <c r="K125" s="77">
        <f>VLOOKUP(C125, Adjustment_factor_for_distance_based_on_mode[#All],MATCH(A125, Adjustment_factor_for_distance_based_on_mode[#Headers],0),0)</f>
        <v>1</v>
      </c>
      <c r="L125" s="78">
        <f>VLOOKUP($L$2, Total_Journeys_Per_Year[#All],MATCH(A125, Total_Journeys_Per_Year[#Headers],0),0)</f>
        <v>2940102000.5779233</v>
      </c>
      <c r="M125" s="35">
        <f t="shared" si="1"/>
        <v>1349212808.0652089</v>
      </c>
      <c r="N125" s="35">
        <f>VLOOKUP($N$2, Private_Vehicle_Kilometres_Car_Stock[#All],MATCH(A125, Private_Vehicle_Kilometres_Car_Stock[#Headers],0),0)</f>
        <v>32323075433</v>
      </c>
    </row>
    <row r="126" spans="1:14" x14ac:dyDescent="0.25">
      <c r="A126" s="79" t="s">
        <v>34</v>
      </c>
      <c r="B126" s="13" t="s">
        <v>182</v>
      </c>
      <c r="C126" s="14" t="s">
        <v>5</v>
      </c>
      <c r="D126" s="5">
        <f>VLOOKUP(B126,Percentage_distribution_of_journey_distance_for_all_regions[#All],MATCH(A126,Percentage_distribution_of_journey_distance_for_all_regions[#Headers],0),0)/100</f>
        <v>6.4000000000000001E-2</v>
      </c>
      <c r="E126" s="71">
        <f>IF(B126="&lt;2 kilometres",1,0)*VLOOKUP(C126, Percentage_dist_journeys_by_mode_and_distance_to_2km[#All],MATCH(A126, Percentage_dist_journeys_by_mode_and_distance_to_2km[#Headers],0),0)/100</f>
        <v>0</v>
      </c>
      <c r="F126" s="4">
        <f>IF(B126="2-4 kilometres",1,0)*VLOOKUP(C126, Percentage_dist_journeys_by_mode_and_distance_2_to_4km[#All],MATCH(A126, Percentage_dist_journeys_by_mode_and_distance_2_to_4km[#Headers],0),0)/100</f>
        <v>0</v>
      </c>
      <c r="G126" s="72">
        <f>IF(B126="4-6 kilometres",1,0)*VLOOKUP(C126, Percentage_dist_journeys_by_mode_and_distance_4_to_6km[#All],MATCH(A126, Percentage_dist_journeys_by_mode_and_distance_4_to_6km[#Headers],0),0)/100</f>
        <v>0</v>
      </c>
      <c r="H126" s="4">
        <f>IF(B126="6-8 kilometres",1,0)*VLOOKUP(C126, Percentage_dist_journeys_by_mode_and_distance_6_to_8km[#All],MATCH(A126, Percentage_dist_journeys_by_mode_and_distance_6_to_8km[#Headers],0),0)/100</f>
        <v>0.754</v>
      </c>
      <c r="I126" s="72">
        <f>IF(B126="8+ kilometres",1,0)*VLOOKUP(C126, Percentage_dist_journeys_by_mode_and_distance_8km[#All],MATCH(A126, Percentage_dist_journeys_by_mode_and_distance_8km[#Headers],0),0)/100</f>
        <v>0</v>
      </c>
      <c r="J126" s="73">
        <f>VLOOKUP(B126,Average_Distance_by_kilometre_grouping_for_mode_type[#All],MATCH(A126,Average_Distance_by_kilometre_grouping_for_mode_type[#Headers],0),0)</f>
        <v>7</v>
      </c>
      <c r="K126" s="77">
        <f>VLOOKUP(C126, Adjustment_factor_for_distance_based_on_mode[#All],MATCH(A126, Adjustment_factor_for_distance_based_on_mode[#Headers],0),0)</f>
        <v>1</v>
      </c>
      <c r="L126" s="78">
        <f>VLOOKUP($L$2, Total_Journeys_Per_Year[#All],MATCH(A126, Total_Journeys_Per_Year[#Headers],0),0)</f>
        <v>2940102000.5779233</v>
      </c>
      <c r="M126" s="35">
        <f t="shared" si="1"/>
        <v>993142934.97921777</v>
      </c>
      <c r="N126" s="35">
        <f>VLOOKUP($N$2, Private_Vehicle_Kilometres_Car_Stock[#All],MATCH(A126, Private_Vehicle_Kilometres_Car_Stock[#Headers],0),0)</f>
        <v>32323075433</v>
      </c>
    </row>
    <row r="127" spans="1:14" x14ac:dyDescent="0.25">
      <c r="A127" s="79" t="s">
        <v>34</v>
      </c>
      <c r="B127" s="13" t="s">
        <v>1</v>
      </c>
      <c r="C127" s="14" t="s">
        <v>5</v>
      </c>
      <c r="D127" s="5">
        <f>VLOOKUP(B127,Percentage_distribution_of_journey_distance_for_all_regions[#All],MATCH(A127,Percentage_distribution_of_journey_distance_for_all_regions[#Headers],0),0)/100</f>
        <v>0.41899999999999998</v>
      </c>
      <c r="E127" s="71">
        <f>IF(B127="&lt;2 kilometres",1,0)*VLOOKUP(C127, Percentage_dist_journeys_by_mode_and_distance_to_2km[#All],MATCH(A127, Percentage_dist_journeys_by_mode_and_distance_to_2km[#Headers],0),0)/100</f>
        <v>0</v>
      </c>
      <c r="F127" s="4">
        <f>IF(B127="2-4 kilometres",1,0)*VLOOKUP(C127, Percentage_dist_journeys_by_mode_and_distance_2_to_4km[#All],MATCH(A127, Percentage_dist_journeys_by_mode_and_distance_2_to_4km[#Headers],0),0)/100</f>
        <v>0</v>
      </c>
      <c r="G127" s="72">
        <f>IF(B127="4-6 kilometres",1,0)*VLOOKUP(C127, Percentage_dist_journeys_by_mode_and_distance_4_to_6km[#All],MATCH(A127, Percentage_dist_journeys_by_mode_and_distance_4_to_6km[#Headers],0),0)/100</f>
        <v>0</v>
      </c>
      <c r="H127" s="4">
        <f>IF(B127="6-8 kilometres",1,0)*VLOOKUP(C127, Percentage_dist_journeys_by_mode_and_distance_6_to_8km[#All],MATCH(A127, Percentage_dist_journeys_by_mode_and_distance_6_to_8km[#Headers],0),0)/100</f>
        <v>0</v>
      </c>
      <c r="I127" s="72">
        <f>IF(B127="8+ kilometres",1,0)*VLOOKUP(C127, Percentage_dist_journeys_by_mode_and_distance_8km[#All],MATCH(A127, Percentage_dist_journeys_by_mode_and_distance_8km[#Headers],0),0)/100</f>
        <v>0.78299999999999992</v>
      </c>
      <c r="J127" s="73">
        <f>VLOOKUP(B127,Average_Distance_by_kilometre_grouping_for_mode_type[#All],MATCH(A127,Average_Distance_by_kilometre_grouping_for_mode_type[#Headers],0),0)</f>
        <v>38.99</v>
      </c>
      <c r="K127" s="77">
        <f>VLOOKUP(C127, Adjustment_factor_for_distance_based_on_mode[#All],MATCH(A127, Adjustment_factor_for_distance_based_on_mode[#Headers],0),0)</f>
        <v>1</v>
      </c>
      <c r="L127" s="78">
        <f>VLOOKUP($L$2, Total_Journeys_Per_Year[#All],MATCH(A127, Total_Journeys_Per_Year[#Headers],0),0)</f>
        <v>2940102000.5779233</v>
      </c>
      <c r="M127" s="35">
        <f t="shared" si="1"/>
        <v>37608968119.260094</v>
      </c>
      <c r="N127" s="35">
        <f>VLOOKUP($N$2, Private_Vehicle_Kilometres_Car_Stock[#All],MATCH(A127, Private_Vehicle_Kilometres_Car_Stock[#Headers],0),0)</f>
        <v>32323075433</v>
      </c>
    </row>
    <row r="128" spans="1:14" x14ac:dyDescent="0.25">
      <c r="A128" s="79" t="s">
        <v>34</v>
      </c>
      <c r="B128" s="13" t="s">
        <v>12</v>
      </c>
      <c r="C128" s="14" t="s">
        <v>6</v>
      </c>
      <c r="D128" s="5">
        <f>VLOOKUP(B128,Percentage_distribution_of_journey_distance_for_all_regions[#All],MATCH(A128,Percentage_distribution_of_journey_distance_for_all_regions[#Headers],0),0)/100</f>
        <v>0.188</v>
      </c>
      <c r="E128" s="71">
        <f>IF(B128="&lt;2 kilometres",1,0)*VLOOKUP(C128, Percentage_dist_journeys_by_mode_and_distance_to_2km[#All],MATCH(A128, Percentage_dist_journeys_by_mode_and_distance_to_2km[#Headers],0),0)/100</f>
        <v>2.2000000000000002E-2</v>
      </c>
      <c r="F128" s="4">
        <f>IF(B128="2-4 kilometres",1,0)*VLOOKUP(C128, Percentage_dist_journeys_by_mode_and_distance_2_to_4km[#All],MATCH(A128, Percentage_dist_journeys_by_mode_and_distance_2_to_4km[#Headers],0),0)/100</f>
        <v>0</v>
      </c>
      <c r="G128" s="72">
        <f>IF(B128="4-6 kilometres",1,0)*VLOOKUP(C128, Percentage_dist_journeys_by_mode_and_distance_4_to_6km[#All],MATCH(A128, Percentage_dist_journeys_by_mode_and_distance_4_to_6km[#Headers],0),0)/100</f>
        <v>0</v>
      </c>
      <c r="H128" s="4">
        <f>IF(B128="6-8 kilometres",1,0)*VLOOKUP(C128, Percentage_dist_journeys_by_mode_and_distance_6_to_8km[#All],MATCH(A128, Percentage_dist_journeys_by_mode_and_distance_6_to_8km[#Headers],0),0)/100</f>
        <v>0</v>
      </c>
      <c r="I128" s="72">
        <f>IF(B128="8+ kilometres",1,0)*VLOOKUP(C128, Percentage_dist_journeys_by_mode_and_distance_8km[#All],MATCH(A128, Percentage_dist_journeys_by_mode_and_distance_8km[#Headers],0),0)/100</f>
        <v>0</v>
      </c>
      <c r="J128" s="73">
        <f>VLOOKUP(B128,Average_Distance_by_kilometre_grouping_for_mode_type[#All],MATCH(A128,Average_Distance_by_kilometre_grouping_for_mode_type[#Headers],0),0)</f>
        <v>1</v>
      </c>
      <c r="K128" s="77">
        <f>VLOOKUP(C128, Adjustment_factor_for_distance_based_on_mode[#All],MATCH(A128, Adjustment_factor_for_distance_based_on_mode[#Headers],0),0)</f>
        <v>1.6923076923076923</v>
      </c>
      <c r="L128" s="78">
        <f>VLOOKUP($L$2, Total_Journeys_Per_Year[#All],MATCH(A128, Total_Journeys_Per_Year[#Headers],0),0)</f>
        <v>2940102000.5779233</v>
      </c>
      <c r="M128" s="35">
        <f t="shared" si="1"/>
        <v>20578904.710506648</v>
      </c>
      <c r="N128" s="35">
        <f>VLOOKUP($N$2, Private_Vehicle_Kilometres_Car_Stock[#All],MATCH(A128, Private_Vehicle_Kilometres_Car_Stock[#Headers],0),0)</f>
        <v>32323075433</v>
      </c>
    </row>
    <row r="129" spans="1:14" x14ac:dyDescent="0.25">
      <c r="A129" s="79" t="s">
        <v>34</v>
      </c>
      <c r="B129" s="13" t="s">
        <v>181</v>
      </c>
      <c r="C129" s="14" t="s">
        <v>6</v>
      </c>
      <c r="D129" s="5">
        <f>VLOOKUP(B129,Percentage_distribution_of_journey_distance_for_all_regions[#All],MATCH(A129,Percentage_distribution_of_journey_distance_for_all_regions[#Headers],0),0)/100</f>
        <v>0.2</v>
      </c>
      <c r="E129" s="71">
        <f>IF(B129="&lt;2 kilometres",1,0)*VLOOKUP(C129, Percentage_dist_journeys_by_mode_and_distance_to_2km[#All],MATCH(A129, Percentage_dist_journeys_by_mode_and_distance_to_2km[#Headers],0),0)/100</f>
        <v>0</v>
      </c>
      <c r="F129" s="4">
        <f>IF(B129="2-4 kilometres",1,0)*VLOOKUP(C129, Percentage_dist_journeys_by_mode_and_distance_2_to_4km[#All],MATCH(A129, Percentage_dist_journeys_by_mode_and_distance_2_to_4km[#Headers],0),0)/100</f>
        <v>3.3000000000000002E-2</v>
      </c>
      <c r="G129" s="72">
        <f>IF(B129="4-6 kilometres",1,0)*VLOOKUP(C129, Percentage_dist_journeys_by_mode_and_distance_4_to_6km[#All],MATCH(A129, Percentage_dist_journeys_by_mode_and_distance_4_to_6km[#Headers],0),0)/100</f>
        <v>0</v>
      </c>
      <c r="H129" s="4">
        <f>IF(B129="6-8 kilometres",1,0)*VLOOKUP(C129, Percentage_dist_journeys_by_mode_and_distance_6_to_8km[#All],MATCH(A129, Percentage_dist_journeys_by_mode_and_distance_6_to_8km[#Headers],0),0)/100</f>
        <v>0</v>
      </c>
      <c r="I129" s="72">
        <f>IF(B129="8+ kilometres",1,0)*VLOOKUP(C129, Percentage_dist_journeys_by_mode_and_distance_8km[#All],MATCH(A129, Percentage_dist_journeys_by_mode_and_distance_8km[#Headers],0),0)/100</f>
        <v>0</v>
      </c>
      <c r="J129" s="73">
        <f>VLOOKUP(B129,Average_Distance_by_kilometre_grouping_for_mode_type[#All],MATCH(A129,Average_Distance_by_kilometre_grouping_for_mode_type[#Headers],0),0)</f>
        <v>3</v>
      </c>
      <c r="K129" s="77">
        <f>VLOOKUP(C129, Adjustment_factor_for_distance_based_on_mode[#All],MATCH(A129, Adjustment_factor_for_distance_based_on_mode[#Headers],0),0)</f>
        <v>1.6923076923076923</v>
      </c>
      <c r="L129" s="78">
        <f>VLOOKUP($L$2, Total_Journeys_Per_Year[#All],MATCH(A129, Total_Journeys_Per_Year[#Headers],0),0)</f>
        <v>2940102000.5779233</v>
      </c>
      <c r="M129" s="35">
        <f t="shared" si="1"/>
        <v>98516033.188595653</v>
      </c>
      <c r="N129" s="35">
        <f>VLOOKUP($N$2, Private_Vehicle_Kilometres_Car_Stock[#All],MATCH(A129, Private_Vehicle_Kilometres_Car_Stock[#Headers],0),0)</f>
        <v>32323075433</v>
      </c>
    </row>
    <row r="130" spans="1:14" x14ac:dyDescent="0.25">
      <c r="A130" s="79" t="s">
        <v>34</v>
      </c>
      <c r="B130" s="13" t="s">
        <v>180</v>
      </c>
      <c r="C130" s="14" t="s">
        <v>6</v>
      </c>
      <c r="D130" s="5">
        <f>VLOOKUP(B130,Percentage_distribution_of_journey_distance_for_all_regions[#All],MATCH(A130,Percentage_distribution_of_journey_distance_for_all_regions[#Headers],0),0)/100</f>
        <v>0.13</v>
      </c>
      <c r="E130" s="71">
        <f>IF(B130="&lt;2 kilometres",1,0)*VLOOKUP(C130, Percentage_dist_journeys_by_mode_and_distance_to_2km[#All],MATCH(A130, Percentage_dist_journeys_by_mode_and_distance_to_2km[#Headers],0),0)/100</f>
        <v>0</v>
      </c>
      <c r="F130" s="4">
        <f>IF(B130="2-4 kilometres",1,0)*VLOOKUP(C130, Percentage_dist_journeys_by_mode_and_distance_2_to_4km[#All],MATCH(A130, Percentage_dist_journeys_by_mode_and_distance_2_to_4km[#Headers],0),0)/100</f>
        <v>0</v>
      </c>
      <c r="G130" s="72">
        <f>IF(B130="4-6 kilometres",1,0)*VLOOKUP(C130, Percentage_dist_journeys_by_mode_and_distance_4_to_6km[#All],MATCH(A130, Percentage_dist_journeys_by_mode_and_distance_4_to_6km[#Headers],0),0)/100</f>
        <v>4.9000000000000002E-2</v>
      </c>
      <c r="H130" s="4">
        <f>IF(B130="6-8 kilometres",1,0)*VLOOKUP(C130, Percentage_dist_journeys_by_mode_and_distance_6_to_8km[#All],MATCH(A130, Percentage_dist_journeys_by_mode_and_distance_6_to_8km[#Headers],0),0)/100</f>
        <v>0</v>
      </c>
      <c r="I130" s="72">
        <f>IF(B130="8+ kilometres",1,0)*VLOOKUP(C130, Percentage_dist_journeys_by_mode_and_distance_8km[#All],MATCH(A130, Percentage_dist_journeys_by_mode_and_distance_8km[#Headers],0),0)/100</f>
        <v>0</v>
      </c>
      <c r="J130" s="73">
        <f>VLOOKUP(B130,Average_Distance_by_kilometre_grouping_for_mode_type[#All],MATCH(A130,Average_Distance_by_kilometre_grouping_for_mode_type[#Headers],0),0)</f>
        <v>5</v>
      </c>
      <c r="K130" s="77">
        <f>VLOOKUP(C130, Adjustment_factor_for_distance_based_on_mode[#All],MATCH(A130, Adjustment_factor_for_distance_based_on_mode[#Headers],0),0)</f>
        <v>1.6923076923076923</v>
      </c>
      <c r="L130" s="78">
        <f>VLOOKUP($L$2, Total_Journeys_Per_Year[#All],MATCH(A130, Total_Journeys_Per_Year[#Headers],0),0)</f>
        <v>2940102000.5779233</v>
      </c>
      <c r="M130" s="35">
        <f t="shared" si="1"/>
        <v>158471497.83115008</v>
      </c>
      <c r="N130" s="35">
        <f>VLOOKUP($N$2, Private_Vehicle_Kilometres_Car_Stock[#All],MATCH(A130, Private_Vehicle_Kilometres_Car_Stock[#Headers],0),0)</f>
        <v>32323075433</v>
      </c>
    </row>
    <row r="131" spans="1:14" x14ac:dyDescent="0.25">
      <c r="A131" s="79" t="s">
        <v>34</v>
      </c>
      <c r="B131" s="13" t="s">
        <v>182</v>
      </c>
      <c r="C131" s="14" t="s">
        <v>6</v>
      </c>
      <c r="D131" s="5">
        <f>VLOOKUP(B131,Percentage_distribution_of_journey_distance_for_all_regions[#All],MATCH(A131,Percentage_distribution_of_journey_distance_for_all_regions[#Headers],0),0)/100</f>
        <v>6.4000000000000001E-2</v>
      </c>
      <c r="E131" s="71">
        <f>IF(B131="&lt;2 kilometres",1,0)*VLOOKUP(C131, Percentage_dist_journeys_by_mode_and_distance_to_2km[#All],MATCH(A131, Percentage_dist_journeys_by_mode_and_distance_to_2km[#Headers],0),0)/100</f>
        <v>0</v>
      </c>
      <c r="F131" s="4">
        <f>IF(B131="2-4 kilometres",1,0)*VLOOKUP(C131, Percentage_dist_journeys_by_mode_and_distance_2_to_4km[#All],MATCH(A131, Percentage_dist_journeys_by_mode_and_distance_2_to_4km[#Headers],0),0)/100</f>
        <v>0</v>
      </c>
      <c r="G131" s="72">
        <f>IF(B131="4-6 kilometres",1,0)*VLOOKUP(C131, Percentage_dist_journeys_by_mode_and_distance_4_to_6km[#All],MATCH(A131, Percentage_dist_journeys_by_mode_and_distance_4_to_6km[#Headers],0),0)/100</f>
        <v>0</v>
      </c>
      <c r="H131" s="4">
        <f>IF(B131="6-8 kilometres",1,0)*VLOOKUP(C131, Percentage_dist_journeys_by_mode_and_distance_6_to_8km[#All],MATCH(A131, Percentage_dist_journeys_by_mode_and_distance_6_to_8km[#Headers],0),0)/100</f>
        <v>4.4999999999999998E-2</v>
      </c>
      <c r="I131" s="72">
        <f>IF(B131="8+ kilometres",1,0)*VLOOKUP(C131, Percentage_dist_journeys_by_mode_and_distance_8km[#All],MATCH(A131, Percentage_dist_journeys_by_mode_and_distance_8km[#Headers],0),0)/100</f>
        <v>0</v>
      </c>
      <c r="J131" s="73">
        <f>VLOOKUP(B131,Average_Distance_by_kilometre_grouping_for_mode_type[#All],MATCH(A131,Average_Distance_by_kilometre_grouping_for_mode_type[#Headers],0),0)</f>
        <v>7</v>
      </c>
      <c r="K131" s="77">
        <f>VLOOKUP(C131, Adjustment_factor_for_distance_based_on_mode[#All],MATCH(A131, Adjustment_factor_for_distance_based_on_mode[#Headers],0),0)</f>
        <v>1.6923076923076923</v>
      </c>
      <c r="L131" s="78">
        <f>VLOOKUP($L$2, Total_Journeys_Per_Year[#All],MATCH(A131, Total_Journeys_Per_Year[#Headers],0),0)</f>
        <v>2940102000.5779233</v>
      </c>
      <c r="M131" s="35">
        <f t="shared" si="1"/>
        <v>100307233.79202464</v>
      </c>
      <c r="N131" s="35">
        <f>VLOOKUP($N$2, Private_Vehicle_Kilometres_Car_Stock[#All],MATCH(A131, Private_Vehicle_Kilometres_Car_Stock[#Headers],0),0)</f>
        <v>32323075433</v>
      </c>
    </row>
    <row r="132" spans="1:14" x14ac:dyDescent="0.25">
      <c r="A132" s="79" t="s">
        <v>34</v>
      </c>
      <c r="B132" s="13" t="s">
        <v>1</v>
      </c>
      <c r="C132" s="14" t="s">
        <v>6</v>
      </c>
      <c r="D132" s="5">
        <f>VLOOKUP(B132,Percentage_distribution_of_journey_distance_for_all_regions[#All],MATCH(A132,Percentage_distribution_of_journey_distance_for_all_regions[#Headers],0),0)/100</f>
        <v>0.41899999999999998</v>
      </c>
      <c r="E132" s="71">
        <f>IF(B132="&lt;2 kilometres",1,0)*VLOOKUP(C132, Percentage_dist_journeys_by_mode_and_distance_to_2km[#All],MATCH(A132, Percentage_dist_journeys_by_mode_and_distance_to_2km[#Headers],0),0)/100</f>
        <v>0</v>
      </c>
      <c r="F132" s="4">
        <f>IF(B132="2-4 kilometres",1,0)*VLOOKUP(C132, Percentage_dist_journeys_by_mode_and_distance_2_to_4km[#All],MATCH(A132, Percentage_dist_journeys_by_mode_and_distance_2_to_4km[#Headers],0),0)/100</f>
        <v>0</v>
      </c>
      <c r="G132" s="72">
        <f>IF(B132="4-6 kilometres",1,0)*VLOOKUP(C132, Percentage_dist_journeys_by_mode_and_distance_4_to_6km[#All],MATCH(A132, Percentage_dist_journeys_by_mode_and_distance_4_to_6km[#Headers],0),0)/100</f>
        <v>0</v>
      </c>
      <c r="H132" s="4">
        <f>IF(B132="6-8 kilometres",1,0)*VLOOKUP(C132, Percentage_dist_journeys_by_mode_and_distance_6_to_8km[#All],MATCH(A132, Percentage_dist_journeys_by_mode_and_distance_6_to_8km[#Headers],0),0)/100</f>
        <v>0</v>
      </c>
      <c r="I132" s="72">
        <f>IF(B132="8+ kilometres",1,0)*VLOOKUP(C132, Percentage_dist_journeys_by_mode_and_distance_8km[#All],MATCH(A132, Percentage_dist_journeys_by_mode_and_distance_8km[#Headers],0),0)/100</f>
        <v>7.9000000000000001E-2</v>
      </c>
      <c r="J132" s="73">
        <f>VLOOKUP(B132,Average_Distance_by_kilometre_grouping_for_mode_type[#All],MATCH(A132,Average_Distance_by_kilometre_grouping_for_mode_type[#Headers],0),0)</f>
        <v>38.99</v>
      </c>
      <c r="K132" s="77">
        <f>VLOOKUP(C132, Adjustment_factor_for_distance_based_on_mode[#All],MATCH(A132, Adjustment_factor_for_distance_based_on_mode[#Headers],0),0)</f>
        <v>1.6923076923076923</v>
      </c>
      <c r="L132" s="78">
        <f>VLOOKUP($L$2, Total_Journeys_Per_Year[#All],MATCH(A132, Total_Journeys_Per_Year[#Headers],0),0)</f>
        <v>2940102000.5779233</v>
      </c>
      <c r="M132" s="35">
        <f t="shared" ref="M132:M195" si="2">D132*(SUM(E132:I132))*J132*K132*L132</f>
        <v>6421493917.9952888</v>
      </c>
      <c r="N132" s="35">
        <f>VLOOKUP($N$2, Private_Vehicle_Kilometres_Car_Stock[#All],MATCH(A132, Private_Vehicle_Kilometres_Car_Stock[#Headers],0),0)</f>
        <v>32323075433</v>
      </c>
    </row>
    <row r="133" spans="1:14" x14ac:dyDescent="0.25">
      <c r="A133" s="79" t="s">
        <v>34</v>
      </c>
      <c r="B133" s="13" t="s">
        <v>12</v>
      </c>
      <c r="C133" s="14" t="s">
        <v>7</v>
      </c>
      <c r="D133" s="5">
        <f>VLOOKUP(B133,Percentage_distribution_of_journey_distance_for_all_regions[#All],MATCH(A133,Percentage_distribution_of_journey_distance_for_all_regions[#Headers],0),0)/100</f>
        <v>0.188</v>
      </c>
      <c r="E133" s="71">
        <f>IF(B133="&lt;2 kilometres",1,0)*VLOOKUP(C133, Percentage_dist_journeys_by_mode_and_distance_to_2km[#All],MATCH(A133, Percentage_dist_journeys_by_mode_and_distance_to_2km[#Headers],0),0)/100</f>
        <v>0.441</v>
      </c>
      <c r="F133" s="4">
        <f>IF(B133="2-4 kilometres",1,0)*VLOOKUP(C133, Percentage_dist_journeys_by_mode_and_distance_2_to_4km[#All],MATCH(A133, Percentage_dist_journeys_by_mode_and_distance_2_to_4km[#Headers],0),0)/100</f>
        <v>0</v>
      </c>
      <c r="G133" s="72">
        <f>IF(B133="4-6 kilometres",1,0)*VLOOKUP(C133, Percentage_dist_journeys_by_mode_and_distance_4_to_6km[#All],MATCH(A133, Percentage_dist_journeys_by_mode_and_distance_4_to_6km[#Headers],0),0)/100</f>
        <v>0</v>
      </c>
      <c r="H133" s="4">
        <f>IF(B133="6-8 kilometres",1,0)*VLOOKUP(C133, Percentage_dist_journeys_by_mode_and_distance_6_to_8km[#All],MATCH(A133, Percentage_dist_journeys_by_mode_and_distance_6_to_8km[#Headers],0),0)/100</f>
        <v>0</v>
      </c>
      <c r="I133" s="72">
        <f>IF(B133="8+ kilometres",1,0)*VLOOKUP(C133, Percentage_dist_journeys_by_mode_and_distance_8km[#All],MATCH(A133, Percentage_dist_journeys_by_mode_and_distance_8km[#Headers],0),0)/100</f>
        <v>0</v>
      </c>
      <c r="J133" s="73">
        <f>VLOOKUP(B133,Average_Distance_by_kilometre_grouping_for_mode_type[#All],MATCH(A133,Average_Distance_by_kilometre_grouping_for_mode_type[#Headers],0),0)</f>
        <v>1</v>
      </c>
      <c r="K133" s="77">
        <f>VLOOKUP(C133, Adjustment_factor_for_distance_based_on_mode[#All],MATCH(A133, Adjustment_factor_for_distance_based_on_mode[#Headers],0),0)</f>
        <v>0.14743589743589744</v>
      </c>
      <c r="L133" s="78">
        <f>VLOOKUP($L$2, Total_Journeys_Per_Year[#All],MATCH(A133, Total_Journeys_Per_Year[#Headers],0),0)</f>
        <v>2940102000.5779233</v>
      </c>
      <c r="M133" s="35">
        <f t="shared" si="2"/>
        <v>35938676.046602771</v>
      </c>
      <c r="N133" s="35">
        <f>VLOOKUP($N$2, Private_Vehicle_Kilometres_Car_Stock[#All],MATCH(A133, Private_Vehicle_Kilometres_Car_Stock[#Headers],0),0)</f>
        <v>32323075433</v>
      </c>
    </row>
    <row r="134" spans="1:14" x14ac:dyDescent="0.25">
      <c r="A134" s="79" t="s">
        <v>34</v>
      </c>
      <c r="B134" s="13" t="s">
        <v>181</v>
      </c>
      <c r="C134" s="14" t="s">
        <v>7</v>
      </c>
      <c r="D134" s="5">
        <f>VLOOKUP(B134,Percentage_distribution_of_journey_distance_for_all_regions[#All],MATCH(A134,Percentage_distribution_of_journey_distance_for_all_regions[#Headers],0),0)/100</f>
        <v>0.2</v>
      </c>
      <c r="E134" s="71">
        <f>IF(B134="&lt;2 kilometres",1,0)*VLOOKUP(C134, Percentage_dist_journeys_by_mode_and_distance_to_2km[#All],MATCH(A134, Percentage_dist_journeys_by_mode_and_distance_to_2km[#Headers],0),0)/100</f>
        <v>0</v>
      </c>
      <c r="F134" s="4">
        <f>IF(B134="2-4 kilometres",1,0)*VLOOKUP(C134, Percentage_dist_journeys_by_mode_and_distance_2_to_4km[#All],MATCH(A134, Percentage_dist_journeys_by_mode_and_distance_2_to_4km[#Headers],0),0)/100</f>
        <v>0.214</v>
      </c>
      <c r="G134" s="72">
        <f>IF(B134="4-6 kilometres",1,0)*VLOOKUP(C134, Percentage_dist_journeys_by_mode_and_distance_4_to_6km[#All],MATCH(A134, Percentage_dist_journeys_by_mode_and_distance_4_to_6km[#Headers],0),0)/100</f>
        <v>0</v>
      </c>
      <c r="H134" s="4">
        <f>IF(B134="6-8 kilometres",1,0)*VLOOKUP(C134, Percentage_dist_journeys_by_mode_and_distance_6_to_8km[#All],MATCH(A134, Percentage_dist_journeys_by_mode_and_distance_6_to_8km[#Headers],0),0)/100</f>
        <v>0</v>
      </c>
      <c r="I134" s="72">
        <f>IF(B134="8+ kilometres",1,0)*VLOOKUP(C134, Percentage_dist_journeys_by_mode_and_distance_8km[#All],MATCH(A134, Percentage_dist_journeys_by_mode_and_distance_8km[#Headers],0),0)/100</f>
        <v>0</v>
      </c>
      <c r="J134" s="73">
        <f>VLOOKUP(B134,Average_Distance_by_kilometre_grouping_for_mode_type[#All],MATCH(A134,Average_Distance_by_kilometre_grouping_for_mode_type[#Headers],0),0)</f>
        <v>3</v>
      </c>
      <c r="K134" s="77">
        <f>VLOOKUP(C134, Adjustment_factor_for_distance_based_on_mode[#All],MATCH(A134, Adjustment_factor_for_distance_based_on_mode[#Headers],0),0)</f>
        <v>0.14743589743589744</v>
      </c>
      <c r="L134" s="78">
        <f>VLOOKUP($L$2, Total_Journeys_Per_Year[#All],MATCH(A134, Total_Journeys_Per_Year[#Headers],0),0)</f>
        <v>2940102000.5779233</v>
      </c>
      <c r="M134" s="35">
        <f t="shared" si="2"/>
        <v>55658392.487863615</v>
      </c>
      <c r="N134" s="35">
        <f>VLOOKUP($N$2, Private_Vehicle_Kilometres_Car_Stock[#All],MATCH(A134, Private_Vehicle_Kilometres_Car_Stock[#Headers],0),0)</f>
        <v>32323075433</v>
      </c>
    </row>
    <row r="135" spans="1:14" x14ac:dyDescent="0.25">
      <c r="A135" s="79" t="s">
        <v>34</v>
      </c>
      <c r="B135" s="13" t="s">
        <v>180</v>
      </c>
      <c r="C135" s="14" t="s">
        <v>7</v>
      </c>
      <c r="D135" s="5">
        <f>VLOOKUP(B135,Percentage_distribution_of_journey_distance_for_all_regions[#All],MATCH(A135,Percentage_distribution_of_journey_distance_for_all_regions[#Headers],0),0)/100</f>
        <v>0.13</v>
      </c>
      <c r="E135" s="71">
        <f>IF(B135="&lt;2 kilometres",1,0)*VLOOKUP(C135, Percentage_dist_journeys_by_mode_and_distance_to_2km[#All],MATCH(A135, Percentage_dist_journeys_by_mode_and_distance_to_2km[#Headers],0),0)/100</f>
        <v>0</v>
      </c>
      <c r="F135" s="4">
        <f>IF(B135="2-4 kilometres",1,0)*VLOOKUP(C135, Percentage_dist_journeys_by_mode_and_distance_2_to_4km[#All],MATCH(A135, Percentage_dist_journeys_by_mode_and_distance_2_to_4km[#Headers],0),0)/100</f>
        <v>0</v>
      </c>
      <c r="G135" s="72">
        <f>IF(B135="4-6 kilometres",1,0)*VLOOKUP(C135, Percentage_dist_journeys_by_mode_and_distance_4_to_6km[#All],MATCH(A135, Percentage_dist_journeys_by_mode_and_distance_4_to_6km[#Headers],0),0)/100</f>
        <v>0.114</v>
      </c>
      <c r="H135" s="4">
        <f>IF(B135="6-8 kilometres",1,0)*VLOOKUP(C135, Percentage_dist_journeys_by_mode_and_distance_6_to_8km[#All],MATCH(A135, Percentage_dist_journeys_by_mode_and_distance_6_to_8km[#Headers],0),0)/100</f>
        <v>0</v>
      </c>
      <c r="I135" s="72">
        <f>IF(B135="8+ kilometres",1,0)*VLOOKUP(C135, Percentage_dist_journeys_by_mode_and_distance_8km[#All],MATCH(A135, Percentage_dist_journeys_by_mode_and_distance_8km[#Headers],0),0)/100</f>
        <v>0</v>
      </c>
      <c r="J135" s="73">
        <f>VLOOKUP(B135,Average_Distance_by_kilometre_grouping_for_mode_type[#All],MATCH(A135,Average_Distance_by_kilometre_grouping_for_mode_type[#Headers],0),0)</f>
        <v>5</v>
      </c>
      <c r="K135" s="77">
        <f>VLOOKUP(C135, Adjustment_factor_for_distance_based_on_mode[#All],MATCH(A135, Adjustment_factor_for_distance_based_on_mode[#Headers],0),0)</f>
        <v>0.14743589743589744</v>
      </c>
      <c r="L135" s="78">
        <f>VLOOKUP($L$2, Total_Journeys_Per_Year[#All],MATCH(A135, Total_Journeys_Per_Year[#Headers],0),0)</f>
        <v>2940102000.5779233</v>
      </c>
      <c r="M135" s="35">
        <f t="shared" si="2"/>
        <v>32120614.356313821</v>
      </c>
      <c r="N135" s="35">
        <f>VLOOKUP($N$2, Private_Vehicle_Kilometres_Car_Stock[#All],MATCH(A135, Private_Vehicle_Kilometres_Car_Stock[#Headers],0),0)</f>
        <v>32323075433</v>
      </c>
    </row>
    <row r="136" spans="1:14" x14ac:dyDescent="0.25">
      <c r="A136" s="79" t="s">
        <v>34</v>
      </c>
      <c r="B136" s="13" t="s">
        <v>182</v>
      </c>
      <c r="C136" s="14" t="s">
        <v>7</v>
      </c>
      <c r="D136" s="5">
        <f>VLOOKUP(B136,Percentage_distribution_of_journey_distance_for_all_regions[#All],MATCH(A136,Percentage_distribution_of_journey_distance_for_all_regions[#Headers],0),0)/100</f>
        <v>6.4000000000000001E-2</v>
      </c>
      <c r="E136" s="71">
        <f>IF(B136="&lt;2 kilometres",1,0)*VLOOKUP(C136, Percentage_dist_journeys_by_mode_and_distance_to_2km[#All],MATCH(A136, Percentage_dist_journeys_by_mode_and_distance_to_2km[#Headers],0),0)/100</f>
        <v>0</v>
      </c>
      <c r="F136" s="4">
        <f>IF(B136="2-4 kilometres",1,0)*VLOOKUP(C136, Percentage_dist_journeys_by_mode_and_distance_2_to_4km[#All],MATCH(A136, Percentage_dist_journeys_by_mode_and_distance_2_to_4km[#Headers],0),0)/100</f>
        <v>0</v>
      </c>
      <c r="G136" s="72">
        <f>IF(B136="4-6 kilometres",1,0)*VLOOKUP(C136, Percentage_dist_journeys_by_mode_and_distance_4_to_6km[#All],MATCH(A136, Percentage_dist_journeys_by_mode_and_distance_4_to_6km[#Headers],0),0)/100</f>
        <v>0</v>
      </c>
      <c r="H136" s="4">
        <f>IF(B136="6-8 kilometres",1,0)*VLOOKUP(C136, Percentage_dist_journeys_by_mode_and_distance_6_to_8km[#All],MATCH(A136, Percentage_dist_journeys_by_mode_and_distance_6_to_8km[#Headers],0),0)/100</f>
        <v>5.7999999999999996E-2</v>
      </c>
      <c r="I136" s="72">
        <f>IF(B136="8+ kilometres",1,0)*VLOOKUP(C136, Percentage_dist_journeys_by_mode_and_distance_8km[#All],MATCH(A136, Percentage_dist_journeys_by_mode_and_distance_8km[#Headers],0),0)/100</f>
        <v>0</v>
      </c>
      <c r="J136" s="73">
        <f>VLOOKUP(B136,Average_Distance_by_kilometre_grouping_for_mode_type[#All],MATCH(A136,Average_Distance_by_kilometre_grouping_for_mode_type[#Headers],0),0)</f>
        <v>7</v>
      </c>
      <c r="K136" s="77">
        <f>VLOOKUP(C136, Adjustment_factor_for_distance_based_on_mode[#All],MATCH(A136, Adjustment_factor_for_distance_based_on_mode[#Headers],0),0)</f>
        <v>0.14743589743589744</v>
      </c>
      <c r="L136" s="78">
        <f>VLOOKUP($L$2, Total_Journeys_Per_Year[#All],MATCH(A136, Total_Journeys_Per_Year[#Headers],0),0)</f>
        <v>2940102000.5779233</v>
      </c>
      <c r="M136" s="35">
        <f t="shared" si="2"/>
        <v>11263455.37698324</v>
      </c>
      <c r="N136" s="35">
        <f>VLOOKUP($N$2, Private_Vehicle_Kilometres_Car_Stock[#All],MATCH(A136, Private_Vehicle_Kilometres_Car_Stock[#Headers],0),0)</f>
        <v>32323075433</v>
      </c>
    </row>
    <row r="137" spans="1:14" x14ac:dyDescent="0.25">
      <c r="A137" s="79" t="s">
        <v>34</v>
      </c>
      <c r="B137" s="13" t="s">
        <v>1</v>
      </c>
      <c r="C137" s="14" t="s">
        <v>7</v>
      </c>
      <c r="D137" s="5">
        <f>VLOOKUP(B137,Percentage_distribution_of_journey_distance_for_all_regions[#All],MATCH(A137,Percentage_distribution_of_journey_distance_for_all_regions[#Headers],0),0)/100</f>
        <v>0.41899999999999998</v>
      </c>
      <c r="E137" s="71">
        <f>IF(B137="&lt;2 kilometres",1,0)*VLOOKUP(C137, Percentage_dist_journeys_by_mode_and_distance_to_2km[#All],MATCH(A137, Percentage_dist_journeys_by_mode_and_distance_to_2km[#Headers],0),0)/100</f>
        <v>0</v>
      </c>
      <c r="F137" s="4">
        <f>IF(B137="2-4 kilometres",1,0)*VLOOKUP(C137, Percentage_dist_journeys_by_mode_and_distance_2_to_4km[#All],MATCH(A137, Percentage_dist_journeys_by_mode_and_distance_2_to_4km[#Headers],0),0)/100</f>
        <v>0</v>
      </c>
      <c r="G137" s="72">
        <f>IF(B137="4-6 kilometres",1,0)*VLOOKUP(C137, Percentage_dist_journeys_by_mode_and_distance_4_to_6km[#All],MATCH(A137, Percentage_dist_journeys_by_mode_and_distance_4_to_6km[#Headers],0),0)/100</f>
        <v>0</v>
      </c>
      <c r="H137" s="4">
        <f>IF(B137="6-8 kilometres",1,0)*VLOOKUP(C137, Percentage_dist_journeys_by_mode_and_distance_6_to_8km[#All],MATCH(A137, Percentage_dist_journeys_by_mode_and_distance_6_to_8km[#Headers],0),0)/100</f>
        <v>0</v>
      </c>
      <c r="I137" s="72">
        <f>IF(B137="8+ kilometres",1,0)*VLOOKUP(C137, Percentage_dist_journeys_by_mode_and_distance_8km[#All],MATCH(A137, Percentage_dist_journeys_by_mode_and_distance_8km[#Headers],0),0)/100</f>
        <v>9.0000000000000011E-3</v>
      </c>
      <c r="J137" s="73">
        <f>VLOOKUP(B137,Average_Distance_by_kilometre_grouping_for_mode_type[#All],MATCH(A137,Average_Distance_by_kilometre_grouping_for_mode_type[#Headers],0),0)</f>
        <v>38.99</v>
      </c>
      <c r="K137" s="77">
        <f>VLOOKUP(C137, Adjustment_factor_for_distance_based_on_mode[#All],MATCH(A137, Adjustment_factor_for_distance_based_on_mode[#Headers],0),0)</f>
        <v>0.14743589743589744</v>
      </c>
      <c r="L137" s="78">
        <f>VLOOKUP($L$2, Total_Journeys_Per_Year[#All],MATCH(A137, Total_Journeys_Per_Year[#Headers],0),0)</f>
        <v>2940102000.5779233</v>
      </c>
      <c r="M137" s="35">
        <f t="shared" si="2"/>
        <v>63734620.302312285</v>
      </c>
      <c r="N137" s="35">
        <f>VLOOKUP($N$2, Private_Vehicle_Kilometres_Car_Stock[#All],MATCH(A137, Private_Vehicle_Kilometres_Car_Stock[#Headers],0),0)</f>
        <v>32323075433</v>
      </c>
    </row>
    <row r="138" spans="1:14" x14ac:dyDescent="0.25">
      <c r="A138" s="79" t="s">
        <v>34</v>
      </c>
      <c r="B138" s="13" t="s">
        <v>12</v>
      </c>
      <c r="C138" s="14" t="s">
        <v>8</v>
      </c>
      <c r="D138" s="5">
        <f>VLOOKUP(B138,Percentage_distribution_of_journey_distance_for_all_regions[#All],MATCH(A138,Percentage_distribution_of_journey_distance_for_all_regions[#Headers],0),0)/100</f>
        <v>0.188</v>
      </c>
      <c r="E138" s="71">
        <f>IF(B138="&lt;2 kilometres",1,0)*VLOOKUP(C138, Percentage_dist_journeys_by_mode_and_distance_to_2km[#All],MATCH(A138, Percentage_dist_journeys_by_mode_and_distance_to_2km[#Headers],0),0)/100</f>
        <v>0.01</v>
      </c>
      <c r="F138" s="4">
        <f>IF(B138="2-4 kilometres",1,0)*VLOOKUP(C138, Percentage_dist_journeys_by_mode_and_distance_2_to_4km[#All],MATCH(A138, Percentage_dist_journeys_by_mode_and_distance_2_to_4km[#Headers],0),0)/100</f>
        <v>0</v>
      </c>
      <c r="G138" s="72">
        <f>IF(B138="4-6 kilometres",1,0)*VLOOKUP(C138, Percentage_dist_journeys_by_mode_and_distance_4_to_6km[#All],MATCH(A138, Percentage_dist_journeys_by_mode_and_distance_4_to_6km[#Headers],0),0)/100</f>
        <v>0</v>
      </c>
      <c r="H138" s="4">
        <f>IF(B138="6-8 kilometres",1,0)*VLOOKUP(C138, Percentage_dist_journeys_by_mode_and_distance_6_to_8km[#All],MATCH(A138, Percentage_dist_journeys_by_mode_and_distance_6_to_8km[#Headers],0),0)/100</f>
        <v>0</v>
      </c>
      <c r="I138" s="72">
        <f>IF(B138="8+ kilometres",1,0)*VLOOKUP(C138, Percentage_dist_journeys_by_mode_and_distance_8km[#All],MATCH(A138, Percentage_dist_journeys_by_mode_and_distance_8km[#Headers],0),0)/100</f>
        <v>0</v>
      </c>
      <c r="J138" s="73">
        <f>VLOOKUP(B138,Average_Distance_by_kilometre_grouping_for_mode_type[#All],MATCH(A138,Average_Distance_by_kilometre_grouping_for_mode_type[#Headers],0),0)</f>
        <v>1</v>
      </c>
      <c r="K138" s="77">
        <f>VLOOKUP(C138, Adjustment_factor_for_distance_based_on_mode[#All],MATCH(A138, Adjustment_factor_for_distance_based_on_mode[#Headers],0),0)</f>
        <v>1.1025641025641026</v>
      </c>
      <c r="L138" s="78">
        <f>VLOOKUP($L$2, Total_Journeys_Per_Year[#All],MATCH(A138, Total_Journeys_Per_Year[#Headers],0),0)</f>
        <v>2940102000.5779233</v>
      </c>
      <c r="M138" s="35">
        <f t="shared" si="2"/>
        <v>6094303.7365825474</v>
      </c>
      <c r="N138" s="35">
        <f>VLOOKUP($N$2, Private_Vehicle_Kilometres_Car_Stock[#All],MATCH(A138, Private_Vehicle_Kilometres_Car_Stock[#Headers],0),0)</f>
        <v>32323075433</v>
      </c>
    </row>
    <row r="139" spans="1:14" x14ac:dyDescent="0.25">
      <c r="A139" s="79" t="s">
        <v>34</v>
      </c>
      <c r="B139" s="13" t="s">
        <v>181</v>
      </c>
      <c r="C139" s="14" t="s">
        <v>8</v>
      </c>
      <c r="D139" s="5">
        <f>VLOOKUP(B139,Percentage_distribution_of_journey_distance_for_all_regions[#All],MATCH(A139,Percentage_distribution_of_journey_distance_for_all_regions[#Headers],0),0)/100</f>
        <v>0.2</v>
      </c>
      <c r="E139" s="71">
        <f>IF(B139="&lt;2 kilometres",1,0)*VLOOKUP(C139, Percentage_dist_journeys_by_mode_and_distance_to_2km[#All],MATCH(A139, Percentage_dist_journeys_by_mode_and_distance_to_2km[#Headers],0),0)/100</f>
        <v>0</v>
      </c>
      <c r="F139" s="4">
        <f>IF(B139="2-4 kilometres",1,0)*VLOOKUP(C139, Percentage_dist_journeys_by_mode_and_distance_2_to_4km[#All],MATCH(A139, Percentage_dist_journeys_by_mode_and_distance_2_to_4km[#Headers],0),0)/100</f>
        <v>4.0999999999999995E-2</v>
      </c>
      <c r="G139" s="72">
        <f>IF(B139="4-6 kilometres",1,0)*VLOOKUP(C139, Percentage_dist_journeys_by_mode_and_distance_4_to_6km[#All],MATCH(A139, Percentage_dist_journeys_by_mode_and_distance_4_to_6km[#Headers],0),0)/100</f>
        <v>0</v>
      </c>
      <c r="H139" s="4">
        <f>IF(B139="6-8 kilometres",1,0)*VLOOKUP(C139, Percentage_dist_journeys_by_mode_and_distance_6_to_8km[#All],MATCH(A139, Percentage_dist_journeys_by_mode_and_distance_6_to_8km[#Headers],0),0)/100</f>
        <v>0</v>
      </c>
      <c r="I139" s="72">
        <f>IF(B139="8+ kilometres",1,0)*VLOOKUP(C139, Percentage_dist_journeys_by_mode_and_distance_8km[#All],MATCH(A139, Percentage_dist_journeys_by_mode_and_distance_8km[#Headers],0),0)/100</f>
        <v>0</v>
      </c>
      <c r="J139" s="73">
        <f>VLOOKUP(B139,Average_Distance_by_kilometre_grouping_for_mode_type[#All],MATCH(A139,Average_Distance_by_kilometre_grouping_for_mode_type[#Headers],0),0)</f>
        <v>3</v>
      </c>
      <c r="K139" s="77">
        <f>VLOOKUP(C139, Adjustment_factor_for_distance_based_on_mode[#All],MATCH(A139, Adjustment_factor_for_distance_based_on_mode[#Headers],0),0)</f>
        <v>1.1025641025641026</v>
      </c>
      <c r="L139" s="78">
        <f>VLOOKUP($L$2, Total_Journeys_Per_Year[#All],MATCH(A139, Total_Journeys_Per_Year[#Headers],0),0)</f>
        <v>2940102000.5779233</v>
      </c>
      <c r="M139" s="35">
        <f t="shared" si="2"/>
        <v>79744612.723367363</v>
      </c>
      <c r="N139" s="35">
        <f>VLOOKUP($N$2, Private_Vehicle_Kilometres_Car_Stock[#All],MATCH(A139, Private_Vehicle_Kilometres_Car_Stock[#Headers],0),0)</f>
        <v>32323075433</v>
      </c>
    </row>
    <row r="140" spans="1:14" x14ac:dyDescent="0.25">
      <c r="A140" s="79" t="s">
        <v>34</v>
      </c>
      <c r="B140" s="13" t="s">
        <v>180</v>
      </c>
      <c r="C140" s="14" t="s">
        <v>8</v>
      </c>
      <c r="D140" s="5">
        <f>VLOOKUP(B140,Percentage_distribution_of_journey_distance_for_all_regions[#All],MATCH(A140,Percentage_distribution_of_journey_distance_for_all_regions[#Headers],0),0)/100</f>
        <v>0.13</v>
      </c>
      <c r="E140" s="71">
        <f>IF(B140="&lt;2 kilometres",1,0)*VLOOKUP(C140, Percentage_dist_journeys_by_mode_and_distance_to_2km[#All],MATCH(A140, Percentage_dist_journeys_by_mode_and_distance_to_2km[#Headers],0),0)/100</f>
        <v>0</v>
      </c>
      <c r="F140" s="4">
        <f>IF(B140="2-4 kilometres",1,0)*VLOOKUP(C140, Percentage_dist_journeys_by_mode_and_distance_2_to_4km[#All],MATCH(A140, Percentage_dist_journeys_by_mode_and_distance_2_to_4km[#Headers],0),0)/100</f>
        <v>0</v>
      </c>
      <c r="G140" s="72">
        <f>IF(B140="4-6 kilometres",1,0)*VLOOKUP(C140, Percentage_dist_journeys_by_mode_and_distance_4_to_6km[#All],MATCH(A140, Percentage_dist_journeys_by_mode_and_distance_4_to_6km[#Headers],0),0)/100</f>
        <v>6.0999999999999999E-2</v>
      </c>
      <c r="H140" s="4">
        <f>IF(B140="6-8 kilometres",1,0)*VLOOKUP(C140, Percentage_dist_journeys_by_mode_and_distance_6_to_8km[#All],MATCH(A140, Percentage_dist_journeys_by_mode_and_distance_6_to_8km[#Headers],0),0)/100</f>
        <v>0</v>
      </c>
      <c r="I140" s="72">
        <f>IF(B140="8+ kilometres",1,0)*VLOOKUP(C140, Percentage_dist_journeys_by_mode_and_distance_8km[#All],MATCH(A140, Percentage_dist_journeys_by_mode_and_distance_8km[#Headers],0),0)/100</f>
        <v>0</v>
      </c>
      <c r="J140" s="73">
        <f>VLOOKUP(B140,Average_Distance_by_kilometre_grouping_for_mode_type[#All],MATCH(A140,Average_Distance_by_kilometre_grouping_for_mode_type[#Headers],0),0)</f>
        <v>5</v>
      </c>
      <c r="K140" s="77">
        <f>VLOOKUP(C140, Adjustment_factor_for_distance_based_on_mode[#All],MATCH(A140, Adjustment_factor_for_distance_based_on_mode[#Headers],0),0)</f>
        <v>1.1025641025641026</v>
      </c>
      <c r="L140" s="78">
        <f>VLOOKUP($L$2, Total_Journeys_Per_Year[#All],MATCH(A140, Total_Journeys_Per_Year[#Headers],0),0)</f>
        <v>2940102000.5779233</v>
      </c>
      <c r="M140" s="35">
        <f t="shared" si="2"/>
        <v>128531459.12526488</v>
      </c>
      <c r="N140" s="35">
        <f>VLOOKUP($N$2, Private_Vehicle_Kilometres_Car_Stock[#All],MATCH(A140, Private_Vehicle_Kilometres_Car_Stock[#Headers],0),0)</f>
        <v>32323075433</v>
      </c>
    </row>
    <row r="141" spans="1:14" x14ac:dyDescent="0.25">
      <c r="A141" s="79" t="s">
        <v>34</v>
      </c>
      <c r="B141" s="13" t="s">
        <v>182</v>
      </c>
      <c r="C141" s="14" t="s">
        <v>8</v>
      </c>
      <c r="D141" s="5">
        <f>VLOOKUP(B141,Percentage_distribution_of_journey_distance_for_all_regions[#All],MATCH(A141,Percentage_distribution_of_journey_distance_for_all_regions[#Headers],0),0)/100</f>
        <v>6.4000000000000001E-2</v>
      </c>
      <c r="E141" s="71">
        <f>IF(B141="&lt;2 kilometres",1,0)*VLOOKUP(C141, Percentage_dist_journeys_by_mode_and_distance_to_2km[#All],MATCH(A141, Percentage_dist_journeys_by_mode_and_distance_to_2km[#Headers],0),0)/100</f>
        <v>0</v>
      </c>
      <c r="F141" s="4">
        <f>IF(B141="2-4 kilometres",1,0)*VLOOKUP(C141, Percentage_dist_journeys_by_mode_and_distance_2_to_4km[#All],MATCH(A141, Percentage_dist_journeys_by_mode_and_distance_2_to_4km[#Headers],0),0)/100</f>
        <v>0</v>
      </c>
      <c r="G141" s="72">
        <f>IF(B141="4-6 kilometres",1,0)*VLOOKUP(C141, Percentage_dist_journeys_by_mode_and_distance_4_to_6km[#All],MATCH(A141, Percentage_dist_journeys_by_mode_and_distance_4_to_6km[#Headers],0),0)/100</f>
        <v>0</v>
      </c>
      <c r="H141" s="4">
        <f>IF(B141="6-8 kilometres",1,0)*VLOOKUP(C141, Percentage_dist_journeys_by_mode_and_distance_6_to_8km[#All],MATCH(A141, Percentage_dist_journeys_by_mode_and_distance_6_to_8km[#Headers],0),0)/100</f>
        <v>6.3E-2</v>
      </c>
      <c r="I141" s="72">
        <f>IF(B141="8+ kilometres",1,0)*VLOOKUP(C141, Percentage_dist_journeys_by_mode_and_distance_8km[#All],MATCH(A141, Percentage_dist_journeys_by_mode_and_distance_8km[#Headers],0),0)/100</f>
        <v>0</v>
      </c>
      <c r="J141" s="73">
        <f>VLOOKUP(B141,Average_Distance_by_kilometre_grouping_for_mode_type[#All],MATCH(A141,Average_Distance_by_kilometre_grouping_for_mode_type[#Headers],0),0)</f>
        <v>7</v>
      </c>
      <c r="K141" s="77">
        <f>VLOOKUP(C141, Adjustment_factor_for_distance_based_on_mode[#All],MATCH(A141, Adjustment_factor_for_distance_based_on_mode[#Headers],0),0)</f>
        <v>1.1025641025641026</v>
      </c>
      <c r="L141" s="78">
        <f>VLOOKUP($L$2, Total_Journeys_Per_Year[#All],MATCH(A141, Total_Journeys_Per_Year[#Headers],0),0)</f>
        <v>2940102000.5779233</v>
      </c>
      <c r="M141" s="35">
        <f t="shared" si="2"/>
        <v>91492355.670907333</v>
      </c>
      <c r="N141" s="35">
        <f>VLOOKUP($N$2, Private_Vehicle_Kilometres_Car_Stock[#All],MATCH(A141, Private_Vehicle_Kilometres_Car_Stock[#Headers],0),0)</f>
        <v>32323075433</v>
      </c>
    </row>
    <row r="142" spans="1:14" x14ac:dyDescent="0.25">
      <c r="A142" s="79" t="s">
        <v>34</v>
      </c>
      <c r="B142" s="13" t="s">
        <v>1</v>
      </c>
      <c r="C142" s="14" t="s">
        <v>8</v>
      </c>
      <c r="D142" s="5">
        <f>VLOOKUP(B142,Percentage_distribution_of_journey_distance_for_all_regions[#All],MATCH(A142,Percentage_distribution_of_journey_distance_for_all_regions[#Headers],0),0)/100</f>
        <v>0.41899999999999998</v>
      </c>
      <c r="E142" s="71">
        <f>IF(B142="&lt;2 kilometres",1,0)*VLOOKUP(C142, Percentage_dist_journeys_by_mode_and_distance_to_2km[#All],MATCH(A142, Percentage_dist_journeys_by_mode_and_distance_to_2km[#Headers],0),0)/100</f>
        <v>0</v>
      </c>
      <c r="F142" s="4">
        <f>IF(B142="2-4 kilometres",1,0)*VLOOKUP(C142, Percentage_dist_journeys_by_mode_and_distance_2_to_4km[#All],MATCH(A142, Percentage_dist_journeys_by_mode_and_distance_2_to_4km[#Headers],0),0)/100</f>
        <v>0</v>
      </c>
      <c r="G142" s="72">
        <f>IF(B142="4-6 kilometres",1,0)*VLOOKUP(C142, Percentage_dist_journeys_by_mode_and_distance_4_to_6km[#All],MATCH(A142, Percentage_dist_journeys_by_mode_and_distance_4_to_6km[#Headers],0),0)/100</f>
        <v>0</v>
      </c>
      <c r="H142" s="4">
        <f>IF(B142="6-8 kilometres",1,0)*VLOOKUP(C142, Percentage_dist_journeys_by_mode_and_distance_6_to_8km[#All],MATCH(A142, Percentage_dist_journeys_by_mode_and_distance_6_to_8km[#Headers],0),0)/100</f>
        <v>0</v>
      </c>
      <c r="I142" s="72">
        <f>IF(B142="8+ kilometres",1,0)*VLOOKUP(C142, Percentage_dist_journeys_by_mode_and_distance_8km[#All],MATCH(A142, Percentage_dist_journeys_by_mode_and_distance_8km[#Headers],0),0)/100</f>
        <v>5.2000000000000005E-2</v>
      </c>
      <c r="J142" s="73">
        <f>VLOOKUP(B142,Average_Distance_by_kilometre_grouping_for_mode_type[#All],MATCH(A142,Average_Distance_by_kilometre_grouping_for_mode_type[#Headers],0),0)</f>
        <v>38.99</v>
      </c>
      <c r="K142" s="77">
        <f>VLOOKUP(C142, Adjustment_factor_for_distance_based_on_mode[#All],MATCH(A142, Adjustment_factor_for_distance_based_on_mode[#Headers],0),0)</f>
        <v>1.1025641025641026</v>
      </c>
      <c r="L142" s="78">
        <f>VLOOKUP($L$2, Total_Journeys_Per_Year[#All],MATCH(A142, Total_Journeys_Per_Year[#Headers],0),0)</f>
        <v>2940102000.5779233</v>
      </c>
      <c r="M142" s="35">
        <f t="shared" si="2"/>
        <v>2753828231.8061891</v>
      </c>
      <c r="N142" s="35">
        <f>VLOOKUP($N$2, Private_Vehicle_Kilometres_Car_Stock[#All],MATCH(A142, Private_Vehicle_Kilometres_Car_Stock[#Headers],0),0)</f>
        <v>32323075433</v>
      </c>
    </row>
    <row r="143" spans="1:14" x14ac:dyDescent="0.25">
      <c r="A143" s="79" t="s">
        <v>34</v>
      </c>
      <c r="B143" s="13" t="s">
        <v>12</v>
      </c>
      <c r="C143" s="14" t="s">
        <v>9</v>
      </c>
      <c r="D143" s="5">
        <f>VLOOKUP(B143,Percentage_distribution_of_journey_distance_for_all_regions[#All],MATCH(A143,Percentage_distribution_of_journey_distance_for_all_regions[#Headers],0),0)/100</f>
        <v>0.188</v>
      </c>
      <c r="E143" s="71">
        <f>IF(B143="&lt;2 kilometres",1,0)*VLOOKUP(C143, Percentage_dist_journeys_by_mode_and_distance_to_2km[#All],MATCH(A143, Percentage_dist_journeys_by_mode_and_distance_to_2km[#Headers],0),0)/100</f>
        <v>1.6E-2</v>
      </c>
      <c r="F143" s="4">
        <f>IF(B143="2-4 kilometres",1,0)*VLOOKUP(C143, Percentage_dist_journeys_by_mode_and_distance_2_to_4km[#All],MATCH(A143, Percentage_dist_journeys_by_mode_and_distance_2_to_4km[#Headers],0),0)/100</f>
        <v>0</v>
      </c>
      <c r="G143" s="72">
        <f>IF(B143="4-6 kilometres",1,0)*VLOOKUP(C143, Percentage_dist_journeys_by_mode_and_distance_4_to_6km[#All],MATCH(A143, Percentage_dist_journeys_by_mode_and_distance_4_to_6km[#Headers],0),0)/100</f>
        <v>0</v>
      </c>
      <c r="H143" s="4">
        <f>IF(B143="6-8 kilometres",1,0)*VLOOKUP(C143, Percentage_dist_journeys_by_mode_and_distance_6_to_8km[#All],MATCH(A143, Percentage_dist_journeys_by_mode_and_distance_6_to_8km[#Headers],0),0)/100</f>
        <v>0</v>
      </c>
      <c r="I143" s="72">
        <f>IF(B143="8+ kilometres",1,0)*VLOOKUP(C143, Percentage_dist_journeys_by_mode_and_distance_8km[#All],MATCH(A143, Percentage_dist_journeys_by_mode_and_distance_8km[#Headers],0),0)/100</f>
        <v>0</v>
      </c>
      <c r="J143" s="73">
        <f>VLOOKUP(B143,Average_Distance_by_kilometre_grouping_for_mode_type[#All],MATCH(A143,Average_Distance_by_kilometre_grouping_for_mode_type[#Headers],0),0)</f>
        <v>1</v>
      </c>
      <c r="K143" s="77">
        <f>VLOOKUP(C143, Adjustment_factor_for_distance_based_on_mode[#All],MATCH(A143, Adjustment_factor_for_distance_based_on_mode[#Headers],0),0)</f>
        <v>0.42307692307692307</v>
      </c>
      <c r="L143" s="78">
        <f>VLOOKUP($L$2, Total_Journeys_Per_Year[#All],MATCH(A143, Total_Journeys_Per_Year[#Headers],0),0)</f>
        <v>2940102000.5779233</v>
      </c>
      <c r="M143" s="35">
        <f t="shared" si="2"/>
        <v>3741619.0382739357</v>
      </c>
      <c r="N143" s="35">
        <f>VLOOKUP($N$2, Private_Vehicle_Kilometres_Car_Stock[#All],MATCH(A143, Private_Vehicle_Kilometres_Car_Stock[#Headers],0),0)</f>
        <v>32323075433</v>
      </c>
    </row>
    <row r="144" spans="1:14" x14ac:dyDescent="0.25">
      <c r="A144" s="79" t="s">
        <v>34</v>
      </c>
      <c r="B144" s="13" t="s">
        <v>181</v>
      </c>
      <c r="C144" s="14" t="s">
        <v>9</v>
      </c>
      <c r="D144" s="5">
        <f>VLOOKUP(B144,Percentage_distribution_of_journey_distance_for_all_regions[#All],MATCH(A144,Percentage_distribution_of_journey_distance_for_all_regions[#Headers],0),0)/100</f>
        <v>0.2</v>
      </c>
      <c r="E144" s="71">
        <f>IF(B144="&lt;2 kilometres",1,0)*VLOOKUP(C144, Percentage_dist_journeys_by_mode_and_distance_to_2km[#All],MATCH(A144, Percentage_dist_journeys_by_mode_and_distance_to_2km[#Headers],0),0)/100</f>
        <v>0</v>
      </c>
      <c r="F144" s="4">
        <f>IF(B144="2-4 kilometres",1,0)*VLOOKUP(C144, Percentage_dist_journeys_by_mode_and_distance_2_to_4km[#All],MATCH(A144, Percentage_dist_journeys_by_mode_and_distance_2_to_4km[#Headers],0),0)/100</f>
        <v>2.7000000000000003E-2</v>
      </c>
      <c r="G144" s="72">
        <f>IF(B144="4-6 kilometres",1,0)*VLOOKUP(C144, Percentage_dist_journeys_by_mode_and_distance_4_to_6km[#All],MATCH(A144, Percentage_dist_journeys_by_mode_and_distance_4_to_6km[#Headers],0),0)/100</f>
        <v>0</v>
      </c>
      <c r="H144" s="4">
        <f>IF(B144="6-8 kilometres",1,0)*VLOOKUP(C144, Percentage_dist_journeys_by_mode_and_distance_6_to_8km[#All],MATCH(A144, Percentage_dist_journeys_by_mode_and_distance_6_to_8km[#Headers],0),0)/100</f>
        <v>0</v>
      </c>
      <c r="I144" s="72">
        <f>IF(B144="8+ kilometres",1,0)*VLOOKUP(C144, Percentage_dist_journeys_by_mode_and_distance_8km[#All],MATCH(A144, Percentage_dist_journeys_by_mode_and_distance_8km[#Headers],0),0)/100</f>
        <v>0</v>
      </c>
      <c r="J144" s="73">
        <f>VLOOKUP(B144,Average_Distance_by_kilometre_grouping_for_mode_type[#All],MATCH(A144,Average_Distance_by_kilometre_grouping_for_mode_type[#Headers],0),0)</f>
        <v>3</v>
      </c>
      <c r="K144" s="77">
        <f>VLOOKUP(C144, Adjustment_factor_for_distance_based_on_mode[#All],MATCH(A144, Adjustment_factor_for_distance_based_on_mode[#Headers],0),0)</f>
        <v>0.42307692307692307</v>
      </c>
      <c r="L144" s="78">
        <f>VLOOKUP($L$2, Total_Journeys_Per_Year[#All],MATCH(A144, Total_Journeys_Per_Year[#Headers],0),0)</f>
        <v>2940102000.5779233</v>
      </c>
      <c r="M144" s="35">
        <f t="shared" si="2"/>
        <v>20151006.788576383</v>
      </c>
      <c r="N144" s="35">
        <f>VLOOKUP($N$2, Private_Vehicle_Kilometres_Car_Stock[#All],MATCH(A144, Private_Vehicle_Kilometres_Car_Stock[#Headers],0),0)</f>
        <v>32323075433</v>
      </c>
    </row>
    <row r="145" spans="1:14" x14ac:dyDescent="0.25">
      <c r="A145" s="79" t="s">
        <v>34</v>
      </c>
      <c r="B145" s="13" t="s">
        <v>180</v>
      </c>
      <c r="C145" s="14" t="s">
        <v>9</v>
      </c>
      <c r="D145" s="5">
        <f>VLOOKUP(B145,Percentage_distribution_of_journey_distance_for_all_regions[#All],MATCH(A145,Percentage_distribution_of_journey_distance_for_all_regions[#Headers],0),0)/100</f>
        <v>0.13</v>
      </c>
      <c r="E145" s="71">
        <f>IF(B145="&lt;2 kilometres",1,0)*VLOOKUP(C145, Percentage_dist_journeys_by_mode_and_distance_to_2km[#All],MATCH(A145, Percentage_dist_journeys_by_mode_and_distance_to_2km[#Headers],0),0)/100</f>
        <v>0</v>
      </c>
      <c r="F145" s="4">
        <f>IF(B145="2-4 kilometres",1,0)*VLOOKUP(C145, Percentage_dist_journeys_by_mode_and_distance_2_to_4km[#All],MATCH(A145, Percentage_dist_journeys_by_mode_and_distance_2_to_4km[#Headers],0),0)/100</f>
        <v>0</v>
      </c>
      <c r="G145" s="72">
        <f>IF(B145="4-6 kilometres",1,0)*VLOOKUP(C145, Percentage_dist_journeys_by_mode_and_distance_4_to_6km[#All],MATCH(A145, Percentage_dist_journeys_by_mode_and_distance_4_to_6km[#Headers],0),0)/100</f>
        <v>2.5000000000000001E-2</v>
      </c>
      <c r="H145" s="4">
        <f>IF(B145="6-8 kilometres",1,0)*VLOOKUP(C145, Percentage_dist_journeys_by_mode_and_distance_6_to_8km[#All],MATCH(A145, Percentage_dist_journeys_by_mode_and_distance_6_to_8km[#Headers],0),0)/100</f>
        <v>0</v>
      </c>
      <c r="I145" s="72">
        <f>IF(B145="8+ kilometres",1,0)*VLOOKUP(C145, Percentage_dist_journeys_by_mode_and_distance_8km[#All],MATCH(A145, Percentage_dist_journeys_by_mode_and_distance_8km[#Headers],0),0)/100</f>
        <v>0</v>
      </c>
      <c r="J145" s="73">
        <f>VLOOKUP(B145,Average_Distance_by_kilometre_grouping_for_mode_type[#All],MATCH(A145,Average_Distance_by_kilometre_grouping_for_mode_type[#Headers],0),0)</f>
        <v>5</v>
      </c>
      <c r="K145" s="77">
        <f>VLOOKUP(C145, Adjustment_factor_for_distance_based_on_mode[#All],MATCH(A145, Adjustment_factor_for_distance_based_on_mode[#Headers],0),0)</f>
        <v>0.42307692307692307</v>
      </c>
      <c r="L145" s="78">
        <f>VLOOKUP($L$2, Total_Journeys_Per_Year[#All],MATCH(A145, Total_Journeys_Per_Year[#Headers],0),0)</f>
        <v>2940102000.5779233</v>
      </c>
      <c r="M145" s="35">
        <f t="shared" si="2"/>
        <v>20213201.253973223</v>
      </c>
      <c r="N145" s="35">
        <f>VLOOKUP($N$2, Private_Vehicle_Kilometres_Car_Stock[#All],MATCH(A145, Private_Vehicle_Kilometres_Car_Stock[#Headers],0),0)</f>
        <v>32323075433</v>
      </c>
    </row>
    <row r="146" spans="1:14" x14ac:dyDescent="0.25">
      <c r="A146" s="79" t="s">
        <v>34</v>
      </c>
      <c r="B146" s="13" t="s">
        <v>182</v>
      </c>
      <c r="C146" s="14" t="s">
        <v>9</v>
      </c>
      <c r="D146" s="5">
        <f>VLOOKUP(B146,Percentage_distribution_of_journey_distance_for_all_regions[#All],MATCH(A146,Percentage_distribution_of_journey_distance_for_all_regions[#Headers],0),0)/100</f>
        <v>6.4000000000000001E-2</v>
      </c>
      <c r="E146" s="71">
        <f>IF(B146="&lt;2 kilometres",1,0)*VLOOKUP(C146, Percentage_dist_journeys_by_mode_and_distance_to_2km[#All],MATCH(A146, Percentage_dist_journeys_by_mode_and_distance_to_2km[#Headers],0),0)/100</f>
        <v>0</v>
      </c>
      <c r="F146" s="4">
        <f>IF(B146="2-4 kilometres",1,0)*VLOOKUP(C146, Percentage_dist_journeys_by_mode_and_distance_2_to_4km[#All],MATCH(A146, Percentage_dist_journeys_by_mode_and_distance_2_to_4km[#Headers],0),0)/100</f>
        <v>0</v>
      </c>
      <c r="G146" s="72">
        <f>IF(B146="4-6 kilometres",1,0)*VLOOKUP(C146, Percentage_dist_journeys_by_mode_and_distance_4_to_6km[#All],MATCH(A146, Percentage_dist_journeys_by_mode_and_distance_4_to_6km[#Headers],0),0)/100</f>
        <v>0</v>
      </c>
      <c r="H146" s="4">
        <f>IF(B146="6-8 kilometres",1,0)*VLOOKUP(C146, Percentage_dist_journeys_by_mode_and_distance_6_to_8km[#All],MATCH(A146, Percentage_dist_journeys_by_mode_and_distance_6_to_8km[#Headers],0),0)/100</f>
        <v>2.4E-2</v>
      </c>
      <c r="I146" s="72">
        <f>IF(B146="8+ kilometres",1,0)*VLOOKUP(C146, Percentage_dist_journeys_by_mode_and_distance_8km[#All],MATCH(A146, Percentage_dist_journeys_by_mode_and_distance_8km[#Headers],0),0)/100</f>
        <v>0</v>
      </c>
      <c r="J146" s="73">
        <f>VLOOKUP(B146,Average_Distance_by_kilometre_grouping_for_mode_type[#All],MATCH(A146,Average_Distance_by_kilometre_grouping_for_mode_type[#Headers],0),0)</f>
        <v>7</v>
      </c>
      <c r="K146" s="77">
        <f>VLOOKUP(C146, Adjustment_factor_for_distance_based_on_mode[#All],MATCH(A146, Adjustment_factor_for_distance_based_on_mode[#Headers],0),0)</f>
        <v>0.42307692307692307</v>
      </c>
      <c r="L146" s="78">
        <f>VLOOKUP($L$2, Total_Journeys_Per_Year[#All],MATCH(A146, Total_Journeys_Per_Year[#Headers],0),0)</f>
        <v>2940102000.5779233</v>
      </c>
      <c r="M146" s="35">
        <f t="shared" si="2"/>
        <v>13374297.838936621</v>
      </c>
      <c r="N146" s="35">
        <f>VLOOKUP($N$2, Private_Vehicle_Kilometres_Car_Stock[#All],MATCH(A146, Private_Vehicle_Kilometres_Car_Stock[#Headers],0),0)</f>
        <v>32323075433</v>
      </c>
    </row>
    <row r="147" spans="1:14" x14ac:dyDescent="0.25">
      <c r="A147" s="79" t="s">
        <v>34</v>
      </c>
      <c r="B147" s="13" t="s">
        <v>1</v>
      </c>
      <c r="C147" s="14" t="s">
        <v>9</v>
      </c>
      <c r="D147" s="5">
        <f>VLOOKUP(B147,Percentage_distribution_of_journey_distance_for_all_regions[#All],MATCH(A147,Percentage_distribution_of_journey_distance_for_all_regions[#Headers],0),0)/100</f>
        <v>0.41899999999999998</v>
      </c>
      <c r="E147" s="71">
        <f>IF(B147="&lt;2 kilometres",1,0)*VLOOKUP(C147, Percentage_dist_journeys_by_mode_and_distance_to_2km[#All],MATCH(A147, Percentage_dist_journeys_by_mode_and_distance_to_2km[#Headers],0),0)/100</f>
        <v>0</v>
      </c>
      <c r="F147" s="4">
        <f>IF(B147="2-4 kilometres",1,0)*VLOOKUP(C147, Percentage_dist_journeys_by_mode_and_distance_2_to_4km[#All],MATCH(A147, Percentage_dist_journeys_by_mode_and_distance_2_to_4km[#Headers],0),0)/100</f>
        <v>0</v>
      </c>
      <c r="G147" s="72">
        <f>IF(B147="4-6 kilometres",1,0)*VLOOKUP(C147, Percentage_dist_journeys_by_mode_and_distance_4_to_6km[#All],MATCH(A147, Percentage_dist_journeys_by_mode_and_distance_4_to_6km[#Headers],0),0)/100</f>
        <v>0</v>
      </c>
      <c r="H147" s="4">
        <f>IF(B147="6-8 kilometres",1,0)*VLOOKUP(C147, Percentage_dist_journeys_by_mode_and_distance_6_to_8km[#All],MATCH(A147, Percentage_dist_journeys_by_mode_and_distance_6_to_8km[#Headers],0),0)/100</f>
        <v>0</v>
      </c>
      <c r="I147" s="72">
        <f>IF(B147="8+ kilometres",1,0)*VLOOKUP(C147, Percentage_dist_journeys_by_mode_and_distance_8km[#All],MATCH(A147, Percentage_dist_journeys_by_mode_and_distance_8km[#Headers],0),0)/100</f>
        <v>6.9999999999999993E-3</v>
      </c>
      <c r="J147" s="73">
        <f>VLOOKUP(B147,Average_Distance_by_kilometre_grouping_for_mode_type[#All],MATCH(A147,Average_Distance_by_kilometre_grouping_for_mode_type[#Headers],0),0)</f>
        <v>38.99</v>
      </c>
      <c r="K147" s="77">
        <f>VLOOKUP(C147, Adjustment_factor_for_distance_based_on_mode[#All],MATCH(A147, Adjustment_factor_for_distance_based_on_mode[#Headers],0),0)</f>
        <v>0.42307692307692307</v>
      </c>
      <c r="L147" s="78">
        <f>VLOOKUP($L$2, Total_Journeys_Per_Year[#All],MATCH(A147, Total_Journeys_Per_Year[#Headers],0),0)</f>
        <v>2940102000.5779233</v>
      </c>
      <c r="M147" s="35">
        <f t="shared" si="2"/>
        <v>142248282.99356651</v>
      </c>
      <c r="N147" s="35">
        <f>VLOOKUP($N$2, Private_Vehicle_Kilometres_Car_Stock[#All],MATCH(A147, Private_Vehicle_Kilometres_Car_Stock[#Headers],0),0)</f>
        <v>32323075433</v>
      </c>
    </row>
    <row r="148" spans="1:14" x14ac:dyDescent="0.25">
      <c r="A148" s="79" t="s">
        <v>34</v>
      </c>
      <c r="B148" s="13" t="s">
        <v>12</v>
      </c>
      <c r="C148" s="14" t="s">
        <v>10</v>
      </c>
      <c r="D148" s="5">
        <f>VLOOKUP(B148,Percentage_distribution_of_journey_distance_for_all_regions[#All],MATCH(A148,Percentage_distribution_of_journey_distance_for_all_regions[#Headers],0),0)/100</f>
        <v>0.188</v>
      </c>
      <c r="E148" s="71">
        <f>IF(B148="&lt;2 kilometres",1,0)*VLOOKUP(C148, Percentage_dist_journeys_by_mode_and_distance_to_2km[#All],MATCH(A148, Percentage_dist_journeys_by_mode_and_distance_to_2km[#Headers],0),0)/100</f>
        <v>0</v>
      </c>
      <c r="F148" s="4">
        <f>IF(B148="2-4 kilometres",1,0)*VLOOKUP(C148, Percentage_dist_journeys_by_mode_and_distance_2_to_4km[#All],MATCH(A148, Percentage_dist_journeys_by_mode_and_distance_2_to_4km[#Headers],0),0)/100</f>
        <v>0</v>
      </c>
      <c r="G148" s="72">
        <f>IF(B148="4-6 kilometres",1,0)*VLOOKUP(C148, Percentage_dist_journeys_by_mode_and_distance_4_to_6km[#All],MATCH(A148, Percentage_dist_journeys_by_mode_and_distance_4_to_6km[#Headers],0),0)/100</f>
        <v>0</v>
      </c>
      <c r="H148" s="4">
        <f>IF(B148="6-8 kilometres",1,0)*VLOOKUP(C148, Percentage_dist_journeys_by_mode_and_distance_6_to_8km[#All],MATCH(A148, Percentage_dist_journeys_by_mode_and_distance_6_to_8km[#Headers],0),0)/100</f>
        <v>0</v>
      </c>
      <c r="I148" s="72">
        <f>IF(B148="8+ kilometres",1,0)*VLOOKUP(C148, Percentage_dist_journeys_by_mode_and_distance_8km[#All],MATCH(A148, Percentage_dist_journeys_by_mode_and_distance_8km[#Headers],0),0)/100</f>
        <v>0</v>
      </c>
      <c r="J148" s="73">
        <f>VLOOKUP(B148,Average_Distance_by_kilometre_grouping_for_mode_type[#All],MATCH(A148,Average_Distance_by_kilometre_grouping_for_mode_type[#Headers],0),0)</f>
        <v>1</v>
      </c>
      <c r="K148" s="77">
        <f>VLOOKUP(C148, Adjustment_factor_for_distance_based_on_mode[#All],MATCH(A148, Adjustment_factor_for_distance_based_on_mode[#Headers],0),0)</f>
        <v>2.0897435897435899</v>
      </c>
      <c r="L148" s="78">
        <f>VLOOKUP($L$2, Total_Journeys_Per_Year[#All],MATCH(A148, Total_Journeys_Per_Year[#Headers],0),0)</f>
        <v>2940102000.5779233</v>
      </c>
      <c r="M148" s="35">
        <f t="shared" si="2"/>
        <v>0</v>
      </c>
      <c r="N148" s="35">
        <f>VLOOKUP($N$2, Private_Vehicle_Kilometres_Car_Stock[#All],MATCH(A148, Private_Vehicle_Kilometres_Car_Stock[#Headers],0),0)</f>
        <v>32323075433</v>
      </c>
    </row>
    <row r="149" spans="1:14" x14ac:dyDescent="0.25">
      <c r="A149" s="79" t="s">
        <v>34</v>
      </c>
      <c r="B149" s="13" t="s">
        <v>181</v>
      </c>
      <c r="C149" s="14" t="s">
        <v>10</v>
      </c>
      <c r="D149" s="5">
        <f>VLOOKUP(B149,Percentage_distribution_of_journey_distance_for_all_regions[#All],MATCH(A149,Percentage_distribution_of_journey_distance_for_all_regions[#Headers],0),0)/100</f>
        <v>0.2</v>
      </c>
      <c r="E149" s="71">
        <f>IF(B149="&lt;2 kilometres",1,0)*VLOOKUP(C149, Percentage_dist_journeys_by_mode_and_distance_to_2km[#All],MATCH(A149, Percentage_dist_journeys_by_mode_and_distance_to_2km[#Headers],0),0)/100</f>
        <v>0</v>
      </c>
      <c r="F149" s="4">
        <f>IF(B149="2-4 kilometres",1,0)*VLOOKUP(C149, Percentage_dist_journeys_by_mode_and_distance_2_to_4km[#All],MATCH(A149, Percentage_dist_journeys_by_mode_and_distance_2_to_4km[#Headers],0),0)/100</f>
        <v>5.0000000000000001E-3</v>
      </c>
      <c r="G149" s="72">
        <f>IF(B149="4-6 kilometres",1,0)*VLOOKUP(C149, Percentage_dist_journeys_by_mode_and_distance_4_to_6km[#All],MATCH(A149, Percentage_dist_journeys_by_mode_and_distance_4_to_6km[#Headers],0),0)/100</f>
        <v>0</v>
      </c>
      <c r="H149" s="4">
        <f>IF(B149="6-8 kilometres",1,0)*VLOOKUP(C149, Percentage_dist_journeys_by_mode_and_distance_6_to_8km[#All],MATCH(A149, Percentage_dist_journeys_by_mode_and_distance_6_to_8km[#Headers],0),0)/100</f>
        <v>0</v>
      </c>
      <c r="I149" s="72">
        <f>IF(B149="8+ kilometres",1,0)*VLOOKUP(C149, Percentage_dist_journeys_by_mode_and_distance_8km[#All],MATCH(A149, Percentage_dist_journeys_by_mode_and_distance_8km[#Headers],0),0)/100</f>
        <v>0</v>
      </c>
      <c r="J149" s="73">
        <f>VLOOKUP(B149,Average_Distance_by_kilometre_grouping_for_mode_type[#All],MATCH(A149,Average_Distance_by_kilometre_grouping_for_mode_type[#Headers],0),0)</f>
        <v>3</v>
      </c>
      <c r="K149" s="77">
        <f>VLOOKUP(C149, Adjustment_factor_for_distance_based_on_mode[#All],MATCH(A149, Adjustment_factor_for_distance_based_on_mode[#Headers],0),0)</f>
        <v>2.0897435897435899</v>
      </c>
      <c r="L149" s="78">
        <f>VLOOKUP($L$2, Total_Journeys_Per_Year[#All],MATCH(A149, Total_Journeys_Per_Year[#Headers],0),0)</f>
        <v>2940102000.5779233</v>
      </c>
      <c r="M149" s="35">
        <f t="shared" si="2"/>
        <v>18432177.926700059</v>
      </c>
      <c r="N149" s="35">
        <f>VLOOKUP($N$2, Private_Vehicle_Kilometres_Car_Stock[#All],MATCH(A149, Private_Vehicle_Kilometres_Car_Stock[#Headers],0),0)</f>
        <v>32323075433</v>
      </c>
    </row>
    <row r="150" spans="1:14" x14ac:dyDescent="0.25">
      <c r="A150" s="79" t="s">
        <v>34</v>
      </c>
      <c r="B150" s="13" t="s">
        <v>180</v>
      </c>
      <c r="C150" s="14" t="s">
        <v>10</v>
      </c>
      <c r="D150" s="5">
        <f>VLOOKUP(B150,Percentage_distribution_of_journey_distance_for_all_regions[#All],MATCH(A150,Percentage_distribution_of_journey_distance_for_all_regions[#Headers],0),0)/100</f>
        <v>0.13</v>
      </c>
      <c r="E150" s="71">
        <f>IF(B150="&lt;2 kilometres",1,0)*VLOOKUP(C150, Percentage_dist_journeys_by_mode_and_distance_to_2km[#All],MATCH(A150, Percentage_dist_journeys_by_mode_and_distance_to_2km[#Headers],0),0)/100</f>
        <v>0</v>
      </c>
      <c r="F150" s="4">
        <f>IF(B150="2-4 kilometres",1,0)*VLOOKUP(C150, Percentage_dist_journeys_by_mode_and_distance_2_to_4km[#All],MATCH(A150, Percentage_dist_journeys_by_mode_and_distance_2_to_4km[#Headers],0),0)/100</f>
        <v>0</v>
      </c>
      <c r="G150" s="72">
        <f>IF(B150="4-6 kilometres",1,0)*VLOOKUP(C150, Percentage_dist_journeys_by_mode_and_distance_4_to_6km[#All],MATCH(A150, Percentage_dist_journeys_by_mode_and_distance_4_to_6km[#Headers],0),0)/100</f>
        <v>8.0000000000000002E-3</v>
      </c>
      <c r="H150" s="4">
        <f>IF(B150="6-8 kilometres",1,0)*VLOOKUP(C150, Percentage_dist_journeys_by_mode_and_distance_6_to_8km[#All],MATCH(A150, Percentage_dist_journeys_by_mode_and_distance_6_to_8km[#Headers],0),0)/100</f>
        <v>0</v>
      </c>
      <c r="I150" s="72">
        <f>IF(B150="8+ kilometres",1,0)*VLOOKUP(C150, Percentage_dist_journeys_by_mode_and_distance_8km[#All],MATCH(A150, Percentage_dist_journeys_by_mode_and_distance_8km[#Headers],0),0)/100</f>
        <v>0</v>
      </c>
      <c r="J150" s="73">
        <f>VLOOKUP(B150,Average_Distance_by_kilometre_grouping_for_mode_type[#All],MATCH(A150,Average_Distance_by_kilometre_grouping_for_mode_type[#Headers],0),0)</f>
        <v>5</v>
      </c>
      <c r="K150" s="77">
        <f>VLOOKUP(C150, Adjustment_factor_for_distance_based_on_mode[#All],MATCH(A150, Adjustment_factor_for_distance_based_on_mode[#Headers],0),0)</f>
        <v>2.0897435897435899</v>
      </c>
      <c r="L150" s="78">
        <f>VLOOKUP($L$2, Total_Journeys_Per_Year[#All],MATCH(A150, Total_Journeys_Per_Year[#Headers],0),0)</f>
        <v>2940102000.5779233</v>
      </c>
      <c r="M150" s="35">
        <f t="shared" si="2"/>
        <v>31949108.406280104</v>
      </c>
      <c r="N150" s="35">
        <f>VLOOKUP($N$2, Private_Vehicle_Kilometres_Car_Stock[#All],MATCH(A150, Private_Vehicle_Kilometres_Car_Stock[#Headers],0),0)</f>
        <v>32323075433</v>
      </c>
    </row>
    <row r="151" spans="1:14" x14ac:dyDescent="0.25">
      <c r="A151" s="79" t="s">
        <v>34</v>
      </c>
      <c r="B151" s="13" t="s">
        <v>182</v>
      </c>
      <c r="C151" s="14" t="s">
        <v>10</v>
      </c>
      <c r="D151" s="5">
        <f>VLOOKUP(B151,Percentage_distribution_of_journey_distance_for_all_regions[#All],MATCH(A151,Percentage_distribution_of_journey_distance_for_all_regions[#Headers],0),0)/100</f>
        <v>6.4000000000000001E-2</v>
      </c>
      <c r="E151" s="71">
        <f>IF(B151="&lt;2 kilometres",1,0)*VLOOKUP(C151, Percentage_dist_journeys_by_mode_and_distance_to_2km[#All],MATCH(A151, Percentage_dist_journeys_by_mode_and_distance_to_2km[#Headers],0),0)/100</f>
        <v>0</v>
      </c>
      <c r="F151" s="4">
        <f>IF(B151="2-4 kilometres",1,0)*VLOOKUP(C151, Percentage_dist_journeys_by_mode_and_distance_2_to_4km[#All],MATCH(A151, Percentage_dist_journeys_by_mode_and_distance_2_to_4km[#Headers],0),0)/100</f>
        <v>0</v>
      </c>
      <c r="G151" s="72">
        <f>IF(B151="4-6 kilometres",1,0)*VLOOKUP(C151, Percentage_dist_journeys_by_mode_and_distance_4_to_6km[#All],MATCH(A151, Percentage_dist_journeys_by_mode_and_distance_4_to_6km[#Headers],0),0)/100</f>
        <v>0</v>
      </c>
      <c r="H151" s="4">
        <f>IF(B151="6-8 kilometres",1,0)*VLOOKUP(C151, Percentage_dist_journeys_by_mode_and_distance_6_to_8km[#All],MATCH(A151, Percentage_dist_journeys_by_mode_and_distance_6_to_8km[#Headers],0),0)/100</f>
        <v>1.8000000000000002E-2</v>
      </c>
      <c r="I151" s="72">
        <f>IF(B151="8+ kilometres",1,0)*VLOOKUP(C151, Percentage_dist_journeys_by_mode_and_distance_8km[#All],MATCH(A151, Percentage_dist_journeys_by_mode_and_distance_8km[#Headers],0),0)/100</f>
        <v>0</v>
      </c>
      <c r="J151" s="73">
        <f>VLOOKUP(B151,Average_Distance_by_kilometre_grouping_for_mode_type[#All],MATCH(A151,Average_Distance_by_kilometre_grouping_for_mode_type[#Headers],0),0)</f>
        <v>7</v>
      </c>
      <c r="K151" s="77">
        <f>VLOOKUP(C151, Adjustment_factor_for_distance_based_on_mode[#All],MATCH(A151, Adjustment_factor_for_distance_based_on_mode[#Headers],0),0)</f>
        <v>2.0897435897435899</v>
      </c>
      <c r="L151" s="78">
        <f>VLOOKUP($L$2, Total_Journeys_Per_Year[#All],MATCH(A151, Total_Journeys_Per_Year[#Headers],0),0)</f>
        <v>2940102000.5779233</v>
      </c>
      <c r="M151" s="35">
        <f t="shared" si="2"/>
        <v>49545694.266969763</v>
      </c>
      <c r="N151" s="35">
        <f>VLOOKUP($N$2, Private_Vehicle_Kilometres_Car_Stock[#All],MATCH(A151, Private_Vehicle_Kilometres_Car_Stock[#Headers],0),0)</f>
        <v>32323075433</v>
      </c>
    </row>
    <row r="152" spans="1:14" x14ac:dyDescent="0.25">
      <c r="A152" s="79" t="s">
        <v>34</v>
      </c>
      <c r="B152" s="13" t="s">
        <v>1</v>
      </c>
      <c r="C152" s="14" t="s">
        <v>10</v>
      </c>
      <c r="D152" s="5">
        <f>VLOOKUP(B152,Percentage_distribution_of_journey_distance_for_all_regions[#All],MATCH(A152,Percentage_distribution_of_journey_distance_for_all_regions[#Headers],0),0)/100</f>
        <v>0.41899999999999998</v>
      </c>
      <c r="E152" s="71">
        <f>IF(B152="&lt;2 kilometres",1,0)*VLOOKUP(C152, Percentage_dist_journeys_by_mode_and_distance_to_2km[#All],MATCH(A152, Percentage_dist_journeys_by_mode_and_distance_to_2km[#Headers],0),0)/100</f>
        <v>0</v>
      </c>
      <c r="F152" s="4">
        <f>IF(B152="2-4 kilometres",1,0)*VLOOKUP(C152, Percentage_dist_journeys_by_mode_and_distance_2_to_4km[#All],MATCH(A152, Percentage_dist_journeys_by_mode_and_distance_2_to_4km[#Headers],0),0)/100</f>
        <v>0</v>
      </c>
      <c r="G152" s="72">
        <f>IF(B152="4-6 kilometres",1,0)*VLOOKUP(C152, Percentage_dist_journeys_by_mode_and_distance_4_to_6km[#All],MATCH(A152, Percentage_dist_journeys_by_mode_and_distance_4_to_6km[#Headers],0),0)/100</f>
        <v>0</v>
      </c>
      <c r="H152" s="4">
        <f>IF(B152="6-8 kilometres",1,0)*VLOOKUP(C152, Percentage_dist_journeys_by_mode_and_distance_6_to_8km[#All],MATCH(A152, Percentage_dist_journeys_by_mode_and_distance_6_to_8km[#Headers],0),0)/100</f>
        <v>0</v>
      </c>
      <c r="I152" s="72">
        <f>IF(B152="8+ kilometres",1,0)*VLOOKUP(C152, Percentage_dist_journeys_by_mode_and_distance_8km[#All],MATCH(A152, Percentage_dist_journeys_by_mode_and_distance_8km[#Headers],0),0)/100</f>
        <v>2.6000000000000002E-2</v>
      </c>
      <c r="J152" s="73">
        <f>VLOOKUP(B152,Average_Distance_by_kilometre_grouping_for_mode_type[#All],MATCH(A152,Average_Distance_by_kilometre_grouping_for_mode_type[#Headers],0),0)</f>
        <v>38.99</v>
      </c>
      <c r="K152" s="77">
        <f>VLOOKUP(C152, Adjustment_factor_for_distance_based_on_mode[#All],MATCH(A152, Adjustment_factor_for_distance_based_on_mode[#Headers],0),0)</f>
        <v>2.0897435897435899</v>
      </c>
      <c r="L152" s="78">
        <f>VLOOKUP($L$2, Total_Journeys_Per_Year[#All],MATCH(A152, Total_Journeys_Per_Year[#Headers],0),0)</f>
        <v>2940102000.5779233</v>
      </c>
      <c r="M152" s="35">
        <f t="shared" si="2"/>
        <v>2609732568.5140047</v>
      </c>
      <c r="N152" s="35">
        <f>VLOOKUP($N$2, Private_Vehicle_Kilometres_Car_Stock[#All],MATCH(A152, Private_Vehicle_Kilometres_Car_Stock[#Headers],0),0)</f>
        <v>32323075433</v>
      </c>
    </row>
    <row r="153" spans="1:14" x14ac:dyDescent="0.25">
      <c r="A153" s="79" t="s">
        <v>34</v>
      </c>
      <c r="B153" s="13" t="s">
        <v>12</v>
      </c>
      <c r="C153" s="14" t="s">
        <v>11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Percentage_dist_journeys_by_mode_and_distance_to_2km[#All],MATCH(A153, Percentage_dist_journeys_by_mode_and_distance_to_2km[#Headers],0),0)/100</f>
        <v>6.9999999999999993E-3</v>
      </c>
      <c r="F153" s="4">
        <f>IF(B153="2-4 kilometres",1,0)*VLOOKUP(C153, Percentage_dist_journeys_by_mode_and_distance_2_to_4km[#All],MATCH(A153, Percentage_dist_journeys_by_mode_and_distance_2_to_4km[#Headers],0),0)/100</f>
        <v>0</v>
      </c>
      <c r="G153" s="72">
        <f>IF(B153="4-6 kilometres",1,0)*VLOOKUP(C153, Percentage_dist_journeys_by_mode_and_distance_4_to_6km[#All],MATCH(A153, Percentage_dist_journeys_by_mode_and_distance_4_to_6km[#Headers],0),0)/100</f>
        <v>0</v>
      </c>
      <c r="H153" s="4">
        <f>IF(B153="6-8 kilometres",1,0)*VLOOKUP(C153, Percentage_dist_journeys_by_mode_and_distance_6_to_8km[#All],MATCH(A153, Percentage_dist_journeys_by_mode_and_distance_6_to_8km[#Headers],0),0)/100</f>
        <v>0</v>
      </c>
      <c r="I153" s="72">
        <f>IF(B153="8+ kilometres",1,0)*VLOOKUP(C153, Percentage_dist_journeys_by_mode_and_distance_8km[#All],MATCH(A153, Percentage_dist_journeys_by_mode_and_distance_8km[#Headers],0),0)/100</f>
        <v>0</v>
      </c>
      <c r="J153" s="73">
        <f>VLOOKUP(B153,Average_Distance_by_kilometre_grouping_for_mode_type[#All],MATCH(A153,Average_Distance_by_kilometre_grouping_for_mode_type[#Headers],0),0)</f>
        <v>1</v>
      </c>
      <c r="K153" s="77">
        <f>VLOOKUP(C153, Adjustment_factor_for_distance_based_on_mode[#All],MATCH(A153, Adjustment_factor_for_distance_based_on_mode[#Headers],0),0)</f>
        <v>0.44871794871794873</v>
      </c>
      <c r="L153" s="78">
        <f>VLOOKUP($L$2, Total_Journeys_Per_Year[#All],MATCH(A153, Total_Journeys_Per_Year[#Headers],0),0)</f>
        <v>2940102000.5779233</v>
      </c>
      <c r="M153" s="35">
        <f t="shared" si="2"/>
        <v>1736167.9249566558</v>
      </c>
      <c r="N153" s="35">
        <f>VLOOKUP($N$2, Private_Vehicle_Kilometres_Car_Stock[#All],MATCH(A153, Private_Vehicle_Kilometres_Car_Stock[#Headers],0),0)</f>
        <v>32323075433</v>
      </c>
    </row>
    <row r="154" spans="1:14" x14ac:dyDescent="0.25">
      <c r="A154" s="79" t="s">
        <v>34</v>
      </c>
      <c r="B154" s="13" t="s">
        <v>181</v>
      </c>
      <c r="C154" s="14" t="s">
        <v>11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Percentage_dist_journeys_by_mode_and_distance_to_2km[#All],MATCH(A154, Percentage_dist_journeys_by_mode_and_distance_to_2km[#Headers],0),0)/100</f>
        <v>0</v>
      </c>
      <c r="F154" s="4">
        <f>IF(B154="2-4 kilometres",1,0)*VLOOKUP(C154, Percentage_dist_journeys_by_mode_and_distance_2_to_4km[#All],MATCH(A154, Percentage_dist_journeys_by_mode_and_distance_2_to_4km[#Headers],0),0)/100</f>
        <v>0.01</v>
      </c>
      <c r="G154" s="72">
        <f>IF(B154="4-6 kilometres",1,0)*VLOOKUP(C154, Percentage_dist_journeys_by_mode_and_distance_4_to_6km[#All],MATCH(A154, Percentage_dist_journeys_by_mode_and_distance_4_to_6km[#Headers],0),0)/100</f>
        <v>0</v>
      </c>
      <c r="H154" s="4">
        <f>IF(B154="6-8 kilometres",1,0)*VLOOKUP(C154, Percentage_dist_journeys_by_mode_and_distance_6_to_8km[#All],MATCH(A154, Percentage_dist_journeys_by_mode_and_distance_6_to_8km[#Headers],0),0)/100</f>
        <v>0</v>
      </c>
      <c r="I154" s="72">
        <f>IF(B154="8+ kilometres",1,0)*VLOOKUP(C154, Percentage_dist_journeys_by_mode_and_distance_8km[#All],MATCH(A154, Percentage_dist_journeys_by_mode_and_distance_8km[#Headers],0),0)/100</f>
        <v>0</v>
      </c>
      <c r="J154" s="73">
        <f>VLOOKUP(B154,Average_Distance_by_kilometre_grouping_for_mode_type[#All],MATCH(A154,Average_Distance_by_kilometre_grouping_for_mode_type[#Headers],0),0)</f>
        <v>3</v>
      </c>
      <c r="K154" s="77">
        <f>VLOOKUP(C154, Adjustment_factor_for_distance_based_on_mode[#All],MATCH(A154, Adjustment_factor_for_distance_based_on_mode[#Headers],0),0)</f>
        <v>0.44871794871794873</v>
      </c>
      <c r="L154" s="78">
        <f>VLOOKUP($L$2, Total_Journeys_Per_Year[#All],MATCH(A154, Total_Journeys_Per_Year[#Headers],0),0)</f>
        <v>2940102000.5779233</v>
      </c>
      <c r="M154" s="35">
        <f t="shared" si="2"/>
        <v>7915659.2323251795</v>
      </c>
      <c r="N154" s="35">
        <f>VLOOKUP($N$2, Private_Vehicle_Kilometres_Car_Stock[#All],MATCH(A154, Private_Vehicle_Kilometres_Car_Stock[#Headers],0),0)</f>
        <v>32323075433</v>
      </c>
    </row>
    <row r="155" spans="1:14" x14ac:dyDescent="0.25">
      <c r="A155" s="79" t="s">
        <v>34</v>
      </c>
      <c r="B155" s="13" t="s">
        <v>180</v>
      </c>
      <c r="C155" s="14" t="s">
        <v>11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Percentage_dist_journeys_by_mode_and_distance_to_2km[#All],MATCH(A155, Percentage_dist_journeys_by_mode_and_distance_to_2km[#Headers],0),0)/100</f>
        <v>0</v>
      </c>
      <c r="F155" s="4">
        <f>IF(B155="2-4 kilometres",1,0)*VLOOKUP(C155, Percentage_dist_journeys_by_mode_and_distance_2_to_4km[#All],MATCH(A155, Percentage_dist_journeys_by_mode_and_distance_2_to_4km[#Headers],0),0)/100</f>
        <v>0</v>
      </c>
      <c r="G155" s="72">
        <f>IF(B155="4-6 kilometres",1,0)*VLOOKUP(C155, Percentage_dist_journeys_by_mode_and_distance_4_to_6km[#All],MATCH(A155, Percentage_dist_journeys_by_mode_and_distance_4_to_6km[#Headers],0),0)/100</f>
        <v>1.4999999999999999E-2</v>
      </c>
      <c r="H155" s="4">
        <f>IF(B155="6-8 kilometres",1,0)*VLOOKUP(C155, Percentage_dist_journeys_by_mode_and_distance_6_to_8km[#All],MATCH(A155, Percentage_dist_journeys_by_mode_and_distance_6_to_8km[#Headers],0),0)/100</f>
        <v>0</v>
      </c>
      <c r="I155" s="72">
        <f>IF(B155="8+ kilometres",1,0)*VLOOKUP(C155, Percentage_dist_journeys_by_mode_and_distance_8km[#All],MATCH(A155, Percentage_dist_journeys_by_mode_and_distance_8km[#Headers],0),0)/100</f>
        <v>0</v>
      </c>
      <c r="J155" s="73">
        <f>VLOOKUP(B155,Average_Distance_by_kilometre_grouping_for_mode_type[#All],MATCH(A155,Average_Distance_by_kilometre_grouping_for_mode_type[#Headers],0),0)</f>
        <v>5</v>
      </c>
      <c r="K155" s="77">
        <f>VLOOKUP(C155, Adjustment_factor_for_distance_based_on_mode[#All],MATCH(A155, Adjustment_factor_for_distance_based_on_mode[#Headers],0),0)</f>
        <v>0.44871794871794873</v>
      </c>
      <c r="L155" s="78">
        <f>VLOOKUP($L$2, Total_Journeys_Per_Year[#All],MATCH(A155, Total_Journeys_Per_Year[#Headers],0),0)</f>
        <v>2940102000.5779233</v>
      </c>
      <c r="M155" s="35">
        <f t="shared" si="2"/>
        <v>12862946.252528416</v>
      </c>
      <c r="N155" s="35">
        <f>VLOOKUP($N$2, Private_Vehicle_Kilometres_Car_Stock[#All],MATCH(A155, Private_Vehicle_Kilometres_Car_Stock[#Headers],0),0)</f>
        <v>32323075433</v>
      </c>
    </row>
    <row r="156" spans="1:14" x14ac:dyDescent="0.25">
      <c r="A156" s="79" t="s">
        <v>34</v>
      </c>
      <c r="B156" s="13" t="s">
        <v>182</v>
      </c>
      <c r="C156" s="14" t="s">
        <v>11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Percentage_dist_journeys_by_mode_and_distance_to_2km[#All],MATCH(A156, Percentage_dist_journeys_by_mode_and_distance_to_2km[#Headers],0),0)/100</f>
        <v>0</v>
      </c>
      <c r="F156" s="4">
        <f>IF(B156="2-4 kilometres",1,0)*VLOOKUP(C156, Percentage_dist_journeys_by_mode_and_distance_2_to_4km[#All],MATCH(A156, Percentage_dist_journeys_by_mode_and_distance_2_to_4km[#Headers],0),0)/100</f>
        <v>0</v>
      </c>
      <c r="G156" s="72">
        <f>IF(B156="4-6 kilometres",1,0)*VLOOKUP(C156, Percentage_dist_journeys_by_mode_and_distance_4_to_6km[#All],MATCH(A156, Percentage_dist_journeys_by_mode_and_distance_4_to_6km[#Headers],0),0)/100</f>
        <v>0</v>
      </c>
      <c r="H156" s="4">
        <f>IF(B156="6-8 kilometres",1,0)*VLOOKUP(C156, Percentage_dist_journeys_by_mode_and_distance_6_to_8km[#All],MATCH(A156, Percentage_dist_journeys_by_mode_and_distance_6_to_8km[#Headers],0),0)/100</f>
        <v>1.1000000000000001E-2</v>
      </c>
      <c r="I156" s="72">
        <f>IF(B156="8+ kilometres",1,0)*VLOOKUP(C156, Percentage_dist_journeys_by_mode_and_distance_8km[#All],MATCH(A156, Percentage_dist_journeys_by_mode_and_distance_8km[#Headers],0),0)/100</f>
        <v>0</v>
      </c>
      <c r="J156" s="73">
        <f>VLOOKUP(B156,Average_Distance_by_kilometre_grouping_for_mode_type[#All],MATCH(A156,Average_Distance_by_kilometre_grouping_for_mode_type[#Headers],0),0)</f>
        <v>7</v>
      </c>
      <c r="K156" s="77">
        <f>VLOOKUP(C156, Adjustment_factor_for_distance_based_on_mode[#All],MATCH(A156, Adjustment_factor_for_distance_based_on_mode[#Headers],0),0)</f>
        <v>0.44871794871794873</v>
      </c>
      <c r="L156" s="78">
        <f>VLOOKUP($L$2, Total_Journeys_Per_Year[#All],MATCH(A156, Total_Journeys_Per_Year[#Headers],0),0)</f>
        <v>2940102000.5779233</v>
      </c>
      <c r="M156" s="35">
        <f t="shared" si="2"/>
        <v>6501394.7828164138</v>
      </c>
      <c r="N156" s="35">
        <f>VLOOKUP($N$2, Private_Vehicle_Kilometres_Car_Stock[#All],MATCH(A156, Private_Vehicle_Kilometres_Car_Stock[#Headers],0),0)</f>
        <v>32323075433</v>
      </c>
    </row>
    <row r="157" spans="1:14" x14ac:dyDescent="0.25">
      <c r="A157" s="79" t="s">
        <v>34</v>
      </c>
      <c r="B157" s="13" t="s">
        <v>1</v>
      </c>
      <c r="C157" s="14" t="s">
        <v>11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Percentage_dist_journeys_by_mode_and_distance_to_2km[#All],MATCH(A157, Percentage_dist_journeys_by_mode_and_distance_to_2km[#Headers],0),0)/100</f>
        <v>0</v>
      </c>
      <c r="F157" s="4">
        <f>IF(B157="2-4 kilometres",1,0)*VLOOKUP(C157, Percentage_dist_journeys_by_mode_and_distance_2_to_4km[#All],MATCH(A157, Percentage_dist_journeys_by_mode_and_distance_2_to_4km[#Headers],0),0)/100</f>
        <v>0</v>
      </c>
      <c r="G157" s="72">
        <f>IF(B157="4-6 kilometres",1,0)*VLOOKUP(C157, Percentage_dist_journeys_by_mode_and_distance_4_to_6km[#All],MATCH(A157, Percentage_dist_journeys_by_mode_and_distance_4_to_6km[#Headers],0),0)/100</f>
        <v>0</v>
      </c>
      <c r="H157" s="4">
        <f>IF(B157="6-8 kilometres",1,0)*VLOOKUP(C157, Percentage_dist_journeys_by_mode_and_distance_6_to_8km[#All],MATCH(A157, Percentage_dist_journeys_by_mode_and_distance_6_to_8km[#Headers],0),0)/100</f>
        <v>0</v>
      </c>
      <c r="I157" s="72">
        <f>IF(B157="8+ kilometres",1,0)*VLOOKUP(C157, Percentage_dist_journeys_by_mode_and_distance_8km[#All],MATCH(A157, Percentage_dist_journeys_by_mode_and_distance_8km[#Headers],0),0)/100</f>
        <v>6.9999999999999993E-3</v>
      </c>
      <c r="J157" s="73">
        <f>VLOOKUP(B157,Average_Distance_by_kilometre_grouping_for_mode_type[#All],MATCH(A157,Average_Distance_by_kilometre_grouping_for_mode_type[#Headers],0),0)</f>
        <v>38.99</v>
      </c>
      <c r="K157" s="77">
        <f>VLOOKUP(C157, Adjustment_factor_for_distance_based_on_mode[#All],MATCH(A157, Adjustment_factor_for_distance_based_on_mode[#Headers],0),0)</f>
        <v>0.44871794871794873</v>
      </c>
      <c r="L157" s="78">
        <f>VLOOKUP($L$2, Total_Journeys_Per_Year[#All],MATCH(A157, Total_Journeys_Per_Year[#Headers],0),0)</f>
        <v>2940102000.5779233</v>
      </c>
      <c r="M157" s="35">
        <f t="shared" si="2"/>
        <v>150869391.05378267</v>
      </c>
      <c r="N157" s="35">
        <f>VLOOKUP($N$2, Private_Vehicle_Kilometres_Car_Stock[#All],MATCH(A157, Private_Vehicle_Kilometres_Car_Stock[#Headers],0),0)</f>
        <v>32323075433</v>
      </c>
    </row>
    <row r="158" spans="1:14" x14ac:dyDescent="0.25">
      <c r="A158" s="79" t="s">
        <v>34</v>
      </c>
      <c r="B158" s="13" t="s">
        <v>12</v>
      </c>
      <c r="C158" s="14" t="s">
        <v>90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Percentage_dist_journeys_by_mode_and_distance_to_2km[#All],MATCH(A158, Percentage_dist_journeys_by_mode_and_distance_to_2km[#Headers],0),0)/100</f>
        <v>1.3000000000000001E-2</v>
      </c>
      <c r="F158" s="4">
        <f>IF(B158="2-4 kilometres",1,0)*VLOOKUP(C158, Percentage_dist_journeys_by_mode_and_distance_2_to_4km[#All],MATCH(A158, Percentage_dist_journeys_by_mode_and_distance_2_to_4km[#Headers],0),0)/100</f>
        <v>0</v>
      </c>
      <c r="G158" s="72">
        <f>IF(B158="4-6 kilometres",1,0)*VLOOKUP(C158, Percentage_dist_journeys_by_mode_and_distance_4_to_6km[#All],MATCH(A158, Percentage_dist_journeys_by_mode_and_distance_4_to_6km[#Headers],0),0)/100</f>
        <v>0</v>
      </c>
      <c r="H158" s="4">
        <f>IF(B158="6-8 kilometres",1,0)*VLOOKUP(C158, Percentage_dist_journeys_by_mode_and_distance_6_to_8km[#All],MATCH(A158, Percentage_dist_journeys_by_mode_and_distance_6_to_8km[#Headers],0),0)/100</f>
        <v>0</v>
      </c>
      <c r="I158" s="72">
        <f>IF(B158="8+ kilometres",1,0)*VLOOKUP(C158, Percentage_dist_journeys_by_mode_and_distance_8km[#All],MATCH(A158, Percentage_dist_journeys_by_mode_and_distance_8km[#Headers],0),0)/100</f>
        <v>0</v>
      </c>
      <c r="J158" s="73">
        <f>VLOOKUP(B158,Average_Distance_by_kilometre_grouping_for_mode_type[#All],MATCH(A158,Average_Distance_by_kilometre_grouping_for_mode_type[#Headers],0),0)</f>
        <v>1</v>
      </c>
      <c r="K158" s="77">
        <f>VLOOKUP(C158, Adjustment_factor_for_distance_based_on_mode[#All],MATCH(A158, Adjustment_factor_for_distance_based_on_mode[#Headers],0),0)</f>
        <v>1.7692307692307694</v>
      </c>
      <c r="L158" s="78">
        <f>VLOOKUP($L$2, Total_Journeys_Per_Year[#All],MATCH(A158, Total_Journeys_Per_Year[#Headers],0),0)</f>
        <v>2940102000.5779233</v>
      </c>
      <c r="M158" s="35">
        <f t="shared" si="2"/>
        <v>12713001.050498944</v>
      </c>
      <c r="N158" s="35">
        <f>VLOOKUP($N$2, Private_Vehicle_Kilometres_Car_Stock[#All],MATCH(A158, Private_Vehicle_Kilometres_Car_Stock[#Headers],0),0)</f>
        <v>32323075433</v>
      </c>
    </row>
    <row r="159" spans="1:14" x14ac:dyDescent="0.25">
      <c r="A159" s="79" t="s">
        <v>34</v>
      </c>
      <c r="B159" s="13" t="s">
        <v>181</v>
      </c>
      <c r="C159" s="14" t="s">
        <v>90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Percentage_dist_journeys_by_mode_and_distance_to_2km[#All],MATCH(A159, Percentage_dist_journeys_by_mode_and_distance_to_2km[#Headers],0),0)/100</f>
        <v>0</v>
      </c>
      <c r="F159" s="4">
        <f>IF(B159="2-4 kilometres",1,0)*VLOOKUP(C159, Percentage_dist_journeys_by_mode_and_distance_2_to_4km[#All],MATCH(A159, Percentage_dist_journeys_by_mode_and_distance_2_to_4km[#Headers],0),0)/100</f>
        <v>1.3000000000000001E-2</v>
      </c>
      <c r="G159" s="72">
        <f>IF(B159="4-6 kilometres",1,0)*VLOOKUP(C159, Percentage_dist_journeys_by_mode_and_distance_4_to_6km[#All],MATCH(A159, Percentage_dist_journeys_by_mode_and_distance_4_to_6km[#Headers],0),0)/100</f>
        <v>0</v>
      </c>
      <c r="H159" s="4">
        <f>IF(B159="6-8 kilometres",1,0)*VLOOKUP(C159, Percentage_dist_journeys_by_mode_and_distance_6_to_8km[#All],MATCH(A159, Percentage_dist_journeys_by_mode_and_distance_6_to_8km[#Headers],0),0)/100</f>
        <v>0</v>
      </c>
      <c r="I159" s="72">
        <f>IF(B159="8+ kilometres",1,0)*VLOOKUP(C159, Percentage_dist_journeys_by_mode_and_distance_8km[#All],MATCH(A159, Percentage_dist_journeys_by_mode_and_distance_8km[#Headers],0),0)/100</f>
        <v>0</v>
      </c>
      <c r="J159" s="73">
        <f>VLOOKUP(B159,Average_Distance_by_kilometre_grouping_for_mode_type[#All],MATCH(A159,Average_Distance_by_kilometre_grouping_for_mode_type[#Headers],0),0)</f>
        <v>3</v>
      </c>
      <c r="K159" s="77">
        <f>VLOOKUP(C159, Adjustment_factor_for_distance_based_on_mode[#All],MATCH(A159, Adjustment_factor_for_distance_based_on_mode[#Headers],0),0)</f>
        <v>1.7692307692307694</v>
      </c>
      <c r="L159" s="78">
        <f>VLOOKUP($L$2, Total_Journeys_Per_Year[#All],MATCH(A159, Total_Journeys_Per_Year[#Headers],0),0)</f>
        <v>2940102000.5779233</v>
      </c>
      <c r="M159" s="35">
        <f t="shared" si="2"/>
        <v>40573407.607975349</v>
      </c>
      <c r="N159" s="35">
        <f>VLOOKUP($N$2, Private_Vehicle_Kilometres_Car_Stock[#All],MATCH(A159, Private_Vehicle_Kilometres_Car_Stock[#Headers],0),0)</f>
        <v>32323075433</v>
      </c>
    </row>
    <row r="160" spans="1:14" x14ac:dyDescent="0.25">
      <c r="A160" s="79" t="s">
        <v>34</v>
      </c>
      <c r="B160" s="13" t="s">
        <v>180</v>
      </c>
      <c r="C160" s="14" t="s">
        <v>90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Percentage_dist_journeys_by_mode_and_distance_to_2km[#All],MATCH(A160, Percentage_dist_journeys_by_mode_and_distance_to_2km[#Headers],0),0)/100</f>
        <v>0</v>
      </c>
      <c r="F160" s="4">
        <f>IF(B160="2-4 kilometres",1,0)*VLOOKUP(C160, Percentage_dist_journeys_by_mode_and_distance_2_to_4km[#All],MATCH(A160, Percentage_dist_journeys_by_mode_and_distance_2_to_4km[#Headers],0),0)/100</f>
        <v>0</v>
      </c>
      <c r="G160" s="72">
        <f>IF(B160="4-6 kilometres",1,0)*VLOOKUP(C160, Percentage_dist_journeys_by_mode_and_distance_4_to_6km[#All],MATCH(A160, Percentage_dist_journeys_by_mode_and_distance_4_to_6km[#Headers],0),0)/100</f>
        <v>2.2000000000000002E-2</v>
      </c>
      <c r="H160" s="4">
        <f>IF(B160="6-8 kilometres",1,0)*VLOOKUP(C160, Percentage_dist_journeys_by_mode_and_distance_6_to_8km[#All],MATCH(A160, Percentage_dist_journeys_by_mode_and_distance_6_to_8km[#Headers],0),0)/100</f>
        <v>0</v>
      </c>
      <c r="I160" s="72">
        <f>IF(B160="8+ kilometres",1,0)*VLOOKUP(C160, Percentage_dist_journeys_by_mode_and_distance_8km[#All],MATCH(A160, Percentage_dist_journeys_by_mode_and_distance_8km[#Headers],0),0)/100</f>
        <v>0</v>
      </c>
      <c r="J160" s="73">
        <f>VLOOKUP(B160,Average_Distance_by_kilometre_grouping_for_mode_type[#All],MATCH(A160,Average_Distance_by_kilometre_grouping_for_mode_type[#Headers],0),0)</f>
        <v>5</v>
      </c>
      <c r="K160" s="77">
        <f>VLOOKUP(C160, Adjustment_factor_for_distance_based_on_mode[#All],MATCH(A160, Adjustment_factor_for_distance_based_on_mode[#Headers],0),0)</f>
        <v>1.7692307692307694</v>
      </c>
      <c r="L160" s="78">
        <f>VLOOKUP($L$2, Total_Journeys_Per_Year[#All],MATCH(A160, Total_Journeys_Per_Year[#Headers],0),0)</f>
        <v>2940102000.5779233</v>
      </c>
      <c r="M160" s="35">
        <f t="shared" si="2"/>
        <v>74384580.61462149</v>
      </c>
      <c r="N160" s="35">
        <f>VLOOKUP($N$2, Private_Vehicle_Kilometres_Car_Stock[#All],MATCH(A160, Private_Vehicle_Kilometres_Car_Stock[#Headers],0),0)</f>
        <v>32323075433</v>
      </c>
    </row>
    <row r="161" spans="1:14" x14ac:dyDescent="0.25">
      <c r="A161" s="79" t="s">
        <v>34</v>
      </c>
      <c r="B161" s="13" t="s">
        <v>182</v>
      </c>
      <c r="C161" s="14" t="s">
        <v>90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Percentage_dist_journeys_by_mode_and_distance_to_2km[#All],MATCH(A161, Percentage_dist_journeys_by_mode_and_distance_to_2km[#Headers],0),0)/100</f>
        <v>0</v>
      </c>
      <c r="F161" s="4">
        <f>IF(B161="2-4 kilometres",1,0)*VLOOKUP(C161, Percentage_dist_journeys_by_mode_and_distance_2_to_4km[#All],MATCH(A161, Percentage_dist_journeys_by_mode_and_distance_2_to_4km[#Headers],0),0)/100</f>
        <v>0</v>
      </c>
      <c r="G161" s="72">
        <f>IF(B161="4-6 kilometres",1,0)*VLOOKUP(C161, Percentage_dist_journeys_by_mode_and_distance_4_to_6km[#All],MATCH(A161, Percentage_dist_journeys_by_mode_and_distance_4_to_6km[#Headers],0),0)/100</f>
        <v>0</v>
      </c>
      <c r="H161" s="4">
        <f>IF(B161="6-8 kilometres",1,0)*VLOOKUP(C161, Percentage_dist_journeys_by_mode_and_distance_6_to_8km[#All],MATCH(A161, Percentage_dist_journeys_by_mode_and_distance_6_to_8km[#Headers],0),0)/100</f>
        <v>2.7000000000000003E-2</v>
      </c>
      <c r="I161" s="72">
        <f>IF(B161="8+ kilometres",1,0)*VLOOKUP(C161, Percentage_dist_journeys_by_mode_and_distance_8km[#All],MATCH(A161, Percentage_dist_journeys_by_mode_and_distance_8km[#Headers],0),0)/100</f>
        <v>0</v>
      </c>
      <c r="J161" s="73">
        <f>VLOOKUP(B161,Average_Distance_by_kilometre_grouping_for_mode_type[#All],MATCH(A161,Average_Distance_by_kilometre_grouping_for_mode_type[#Headers],0),0)</f>
        <v>7</v>
      </c>
      <c r="K161" s="77">
        <f>VLOOKUP(C161, Adjustment_factor_for_distance_based_on_mode[#All],MATCH(A161, Adjustment_factor_for_distance_based_on_mode[#Headers],0),0)</f>
        <v>1.7692307692307694</v>
      </c>
      <c r="L161" s="78">
        <f>VLOOKUP($L$2, Total_Journeys_Per_Year[#All],MATCH(A161, Total_Journeys_Per_Year[#Headers],0),0)</f>
        <v>2940102000.5779233</v>
      </c>
      <c r="M161" s="35">
        <f t="shared" si="2"/>
        <v>62919992.10590639</v>
      </c>
      <c r="N161" s="35">
        <f>VLOOKUP($N$2, Private_Vehicle_Kilometres_Car_Stock[#All],MATCH(A161, Private_Vehicle_Kilometres_Car_Stock[#Headers],0),0)</f>
        <v>32323075433</v>
      </c>
    </row>
    <row r="162" spans="1:14" x14ac:dyDescent="0.25">
      <c r="A162" s="79" t="s">
        <v>34</v>
      </c>
      <c r="B162" s="13" t="s">
        <v>1</v>
      </c>
      <c r="C162" s="14" t="s">
        <v>90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Percentage_dist_journeys_by_mode_and_distance_to_2km[#All],MATCH(A162, Percentage_dist_journeys_by_mode_and_distance_to_2km[#Headers],0),0)/100</f>
        <v>0</v>
      </c>
      <c r="F162" s="4">
        <f>IF(B162="2-4 kilometres",1,0)*VLOOKUP(C162, Percentage_dist_journeys_by_mode_and_distance_2_to_4km[#All],MATCH(A162, Percentage_dist_journeys_by_mode_and_distance_2_to_4km[#Headers],0),0)/100</f>
        <v>0</v>
      </c>
      <c r="G162" s="72">
        <f>IF(B162="4-6 kilometres",1,0)*VLOOKUP(C162, Percentage_dist_journeys_by_mode_and_distance_4_to_6km[#All],MATCH(A162, Percentage_dist_journeys_by_mode_and_distance_4_to_6km[#Headers],0),0)/100</f>
        <v>0</v>
      </c>
      <c r="H162" s="4">
        <f>IF(B162="6-8 kilometres",1,0)*VLOOKUP(C162, Percentage_dist_journeys_by_mode_and_distance_6_to_8km[#All],MATCH(A162, Percentage_dist_journeys_by_mode_and_distance_6_to_8km[#Headers],0),0)/100</f>
        <v>0</v>
      </c>
      <c r="I162" s="72">
        <f>IF(B162="8+ kilometres",1,0)*VLOOKUP(C162, Percentage_dist_journeys_by_mode_and_distance_8km[#All],MATCH(A162, Percentage_dist_journeys_by_mode_and_distance_8km[#Headers],0),0)/100</f>
        <v>3.7000000000000005E-2</v>
      </c>
      <c r="J162" s="73">
        <f>VLOOKUP(B162,Average_Distance_by_kilometre_grouping_for_mode_type[#All],MATCH(A162,Average_Distance_by_kilometre_grouping_for_mode_type[#Headers],0),0)</f>
        <v>38.99</v>
      </c>
      <c r="K162" s="77">
        <f>VLOOKUP(C162, Adjustment_factor_for_distance_based_on_mode[#All],MATCH(A162, Adjustment_factor_for_distance_based_on_mode[#Headers],0),0)</f>
        <v>1.7692307692307694</v>
      </c>
      <c r="L162" s="78">
        <f>VLOOKUP($L$2, Total_Journeys_Per_Year[#All],MATCH(A162, Total_Journeys_Per_Year[#Headers],0),0)</f>
        <v>2940102000.5779233</v>
      </c>
      <c r="M162" s="35">
        <f t="shared" si="2"/>
        <v>3144241268.247406</v>
      </c>
      <c r="N162" s="35">
        <f>VLOOKUP($N$2, Private_Vehicle_Kilometres_Car_Stock[#All],MATCH(A162, Private_Vehicle_Kilometres_Car_Stock[#Headers],0),0)</f>
        <v>32323075433</v>
      </c>
    </row>
    <row r="163" spans="1:14" x14ac:dyDescent="0.25">
      <c r="A163" s="79" t="s">
        <v>36</v>
      </c>
      <c r="B163" s="13" t="s">
        <v>12</v>
      </c>
      <c r="C163" s="14" t="s">
        <v>5</v>
      </c>
      <c r="D163" s="5">
        <f>VLOOKUP(B163,Percentage_distribution_of_journey_distance_for_all_regions[#All],MATCH(A163,Percentage_distribution_of_journey_distance_for_all_regions[#Headers],0),0)/100</f>
        <v>0.255</v>
      </c>
      <c r="E163" s="71">
        <f>IF(B163="&lt;2 kilometres",1,0)*VLOOKUP(C163, Percentage_dist_journeys_by_mode_and_distance_to_2km[#All],MATCH(A163, Percentage_dist_journeys_by_mode_and_distance_to_2km[#Headers],0),0)/100</f>
        <v>0.503</v>
      </c>
      <c r="F163" s="4">
        <f>IF(B163="2-4 kilometres",1,0)*VLOOKUP(C163, Percentage_dist_journeys_by_mode_and_distance_2_to_4km[#All],MATCH(A163, Percentage_dist_journeys_by_mode_and_distance_2_to_4km[#Headers],0),0)/100</f>
        <v>0</v>
      </c>
      <c r="G163" s="72">
        <f>IF(B163="4-6 kilometres",1,0)*VLOOKUP(C163, Percentage_dist_journeys_by_mode_and_distance_4_to_6km[#All],MATCH(A163, Percentage_dist_journeys_by_mode_and_distance_4_to_6km[#Headers],0),0)/100</f>
        <v>0</v>
      </c>
      <c r="H163" s="4">
        <f>IF(B163="6-8 kilometres",1,0)*VLOOKUP(C163, Percentage_dist_journeys_by_mode_and_distance_6_to_8km[#All],MATCH(A163, Percentage_dist_journeys_by_mode_and_distance_6_to_8km[#Headers],0),0)/100</f>
        <v>0</v>
      </c>
      <c r="I163" s="72">
        <f>IF(B163="8+ kilometres",1,0)*VLOOKUP(C163, Percentage_dist_journeys_by_mode_and_distance_8km[#All],MATCH(A163, Percentage_dist_journeys_by_mode_and_distance_8km[#Headers],0),0)/100</f>
        <v>0</v>
      </c>
      <c r="J163" s="73">
        <f>VLOOKUP(B163,Average_Distance_by_kilometre_grouping_for_mode_type[#All],MATCH(A163,Average_Distance_by_kilometre_grouping_for_mode_type[#Headers],0),0)</f>
        <v>1</v>
      </c>
      <c r="K163" s="77">
        <f>VLOOKUP(C163, Adjustment_factor_for_distance_based_on_mode[#All],MATCH(A163, Adjustment_factor_for_distance_based_on_mode[#Headers],0),0)</f>
        <v>1</v>
      </c>
      <c r="L163" s="78">
        <f>VLOOKUP($L$2, Total_Journeys_Per_Year[#All],MATCH(A163, Total_Journeys_Per_Year[#Headers],0),0)</f>
        <v>3079198792.0558629</v>
      </c>
      <c r="M163" s="35">
        <f t="shared" si="2"/>
        <v>394953433.0630452</v>
      </c>
      <c r="N163" s="35">
        <f>VLOOKUP($N$2, Private_Vehicle_Kilometres_Car_Stock[#All],MATCH(A163, Private_Vehicle_Kilometres_Car_Stock[#Headers],0),0)</f>
        <v>36171159701</v>
      </c>
    </row>
    <row r="164" spans="1:14" x14ac:dyDescent="0.25">
      <c r="A164" s="79" t="s">
        <v>36</v>
      </c>
      <c r="B164" s="13" t="s">
        <v>181</v>
      </c>
      <c r="C164" s="14" t="s">
        <v>5</v>
      </c>
      <c r="D164" s="5">
        <f>VLOOKUP(B164,Percentage_distribution_of_journey_distance_for_all_regions[#All],MATCH(A164,Percentage_distribution_of_journey_distance_for_all_regions[#Headers],0),0)/100</f>
        <v>0.13400000000000001</v>
      </c>
      <c r="E164" s="71">
        <f>IF(B164="&lt;2 kilometres",1,0)*VLOOKUP(C164, Percentage_dist_journeys_by_mode_and_distance_to_2km[#All],MATCH(A164, Percentage_dist_journeys_by_mode_and_distance_to_2km[#Headers],0),0)/100</f>
        <v>0</v>
      </c>
      <c r="F164" s="4">
        <f>IF(B164="2-4 kilometres",1,0)*VLOOKUP(C164, Percentage_dist_journeys_by_mode_and_distance_2_to_4km[#All],MATCH(A164, Percentage_dist_journeys_by_mode_and_distance_2_to_4km[#Headers],0),0)/100</f>
        <v>0.66099999999999992</v>
      </c>
      <c r="G164" s="72">
        <f>IF(B164="4-6 kilometres",1,0)*VLOOKUP(C164, Percentage_dist_journeys_by_mode_and_distance_4_to_6km[#All],MATCH(A164, Percentage_dist_journeys_by_mode_and_distance_4_to_6km[#Headers],0),0)/100</f>
        <v>0</v>
      </c>
      <c r="H164" s="4">
        <f>IF(B164="6-8 kilometres",1,0)*VLOOKUP(C164, Percentage_dist_journeys_by_mode_and_distance_6_to_8km[#All],MATCH(A164, Percentage_dist_journeys_by_mode_and_distance_6_to_8km[#Headers],0),0)/100</f>
        <v>0</v>
      </c>
      <c r="I164" s="72">
        <f>IF(B164="8+ kilometres",1,0)*VLOOKUP(C164, Percentage_dist_journeys_by_mode_and_distance_8km[#All],MATCH(A164, Percentage_dist_journeys_by_mode_and_distance_8km[#Headers],0),0)/100</f>
        <v>0</v>
      </c>
      <c r="J164" s="73">
        <f>VLOOKUP(B164,Average_Distance_by_kilometre_grouping_for_mode_type[#All],MATCH(A164,Average_Distance_by_kilometre_grouping_for_mode_type[#Headers],0),0)</f>
        <v>3</v>
      </c>
      <c r="K164" s="77">
        <f>VLOOKUP(C164, Adjustment_factor_for_distance_based_on_mode[#All],MATCH(A164, Adjustment_factor_for_distance_based_on_mode[#Headers],0),0)</f>
        <v>1</v>
      </c>
      <c r="L164" s="78">
        <f>VLOOKUP($L$2, Total_Journeys_Per_Year[#All],MATCH(A164, Total_Journeys_Per_Year[#Headers],0),0)</f>
        <v>3079198792.0558629</v>
      </c>
      <c r="M164" s="35">
        <f t="shared" si="2"/>
        <v>818210861.4226681</v>
      </c>
      <c r="N164" s="35">
        <f>VLOOKUP($N$2, Private_Vehicle_Kilometres_Car_Stock[#All],MATCH(A164, Private_Vehicle_Kilometres_Car_Stock[#Headers],0),0)</f>
        <v>36171159701</v>
      </c>
    </row>
    <row r="165" spans="1:14" x14ac:dyDescent="0.25">
      <c r="A165" s="79" t="s">
        <v>36</v>
      </c>
      <c r="B165" s="13" t="s">
        <v>180</v>
      </c>
      <c r="C165" s="14" t="s">
        <v>5</v>
      </c>
      <c r="D165" s="5">
        <f>VLOOKUP(B165,Percentage_distribution_of_journey_distance_for_all_regions[#All],MATCH(A165,Percentage_distribution_of_journey_distance_for_all_regions[#Headers],0),0)/100</f>
        <v>0.11900000000000001</v>
      </c>
      <c r="E165" s="71">
        <f>IF(B165="&lt;2 kilometres",1,0)*VLOOKUP(C165, Percentage_dist_journeys_by_mode_and_distance_to_2km[#All],MATCH(A165, Percentage_dist_journeys_by_mode_and_distance_to_2km[#Headers],0),0)/100</f>
        <v>0</v>
      </c>
      <c r="F165" s="4">
        <f>IF(B165="2-4 kilometres",1,0)*VLOOKUP(C165, Percentage_dist_journeys_by_mode_and_distance_2_to_4km[#All],MATCH(A165, Percentage_dist_journeys_by_mode_and_distance_2_to_4km[#Headers],0),0)/100</f>
        <v>0</v>
      </c>
      <c r="G165" s="72">
        <f>IF(B165="4-6 kilometres",1,0)*VLOOKUP(C165, Percentage_dist_journeys_by_mode_and_distance_4_to_6km[#All],MATCH(A165, Percentage_dist_journeys_by_mode_and_distance_4_to_6km[#Headers],0),0)/100</f>
        <v>0.71900000000000008</v>
      </c>
      <c r="H165" s="4">
        <f>IF(B165="6-8 kilometres",1,0)*VLOOKUP(C165, Percentage_dist_journeys_by_mode_and_distance_6_to_8km[#All],MATCH(A165, Percentage_dist_journeys_by_mode_and_distance_6_to_8km[#Headers],0),0)/100</f>
        <v>0</v>
      </c>
      <c r="I165" s="72">
        <f>IF(B165="8+ kilometres",1,0)*VLOOKUP(C165, Percentage_dist_journeys_by_mode_and_distance_8km[#All],MATCH(A165, Percentage_dist_journeys_by_mode_and_distance_8km[#Headers],0),0)/100</f>
        <v>0</v>
      </c>
      <c r="J165" s="73">
        <f>VLOOKUP(B165,Average_Distance_by_kilometre_grouping_for_mode_type[#All],MATCH(A165,Average_Distance_by_kilometre_grouping_for_mode_type[#Headers],0),0)</f>
        <v>5</v>
      </c>
      <c r="K165" s="77">
        <f>VLOOKUP(C165, Adjustment_factor_for_distance_based_on_mode[#All],MATCH(A165, Adjustment_factor_for_distance_based_on_mode[#Headers],0),0)</f>
        <v>1</v>
      </c>
      <c r="L165" s="78">
        <f>VLOOKUP($L$2, Total_Journeys_Per_Year[#All],MATCH(A165, Total_Journeys_Per_Year[#Headers],0),0)</f>
        <v>3079198792.0558629</v>
      </c>
      <c r="M165" s="35">
        <f t="shared" si="2"/>
        <v>1317296639.2354586</v>
      </c>
      <c r="N165" s="35">
        <f>VLOOKUP($N$2, Private_Vehicle_Kilometres_Car_Stock[#All],MATCH(A165, Private_Vehicle_Kilometres_Car_Stock[#Headers],0),0)</f>
        <v>36171159701</v>
      </c>
    </row>
    <row r="166" spans="1:14" x14ac:dyDescent="0.25">
      <c r="A166" s="79" t="s">
        <v>36</v>
      </c>
      <c r="B166" s="13" t="s">
        <v>182</v>
      </c>
      <c r="C166" s="14" t="s">
        <v>5</v>
      </c>
      <c r="D166" s="5">
        <f>VLOOKUP(B166,Percentage_distribution_of_journey_distance_for_all_regions[#All],MATCH(A166,Percentage_distribution_of_journey_distance_for_all_regions[#Headers],0),0)/100</f>
        <v>5.9000000000000004E-2</v>
      </c>
      <c r="E166" s="71">
        <f>IF(B166="&lt;2 kilometres",1,0)*VLOOKUP(C166, Percentage_dist_journeys_by_mode_and_distance_to_2km[#All],MATCH(A166, Percentage_dist_journeys_by_mode_and_distance_to_2km[#Headers],0),0)/100</f>
        <v>0</v>
      </c>
      <c r="F166" s="4">
        <f>IF(B166="2-4 kilometres",1,0)*VLOOKUP(C166, Percentage_dist_journeys_by_mode_and_distance_2_to_4km[#All],MATCH(A166, Percentage_dist_journeys_by_mode_and_distance_2_to_4km[#Headers],0),0)/100</f>
        <v>0</v>
      </c>
      <c r="G166" s="72">
        <f>IF(B166="4-6 kilometres",1,0)*VLOOKUP(C166, Percentage_dist_journeys_by_mode_and_distance_4_to_6km[#All],MATCH(A166, Percentage_dist_journeys_by_mode_and_distance_4_to_6km[#Headers],0),0)/100</f>
        <v>0</v>
      </c>
      <c r="H166" s="4">
        <f>IF(B166="6-8 kilometres",1,0)*VLOOKUP(C166, Percentage_dist_journeys_by_mode_and_distance_6_to_8km[#All],MATCH(A166, Percentage_dist_journeys_by_mode_and_distance_6_to_8km[#Headers],0),0)/100</f>
        <v>0.75599999999999989</v>
      </c>
      <c r="I166" s="72">
        <f>IF(B166="8+ kilometres",1,0)*VLOOKUP(C166, Percentage_dist_journeys_by_mode_and_distance_8km[#All],MATCH(A166, Percentage_dist_journeys_by_mode_and_distance_8km[#Headers],0),0)/100</f>
        <v>0</v>
      </c>
      <c r="J166" s="73">
        <f>VLOOKUP(B166,Average_Distance_by_kilometre_grouping_for_mode_type[#All],MATCH(A166,Average_Distance_by_kilometre_grouping_for_mode_type[#Headers],0),0)</f>
        <v>7</v>
      </c>
      <c r="K166" s="77">
        <f>VLOOKUP(C166, Adjustment_factor_for_distance_based_on_mode[#All],MATCH(A166, Adjustment_factor_for_distance_based_on_mode[#Headers],0),0)</f>
        <v>1</v>
      </c>
      <c r="L166" s="78">
        <f>VLOOKUP($L$2, Total_Journeys_Per_Year[#All],MATCH(A166, Total_Journeys_Per_Year[#Headers],0),0)</f>
        <v>3079198792.0558629</v>
      </c>
      <c r="M166" s="35">
        <f t="shared" si="2"/>
        <v>961412080.44601798</v>
      </c>
      <c r="N166" s="35">
        <f>VLOOKUP($N$2, Private_Vehicle_Kilometres_Car_Stock[#All],MATCH(A166, Private_Vehicle_Kilometres_Car_Stock[#Headers],0),0)</f>
        <v>36171159701</v>
      </c>
    </row>
    <row r="167" spans="1:14" x14ac:dyDescent="0.25">
      <c r="A167" s="79" t="s">
        <v>36</v>
      </c>
      <c r="B167" s="13" t="s">
        <v>1</v>
      </c>
      <c r="C167" s="14" t="s">
        <v>5</v>
      </c>
      <c r="D167" s="5">
        <f>VLOOKUP(B167,Percentage_distribution_of_journey_distance_for_all_regions[#All],MATCH(A167,Percentage_distribution_of_journey_distance_for_all_regions[#Headers],0),0)/100</f>
        <v>0.433</v>
      </c>
      <c r="E167" s="71">
        <f>IF(B167="&lt;2 kilometres",1,0)*VLOOKUP(C167, Percentage_dist_journeys_by_mode_and_distance_to_2km[#All],MATCH(A167, Percentage_dist_journeys_by_mode_and_distance_to_2km[#Headers],0),0)/100</f>
        <v>0</v>
      </c>
      <c r="F167" s="4">
        <f>IF(B167="2-4 kilometres",1,0)*VLOOKUP(C167, Percentage_dist_journeys_by_mode_and_distance_2_to_4km[#All],MATCH(A167, Percentage_dist_journeys_by_mode_and_distance_2_to_4km[#Headers],0),0)/100</f>
        <v>0</v>
      </c>
      <c r="G167" s="72">
        <f>IF(B167="4-6 kilometres",1,0)*VLOOKUP(C167, Percentage_dist_journeys_by_mode_and_distance_4_to_6km[#All],MATCH(A167, Percentage_dist_journeys_by_mode_and_distance_4_to_6km[#Headers],0),0)/100</f>
        <v>0</v>
      </c>
      <c r="H167" s="4">
        <f>IF(B167="6-8 kilometres",1,0)*VLOOKUP(C167, Percentage_dist_journeys_by_mode_and_distance_6_to_8km[#All],MATCH(A167, Percentage_dist_journeys_by_mode_and_distance_6_to_8km[#Headers],0),0)/100</f>
        <v>0</v>
      </c>
      <c r="I167" s="72">
        <f>IF(B167="8+ kilometres",1,0)*VLOOKUP(C167, Percentage_dist_journeys_by_mode_and_distance_8km[#All],MATCH(A167, Percentage_dist_journeys_by_mode_and_distance_8km[#Headers],0),0)/100</f>
        <v>0.80200000000000005</v>
      </c>
      <c r="J167" s="73">
        <f>VLOOKUP(B167,Average_Distance_by_kilometre_grouping_for_mode_type[#All],MATCH(A167,Average_Distance_by_kilometre_grouping_for_mode_type[#Headers],0),0)</f>
        <v>41.2</v>
      </c>
      <c r="K167" s="77">
        <f>VLOOKUP(C167, Adjustment_factor_for_distance_based_on_mode[#All],MATCH(A167, Adjustment_factor_for_distance_based_on_mode[#Headers],0),0)</f>
        <v>1</v>
      </c>
      <c r="L167" s="78">
        <f>VLOOKUP($L$2, Total_Journeys_Per_Year[#All],MATCH(A167, Total_Journeys_Per_Year[#Headers],0),0)</f>
        <v>3079198792.0558629</v>
      </c>
      <c r="M167" s="35">
        <f t="shared" si="2"/>
        <v>44055203166.149345</v>
      </c>
      <c r="N167" s="35">
        <f>VLOOKUP($N$2, Private_Vehicle_Kilometres_Car_Stock[#All],MATCH(A167, Private_Vehicle_Kilometres_Car_Stock[#Headers],0),0)</f>
        <v>36171159701</v>
      </c>
    </row>
    <row r="168" spans="1:14" x14ac:dyDescent="0.25">
      <c r="A168" s="79" t="s">
        <v>36</v>
      </c>
      <c r="B168" s="13" t="s">
        <v>12</v>
      </c>
      <c r="C168" s="14" t="s">
        <v>6</v>
      </c>
      <c r="D168" s="5">
        <f>VLOOKUP(B168,Percentage_distribution_of_journey_distance_for_all_regions[#All],MATCH(A168,Percentage_distribution_of_journey_distance_for_all_regions[#Headers],0),0)/100</f>
        <v>0.255</v>
      </c>
      <c r="E168" s="71">
        <f>IF(B168="&lt;2 kilometres",1,0)*VLOOKUP(C168, Percentage_dist_journeys_by_mode_and_distance_to_2km[#All],MATCH(A168, Percentage_dist_journeys_by_mode_and_distance_to_2km[#Headers],0),0)/100</f>
        <v>2.3E-2</v>
      </c>
      <c r="F168" s="4">
        <f>IF(B168="2-4 kilometres",1,0)*VLOOKUP(C168, Percentage_dist_journeys_by_mode_and_distance_2_to_4km[#All],MATCH(A168, Percentage_dist_journeys_by_mode_and_distance_2_to_4km[#Headers],0),0)/100</f>
        <v>0</v>
      </c>
      <c r="G168" s="72">
        <f>IF(B168="4-6 kilometres",1,0)*VLOOKUP(C168, Percentage_dist_journeys_by_mode_and_distance_4_to_6km[#All],MATCH(A168, Percentage_dist_journeys_by_mode_and_distance_4_to_6km[#Headers],0),0)/100</f>
        <v>0</v>
      </c>
      <c r="H168" s="4">
        <f>IF(B168="6-8 kilometres",1,0)*VLOOKUP(C168, Percentage_dist_journeys_by_mode_and_distance_6_to_8km[#All],MATCH(A168, Percentage_dist_journeys_by_mode_and_distance_6_to_8km[#Headers],0),0)/100</f>
        <v>0</v>
      </c>
      <c r="I168" s="72">
        <f>IF(B168="8+ kilometres",1,0)*VLOOKUP(C168, Percentage_dist_journeys_by_mode_and_distance_8km[#All],MATCH(A168, Percentage_dist_journeys_by_mode_and_distance_8km[#Headers],0),0)/100</f>
        <v>0</v>
      </c>
      <c r="J168" s="73">
        <f>VLOOKUP(B168,Average_Distance_by_kilometre_grouping_for_mode_type[#All],MATCH(A168,Average_Distance_by_kilometre_grouping_for_mode_type[#Headers],0),0)</f>
        <v>1</v>
      </c>
      <c r="K168" s="77">
        <f>VLOOKUP(C168, Adjustment_factor_for_distance_based_on_mode[#All],MATCH(A168, Adjustment_factor_for_distance_based_on_mode[#Headers],0),0)</f>
        <v>1.6012269938650308</v>
      </c>
      <c r="L168" s="78">
        <f>VLOOKUP($L$2, Total_Journeys_Per_Year[#All],MATCH(A168, Total_Journeys_Per_Year[#Headers],0),0)</f>
        <v>3079198792.0558629</v>
      </c>
      <c r="M168" s="35">
        <f t="shared" si="2"/>
        <v>28917360.361480944</v>
      </c>
      <c r="N168" s="35">
        <f>VLOOKUP($N$2, Private_Vehicle_Kilometres_Car_Stock[#All],MATCH(A168, Private_Vehicle_Kilometres_Car_Stock[#Headers],0),0)</f>
        <v>36171159701</v>
      </c>
    </row>
    <row r="169" spans="1:14" x14ac:dyDescent="0.25">
      <c r="A169" s="79" t="s">
        <v>36</v>
      </c>
      <c r="B169" s="13" t="s">
        <v>181</v>
      </c>
      <c r="C169" s="14" t="s">
        <v>6</v>
      </c>
      <c r="D169" s="5">
        <f>VLOOKUP(B169,Percentage_distribution_of_journey_distance_for_all_regions[#All],MATCH(A169,Percentage_distribution_of_journey_distance_for_all_regions[#Headers],0),0)/100</f>
        <v>0.13400000000000001</v>
      </c>
      <c r="E169" s="71">
        <f>IF(B169="&lt;2 kilometres",1,0)*VLOOKUP(C169, Percentage_dist_journeys_by_mode_and_distance_to_2km[#All],MATCH(A169, Percentage_dist_journeys_by_mode_and_distance_to_2km[#Headers],0),0)/100</f>
        <v>0</v>
      </c>
      <c r="F169" s="4">
        <f>IF(B169="2-4 kilometres",1,0)*VLOOKUP(C169, Percentage_dist_journeys_by_mode_and_distance_2_to_4km[#All],MATCH(A169, Percentage_dist_journeys_by_mode_and_distance_2_to_4km[#Headers],0),0)/100</f>
        <v>4.2999999999999997E-2</v>
      </c>
      <c r="G169" s="72">
        <f>IF(B169="4-6 kilometres",1,0)*VLOOKUP(C169, Percentage_dist_journeys_by_mode_and_distance_4_to_6km[#All],MATCH(A169, Percentage_dist_journeys_by_mode_and_distance_4_to_6km[#Headers],0),0)/100</f>
        <v>0</v>
      </c>
      <c r="H169" s="4">
        <f>IF(B169="6-8 kilometres",1,0)*VLOOKUP(C169, Percentage_dist_journeys_by_mode_and_distance_6_to_8km[#All],MATCH(A169, Percentage_dist_journeys_by_mode_and_distance_6_to_8km[#Headers],0),0)/100</f>
        <v>0</v>
      </c>
      <c r="I169" s="72">
        <f>IF(B169="8+ kilometres",1,0)*VLOOKUP(C169, Percentage_dist_journeys_by_mode_and_distance_8km[#All],MATCH(A169, Percentage_dist_journeys_by_mode_and_distance_8km[#Headers],0),0)/100</f>
        <v>0</v>
      </c>
      <c r="J169" s="73">
        <f>VLOOKUP(B169,Average_Distance_by_kilometre_grouping_for_mode_type[#All],MATCH(A169,Average_Distance_by_kilometre_grouping_for_mode_type[#Headers],0),0)</f>
        <v>3</v>
      </c>
      <c r="K169" s="77">
        <f>VLOOKUP(C169, Adjustment_factor_for_distance_based_on_mode[#All],MATCH(A169, Adjustment_factor_for_distance_based_on_mode[#Headers],0),0)</f>
        <v>1.6012269938650308</v>
      </c>
      <c r="L169" s="78">
        <f>VLOOKUP($L$2, Total_Journeys_Per_Year[#All],MATCH(A169, Total_Journeys_Per_Year[#Headers],0),0)</f>
        <v>3079198792.0558629</v>
      </c>
      <c r="M169" s="35">
        <f t="shared" si="2"/>
        <v>85228557.750820041</v>
      </c>
      <c r="N169" s="35">
        <f>VLOOKUP($N$2, Private_Vehicle_Kilometres_Car_Stock[#All],MATCH(A169, Private_Vehicle_Kilometres_Car_Stock[#Headers],0),0)</f>
        <v>36171159701</v>
      </c>
    </row>
    <row r="170" spans="1:14" x14ac:dyDescent="0.25">
      <c r="A170" s="79" t="s">
        <v>36</v>
      </c>
      <c r="B170" s="13" t="s">
        <v>180</v>
      </c>
      <c r="C170" s="14" t="s">
        <v>6</v>
      </c>
      <c r="D170" s="5">
        <f>VLOOKUP(B170,Percentage_distribution_of_journey_distance_for_all_regions[#All],MATCH(A170,Percentage_distribution_of_journey_distance_for_all_regions[#Headers],0),0)/100</f>
        <v>0.11900000000000001</v>
      </c>
      <c r="E170" s="71">
        <f>IF(B170="&lt;2 kilometres",1,0)*VLOOKUP(C170, Percentage_dist_journeys_by_mode_and_distance_to_2km[#All],MATCH(A170, Percentage_dist_journeys_by_mode_and_distance_to_2km[#Headers],0),0)/100</f>
        <v>0</v>
      </c>
      <c r="F170" s="4">
        <f>IF(B170="2-4 kilometres",1,0)*VLOOKUP(C170, Percentage_dist_journeys_by_mode_and_distance_2_to_4km[#All],MATCH(A170, Percentage_dist_journeys_by_mode_and_distance_2_to_4km[#Headers],0),0)/100</f>
        <v>0</v>
      </c>
      <c r="G170" s="72">
        <f>IF(B170="4-6 kilometres",1,0)*VLOOKUP(C170, Percentage_dist_journeys_by_mode_and_distance_4_to_6km[#All],MATCH(A170, Percentage_dist_journeys_by_mode_and_distance_4_to_6km[#Headers],0),0)/100</f>
        <v>4.4000000000000004E-2</v>
      </c>
      <c r="H170" s="4">
        <f>IF(B170="6-8 kilometres",1,0)*VLOOKUP(C170, Percentage_dist_journeys_by_mode_and_distance_6_to_8km[#All],MATCH(A170, Percentage_dist_journeys_by_mode_and_distance_6_to_8km[#Headers],0),0)/100</f>
        <v>0</v>
      </c>
      <c r="I170" s="72">
        <f>IF(B170="8+ kilometres",1,0)*VLOOKUP(C170, Percentage_dist_journeys_by_mode_and_distance_8km[#All],MATCH(A170, Percentage_dist_journeys_by_mode_and_distance_8km[#Headers],0),0)/100</f>
        <v>0</v>
      </c>
      <c r="J170" s="73">
        <f>VLOOKUP(B170,Average_Distance_by_kilometre_grouping_for_mode_type[#All],MATCH(A170,Average_Distance_by_kilometre_grouping_for_mode_type[#Headers],0),0)</f>
        <v>5</v>
      </c>
      <c r="K170" s="77">
        <f>VLOOKUP(C170, Adjustment_factor_for_distance_based_on_mode[#All],MATCH(A170, Adjustment_factor_for_distance_based_on_mode[#Headers],0),0)</f>
        <v>1.6012269938650308</v>
      </c>
      <c r="L170" s="78">
        <f>VLOOKUP($L$2, Total_Journeys_Per_Year[#All],MATCH(A170, Total_Journeys_Per_Year[#Headers],0),0)</f>
        <v>3079198792.0558629</v>
      </c>
      <c r="M170" s="35">
        <f t="shared" si="2"/>
        <v>129080391.1787845</v>
      </c>
      <c r="N170" s="35">
        <f>VLOOKUP($N$2, Private_Vehicle_Kilometres_Car_Stock[#All],MATCH(A170, Private_Vehicle_Kilometres_Car_Stock[#Headers],0),0)</f>
        <v>36171159701</v>
      </c>
    </row>
    <row r="171" spans="1:14" x14ac:dyDescent="0.25">
      <c r="A171" s="79" t="s">
        <v>36</v>
      </c>
      <c r="B171" s="13" t="s">
        <v>182</v>
      </c>
      <c r="C171" s="14" t="s">
        <v>6</v>
      </c>
      <c r="D171" s="5">
        <f>VLOOKUP(B171,Percentage_distribution_of_journey_distance_for_all_regions[#All],MATCH(A171,Percentage_distribution_of_journey_distance_for_all_regions[#Headers],0),0)/100</f>
        <v>5.9000000000000004E-2</v>
      </c>
      <c r="E171" s="71">
        <f>IF(B171="&lt;2 kilometres",1,0)*VLOOKUP(C171, Percentage_dist_journeys_by_mode_and_distance_to_2km[#All],MATCH(A171, Percentage_dist_journeys_by_mode_and_distance_to_2km[#Headers],0),0)/100</f>
        <v>0</v>
      </c>
      <c r="F171" s="4">
        <f>IF(B171="2-4 kilometres",1,0)*VLOOKUP(C171, Percentage_dist_journeys_by_mode_and_distance_2_to_4km[#All],MATCH(A171, Percentage_dist_journeys_by_mode_and_distance_2_to_4km[#Headers],0),0)/100</f>
        <v>0</v>
      </c>
      <c r="G171" s="72">
        <f>IF(B171="4-6 kilometres",1,0)*VLOOKUP(C171, Percentage_dist_journeys_by_mode_and_distance_4_to_6km[#All],MATCH(A171, Percentage_dist_journeys_by_mode_and_distance_4_to_6km[#Headers],0),0)/100</f>
        <v>0</v>
      </c>
      <c r="H171" s="4">
        <f>IF(B171="6-8 kilometres",1,0)*VLOOKUP(C171, Percentage_dist_journeys_by_mode_and_distance_6_to_8km[#All],MATCH(A171, Percentage_dist_journeys_by_mode_and_distance_6_to_8km[#Headers],0),0)/100</f>
        <v>0.03</v>
      </c>
      <c r="I171" s="72">
        <f>IF(B171="8+ kilometres",1,0)*VLOOKUP(C171, Percentage_dist_journeys_by_mode_and_distance_8km[#All],MATCH(A171, Percentage_dist_journeys_by_mode_and_distance_8km[#Headers],0),0)/100</f>
        <v>0</v>
      </c>
      <c r="J171" s="73">
        <f>VLOOKUP(B171,Average_Distance_by_kilometre_grouping_for_mode_type[#All],MATCH(A171,Average_Distance_by_kilometre_grouping_for_mode_type[#Headers],0),0)</f>
        <v>7</v>
      </c>
      <c r="K171" s="77">
        <f>VLOOKUP(C171, Adjustment_factor_for_distance_based_on_mode[#All],MATCH(A171, Adjustment_factor_for_distance_based_on_mode[#Headers],0),0)</f>
        <v>1.6012269938650308</v>
      </c>
      <c r="L171" s="78">
        <f>VLOOKUP($L$2, Total_Journeys_Per_Year[#All],MATCH(A171, Total_Journeys_Per_Year[#Headers],0),0)</f>
        <v>3079198792.0558629</v>
      </c>
      <c r="M171" s="35">
        <f t="shared" si="2"/>
        <v>61088848.23167073</v>
      </c>
      <c r="N171" s="35">
        <f>VLOOKUP($N$2, Private_Vehicle_Kilometres_Car_Stock[#All],MATCH(A171, Private_Vehicle_Kilometres_Car_Stock[#Headers],0),0)</f>
        <v>36171159701</v>
      </c>
    </row>
    <row r="172" spans="1:14" x14ac:dyDescent="0.25">
      <c r="A172" s="79" t="s">
        <v>36</v>
      </c>
      <c r="B172" s="13" t="s">
        <v>1</v>
      </c>
      <c r="C172" s="14" t="s">
        <v>6</v>
      </c>
      <c r="D172" s="5">
        <f>VLOOKUP(B172,Percentage_distribution_of_journey_distance_for_all_regions[#All],MATCH(A172,Percentage_distribution_of_journey_distance_for_all_regions[#Headers],0),0)/100</f>
        <v>0.433</v>
      </c>
      <c r="E172" s="71">
        <f>IF(B172="&lt;2 kilometres",1,0)*VLOOKUP(C172, Percentage_dist_journeys_by_mode_and_distance_to_2km[#All],MATCH(A172, Percentage_dist_journeys_by_mode_and_distance_to_2km[#Headers],0),0)/100</f>
        <v>0</v>
      </c>
      <c r="F172" s="4">
        <f>IF(B172="2-4 kilometres",1,0)*VLOOKUP(C172, Percentage_dist_journeys_by_mode_and_distance_2_to_4km[#All],MATCH(A172, Percentage_dist_journeys_by_mode_and_distance_2_to_4km[#Headers],0),0)/100</f>
        <v>0</v>
      </c>
      <c r="G172" s="72">
        <f>IF(B172="4-6 kilometres",1,0)*VLOOKUP(C172, Percentage_dist_journeys_by_mode_and_distance_4_to_6km[#All],MATCH(A172, Percentage_dist_journeys_by_mode_and_distance_4_to_6km[#Headers],0),0)/100</f>
        <v>0</v>
      </c>
      <c r="H172" s="4">
        <f>IF(B172="6-8 kilometres",1,0)*VLOOKUP(C172, Percentage_dist_journeys_by_mode_and_distance_6_to_8km[#All],MATCH(A172, Percentage_dist_journeys_by_mode_and_distance_6_to_8km[#Headers],0),0)/100</f>
        <v>0</v>
      </c>
      <c r="I172" s="72">
        <f>IF(B172="8+ kilometres",1,0)*VLOOKUP(C172, Percentage_dist_journeys_by_mode_and_distance_8km[#All],MATCH(A172, Percentage_dist_journeys_by_mode_and_distance_8km[#Headers],0),0)/100</f>
        <v>6.9000000000000006E-2</v>
      </c>
      <c r="J172" s="73">
        <f>VLOOKUP(B172,Average_Distance_by_kilometre_grouping_for_mode_type[#All],MATCH(A172,Average_Distance_by_kilometre_grouping_for_mode_type[#Headers],0),0)</f>
        <v>41.2</v>
      </c>
      <c r="K172" s="77">
        <f>VLOOKUP(C172, Adjustment_factor_for_distance_based_on_mode[#All],MATCH(A172, Adjustment_factor_for_distance_based_on_mode[#Headers],0),0)</f>
        <v>1.6012269938650308</v>
      </c>
      <c r="L172" s="78">
        <f>VLOOKUP($L$2, Total_Journeys_Per_Year[#All],MATCH(A172, Total_Journeys_Per_Year[#Headers],0),0)</f>
        <v>3079198792.0558629</v>
      </c>
      <c r="M172" s="35">
        <f t="shared" si="2"/>
        <v>6069107551.8197107</v>
      </c>
      <c r="N172" s="35">
        <f>VLOOKUP($N$2, Private_Vehicle_Kilometres_Car_Stock[#All],MATCH(A172, Private_Vehicle_Kilometres_Car_Stock[#Headers],0),0)</f>
        <v>36171159701</v>
      </c>
    </row>
    <row r="173" spans="1:14" x14ac:dyDescent="0.25">
      <c r="A173" s="79" t="s">
        <v>36</v>
      </c>
      <c r="B173" s="13" t="s">
        <v>12</v>
      </c>
      <c r="C173" s="14" t="s">
        <v>7</v>
      </c>
      <c r="D173" s="5">
        <f>VLOOKUP(B173,Percentage_distribution_of_journey_distance_for_all_regions[#All],MATCH(A173,Percentage_distribution_of_journey_distance_for_all_regions[#Headers],0),0)/100</f>
        <v>0.255</v>
      </c>
      <c r="E173" s="71">
        <f>IF(B173="&lt;2 kilometres",1,0)*VLOOKUP(C173, Percentage_dist_journeys_by_mode_and_distance_to_2km[#All],MATCH(A173, Percentage_dist_journeys_by_mode_and_distance_to_2km[#Headers],0),0)/100</f>
        <v>0.43099999999999999</v>
      </c>
      <c r="F173" s="4">
        <f>IF(B173="2-4 kilometres",1,0)*VLOOKUP(C173, Percentage_dist_journeys_by_mode_and_distance_2_to_4km[#All],MATCH(A173, Percentage_dist_journeys_by_mode_and_distance_2_to_4km[#Headers],0),0)/100</f>
        <v>0</v>
      </c>
      <c r="G173" s="72">
        <f>IF(B173="4-6 kilometres",1,0)*VLOOKUP(C173, Percentage_dist_journeys_by_mode_and_distance_4_to_6km[#All],MATCH(A173, Percentage_dist_journeys_by_mode_and_distance_4_to_6km[#Headers],0),0)/100</f>
        <v>0</v>
      </c>
      <c r="H173" s="4">
        <f>IF(B173="6-8 kilometres",1,0)*VLOOKUP(C173, Percentage_dist_journeys_by_mode_and_distance_6_to_8km[#All],MATCH(A173, Percentage_dist_journeys_by_mode_and_distance_6_to_8km[#Headers],0),0)/100</f>
        <v>0</v>
      </c>
      <c r="I173" s="72">
        <f>IF(B173="8+ kilometres",1,0)*VLOOKUP(C173, Percentage_dist_journeys_by_mode_and_distance_8km[#All],MATCH(A173, Percentage_dist_journeys_by_mode_and_distance_8km[#Headers],0),0)/100</f>
        <v>0</v>
      </c>
      <c r="J173" s="73">
        <f>VLOOKUP(B173,Average_Distance_by_kilometre_grouping_for_mode_type[#All],MATCH(A173,Average_Distance_by_kilometre_grouping_for_mode_type[#Headers],0),0)</f>
        <v>1</v>
      </c>
      <c r="K173" s="77">
        <f>VLOOKUP(C173, Adjustment_factor_for_distance_based_on_mode[#All],MATCH(A173, Adjustment_factor_for_distance_based_on_mode[#Headers],0),0)</f>
        <v>0.12269938650306748</v>
      </c>
      <c r="L173" s="78">
        <f>VLOOKUP($L$2, Total_Journeys_Per_Year[#All],MATCH(A173, Total_Journeys_Per_Year[#Headers],0),0)</f>
        <v>3079198792.0558629</v>
      </c>
      <c r="M173" s="35">
        <f t="shared" si="2"/>
        <v>41523845.796429403</v>
      </c>
      <c r="N173" s="35">
        <f>VLOOKUP($N$2, Private_Vehicle_Kilometres_Car_Stock[#All],MATCH(A173, Private_Vehicle_Kilometres_Car_Stock[#Headers],0),0)</f>
        <v>36171159701</v>
      </c>
    </row>
    <row r="174" spans="1:14" x14ac:dyDescent="0.25">
      <c r="A174" s="79" t="s">
        <v>36</v>
      </c>
      <c r="B174" s="13" t="s">
        <v>181</v>
      </c>
      <c r="C174" s="14" t="s">
        <v>7</v>
      </c>
      <c r="D174" s="5">
        <f>VLOOKUP(B174,Percentage_distribution_of_journey_distance_for_all_regions[#All],MATCH(A174,Percentage_distribution_of_journey_distance_for_all_regions[#Headers],0),0)/100</f>
        <v>0.13400000000000001</v>
      </c>
      <c r="E174" s="71">
        <f>IF(B174="&lt;2 kilometres",1,0)*VLOOKUP(C174, Percentage_dist_journeys_by_mode_and_distance_to_2km[#All],MATCH(A174, Percentage_dist_journeys_by_mode_and_distance_to_2km[#Headers],0),0)/100</f>
        <v>0</v>
      </c>
      <c r="F174" s="4">
        <f>IF(B174="2-4 kilometres",1,0)*VLOOKUP(C174, Percentage_dist_journeys_by_mode_and_distance_2_to_4km[#All],MATCH(A174, Percentage_dist_journeys_by_mode_and_distance_2_to_4km[#Headers],0),0)/100</f>
        <v>0.17300000000000001</v>
      </c>
      <c r="G174" s="72">
        <f>IF(B174="4-6 kilometres",1,0)*VLOOKUP(C174, Percentage_dist_journeys_by_mode_and_distance_4_to_6km[#All],MATCH(A174, Percentage_dist_journeys_by_mode_and_distance_4_to_6km[#Headers],0),0)/100</f>
        <v>0</v>
      </c>
      <c r="H174" s="4">
        <f>IF(B174="6-8 kilometres",1,0)*VLOOKUP(C174, Percentage_dist_journeys_by_mode_and_distance_6_to_8km[#All],MATCH(A174, Percentage_dist_journeys_by_mode_and_distance_6_to_8km[#Headers],0),0)/100</f>
        <v>0</v>
      </c>
      <c r="I174" s="72">
        <f>IF(B174="8+ kilometres",1,0)*VLOOKUP(C174, Percentage_dist_journeys_by_mode_and_distance_8km[#All],MATCH(A174, Percentage_dist_journeys_by_mode_and_distance_8km[#Headers],0),0)/100</f>
        <v>0</v>
      </c>
      <c r="J174" s="73">
        <f>VLOOKUP(B174,Average_Distance_by_kilometre_grouping_for_mode_type[#All],MATCH(A174,Average_Distance_by_kilometre_grouping_for_mode_type[#Headers],0),0)</f>
        <v>3</v>
      </c>
      <c r="K174" s="77">
        <f>VLOOKUP(C174, Adjustment_factor_for_distance_based_on_mode[#All],MATCH(A174, Adjustment_factor_for_distance_based_on_mode[#Headers],0),0)</f>
        <v>0.12269938650306748</v>
      </c>
      <c r="L174" s="78">
        <f>VLOOKUP($L$2, Total_Journeys_Per_Year[#All],MATCH(A174, Total_Journeys_Per_Year[#Headers],0),0)</f>
        <v>3079198792.0558629</v>
      </c>
      <c r="M174" s="35">
        <f t="shared" si="2"/>
        <v>26275577.815008227</v>
      </c>
      <c r="N174" s="35">
        <f>VLOOKUP($N$2, Private_Vehicle_Kilometres_Car_Stock[#All],MATCH(A174, Private_Vehicle_Kilometres_Car_Stock[#Headers],0),0)</f>
        <v>36171159701</v>
      </c>
    </row>
    <row r="175" spans="1:14" x14ac:dyDescent="0.25">
      <c r="A175" s="79" t="s">
        <v>36</v>
      </c>
      <c r="B175" s="13" t="s">
        <v>180</v>
      </c>
      <c r="C175" s="14" t="s">
        <v>7</v>
      </c>
      <c r="D175" s="5">
        <f>VLOOKUP(B175,Percentage_distribution_of_journey_distance_for_all_regions[#All],MATCH(A175,Percentage_distribution_of_journey_distance_for_all_regions[#Headers],0),0)/100</f>
        <v>0.11900000000000001</v>
      </c>
      <c r="E175" s="71">
        <f>IF(B175="&lt;2 kilometres",1,0)*VLOOKUP(C175, Percentage_dist_journeys_by_mode_and_distance_to_2km[#All],MATCH(A175, Percentage_dist_journeys_by_mode_and_distance_to_2km[#Headers],0),0)/100</f>
        <v>0</v>
      </c>
      <c r="F175" s="4">
        <f>IF(B175="2-4 kilometres",1,0)*VLOOKUP(C175, Percentage_dist_journeys_by_mode_and_distance_2_to_4km[#All],MATCH(A175, Percentage_dist_journeys_by_mode_and_distance_2_to_4km[#Headers],0),0)/100</f>
        <v>0</v>
      </c>
      <c r="G175" s="72">
        <f>IF(B175="4-6 kilometres",1,0)*VLOOKUP(C175, Percentage_dist_journeys_by_mode_and_distance_4_to_6km[#All],MATCH(A175, Percentage_dist_journeys_by_mode_and_distance_4_to_6km[#Headers],0),0)/100</f>
        <v>6.3E-2</v>
      </c>
      <c r="H175" s="4">
        <f>IF(B175="6-8 kilometres",1,0)*VLOOKUP(C175, Percentage_dist_journeys_by_mode_and_distance_6_to_8km[#All],MATCH(A175, Percentage_dist_journeys_by_mode_and_distance_6_to_8km[#Headers],0),0)/100</f>
        <v>0</v>
      </c>
      <c r="I175" s="72">
        <f>IF(B175="8+ kilometres",1,0)*VLOOKUP(C175, Percentage_dist_journeys_by_mode_and_distance_8km[#All],MATCH(A175, Percentage_dist_journeys_by_mode_and_distance_8km[#Headers],0),0)/100</f>
        <v>0</v>
      </c>
      <c r="J175" s="73">
        <f>VLOOKUP(B175,Average_Distance_by_kilometre_grouping_for_mode_type[#All],MATCH(A175,Average_Distance_by_kilometre_grouping_for_mode_type[#Headers],0),0)</f>
        <v>5</v>
      </c>
      <c r="K175" s="77">
        <f>VLOOKUP(C175, Adjustment_factor_for_distance_based_on_mode[#All],MATCH(A175, Adjustment_factor_for_distance_based_on_mode[#Headers],0),0)</f>
        <v>0.12269938650306748</v>
      </c>
      <c r="L175" s="78">
        <f>VLOOKUP($L$2, Total_Journeys_Per_Year[#All],MATCH(A175, Total_Journeys_Per_Year[#Headers],0),0)</f>
        <v>3079198792.0558629</v>
      </c>
      <c r="M175" s="35">
        <f t="shared" si="2"/>
        <v>14162425.364443438</v>
      </c>
      <c r="N175" s="35">
        <f>VLOOKUP($N$2, Private_Vehicle_Kilometres_Car_Stock[#All],MATCH(A175, Private_Vehicle_Kilometres_Car_Stock[#Headers],0),0)</f>
        <v>36171159701</v>
      </c>
    </row>
    <row r="176" spans="1:14" x14ac:dyDescent="0.25">
      <c r="A176" s="79" t="s">
        <v>36</v>
      </c>
      <c r="B176" s="13" t="s">
        <v>182</v>
      </c>
      <c r="C176" s="14" t="s">
        <v>7</v>
      </c>
      <c r="D176" s="5">
        <f>VLOOKUP(B176,Percentage_distribution_of_journey_distance_for_all_regions[#All],MATCH(A176,Percentage_distribution_of_journey_distance_for_all_regions[#Headers],0),0)/100</f>
        <v>5.9000000000000004E-2</v>
      </c>
      <c r="E176" s="71">
        <f>IF(B176="&lt;2 kilometres",1,0)*VLOOKUP(C176, Percentage_dist_journeys_by_mode_and_distance_to_2km[#All],MATCH(A176, Percentage_dist_journeys_by_mode_and_distance_to_2km[#Headers],0),0)/100</f>
        <v>0</v>
      </c>
      <c r="F176" s="4">
        <f>IF(B176="2-4 kilometres",1,0)*VLOOKUP(C176, Percentage_dist_journeys_by_mode_and_distance_2_to_4km[#All],MATCH(A176, Percentage_dist_journeys_by_mode_and_distance_2_to_4km[#Headers],0),0)/100</f>
        <v>0</v>
      </c>
      <c r="G176" s="72">
        <f>IF(B176="4-6 kilometres",1,0)*VLOOKUP(C176, Percentage_dist_journeys_by_mode_and_distance_4_to_6km[#All],MATCH(A176, Percentage_dist_journeys_by_mode_and_distance_4_to_6km[#Headers],0),0)/100</f>
        <v>0</v>
      </c>
      <c r="H176" s="4">
        <f>IF(B176="6-8 kilometres",1,0)*VLOOKUP(C176, Percentage_dist_journeys_by_mode_and_distance_6_to_8km[#All],MATCH(A176, Percentage_dist_journeys_by_mode_and_distance_6_to_8km[#Headers],0),0)/100</f>
        <v>2.7000000000000003E-2</v>
      </c>
      <c r="I176" s="72">
        <f>IF(B176="8+ kilometres",1,0)*VLOOKUP(C176, Percentage_dist_journeys_by_mode_and_distance_8km[#All],MATCH(A176, Percentage_dist_journeys_by_mode_and_distance_8km[#Headers],0),0)/100</f>
        <v>0</v>
      </c>
      <c r="J176" s="73">
        <f>VLOOKUP(B176,Average_Distance_by_kilometre_grouping_for_mode_type[#All],MATCH(A176,Average_Distance_by_kilometre_grouping_for_mode_type[#Headers],0),0)</f>
        <v>7</v>
      </c>
      <c r="K176" s="77">
        <f>VLOOKUP(C176, Adjustment_factor_for_distance_based_on_mode[#All],MATCH(A176, Adjustment_factor_for_distance_based_on_mode[#Headers],0),0)</f>
        <v>0.12269938650306748</v>
      </c>
      <c r="L176" s="78">
        <f>VLOOKUP($L$2, Total_Journeys_Per_Year[#All],MATCH(A176, Total_Journeys_Per_Year[#Headers],0),0)</f>
        <v>3079198792.0558629</v>
      </c>
      <c r="M176" s="35">
        <f t="shared" si="2"/>
        <v>4213024.0159772923</v>
      </c>
      <c r="N176" s="35">
        <f>VLOOKUP($N$2, Private_Vehicle_Kilometres_Car_Stock[#All],MATCH(A176, Private_Vehicle_Kilometres_Car_Stock[#Headers],0),0)</f>
        <v>36171159701</v>
      </c>
    </row>
    <row r="177" spans="1:14" x14ac:dyDescent="0.25">
      <c r="A177" s="79" t="s">
        <v>36</v>
      </c>
      <c r="B177" s="13" t="s">
        <v>1</v>
      </c>
      <c r="C177" s="14" t="s">
        <v>7</v>
      </c>
      <c r="D177" s="5">
        <f>VLOOKUP(B177,Percentage_distribution_of_journey_distance_for_all_regions[#All],MATCH(A177,Percentage_distribution_of_journey_distance_for_all_regions[#Headers],0),0)/100</f>
        <v>0.433</v>
      </c>
      <c r="E177" s="71">
        <f>IF(B177="&lt;2 kilometres",1,0)*VLOOKUP(C177, Percentage_dist_journeys_by_mode_and_distance_to_2km[#All],MATCH(A177, Percentage_dist_journeys_by_mode_and_distance_to_2km[#Headers],0),0)/100</f>
        <v>0</v>
      </c>
      <c r="F177" s="4">
        <f>IF(B177="2-4 kilometres",1,0)*VLOOKUP(C177, Percentage_dist_journeys_by_mode_and_distance_2_to_4km[#All],MATCH(A177, Percentage_dist_journeys_by_mode_and_distance_2_to_4km[#Headers],0),0)/100</f>
        <v>0</v>
      </c>
      <c r="G177" s="72">
        <f>IF(B177="4-6 kilometres",1,0)*VLOOKUP(C177, Percentage_dist_journeys_by_mode_and_distance_4_to_6km[#All],MATCH(A177, Percentage_dist_journeys_by_mode_and_distance_4_to_6km[#Headers],0),0)/100</f>
        <v>0</v>
      </c>
      <c r="H177" s="4">
        <f>IF(B177="6-8 kilometres",1,0)*VLOOKUP(C177, Percentage_dist_journeys_by_mode_and_distance_6_to_8km[#All],MATCH(A177, Percentage_dist_journeys_by_mode_and_distance_6_to_8km[#Headers],0),0)/100</f>
        <v>0</v>
      </c>
      <c r="I177" s="72">
        <f>IF(B177="8+ kilometres",1,0)*VLOOKUP(C177, Percentage_dist_journeys_by_mode_and_distance_8km[#All],MATCH(A177, Percentage_dist_journeys_by_mode_and_distance_8km[#Headers],0),0)/100</f>
        <v>8.0000000000000002E-3</v>
      </c>
      <c r="J177" s="73">
        <f>VLOOKUP(B177,Average_Distance_by_kilometre_grouping_for_mode_type[#All],MATCH(A177,Average_Distance_by_kilometre_grouping_for_mode_type[#Headers],0),0)</f>
        <v>41.2</v>
      </c>
      <c r="K177" s="77">
        <f>VLOOKUP(C177, Adjustment_factor_for_distance_based_on_mode[#All],MATCH(A177, Adjustment_factor_for_distance_based_on_mode[#Headers],0),0)</f>
        <v>0.12269938650306748</v>
      </c>
      <c r="L177" s="78">
        <f>VLOOKUP($L$2, Total_Journeys_Per_Year[#All],MATCH(A177, Total_Journeys_Per_Year[#Headers],0),0)</f>
        <v>3079198792.0558629</v>
      </c>
      <c r="M177" s="35">
        <f t="shared" si="2"/>
        <v>53920662.351666033</v>
      </c>
      <c r="N177" s="35">
        <f>VLOOKUP($N$2, Private_Vehicle_Kilometres_Car_Stock[#All],MATCH(A177, Private_Vehicle_Kilometres_Car_Stock[#Headers],0),0)</f>
        <v>36171159701</v>
      </c>
    </row>
    <row r="178" spans="1:14" x14ac:dyDescent="0.25">
      <c r="A178" s="79" t="s">
        <v>36</v>
      </c>
      <c r="B178" s="13" t="s">
        <v>12</v>
      </c>
      <c r="C178" s="14" t="s">
        <v>8</v>
      </c>
      <c r="D178" s="5">
        <f>VLOOKUP(B178,Percentage_distribution_of_journey_distance_for_all_regions[#All],MATCH(A178,Percentage_distribution_of_journey_distance_for_all_regions[#Headers],0),0)/100</f>
        <v>0.255</v>
      </c>
      <c r="E178" s="71">
        <f>IF(B178="&lt;2 kilometres",1,0)*VLOOKUP(C178, Percentage_dist_journeys_by_mode_and_distance_to_2km[#All],MATCH(A178, Percentage_dist_journeys_by_mode_and_distance_to_2km[#Headers],0),0)/100</f>
        <v>9.0000000000000011E-3</v>
      </c>
      <c r="F178" s="4">
        <f>IF(B178="2-4 kilometres",1,0)*VLOOKUP(C178, Percentage_dist_journeys_by_mode_and_distance_2_to_4km[#All],MATCH(A178, Percentage_dist_journeys_by_mode_and_distance_2_to_4km[#Headers],0),0)/100</f>
        <v>0</v>
      </c>
      <c r="G178" s="72">
        <f>IF(B178="4-6 kilometres",1,0)*VLOOKUP(C178, Percentage_dist_journeys_by_mode_and_distance_4_to_6km[#All],MATCH(A178, Percentage_dist_journeys_by_mode_and_distance_4_to_6km[#Headers],0),0)/100</f>
        <v>0</v>
      </c>
      <c r="H178" s="4">
        <f>IF(B178="6-8 kilometres",1,0)*VLOOKUP(C178, Percentage_dist_journeys_by_mode_and_distance_6_to_8km[#All],MATCH(A178, Percentage_dist_journeys_by_mode_and_distance_6_to_8km[#Headers],0),0)/100</f>
        <v>0</v>
      </c>
      <c r="I178" s="72">
        <f>IF(B178="8+ kilometres",1,0)*VLOOKUP(C178, Percentage_dist_journeys_by_mode_and_distance_8km[#All],MATCH(A178, Percentage_dist_journeys_by_mode_and_distance_8km[#Headers],0),0)/100</f>
        <v>0</v>
      </c>
      <c r="J178" s="73">
        <f>VLOOKUP(B178,Average_Distance_by_kilometre_grouping_for_mode_type[#All],MATCH(A178,Average_Distance_by_kilometre_grouping_for_mode_type[#Headers],0),0)</f>
        <v>1</v>
      </c>
      <c r="K178" s="77">
        <f>VLOOKUP(C178, Adjustment_factor_for_distance_based_on_mode[#All],MATCH(A178, Adjustment_factor_for_distance_based_on_mode[#Headers],0),0)</f>
        <v>0.82208588957055218</v>
      </c>
      <c r="L178" s="78">
        <f>VLOOKUP($L$2, Total_Journeys_Per_Year[#All],MATCH(A178, Total_Journeys_Per_Year[#Headers],0),0)</f>
        <v>3079198792.0558629</v>
      </c>
      <c r="M178" s="35">
        <f t="shared" si="2"/>
        <v>5809484.6903125132</v>
      </c>
      <c r="N178" s="35">
        <f>VLOOKUP($N$2, Private_Vehicle_Kilometres_Car_Stock[#All],MATCH(A178, Private_Vehicle_Kilometres_Car_Stock[#Headers],0),0)</f>
        <v>36171159701</v>
      </c>
    </row>
    <row r="179" spans="1:14" x14ac:dyDescent="0.25">
      <c r="A179" s="79" t="s">
        <v>36</v>
      </c>
      <c r="B179" s="13" t="s">
        <v>181</v>
      </c>
      <c r="C179" s="14" t="s">
        <v>8</v>
      </c>
      <c r="D179" s="5">
        <f>VLOOKUP(B179,Percentage_distribution_of_journey_distance_for_all_regions[#All],MATCH(A179,Percentage_distribution_of_journey_distance_for_all_regions[#Headers],0),0)/100</f>
        <v>0.13400000000000001</v>
      </c>
      <c r="E179" s="71">
        <f>IF(B179="&lt;2 kilometres",1,0)*VLOOKUP(C179, Percentage_dist_journeys_by_mode_and_distance_to_2km[#All],MATCH(A179, Percentage_dist_journeys_by_mode_and_distance_to_2km[#Headers],0),0)/100</f>
        <v>0</v>
      </c>
      <c r="F179" s="4">
        <f>IF(B179="2-4 kilometres",1,0)*VLOOKUP(C179, Percentage_dist_journeys_by_mode_and_distance_2_to_4km[#All],MATCH(A179, Percentage_dist_journeys_by_mode_and_distance_2_to_4km[#Headers],0),0)/100</f>
        <v>5.4000000000000006E-2</v>
      </c>
      <c r="G179" s="72">
        <f>IF(B179="4-6 kilometres",1,0)*VLOOKUP(C179, Percentage_dist_journeys_by_mode_and_distance_4_to_6km[#All],MATCH(A179, Percentage_dist_journeys_by_mode_and_distance_4_to_6km[#Headers],0),0)/100</f>
        <v>0</v>
      </c>
      <c r="H179" s="4">
        <f>IF(B179="6-8 kilometres",1,0)*VLOOKUP(C179, Percentage_dist_journeys_by_mode_and_distance_6_to_8km[#All],MATCH(A179, Percentage_dist_journeys_by_mode_and_distance_6_to_8km[#Headers],0),0)/100</f>
        <v>0</v>
      </c>
      <c r="I179" s="72">
        <f>IF(B179="8+ kilometres",1,0)*VLOOKUP(C179, Percentage_dist_journeys_by_mode_and_distance_8km[#All],MATCH(A179, Percentage_dist_journeys_by_mode_and_distance_8km[#Headers],0),0)/100</f>
        <v>0</v>
      </c>
      <c r="J179" s="73">
        <f>VLOOKUP(B179,Average_Distance_by_kilometre_grouping_for_mode_type[#All],MATCH(A179,Average_Distance_by_kilometre_grouping_for_mode_type[#Headers],0),0)</f>
        <v>3</v>
      </c>
      <c r="K179" s="77">
        <f>VLOOKUP(C179, Adjustment_factor_for_distance_based_on_mode[#All],MATCH(A179, Adjustment_factor_for_distance_based_on_mode[#Headers],0),0)</f>
        <v>0.82208588957055218</v>
      </c>
      <c r="L179" s="78">
        <f>VLOOKUP($L$2, Total_Journeys_Per_Year[#All],MATCH(A179, Total_Journeys_Per_Year[#Headers],0),0)</f>
        <v>3079198792.0558629</v>
      </c>
      <c r="M179" s="35">
        <f t="shared" si="2"/>
        <v>54950890.482485421</v>
      </c>
      <c r="N179" s="35">
        <f>VLOOKUP($N$2, Private_Vehicle_Kilometres_Car_Stock[#All],MATCH(A179, Private_Vehicle_Kilometres_Car_Stock[#Headers],0),0)</f>
        <v>36171159701</v>
      </c>
    </row>
    <row r="180" spans="1:14" x14ac:dyDescent="0.25">
      <c r="A180" s="79" t="s">
        <v>36</v>
      </c>
      <c r="B180" s="13" t="s">
        <v>180</v>
      </c>
      <c r="C180" s="14" t="s">
        <v>8</v>
      </c>
      <c r="D180" s="5">
        <f>VLOOKUP(B180,Percentage_distribution_of_journey_distance_for_all_regions[#All],MATCH(A180,Percentage_distribution_of_journey_distance_for_all_regions[#Headers],0),0)/100</f>
        <v>0.11900000000000001</v>
      </c>
      <c r="E180" s="71">
        <f>IF(B180="&lt;2 kilometres",1,0)*VLOOKUP(C180, Percentage_dist_journeys_by_mode_and_distance_to_2km[#All],MATCH(A180, Percentage_dist_journeys_by_mode_and_distance_to_2km[#Headers],0),0)/100</f>
        <v>0</v>
      </c>
      <c r="F180" s="4">
        <f>IF(B180="2-4 kilometres",1,0)*VLOOKUP(C180, Percentage_dist_journeys_by_mode_and_distance_2_to_4km[#All],MATCH(A180, Percentage_dist_journeys_by_mode_and_distance_2_to_4km[#Headers],0),0)/100</f>
        <v>0</v>
      </c>
      <c r="G180" s="72">
        <f>IF(B180="4-6 kilometres",1,0)*VLOOKUP(C180, Percentage_dist_journeys_by_mode_and_distance_4_to_6km[#All],MATCH(A180, Percentage_dist_journeys_by_mode_and_distance_4_to_6km[#Headers],0),0)/100</f>
        <v>8.3000000000000004E-2</v>
      </c>
      <c r="H180" s="4">
        <f>IF(B180="6-8 kilometres",1,0)*VLOOKUP(C180, Percentage_dist_journeys_by_mode_and_distance_6_to_8km[#All],MATCH(A180, Percentage_dist_journeys_by_mode_and_distance_6_to_8km[#Headers],0),0)/100</f>
        <v>0</v>
      </c>
      <c r="I180" s="72">
        <f>IF(B180="8+ kilometres",1,0)*VLOOKUP(C180, Percentage_dist_journeys_by_mode_and_distance_8km[#All],MATCH(A180, Percentage_dist_journeys_by_mode_and_distance_8km[#Headers],0),0)/100</f>
        <v>0</v>
      </c>
      <c r="J180" s="73">
        <f>VLOOKUP(B180,Average_Distance_by_kilometre_grouping_for_mode_type[#All],MATCH(A180,Average_Distance_by_kilometre_grouping_for_mode_type[#Headers],0),0)</f>
        <v>5</v>
      </c>
      <c r="K180" s="77">
        <f>VLOOKUP(C180, Adjustment_factor_for_distance_based_on_mode[#All],MATCH(A180, Adjustment_factor_for_distance_based_on_mode[#Headers],0),0)</f>
        <v>0.82208588957055218</v>
      </c>
      <c r="L180" s="78">
        <f>VLOOKUP($L$2, Total_Journeys_Per_Year[#All],MATCH(A180, Total_Journeys_Per_Year[#Headers],0),0)</f>
        <v>3079198792.0558629</v>
      </c>
      <c r="M180" s="35">
        <f t="shared" si="2"/>
        <v>125011503.89153962</v>
      </c>
      <c r="N180" s="35">
        <f>VLOOKUP($N$2, Private_Vehicle_Kilometres_Car_Stock[#All],MATCH(A180, Private_Vehicle_Kilometres_Car_Stock[#Headers],0),0)</f>
        <v>36171159701</v>
      </c>
    </row>
    <row r="181" spans="1:14" x14ac:dyDescent="0.25">
      <c r="A181" s="79" t="s">
        <v>36</v>
      </c>
      <c r="B181" s="13" t="s">
        <v>182</v>
      </c>
      <c r="C181" s="14" t="s">
        <v>8</v>
      </c>
      <c r="D181" s="5">
        <f>VLOOKUP(B181,Percentage_distribution_of_journey_distance_for_all_regions[#All],MATCH(A181,Percentage_distribution_of_journey_distance_for_all_regions[#Headers],0),0)/100</f>
        <v>5.9000000000000004E-2</v>
      </c>
      <c r="E181" s="71">
        <f>IF(B181="&lt;2 kilometres",1,0)*VLOOKUP(C181, Percentage_dist_journeys_by_mode_and_distance_to_2km[#All],MATCH(A181, Percentage_dist_journeys_by_mode_and_distance_to_2km[#Headers],0),0)/100</f>
        <v>0</v>
      </c>
      <c r="F181" s="4">
        <f>IF(B181="2-4 kilometres",1,0)*VLOOKUP(C181, Percentage_dist_journeys_by_mode_and_distance_2_to_4km[#All],MATCH(A181, Percentage_dist_journeys_by_mode_and_distance_2_to_4km[#Headers],0),0)/100</f>
        <v>0</v>
      </c>
      <c r="G181" s="72">
        <f>IF(B181="4-6 kilometres",1,0)*VLOOKUP(C181, Percentage_dist_journeys_by_mode_and_distance_4_to_6km[#All],MATCH(A181, Percentage_dist_journeys_by_mode_and_distance_4_to_6km[#Headers],0),0)/100</f>
        <v>0</v>
      </c>
      <c r="H181" s="4">
        <f>IF(B181="6-8 kilometres",1,0)*VLOOKUP(C181, Percentage_dist_journeys_by_mode_and_distance_6_to_8km[#All],MATCH(A181, Percentage_dist_journeys_by_mode_and_distance_6_to_8km[#Headers],0),0)/100</f>
        <v>9.4E-2</v>
      </c>
      <c r="I181" s="72">
        <f>IF(B181="8+ kilometres",1,0)*VLOOKUP(C181, Percentage_dist_journeys_by_mode_and_distance_8km[#All],MATCH(A181, Percentage_dist_journeys_by_mode_and_distance_8km[#Headers],0),0)/100</f>
        <v>0</v>
      </c>
      <c r="J181" s="73">
        <f>VLOOKUP(B181,Average_Distance_by_kilometre_grouping_for_mode_type[#All],MATCH(A181,Average_Distance_by_kilometre_grouping_for_mode_type[#Headers],0),0)</f>
        <v>7</v>
      </c>
      <c r="K181" s="77">
        <f>VLOOKUP(C181, Adjustment_factor_for_distance_based_on_mode[#All],MATCH(A181, Adjustment_factor_for_distance_based_on_mode[#Headers],0),0)</f>
        <v>0.82208588957055218</v>
      </c>
      <c r="L181" s="78">
        <f>VLOOKUP($L$2, Total_Journeys_Per_Year[#All],MATCH(A181, Total_Journeys_Per_Year[#Headers],0),0)</f>
        <v>3079198792.0558629</v>
      </c>
      <c r="M181" s="35">
        <f t="shared" si="2"/>
        <v>98272686.120833278</v>
      </c>
      <c r="N181" s="35">
        <f>VLOOKUP($N$2, Private_Vehicle_Kilometres_Car_Stock[#All],MATCH(A181, Private_Vehicle_Kilometres_Car_Stock[#Headers],0),0)</f>
        <v>36171159701</v>
      </c>
    </row>
    <row r="182" spans="1:14" x14ac:dyDescent="0.25">
      <c r="A182" s="79" t="s">
        <v>36</v>
      </c>
      <c r="B182" s="13" t="s">
        <v>1</v>
      </c>
      <c r="C182" s="14" t="s">
        <v>8</v>
      </c>
      <c r="D182" s="5">
        <f>VLOOKUP(B182,Percentage_distribution_of_journey_distance_for_all_regions[#All],MATCH(A182,Percentage_distribution_of_journey_distance_for_all_regions[#Headers],0),0)/100</f>
        <v>0.433</v>
      </c>
      <c r="E182" s="71">
        <f>IF(B182="&lt;2 kilometres",1,0)*VLOOKUP(C182, Percentage_dist_journeys_by_mode_and_distance_to_2km[#All],MATCH(A182, Percentage_dist_journeys_by_mode_and_distance_to_2km[#Headers],0),0)/100</f>
        <v>0</v>
      </c>
      <c r="F182" s="4">
        <f>IF(B182="2-4 kilometres",1,0)*VLOOKUP(C182, Percentage_dist_journeys_by_mode_and_distance_2_to_4km[#All],MATCH(A182, Percentage_dist_journeys_by_mode_and_distance_2_to_4km[#Headers],0),0)/100</f>
        <v>0</v>
      </c>
      <c r="G182" s="72">
        <f>IF(B182="4-6 kilometres",1,0)*VLOOKUP(C182, Percentage_dist_journeys_by_mode_and_distance_4_to_6km[#All],MATCH(A182, Percentage_dist_journeys_by_mode_and_distance_4_to_6km[#Headers],0),0)/100</f>
        <v>0</v>
      </c>
      <c r="H182" s="4">
        <f>IF(B182="6-8 kilometres",1,0)*VLOOKUP(C182, Percentage_dist_journeys_by_mode_and_distance_6_to_8km[#All],MATCH(A182, Percentage_dist_journeys_by_mode_and_distance_6_to_8km[#Headers],0),0)/100</f>
        <v>0</v>
      </c>
      <c r="I182" s="72">
        <f>IF(B182="8+ kilometres",1,0)*VLOOKUP(C182, Percentage_dist_journeys_by_mode_and_distance_8km[#All],MATCH(A182, Percentage_dist_journeys_by_mode_and_distance_8km[#Headers],0),0)/100</f>
        <v>3.9E-2</v>
      </c>
      <c r="J182" s="73">
        <f>VLOOKUP(B182,Average_Distance_by_kilometre_grouping_for_mode_type[#All],MATCH(A182,Average_Distance_by_kilometre_grouping_for_mode_type[#Headers],0),0)</f>
        <v>41.2</v>
      </c>
      <c r="K182" s="77">
        <f>VLOOKUP(C182, Adjustment_factor_for_distance_based_on_mode[#All],MATCH(A182, Adjustment_factor_for_distance_based_on_mode[#Headers],0),0)</f>
        <v>0.82208588957055218</v>
      </c>
      <c r="L182" s="78">
        <f>VLOOKUP($L$2, Total_Journeys_Per_Year[#All],MATCH(A182, Total_Journeys_Per_Year[#Headers],0),0)</f>
        <v>3079198792.0558629</v>
      </c>
      <c r="M182" s="35">
        <f t="shared" si="2"/>
        <v>1761183634.0612919</v>
      </c>
      <c r="N182" s="35">
        <f>VLOOKUP($N$2, Private_Vehicle_Kilometres_Car_Stock[#All],MATCH(A182, Private_Vehicle_Kilometres_Car_Stock[#Headers],0),0)</f>
        <v>36171159701</v>
      </c>
    </row>
    <row r="183" spans="1:14" x14ac:dyDescent="0.25">
      <c r="A183" s="79" t="s">
        <v>36</v>
      </c>
      <c r="B183" s="13" t="s">
        <v>12</v>
      </c>
      <c r="C183" s="14" t="s">
        <v>9</v>
      </c>
      <c r="D183" s="5">
        <f>VLOOKUP(B183,Percentage_distribution_of_journey_distance_for_all_regions[#All],MATCH(A183,Percentage_distribution_of_journey_distance_for_all_regions[#Headers],0),0)/100</f>
        <v>0.255</v>
      </c>
      <c r="E183" s="71">
        <f>IF(B183="&lt;2 kilometres",1,0)*VLOOKUP(C183, Percentage_dist_journeys_by_mode_and_distance_to_2km[#All],MATCH(A183, Percentage_dist_journeys_by_mode_and_distance_to_2km[#Headers],0),0)/100</f>
        <v>1.6E-2</v>
      </c>
      <c r="F183" s="4">
        <f>IF(B183="2-4 kilometres",1,0)*VLOOKUP(C183, Percentage_dist_journeys_by_mode_and_distance_2_to_4km[#All],MATCH(A183, Percentage_dist_journeys_by_mode_and_distance_2_to_4km[#Headers],0),0)/100</f>
        <v>0</v>
      </c>
      <c r="G183" s="72">
        <f>IF(B183="4-6 kilometres",1,0)*VLOOKUP(C183, Percentage_dist_journeys_by_mode_and_distance_4_to_6km[#All],MATCH(A183, Percentage_dist_journeys_by_mode_and_distance_4_to_6km[#Headers],0),0)/100</f>
        <v>0</v>
      </c>
      <c r="H183" s="4">
        <f>IF(B183="6-8 kilometres",1,0)*VLOOKUP(C183, Percentage_dist_journeys_by_mode_and_distance_6_to_8km[#All],MATCH(A183, Percentage_dist_journeys_by_mode_and_distance_6_to_8km[#Headers],0),0)/100</f>
        <v>0</v>
      </c>
      <c r="I183" s="72">
        <f>IF(B183="8+ kilometres",1,0)*VLOOKUP(C183, Percentage_dist_journeys_by_mode_and_distance_8km[#All],MATCH(A183, Percentage_dist_journeys_by_mode_and_distance_8km[#Headers],0),0)/100</f>
        <v>0</v>
      </c>
      <c r="J183" s="73">
        <f>VLOOKUP(B183,Average_Distance_by_kilometre_grouping_for_mode_type[#All],MATCH(A183,Average_Distance_by_kilometre_grouping_for_mode_type[#Headers],0),0)</f>
        <v>1</v>
      </c>
      <c r="K183" s="77">
        <f>VLOOKUP(C183, Adjustment_factor_for_distance_based_on_mode[#All],MATCH(A183, Adjustment_factor_for_distance_based_on_mode[#Headers],0),0)</f>
        <v>0.3987730061349693</v>
      </c>
      <c r="L183" s="78">
        <f>VLOOKUP($L$2, Total_Journeys_Per_Year[#All],MATCH(A183, Total_Journeys_Per_Year[#Headers],0),0)</f>
        <v>3079198792.0558629</v>
      </c>
      <c r="M183" s="35">
        <f t="shared" si="2"/>
        <v>5009837.5438847542</v>
      </c>
      <c r="N183" s="35">
        <f>VLOOKUP($N$2, Private_Vehicle_Kilometres_Car_Stock[#All],MATCH(A183, Private_Vehicle_Kilometres_Car_Stock[#Headers],0),0)</f>
        <v>36171159701</v>
      </c>
    </row>
    <row r="184" spans="1:14" x14ac:dyDescent="0.25">
      <c r="A184" s="79" t="s">
        <v>36</v>
      </c>
      <c r="B184" s="13" t="s">
        <v>181</v>
      </c>
      <c r="C184" s="14" t="s">
        <v>9</v>
      </c>
      <c r="D184" s="5">
        <f>VLOOKUP(B184,Percentage_distribution_of_journey_distance_for_all_regions[#All],MATCH(A184,Percentage_distribution_of_journey_distance_for_all_regions[#Headers],0),0)/100</f>
        <v>0.13400000000000001</v>
      </c>
      <c r="E184" s="71">
        <f>IF(B184="&lt;2 kilometres",1,0)*VLOOKUP(C184, Percentage_dist_journeys_by_mode_and_distance_to_2km[#All],MATCH(A184, Percentage_dist_journeys_by_mode_and_distance_to_2km[#Headers],0),0)/100</f>
        <v>0</v>
      </c>
      <c r="F184" s="4">
        <f>IF(B184="2-4 kilometres",1,0)*VLOOKUP(C184, Percentage_dist_journeys_by_mode_and_distance_2_to_4km[#All],MATCH(A184, Percentage_dist_journeys_by_mode_and_distance_2_to_4km[#Headers],0),0)/100</f>
        <v>3.4000000000000002E-2</v>
      </c>
      <c r="G184" s="72">
        <f>IF(B184="4-6 kilometres",1,0)*VLOOKUP(C184, Percentage_dist_journeys_by_mode_and_distance_4_to_6km[#All],MATCH(A184, Percentage_dist_journeys_by_mode_and_distance_4_to_6km[#Headers],0),0)/100</f>
        <v>0</v>
      </c>
      <c r="H184" s="4">
        <f>IF(B184="6-8 kilometres",1,0)*VLOOKUP(C184, Percentage_dist_journeys_by_mode_and_distance_6_to_8km[#All],MATCH(A184, Percentage_dist_journeys_by_mode_and_distance_6_to_8km[#Headers],0),0)/100</f>
        <v>0</v>
      </c>
      <c r="I184" s="72">
        <f>IF(B184="8+ kilometres",1,0)*VLOOKUP(C184, Percentage_dist_journeys_by_mode_and_distance_8km[#All],MATCH(A184, Percentage_dist_journeys_by_mode_and_distance_8km[#Headers],0),0)/100</f>
        <v>0</v>
      </c>
      <c r="J184" s="73">
        <f>VLOOKUP(B184,Average_Distance_by_kilometre_grouping_for_mode_type[#All],MATCH(A184,Average_Distance_by_kilometre_grouping_for_mode_type[#Headers],0),0)</f>
        <v>3</v>
      </c>
      <c r="K184" s="77">
        <f>VLOOKUP(C184, Adjustment_factor_for_distance_based_on_mode[#All],MATCH(A184, Adjustment_factor_for_distance_based_on_mode[#Headers],0),0)</f>
        <v>0.3987730061349693</v>
      </c>
      <c r="L184" s="78">
        <f>VLOOKUP($L$2, Total_Journeys_Per_Year[#All],MATCH(A184, Total_Journeys_Per_Year[#Headers],0),0)</f>
        <v>3079198792.0558629</v>
      </c>
      <c r="M184" s="35">
        <f t="shared" si="2"/>
        <v>16782955.772013929</v>
      </c>
      <c r="N184" s="35">
        <f>VLOOKUP($N$2, Private_Vehicle_Kilometres_Car_Stock[#All],MATCH(A184, Private_Vehicle_Kilometres_Car_Stock[#Headers],0),0)</f>
        <v>36171159701</v>
      </c>
    </row>
    <row r="185" spans="1:14" x14ac:dyDescent="0.25">
      <c r="A185" s="79" t="s">
        <v>36</v>
      </c>
      <c r="B185" s="13" t="s">
        <v>180</v>
      </c>
      <c r="C185" s="14" t="s">
        <v>9</v>
      </c>
      <c r="D185" s="5">
        <f>VLOOKUP(B185,Percentage_distribution_of_journey_distance_for_all_regions[#All],MATCH(A185,Percentage_distribution_of_journey_distance_for_all_regions[#Headers],0),0)/100</f>
        <v>0.11900000000000001</v>
      </c>
      <c r="E185" s="71">
        <f>IF(B185="&lt;2 kilometres",1,0)*VLOOKUP(C185, Percentage_dist_journeys_by_mode_and_distance_to_2km[#All],MATCH(A185, Percentage_dist_journeys_by_mode_and_distance_to_2km[#Headers],0),0)/100</f>
        <v>0</v>
      </c>
      <c r="F185" s="4">
        <f>IF(B185="2-4 kilometres",1,0)*VLOOKUP(C185, Percentage_dist_journeys_by_mode_and_distance_2_to_4km[#All],MATCH(A185, Percentage_dist_journeys_by_mode_and_distance_2_to_4km[#Headers],0),0)/100</f>
        <v>0</v>
      </c>
      <c r="G185" s="72">
        <f>IF(B185="4-6 kilometres",1,0)*VLOOKUP(C185, Percentage_dist_journeys_by_mode_and_distance_4_to_6km[#All],MATCH(A185, Percentage_dist_journeys_by_mode_and_distance_4_to_6km[#Headers],0),0)/100</f>
        <v>3.6000000000000004E-2</v>
      </c>
      <c r="H185" s="4">
        <f>IF(B185="6-8 kilometres",1,0)*VLOOKUP(C185, Percentage_dist_journeys_by_mode_and_distance_6_to_8km[#All],MATCH(A185, Percentage_dist_journeys_by_mode_and_distance_6_to_8km[#Headers],0),0)/100</f>
        <v>0</v>
      </c>
      <c r="I185" s="72">
        <f>IF(B185="8+ kilometres",1,0)*VLOOKUP(C185, Percentage_dist_journeys_by_mode_and_distance_8km[#All],MATCH(A185, Percentage_dist_journeys_by_mode_and_distance_8km[#Headers],0),0)/100</f>
        <v>0</v>
      </c>
      <c r="J185" s="73">
        <f>VLOOKUP(B185,Average_Distance_by_kilometre_grouping_for_mode_type[#All],MATCH(A185,Average_Distance_by_kilometre_grouping_for_mode_type[#Headers],0),0)</f>
        <v>5</v>
      </c>
      <c r="K185" s="77">
        <f>VLOOKUP(C185, Adjustment_factor_for_distance_based_on_mode[#All],MATCH(A185, Adjustment_factor_for_distance_based_on_mode[#Headers],0),0)</f>
        <v>0.3987730061349693</v>
      </c>
      <c r="L185" s="78">
        <f>VLOOKUP($L$2, Total_Journeys_Per_Year[#All],MATCH(A185, Total_Journeys_Per_Year[#Headers],0),0)</f>
        <v>3079198792.0558629</v>
      </c>
      <c r="M185" s="35">
        <f t="shared" si="2"/>
        <v>26301647.105394959</v>
      </c>
      <c r="N185" s="35">
        <f>VLOOKUP($N$2, Private_Vehicle_Kilometres_Car_Stock[#All],MATCH(A185, Private_Vehicle_Kilometres_Car_Stock[#Headers],0),0)</f>
        <v>36171159701</v>
      </c>
    </row>
    <row r="186" spans="1:14" x14ac:dyDescent="0.25">
      <c r="A186" s="79" t="s">
        <v>36</v>
      </c>
      <c r="B186" s="13" t="s">
        <v>182</v>
      </c>
      <c r="C186" s="14" t="s">
        <v>9</v>
      </c>
      <c r="D186" s="5">
        <f>VLOOKUP(B186,Percentage_distribution_of_journey_distance_for_all_regions[#All],MATCH(A186,Percentage_distribution_of_journey_distance_for_all_regions[#Headers],0),0)/100</f>
        <v>5.9000000000000004E-2</v>
      </c>
      <c r="E186" s="71">
        <f>IF(B186="&lt;2 kilometres",1,0)*VLOOKUP(C186, Percentage_dist_journeys_by_mode_and_distance_to_2km[#All],MATCH(A186, Percentage_dist_journeys_by_mode_and_distance_to_2km[#Headers],0),0)/100</f>
        <v>0</v>
      </c>
      <c r="F186" s="4">
        <f>IF(B186="2-4 kilometres",1,0)*VLOOKUP(C186, Percentage_dist_journeys_by_mode_and_distance_2_to_4km[#All],MATCH(A186, Percentage_dist_journeys_by_mode_and_distance_2_to_4km[#Headers],0),0)/100</f>
        <v>0</v>
      </c>
      <c r="G186" s="72">
        <f>IF(B186="4-6 kilometres",1,0)*VLOOKUP(C186, Percentage_dist_journeys_by_mode_and_distance_4_to_6km[#All],MATCH(A186, Percentage_dist_journeys_by_mode_and_distance_4_to_6km[#Headers],0),0)/100</f>
        <v>0</v>
      </c>
      <c r="H186" s="4">
        <f>IF(B186="6-8 kilometres",1,0)*VLOOKUP(C186, Percentage_dist_journeys_by_mode_and_distance_6_to_8km[#All],MATCH(A186, Percentage_dist_journeys_by_mode_and_distance_6_to_8km[#Headers],0),0)/100</f>
        <v>2.4E-2</v>
      </c>
      <c r="I186" s="72">
        <f>IF(B186="8+ kilometres",1,0)*VLOOKUP(C186, Percentage_dist_journeys_by_mode_and_distance_8km[#All],MATCH(A186, Percentage_dist_journeys_by_mode_and_distance_8km[#Headers],0),0)/100</f>
        <v>0</v>
      </c>
      <c r="J186" s="73">
        <f>VLOOKUP(B186,Average_Distance_by_kilometre_grouping_for_mode_type[#All],MATCH(A186,Average_Distance_by_kilometre_grouping_for_mode_type[#Headers],0),0)</f>
        <v>7</v>
      </c>
      <c r="K186" s="77">
        <f>VLOOKUP(C186, Adjustment_factor_for_distance_based_on_mode[#All],MATCH(A186, Adjustment_factor_for_distance_based_on_mode[#Headers],0),0)</f>
        <v>0.3987730061349693</v>
      </c>
      <c r="L186" s="78">
        <f>VLOOKUP($L$2, Total_Journeys_Per_Year[#All],MATCH(A186, Total_Journeys_Per_Year[#Headers],0),0)</f>
        <v>3079198792.0558629</v>
      </c>
      <c r="M186" s="35">
        <f t="shared" si="2"/>
        <v>12170958.268378843</v>
      </c>
      <c r="N186" s="35">
        <f>VLOOKUP($N$2, Private_Vehicle_Kilometres_Car_Stock[#All],MATCH(A186, Private_Vehicle_Kilometres_Car_Stock[#Headers],0),0)</f>
        <v>36171159701</v>
      </c>
    </row>
    <row r="187" spans="1:14" x14ac:dyDescent="0.25">
      <c r="A187" s="79" t="s">
        <v>36</v>
      </c>
      <c r="B187" s="13" t="s">
        <v>1</v>
      </c>
      <c r="C187" s="14" t="s">
        <v>9</v>
      </c>
      <c r="D187" s="5">
        <f>VLOOKUP(B187,Percentage_distribution_of_journey_distance_for_all_regions[#All],MATCH(A187,Percentage_distribution_of_journey_distance_for_all_regions[#Headers],0),0)/100</f>
        <v>0.433</v>
      </c>
      <c r="E187" s="71">
        <f>IF(B187="&lt;2 kilometres",1,0)*VLOOKUP(C187, Percentage_dist_journeys_by_mode_and_distance_to_2km[#All],MATCH(A187, Percentage_dist_journeys_by_mode_and_distance_to_2km[#Headers],0),0)/100</f>
        <v>0</v>
      </c>
      <c r="F187" s="4">
        <f>IF(B187="2-4 kilometres",1,0)*VLOOKUP(C187, Percentage_dist_journeys_by_mode_and_distance_2_to_4km[#All],MATCH(A187, Percentage_dist_journeys_by_mode_and_distance_2_to_4km[#Headers],0),0)/100</f>
        <v>0</v>
      </c>
      <c r="G187" s="72">
        <f>IF(B187="4-6 kilometres",1,0)*VLOOKUP(C187, Percentage_dist_journeys_by_mode_and_distance_4_to_6km[#All],MATCH(A187, Percentage_dist_journeys_by_mode_and_distance_4_to_6km[#Headers],0),0)/100</f>
        <v>0</v>
      </c>
      <c r="H187" s="4">
        <f>IF(B187="6-8 kilometres",1,0)*VLOOKUP(C187, Percentage_dist_journeys_by_mode_and_distance_6_to_8km[#All],MATCH(A187, Percentage_dist_journeys_by_mode_and_distance_6_to_8km[#Headers],0),0)/100</f>
        <v>0</v>
      </c>
      <c r="I187" s="72">
        <f>IF(B187="8+ kilometres",1,0)*VLOOKUP(C187, Percentage_dist_journeys_by_mode_and_distance_8km[#All],MATCH(A187, Percentage_dist_journeys_by_mode_and_distance_8km[#Headers],0),0)/100</f>
        <v>6.9999999999999993E-3</v>
      </c>
      <c r="J187" s="73">
        <f>VLOOKUP(B187,Average_Distance_by_kilometre_grouping_for_mode_type[#All],MATCH(A187,Average_Distance_by_kilometre_grouping_for_mode_type[#Headers],0),0)</f>
        <v>41.2</v>
      </c>
      <c r="K187" s="77">
        <f>VLOOKUP(C187, Adjustment_factor_for_distance_based_on_mode[#All],MATCH(A187, Adjustment_factor_for_distance_based_on_mode[#Headers],0),0)</f>
        <v>0.3987730061349693</v>
      </c>
      <c r="L187" s="78">
        <f>VLOOKUP($L$2, Total_Journeys_Per_Year[#All],MATCH(A187, Total_Journeys_Per_Year[#Headers],0),0)</f>
        <v>3079198792.0558629</v>
      </c>
      <c r="M187" s="35">
        <f t="shared" si="2"/>
        <v>153336883.56255028</v>
      </c>
      <c r="N187" s="35">
        <f>VLOOKUP($N$2, Private_Vehicle_Kilometres_Car_Stock[#All],MATCH(A187, Private_Vehicle_Kilometres_Car_Stock[#Headers],0),0)</f>
        <v>36171159701</v>
      </c>
    </row>
    <row r="188" spans="1:14" x14ac:dyDescent="0.25">
      <c r="A188" s="79" t="s">
        <v>36</v>
      </c>
      <c r="B188" s="13" t="s">
        <v>12</v>
      </c>
      <c r="C188" s="14" t="s">
        <v>10</v>
      </c>
      <c r="D188" s="5">
        <f>VLOOKUP(B188,Percentage_distribution_of_journey_distance_for_all_regions[#All],MATCH(A188,Percentage_distribution_of_journey_distance_for_all_regions[#Headers],0),0)/100</f>
        <v>0.255</v>
      </c>
      <c r="E188" s="71">
        <f>IF(B188="&lt;2 kilometres",1,0)*VLOOKUP(C188, Percentage_dist_journeys_by_mode_and_distance_to_2km[#All],MATCH(A188, Percentage_dist_journeys_by_mode_and_distance_to_2km[#Headers],0),0)/100</f>
        <v>1E-3</v>
      </c>
      <c r="F188" s="4">
        <f>IF(B188="2-4 kilometres",1,0)*VLOOKUP(C188, Percentage_dist_journeys_by_mode_and_distance_2_to_4km[#All],MATCH(A188, Percentage_dist_journeys_by_mode_and_distance_2_to_4km[#Headers],0),0)/100</f>
        <v>0</v>
      </c>
      <c r="G188" s="72">
        <f>IF(B188="4-6 kilometres",1,0)*VLOOKUP(C188, Percentage_dist_journeys_by_mode_and_distance_4_to_6km[#All],MATCH(A188, Percentage_dist_journeys_by_mode_and_distance_4_to_6km[#Headers],0),0)/100</f>
        <v>0</v>
      </c>
      <c r="H188" s="4">
        <f>IF(B188="6-8 kilometres",1,0)*VLOOKUP(C188, Percentage_dist_journeys_by_mode_and_distance_6_to_8km[#All],MATCH(A188, Percentage_dist_journeys_by_mode_and_distance_6_to_8km[#Headers],0),0)/100</f>
        <v>0</v>
      </c>
      <c r="I188" s="72">
        <f>IF(B188="8+ kilometres",1,0)*VLOOKUP(C188, Percentage_dist_journeys_by_mode_and_distance_8km[#All],MATCH(A188, Percentage_dist_journeys_by_mode_and_distance_8km[#Headers],0),0)/100</f>
        <v>0</v>
      </c>
      <c r="J188" s="73">
        <f>VLOOKUP(B188,Average_Distance_by_kilometre_grouping_for_mode_type[#All],MATCH(A188,Average_Distance_by_kilometre_grouping_for_mode_type[#Headers],0),0)</f>
        <v>1</v>
      </c>
      <c r="K188" s="77">
        <f>VLOOKUP(C188, Adjustment_factor_for_distance_based_on_mode[#All],MATCH(A188, Adjustment_factor_for_distance_based_on_mode[#Headers],0),0)</f>
        <v>1.8650306748466257</v>
      </c>
      <c r="L188" s="78">
        <f>VLOOKUP($L$2, Total_Journeys_Per_Year[#All],MATCH(A188, Total_Journeys_Per_Year[#Headers],0),0)</f>
        <v>3079198792.0558629</v>
      </c>
      <c r="M188" s="35">
        <f t="shared" si="2"/>
        <v>1464414.0512893896</v>
      </c>
      <c r="N188" s="35">
        <f>VLOOKUP($N$2, Private_Vehicle_Kilometres_Car_Stock[#All],MATCH(A188, Private_Vehicle_Kilometres_Car_Stock[#Headers],0),0)</f>
        <v>36171159701</v>
      </c>
    </row>
    <row r="189" spans="1:14" x14ac:dyDescent="0.25">
      <c r="A189" s="79" t="s">
        <v>36</v>
      </c>
      <c r="B189" s="13" t="s">
        <v>181</v>
      </c>
      <c r="C189" s="14" t="s">
        <v>10</v>
      </c>
      <c r="D189" s="5">
        <f>VLOOKUP(B189,Percentage_distribution_of_journey_distance_for_all_regions[#All],MATCH(A189,Percentage_distribution_of_journey_distance_for_all_regions[#Headers],0),0)/100</f>
        <v>0.13400000000000001</v>
      </c>
      <c r="E189" s="71">
        <f>IF(B189="&lt;2 kilometres",1,0)*VLOOKUP(C189, Percentage_dist_journeys_by_mode_and_distance_to_2km[#All],MATCH(A189, Percentage_dist_journeys_by_mode_and_distance_to_2km[#Headers],0),0)/100</f>
        <v>0</v>
      </c>
      <c r="F189" s="4">
        <f>IF(B189="2-4 kilometres",1,0)*VLOOKUP(C189, Percentage_dist_journeys_by_mode_and_distance_2_to_4km[#All],MATCH(A189, Percentage_dist_journeys_by_mode_and_distance_2_to_4km[#Headers],0),0)/100</f>
        <v>9.0000000000000011E-3</v>
      </c>
      <c r="G189" s="72">
        <f>IF(B189="4-6 kilometres",1,0)*VLOOKUP(C189, Percentage_dist_journeys_by_mode_and_distance_4_to_6km[#All],MATCH(A189, Percentage_dist_journeys_by_mode_and_distance_4_to_6km[#Headers],0),0)/100</f>
        <v>0</v>
      </c>
      <c r="H189" s="4">
        <f>IF(B189="6-8 kilometres",1,0)*VLOOKUP(C189, Percentage_dist_journeys_by_mode_and_distance_6_to_8km[#All],MATCH(A189, Percentage_dist_journeys_by_mode_and_distance_6_to_8km[#Headers],0),0)/100</f>
        <v>0</v>
      </c>
      <c r="I189" s="72">
        <f>IF(B189="8+ kilometres",1,0)*VLOOKUP(C189, Percentage_dist_journeys_by_mode_and_distance_8km[#All],MATCH(A189, Percentage_dist_journeys_by_mode_and_distance_8km[#Headers],0),0)/100</f>
        <v>0</v>
      </c>
      <c r="J189" s="73">
        <f>VLOOKUP(B189,Average_Distance_by_kilometre_grouping_for_mode_type[#All],MATCH(A189,Average_Distance_by_kilometre_grouping_for_mode_type[#Headers],0),0)</f>
        <v>3</v>
      </c>
      <c r="K189" s="77">
        <f>VLOOKUP(C189, Adjustment_factor_for_distance_based_on_mode[#All],MATCH(A189, Adjustment_factor_for_distance_based_on_mode[#Headers],0),0)</f>
        <v>1.8650306748466257</v>
      </c>
      <c r="L189" s="78">
        <f>VLOOKUP($L$2, Total_Journeys_Per_Year[#All],MATCH(A189, Total_Journeys_Per_Year[#Headers],0),0)</f>
        <v>3079198792.0558629</v>
      </c>
      <c r="M189" s="35">
        <f t="shared" si="2"/>
        <v>20777451.127705928</v>
      </c>
      <c r="N189" s="35">
        <f>VLOOKUP($N$2, Private_Vehicle_Kilometres_Car_Stock[#All],MATCH(A189, Private_Vehicle_Kilometres_Car_Stock[#Headers],0),0)</f>
        <v>36171159701</v>
      </c>
    </row>
    <row r="190" spans="1:14" x14ac:dyDescent="0.25">
      <c r="A190" s="79" t="s">
        <v>36</v>
      </c>
      <c r="B190" s="13" t="s">
        <v>180</v>
      </c>
      <c r="C190" s="14" t="s">
        <v>10</v>
      </c>
      <c r="D190" s="5">
        <f>VLOOKUP(B190,Percentage_distribution_of_journey_distance_for_all_regions[#All],MATCH(A190,Percentage_distribution_of_journey_distance_for_all_regions[#Headers],0),0)/100</f>
        <v>0.11900000000000001</v>
      </c>
      <c r="E190" s="71">
        <f>IF(B190="&lt;2 kilometres",1,0)*VLOOKUP(C190, Percentage_dist_journeys_by_mode_and_distance_to_2km[#All],MATCH(A190, Percentage_dist_journeys_by_mode_and_distance_to_2km[#Headers],0),0)/100</f>
        <v>0</v>
      </c>
      <c r="F190" s="4">
        <f>IF(B190="2-4 kilometres",1,0)*VLOOKUP(C190, Percentage_dist_journeys_by_mode_and_distance_2_to_4km[#All],MATCH(A190, Percentage_dist_journeys_by_mode_and_distance_2_to_4km[#Headers],0),0)/100</f>
        <v>0</v>
      </c>
      <c r="G190" s="72">
        <f>IF(B190="4-6 kilometres",1,0)*VLOOKUP(C190, Percentage_dist_journeys_by_mode_and_distance_4_to_6km[#All],MATCH(A190, Percentage_dist_journeys_by_mode_and_distance_4_to_6km[#Headers],0),0)/100</f>
        <v>1.4999999999999999E-2</v>
      </c>
      <c r="H190" s="4">
        <f>IF(B190="6-8 kilometres",1,0)*VLOOKUP(C190, Percentage_dist_journeys_by_mode_and_distance_6_to_8km[#All],MATCH(A190, Percentage_dist_journeys_by_mode_and_distance_6_to_8km[#Headers],0),0)/100</f>
        <v>0</v>
      </c>
      <c r="I190" s="72">
        <f>IF(B190="8+ kilometres",1,0)*VLOOKUP(C190, Percentage_dist_journeys_by_mode_and_distance_8km[#All],MATCH(A190, Percentage_dist_journeys_by_mode_and_distance_8km[#Headers],0),0)/100</f>
        <v>0</v>
      </c>
      <c r="J190" s="73">
        <f>VLOOKUP(B190,Average_Distance_by_kilometre_grouping_for_mode_type[#All],MATCH(A190,Average_Distance_by_kilometre_grouping_for_mode_type[#Headers],0),0)</f>
        <v>5</v>
      </c>
      <c r="K190" s="77">
        <f>VLOOKUP(C190, Adjustment_factor_for_distance_based_on_mode[#All],MATCH(A190, Adjustment_factor_for_distance_based_on_mode[#Headers],0),0)</f>
        <v>1.8650306748466257</v>
      </c>
      <c r="L190" s="78">
        <f>VLOOKUP($L$2, Total_Journeys_Per_Year[#All],MATCH(A190, Total_Journeys_Per_Year[#Headers],0),0)</f>
        <v>3079198792.0558629</v>
      </c>
      <c r="M190" s="35">
        <f t="shared" si="2"/>
        <v>51254491.795128629</v>
      </c>
      <c r="N190" s="35">
        <f>VLOOKUP($N$2, Private_Vehicle_Kilometres_Car_Stock[#All],MATCH(A190, Private_Vehicle_Kilometres_Car_Stock[#Headers],0),0)</f>
        <v>36171159701</v>
      </c>
    </row>
    <row r="191" spans="1:14" x14ac:dyDescent="0.25">
      <c r="A191" s="79" t="s">
        <v>36</v>
      </c>
      <c r="B191" s="13" t="s">
        <v>182</v>
      </c>
      <c r="C191" s="14" t="s">
        <v>10</v>
      </c>
      <c r="D191" s="5">
        <f>VLOOKUP(B191,Percentage_distribution_of_journey_distance_for_all_regions[#All],MATCH(A191,Percentage_distribution_of_journey_distance_for_all_regions[#Headers],0),0)/100</f>
        <v>5.9000000000000004E-2</v>
      </c>
      <c r="E191" s="71">
        <f>IF(B191="&lt;2 kilometres",1,0)*VLOOKUP(C191, Percentage_dist_journeys_by_mode_and_distance_to_2km[#All],MATCH(A191, Percentage_dist_journeys_by_mode_and_distance_to_2km[#Headers],0),0)/100</f>
        <v>0</v>
      </c>
      <c r="F191" s="4">
        <f>IF(B191="2-4 kilometres",1,0)*VLOOKUP(C191, Percentage_dist_journeys_by_mode_and_distance_2_to_4km[#All],MATCH(A191, Percentage_dist_journeys_by_mode_and_distance_2_to_4km[#Headers],0),0)/100</f>
        <v>0</v>
      </c>
      <c r="G191" s="72">
        <f>IF(B191="4-6 kilometres",1,0)*VLOOKUP(C191, Percentage_dist_journeys_by_mode_and_distance_4_to_6km[#All],MATCH(A191, Percentage_dist_journeys_by_mode_and_distance_4_to_6km[#Headers],0),0)/100</f>
        <v>0</v>
      </c>
      <c r="H191" s="4">
        <f>IF(B191="6-8 kilometres",1,0)*VLOOKUP(C191, Percentage_dist_journeys_by_mode_and_distance_6_to_8km[#All],MATCH(A191, Percentage_dist_journeys_by_mode_and_distance_6_to_8km[#Headers],0),0)/100</f>
        <v>2.3E-2</v>
      </c>
      <c r="I191" s="72">
        <f>IF(B191="8+ kilometres",1,0)*VLOOKUP(C191, Percentage_dist_journeys_by_mode_and_distance_8km[#All],MATCH(A191, Percentage_dist_journeys_by_mode_and_distance_8km[#Headers],0),0)/100</f>
        <v>0</v>
      </c>
      <c r="J191" s="73">
        <f>VLOOKUP(B191,Average_Distance_by_kilometre_grouping_for_mode_type[#All],MATCH(A191,Average_Distance_by_kilometre_grouping_for_mode_type[#Headers],0),0)</f>
        <v>7</v>
      </c>
      <c r="K191" s="77">
        <f>VLOOKUP(C191, Adjustment_factor_for_distance_based_on_mode[#All],MATCH(A191, Adjustment_factor_for_distance_based_on_mode[#Headers],0),0)</f>
        <v>1.8650306748466257</v>
      </c>
      <c r="L191" s="78">
        <f>VLOOKUP($L$2, Total_Journeys_Per_Year[#All],MATCH(A191, Total_Journeys_Per_Year[#Headers],0),0)</f>
        <v>3079198792.0558629</v>
      </c>
      <c r="M191" s="35">
        <f t="shared" si="2"/>
        <v>54550859.110580042</v>
      </c>
      <c r="N191" s="35">
        <f>VLOOKUP($N$2, Private_Vehicle_Kilometres_Car_Stock[#All],MATCH(A191, Private_Vehicle_Kilometres_Car_Stock[#Headers],0),0)</f>
        <v>36171159701</v>
      </c>
    </row>
    <row r="192" spans="1:14" x14ac:dyDescent="0.25">
      <c r="A192" s="79" t="s">
        <v>36</v>
      </c>
      <c r="B192" s="13" t="s">
        <v>1</v>
      </c>
      <c r="C192" s="14" t="s">
        <v>10</v>
      </c>
      <c r="D192" s="5">
        <f>VLOOKUP(B192,Percentage_distribution_of_journey_distance_for_all_regions[#All],MATCH(A192,Percentage_distribution_of_journey_distance_for_all_regions[#Headers],0),0)/100</f>
        <v>0.433</v>
      </c>
      <c r="E192" s="71">
        <f>IF(B192="&lt;2 kilometres",1,0)*VLOOKUP(C192, Percentage_dist_journeys_by_mode_and_distance_to_2km[#All],MATCH(A192, Percentage_dist_journeys_by_mode_and_distance_to_2km[#Headers],0),0)/100</f>
        <v>0</v>
      </c>
      <c r="F192" s="4">
        <f>IF(B192="2-4 kilometres",1,0)*VLOOKUP(C192, Percentage_dist_journeys_by_mode_and_distance_2_to_4km[#All],MATCH(A192, Percentage_dist_journeys_by_mode_and_distance_2_to_4km[#Headers],0),0)/100</f>
        <v>0</v>
      </c>
      <c r="G192" s="72">
        <f>IF(B192="4-6 kilometres",1,0)*VLOOKUP(C192, Percentage_dist_journeys_by_mode_and_distance_4_to_6km[#All],MATCH(A192, Percentage_dist_journeys_by_mode_and_distance_4_to_6km[#Headers],0),0)/100</f>
        <v>0</v>
      </c>
      <c r="H192" s="4">
        <f>IF(B192="6-8 kilometres",1,0)*VLOOKUP(C192, Percentage_dist_journeys_by_mode_and_distance_6_to_8km[#All],MATCH(A192, Percentage_dist_journeys_by_mode_and_distance_6_to_8km[#Headers],0),0)/100</f>
        <v>0</v>
      </c>
      <c r="I192" s="72">
        <f>IF(B192="8+ kilometres",1,0)*VLOOKUP(C192, Percentage_dist_journeys_by_mode_and_distance_8km[#All],MATCH(A192, Percentage_dist_journeys_by_mode_and_distance_8km[#Headers],0),0)/100</f>
        <v>1.9E-2</v>
      </c>
      <c r="J192" s="73">
        <f>VLOOKUP(B192,Average_Distance_by_kilometre_grouping_for_mode_type[#All],MATCH(A192,Average_Distance_by_kilometre_grouping_for_mode_type[#Headers],0),0)</f>
        <v>41.2</v>
      </c>
      <c r="K192" s="77">
        <f>VLOOKUP(C192, Adjustment_factor_for_distance_based_on_mode[#All],MATCH(A192, Adjustment_factor_for_distance_based_on_mode[#Headers],0),0)</f>
        <v>1.8650306748466257</v>
      </c>
      <c r="L192" s="78">
        <f>VLOOKUP($L$2, Total_Journeys_Per_Year[#All],MATCH(A192, Total_Journeys_Per_Year[#Headers],0),0)</f>
        <v>3079198792.0558629</v>
      </c>
      <c r="M192" s="35">
        <f t="shared" si="2"/>
        <v>1946535910.895144</v>
      </c>
      <c r="N192" s="35">
        <f>VLOOKUP($N$2, Private_Vehicle_Kilometres_Car_Stock[#All],MATCH(A192, Private_Vehicle_Kilometres_Car_Stock[#Headers],0),0)</f>
        <v>36171159701</v>
      </c>
    </row>
    <row r="193" spans="1:14" x14ac:dyDescent="0.25">
      <c r="A193" s="79" t="s">
        <v>36</v>
      </c>
      <c r="B193" s="13" t="s">
        <v>12</v>
      </c>
      <c r="C193" s="14" t="s">
        <v>11</v>
      </c>
      <c r="D193" s="5">
        <f>VLOOKUP(B193,Percentage_distribution_of_journey_distance_for_all_regions[#All],MATCH(A193,Percentage_distribution_of_journey_distance_for_all_regions[#Headers],0),0)/100</f>
        <v>0.255</v>
      </c>
      <c r="E193" s="71">
        <f>IF(B193="&lt;2 kilometres",1,0)*VLOOKUP(C193, Percentage_dist_journeys_by_mode_and_distance_to_2km[#All],MATCH(A193, Percentage_dist_journeys_by_mode_and_distance_to_2km[#Headers],0),0)/100</f>
        <v>5.0000000000000001E-3</v>
      </c>
      <c r="F193" s="4">
        <f>IF(B193="2-4 kilometres",1,0)*VLOOKUP(C193, Percentage_dist_journeys_by_mode_and_distance_2_to_4km[#All],MATCH(A193, Percentage_dist_journeys_by_mode_and_distance_2_to_4km[#Headers],0),0)/100</f>
        <v>0</v>
      </c>
      <c r="G193" s="72">
        <f>IF(B193="4-6 kilometres",1,0)*VLOOKUP(C193, Percentage_dist_journeys_by_mode_and_distance_4_to_6km[#All],MATCH(A193, Percentage_dist_journeys_by_mode_and_distance_4_to_6km[#Headers],0),0)/100</f>
        <v>0</v>
      </c>
      <c r="H193" s="4">
        <f>IF(B193="6-8 kilometres",1,0)*VLOOKUP(C193, Percentage_dist_journeys_by_mode_and_distance_6_to_8km[#All],MATCH(A193, Percentage_dist_journeys_by_mode_and_distance_6_to_8km[#Headers],0),0)/100</f>
        <v>0</v>
      </c>
      <c r="I193" s="72">
        <f>IF(B193="8+ kilometres",1,0)*VLOOKUP(C193, Percentage_dist_journeys_by_mode_and_distance_8km[#All],MATCH(A193, Percentage_dist_journeys_by_mode_and_distance_8km[#Headers],0),0)/100</f>
        <v>0</v>
      </c>
      <c r="J193" s="73">
        <f>VLOOKUP(B193,Average_Distance_by_kilometre_grouping_for_mode_type[#All],MATCH(A193,Average_Distance_by_kilometre_grouping_for_mode_type[#Headers],0),0)</f>
        <v>1</v>
      </c>
      <c r="K193" s="77">
        <f>VLOOKUP(C193, Adjustment_factor_for_distance_based_on_mode[#All],MATCH(A193, Adjustment_factor_for_distance_based_on_mode[#Headers],0),0)</f>
        <v>0.52760736196319014</v>
      </c>
      <c r="L193" s="78">
        <f>VLOOKUP($L$2, Total_Journeys_Per_Year[#All],MATCH(A193, Total_Journeys_Per_Year[#Headers],0),0)</f>
        <v>3079198792.0558629</v>
      </c>
      <c r="M193" s="35">
        <f t="shared" si="2"/>
        <v>2071375.1383369656</v>
      </c>
      <c r="N193" s="35">
        <f>VLOOKUP($N$2, Private_Vehicle_Kilometres_Car_Stock[#All],MATCH(A193, Private_Vehicle_Kilometres_Car_Stock[#Headers],0),0)</f>
        <v>36171159701</v>
      </c>
    </row>
    <row r="194" spans="1:14" x14ac:dyDescent="0.25">
      <c r="A194" s="79" t="s">
        <v>36</v>
      </c>
      <c r="B194" s="13" t="s">
        <v>181</v>
      </c>
      <c r="C194" s="14" t="s">
        <v>11</v>
      </c>
      <c r="D194" s="5">
        <f>VLOOKUP(B194,Percentage_distribution_of_journey_distance_for_all_regions[#All],MATCH(A194,Percentage_distribution_of_journey_distance_for_all_regions[#Headers],0),0)/100</f>
        <v>0.13400000000000001</v>
      </c>
      <c r="E194" s="71">
        <f>IF(B194="&lt;2 kilometres",1,0)*VLOOKUP(C194, Percentage_dist_journeys_by_mode_and_distance_to_2km[#All],MATCH(A194, Percentage_dist_journeys_by_mode_and_distance_to_2km[#Headers],0),0)/100</f>
        <v>0</v>
      </c>
      <c r="F194" s="4">
        <f>IF(B194="2-4 kilometres",1,0)*VLOOKUP(C194, Percentage_dist_journeys_by_mode_and_distance_2_to_4km[#All],MATCH(A194, Percentage_dist_journeys_by_mode_and_distance_2_to_4km[#Headers],0),0)/100</f>
        <v>0.01</v>
      </c>
      <c r="G194" s="72">
        <f>IF(B194="4-6 kilometres",1,0)*VLOOKUP(C194, Percentage_dist_journeys_by_mode_and_distance_4_to_6km[#All],MATCH(A194, Percentage_dist_journeys_by_mode_and_distance_4_to_6km[#Headers],0),0)/100</f>
        <v>0</v>
      </c>
      <c r="H194" s="4">
        <f>IF(B194="6-8 kilometres",1,0)*VLOOKUP(C194, Percentage_dist_journeys_by_mode_and_distance_6_to_8km[#All],MATCH(A194, Percentage_dist_journeys_by_mode_and_distance_6_to_8km[#Headers],0),0)/100</f>
        <v>0</v>
      </c>
      <c r="I194" s="72">
        <f>IF(B194="8+ kilometres",1,0)*VLOOKUP(C194, Percentage_dist_journeys_by_mode_and_distance_8km[#All],MATCH(A194, Percentage_dist_journeys_by_mode_and_distance_8km[#Headers],0),0)/100</f>
        <v>0</v>
      </c>
      <c r="J194" s="73">
        <f>VLOOKUP(B194,Average_Distance_by_kilometre_grouping_for_mode_type[#All],MATCH(A194,Average_Distance_by_kilometre_grouping_for_mode_type[#Headers],0),0)</f>
        <v>3</v>
      </c>
      <c r="K194" s="77">
        <f>VLOOKUP(C194, Adjustment_factor_for_distance_based_on_mode[#All],MATCH(A194, Adjustment_factor_for_distance_based_on_mode[#Headers],0),0)</f>
        <v>0.52760736196319014</v>
      </c>
      <c r="L194" s="78">
        <f>VLOOKUP($L$2, Total_Journeys_Per_Year[#All],MATCH(A194, Total_Journeys_Per_Year[#Headers],0),0)</f>
        <v>3079198792.0558629</v>
      </c>
      <c r="M194" s="35">
        <f t="shared" si="2"/>
        <v>6530923.9655800788</v>
      </c>
      <c r="N194" s="35">
        <f>VLOOKUP($N$2, Private_Vehicle_Kilometres_Car_Stock[#All],MATCH(A194, Private_Vehicle_Kilometres_Car_Stock[#Headers],0),0)</f>
        <v>36171159701</v>
      </c>
    </row>
    <row r="195" spans="1:14" x14ac:dyDescent="0.25">
      <c r="A195" s="79" t="s">
        <v>36</v>
      </c>
      <c r="B195" s="13" t="s">
        <v>180</v>
      </c>
      <c r="C195" s="14" t="s">
        <v>11</v>
      </c>
      <c r="D195" s="5">
        <f>VLOOKUP(B195,Percentage_distribution_of_journey_distance_for_all_regions[#All],MATCH(A195,Percentage_distribution_of_journey_distance_for_all_regions[#Headers],0),0)/100</f>
        <v>0.11900000000000001</v>
      </c>
      <c r="E195" s="71">
        <f>IF(B195="&lt;2 kilometres",1,0)*VLOOKUP(C195, Percentage_dist_journeys_by_mode_and_distance_to_2km[#All],MATCH(A195, Percentage_dist_journeys_by_mode_and_distance_to_2km[#Headers],0),0)/100</f>
        <v>0</v>
      </c>
      <c r="F195" s="4">
        <f>IF(B195="2-4 kilometres",1,0)*VLOOKUP(C195, Percentage_dist_journeys_by_mode_and_distance_2_to_4km[#All],MATCH(A195, Percentage_dist_journeys_by_mode_and_distance_2_to_4km[#Headers],0),0)/100</f>
        <v>0</v>
      </c>
      <c r="G195" s="72">
        <f>IF(B195="4-6 kilometres",1,0)*VLOOKUP(C195, Percentage_dist_journeys_by_mode_and_distance_4_to_6km[#All],MATCH(A195, Percentage_dist_journeys_by_mode_and_distance_4_to_6km[#Headers],0),0)/100</f>
        <v>1.6E-2</v>
      </c>
      <c r="H195" s="4">
        <f>IF(B195="6-8 kilometres",1,0)*VLOOKUP(C195, Percentage_dist_journeys_by_mode_and_distance_6_to_8km[#All],MATCH(A195, Percentage_dist_journeys_by_mode_and_distance_6_to_8km[#Headers],0),0)/100</f>
        <v>0</v>
      </c>
      <c r="I195" s="72">
        <f>IF(B195="8+ kilometres",1,0)*VLOOKUP(C195, Percentage_dist_journeys_by_mode_and_distance_8km[#All],MATCH(A195, Percentage_dist_journeys_by_mode_and_distance_8km[#Headers],0),0)/100</f>
        <v>0</v>
      </c>
      <c r="J195" s="73">
        <f>VLOOKUP(B195,Average_Distance_by_kilometre_grouping_for_mode_type[#All],MATCH(A195,Average_Distance_by_kilometre_grouping_for_mode_type[#Headers],0),0)</f>
        <v>5</v>
      </c>
      <c r="K195" s="77">
        <f>VLOOKUP(C195, Adjustment_factor_for_distance_based_on_mode[#All],MATCH(A195, Adjustment_factor_for_distance_based_on_mode[#Headers],0),0)</f>
        <v>0.52760736196319014</v>
      </c>
      <c r="L195" s="78">
        <f>VLOOKUP($L$2, Total_Journeys_Per_Year[#All],MATCH(A195, Total_Journeys_Per_Year[#Headers],0),0)</f>
        <v>3079198792.0558629</v>
      </c>
      <c r="M195" s="35">
        <f t="shared" si="2"/>
        <v>15466267.699582675</v>
      </c>
      <c r="N195" s="35">
        <f>VLOOKUP($N$2, Private_Vehicle_Kilometres_Car_Stock[#All],MATCH(A195, Private_Vehicle_Kilometres_Car_Stock[#Headers],0),0)</f>
        <v>36171159701</v>
      </c>
    </row>
    <row r="196" spans="1:14" x14ac:dyDescent="0.25">
      <c r="A196" s="79" t="s">
        <v>36</v>
      </c>
      <c r="B196" s="13" t="s">
        <v>182</v>
      </c>
      <c r="C196" s="14" t="s">
        <v>11</v>
      </c>
      <c r="D196" s="5">
        <f>VLOOKUP(B196,Percentage_distribution_of_journey_distance_for_all_regions[#All],MATCH(A196,Percentage_distribution_of_journey_distance_for_all_regions[#Headers],0),0)/100</f>
        <v>5.9000000000000004E-2</v>
      </c>
      <c r="E196" s="71">
        <f>IF(B196="&lt;2 kilometres",1,0)*VLOOKUP(C196, Percentage_dist_journeys_by_mode_and_distance_to_2km[#All],MATCH(A196, Percentage_dist_journeys_by_mode_and_distance_to_2km[#Headers],0),0)/100</f>
        <v>0</v>
      </c>
      <c r="F196" s="4">
        <f>IF(B196="2-4 kilometres",1,0)*VLOOKUP(C196, Percentage_dist_journeys_by_mode_and_distance_2_to_4km[#All],MATCH(A196, Percentage_dist_journeys_by_mode_and_distance_2_to_4km[#Headers],0),0)/100</f>
        <v>0</v>
      </c>
      <c r="G196" s="72">
        <f>IF(B196="4-6 kilometres",1,0)*VLOOKUP(C196, Percentage_dist_journeys_by_mode_and_distance_4_to_6km[#All],MATCH(A196, Percentage_dist_journeys_by_mode_and_distance_4_to_6km[#Headers],0),0)/100</f>
        <v>0</v>
      </c>
      <c r="H196" s="4">
        <f>IF(B196="6-8 kilometres",1,0)*VLOOKUP(C196, Percentage_dist_journeys_by_mode_and_distance_6_to_8km[#All],MATCH(A196, Percentage_dist_journeys_by_mode_and_distance_6_to_8km[#Headers],0),0)/100</f>
        <v>6.9999999999999993E-3</v>
      </c>
      <c r="I196" s="72">
        <f>IF(B196="8+ kilometres",1,0)*VLOOKUP(C196, Percentage_dist_journeys_by_mode_and_distance_8km[#All],MATCH(A196, Percentage_dist_journeys_by_mode_and_distance_8km[#Headers],0),0)/100</f>
        <v>0</v>
      </c>
      <c r="J196" s="73">
        <f>VLOOKUP(B196,Average_Distance_by_kilometre_grouping_for_mode_type[#All],MATCH(A196,Average_Distance_by_kilometre_grouping_for_mode_type[#Headers],0),0)</f>
        <v>7</v>
      </c>
      <c r="K196" s="77">
        <f>VLOOKUP(C196, Adjustment_factor_for_distance_based_on_mode[#All],MATCH(A196, Adjustment_factor_for_distance_based_on_mode[#Headers],0),0)</f>
        <v>0.52760736196319014</v>
      </c>
      <c r="L196" s="78">
        <f>VLOOKUP($L$2, Total_Journeys_Per_Year[#All],MATCH(A196, Total_Journeys_Per_Year[#Headers],0),0)</f>
        <v>3079198792.0558629</v>
      </c>
      <c r="M196" s="35">
        <f t="shared" ref="M196:M242" si="3">D196*(SUM(E196:I196))*J196*K196*L196</f>
        <v>4696741.5881820917</v>
      </c>
      <c r="N196" s="35">
        <f>VLOOKUP($N$2, Private_Vehicle_Kilometres_Car_Stock[#All],MATCH(A196, Private_Vehicle_Kilometres_Car_Stock[#Headers],0),0)</f>
        <v>36171159701</v>
      </c>
    </row>
    <row r="197" spans="1:14" x14ac:dyDescent="0.25">
      <c r="A197" s="79" t="s">
        <v>36</v>
      </c>
      <c r="B197" s="13" t="s">
        <v>1</v>
      </c>
      <c r="C197" s="14" t="s">
        <v>11</v>
      </c>
      <c r="D197" s="5">
        <f>VLOOKUP(B197,Percentage_distribution_of_journey_distance_for_all_regions[#All],MATCH(A197,Percentage_distribution_of_journey_distance_for_all_regions[#Headers],0),0)/100</f>
        <v>0.433</v>
      </c>
      <c r="E197" s="71">
        <f>IF(B197="&lt;2 kilometres",1,0)*VLOOKUP(C197, Percentage_dist_journeys_by_mode_and_distance_to_2km[#All],MATCH(A197, Percentage_dist_journeys_by_mode_and_distance_to_2km[#Headers],0),0)/100</f>
        <v>0</v>
      </c>
      <c r="F197" s="4">
        <f>IF(B197="2-4 kilometres",1,0)*VLOOKUP(C197, Percentage_dist_journeys_by_mode_and_distance_2_to_4km[#All],MATCH(A197, Percentage_dist_journeys_by_mode_and_distance_2_to_4km[#Headers],0),0)/100</f>
        <v>0</v>
      </c>
      <c r="G197" s="72">
        <f>IF(B197="4-6 kilometres",1,0)*VLOOKUP(C197, Percentage_dist_journeys_by_mode_and_distance_4_to_6km[#All],MATCH(A197, Percentage_dist_journeys_by_mode_and_distance_4_to_6km[#Headers],0),0)/100</f>
        <v>0</v>
      </c>
      <c r="H197" s="4">
        <f>IF(B197="6-8 kilometres",1,0)*VLOOKUP(C197, Percentage_dist_journeys_by_mode_and_distance_6_to_8km[#All],MATCH(A197, Percentage_dist_journeys_by_mode_and_distance_6_to_8km[#Headers],0),0)/100</f>
        <v>0</v>
      </c>
      <c r="I197" s="72">
        <f>IF(B197="8+ kilometres",1,0)*VLOOKUP(C197, Percentage_dist_journeys_by_mode_and_distance_8km[#All],MATCH(A197, Percentage_dist_journeys_by_mode_and_distance_8km[#Headers],0),0)/100</f>
        <v>6.0000000000000001E-3</v>
      </c>
      <c r="J197" s="73">
        <f>VLOOKUP(B197,Average_Distance_by_kilometre_grouping_for_mode_type[#All],MATCH(A197,Average_Distance_by_kilometre_grouping_for_mode_type[#Headers],0),0)</f>
        <v>41.2</v>
      </c>
      <c r="K197" s="77">
        <f>VLOOKUP(C197, Adjustment_factor_for_distance_based_on_mode[#All],MATCH(A197, Adjustment_factor_for_distance_based_on_mode[#Headers],0),0)</f>
        <v>0.52760736196319014</v>
      </c>
      <c r="L197" s="78">
        <f>VLOOKUP($L$2, Total_Journeys_Per_Year[#All],MATCH(A197, Total_Journeys_Per_Year[#Headers],0),0)</f>
        <v>3079198792.0558629</v>
      </c>
      <c r="M197" s="35">
        <f t="shared" si="3"/>
        <v>173894136.08412296</v>
      </c>
      <c r="N197" s="35">
        <f>VLOOKUP($N$2, Private_Vehicle_Kilometres_Car_Stock[#All],MATCH(A197, Private_Vehicle_Kilometres_Car_Stock[#Headers],0),0)</f>
        <v>36171159701</v>
      </c>
    </row>
    <row r="198" spans="1:14" x14ac:dyDescent="0.25">
      <c r="A198" s="79" t="s">
        <v>36</v>
      </c>
      <c r="B198" s="13" t="s">
        <v>12</v>
      </c>
      <c r="C198" s="14" t="s">
        <v>90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Percentage_dist_journeys_by_mode_and_distance_to_2km[#All],MATCH(A198, Percentage_dist_journeys_by_mode_and_distance_to_2km[#Headers],0),0)/100</f>
        <v>1.2E-2</v>
      </c>
      <c r="F198" s="4">
        <f>IF(B198="2-4 kilometres",1,0)*VLOOKUP(C198, Percentage_dist_journeys_by_mode_and_distance_2_to_4km[#All],MATCH(A198, Percentage_dist_journeys_by_mode_and_distance_2_to_4km[#Headers],0),0)/100</f>
        <v>0</v>
      </c>
      <c r="G198" s="72">
        <f>IF(B198="4-6 kilometres",1,0)*VLOOKUP(C198, Percentage_dist_journeys_by_mode_and_distance_4_to_6km[#All],MATCH(A198, Percentage_dist_journeys_by_mode_and_distance_4_to_6km[#Headers],0),0)/100</f>
        <v>0</v>
      </c>
      <c r="H198" s="4">
        <f>IF(B198="6-8 kilometres",1,0)*VLOOKUP(C198, Percentage_dist_journeys_by_mode_and_distance_6_to_8km[#All],MATCH(A198, Percentage_dist_journeys_by_mode_and_distance_6_to_8km[#Headers],0),0)/100</f>
        <v>0</v>
      </c>
      <c r="I198" s="72">
        <f>IF(B198="8+ kilometres",1,0)*VLOOKUP(C198, Percentage_dist_journeys_by_mode_and_distance_8km[#All],MATCH(A198, Percentage_dist_journeys_by_mode_and_distance_8km[#Headers],0),0)/100</f>
        <v>0</v>
      </c>
      <c r="J198" s="73">
        <f>VLOOKUP(B198,Average_Distance_by_kilometre_grouping_for_mode_type[#All],MATCH(A198,Average_Distance_by_kilometre_grouping_for_mode_type[#Headers],0),0)</f>
        <v>1</v>
      </c>
      <c r="K198" s="77">
        <f>VLOOKUP(C198, Adjustment_factor_for_distance_based_on_mode[#All],MATCH(A198, Adjustment_factor_for_distance_based_on_mode[#Headers],0),0)</f>
        <v>1.4969325153374231</v>
      </c>
      <c r="L198" s="78">
        <f>VLOOKUP($L$2, Total_Journeys_Per_Year[#All],MATCH(A198, Total_Journeys_Per_Year[#Headers],0),0)</f>
        <v>3079198792.0558629</v>
      </c>
      <c r="M198" s="35">
        <f t="shared" si="3"/>
        <v>14104619.546629382</v>
      </c>
      <c r="N198" s="35">
        <f>VLOOKUP($N$2, Private_Vehicle_Kilometres_Car_Stock[#All],MATCH(A198, Private_Vehicle_Kilometres_Car_Stock[#Headers],0),0)</f>
        <v>36171159701</v>
      </c>
    </row>
    <row r="199" spans="1:14" x14ac:dyDescent="0.25">
      <c r="A199" s="79" t="s">
        <v>36</v>
      </c>
      <c r="B199" s="13" t="s">
        <v>181</v>
      </c>
      <c r="C199" s="14" t="s">
        <v>90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Percentage_dist_journeys_by_mode_and_distance_to_2km[#All],MATCH(A199, Percentage_dist_journeys_by_mode_and_distance_to_2km[#Headers],0),0)/100</f>
        <v>0</v>
      </c>
      <c r="F199" s="4">
        <f>IF(B199="2-4 kilometres",1,0)*VLOOKUP(C199, Percentage_dist_journeys_by_mode_and_distance_2_to_4km[#All],MATCH(A199, Percentage_dist_journeys_by_mode_and_distance_2_to_4km[#Headers],0),0)/100</f>
        <v>1.6E-2</v>
      </c>
      <c r="G199" s="72">
        <f>IF(B199="4-6 kilometres",1,0)*VLOOKUP(C199, Percentage_dist_journeys_by_mode_and_distance_4_to_6km[#All],MATCH(A199, Percentage_dist_journeys_by_mode_and_distance_4_to_6km[#Headers],0),0)/100</f>
        <v>0</v>
      </c>
      <c r="H199" s="4">
        <f>IF(B199="6-8 kilometres",1,0)*VLOOKUP(C199, Percentage_dist_journeys_by_mode_and_distance_6_to_8km[#All],MATCH(A199, Percentage_dist_journeys_by_mode_and_distance_6_to_8km[#Headers],0),0)/100</f>
        <v>0</v>
      </c>
      <c r="I199" s="72">
        <f>IF(B199="8+ kilometres",1,0)*VLOOKUP(C199, Percentage_dist_journeys_by_mode_and_distance_8km[#All],MATCH(A199, Percentage_dist_journeys_by_mode_and_distance_8km[#Headers],0),0)/100</f>
        <v>0</v>
      </c>
      <c r="J199" s="73">
        <f>VLOOKUP(B199,Average_Distance_by_kilometre_grouping_for_mode_type[#All],MATCH(A199,Average_Distance_by_kilometre_grouping_for_mode_type[#Headers],0),0)</f>
        <v>3</v>
      </c>
      <c r="K199" s="77">
        <f>VLOOKUP(C199, Adjustment_factor_for_distance_based_on_mode[#All],MATCH(A199, Adjustment_factor_for_distance_based_on_mode[#Headers],0),0)</f>
        <v>1.4969325153374231</v>
      </c>
      <c r="L199" s="78">
        <f>VLOOKUP($L$2, Total_Journeys_Per_Year[#All],MATCH(A199, Total_Journeys_Per_Year[#Headers],0),0)</f>
        <v>3079198792.0558629</v>
      </c>
      <c r="M199" s="35">
        <f t="shared" si="3"/>
        <v>29647357.164679796</v>
      </c>
      <c r="N199" s="35">
        <f>VLOOKUP($N$2, Private_Vehicle_Kilometres_Car_Stock[#All],MATCH(A199, Private_Vehicle_Kilometres_Car_Stock[#Headers],0),0)</f>
        <v>36171159701</v>
      </c>
    </row>
    <row r="200" spans="1:14" x14ac:dyDescent="0.25">
      <c r="A200" s="79" t="s">
        <v>36</v>
      </c>
      <c r="B200" s="13" t="s">
        <v>180</v>
      </c>
      <c r="C200" s="14" t="s">
        <v>90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Percentage_dist_journeys_by_mode_and_distance_to_2km[#All],MATCH(A200, Percentage_dist_journeys_by_mode_and_distance_to_2km[#Headers],0),0)/100</f>
        <v>0</v>
      </c>
      <c r="F200" s="4">
        <f>IF(B200="2-4 kilometres",1,0)*VLOOKUP(C200, Percentage_dist_journeys_by_mode_and_distance_2_to_4km[#All],MATCH(A200, Percentage_dist_journeys_by_mode_and_distance_2_to_4km[#Headers],0),0)/100</f>
        <v>0</v>
      </c>
      <c r="G200" s="72">
        <f>IF(B200="4-6 kilometres",1,0)*VLOOKUP(C200, Percentage_dist_journeys_by_mode_and_distance_4_to_6km[#All],MATCH(A200, Percentage_dist_journeys_by_mode_and_distance_4_to_6km[#Headers],0),0)/100</f>
        <v>2.3E-2</v>
      </c>
      <c r="H200" s="4">
        <f>IF(B200="6-8 kilometres",1,0)*VLOOKUP(C200, Percentage_dist_journeys_by_mode_and_distance_6_to_8km[#All],MATCH(A200, Percentage_dist_journeys_by_mode_and_distance_6_to_8km[#Headers],0),0)/100</f>
        <v>0</v>
      </c>
      <c r="I200" s="72">
        <f>IF(B200="8+ kilometres",1,0)*VLOOKUP(C200, Percentage_dist_journeys_by_mode_and_distance_8km[#All],MATCH(A200, Percentage_dist_journeys_by_mode_and_distance_8km[#Headers],0),0)/100</f>
        <v>0</v>
      </c>
      <c r="J200" s="73">
        <f>VLOOKUP(B200,Average_Distance_by_kilometre_grouping_for_mode_type[#All],MATCH(A200,Average_Distance_by_kilometre_grouping_for_mode_type[#Headers],0),0)</f>
        <v>5</v>
      </c>
      <c r="K200" s="77">
        <f>VLOOKUP(C200, Adjustment_factor_for_distance_based_on_mode[#All],MATCH(A200, Adjustment_factor_for_distance_based_on_mode[#Headers],0),0)</f>
        <v>1.4969325153374231</v>
      </c>
      <c r="L200" s="78">
        <f>VLOOKUP($L$2, Total_Journeys_Per_Year[#All],MATCH(A200, Total_Journeys_Per_Year[#Headers],0),0)</f>
        <v>3079198792.0558629</v>
      </c>
      <c r="M200" s="35">
        <f t="shared" si="3"/>
        <v>63078992.972425841</v>
      </c>
      <c r="N200" s="35">
        <f>VLOOKUP($N$2, Private_Vehicle_Kilometres_Car_Stock[#All],MATCH(A200, Private_Vehicle_Kilometres_Car_Stock[#Headers],0),0)</f>
        <v>36171159701</v>
      </c>
    </row>
    <row r="201" spans="1:14" x14ac:dyDescent="0.25">
      <c r="A201" s="79" t="s">
        <v>36</v>
      </c>
      <c r="B201" s="13" t="s">
        <v>182</v>
      </c>
      <c r="C201" s="14" t="s">
        <v>90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Percentage_dist_journeys_by_mode_and_distance_to_2km[#All],MATCH(A201, Percentage_dist_journeys_by_mode_and_distance_to_2km[#Headers],0),0)/100</f>
        <v>0</v>
      </c>
      <c r="F201" s="4">
        <f>IF(B201="2-4 kilometres",1,0)*VLOOKUP(C201, Percentage_dist_journeys_by_mode_and_distance_2_to_4km[#All],MATCH(A201, Percentage_dist_journeys_by_mode_and_distance_2_to_4km[#Headers],0),0)/100</f>
        <v>0</v>
      </c>
      <c r="G201" s="72">
        <f>IF(B201="4-6 kilometres",1,0)*VLOOKUP(C201, Percentage_dist_journeys_by_mode_and_distance_4_to_6km[#All],MATCH(A201, Percentage_dist_journeys_by_mode_and_distance_4_to_6km[#Headers],0),0)/100</f>
        <v>0</v>
      </c>
      <c r="H201" s="4">
        <f>IF(B201="6-8 kilometres",1,0)*VLOOKUP(C201, Percentage_dist_journeys_by_mode_and_distance_6_to_8km[#All],MATCH(A201, Percentage_dist_journeys_by_mode_and_distance_6_to_8km[#Headers],0),0)/100</f>
        <v>0.04</v>
      </c>
      <c r="I201" s="72">
        <f>IF(B201="8+ kilometres",1,0)*VLOOKUP(C201, Percentage_dist_journeys_by_mode_and_distance_8km[#All],MATCH(A201, Percentage_dist_journeys_by_mode_and_distance_8km[#Headers],0),0)/100</f>
        <v>0</v>
      </c>
      <c r="J201" s="73">
        <f>VLOOKUP(B201,Average_Distance_by_kilometre_grouping_for_mode_type[#All],MATCH(A201,Average_Distance_by_kilometre_grouping_for_mode_type[#Headers],0),0)</f>
        <v>7</v>
      </c>
      <c r="K201" s="77">
        <f>VLOOKUP(C201, Adjustment_factor_for_distance_based_on_mode[#All],MATCH(A201, Adjustment_factor_for_distance_based_on_mode[#Headers],0),0)</f>
        <v>1.4969325153374231</v>
      </c>
      <c r="L201" s="78">
        <f>VLOOKUP($L$2, Total_Journeys_Per_Year[#All],MATCH(A201, Total_Journeys_Per_Year[#Headers],0),0)</f>
        <v>3079198792.0558629</v>
      </c>
      <c r="M201" s="35">
        <f t="shared" si="3"/>
        <v>76146508.140626594</v>
      </c>
      <c r="N201" s="35">
        <f>VLOOKUP($N$2, Private_Vehicle_Kilometres_Car_Stock[#All],MATCH(A201, Private_Vehicle_Kilometres_Car_Stock[#Headers],0),0)</f>
        <v>36171159701</v>
      </c>
    </row>
    <row r="202" spans="1:14" x14ac:dyDescent="0.25">
      <c r="A202" s="79" t="s">
        <v>36</v>
      </c>
      <c r="B202" s="13" t="s">
        <v>1</v>
      </c>
      <c r="C202" s="14" t="s">
        <v>90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Percentage_dist_journeys_by_mode_and_distance_to_2km[#All],MATCH(A202, Percentage_dist_journeys_by_mode_and_distance_to_2km[#Headers],0),0)/100</f>
        <v>0</v>
      </c>
      <c r="F202" s="4">
        <f>IF(B202="2-4 kilometres",1,0)*VLOOKUP(C202, Percentage_dist_journeys_by_mode_and_distance_2_to_4km[#All],MATCH(A202, Percentage_dist_journeys_by_mode_and_distance_2_to_4km[#Headers],0),0)/100</f>
        <v>0</v>
      </c>
      <c r="G202" s="72">
        <f>IF(B202="4-6 kilometres",1,0)*VLOOKUP(C202, Percentage_dist_journeys_by_mode_and_distance_4_to_6km[#All],MATCH(A202, Percentage_dist_journeys_by_mode_and_distance_4_to_6km[#Headers],0),0)/100</f>
        <v>0</v>
      </c>
      <c r="H202" s="4">
        <f>IF(B202="6-8 kilometres",1,0)*VLOOKUP(C202, Percentage_dist_journeys_by_mode_and_distance_6_to_8km[#All],MATCH(A202, Percentage_dist_journeys_by_mode_and_distance_6_to_8km[#Headers],0),0)/100</f>
        <v>0</v>
      </c>
      <c r="I202" s="72">
        <f>IF(B202="8+ kilometres",1,0)*VLOOKUP(C202, Percentage_dist_journeys_by_mode_and_distance_8km[#All],MATCH(A202, Percentage_dist_journeys_by_mode_and_distance_8km[#Headers],0),0)/100</f>
        <v>4.9000000000000002E-2</v>
      </c>
      <c r="J202" s="73">
        <f>VLOOKUP(B202,Average_Distance_by_kilometre_grouping_for_mode_type[#All],MATCH(A202,Average_Distance_by_kilometre_grouping_for_mode_type[#Headers],0),0)</f>
        <v>41.2</v>
      </c>
      <c r="K202" s="77">
        <f>VLOOKUP(C202, Adjustment_factor_for_distance_based_on_mode[#All],MATCH(A202, Adjustment_factor_for_distance_based_on_mode[#Headers],0),0)</f>
        <v>1.4969325153374231</v>
      </c>
      <c r="L202" s="78">
        <f>VLOOKUP($L$2, Total_Journeys_Per_Year[#All],MATCH(A202, Total_Journeys_Per_Year[#Headers],0),0)</f>
        <v>3079198792.0558629</v>
      </c>
      <c r="M202" s="35">
        <f t="shared" si="3"/>
        <v>4029221494.2282443</v>
      </c>
      <c r="N202" s="35">
        <f>VLOOKUP($N$2, Private_Vehicle_Kilometres_Car_Stock[#All],MATCH(A202, Private_Vehicle_Kilometres_Car_Stock[#Headers],0),0)</f>
        <v>36171159701</v>
      </c>
    </row>
    <row r="203" spans="1:14" x14ac:dyDescent="0.25">
      <c r="A203" s="79" t="s">
        <v>39</v>
      </c>
      <c r="B203" s="13" t="s">
        <v>12</v>
      </c>
      <c r="C203" s="14" t="s">
        <v>5</v>
      </c>
      <c r="D203" s="5">
        <f>VLOOKUP(B203,Percentage_distribution_of_journey_distance_for_all_regions[#All],MATCH(A203,Percentage_distribution_of_journey_distance_for_all_regions[#Headers],0),0)/100</f>
        <v>0.28600000000000003</v>
      </c>
      <c r="E203" s="71">
        <f>IF(B203="&lt;2 kilometres",1,0)*VLOOKUP(C203, Percentage_dist_journeys_by_mode_and_distance_to_2km[#All],MATCH(A203, Percentage_dist_journeys_by_mode_and_distance_to_2km[#Headers],0),0)/100</f>
        <v>0.51400000000000001</v>
      </c>
      <c r="F203" s="4">
        <f>IF(B203="2-4 kilometres",1,0)*VLOOKUP(C203, Percentage_dist_journeys_by_mode_and_distance_2_to_4km[#All],MATCH(A203, Percentage_dist_journeys_by_mode_and_distance_2_to_4km[#Headers],0),0)/100</f>
        <v>0</v>
      </c>
      <c r="G203" s="72">
        <f>IF(B203="4-6 kilometres",1,0)*VLOOKUP(C203, Percentage_dist_journeys_by_mode_and_distance_4_to_6km[#All],MATCH(A203, Percentage_dist_journeys_by_mode_and_distance_4_to_6km[#Headers],0),0)/100</f>
        <v>0</v>
      </c>
      <c r="H203" s="4">
        <f>IF(B203="6-8 kilometres",1,0)*VLOOKUP(C203, Percentage_dist_journeys_by_mode_and_distance_6_to_8km[#All],MATCH(A203, Percentage_dist_journeys_by_mode_and_distance_6_to_8km[#Headers],0),0)/100</f>
        <v>0</v>
      </c>
      <c r="I203" s="72">
        <f>IF(B203="8+ kilometres",1,0)*VLOOKUP(C203, Percentage_dist_journeys_by_mode_and_distance_8km[#All],MATCH(A203, Percentage_dist_journeys_by_mode_and_distance_8km[#Headers],0),0)/100</f>
        <v>0</v>
      </c>
      <c r="J203" s="73">
        <f>VLOOKUP(B203,Average_Distance_by_kilometre_grouping_for_mode_type[#All],MATCH(A203,Average_Distance_by_kilometre_grouping_for_mode_type[#Headers],0),0)</f>
        <v>1</v>
      </c>
      <c r="K203" s="77">
        <f>VLOOKUP(C203, Adjustment_factor_for_distance_based_on_mode[#All],MATCH(A203, Adjustment_factor_for_distance_based_on_mode[#Headers],0),0)</f>
        <v>1</v>
      </c>
      <c r="L203" s="78">
        <f>VLOOKUP($L$2, Total_Journeys_Per_Year[#All],MATCH(A203, Total_Journeys_Per_Year[#Headers],0),0)</f>
        <v>5369880000</v>
      </c>
      <c r="M203" s="35">
        <f t="shared" si="3"/>
        <v>789393839.5200001</v>
      </c>
      <c r="N203" s="35">
        <f>VLOOKUP($N$2, Private_Vehicle_Kilometres_Car_Stock[#All],MATCH(A203, Private_Vehicle_Kilometres_Car_Stock[#Headers],0),0)</f>
        <v>36195324272</v>
      </c>
    </row>
    <row r="204" spans="1:14" x14ac:dyDescent="0.25">
      <c r="A204" s="79" t="s">
        <v>39</v>
      </c>
      <c r="B204" s="13" t="s">
        <v>181</v>
      </c>
      <c r="C204" s="14" t="s">
        <v>5</v>
      </c>
      <c r="D204" s="5">
        <f>VLOOKUP(B204,Percentage_distribution_of_journey_distance_for_all_regions[#All],MATCH(A204,Percentage_distribution_of_journey_distance_for_all_regions[#Headers],0),0)/100</f>
        <v>0.15</v>
      </c>
      <c r="E204" s="71">
        <f>IF(B204="&lt;2 kilometres",1,0)*VLOOKUP(C204, Percentage_dist_journeys_by_mode_and_distance_to_2km[#All],MATCH(A204, Percentage_dist_journeys_by_mode_and_distance_to_2km[#Headers],0),0)/100</f>
        <v>0</v>
      </c>
      <c r="F204" s="4">
        <f>IF(B204="2-4 kilometres",1,0)*VLOOKUP(C204, Percentage_dist_journeys_by_mode_and_distance_2_to_4km[#All],MATCH(A204, Percentage_dist_journeys_by_mode_and_distance_2_to_4km[#Headers],0),0)/100</f>
        <v>0.66099999999999992</v>
      </c>
      <c r="G204" s="72">
        <f>IF(B204="4-6 kilometres",1,0)*VLOOKUP(C204, Percentage_dist_journeys_by_mode_and_distance_4_to_6km[#All],MATCH(A204, Percentage_dist_journeys_by_mode_and_distance_4_to_6km[#Headers],0),0)/100</f>
        <v>0</v>
      </c>
      <c r="H204" s="4">
        <f>IF(B204="6-8 kilometres",1,0)*VLOOKUP(C204, Percentage_dist_journeys_by_mode_and_distance_6_to_8km[#All],MATCH(A204, Percentage_dist_journeys_by_mode_and_distance_6_to_8km[#Headers],0),0)/100</f>
        <v>0</v>
      </c>
      <c r="I204" s="72">
        <f>IF(B204="8+ kilometres",1,0)*VLOOKUP(C204, Percentage_dist_journeys_by_mode_and_distance_8km[#All],MATCH(A204, Percentage_dist_journeys_by_mode_and_distance_8km[#Headers],0),0)/100</f>
        <v>0</v>
      </c>
      <c r="J204" s="73">
        <f>VLOOKUP(B204,Average_Distance_by_kilometre_grouping_for_mode_type[#All],MATCH(A204,Average_Distance_by_kilometre_grouping_for_mode_type[#Headers],0),0)</f>
        <v>3</v>
      </c>
      <c r="K204" s="77">
        <f>VLOOKUP(C204, Adjustment_factor_for_distance_based_on_mode[#All],MATCH(A204, Adjustment_factor_for_distance_based_on_mode[#Headers],0),0)</f>
        <v>1</v>
      </c>
      <c r="L204" s="78">
        <f>VLOOKUP($L$2, Total_Journeys_Per_Year[#All],MATCH(A204, Total_Journeys_Per_Year[#Headers],0),0)</f>
        <v>5369880000</v>
      </c>
      <c r="M204" s="35">
        <f t="shared" si="3"/>
        <v>1597270806</v>
      </c>
      <c r="N204" s="35">
        <f>VLOOKUP($N$2, Private_Vehicle_Kilometres_Car_Stock[#All],MATCH(A204, Private_Vehicle_Kilometres_Car_Stock[#Headers],0),0)</f>
        <v>36195324272</v>
      </c>
    </row>
    <row r="205" spans="1:14" x14ac:dyDescent="0.25">
      <c r="A205" s="79" t="s">
        <v>39</v>
      </c>
      <c r="B205" s="13" t="s">
        <v>180</v>
      </c>
      <c r="C205" s="14" t="s">
        <v>5</v>
      </c>
      <c r="D205" s="5">
        <f>VLOOKUP(B205,Percentage_distribution_of_journey_distance_for_all_regions[#All],MATCH(A205,Percentage_distribution_of_journey_distance_for_all_regions[#Headers],0),0)/100</f>
        <v>0.125</v>
      </c>
      <c r="E205" s="71">
        <f>IF(B205="&lt;2 kilometres",1,0)*VLOOKUP(C205, Percentage_dist_journeys_by_mode_and_distance_to_2km[#All],MATCH(A205, Percentage_dist_journeys_by_mode_and_distance_to_2km[#Headers],0),0)/100</f>
        <v>0</v>
      </c>
      <c r="F205" s="4">
        <f>IF(B205="2-4 kilometres",1,0)*VLOOKUP(C205, Percentage_dist_journeys_by_mode_and_distance_2_to_4km[#All],MATCH(A205, Percentage_dist_journeys_by_mode_and_distance_2_to_4km[#Headers],0),0)/100</f>
        <v>0</v>
      </c>
      <c r="G205" s="72">
        <f>IF(B205="4-6 kilometres",1,0)*VLOOKUP(C205, Percentage_dist_journeys_by_mode_and_distance_4_to_6km[#All],MATCH(A205, Percentage_dist_journeys_by_mode_and_distance_4_to_6km[#Headers],0),0)/100</f>
        <v>0.70641282565130259</v>
      </c>
      <c r="H205" s="4">
        <f>IF(B205="6-8 kilometres",1,0)*VLOOKUP(C205, Percentage_dist_journeys_by_mode_and_distance_6_to_8km[#All],MATCH(A205, Percentage_dist_journeys_by_mode_and_distance_6_to_8km[#Headers],0),0)/100</f>
        <v>0</v>
      </c>
      <c r="I205" s="72">
        <f>IF(B205="8+ kilometres",1,0)*VLOOKUP(C205, Percentage_dist_journeys_by_mode_and_distance_8km[#All],MATCH(A205, Percentage_dist_journeys_by_mode_and_distance_8km[#Headers],0),0)/100</f>
        <v>0</v>
      </c>
      <c r="J205" s="73">
        <f>VLOOKUP(B205,Average_Distance_by_kilometre_grouping_for_mode_type[#All],MATCH(A205,Average_Distance_by_kilometre_grouping_for_mode_type[#Headers],0),0)</f>
        <v>5</v>
      </c>
      <c r="K205" s="77">
        <f>VLOOKUP(C205, Adjustment_factor_for_distance_based_on_mode[#All],MATCH(A205, Adjustment_factor_for_distance_based_on_mode[#Headers],0),0)</f>
        <v>1</v>
      </c>
      <c r="L205" s="78">
        <f>VLOOKUP($L$2, Total_Journeys_Per_Year[#All],MATCH(A205, Total_Journeys_Per_Year[#Headers],0),0)</f>
        <v>5369880000</v>
      </c>
      <c r="M205" s="35">
        <f t="shared" si="3"/>
        <v>2370845065.1302605</v>
      </c>
      <c r="N205" s="35">
        <f>VLOOKUP($N$2, Private_Vehicle_Kilometres_Car_Stock[#All],MATCH(A205, Private_Vehicle_Kilometres_Car_Stock[#Headers],0),0)</f>
        <v>36195324272</v>
      </c>
    </row>
    <row r="206" spans="1:14" x14ac:dyDescent="0.25">
      <c r="A206" s="79" t="s">
        <v>39</v>
      </c>
      <c r="B206" s="13" t="s">
        <v>182</v>
      </c>
      <c r="C206" s="14" t="s">
        <v>5</v>
      </c>
      <c r="D206" s="5">
        <f>VLOOKUP(B206,Percentage_distribution_of_journey_distance_for_all_regions[#All],MATCH(A206,Percentage_distribution_of_journey_distance_for_all_regions[#Headers],0),0)/100</f>
        <v>7.0000000000000007E-2</v>
      </c>
      <c r="E206" s="71">
        <f>IF(B206="&lt;2 kilometres",1,0)*VLOOKUP(C206, Percentage_dist_journeys_by_mode_and_distance_to_2km[#All],MATCH(A206, Percentage_dist_journeys_by_mode_and_distance_to_2km[#Headers],0),0)/100</f>
        <v>0</v>
      </c>
      <c r="F206" s="4">
        <f>IF(B206="2-4 kilometres",1,0)*VLOOKUP(C206, Percentage_dist_journeys_by_mode_and_distance_2_to_4km[#All],MATCH(A206, Percentage_dist_journeys_by_mode_and_distance_2_to_4km[#Headers],0),0)/100</f>
        <v>0</v>
      </c>
      <c r="G206" s="72">
        <f>IF(B206="4-6 kilometres",1,0)*VLOOKUP(C206, Percentage_dist_journeys_by_mode_and_distance_4_to_6km[#All],MATCH(A206, Percentage_dist_journeys_by_mode_and_distance_4_to_6km[#Headers],0),0)/100</f>
        <v>0</v>
      </c>
      <c r="H206" s="4">
        <f>IF(B206="6-8 kilometres",1,0)*VLOOKUP(C206, Percentage_dist_journeys_by_mode_and_distance_6_to_8km[#All],MATCH(A206, Percentage_dist_journeys_by_mode_and_distance_6_to_8km[#Headers],0),0)/100</f>
        <v>0.70599999999999996</v>
      </c>
      <c r="I206" s="72">
        <f>IF(B206="8+ kilometres",1,0)*VLOOKUP(C206, Percentage_dist_journeys_by_mode_and_distance_8km[#All],MATCH(A206, Percentage_dist_journeys_by_mode_and_distance_8km[#Headers],0),0)/100</f>
        <v>0</v>
      </c>
      <c r="J206" s="73">
        <f>VLOOKUP(B206,Average_Distance_by_kilometre_grouping_for_mode_type[#All],MATCH(A206,Average_Distance_by_kilometre_grouping_for_mode_type[#Headers],0),0)</f>
        <v>7</v>
      </c>
      <c r="K206" s="77">
        <f>VLOOKUP(C206, Adjustment_factor_for_distance_based_on_mode[#All],MATCH(A206, Adjustment_factor_for_distance_based_on_mode[#Headers],0),0)</f>
        <v>1</v>
      </c>
      <c r="L206" s="78">
        <f>VLOOKUP($L$2, Total_Journeys_Per_Year[#All],MATCH(A206, Total_Journeys_Per_Year[#Headers],0),0)</f>
        <v>5369880000</v>
      </c>
      <c r="M206" s="35">
        <f t="shared" si="3"/>
        <v>1857656287.1999998</v>
      </c>
      <c r="N206" s="35">
        <f>VLOOKUP($N$2, Private_Vehicle_Kilometres_Car_Stock[#All],MATCH(A206, Private_Vehicle_Kilometres_Car_Stock[#Headers],0),0)</f>
        <v>36195324272</v>
      </c>
    </row>
    <row r="207" spans="1:14" x14ac:dyDescent="0.25">
      <c r="A207" s="79" t="s">
        <v>39</v>
      </c>
      <c r="B207" s="13" t="s">
        <v>1</v>
      </c>
      <c r="C207" s="14" t="s">
        <v>5</v>
      </c>
      <c r="D207" s="5">
        <f>VLOOKUP(B207,Percentage_distribution_of_journey_distance_for_all_regions[#All],MATCH(A207,Percentage_distribution_of_journey_distance_for_all_regions[#Headers],0),0)/100</f>
        <v>0.36799999999999999</v>
      </c>
      <c r="E207" s="71">
        <f>IF(B207="&lt;2 kilometres",1,0)*VLOOKUP(C207, Percentage_dist_journeys_by_mode_and_distance_to_2km[#All],MATCH(A207, Percentage_dist_journeys_by_mode_and_distance_to_2km[#Headers],0),0)/100</f>
        <v>0</v>
      </c>
      <c r="F207" s="4">
        <f>IF(B207="2-4 kilometres",1,0)*VLOOKUP(C207, Percentage_dist_journeys_by_mode_and_distance_2_to_4km[#All],MATCH(A207, Percentage_dist_journeys_by_mode_and_distance_2_to_4km[#Headers],0),0)/100</f>
        <v>0</v>
      </c>
      <c r="G207" s="72">
        <f>IF(B207="4-6 kilometres",1,0)*VLOOKUP(C207, Percentage_dist_journeys_by_mode_and_distance_4_to_6km[#All],MATCH(A207, Percentage_dist_journeys_by_mode_and_distance_4_to_6km[#Headers],0),0)/100</f>
        <v>0</v>
      </c>
      <c r="H207" s="4">
        <f>IF(B207="6-8 kilometres",1,0)*VLOOKUP(C207, Percentage_dist_journeys_by_mode_and_distance_6_to_8km[#All],MATCH(A207, Percentage_dist_journeys_by_mode_and_distance_6_to_8km[#Headers],0),0)/100</f>
        <v>0</v>
      </c>
      <c r="I207" s="72">
        <f>IF(B207="8+ kilometres",1,0)*VLOOKUP(C207, Percentage_dist_journeys_by_mode_and_distance_8km[#All],MATCH(A207, Percentage_dist_journeys_by_mode_and_distance_8km[#Headers],0),0)/100</f>
        <v>0.71900000000000008</v>
      </c>
      <c r="J207" s="73">
        <f>VLOOKUP(B207,Average_Distance_by_kilometre_grouping_for_mode_type[#All],MATCH(A207,Average_Distance_by_kilometre_grouping_for_mode_type[#Headers],0),0)</f>
        <v>25.7</v>
      </c>
      <c r="K207" s="77">
        <f>VLOOKUP(C207, Adjustment_factor_for_distance_based_on_mode[#All],MATCH(A207, Adjustment_factor_for_distance_based_on_mode[#Headers],0),0)</f>
        <v>1</v>
      </c>
      <c r="L207" s="78">
        <f>VLOOKUP($L$2, Total_Journeys_Per_Year[#All],MATCH(A207, Total_Journeys_Per_Year[#Headers],0),0)</f>
        <v>5369880000</v>
      </c>
      <c r="M207" s="35">
        <f t="shared" si="3"/>
        <v>36515261326.272003</v>
      </c>
      <c r="N207" s="35">
        <f>VLOOKUP($N$2, Private_Vehicle_Kilometres_Car_Stock[#All],MATCH(A207, Private_Vehicle_Kilometres_Car_Stock[#Headers],0),0)</f>
        <v>36195324272</v>
      </c>
    </row>
    <row r="208" spans="1:14" x14ac:dyDescent="0.25">
      <c r="A208" s="79" t="s">
        <v>39</v>
      </c>
      <c r="B208" s="13" t="s">
        <v>12</v>
      </c>
      <c r="C208" s="14" t="s">
        <v>6</v>
      </c>
      <c r="D208" s="5">
        <f>VLOOKUP(B208,Percentage_distribution_of_journey_distance_for_all_regions[#All],MATCH(A208,Percentage_distribution_of_journey_distance_for_all_regions[#Headers],0),0)/100</f>
        <v>0.28600000000000003</v>
      </c>
      <c r="E208" s="71">
        <f>IF(B208="&lt;2 kilometres",1,0)*VLOOKUP(C208, Percentage_dist_journeys_by_mode_and_distance_to_2km[#All],MATCH(A208, Percentage_dist_journeys_by_mode_and_distance_to_2km[#Headers],0),0)/100</f>
        <v>5.4000000000000006E-2</v>
      </c>
      <c r="F208" s="4">
        <f>IF(B208="2-4 kilometres",1,0)*VLOOKUP(C208, Percentage_dist_journeys_by_mode_and_distance_2_to_4km[#All],MATCH(A208, Percentage_dist_journeys_by_mode_and_distance_2_to_4km[#Headers],0),0)/100</f>
        <v>0</v>
      </c>
      <c r="G208" s="72">
        <f>IF(B208="4-6 kilometres",1,0)*VLOOKUP(C208, Percentage_dist_journeys_by_mode_and_distance_4_to_6km[#All],MATCH(A208, Percentage_dist_journeys_by_mode_and_distance_4_to_6km[#Headers],0),0)/100</f>
        <v>0</v>
      </c>
      <c r="H208" s="4">
        <f>IF(B208="6-8 kilometres",1,0)*VLOOKUP(C208, Percentage_dist_journeys_by_mode_and_distance_6_to_8km[#All],MATCH(A208, Percentage_dist_journeys_by_mode_and_distance_6_to_8km[#Headers],0),0)/100</f>
        <v>0</v>
      </c>
      <c r="I208" s="72">
        <f>IF(B208="8+ kilometres",1,0)*VLOOKUP(C208, Percentage_dist_journeys_by_mode_and_distance_8km[#All],MATCH(A208, Percentage_dist_journeys_by_mode_and_distance_8km[#Headers],0),0)/100</f>
        <v>0</v>
      </c>
      <c r="J208" s="73">
        <f>VLOOKUP(B208,Average_Distance_by_kilometre_grouping_for_mode_type[#All],MATCH(A208,Average_Distance_by_kilometre_grouping_for_mode_type[#Headers],0),0)</f>
        <v>1</v>
      </c>
      <c r="K208" s="77">
        <f>VLOOKUP(C208, Adjustment_factor_for_distance_based_on_mode[#All],MATCH(A208, Adjustment_factor_for_distance_based_on_mode[#Headers],0),0)</f>
        <v>1.5073529411764706</v>
      </c>
      <c r="L208" s="78">
        <f>VLOOKUP($L$2, Total_Journeys_Per_Year[#All],MATCH(A208, Total_Journeys_Per_Year[#Headers],0),0)</f>
        <v>5369880000</v>
      </c>
      <c r="M208" s="35">
        <f t="shared" si="3"/>
        <v>125008437.33529414</v>
      </c>
      <c r="N208" s="35">
        <f>VLOOKUP($N$2, Private_Vehicle_Kilometres_Car_Stock[#All],MATCH(A208, Private_Vehicle_Kilometres_Car_Stock[#Headers],0),0)</f>
        <v>36195324272</v>
      </c>
    </row>
    <row r="209" spans="1:14" x14ac:dyDescent="0.25">
      <c r="A209" s="79" t="s">
        <v>39</v>
      </c>
      <c r="B209" s="13" t="s">
        <v>181</v>
      </c>
      <c r="C209" s="14" t="s">
        <v>6</v>
      </c>
      <c r="D209" s="5">
        <f>VLOOKUP(B209,Percentage_distribution_of_journey_distance_for_all_regions[#All],MATCH(A209,Percentage_distribution_of_journey_distance_for_all_regions[#Headers],0),0)/100</f>
        <v>0.15</v>
      </c>
      <c r="E209" s="71">
        <f>IF(B209="&lt;2 kilometres",1,0)*VLOOKUP(C209, Percentage_dist_journeys_by_mode_and_distance_to_2km[#All],MATCH(A209, Percentage_dist_journeys_by_mode_and_distance_to_2km[#Headers],0),0)/100</f>
        <v>0</v>
      </c>
      <c r="F209" s="4">
        <f>IF(B209="2-4 kilometres",1,0)*VLOOKUP(C209, Percentage_dist_journeys_by_mode_and_distance_2_to_4km[#All],MATCH(A209, Percentage_dist_journeys_by_mode_and_distance_2_to_4km[#Headers],0),0)/100</f>
        <v>6.5000000000000002E-2</v>
      </c>
      <c r="G209" s="72">
        <f>IF(B209="4-6 kilometres",1,0)*VLOOKUP(C209, Percentage_dist_journeys_by_mode_and_distance_4_to_6km[#All],MATCH(A209, Percentage_dist_journeys_by_mode_and_distance_4_to_6km[#Headers],0),0)/100</f>
        <v>0</v>
      </c>
      <c r="H209" s="4">
        <f>IF(B209="6-8 kilometres",1,0)*VLOOKUP(C209, Percentage_dist_journeys_by_mode_and_distance_6_to_8km[#All],MATCH(A209, Percentage_dist_journeys_by_mode_and_distance_6_to_8km[#Headers],0),0)/100</f>
        <v>0</v>
      </c>
      <c r="I209" s="72">
        <f>IF(B209="8+ kilometres",1,0)*VLOOKUP(C209, Percentage_dist_journeys_by_mode_and_distance_8km[#All],MATCH(A209, Percentage_dist_journeys_by_mode_and_distance_8km[#Headers],0),0)/100</f>
        <v>0</v>
      </c>
      <c r="J209" s="73">
        <f>VLOOKUP(B209,Average_Distance_by_kilometre_grouping_for_mode_type[#All],MATCH(A209,Average_Distance_by_kilometre_grouping_for_mode_type[#Headers],0),0)</f>
        <v>3</v>
      </c>
      <c r="K209" s="77">
        <f>VLOOKUP(C209, Adjustment_factor_for_distance_based_on_mode[#All],MATCH(A209, Adjustment_factor_for_distance_based_on_mode[#Headers],0),0)</f>
        <v>1.5073529411764706</v>
      </c>
      <c r="L209" s="78">
        <f>VLOOKUP($L$2, Total_Journeys_Per_Year[#All],MATCH(A209, Total_Journeys_Per_Year[#Headers],0),0)</f>
        <v>5369880000</v>
      </c>
      <c r="M209" s="35">
        <f t="shared" si="3"/>
        <v>236758404.0441176</v>
      </c>
      <c r="N209" s="35">
        <f>VLOOKUP($N$2, Private_Vehicle_Kilometres_Car_Stock[#All],MATCH(A209, Private_Vehicle_Kilometres_Car_Stock[#Headers],0),0)</f>
        <v>36195324272</v>
      </c>
    </row>
    <row r="210" spans="1:14" x14ac:dyDescent="0.25">
      <c r="A210" s="79" t="s">
        <v>39</v>
      </c>
      <c r="B210" s="13" t="s">
        <v>180</v>
      </c>
      <c r="C210" s="14" t="s">
        <v>6</v>
      </c>
      <c r="D210" s="5">
        <f>VLOOKUP(B210,Percentage_distribution_of_journey_distance_for_all_regions[#All],MATCH(A210,Percentage_distribution_of_journey_distance_for_all_regions[#Headers],0),0)/100</f>
        <v>0.125</v>
      </c>
      <c r="E210" s="71">
        <f>IF(B210="&lt;2 kilometres",1,0)*VLOOKUP(C210, Percentage_dist_journeys_by_mode_and_distance_to_2km[#All],MATCH(A210, Percentage_dist_journeys_by_mode_and_distance_to_2km[#Headers],0),0)/100</f>
        <v>0</v>
      </c>
      <c r="F210" s="4">
        <f>IF(B210="2-4 kilometres",1,0)*VLOOKUP(C210, Percentage_dist_journeys_by_mode_and_distance_2_to_4km[#All],MATCH(A210, Percentage_dist_journeys_by_mode_and_distance_2_to_4km[#Headers],0),0)/100</f>
        <v>0</v>
      </c>
      <c r="G210" s="72">
        <f>IF(B210="4-6 kilometres",1,0)*VLOOKUP(C210, Percentage_dist_journeys_by_mode_and_distance_4_to_6km[#All],MATCH(A210, Percentage_dist_journeys_by_mode_and_distance_4_to_6km[#Headers],0),0)/100</f>
        <v>8.5170340681362727E-2</v>
      </c>
      <c r="H210" s="4">
        <f>IF(B210="6-8 kilometres",1,0)*VLOOKUP(C210, Percentage_dist_journeys_by_mode_and_distance_6_to_8km[#All],MATCH(A210, Percentage_dist_journeys_by_mode_and_distance_6_to_8km[#Headers],0),0)/100</f>
        <v>0</v>
      </c>
      <c r="I210" s="72">
        <f>IF(B210="8+ kilometres",1,0)*VLOOKUP(C210, Percentage_dist_journeys_by_mode_and_distance_8km[#All],MATCH(A210, Percentage_dist_journeys_by_mode_and_distance_8km[#Headers],0),0)/100</f>
        <v>0</v>
      </c>
      <c r="J210" s="73">
        <f>VLOOKUP(B210,Average_Distance_by_kilometre_grouping_for_mode_type[#All],MATCH(A210,Average_Distance_by_kilometre_grouping_for_mode_type[#Headers],0),0)</f>
        <v>5</v>
      </c>
      <c r="K210" s="77">
        <f>VLOOKUP(C210, Adjustment_factor_for_distance_based_on_mode[#All],MATCH(A210, Adjustment_factor_for_distance_based_on_mode[#Headers],0),0)</f>
        <v>1.5073529411764706</v>
      </c>
      <c r="L210" s="78">
        <f>VLOOKUP($L$2, Total_Journeys_Per_Year[#All],MATCH(A210, Total_Journeys_Per_Year[#Headers],0),0)</f>
        <v>5369880000</v>
      </c>
      <c r="M210" s="35">
        <f t="shared" si="3"/>
        <v>430871665.2054109</v>
      </c>
      <c r="N210" s="35">
        <f>VLOOKUP($N$2, Private_Vehicle_Kilometres_Car_Stock[#All],MATCH(A210, Private_Vehicle_Kilometres_Car_Stock[#Headers],0),0)</f>
        <v>36195324272</v>
      </c>
    </row>
    <row r="211" spans="1:14" x14ac:dyDescent="0.25">
      <c r="A211" s="79" t="s">
        <v>39</v>
      </c>
      <c r="B211" s="13" t="s">
        <v>182</v>
      </c>
      <c r="C211" s="14" t="s">
        <v>6</v>
      </c>
      <c r="D211" s="5">
        <f>VLOOKUP(B211,Percentage_distribution_of_journey_distance_for_all_regions[#All],MATCH(A211,Percentage_distribution_of_journey_distance_for_all_regions[#Headers],0),0)/100</f>
        <v>7.0000000000000007E-2</v>
      </c>
      <c r="E211" s="71">
        <f>IF(B211="&lt;2 kilometres",1,0)*VLOOKUP(C211, Percentage_dist_journeys_by_mode_and_distance_to_2km[#All],MATCH(A211, Percentage_dist_journeys_by_mode_and_distance_to_2km[#Headers],0),0)/100</f>
        <v>0</v>
      </c>
      <c r="F211" s="4">
        <f>IF(B211="2-4 kilometres",1,0)*VLOOKUP(C211, Percentage_dist_journeys_by_mode_and_distance_2_to_4km[#All],MATCH(A211, Percentage_dist_journeys_by_mode_and_distance_2_to_4km[#Headers],0),0)/100</f>
        <v>0</v>
      </c>
      <c r="G211" s="72">
        <f>IF(B211="4-6 kilometres",1,0)*VLOOKUP(C211, Percentage_dist_journeys_by_mode_and_distance_4_to_6km[#All],MATCH(A211, Percentage_dist_journeys_by_mode_and_distance_4_to_6km[#Headers],0),0)/100</f>
        <v>0</v>
      </c>
      <c r="H211" s="4">
        <f>IF(B211="6-8 kilometres",1,0)*VLOOKUP(C211, Percentage_dist_journeys_by_mode_and_distance_6_to_8km[#All],MATCH(A211, Percentage_dist_journeys_by_mode_and_distance_6_to_8km[#Headers],0),0)/100</f>
        <v>7.0000000000000007E-2</v>
      </c>
      <c r="I211" s="72">
        <f>IF(B211="8+ kilometres",1,0)*VLOOKUP(C211, Percentage_dist_journeys_by_mode_and_distance_8km[#All],MATCH(A211, Percentage_dist_journeys_by_mode_and_distance_8km[#Headers],0),0)/100</f>
        <v>0</v>
      </c>
      <c r="J211" s="73">
        <f>VLOOKUP(B211,Average_Distance_by_kilometre_grouping_for_mode_type[#All],MATCH(A211,Average_Distance_by_kilometre_grouping_for_mode_type[#Headers],0),0)</f>
        <v>7</v>
      </c>
      <c r="K211" s="77">
        <f>VLOOKUP(C211, Adjustment_factor_for_distance_based_on_mode[#All],MATCH(A211, Adjustment_factor_for_distance_based_on_mode[#Headers],0),0)</f>
        <v>1.5073529411764706</v>
      </c>
      <c r="L211" s="78">
        <f>VLOOKUP($L$2, Total_Journeys_Per_Year[#All],MATCH(A211, Total_Journeys_Per_Year[#Headers],0),0)</f>
        <v>5369880000</v>
      </c>
      <c r="M211" s="35">
        <f t="shared" si="3"/>
        <v>277634641.32352948</v>
      </c>
      <c r="N211" s="35">
        <f>VLOOKUP($N$2, Private_Vehicle_Kilometres_Car_Stock[#All],MATCH(A211, Private_Vehicle_Kilometres_Car_Stock[#Headers],0),0)</f>
        <v>36195324272</v>
      </c>
    </row>
    <row r="212" spans="1:14" x14ac:dyDescent="0.25">
      <c r="A212" s="79" t="s">
        <v>39</v>
      </c>
      <c r="B212" s="13" t="s">
        <v>1</v>
      </c>
      <c r="C212" s="14" t="s">
        <v>6</v>
      </c>
      <c r="D212" s="5">
        <f>VLOOKUP(B212,Percentage_distribution_of_journey_distance_for_all_regions[#All],MATCH(A212,Percentage_distribution_of_journey_distance_for_all_regions[#Headers],0),0)/100</f>
        <v>0.36799999999999999</v>
      </c>
      <c r="E212" s="71">
        <f>IF(B212="&lt;2 kilometres",1,0)*VLOOKUP(C212, Percentage_dist_journeys_by_mode_and_distance_to_2km[#All],MATCH(A212, Percentage_dist_journeys_by_mode_and_distance_to_2km[#Headers],0),0)/100</f>
        <v>0</v>
      </c>
      <c r="F212" s="4">
        <f>IF(B212="2-4 kilometres",1,0)*VLOOKUP(C212, Percentage_dist_journeys_by_mode_and_distance_2_to_4km[#All],MATCH(A212, Percentage_dist_journeys_by_mode_and_distance_2_to_4km[#Headers],0),0)/100</f>
        <v>0</v>
      </c>
      <c r="G212" s="72">
        <f>IF(B212="4-6 kilometres",1,0)*VLOOKUP(C212, Percentage_dist_journeys_by_mode_and_distance_4_to_6km[#All],MATCH(A212, Percentage_dist_journeys_by_mode_and_distance_4_to_6km[#Headers],0),0)/100</f>
        <v>0</v>
      </c>
      <c r="H212" s="4">
        <f>IF(B212="6-8 kilometres",1,0)*VLOOKUP(C212, Percentage_dist_journeys_by_mode_and_distance_6_to_8km[#All],MATCH(A212, Percentage_dist_journeys_by_mode_and_distance_6_to_8km[#Headers],0),0)/100</f>
        <v>0</v>
      </c>
      <c r="I212" s="72">
        <f>IF(B212="8+ kilometres",1,0)*VLOOKUP(C212, Percentage_dist_journeys_by_mode_and_distance_8km[#All],MATCH(A212, Percentage_dist_journeys_by_mode_and_distance_8km[#Headers],0),0)/100</f>
        <v>0.127</v>
      </c>
      <c r="J212" s="73">
        <f>VLOOKUP(B212,Average_Distance_by_kilometre_grouping_for_mode_type[#All],MATCH(A212,Average_Distance_by_kilometre_grouping_for_mode_type[#Headers],0),0)</f>
        <v>25.7</v>
      </c>
      <c r="K212" s="77">
        <f>VLOOKUP(C212, Adjustment_factor_for_distance_based_on_mode[#All],MATCH(A212, Adjustment_factor_for_distance_based_on_mode[#Headers],0),0)</f>
        <v>1.5073529411764706</v>
      </c>
      <c r="L212" s="78">
        <f>VLOOKUP($L$2, Total_Journeys_Per_Year[#All],MATCH(A212, Total_Journeys_Per_Year[#Headers],0),0)</f>
        <v>5369880000</v>
      </c>
      <c r="M212" s="35">
        <f t="shared" si="3"/>
        <v>9722192062.3976479</v>
      </c>
      <c r="N212" s="35">
        <f>VLOOKUP($N$2, Private_Vehicle_Kilometres_Car_Stock[#All],MATCH(A212, Private_Vehicle_Kilometres_Car_Stock[#Headers],0),0)</f>
        <v>36195324272</v>
      </c>
    </row>
    <row r="213" spans="1:14" x14ac:dyDescent="0.25">
      <c r="A213" s="79" t="s">
        <v>39</v>
      </c>
      <c r="B213" s="13" t="s">
        <v>12</v>
      </c>
      <c r="C213" s="14" t="s">
        <v>7</v>
      </c>
      <c r="D213" s="5">
        <f>VLOOKUP(B213,Percentage_distribution_of_journey_distance_for_all_regions[#All],MATCH(A213,Percentage_distribution_of_journey_distance_for_all_regions[#Headers],0),0)/100</f>
        <v>0.28600000000000003</v>
      </c>
      <c r="E213" s="71">
        <f>IF(B213="&lt;2 kilometres",1,0)*VLOOKUP(C213, Percentage_dist_journeys_by_mode_and_distance_to_2km[#All],MATCH(A213, Percentage_dist_journeys_by_mode_and_distance_to_2km[#Headers],0),0)/100</f>
        <v>0.36099999999999999</v>
      </c>
      <c r="F213" s="4">
        <f>IF(B213="2-4 kilometres",1,0)*VLOOKUP(C213, Percentage_dist_journeys_by_mode_and_distance_2_to_4km[#All],MATCH(A213, Percentage_dist_journeys_by_mode_and_distance_2_to_4km[#Headers],0),0)/100</f>
        <v>0</v>
      </c>
      <c r="G213" s="72">
        <f>IF(B213="4-6 kilometres",1,0)*VLOOKUP(C213, Percentage_dist_journeys_by_mode_and_distance_4_to_6km[#All],MATCH(A213, Percentage_dist_journeys_by_mode_and_distance_4_to_6km[#Headers],0),0)/100</f>
        <v>0</v>
      </c>
      <c r="H213" s="4">
        <f>IF(B213="6-8 kilometres",1,0)*VLOOKUP(C213, Percentage_dist_journeys_by_mode_and_distance_6_to_8km[#All],MATCH(A213, Percentage_dist_journeys_by_mode_and_distance_6_to_8km[#Headers],0),0)/100</f>
        <v>0</v>
      </c>
      <c r="I213" s="72">
        <f>IF(B213="8+ kilometres",1,0)*VLOOKUP(C213, Percentage_dist_journeys_by_mode_and_distance_8km[#All],MATCH(A213, Percentage_dist_journeys_by_mode_and_distance_8km[#Headers],0),0)/100</f>
        <v>0</v>
      </c>
      <c r="J213" s="73">
        <f>VLOOKUP(B213,Average_Distance_by_kilometre_grouping_for_mode_type[#All],MATCH(A213,Average_Distance_by_kilometre_grouping_for_mode_type[#Headers],0),0)</f>
        <v>1</v>
      </c>
      <c r="K213" s="77">
        <f>VLOOKUP(C213, Adjustment_factor_for_distance_based_on_mode[#All],MATCH(A213, Adjustment_factor_for_distance_based_on_mode[#Headers],0),0)</f>
        <v>0.1985294117647059</v>
      </c>
      <c r="L213" s="78">
        <f>VLOOKUP($L$2, Total_Journeys_Per_Year[#All],MATCH(A213, Total_Journeys_Per_Year[#Headers],0),0)</f>
        <v>5369880000</v>
      </c>
      <c r="M213" s="35">
        <f t="shared" si="3"/>
        <v>110068404.58058825</v>
      </c>
      <c r="N213" s="35">
        <f>VLOOKUP($N$2, Private_Vehicle_Kilometres_Car_Stock[#All],MATCH(A213, Private_Vehicle_Kilometres_Car_Stock[#Headers],0),0)</f>
        <v>36195324272</v>
      </c>
    </row>
    <row r="214" spans="1:14" x14ac:dyDescent="0.25">
      <c r="A214" s="79" t="s">
        <v>39</v>
      </c>
      <c r="B214" s="13" t="s">
        <v>181</v>
      </c>
      <c r="C214" s="14" t="s">
        <v>7</v>
      </c>
      <c r="D214" s="5">
        <f>VLOOKUP(B214,Percentage_distribution_of_journey_distance_for_all_regions[#All],MATCH(A214,Percentage_distribution_of_journey_distance_for_all_regions[#Headers],0),0)/100</f>
        <v>0.15</v>
      </c>
      <c r="E214" s="71">
        <f>IF(B214="&lt;2 kilometres",1,0)*VLOOKUP(C214, Percentage_dist_journeys_by_mode_and_distance_to_2km[#All],MATCH(A214, Percentage_dist_journeys_by_mode_and_distance_to_2km[#Headers],0),0)/100</f>
        <v>0</v>
      </c>
      <c r="F214" s="4">
        <f>IF(B214="2-4 kilometres",1,0)*VLOOKUP(C214, Percentage_dist_journeys_by_mode_and_distance_2_to_4km[#All],MATCH(A214, Percentage_dist_journeys_by_mode_and_distance_2_to_4km[#Headers],0),0)/100</f>
        <v>0.126</v>
      </c>
      <c r="G214" s="72">
        <f>IF(B214="4-6 kilometres",1,0)*VLOOKUP(C214, Percentage_dist_journeys_by_mode_and_distance_4_to_6km[#All],MATCH(A214, Percentage_dist_journeys_by_mode_and_distance_4_to_6km[#Headers],0),0)/100</f>
        <v>0</v>
      </c>
      <c r="H214" s="4">
        <f>IF(B214="6-8 kilometres",1,0)*VLOOKUP(C214, Percentage_dist_journeys_by_mode_and_distance_6_to_8km[#All],MATCH(A214, Percentage_dist_journeys_by_mode_and_distance_6_to_8km[#Headers],0),0)/100</f>
        <v>0</v>
      </c>
      <c r="I214" s="72">
        <f>IF(B214="8+ kilometres",1,0)*VLOOKUP(C214, Percentage_dist_journeys_by_mode_and_distance_8km[#All],MATCH(A214, Percentage_dist_journeys_by_mode_and_distance_8km[#Headers],0),0)/100</f>
        <v>0</v>
      </c>
      <c r="J214" s="73">
        <f>VLOOKUP(B214,Average_Distance_by_kilometre_grouping_for_mode_type[#All],MATCH(A214,Average_Distance_by_kilometre_grouping_for_mode_type[#Headers],0),0)</f>
        <v>3</v>
      </c>
      <c r="K214" s="77">
        <f>VLOOKUP(C214, Adjustment_factor_for_distance_based_on_mode[#All],MATCH(A214, Adjustment_factor_for_distance_based_on_mode[#Headers],0),0)</f>
        <v>0.1985294117647059</v>
      </c>
      <c r="L214" s="78">
        <f>VLOOKUP($L$2, Total_Journeys_Per_Year[#All],MATCH(A214, Total_Journeys_Per_Year[#Headers],0),0)</f>
        <v>5369880000</v>
      </c>
      <c r="M214" s="35">
        <f t="shared" si="3"/>
        <v>60446685.970588244</v>
      </c>
      <c r="N214" s="35">
        <f>VLOOKUP($N$2, Private_Vehicle_Kilometres_Car_Stock[#All],MATCH(A214, Private_Vehicle_Kilometres_Car_Stock[#Headers],0),0)</f>
        <v>36195324272</v>
      </c>
    </row>
    <row r="215" spans="1:14" x14ac:dyDescent="0.25">
      <c r="A215" s="79" t="s">
        <v>39</v>
      </c>
      <c r="B215" s="13" t="s">
        <v>180</v>
      </c>
      <c r="C215" s="14" t="s">
        <v>7</v>
      </c>
      <c r="D215" s="5">
        <f>VLOOKUP(B215,Percentage_distribution_of_journey_distance_for_all_regions[#All],MATCH(A215,Percentage_distribution_of_journey_distance_for_all_regions[#Headers],0),0)/100</f>
        <v>0.125</v>
      </c>
      <c r="E215" s="71">
        <f>IF(B215="&lt;2 kilometres",1,0)*VLOOKUP(C215, Percentage_dist_journeys_by_mode_and_distance_to_2km[#All],MATCH(A215, Percentage_dist_journeys_by_mode_and_distance_to_2km[#Headers],0),0)/100</f>
        <v>0</v>
      </c>
      <c r="F215" s="4">
        <f>IF(B215="2-4 kilometres",1,0)*VLOOKUP(C215, Percentage_dist_journeys_by_mode_and_distance_2_to_4km[#All],MATCH(A215, Percentage_dist_journeys_by_mode_and_distance_2_to_4km[#Headers],0),0)/100</f>
        <v>0</v>
      </c>
      <c r="G215" s="72">
        <f>IF(B215="4-6 kilometres",1,0)*VLOOKUP(C215, Percentage_dist_journeys_by_mode_and_distance_4_to_6km[#All],MATCH(A215, Percentage_dist_journeys_by_mode_and_distance_4_to_6km[#Headers],0),0)/100</f>
        <v>5.5110220440881763E-2</v>
      </c>
      <c r="H215" s="4">
        <f>IF(B215="6-8 kilometres",1,0)*VLOOKUP(C215, Percentage_dist_journeys_by_mode_and_distance_6_to_8km[#All],MATCH(A215, Percentage_dist_journeys_by_mode_and_distance_6_to_8km[#Headers],0),0)/100</f>
        <v>0</v>
      </c>
      <c r="I215" s="72">
        <f>IF(B215="8+ kilometres",1,0)*VLOOKUP(C215, Percentage_dist_journeys_by_mode_and_distance_8km[#All],MATCH(A215, Percentage_dist_journeys_by_mode_and_distance_8km[#Headers],0),0)/100</f>
        <v>0</v>
      </c>
      <c r="J215" s="73">
        <f>VLOOKUP(B215,Average_Distance_by_kilometre_grouping_for_mode_type[#All],MATCH(A215,Average_Distance_by_kilometre_grouping_for_mode_type[#Headers],0),0)</f>
        <v>5</v>
      </c>
      <c r="K215" s="77">
        <f>VLOOKUP(C215, Adjustment_factor_for_distance_based_on_mode[#All],MATCH(A215, Adjustment_factor_for_distance_based_on_mode[#Headers],0),0)</f>
        <v>0.1985294117647059</v>
      </c>
      <c r="L215" s="78">
        <f>VLOOKUP($L$2, Total_Journeys_Per_Year[#All],MATCH(A215, Total_Journeys_Per_Year[#Headers],0),0)</f>
        <v>5369880000</v>
      </c>
      <c r="M215" s="35">
        <f t="shared" si="3"/>
        <v>36719909.488093838</v>
      </c>
      <c r="N215" s="35">
        <f>VLOOKUP($N$2, Private_Vehicle_Kilometres_Car_Stock[#All],MATCH(A215, Private_Vehicle_Kilometres_Car_Stock[#Headers],0),0)</f>
        <v>36195324272</v>
      </c>
    </row>
    <row r="216" spans="1:14" x14ac:dyDescent="0.25">
      <c r="A216" s="79" t="s">
        <v>39</v>
      </c>
      <c r="B216" s="13" t="s">
        <v>182</v>
      </c>
      <c r="C216" s="14" t="s">
        <v>7</v>
      </c>
      <c r="D216" s="5">
        <f>VLOOKUP(B216,Percentage_distribution_of_journey_distance_for_all_regions[#All],MATCH(A216,Percentage_distribution_of_journey_distance_for_all_regions[#Headers],0),0)/100</f>
        <v>7.0000000000000007E-2</v>
      </c>
      <c r="E216" s="71">
        <f>IF(B216="&lt;2 kilometres",1,0)*VLOOKUP(C216, Percentage_dist_journeys_by_mode_and_distance_to_2km[#All],MATCH(A216, Percentage_dist_journeys_by_mode_and_distance_to_2km[#Headers],0),0)/100</f>
        <v>0</v>
      </c>
      <c r="F216" s="4">
        <f>IF(B216="2-4 kilometres",1,0)*VLOOKUP(C216, Percentage_dist_journeys_by_mode_and_distance_2_to_4km[#All],MATCH(A216, Percentage_dist_journeys_by_mode_and_distance_2_to_4km[#Headers],0),0)/100</f>
        <v>0</v>
      </c>
      <c r="G216" s="72">
        <f>IF(B216="4-6 kilometres",1,0)*VLOOKUP(C216, Percentage_dist_journeys_by_mode_and_distance_4_to_6km[#All],MATCH(A216, Percentage_dist_journeys_by_mode_and_distance_4_to_6km[#Headers],0),0)/100</f>
        <v>0</v>
      </c>
      <c r="H216" s="4">
        <f>IF(B216="6-8 kilometres",1,0)*VLOOKUP(C216, Percentage_dist_journeys_by_mode_and_distance_6_to_8km[#All],MATCH(A216, Percentage_dist_journeys_by_mode_and_distance_6_to_8km[#Headers],0),0)/100</f>
        <v>4.9000000000000002E-2</v>
      </c>
      <c r="I216" s="72">
        <f>IF(B216="8+ kilometres",1,0)*VLOOKUP(C216, Percentage_dist_journeys_by_mode_and_distance_8km[#All],MATCH(A216, Percentage_dist_journeys_by_mode_and_distance_8km[#Headers],0),0)/100</f>
        <v>0</v>
      </c>
      <c r="J216" s="73">
        <f>VLOOKUP(B216,Average_Distance_by_kilometre_grouping_for_mode_type[#All],MATCH(A216,Average_Distance_by_kilometre_grouping_for_mode_type[#Headers],0),0)</f>
        <v>7</v>
      </c>
      <c r="K216" s="77">
        <f>VLOOKUP(C216, Adjustment_factor_for_distance_based_on_mode[#All],MATCH(A216, Adjustment_factor_for_distance_based_on_mode[#Headers],0),0)</f>
        <v>0.1985294117647059</v>
      </c>
      <c r="L216" s="78">
        <f>VLOOKUP($L$2, Total_Journeys_Per_Year[#All],MATCH(A216, Total_Journeys_Per_Year[#Headers],0),0)</f>
        <v>5369880000</v>
      </c>
      <c r="M216" s="35">
        <f t="shared" si="3"/>
        <v>25596559.614705887</v>
      </c>
      <c r="N216" s="35">
        <f>VLOOKUP($N$2, Private_Vehicle_Kilometres_Car_Stock[#All],MATCH(A216, Private_Vehicle_Kilometres_Car_Stock[#Headers],0),0)</f>
        <v>36195324272</v>
      </c>
    </row>
    <row r="217" spans="1:14" x14ac:dyDescent="0.25">
      <c r="A217" s="79" t="s">
        <v>39</v>
      </c>
      <c r="B217" s="13" t="s">
        <v>1</v>
      </c>
      <c r="C217" s="14" t="s">
        <v>7</v>
      </c>
      <c r="D217" s="5">
        <f>VLOOKUP(B217,Percentage_distribution_of_journey_distance_for_all_regions[#All],MATCH(A217,Percentage_distribution_of_journey_distance_for_all_regions[#Headers],0),0)/100</f>
        <v>0.36799999999999999</v>
      </c>
      <c r="E217" s="71">
        <f>IF(B217="&lt;2 kilometres",1,0)*VLOOKUP(C217, Percentage_dist_journeys_by_mode_and_distance_to_2km[#All],MATCH(A217, Percentage_dist_journeys_by_mode_and_distance_to_2km[#Headers],0),0)/100</f>
        <v>0</v>
      </c>
      <c r="F217" s="4">
        <f>IF(B217="2-4 kilometres",1,0)*VLOOKUP(C217, Percentage_dist_journeys_by_mode_and_distance_2_to_4km[#All],MATCH(A217, Percentage_dist_journeys_by_mode_and_distance_2_to_4km[#Headers],0),0)/100</f>
        <v>0</v>
      </c>
      <c r="G217" s="72">
        <f>IF(B217="4-6 kilometres",1,0)*VLOOKUP(C217, Percentage_dist_journeys_by_mode_and_distance_4_to_6km[#All],MATCH(A217, Percentage_dist_journeys_by_mode_and_distance_4_to_6km[#Headers],0),0)/100</f>
        <v>0</v>
      </c>
      <c r="H217" s="4">
        <f>IF(B217="6-8 kilometres",1,0)*VLOOKUP(C217, Percentage_dist_journeys_by_mode_and_distance_6_to_8km[#All],MATCH(A217, Percentage_dist_journeys_by_mode_and_distance_6_to_8km[#Headers],0),0)/100</f>
        <v>0</v>
      </c>
      <c r="I217" s="72">
        <f>IF(B217="8+ kilometres",1,0)*VLOOKUP(C217, Percentage_dist_journeys_by_mode_and_distance_8km[#All],MATCH(A217, Percentage_dist_journeys_by_mode_and_distance_8km[#Headers],0),0)/100</f>
        <v>6.9999999999999993E-3</v>
      </c>
      <c r="J217" s="73">
        <f>VLOOKUP(B217,Average_Distance_by_kilometre_grouping_for_mode_type[#All],MATCH(A217,Average_Distance_by_kilometre_grouping_for_mode_type[#Headers],0),0)</f>
        <v>25.7</v>
      </c>
      <c r="K217" s="77">
        <f>VLOOKUP(C217, Adjustment_factor_for_distance_based_on_mode[#All],MATCH(A217, Adjustment_factor_for_distance_based_on_mode[#Headers],0),0)</f>
        <v>0.1985294117647059</v>
      </c>
      <c r="L217" s="78">
        <f>VLOOKUP($L$2, Total_Journeys_Per_Year[#All],MATCH(A217, Total_Journeys_Per_Year[#Headers],0),0)</f>
        <v>5369880000</v>
      </c>
      <c r="M217" s="35">
        <f t="shared" si="3"/>
        <v>70577849.041411757</v>
      </c>
      <c r="N217" s="35">
        <f>VLOOKUP($N$2, Private_Vehicle_Kilometres_Car_Stock[#All],MATCH(A217, Private_Vehicle_Kilometres_Car_Stock[#Headers],0),0)</f>
        <v>36195324272</v>
      </c>
    </row>
    <row r="218" spans="1:14" x14ac:dyDescent="0.25">
      <c r="A218" s="79" t="s">
        <v>39</v>
      </c>
      <c r="B218" s="13" t="s">
        <v>12</v>
      </c>
      <c r="C218" s="14" t="s">
        <v>8</v>
      </c>
      <c r="D218" s="5">
        <f>VLOOKUP(B218,Percentage_distribution_of_journey_distance_for_all_regions[#All],MATCH(A218,Percentage_distribution_of_journey_distance_for_all_regions[#Headers],0),0)/100</f>
        <v>0.28600000000000003</v>
      </c>
      <c r="E218" s="71">
        <f>IF(B218="&lt;2 kilometres",1,0)*VLOOKUP(C218, Percentage_dist_journeys_by_mode_and_distance_to_2km[#All],MATCH(A218, Percentage_dist_journeys_by_mode_and_distance_to_2km[#Headers],0),0)/100</f>
        <v>1.7000000000000001E-2</v>
      </c>
      <c r="F218" s="4">
        <f>IF(B218="2-4 kilometres",1,0)*VLOOKUP(C218, Percentage_dist_journeys_by_mode_and_distance_2_to_4km[#All],MATCH(A218, Percentage_dist_journeys_by_mode_and_distance_2_to_4km[#Headers],0),0)/100</f>
        <v>0</v>
      </c>
      <c r="G218" s="72">
        <f>IF(B218="4-6 kilometres",1,0)*VLOOKUP(C218, Percentage_dist_journeys_by_mode_and_distance_4_to_6km[#All],MATCH(A218, Percentage_dist_journeys_by_mode_and_distance_4_to_6km[#Headers],0),0)/100</f>
        <v>0</v>
      </c>
      <c r="H218" s="4">
        <f>IF(B218="6-8 kilometres",1,0)*VLOOKUP(C218, Percentage_dist_journeys_by_mode_and_distance_6_to_8km[#All],MATCH(A218, Percentage_dist_journeys_by_mode_and_distance_6_to_8km[#Headers],0),0)/100</f>
        <v>0</v>
      </c>
      <c r="I218" s="72">
        <f>IF(B218="8+ kilometres",1,0)*VLOOKUP(C218, Percentage_dist_journeys_by_mode_and_distance_8km[#All],MATCH(A218, Percentage_dist_journeys_by_mode_and_distance_8km[#Headers],0),0)/100</f>
        <v>0</v>
      </c>
      <c r="J218" s="73">
        <f>VLOOKUP(B218,Average_Distance_by_kilometre_grouping_for_mode_type[#All],MATCH(A218,Average_Distance_by_kilometre_grouping_for_mode_type[#Headers],0),0)</f>
        <v>1</v>
      </c>
      <c r="K218" s="77">
        <f>VLOOKUP(C218, Adjustment_factor_for_distance_based_on_mode[#All],MATCH(A218, Adjustment_factor_for_distance_based_on_mode[#Headers],0),0)</f>
        <v>1.1985294117647061</v>
      </c>
      <c r="L218" s="78">
        <f>VLOOKUP($L$2, Total_Journeys_Per_Year[#All],MATCH(A218, Total_Journeys_Per_Year[#Headers],0),0)</f>
        <v>5369880000</v>
      </c>
      <c r="M218" s="35">
        <f t="shared" si="3"/>
        <v>31291633.230000008</v>
      </c>
      <c r="N218" s="35">
        <f>VLOOKUP($N$2, Private_Vehicle_Kilometres_Car_Stock[#All],MATCH(A218, Private_Vehicle_Kilometres_Car_Stock[#Headers],0),0)</f>
        <v>36195324272</v>
      </c>
    </row>
    <row r="219" spans="1:14" x14ac:dyDescent="0.25">
      <c r="A219" s="79" t="s">
        <v>39</v>
      </c>
      <c r="B219" s="13" t="s">
        <v>181</v>
      </c>
      <c r="C219" s="14" t="s">
        <v>8</v>
      </c>
      <c r="D219" s="5">
        <f>VLOOKUP(B219,Percentage_distribution_of_journey_distance_for_all_regions[#All],MATCH(A219,Percentage_distribution_of_journey_distance_for_all_regions[#Headers],0),0)/100</f>
        <v>0.15</v>
      </c>
      <c r="E219" s="71">
        <f>IF(B219="&lt;2 kilometres",1,0)*VLOOKUP(C219, Percentage_dist_journeys_by_mode_and_distance_to_2km[#All],MATCH(A219, Percentage_dist_journeys_by_mode_and_distance_to_2km[#Headers],0),0)/100</f>
        <v>0</v>
      </c>
      <c r="F219" s="4">
        <f>IF(B219="2-4 kilometres",1,0)*VLOOKUP(C219, Percentage_dist_journeys_by_mode_and_distance_2_to_4km[#All],MATCH(A219, Percentage_dist_journeys_by_mode_and_distance_2_to_4km[#Headers],0),0)/100</f>
        <v>8.1000000000000003E-2</v>
      </c>
      <c r="G219" s="72">
        <f>IF(B219="4-6 kilometres",1,0)*VLOOKUP(C219, Percentage_dist_journeys_by_mode_and_distance_4_to_6km[#All],MATCH(A219, Percentage_dist_journeys_by_mode_and_distance_4_to_6km[#Headers],0),0)/100</f>
        <v>0</v>
      </c>
      <c r="H219" s="4">
        <f>IF(B219="6-8 kilometres",1,0)*VLOOKUP(C219, Percentage_dist_journeys_by_mode_and_distance_6_to_8km[#All],MATCH(A219, Percentage_dist_journeys_by_mode_and_distance_6_to_8km[#Headers],0),0)/100</f>
        <v>0</v>
      </c>
      <c r="I219" s="72">
        <f>IF(B219="8+ kilometres",1,0)*VLOOKUP(C219, Percentage_dist_journeys_by_mode_and_distance_8km[#All],MATCH(A219, Percentage_dist_journeys_by_mode_and_distance_8km[#Headers],0),0)/100</f>
        <v>0</v>
      </c>
      <c r="J219" s="73">
        <f>VLOOKUP(B219,Average_Distance_by_kilometre_grouping_for_mode_type[#All],MATCH(A219,Average_Distance_by_kilometre_grouping_for_mode_type[#Headers],0),0)</f>
        <v>3</v>
      </c>
      <c r="K219" s="77">
        <f>VLOOKUP(C219, Adjustment_factor_for_distance_based_on_mode[#All],MATCH(A219, Adjustment_factor_for_distance_based_on_mode[#Headers],0),0)</f>
        <v>1.1985294117647061</v>
      </c>
      <c r="L219" s="78">
        <f>VLOOKUP($L$2, Total_Journeys_Per_Year[#All],MATCH(A219, Total_Journeys_Per_Year[#Headers],0),0)</f>
        <v>5369880000</v>
      </c>
      <c r="M219" s="35">
        <f t="shared" si="3"/>
        <v>234590709.83823529</v>
      </c>
      <c r="N219" s="35">
        <f>VLOOKUP($N$2, Private_Vehicle_Kilometres_Car_Stock[#All],MATCH(A219, Private_Vehicle_Kilometres_Car_Stock[#Headers],0),0)</f>
        <v>36195324272</v>
      </c>
    </row>
    <row r="220" spans="1:14" x14ac:dyDescent="0.25">
      <c r="A220" s="79" t="s">
        <v>39</v>
      </c>
      <c r="B220" s="13" t="s">
        <v>180</v>
      </c>
      <c r="C220" s="14" t="s">
        <v>8</v>
      </c>
      <c r="D220" s="5">
        <f>VLOOKUP(B220,Percentage_distribution_of_journey_distance_for_all_regions[#All],MATCH(A220,Percentage_distribution_of_journey_distance_for_all_regions[#Headers],0),0)/100</f>
        <v>0.125</v>
      </c>
      <c r="E220" s="71">
        <f>IF(B220="&lt;2 kilometres",1,0)*VLOOKUP(C220, Percentage_dist_journeys_by_mode_and_distance_to_2km[#All],MATCH(A220, Percentage_dist_journeys_by_mode_and_distance_to_2km[#Headers],0),0)/100</f>
        <v>0</v>
      </c>
      <c r="F220" s="4">
        <f>IF(B220="2-4 kilometres",1,0)*VLOOKUP(C220, Percentage_dist_journeys_by_mode_and_distance_2_to_4km[#All],MATCH(A220, Percentage_dist_journeys_by_mode_and_distance_2_to_4km[#Headers],0),0)/100</f>
        <v>0</v>
      </c>
      <c r="G220" s="72">
        <f>IF(B220="4-6 kilometres",1,0)*VLOOKUP(C220, Percentage_dist_journeys_by_mode_and_distance_4_to_6km[#All],MATCH(A220, Percentage_dist_journeys_by_mode_and_distance_4_to_6km[#Headers],0),0)/100</f>
        <v>6.7134268537074146E-2</v>
      </c>
      <c r="H220" s="4">
        <f>IF(B220="6-8 kilometres",1,0)*VLOOKUP(C220, Percentage_dist_journeys_by_mode_and_distance_6_to_8km[#All],MATCH(A220, Percentage_dist_journeys_by_mode_and_distance_6_to_8km[#Headers],0),0)/100</f>
        <v>0</v>
      </c>
      <c r="I220" s="72">
        <f>IF(B220="8+ kilometres",1,0)*VLOOKUP(C220, Percentage_dist_journeys_by_mode_and_distance_8km[#All],MATCH(A220, Percentage_dist_journeys_by_mode_and_distance_8km[#Headers],0),0)/100</f>
        <v>0</v>
      </c>
      <c r="J220" s="73">
        <f>VLOOKUP(B220,Average_Distance_by_kilometre_grouping_for_mode_type[#All],MATCH(A220,Average_Distance_by_kilometre_grouping_for_mode_type[#Headers],0),0)</f>
        <v>5</v>
      </c>
      <c r="K220" s="77">
        <f>VLOOKUP(C220, Adjustment_factor_for_distance_based_on_mode[#All],MATCH(A220, Adjustment_factor_for_distance_based_on_mode[#Headers],0),0)</f>
        <v>1.1985294117647061</v>
      </c>
      <c r="L220" s="78">
        <f>VLOOKUP($L$2, Total_Journeys_Per_Year[#All],MATCH(A220, Total_Journeys_Per_Year[#Headers],0),0)</f>
        <v>5369880000</v>
      </c>
      <c r="M220" s="35">
        <f t="shared" si="3"/>
        <v>270045879.81109279</v>
      </c>
      <c r="N220" s="35">
        <f>VLOOKUP($N$2, Private_Vehicle_Kilometres_Car_Stock[#All],MATCH(A220, Private_Vehicle_Kilometres_Car_Stock[#Headers],0),0)</f>
        <v>36195324272</v>
      </c>
    </row>
    <row r="221" spans="1:14" x14ac:dyDescent="0.25">
      <c r="A221" s="79" t="s">
        <v>39</v>
      </c>
      <c r="B221" s="13" t="s">
        <v>182</v>
      </c>
      <c r="C221" s="14" t="s">
        <v>8</v>
      </c>
      <c r="D221" s="5">
        <f>VLOOKUP(B221,Percentage_distribution_of_journey_distance_for_all_regions[#All],MATCH(A221,Percentage_distribution_of_journey_distance_for_all_regions[#Headers],0),0)/100</f>
        <v>7.0000000000000007E-2</v>
      </c>
      <c r="E221" s="71">
        <f>IF(B221="&lt;2 kilometres",1,0)*VLOOKUP(C221, Percentage_dist_journeys_by_mode_and_distance_to_2km[#All],MATCH(A221, Percentage_dist_journeys_by_mode_and_distance_to_2km[#Headers],0),0)/100</f>
        <v>0</v>
      </c>
      <c r="F221" s="4">
        <f>IF(B221="2-4 kilometres",1,0)*VLOOKUP(C221, Percentage_dist_journeys_by_mode_and_distance_2_to_4km[#All],MATCH(A221, Percentage_dist_journeys_by_mode_and_distance_2_to_4km[#Headers],0),0)/100</f>
        <v>0</v>
      </c>
      <c r="G221" s="72">
        <f>IF(B221="4-6 kilometres",1,0)*VLOOKUP(C221, Percentage_dist_journeys_by_mode_and_distance_4_to_6km[#All],MATCH(A221, Percentage_dist_journeys_by_mode_and_distance_4_to_6km[#Headers],0),0)/100</f>
        <v>0</v>
      </c>
      <c r="H221" s="4">
        <f>IF(B221="6-8 kilometres",1,0)*VLOOKUP(C221, Percentage_dist_journeys_by_mode_and_distance_6_to_8km[#All],MATCH(A221, Percentage_dist_journeys_by_mode_and_distance_6_to_8km[#Headers],0),0)/100</f>
        <v>7.8E-2</v>
      </c>
      <c r="I221" s="72">
        <f>IF(B221="8+ kilometres",1,0)*VLOOKUP(C221, Percentage_dist_journeys_by_mode_and_distance_8km[#All],MATCH(A221, Percentage_dist_journeys_by_mode_and_distance_8km[#Headers],0),0)/100</f>
        <v>0</v>
      </c>
      <c r="J221" s="73">
        <f>VLOOKUP(B221,Average_Distance_by_kilometre_grouping_for_mode_type[#All],MATCH(A221,Average_Distance_by_kilometre_grouping_for_mode_type[#Headers],0),0)</f>
        <v>7</v>
      </c>
      <c r="K221" s="77">
        <f>VLOOKUP(C221, Adjustment_factor_for_distance_based_on_mode[#All],MATCH(A221, Adjustment_factor_for_distance_based_on_mode[#Headers],0),0)</f>
        <v>1.1985294117647061</v>
      </c>
      <c r="L221" s="78">
        <f>VLOOKUP($L$2, Total_Journeys_Per_Year[#All],MATCH(A221, Total_Journeys_Per_Year[#Headers],0),0)</f>
        <v>5369880000</v>
      </c>
      <c r="M221" s="35">
        <f t="shared" si="3"/>
        <v>245982357.47647065</v>
      </c>
      <c r="N221" s="35">
        <f>VLOOKUP($N$2, Private_Vehicle_Kilometres_Car_Stock[#All],MATCH(A221, Private_Vehicle_Kilometres_Car_Stock[#Headers],0),0)</f>
        <v>36195324272</v>
      </c>
    </row>
    <row r="222" spans="1:14" x14ac:dyDescent="0.25">
      <c r="A222" s="79" t="s">
        <v>39</v>
      </c>
      <c r="B222" s="13" t="s">
        <v>1</v>
      </c>
      <c r="C222" s="14" t="s">
        <v>8</v>
      </c>
      <c r="D222" s="5">
        <f>VLOOKUP(B222,Percentage_distribution_of_journey_distance_for_all_regions[#All],MATCH(A222,Percentage_distribution_of_journey_distance_for_all_regions[#Headers],0),0)/100</f>
        <v>0.36799999999999999</v>
      </c>
      <c r="E222" s="71">
        <f>IF(B222="&lt;2 kilometres",1,0)*VLOOKUP(C222, Percentage_dist_journeys_by_mode_and_distance_to_2km[#All],MATCH(A222, Percentage_dist_journeys_by_mode_and_distance_to_2km[#Headers],0),0)/100</f>
        <v>0</v>
      </c>
      <c r="F222" s="4">
        <f>IF(B222="2-4 kilometres",1,0)*VLOOKUP(C222, Percentage_dist_journeys_by_mode_and_distance_2_to_4km[#All],MATCH(A222, Percentage_dist_journeys_by_mode_and_distance_2_to_4km[#Headers],0),0)/100</f>
        <v>0</v>
      </c>
      <c r="G222" s="72">
        <f>IF(B222="4-6 kilometres",1,0)*VLOOKUP(C222, Percentage_dist_journeys_by_mode_and_distance_4_to_6km[#All],MATCH(A222, Percentage_dist_journeys_by_mode_and_distance_4_to_6km[#Headers],0),0)/100</f>
        <v>0</v>
      </c>
      <c r="H222" s="4">
        <f>IF(B222="6-8 kilometres",1,0)*VLOOKUP(C222, Percentage_dist_journeys_by_mode_and_distance_6_to_8km[#All],MATCH(A222, Percentage_dist_journeys_by_mode_and_distance_6_to_8km[#Headers],0),0)/100</f>
        <v>0</v>
      </c>
      <c r="I222" s="72">
        <f>IF(B222="8+ kilometres",1,0)*VLOOKUP(C222, Percentage_dist_journeys_by_mode_and_distance_8km[#All],MATCH(A222, Percentage_dist_journeys_by_mode_and_distance_8km[#Headers],0),0)/100</f>
        <v>4.7E-2</v>
      </c>
      <c r="J222" s="73">
        <f>VLOOKUP(B222,Average_Distance_by_kilometre_grouping_for_mode_type[#All],MATCH(A222,Average_Distance_by_kilometre_grouping_for_mode_type[#Headers],0),0)</f>
        <v>25.7</v>
      </c>
      <c r="K222" s="77">
        <f>VLOOKUP(C222, Adjustment_factor_for_distance_based_on_mode[#All],MATCH(A222, Adjustment_factor_for_distance_based_on_mode[#Headers],0),0)</f>
        <v>1.1985294117647061</v>
      </c>
      <c r="L222" s="78">
        <f>VLOOKUP($L$2, Total_Journeys_Per_Year[#All],MATCH(A222, Total_Journeys_Per_Year[#Headers],0),0)</f>
        <v>5369880000</v>
      </c>
      <c r="M222" s="35">
        <f t="shared" si="3"/>
        <v>2860830166.6997647</v>
      </c>
      <c r="N222" s="35">
        <f>VLOOKUP($N$2, Private_Vehicle_Kilometres_Car_Stock[#All],MATCH(A222, Private_Vehicle_Kilometres_Car_Stock[#Headers],0),0)</f>
        <v>36195324272</v>
      </c>
    </row>
    <row r="223" spans="1:14" x14ac:dyDescent="0.25">
      <c r="A223" s="79" t="s">
        <v>39</v>
      </c>
      <c r="B223" s="13" t="s">
        <v>12</v>
      </c>
      <c r="C223" s="14" t="s">
        <v>9</v>
      </c>
      <c r="D223" s="5">
        <f>VLOOKUP(B223,Percentage_distribution_of_journey_distance_for_all_regions[#All],MATCH(A223,Percentage_distribution_of_journey_distance_for_all_regions[#Headers],0),0)/100</f>
        <v>0.28600000000000003</v>
      </c>
      <c r="E223" s="71">
        <f>IF(B223="&lt;2 kilometres",1,0)*VLOOKUP(C223, Percentage_dist_journeys_by_mode_and_distance_to_2km[#All],MATCH(A223, Percentage_dist_journeys_by_mode_and_distance_to_2km[#Headers],0),0)/100</f>
        <v>0.02</v>
      </c>
      <c r="F223" s="4">
        <f>IF(B223="2-4 kilometres",1,0)*VLOOKUP(C223, Percentage_dist_journeys_by_mode_and_distance_2_to_4km[#All],MATCH(A223, Percentage_dist_journeys_by_mode_and_distance_2_to_4km[#Headers],0),0)/100</f>
        <v>0</v>
      </c>
      <c r="G223" s="72">
        <f>IF(B223="4-6 kilometres",1,0)*VLOOKUP(C223, Percentage_dist_journeys_by_mode_and_distance_4_to_6km[#All],MATCH(A223, Percentage_dist_journeys_by_mode_and_distance_4_to_6km[#Headers],0),0)/100</f>
        <v>0</v>
      </c>
      <c r="H223" s="4">
        <f>IF(B223="6-8 kilometres",1,0)*VLOOKUP(C223, Percentage_dist_journeys_by_mode_and_distance_6_to_8km[#All],MATCH(A223, Percentage_dist_journeys_by_mode_and_distance_6_to_8km[#Headers],0),0)/100</f>
        <v>0</v>
      </c>
      <c r="I223" s="72">
        <f>IF(B223="8+ kilometres",1,0)*VLOOKUP(C223, Percentage_dist_journeys_by_mode_and_distance_8km[#All],MATCH(A223, Percentage_dist_journeys_by_mode_and_distance_8km[#Headers],0),0)/100</f>
        <v>0</v>
      </c>
      <c r="J223" s="73">
        <f>VLOOKUP(B223,Average_Distance_by_kilometre_grouping_for_mode_type[#All],MATCH(A223,Average_Distance_by_kilometre_grouping_for_mode_type[#Headers],0),0)</f>
        <v>1</v>
      </c>
      <c r="K223" s="77">
        <f>VLOOKUP(C223, Adjustment_factor_for_distance_based_on_mode[#All],MATCH(A223, Adjustment_factor_for_distance_based_on_mode[#Headers],0),0)</f>
        <v>0.41911764705882354</v>
      </c>
      <c r="L223" s="78">
        <f>VLOOKUP($L$2, Total_Journeys_Per_Year[#All],MATCH(A223, Total_Journeys_Per_Year[#Headers],0),0)</f>
        <v>5369880000</v>
      </c>
      <c r="M223" s="35">
        <f t="shared" si="3"/>
        <v>12873497.611764709</v>
      </c>
      <c r="N223" s="35">
        <f>VLOOKUP($N$2, Private_Vehicle_Kilometres_Car_Stock[#All],MATCH(A223, Private_Vehicle_Kilometres_Car_Stock[#Headers],0),0)</f>
        <v>36195324272</v>
      </c>
    </row>
    <row r="224" spans="1:14" x14ac:dyDescent="0.25">
      <c r="A224" s="79" t="s">
        <v>39</v>
      </c>
      <c r="B224" s="13" t="s">
        <v>181</v>
      </c>
      <c r="C224" s="14" t="s">
        <v>9</v>
      </c>
      <c r="D224" s="5">
        <f>VLOOKUP(B224,Percentage_distribution_of_journey_distance_for_all_regions[#All],MATCH(A224,Percentage_distribution_of_journey_distance_for_all_regions[#Headers],0),0)/100</f>
        <v>0.15</v>
      </c>
      <c r="E224" s="71">
        <f>IF(B224="&lt;2 kilometres",1,0)*VLOOKUP(C224, Percentage_dist_journeys_by_mode_and_distance_to_2km[#All],MATCH(A224, Percentage_dist_journeys_by_mode_and_distance_to_2km[#Headers],0),0)/100</f>
        <v>0</v>
      </c>
      <c r="F224" s="4">
        <f>IF(B224="2-4 kilometres",1,0)*VLOOKUP(C224, Percentage_dist_journeys_by_mode_and_distance_2_to_4km[#All],MATCH(A224, Percentage_dist_journeys_by_mode_and_distance_2_to_4km[#Headers],0),0)/100</f>
        <v>2.3E-2</v>
      </c>
      <c r="G224" s="72">
        <f>IF(B224="4-6 kilometres",1,0)*VLOOKUP(C224, Percentage_dist_journeys_by_mode_and_distance_4_to_6km[#All],MATCH(A224, Percentage_dist_journeys_by_mode_and_distance_4_to_6km[#Headers],0),0)/100</f>
        <v>0</v>
      </c>
      <c r="H224" s="4">
        <f>IF(B224="6-8 kilometres",1,0)*VLOOKUP(C224, Percentage_dist_journeys_by_mode_and_distance_6_to_8km[#All],MATCH(A224, Percentage_dist_journeys_by_mode_and_distance_6_to_8km[#Headers],0),0)/100</f>
        <v>0</v>
      </c>
      <c r="I224" s="72">
        <f>IF(B224="8+ kilometres",1,0)*VLOOKUP(C224, Percentage_dist_journeys_by_mode_and_distance_8km[#All],MATCH(A224, Percentage_dist_journeys_by_mode_and_distance_8km[#Headers],0),0)/100</f>
        <v>0</v>
      </c>
      <c r="J224" s="73">
        <f>VLOOKUP(B224,Average_Distance_by_kilometre_grouping_for_mode_type[#All],MATCH(A224,Average_Distance_by_kilometre_grouping_for_mode_type[#Headers],0),0)</f>
        <v>3</v>
      </c>
      <c r="K224" s="77">
        <f>VLOOKUP(C224, Adjustment_factor_for_distance_based_on_mode[#All],MATCH(A224, Adjustment_factor_for_distance_based_on_mode[#Headers],0),0)</f>
        <v>0.41911764705882354</v>
      </c>
      <c r="L224" s="78">
        <f>VLOOKUP($L$2, Total_Journeys_Per_Year[#All],MATCH(A224, Total_Journeys_Per_Year[#Headers],0),0)</f>
        <v>5369880000</v>
      </c>
      <c r="M224" s="35">
        <f t="shared" si="3"/>
        <v>23293828.720588237</v>
      </c>
      <c r="N224" s="35">
        <f>VLOOKUP($N$2, Private_Vehicle_Kilometres_Car_Stock[#All],MATCH(A224, Private_Vehicle_Kilometres_Car_Stock[#Headers],0),0)</f>
        <v>36195324272</v>
      </c>
    </row>
    <row r="225" spans="1:14" x14ac:dyDescent="0.25">
      <c r="A225" s="79" t="s">
        <v>39</v>
      </c>
      <c r="B225" s="13" t="s">
        <v>180</v>
      </c>
      <c r="C225" s="14" t="s">
        <v>9</v>
      </c>
      <c r="D225" s="5">
        <f>VLOOKUP(B225,Percentage_distribution_of_journey_distance_for_all_regions[#All],MATCH(A225,Percentage_distribution_of_journey_distance_for_all_regions[#Headers],0),0)/100</f>
        <v>0.125</v>
      </c>
      <c r="E225" s="71">
        <f>IF(B225="&lt;2 kilometres",1,0)*VLOOKUP(C225, Percentage_dist_journeys_by_mode_and_distance_to_2km[#All],MATCH(A225, Percentage_dist_journeys_by_mode_and_distance_to_2km[#Headers],0),0)/100</f>
        <v>0</v>
      </c>
      <c r="F225" s="4">
        <f>IF(B225="2-4 kilometres",1,0)*VLOOKUP(C225, Percentage_dist_journeys_by_mode_and_distance_2_to_4km[#All],MATCH(A225, Percentage_dist_journeys_by_mode_and_distance_2_to_4km[#Headers],0),0)/100</f>
        <v>0</v>
      </c>
      <c r="G225" s="72">
        <f>IF(B225="4-6 kilometres",1,0)*VLOOKUP(C225, Percentage_dist_journeys_by_mode_and_distance_4_to_6km[#All],MATCH(A225, Percentage_dist_journeys_by_mode_and_distance_4_to_6km[#Headers],0),0)/100</f>
        <v>1.6032064128256515E-2</v>
      </c>
      <c r="H225" s="4">
        <f>IF(B225="6-8 kilometres",1,0)*VLOOKUP(C225, Percentage_dist_journeys_by_mode_and_distance_6_to_8km[#All],MATCH(A225, Percentage_dist_journeys_by_mode_and_distance_6_to_8km[#Headers],0),0)/100</f>
        <v>0</v>
      </c>
      <c r="I225" s="72">
        <f>IF(B225="8+ kilometres",1,0)*VLOOKUP(C225, Percentage_dist_journeys_by_mode_and_distance_8km[#All],MATCH(A225, Percentage_dist_journeys_by_mode_and_distance_8km[#Headers],0),0)/100</f>
        <v>0</v>
      </c>
      <c r="J225" s="73">
        <f>VLOOKUP(B225,Average_Distance_by_kilometre_grouping_for_mode_type[#All],MATCH(A225,Average_Distance_by_kilometre_grouping_for_mode_type[#Headers],0),0)</f>
        <v>5</v>
      </c>
      <c r="K225" s="77">
        <f>VLOOKUP(C225, Adjustment_factor_for_distance_based_on_mode[#All],MATCH(A225, Adjustment_factor_for_distance_based_on_mode[#Headers],0),0)</f>
        <v>0.41911764705882354</v>
      </c>
      <c r="L225" s="78">
        <f>VLOOKUP($L$2, Total_Journeys_Per_Year[#All],MATCH(A225, Total_Journeys_Per_Year[#Headers],0),0)</f>
        <v>5369880000</v>
      </c>
      <c r="M225" s="35">
        <f t="shared" si="3"/>
        <v>22551217.140162684</v>
      </c>
      <c r="N225" s="35">
        <f>VLOOKUP($N$2, Private_Vehicle_Kilometres_Car_Stock[#All],MATCH(A225, Private_Vehicle_Kilometres_Car_Stock[#Headers],0),0)</f>
        <v>36195324272</v>
      </c>
    </row>
    <row r="226" spans="1:14" x14ac:dyDescent="0.25">
      <c r="A226" s="79" t="s">
        <v>39</v>
      </c>
      <c r="B226" s="13" t="s">
        <v>182</v>
      </c>
      <c r="C226" s="14" t="s">
        <v>9</v>
      </c>
      <c r="D226" s="5">
        <f>VLOOKUP(B226,Percentage_distribution_of_journey_distance_for_all_regions[#All],MATCH(A226,Percentage_distribution_of_journey_distance_for_all_regions[#Headers],0),0)/100</f>
        <v>7.0000000000000007E-2</v>
      </c>
      <c r="E226" s="71">
        <f>IF(B226="&lt;2 kilometres",1,0)*VLOOKUP(C226, Percentage_dist_journeys_by_mode_and_distance_to_2km[#All],MATCH(A226, Percentage_dist_journeys_by_mode_and_distance_to_2km[#Headers],0),0)/100</f>
        <v>0</v>
      </c>
      <c r="F226" s="4">
        <f>IF(B226="2-4 kilometres",1,0)*VLOOKUP(C226, Percentage_dist_journeys_by_mode_and_distance_2_to_4km[#All],MATCH(A226, Percentage_dist_journeys_by_mode_and_distance_2_to_4km[#Headers],0),0)/100</f>
        <v>0</v>
      </c>
      <c r="G226" s="72">
        <f>IF(B226="4-6 kilometres",1,0)*VLOOKUP(C226, Percentage_dist_journeys_by_mode_and_distance_4_to_6km[#All],MATCH(A226, Percentage_dist_journeys_by_mode_and_distance_4_to_6km[#Headers],0),0)/100</f>
        <v>0</v>
      </c>
      <c r="H226" s="4">
        <f>IF(B226="6-8 kilometres",1,0)*VLOOKUP(C226, Percentage_dist_journeys_by_mode_and_distance_6_to_8km[#All],MATCH(A226, Percentage_dist_journeys_by_mode_and_distance_6_to_8km[#Headers],0),0)/100</f>
        <v>2.3E-2</v>
      </c>
      <c r="I226" s="72">
        <f>IF(B226="8+ kilometres",1,0)*VLOOKUP(C226, Percentage_dist_journeys_by_mode_and_distance_8km[#All],MATCH(A226, Percentage_dist_journeys_by_mode_and_distance_8km[#Headers],0),0)/100</f>
        <v>0</v>
      </c>
      <c r="J226" s="73">
        <f>VLOOKUP(B226,Average_Distance_by_kilometre_grouping_for_mode_type[#All],MATCH(A226,Average_Distance_by_kilometre_grouping_for_mode_type[#Headers],0),0)</f>
        <v>7</v>
      </c>
      <c r="K226" s="77">
        <f>VLOOKUP(C226, Adjustment_factor_for_distance_based_on_mode[#All],MATCH(A226, Adjustment_factor_for_distance_based_on_mode[#Headers],0),0)</f>
        <v>0.41911764705882354</v>
      </c>
      <c r="L226" s="78">
        <f>VLOOKUP($L$2, Total_Journeys_Per_Year[#All],MATCH(A226, Total_Journeys_Per_Year[#Headers],0),0)</f>
        <v>5369880000</v>
      </c>
      <c r="M226" s="35">
        <f t="shared" si="3"/>
        <v>25364391.27352941</v>
      </c>
      <c r="N226" s="35">
        <f>VLOOKUP($N$2, Private_Vehicle_Kilometres_Car_Stock[#All],MATCH(A226, Private_Vehicle_Kilometres_Car_Stock[#Headers],0),0)</f>
        <v>36195324272</v>
      </c>
    </row>
    <row r="227" spans="1:14" x14ac:dyDescent="0.25">
      <c r="A227" s="79" t="s">
        <v>39</v>
      </c>
      <c r="B227" s="13" t="s">
        <v>1</v>
      </c>
      <c r="C227" s="14" t="s">
        <v>9</v>
      </c>
      <c r="D227" s="5">
        <f>VLOOKUP(B227,Percentage_distribution_of_journey_distance_for_all_regions[#All],MATCH(A227,Percentage_distribution_of_journey_distance_for_all_regions[#Headers],0),0)/100</f>
        <v>0.36799999999999999</v>
      </c>
      <c r="E227" s="71">
        <f>IF(B227="&lt;2 kilometres",1,0)*VLOOKUP(C227, Percentage_dist_journeys_by_mode_and_distance_to_2km[#All],MATCH(A227, Percentage_dist_journeys_by_mode_and_distance_to_2km[#Headers],0),0)/100</f>
        <v>0</v>
      </c>
      <c r="F227" s="4">
        <f>IF(B227="2-4 kilometres",1,0)*VLOOKUP(C227, Percentage_dist_journeys_by_mode_and_distance_2_to_4km[#All],MATCH(A227, Percentage_dist_journeys_by_mode_and_distance_2_to_4km[#Headers],0),0)/100</f>
        <v>0</v>
      </c>
      <c r="G227" s="72">
        <f>IF(B227="4-6 kilometres",1,0)*VLOOKUP(C227, Percentage_dist_journeys_by_mode_and_distance_4_to_6km[#All],MATCH(A227, Percentage_dist_journeys_by_mode_and_distance_4_to_6km[#Headers],0),0)/100</f>
        <v>0</v>
      </c>
      <c r="H227" s="4">
        <f>IF(B227="6-8 kilometres",1,0)*VLOOKUP(C227, Percentage_dist_journeys_by_mode_and_distance_6_to_8km[#All],MATCH(A227, Percentage_dist_journeys_by_mode_and_distance_6_to_8km[#Headers],0),0)/100</f>
        <v>0</v>
      </c>
      <c r="I227" s="72">
        <f>IF(B227="8+ kilometres",1,0)*VLOOKUP(C227, Percentage_dist_journeys_by_mode_and_distance_8km[#All],MATCH(A227, Percentage_dist_journeys_by_mode_and_distance_8km[#Headers],0),0)/100</f>
        <v>6.9999999999999993E-3</v>
      </c>
      <c r="J227" s="73">
        <f>VLOOKUP(B227,Average_Distance_by_kilometre_grouping_for_mode_type[#All],MATCH(A227,Average_Distance_by_kilometre_grouping_for_mode_type[#Headers],0),0)</f>
        <v>25.7</v>
      </c>
      <c r="K227" s="77">
        <f>VLOOKUP(C227, Adjustment_factor_for_distance_based_on_mode[#All],MATCH(A227, Adjustment_factor_for_distance_based_on_mode[#Headers],0),0)</f>
        <v>0.41911764705882354</v>
      </c>
      <c r="L227" s="78">
        <f>VLOOKUP($L$2, Total_Journeys_Per_Year[#All],MATCH(A227, Total_Journeys_Per_Year[#Headers],0),0)</f>
        <v>5369880000</v>
      </c>
      <c r="M227" s="35">
        <f t="shared" si="3"/>
        <v>148997681.30964705</v>
      </c>
      <c r="N227" s="35">
        <f>VLOOKUP($N$2, Private_Vehicle_Kilometres_Car_Stock[#All],MATCH(A227, Private_Vehicle_Kilometres_Car_Stock[#Headers],0),0)</f>
        <v>36195324272</v>
      </c>
    </row>
    <row r="228" spans="1:14" x14ac:dyDescent="0.25">
      <c r="A228" s="79" t="s">
        <v>39</v>
      </c>
      <c r="B228" s="13" t="s">
        <v>12</v>
      </c>
      <c r="C228" s="14" t="s">
        <v>10</v>
      </c>
      <c r="D228" s="5">
        <f>VLOOKUP(B228,Percentage_distribution_of_journey_distance_for_all_regions[#All],MATCH(A228,Percentage_distribution_of_journey_distance_for_all_regions[#Headers],0),0)/100</f>
        <v>0.28600000000000003</v>
      </c>
      <c r="E228" s="71">
        <f>IF(B228="&lt;2 kilometres",1,0)*VLOOKUP(C228, Percentage_dist_journeys_by_mode_and_distance_to_2km[#All],MATCH(A228, Percentage_dist_journeys_by_mode_and_distance_to_2km[#Headers],0),0)/100</f>
        <v>2E-3</v>
      </c>
      <c r="F228" s="4">
        <f>IF(B228="2-4 kilometres",1,0)*VLOOKUP(C228, Percentage_dist_journeys_by_mode_and_distance_2_to_4km[#All],MATCH(A228, Percentage_dist_journeys_by_mode_and_distance_2_to_4km[#Headers],0),0)/100</f>
        <v>0</v>
      </c>
      <c r="G228" s="72">
        <f>IF(B228="4-6 kilometres",1,0)*VLOOKUP(C228, Percentage_dist_journeys_by_mode_and_distance_4_to_6km[#All],MATCH(A228, Percentage_dist_journeys_by_mode_and_distance_4_to_6km[#Headers],0),0)/100</f>
        <v>0</v>
      </c>
      <c r="H228" s="4">
        <f>IF(B228="6-8 kilometres",1,0)*VLOOKUP(C228, Percentage_dist_journeys_by_mode_and_distance_6_to_8km[#All],MATCH(A228, Percentage_dist_journeys_by_mode_and_distance_6_to_8km[#Headers],0),0)/100</f>
        <v>0</v>
      </c>
      <c r="I228" s="72">
        <f>IF(B228="8+ kilometres",1,0)*VLOOKUP(C228, Percentage_dist_journeys_by_mode_and_distance_8km[#All],MATCH(A228, Percentage_dist_journeys_by_mode_and_distance_8km[#Headers],0),0)/100</f>
        <v>0</v>
      </c>
      <c r="J228" s="73">
        <f>VLOOKUP(B228,Average_Distance_by_kilometre_grouping_for_mode_type[#All],MATCH(A228,Average_Distance_by_kilometre_grouping_for_mode_type[#Headers],0),0)</f>
        <v>1</v>
      </c>
      <c r="K228" s="77">
        <f>VLOOKUP(C228, Adjustment_factor_for_distance_based_on_mode[#All],MATCH(A228, Adjustment_factor_for_distance_based_on_mode[#Headers],0),0)</f>
        <v>2.375</v>
      </c>
      <c r="L228" s="78">
        <f>VLOOKUP($L$2, Total_Journeys_Per_Year[#All],MATCH(A228, Total_Journeys_Per_Year[#Headers],0),0)</f>
        <v>5369880000</v>
      </c>
      <c r="M228" s="35">
        <f t="shared" si="3"/>
        <v>7294981.9800000004</v>
      </c>
      <c r="N228" s="35">
        <f>VLOOKUP($N$2, Private_Vehicle_Kilometres_Car_Stock[#All],MATCH(A228, Private_Vehicle_Kilometres_Car_Stock[#Headers],0),0)</f>
        <v>36195324272</v>
      </c>
    </row>
    <row r="229" spans="1:14" x14ac:dyDescent="0.25">
      <c r="A229" s="79" t="s">
        <v>39</v>
      </c>
      <c r="B229" s="13" t="s">
        <v>181</v>
      </c>
      <c r="C229" s="14" t="s">
        <v>10</v>
      </c>
      <c r="D229" s="5">
        <f>VLOOKUP(B229,Percentage_distribution_of_journey_distance_for_all_regions[#All],MATCH(A229,Percentage_distribution_of_journey_distance_for_all_regions[#Headers],0),0)/100</f>
        <v>0.15</v>
      </c>
      <c r="E229" s="71">
        <f>IF(B229="&lt;2 kilometres",1,0)*VLOOKUP(C229, Percentage_dist_journeys_by_mode_and_distance_to_2km[#All],MATCH(A229, Percentage_dist_journeys_by_mode_and_distance_to_2km[#Headers],0),0)/100</f>
        <v>0</v>
      </c>
      <c r="F229" s="4">
        <f>IF(B229="2-4 kilometres",1,0)*VLOOKUP(C229, Percentage_dist_journeys_by_mode_and_distance_2_to_4km[#All],MATCH(A229, Percentage_dist_journeys_by_mode_and_distance_2_to_4km[#Headers],0),0)/100</f>
        <v>1.2E-2</v>
      </c>
      <c r="G229" s="72">
        <f>IF(B229="4-6 kilometres",1,0)*VLOOKUP(C229, Percentage_dist_journeys_by_mode_and_distance_4_to_6km[#All],MATCH(A229, Percentage_dist_journeys_by_mode_and_distance_4_to_6km[#Headers],0),0)/100</f>
        <v>0</v>
      </c>
      <c r="H229" s="4">
        <f>IF(B229="6-8 kilometres",1,0)*VLOOKUP(C229, Percentage_dist_journeys_by_mode_and_distance_6_to_8km[#All],MATCH(A229, Percentage_dist_journeys_by_mode_and_distance_6_to_8km[#Headers],0),0)/100</f>
        <v>0</v>
      </c>
      <c r="I229" s="72">
        <f>IF(B229="8+ kilometres",1,0)*VLOOKUP(C229, Percentage_dist_journeys_by_mode_and_distance_8km[#All],MATCH(A229, Percentage_dist_journeys_by_mode_and_distance_8km[#Headers],0),0)/100</f>
        <v>0</v>
      </c>
      <c r="J229" s="73">
        <f>VLOOKUP(B229,Average_Distance_by_kilometre_grouping_for_mode_type[#All],MATCH(A229,Average_Distance_by_kilometre_grouping_for_mode_type[#Headers],0),0)</f>
        <v>3</v>
      </c>
      <c r="K229" s="77">
        <f>VLOOKUP(C229, Adjustment_factor_for_distance_based_on_mode[#All],MATCH(A229, Adjustment_factor_for_distance_based_on_mode[#Headers],0),0)</f>
        <v>2.375</v>
      </c>
      <c r="L229" s="78">
        <f>VLOOKUP($L$2, Total_Journeys_Per_Year[#All],MATCH(A229, Total_Journeys_Per_Year[#Headers],0),0)</f>
        <v>5369880000</v>
      </c>
      <c r="M229" s="35">
        <f t="shared" si="3"/>
        <v>68868711</v>
      </c>
      <c r="N229" s="35">
        <f>VLOOKUP($N$2, Private_Vehicle_Kilometres_Car_Stock[#All],MATCH(A229, Private_Vehicle_Kilometres_Car_Stock[#Headers],0),0)</f>
        <v>36195324272</v>
      </c>
    </row>
    <row r="230" spans="1:14" x14ac:dyDescent="0.25">
      <c r="A230" s="79" t="s">
        <v>39</v>
      </c>
      <c r="B230" s="13" t="s">
        <v>180</v>
      </c>
      <c r="C230" s="14" t="s">
        <v>10</v>
      </c>
      <c r="D230" s="5">
        <f>VLOOKUP(B230,Percentage_distribution_of_journey_distance_for_all_regions[#All],MATCH(A230,Percentage_distribution_of_journey_distance_for_all_regions[#Headers],0),0)/100</f>
        <v>0.125</v>
      </c>
      <c r="E230" s="71">
        <f>IF(B230="&lt;2 kilometres",1,0)*VLOOKUP(C230, Percentage_dist_journeys_by_mode_and_distance_to_2km[#All],MATCH(A230, Percentage_dist_journeys_by_mode_and_distance_to_2km[#Headers],0),0)/100</f>
        <v>0</v>
      </c>
      <c r="F230" s="4">
        <f>IF(B230="2-4 kilometres",1,0)*VLOOKUP(C230, Percentage_dist_journeys_by_mode_and_distance_2_to_4km[#All],MATCH(A230, Percentage_dist_journeys_by_mode_and_distance_2_to_4km[#Headers],0),0)/100</f>
        <v>0</v>
      </c>
      <c r="G230" s="72">
        <f>IF(B230="4-6 kilometres",1,0)*VLOOKUP(C230, Percentage_dist_journeys_by_mode_and_distance_4_to_6km[#All],MATCH(A230, Percentage_dist_journeys_by_mode_and_distance_4_to_6km[#Headers],0),0)/100</f>
        <v>2.1042084168336674E-2</v>
      </c>
      <c r="H230" s="4">
        <f>IF(B230="6-8 kilometres",1,0)*VLOOKUP(C230, Percentage_dist_journeys_by_mode_and_distance_6_to_8km[#All],MATCH(A230, Percentage_dist_journeys_by_mode_and_distance_6_to_8km[#Headers],0),0)/100</f>
        <v>0</v>
      </c>
      <c r="I230" s="72">
        <f>IF(B230="8+ kilometres",1,0)*VLOOKUP(C230, Percentage_dist_journeys_by_mode_and_distance_8km[#All],MATCH(A230, Percentage_dist_journeys_by_mode_and_distance_8km[#Headers],0),0)/100</f>
        <v>0</v>
      </c>
      <c r="J230" s="73">
        <f>VLOOKUP(B230,Average_Distance_by_kilometre_grouping_for_mode_type[#All],MATCH(A230,Average_Distance_by_kilometre_grouping_for_mode_type[#Headers],0),0)</f>
        <v>5</v>
      </c>
      <c r="K230" s="77">
        <f>VLOOKUP(C230, Adjustment_factor_for_distance_based_on_mode[#All],MATCH(A230, Adjustment_factor_for_distance_based_on_mode[#Headers],0),0)</f>
        <v>2.375</v>
      </c>
      <c r="L230" s="78">
        <f>VLOOKUP($L$2, Total_Journeys_Per_Year[#All],MATCH(A230, Total_Journeys_Per_Year[#Headers],0),0)</f>
        <v>5369880000</v>
      </c>
      <c r="M230" s="35">
        <f t="shared" si="3"/>
        <v>167724677.47995991</v>
      </c>
      <c r="N230" s="35">
        <f>VLOOKUP($N$2, Private_Vehicle_Kilometres_Car_Stock[#All],MATCH(A230, Private_Vehicle_Kilometres_Car_Stock[#Headers],0),0)</f>
        <v>36195324272</v>
      </c>
    </row>
    <row r="231" spans="1:14" x14ac:dyDescent="0.25">
      <c r="A231" s="79" t="s">
        <v>39</v>
      </c>
      <c r="B231" s="13" t="s">
        <v>182</v>
      </c>
      <c r="C231" s="14" t="s">
        <v>10</v>
      </c>
      <c r="D231" s="5">
        <f>VLOOKUP(B231,Percentage_distribution_of_journey_distance_for_all_regions[#All],MATCH(A231,Percentage_distribution_of_journey_distance_for_all_regions[#Headers],0),0)/100</f>
        <v>7.0000000000000007E-2</v>
      </c>
      <c r="E231" s="71">
        <f>IF(B231="&lt;2 kilometres",1,0)*VLOOKUP(C231, Percentage_dist_journeys_by_mode_and_distance_to_2km[#All],MATCH(A231, Percentage_dist_journeys_by_mode_and_distance_to_2km[#Headers],0),0)/100</f>
        <v>0</v>
      </c>
      <c r="F231" s="4">
        <f>IF(B231="2-4 kilometres",1,0)*VLOOKUP(C231, Percentage_dist_journeys_by_mode_and_distance_2_to_4km[#All],MATCH(A231, Percentage_dist_journeys_by_mode_and_distance_2_to_4km[#Headers],0),0)/100</f>
        <v>0</v>
      </c>
      <c r="G231" s="72">
        <f>IF(B231="4-6 kilometres",1,0)*VLOOKUP(C231, Percentage_dist_journeys_by_mode_and_distance_4_to_6km[#All],MATCH(A231, Percentage_dist_journeys_by_mode_and_distance_4_to_6km[#Headers],0),0)/100</f>
        <v>0</v>
      </c>
      <c r="H231" s="4">
        <f>IF(B231="6-8 kilometres",1,0)*VLOOKUP(C231, Percentage_dist_journeys_by_mode_and_distance_6_to_8km[#All],MATCH(A231, Percentage_dist_journeys_by_mode_and_distance_6_to_8km[#Headers],0),0)/100</f>
        <v>3.3000000000000002E-2</v>
      </c>
      <c r="I231" s="72">
        <f>IF(B231="8+ kilometres",1,0)*VLOOKUP(C231, Percentage_dist_journeys_by_mode_and_distance_8km[#All],MATCH(A231, Percentage_dist_journeys_by_mode_and_distance_8km[#Headers],0),0)/100</f>
        <v>0</v>
      </c>
      <c r="J231" s="73">
        <f>VLOOKUP(B231,Average_Distance_by_kilometre_grouping_for_mode_type[#All],MATCH(A231,Average_Distance_by_kilometre_grouping_for_mode_type[#Headers],0),0)</f>
        <v>7</v>
      </c>
      <c r="K231" s="77">
        <f>VLOOKUP(C231, Adjustment_factor_for_distance_based_on_mode[#All],MATCH(A231, Adjustment_factor_for_distance_based_on_mode[#Headers],0),0)</f>
        <v>2.375</v>
      </c>
      <c r="L231" s="78">
        <f>VLOOKUP($L$2, Total_Journeys_Per_Year[#All],MATCH(A231, Total_Journeys_Per_Year[#Headers],0),0)</f>
        <v>5369880000</v>
      </c>
      <c r="M231" s="35">
        <f t="shared" si="3"/>
        <v>206223529.05000004</v>
      </c>
      <c r="N231" s="35">
        <f>VLOOKUP($N$2, Private_Vehicle_Kilometres_Car_Stock[#All],MATCH(A231, Private_Vehicle_Kilometres_Car_Stock[#Headers],0),0)</f>
        <v>36195324272</v>
      </c>
    </row>
    <row r="232" spans="1:14" x14ac:dyDescent="0.25">
      <c r="A232" s="79" t="s">
        <v>39</v>
      </c>
      <c r="B232" s="13" t="s">
        <v>1</v>
      </c>
      <c r="C232" s="14" t="s">
        <v>10</v>
      </c>
      <c r="D232" s="5">
        <f>VLOOKUP(B232,Percentage_distribution_of_journey_distance_for_all_regions[#All],MATCH(A232,Percentage_distribution_of_journey_distance_for_all_regions[#Headers],0),0)/100</f>
        <v>0.36799999999999999</v>
      </c>
      <c r="E232" s="71">
        <f>IF(B232="&lt;2 kilometres",1,0)*VLOOKUP(C232, Percentage_dist_journeys_by_mode_and_distance_to_2km[#All],MATCH(A232, Percentage_dist_journeys_by_mode_and_distance_to_2km[#Headers],0),0)/100</f>
        <v>0</v>
      </c>
      <c r="F232" s="4">
        <f>IF(B232="2-4 kilometres",1,0)*VLOOKUP(C232, Percentage_dist_journeys_by_mode_and_distance_2_to_4km[#All],MATCH(A232, Percentage_dist_journeys_by_mode_and_distance_2_to_4km[#Headers],0),0)/100</f>
        <v>0</v>
      </c>
      <c r="G232" s="72">
        <f>IF(B232="4-6 kilometres",1,0)*VLOOKUP(C232, Percentage_dist_journeys_by_mode_and_distance_4_to_6km[#All],MATCH(A232, Percentage_dist_journeys_by_mode_and_distance_4_to_6km[#Headers],0),0)/100</f>
        <v>0</v>
      </c>
      <c r="H232" s="4">
        <f>IF(B232="6-8 kilometres",1,0)*VLOOKUP(C232, Percentage_dist_journeys_by_mode_and_distance_6_to_8km[#All],MATCH(A232, Percentage_dist_journeys_by_mode_and_distance_6_to_8km[#Headers],0),0)/100</f>
        <v>0</v>
      </c>
      <c r="I232" s="72">
        <f>IF(B232="8+ kilometres",1,0)*VLOOKUP(C232, Percentage_dist_journeys_by_mode_and_distance_8km[#All],MATCH(A232, Percentage_dist_journeys_by_mode_and_distance_8km[#Headers],0),0)/100</f>
        <v>2.8999999999999998E-2</v>
      </c>
      <c r="J232" s="73">
        <f>VLOOKUP(B232,Average_Distance_by_kilometre_grouping_for_mode_type[#All],MATCH(A232,Average_Distance_by_kilometre_grouping_for_mode_type[#Headers],0),0)</f>
        <v>25.7</v>
      </c>
      <c r="K232" s="77">
        <f>VLOOKUP(C232, Adjustment_factor_for_distance_based_on_mode[#All],MATCH(A232, Adjustment_factor_for_distance_based_on_mode[#Headers],0),0)</f>
        <v>2.375</v>
      </c>
      <c r="L232" s="78">
        <f>VLOOKUP($L$2, Total_Journeys_Per_Year[#All],MATCH(A232, Total_Journeys_Per_Year[#Headers],0),0)</f>
        <v>5369880000</v>
      </c>
      <c r="M232" s="35">
        <f t="shared" si="3"/>
        <v>3497897946.9359999</v>
      </c>
      <c r="N232" s="35">
        <f>VLOOKUP($N$2, Private_Vehicle_Kilometres_Car_Stock[#All],MATCH(A232, Private_Vehicle_Kilometres_Car_Stock[#Headers],0),0)</f>
        <v>36195324272</v>
      </c>
    </row>
    <row r="233" spans="1:14" x14ac:dyDescent="0.25">
      <c r="A233" s="79" t="s">
        <v>39</v>
      </c>
      <c r="B233" s="13" t="s">
        <v>12</v>
      </c>
      <c r="C233" s="14" t="s">
        <v>11</v>
      </c>
      <c r="D233" s="5">
        <f>VLOOKUP(B233,Percentage_distribution_of_journey_distance_for_all_regions[#All],MATCH(A233,Percentage_distribution_of_journey_distance_for_all_regions[#Headers],0),0)/100</f>
        <v>0.28600000000000003</v>
      </c>
      <c r="E233" s="71">
        <f>IF(B233="&lt;2 kilometres",1,0)*VLOOKUP(C233, Percentage_dist_journeys_by_mode_and_distance_to_2km[#All],MATCH(A233, Percentage_dist_journeys_by_mode_and_distance_to_2km[#Headers],0),0)/100</f>
        <v>8.0000000000000002E-3</v>
      </c>
      <c r="F233" s="4">
        <f>IF(B233="2-4 kilometres",1,0)*VLOOKUP(C233, Percentage_dist_journeys_by_mode_and_distance_2_to_4km[#All],MATCH(A233, Percentage_dist_journeys_by_mode_and_distance_2_to_4km[#Headers],0),0)/100</f>
        <v>0</v>
      </c>
      <c r="G233" s="72">
        <f>IF(B233="4-6 kilometres",1,0)*VLOOKUP(C233, Percentage_dist_journeys_by_mode_and_distance_4_to_6km[#All],MATCH(A233, Percentage_dist_journeys_by_mode_and_distance_4_to_6km[#Headers],0),0)/100</f>
        <v>0</v>
      </c>
      <c r="H233" s="4">
        <f>IF(B233="6-8 kilometres",1,0)*VLOOKUP(C233, Percentage_dist_journeys_by_mode_and_distance_6_to_8km[#All],MATCH(A233, Percentage_dist_journeys_by_mode_and_distance_6_to_8km[#Headers],0),0)/100</f>
        <v>0</v>
      </c>
      <c r="I233" s="72">
        <f>IF(B233="8+ kilometres",1,0)*VLOOKUP(C233, Percentage_dist_journeys_by_mode_and_distance_8km[#All],MATCH(A233, Percentage_dist_journeys_by_mode_and_distance_8km[#Headers],0),0)/100</f>
        <v>0</v>
      </c>
      <c r="J233" s="73">
        <f>VLOOKUP(B233,Average_Distance_by_kilometre_grouping_for_mode_type[#All],MATCH(A233,Average_Distance_by_kilometre_grouping_for_mode_type[#Headers],0),0)</f>
        <v>1</v>
      </c>
      <c r="K233" s="77">
        <f>VLOOKUP(C233, Adjustment_factor_for_distance_based_on_mode[#All],MATCH(A233, Adjustment_factor_for_distance_based_on_mode[#Headers],0),0)</f>
        <v>0.7720588235294118</v>
      </c>
      <c r="L233" s="78">
        <f>VLOOKUP($L$2, Total_Journeys_Per_Year[#All],MATCH(A233, Total_Journeys_Per_Year[#Headers],0),0)</f>
        <v>5369880000</v>
      </c>
      <c r="M233" s="35">
        <f t="shared" si="3"/>
        <v>9485735.0823529419</v>
      </c>
      <c r="N233" s="35">
        <f>VLOOKUP($N$2, Private_Vehicle_Kilometres_Car_Stock[#All],MATCH(A233, Private_Vehicle_Kilometres_Car_Stock[#Headers],0),0)</f>
        <v>36195324272</v>
      </c>
    </row>
    <row r="234" spans="1:14" x14ac:dyDescent="0.25">
      <c r="A234" s="79" t="s">
        <v>39</v>
      </c>
      <c r="B234" s="13" t="s">
        <v>181</v>
      </c>
      <c r="C234" s="14" t="s">
        <v>11</v>
      </c>
      <c r="D234" s="5">
        <f>VLOOKUP(B234,Percentage_distribution_of_journey_distance_for_all_regions[#All],MATCH(A234,Percentage_distribution_of_journey_distance_for_all_regions[#Headers],0),0)/100</f>
        <v>0.15</v>
      </c>
      <c r="E234" s="71">
        <f>IF(B234="&lt;2 kilometres",1,0)*VLOOKUP(C234, Percentage_dist_journeys_by_mode_and_distance_to_2km[#All],MATCH(A234, Percentage_dist_journeys_by_mode_and_distance_to_2km[#Headers],0),0)/100</f>
        <v>0</v>
      </c>
      <c r="F234" s="4">
        <f>IF(B234="2-4 kilometres",1,0)*VLOOKUP(C234, Percentage_dist_journeys_by_mode_and_distance_2_to_4km[#All],MATCH(A234, Percentage_dist_journeys_by_mode_and_distance_2_to_4km[#Headers],0),0)/100</f>
        <v>1.7000000000000001E-2</v>
      </c>
      <c r="G234" s="72">
        <f>IF(B234="4-6 kilometres",1,0)*VLOOKUP(C234, Percentage_dist_journeys_by_mode_and_distance_4_to_6km[#All],MATCH(A234, Percentage_dist_journeys_by_mode_and_distance_4_to_6km[#Headers],0),0)/100</f>
        <v>0</v>
      </c>
      <c r="H234" s="4">
        <f>IF(B234="6-8 kilometres",1,0)*VLOOKUP(C234, Percentage_dist_journeys_by_mode_and_distance_6_to_8km[#All],MATCH(A234, Percentage_dist_journeys_by_mode_and_distance_6_to_8km[#Headers],0),0)/100</f>
        <v>0</v>
      </c>
      <c r="I234" s="72">
        <f>IF(B234="8+ kilometres",1,0)*VLOOKUP(C234, Percentage_dist_journeys_by_mode_and_distance_8km[#All],MATCH(A234, Percentage_dist_journeys_by_mode_and_distance_8km[#Headers],0),0)/100</f>
        <v>0</v>
      </c>
      <c r="J234" s="73">
        <f>VLOOKUP(B234,Average_Distance_by_kilometre_grouping_for_mode_type[#All],MATCH(A234,Average_Distance_by_kilometre_grouping_for_mode_type[#Headers],0),0)</f>
        <v>3</v>
      </c>
      <c r="K234" s="77">
        <f>VLOOKUP(C234, Adjustment_factor_for_distance_based_on_mode[#All],MATCH(A234, Adjustment_factor_for_distance_based_on_mode[#Headers],0),0)</f>
        <v>0.7720588235294118</v>
      </c>
      <c r="L234" s="78">
        <f>VLOOKUP($L$2, Total_Journeys_Per_Year[#All],MATCH(A234, Total_Journeys_Per_Year[#Headers],0),0)</f>
        <v>5369880000</v>
      </c>
      <c r="M234" s="35">
        <f t="shared" si="3"/>
        <v>31715853.750000004</v>
      </c>
      <c r="N234" s="35">
        <f>VLOOKUP($N$2, Private_Vehicle_Kilometres_Car_Stock[#All],MATCH(A234, Private_Vehicle_Kilometres_Car_Stock[#Headers],0),0)</f>
        <v>36195324272</v>
      </c>
    </row>
    <row r="235" spans="1:14" x14ac:dyDescent="0.25">
      <c r="A235" s="79" t="s">
        <v>39</v>
      </c>
      <c r="B235" s="13" t="s">
        <v>180</v>
      </c>
      <c r="C235" s="14" t="s">
        <v>11</v>
      </c>
      <c r="D235" s="5">
        <f>VLOOKUP(B235,Percentage_distribution_of_journey_distance_for_all_regions[#All],MATCH(A235,Percentage_distribution_of_journey_distance_for_all_regions[#Headers],0),0)/100</f>
        <v>0.125</v>
      </c>
      <c r="E235" s="71">
        <f>IF(B235="&lt;2 kilometres",1,0)*VLOOKUP(C235, Percentage_dist_journeys_by_mode_and_distance_to_2km[#All],MATCH(A235, Percentage_dist_journeys_by_mode_and_distance_to_2km[#Headers],0),0)/100</f>
        <v>0</v>
      </c>
      <c r="F235" s="4">
        <f>IF(B235="2-4 kilometres",1,0)*VLOOKUP(C235, Percentage_dist_journeys_by_mode_and_distance_2_to_4km[#All],MATCH(A235, Percentage_dist_journeys_by_mode_and_distance_2_to_4km[#Headers],0),0)/100</f>
        <v>0</v>
      </c>
      <c r="G235" s="72">
        <f>IF(B235="4-6 kilometres",1,0)*VLOOKUP(C235, Percentage_dist_journeys_by_mode_and_distance_4_to_6km[#All],MATCH(A235, Percentage_dist_journeys_by_mode_and_distance_4_to_6km[#Headers],0),0)/100</f>
        <v>1.4028056112224447E-2</v>
      </c>
      <c r="H235" s="4">
        <f>IF(B235="6-8 kilometres",1,0)*VLOOKUP(C235, Percentage_dist_journeys_by_mode_and_distance_6_to_8km[#All],MATCH(A235, Percentage_dist_journeys_by_mode_and_distance_6_to_8km[#Headers],0),0)/100</f>
        <v>0</v>
      </c>
      <c r="I235" s="72">
        <f>IF(B235="8+ kilometres",1,0)*VLOOKUP(C235, Percentage_dist_journeys_by_mode_and_distance_8km[#All],MATCH(A235, Percentage_dist_journeys_by_mode_and_distance_8km[#Headers],0),0)/100</f>
        <v>0</v>
      </c>
      <c r="J235" s="73">
        <f>VLOOKUP(B235,Average_Distance_by_kilometre_grouping_for_mode_type[#All],MATCH(A235,Average_Distance_by_kilometre_grouping_for_mode_type[#Headers],0),0)</f>
        <v>5</v>
      </c>
      <c r="K235" s="77">
        <f>VLOOKUP(C235, Adjustment_factor_for_distance_based_on_mode[#All],MATCH(A235, Adjustment_factor_for_distance_based_on_mode[#Headers],0),0)</f>
        <v>0.7720588235294118</v>
      </c>
      <c r="L235" s="78">
        <f>VLOOKUP($L$2, Total_Journeys_Per_Year[#All],MATCH(A235, Total_Journeys_Per_Year[#Headers],0),0)</f>
        <v>5369880000</v>
      </c>
      <c r="M235" s="35">
        <f t="shared" si="3"/>
        <v>36349001.311446413</v>
      </c>
      <c r="N235" s="35">
        <f>VLOOKUP($N$2, Private_Vehicle_Kilometres_Car_Stock[#All],MATCH(A235, Private_Vehicle_Kilometres_Car_Stock[#Headers],0),0)</f>
        <v>36195324272</v>
      </c>
    </row>
    <row r="236" spans="1:14" x14ac:dyDescent="0.25">
      <c r="A236" s="79" t="s">
        <v>39</v>
      </c>
      <c r="B236" s="13" t="s">
        <v>182</v>
      </c>
      <c r="C236" s="14" t="s">
        <v>11</v>
      </c>
      <c r="D236" s="5">
        <f>VLOOKUP(B236,Percentage_distribution_of_journey_distance_for_all_regions[#All],MATCH(A236,Percentage_distribution_of_journey_distance_for_all_regions[#Headers],0),0)/100</f>
        <v>7.0000000000000007E-2</v>
      </c>
      <c r="E236" s="71">
        <f>IF(B236="&lt;2 kilometres",1,0)*VLOOKUP(C236, Percentage_dist_journeys_by_mode_and_distance_to_2km[#All],MATCH(A236, Percentage_dist_journeys_by_mode_and_distance_to_2km[#Headers],0),0)/100</f>
        <v>0</v>
      </c>
      <c r="F236" s="4">
        <f>IF(B236="2-4 kilometres",1,0)*VLOOKUP(C236, Percentage_dist_journeys_by_mode_and_distance_2_to_4km[#All],MATCH(A236, Percentage_dist_journeys_by_mode_and_distance_2_to_4km[#Headers],0),0)/100</f>
        <v>0</v>
      </c>
      <c r="G236" s="72">
        <f>IF(B236="4-6 kilometres",1,0)*VLOOKUP(C236, Percentage_dist_journeys_by_mode_and_distance_4_to_6km[#All],MATCH(A236, Percentage_dist_journeys_by_mode_and_distance_4_to_6km[#Headers],0),0)/100</f>
        <v>0</v>
      </c>
      <c r="H236" s="4">
        <f>IF(B236="6-8 kilometres",1,0)*VLOOKUP(C236, Percentage_dist_journeys_by_mode_and_distance_6_to_8km[#All],MATCH(A236, Percentage_dist_journeys_by_mode_and_distance_6_to_8km[#Headers],0),0)/100</f>
        <v>1.3999999999999999E-2</v>
      </c>
      <c r="I236" s="72">
        <f>IF(B236="8+ kilometres",1,0)*VLOOKUP(C236, Percentage_dist_journeys_by_mode_and_distance_8km[#All],MATCH(A236, Percentage_dist_journeys_by_mode_and_distance_8km[#Headers],0),0)/100</f>
        <v>0</v>
      </c>
      <c r="J236" s="73">
        <f>VLOOKUP(B236,Average_Distance_by_kilometre_grouping_for_mode_type[#All],MATCH(A236,Average_Distance_by_kilometre_grouping_for_mode_type[#Headers],0),0)</f>
        <v>7</v>
      </c>
      <c r="K236" s="77">
        <f>VLOOKUP(C236, Adjustment_factor_for_distance_based_on_mode[#All],MATCH(A236, Adjustment_factor_for_distance_based_on_mode[#Headers],0),0)</f>
        <v>0.7720588235294118</v>
      </c>
      <c r="L236" s="78">
        <f>VLOOKUP($L$2, Total_Journeys_Per_Year[#All],MATCH(A236, Total_Journeys_Per_Year[#Headers],0),0)</f>
        <v>5369880000</v>
      </c>
      <c r="M236" s="35">
        <f t="shared" si="3"/>
        <v>28440621.794117648</v>
      </c>
      <c r="N236" s="35">
        <f>VLOOKUP($N$2, Private_Vehicle_Kilometres_Car_Stock[#All],MATCH(A236, Private_Vehicle_Kilometres_Car_Stock[#Headers],0),0)</f>
        <v>36195324272</v>
      </c>
    </row>
    <row r="237" spans="1:14" x14ac:dyDescent="0.25">
      <c r="A237" s="79" t="s">
        <v>39</v>
      </c>
      <c r="B237" s="13" t="s">
        <v>1</v>
      </c>
      <c r="C237" s="14" t="s">
        <v>11</v>
      </c>
      <c r="D237" s="5">
        <f>VLOOKUP(B237,Percentage_distribution_of_journey_distance_for_all_regions[#All],MATCH(A237,Percentage_distribution_of_journey_distance_for_all_regions[#Headers],0),0)/100</f>
        <v>0.36799999999999999</v>
      </c>
      <c r="E237" s="71">
        <f>IF(B237="&lt;2 kilometres",1,0)*VLOOKUP(C237, Percentage_dist_journeys_by_mode_and_distance_to_2km[#All],MATCH(A237, Percentage_dist_journeys_by_mode_and_distance_to_2km[#Headers],0),0)/100</f>
        <v>0</v>
      </c>
      <c r="F237" s="4">
        <f>IF(B237="2-4 kilometres",1,0)*VLOOKUP(C237, Percentage_dist_journeys_by_mode_and_distance_2_to_4km[#All],MATCH(A237, Percentage_dist_journeys_by_mode_and_distance_2_to_4km[#Headers],0),0)/100</f>
        <v>0</v>
      </c>
      <c r="G237" s="72">
        <f>IF(B237="4-6 kilometres",1,0)*VLOOKUP(C237, Percentage_dist_journeys_by_mode_and_distance_4_to_6km[#All],MATCH(A237, Percentage_dist_journeys_by_mode_and_distance_4_to_6km[#Headers],0),0)/100</f>
        <v>0</v>
      </c>
      <c r="H237" s="4">
        <f>IF(B237="6-8 kilometres",1,0)*VLOOKUP(C237, Percentage_dist_journeys_by_mode_and_distance_6_to_8km[#All],MATCH(A237, Percentage_dist_journeys_by_mode_and_distance_6_to_8km[#Headers],0),0)/100</f>
        <v>0</v>
      </c>
      <c r="I237" s="72">
        <f>IF(B237="8+ kilometres",1,0)*VLOOKUP(C237, Percentage_dist_journeys_by_mode_and_distance_8km[#All],MATCH(A237, Percentage_dist_journeys_by_mode_and_distance_8km[#Headers],0),0)/100</f>
        <v>5.0000000000000001E-3</v>
      </c>
      <c r="J237" s="73">
        <f>VLOOKUP(B237,Average_Distance_by_kilometre_grouping_for_mode_type[#All],MATCH(A237,Average_Distance_by_kilometre_grouping_for_mode_type[#Headers],0),0)</f>
        <v>25.7</v>
      </c>
      <c r="K237" s="77">
        <f>VLOOKUP(C237, Adjustment_factor_for_distance_based_on_mode[#All],MATCH(A237, Adjustment_factor_for_distance_based_on_mode[#Headers],0),0)</f>
        <v>0.7720588235294118</v>
      </c>
      <c r="L237" s="78">
        <f>VLOOKUP($L$2, Total_Journeys_Per_Year[#All],MATCH(A237, Total_Journeys_Per_Year[#Headers],0),0)</f>
        <v>5369880000</v>
      </c>
      <c r="M237" s="35">
        <f>D237*(SUM(E237:I237))*J237*K237*L237</f>
        <v>196049580.67058823</v>
      </c>
      <c r="N237" s="35">
        <f>VLOOKUP($N$2, Private_Vehicle_Kilometres_Car_Stock[#All],MATCH(A237, Private_Vehicle_Kilometres_Car_Stock[#Headers],0),0)</f>
        <v>36195324272</v>
      </c>
    </row>
    <row r="238" spans="1:14" x14ac:dyDescent="0.25">
      <c r="A238" s="79" t="s">
        <v>39</v>
      </c>
      <c r="B238" s="13" t="s">
        <v>12</v>
      </c>
      <c r="C238" s="14" t="s">
        <v>90</v>
      </c>
      <c r="D238" s="5">
        <f>VLOOKUP(B238,Percentage_distribution_of_journey_distance_for_all_regions[#All],MATCH(A238,Percentage_distribution_of_journey_distance_for_all_regions[#Headers],0),0)/100</f>
        <v>0.28600000000000003</v>
      </c>
      <c r="E238" s="71">
        <f>IF(B238="&lt;2 kilometres",1,0)*VLOOKUP(C238, Percentage_dist_journeys_by_mode_and_distance_to_2km[#All],MATCH(A238, Percentage_dist_journeys_by_mode_and_distance_to_2km[#Headers],0),0)/100</f>
        <v>2.4E-2</v>
      </c>
      <c r="F238" s="4">
        <f>IF(B238="2-4 kilometres",1,0)*VLOOKUP(C238, Percentage_dist_journeys_by_mode_and_distance_2_to_4km[#All],MATCH(A238, Percentage_dist_journeys_by_mode_and_distance_2_to_4km[#Headers],0),0)/100</f>
        <v>0</v>
      </c>
      <c r="G238" s="72">
        <f>IF(B238="4-6 kilometres",1,0)*VLOOKUP(C238, Percentage_dist_journeys_by_mode_and_distance_4_to_6km[#All],MATCH(A238, Percentage_dist_journeys_by_mode_and_distance_4_to_6km[#Headers],0),0)/100</f>
        <v>0</v>
      </c>
      <c r="H238" s="4">
        <f>IF(B238="6-8 kilometres",1,0)*VLOOKUP(C238, Percentage_dist_journeys_by_mode_and_distance_6_to_8km[#All],MATCH(A238, Percentage_dist_journeys_by_mode_and_distance_6_to_8km[#Headers],0),0)/100</f>
        <v>0</v>
      </c>
      <c r="I238" s="72">
        <f>IF(B238="8+ kilometres",1,0)*VLOOKUP(C238, Percentage_dist_journeys_by_mode_and_distance_8km[#All],MATCH(A238, Percentage_dist_journeys_by_mode_and_distance_8km[#Headers],0),0)/100</f>
        <v>0</v>
      </c>
      <c r="J238" s="73">
        <f>VLOOKUP(B238,Average_Distance_by_kilometre_grouping_for_mode_type[#All],MATCH(A238,Average_Distance_by_kilometre_grouping_for_mode_type[#Headers],0),0)</f>
        <v>1</v>
      </c>
      <c r="K238" s="77">
        <f>VLOOKUP(C238, Adjustment_factor_for_distance_based_on_mode[#All],MATCH(A238, Adjustment_factor_for_distance_based_on_mode[#Headers],0),0)</f>
        <v>1.0073529411764706</v>
      </c>
      <c r="L238" s="78">
        <f>VLOOKUP($L$2, Total_Journeys_Per_Year[#All],MATCH(A238, Total_Journeys_Per_Year[#Headers],0),0)</f>
        <v>5369880000</v>
      </c>
      <c r="M238" s="35">
        <f t="shared" si="3"/>
        <v>37129877.322352946</v>
      </c>
      <c r="N238" s="35">
        <f>VLOOKUP($N$2, Private_Vehicle_Kilometres_Car_Stock[#All],MATCH(A238, Private_Vehicle_Kilometres_Car_Stock[#Headers],0),0)</f>
        <v>36195324272</v>
      </c>
    </row>
    <row r="239" spans="1:14" x14ac:dyDescent="0.25">
      <c r="A239" s="79" t="s">
        <v>39</v>
      </c>
      <c r="B239" s="13" t="s">
        <v>181</v>
      </c>
      <c r="C239" s="14" t="s">
        <v>90</v>
      </c>
      <c r="D239" s="5">
        <f>VLOOKUP(B239,Percentage_distribution_of_journey_distance_for_all_regions[#All],MATCH(A239,Percentage_distribution_of_journey_distance_for_all_regions[#Headers],0),0)/100</f>
        <v>0.15</v>
      </c>
      <c r="E239" s="71">
        <f>IF(B239="&lt;2 kilometres",1,0)*VLOOKUP(C239, Percentage_dist_journeys_by_mode_and_distance_to_2km[#All],MATCH(A239, Percentage_dist_journeys_by_mode_and_distance_to_2km[#Headers],0),0)/100</f>
        <v>0</v>
      </c>
      <c r="F239" s="4">
        <f>IF(B239="2-4 kilometres",1,0)*VLOOKUP(C239, Percentage_dist_journeys_by_mode_and_distance_2_to_4km[#All],MATCH(A239, Percentage_dist_journeys_by_mode_and_distance_2_to_4km[#Headers],0),0)/100</f>
        <v>1.6E-2</v>
      </c>
      <c r="G239" s="72">
        <f>IF(B239="4-6 kilometres",1,0)*VLOOKUP(C239, Percentage_dist_journeys_by_mode_and_distance_4_to_6km[#All],MATCH(A239, Percentage_dist_journeys_by_mode_and_distance_4_to_6km[#Headers],0),0)/100</f>
        <v>0</v>
      </c>
      <c r="H239" s="4">
        <f>IF(B239="6-8 kilometres",1,0)*VLOOKUP(C239, Percentage_dist_journeys_by_mode_and_distance_6_to_8km[#All],MATCH(A239, Percentage_dist_journeys_by_mode_and_distance_6_to_8km[#Headers],0),0)/100</f>
        <v>0</v>
      </c>
      <c r="I239" s="72">
        <f>IF(B239="8+ kilometres",1,0)*VLOOKUP(C239, Percentage_dist_journeys_by_mode_and_distance_8km[#All],MATCH(A239, Percentage_dist_journeys_by_mode_and_distance_8km[#Headers],0),0)/100</f>
        <v>0</v>
      </c>
      <c r="J239" s="73">
        <f>VLOOKUP(B239,Average_Distance_by_kilometre_grouping_for_mode_type[#All],MATCH(A239,Average_Distance_by_kilometre_grouping_for_mode_type[#Headers],0),0)</f>
        <v>3</v>
      </c>
      <c r="K239" s="77">
        <f>VLOOKUP(C239, Adjustment_factor_for_distance_based_on_mode[#All],MATCH(A239, Adjustment_factor_for_distance_based_on_mode[#Headers],0),0)</f>
        <v>1.0073529411764706</v>
      </c>
      <c r="L239" s="78">
        <f>VLOOKUP($L$2, Total_Journeys_Per_Year[#All],MATCH(A239, Total_Journeys_Per_Year[#Headers],0),0)</f>
        <v>5369880000</v>
      </c>
      <c r="M239" s="35">
        <f t="shared" si="3"/>
        <v>38947423.764705881</v>
      </c>
      <c r="N239" s="35">
        <f>VLOOKUP($N$2, Private_Vehicle_Kilometres_Car_Stock[#All],MATCH(A239, Private_Vehicle_Kilometres_Car_Stock[#Headers],0),0)</f>
        <v>36195324272</v>
      </c>
    </row>
    <row r="240" spans="1:14" x14ac:dyDescent="0.25">
      <c r="A240" s="79" t="s">
        <v>39</v>
      </c>
      <c r="B240" s="13" t="s">
        <v>180</v>
      </c>
      <c r="C240" s="14" t="s">
        <v>90</v>
      </c>
      <c r="D240" s="5">
        <f>VLOOKUP(B240,Percentage_distribution_of_journey_distance_for_all_regions[#All],MATCH(A240,Percentage_distribution_of_journey_distance_for_all_regions[#Headers],0),0)/100</f>
        <v>0.125</v>
      </c>
      <c r="E240" s="71">
        <f>IF(B240="&lt;2 kilometres",1,0)*VLOOKUP(C240, Percentage_dist_journeys_by_mode_and_distance_to_2km[#All],MATCH(A240, Percentage_dist_journeys_by_mode_and_distance_to_2km[#Headers],0),0)/100</f>
        <v>0</v>
      </c>
      <c r="F240" s="4">
        <f>IF(B240="2-4 kilometres",1,0)*VLOOKUP(C240, Percentage_dist_journeys_by_mode_and_distance_2_to_4km[#All],MATCH(A240, Percentage_dist_journeys_by_mode_and_distance_2_to_4km[#Headers],0),0)/100</f>
        <v>0</v>
      </c>
      <c r="G240" s="72">
        <f>IF(B240="4-6 kilometres",1,0)*VLOOKUP(C240, Percentage_dist_journeys_by_mode_and_distance_4_to_6km[#All],MATCH(A240, Percentage_dist_journeys_by_mode_and_distance_4_to_6km[#Headers],0),0)/100</f>
        <v>3.5070140280561123E-2</v>
      </c>
      <c r="H240" s="4">
        <f>IF(B240="6-8 kilometres",1,0)*VLOOKUP(C240, Percentage_dist_journeys_by_mode_and_distance_6_to_8km[#All],MATCH(A240, Percentage_dist_journeys_by_mode_and_distance_6_to_8km[#Headers],0),0)/100</f>
        <v>0</v>
      </c>
      <c r="I240" s="72">
        <f>IF(B240="8+ kilometres",1,0)*VLOOKUP(C240, Percentage_dist_journeys_by_mode_and_distance_8km[#All],MATCH(A240, Percentage_dist_journeys_by_mode_and_distance_8km[#Headers],0),0)/100</f>
        <v>0</v>
      </c>
      <c r="J240" s="73">
        <f>VLOOKUP(B240,Average_Distance_by_kilometre_grouping_for_mode_type[#All],MATCH(A240,Average_Distance_by_kilometre_grouping_for_mode_type[#Headers],0),0)</f>
        <v>5</v>
      </c>
      <c r="K240" s="77">
        <f>VLOOKUP(C240, Adjustment_factor_for_distance_based_on_mode[#All],MATCH(A240, Adjustment_factor_for_distance_based_on_mode[#Headers],0),0)</f>
        <v>1.0073529411764706</v>
      </c>
      <c r="L240" s="78">
        <f>VLOOKUP($L$2, Total_Journeys_Per_Year[#All],MATCH(A240, Total_Journeys_Per_Year[#Headers],0),0)</f>
        <v>5369880000</v>
      </c>
      <c r="M240" s="35">
        <f t="shared" si="3"/>
        <v>118566980.46828951</v>
      </c>
      <c r="N240" s="35">
        <f>VLOOKUP($N$2, Private_Vehicle_Kilometres_Car_Stock[#All],MATCH(A240, Private_Vehicle_Kilometres_Car_Stock[#Headers],0),0)</f>
        <v>36195324272</v>
      </c>
    </row>
    <row r="241" spans="1:14" x14ac:dyDescent="0.25">
      <c r="A241" s="79" t="s">
        <v>39</v>
      </c>
      <c r="B241" s="13" t="s">
        <v>182</v>
      </c>
      <c r="C241" s="14" t="s">
        <v>90</v>
      </c>
      <c r="D241" s="5">
        <f>VLOOKUP(B241,Percentage_distribution_of_journey_distance_for_all_regions[#All],MATCH(A241,Percentage_distribution_of_journey_distance_for_all_regions[#Headers],0),0)/100</f>
        <v>7.0000000000000007E-2</v>
      </c>
      <c r="E241" s="71">
        <f>IF(B241="&lt;2 kilometres",1,0)*VLOOKUP(C241, Percentage_dist_journeys_by_mode_and_distance_to_2km[#All],MATCH(A241, Percentage_dist_journeys_by_mode_and_distance_to_2km[#Headers],0),0)/100</f>
        <v>0</v>
      </c>
      <c r="F241" s="4">
        <f>IF(B241="2-4 kilometres",1,0)*VLOOKUP(C241, Percentage_dist_journeys_by_mode_and_distance_2_to_4km[#All],MATCH(A241, Percentage_dist_journeys_by_mode_and_distance_2_to_4km[#Headers],0),0)/100</f>
        <v>0</v>
      </c>
      <c r="G241" s="72">
        <f>IF(B241="4-6 kilometres",1,0)*VLOOKUP(C241, Percentage_dist_journeys_by_mode_and_distance_4_to_6km[#All],MATCH(A241, Percentage_dist_journeys_by_mode_and_distance_4_to_6km[#Headers],0),0)/100</f>
        <v>0</v>
      </c>
      <c r="H241" s="4">
        <f>IF(B241="6-8 kilometres",1,0)*VLOOKUP(C241, Percentage_dist_journeys_by_mode_and_distance_6_to_8km[#All],MATCH(A241, Percentage_dist_journeys_by_mode_and_distance_6_to_8km[#Headers],0),0)/100</f>
        <v>2.7000000000000003E-2</v>
      </c>
      <c r="I241" s="72">
        <f>IF(B241="8+ kilometres",1,0)*VLOOKUP(C241, Percentage_dist_journeys_by_mode_and_distance_8km[#All],MATCH(A241, Percentage_dist_journeys_by_mode_and_distance_8km[#Headers],0),0)/100</f>
        <v>0</v>
      </c>
      <c r="J241" s="73">
        <f>VLOOKUP(B241,Average_Distance_by_kilometre_grouping_for_mode_type[#All],MATCH(A241,Average_Distance_by_kilometre_grouping_for_mode_type[#Headers],0),0)</f>
        <v>7</v>
      </c>
      <c r="K241" s="77">
        <f>VLOOKUP(C241, Adjustment_factor_for_distance_based_on_mode[#All],MATCH(A241, Adjustment_factor_for_distance_based_on_mode[#Headers],0),0)</f>
        <v>1.0073529411764706</v>
      </c>
      <c r="L241" s="78">
        <f>VLOOKUP($L$2, Total_Journeys_Per_Year[#All],MATCH(A241, Total_Journeys_Per_Year[#Headers],0),0)</f>
        <v>5369880000</v>
      </c>
      <c r="M241" s="35">
        <f t="shared" si="3"/>
        <v>71565891.167647079</v>
      </c>
      <c r="N241" s="35">
        <f>VLOOKUP($N$2, Private_Vehicle_Kilometres_Car_Stock[#All],MATCH(A241, Private_Vehicle_Kilometres_Car_Stock[#Headers],0),0)</f>
        <v>36195324272</v>
      </c>
    </row>
    <row r="242" spans="1:14" x14ac:dyDescent="0.25">
      <c r="A242" s="79" t="s">
        <v>39</v>
      </c>
      <c r="B242" s="13" t="s">
        <v>1</v>
      </c>
      <c r="C242" s="14" t="s">
        <v>90</v>
      </c>
      <c r="D242" s="5">
        <f>VLOOKUP(B242,Percentage_distribution_of_journey_distance_for_all_regions[#All],MATCH(A242,Percentage_distribution_of_journey_distance_for_all_regions[#Headers],0),0)/100</f>
        <v>0.36799999999999999</v>
      </c>
      <c r="E242" s="71">
        <f>IF(B242="&lt;2 kilometres",1,0)*VLOOKUP(C242, Percentage_dist_journeys_by_mode_and_distance_to_2km[#All],MATCH(A242, Percentage_dist_journeys_by_mode_and_distance_to_2km[#Headers],0),0)/100</f>
        <v>0</v>
      </c>
      <c r="F242" s="4">
        <f>IF(B242="2-4 kilometres",1,0)*VLOOKUP(C242, Percentage_dist_journeys_by_mode_and_distance_2_to_4km[#All],MATCH(A242, Percentage_dist_journeys_by_mode_and_distance_2_to_4km[#Headers],0),0)/100</f>
        <v>0</v>
      </c>
      <c r="G242" s="72">
        <f>IF(B242="4-6 kilometres",1,0)*VLOOKUP(C242, Percentage_dist_journeys_by_mode_and_distance_4_to_6km[#All],MATCH(A242, Percentage_dist_journeys_by_mode_and_distance_4_to_6km[#Headers],0),0)/100</f>
        <v>0</v>
      </c>
      <c r="H242" s="4">
        <f>IF(B242="6-8 kilometres",1,0)*VLOOKUP(C242, Percentage_dist_journeys_by_mode_and_distance_6_to_8km[#All],MATCH(A242, Percentage_dist_journeys_by_mode_and_distance_6_to_8km[#Headers],0),0)/100</f>
        <v>0</v>
      </c>
      <c r="I242" s="72">
        <f>IF(B242="8+ kilometres",1,0)*VLOOKUP(C242, Percentage_dist_journeys_by_mode_and_distance_8km[#All],MATCH(A242, Percentage_dist_journeys_by_mode_and_distance_8km[#Headers],0),0)/100</f>
        <v>0.06</v>
      </c>
      <c r="J242" s="73">
        <f>VLOOKUP(B242,Average_Distance_by_kilometre_grouping_for_mode_type[#All],MATCH(A242,Average_Distance_by_kilometre_grouping_for_mode_type[#Headers],0),0)</f>
        <v>25.7</v>
      </c>
      <c r="K242" s="77">
        <f>VLOOKUP(C242, Adjustment_factor_for_distance_based_on_mode[#All],MATCH(A242, Adjustment_factor_for_distance_based_on_mode[#Headers],0),0)</f>
        <v>1.0073529411764706</v>
      </c>
      <c r="L242" s="78">
        <f>VLOOKUP($L$2, Total_Journeys_Per_Year[#All],MATCH(A242, Total_Journeys_Per_Year[#Headers],0),0)</f>
        <v>5369880000</v>
      </c>
      <c r="M242" s="35">
        <f t="shared" si="3"/>
        <v>3069576291.6423531</v>
      </c>
      <c r="N242" s="35">
        <f>VLOOKUP($N$2, Private_Vehicle_Kilometres_Car_Stock[#All],MATCH(A242, Private_Vehicle_Kilometres_Car_Stock[#Headers],0),0)</f>
        <v>36195324272</v>
      </c>
    </row>
    <row r="243" spans="1:14" x14ac:dyDescent="0.25">
      <c r="B243" s="13"/>
      <c r="G243" s="70"/>
    </row>
    <row r="244" spans="1:14" x14ac:dyDescent="0.25">
      <c r="B244" s="13"/>
    </row>
    <row r="245" spans="1:14" x14ac:dyDescent="0.25">
      <c r="B245" s="13"/>
    </row>
    <row r="246" spans="1:14" x14ac:dyDescent="0.25">
      <c r="B246" s="13"/>
    </row>
    <row r="247" spans="1:14" x14ac:dyDescent="0.25">
      <c r="B247" s="13"/>
    </row>
    <row r="248" spans="1:14" x14ac:dyDescent="0.25">
      <c r="B248" s="13"/>
    </row>
    <row r="249" spans="1:14" x14ac:dyDescent="0.25">
      <c r="B249" s="13"/>
    </row>
    <row r="250" spans="1:14" x14ac:dyDescent="0.25">
      <c r="B250" s="13"/>
    </row>
    <row r="251" spans="1:14" x14ac:dyDescent="0.25">
      <c r="B251" s="13"/>
    </row>
    <row r="252" spans="1:14" x14ac:dyDescent="0.25">
      <c r="B252" s="13"/>
    </row>
  </sheetData>
  <mergeCells count="1">
    <mergeCell ref="A1:N1"/>
  </mergeCells>
  <phoneticPr fontId="26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23EB-1B8D-42CE-A9D5-24984CF507E4}">
  <dimension ref="A1:T108"/>
  <sheetViews>
    <sheetView topLeftCell="A7" zoomScaleNormal="100" workbookViewId="0">
      <selection activeCell="B111" sqref="B111"/>
    </sheetView>
  </sheetViews>
  <sheetFormatPr defaultRowHeight="15" x14ac:dyDescent="0.25"/>
  <cols>
    <col min="1" max="1" width="54.28515625" bestFit="1" customWidth="1"/>
    <col min="2" max="2" width="27.28515625" bestFit="1" customWidth="1"/>
    <col min="3" max="6" width="15.28515625" bestFit="1" customWidth="1"/>
    <col min="7" max="7" width="16.28515625" bestFit="1" customWidth="1"/>
    <col min="8" max="20" width="15.28515625" bestFit="1" customWidth="1"/>
  </cols>
  <sheetData>
    <row r="1" spans="1:13" x14ac:dyDescent="0.25">
      <c r="A1" s="31" t="s">
        <v>227</v>
      </c>
      <c r="B1" s="80" t="s">
        <v>128</v>
      </c>
      <c r="C1" s="80" t="s">
        <v>32</v>
      </c>
      <c r="D1" s="81" t="s">
        <v>33</v>
      </c>
      <c r="E1" s="81" t="s">
        <v>34</v>
      </c>
      <c r="F1" s="81" t="s">
        <v>36</v>
      </c>
      <c r="G1" s="80" t="s">
        <v>39</v>
      </c>
    </row>
    <row r="2" spans="1:13" x14ac:dyDescent="0.25">
      <c r="A2" s="31" t="str">
        <f>Percentage_distribution_of_journey_distance_for_all_regions[[#This Row],[Percentage distribution of journey distance for all regions, 2009 - 2019]]</f>
        <v>&lt;2 kilometres</v>
      </c>
      <c r="B2" s="31">
        <v>1</v>
      </c>
      <c r="C2" s="31">
        <v>1</v>
      </c>
      <c r="D2" s="31">
        <v>1</v>
      </c>
      <c r="E2" s="31">
        <v>1</v>
      </c>
      <c r="F2" s="31">
        <v>1</v>
      </c>
      <c r="G2" s="31">
        <v>1</v>
      </c>
    </row>
    <row r="3" spans="1:13" x14ac:dyDescent="0.25">
      <c r="A3" s="31" t="str">
        <f>Percentage_distribution_of_journey_distance_for_all_regions[[#This Row],[Percentage distribution of journey distance for all regions, 2009 - 2019]]</f>
        <v>2-4 kilometres</v>
      </c>
      <c r="B3" s="31">
        <v>3</v>
      </c>
      <c r="C3" s="31">
        <v>3</v>
      </c>
      <c r="D3" s="31">
        <v>3</v>
      </c>
      <c r="E3" s="31">
        <v>3</v>
      </c>
      <c r="F3" s="31">
        <v>3</v>
      </c>
      <c r="G3" s="31">
        <v>3</v>
      </c>
    </row>
    <row r="4" spans="1:13" x14ac:dyDescent="0.25">
      <c r="A4" s="31" t="str">
        <f>Percentage_distribution_of_journey_distance_for_all_regions[[#This Row],[Percentage distribution of journey distance for all regions, 2009 - 2019]]</f>
        <v>4-6 kilometres</v>
      </c>
      <c r="B4" s="31">
        <v>5</v>
      </c>
      <c r="C4" s="31">
        <v>5</v>
      </c>
      <c r="D4" s="31">
        <v>5</v>
      </c>
      <c r="E4" s="31">
        <v>5</v>
      </c>
      <c r="F4" s="31">
        <v>5</v>
      </c>
      <c r="G4" s="31">
        <v>5</v>
      </c>
    </row>
    <row r="5" spans="1:13" x14ac:dyDescent="0.25">
      <c r="A5" s="31" t="str">
        <f>Percentage_distribution_of_journey_distance_for_all_regions[[#This Row],[Percentage distribution of journey distance for all regions, 2009 - 2019]]</f>
        <v>6-8 kilometres</v>
      </c>
      <c r="B5" s="31">
        <v>7</v>
      </c>
      <c r="C5" s="31">
        <v>7</v>
      </c>
      <c r="D5" s="31">
        <v>7</v>
      </c>
      <c r="E5" s="31">
        <v>7</v>
      </c>
      <c r="F5" s="31">
        <v>7</v>
      </c>
      <c r="G5" s="31">
        <v>7</v>
      </c>
    </row>
    <row r="6" spans="1:13" x14ac:dyDescent="0.25">
      <c r="A6" s="31" t="str">
        <f>Percentage_distribution_of_journey_distance_for_all_regions[[#This Row],[Percentage distribution of journey distance for all regions, 2009 - 2019]]</f>
        <v>8+ kilometres</v>
      </c>
      <c r="B6" s="22">
        <v>30.1</v>
      </c>
      <c r="C6" s="22">
        <v>31.75</v>
      </c>
      <c r="D6" s="22">
        <v>35.22</v>
      </c>
      <c r="E6" s="22">
        <v>38.99</v>
      </c>
      <c r="F6" s="22">
        <v>41.2</v>
      </c>
      <c r="G6" s="22">
        <v>25.7</v>
      </c>
    </row>
    <row r="7" spans="1:13" x14ac:dyDescent="0.25">
      <c r="A7" s="31"/>
      <c r="B7" s="31"/>
      <c r="C7" s="31"/>
      <c r="D7" s="31"/>
      <c r="E7" s="31"/>
      <c r="F7" s="31"/>
      <c r="G7" s="31"/>
    </row>
    <row r="8" spans="1:13" x14ac:dyDescent="0.25">
      <c r="A8" s="31" t="s">
        <v>189</v>
      </c>
      <c r="B8" s="31" t="s">
        <v>128</v>
      </c>
      <c r="C8" s="31" t="s">
        <v>32</v>
      </c>
      <c r="D8" s="31" t="s">
        <v>33</v>
      </c>
      <c r="E8" s="31" t="s">
        <v>34</v>
      </c>
      <c r="F8" s="31" t="s">
        <v>36</v>
      </c>
      <c r="G8" s="31" t="s">
        <v>39</v>
      </c>
    </row>
    <row r="9" spans="1:13" x14ac:dyDescent="0.25">
      <c r="A9" t="s">
        <v>200</v>
      </c>
      <c r="B9" s="35">
        <f>K69</f>
        <v>32873713915</v>
      </c>
      <c r="C9" s="35">
        <f>N69</f>
        <v>29535056173</v>
      </c>
      <c r="D9" s="35">
        <f>O69</f>
        <v>31821299194</v>
      </c>
      <c r="E9" s="35">
        <f>P69</f>
        <v>32323075433</v>
      </c>
      <c r="F9" s="35">
        <f>R69</f>
        <v>36171159701</v>
      </c>
      <c r="G9" s="35">
        <f>T69</f>
        <v>36195324272</v>
      </c>
    </row>
    <row r="11" spans="1:13" x14ac:dyDescent="0.25">
      <c r="A11" t="s">
        <v>201</v>
      </c>
      <c r="B11" t="s">
        <v>128</v>
      </c>
      <c r="C11" s="89" t="s">
        <v>30</v>
      </c>
      <c r="D11" s="89" t="s">
        <v>31</v>
      </c>
      <c r="E11" s="89" t="s">
        <v>32</v>
      </c>
      <c r="F11" s="89" t="s">
        <v>33</v>
      </c>
      <c r="G11" s="89" t="s">
        <v>34</v>
      </c>
      <c r="H11" s="89" t="s">
        <v>35</v>
      </c>
      <c r="I11" s="89" t="s">
        <v>36</v>
      </c>
      <c r="J11" s="89" t="s">
        <v>37</v>
      </c>
      <c r="K11" s="89" t="s">
        <v>38</v>
      </c>
      <c r="L11" s="89" t="s">
        <v>39</v>
      </c>
      <c r="M11" s="89" t="s">
        <v>348</v>
      </c>
    </row>
    <row r="12" spans="1:13" s="31" customFormat="1" x14ac:dyDescent="0.25">
      <c r="A12" s="89" t="s">
        <v>349</v>
      </c>
      <c r="B12">
        <v>1.49</v>
      </c>
      <c r="C12">
        <v>1.49</v>
      </c>
      <c r="D12">
        <v>1.49</v>
      </c>
      <c r="E12">
        <v>1.49</v>
      </c>
      <c r="F12">
        <v>1.49</v>
      </c>
      <c r="G12">
        <v>1.49</v>
      </c>
      <c r="H12" s="89">
        <v>1.49</v>
      </c>
      <c r="I12" s="89">
        <v>1.49</v>
      </c>
      <c r="J12" s="89">
        <v>1.49</v>
      </c>
      <c r="K12" s="89">
        <v>1.49</v>
      </c>
      <c r="L12" s="89">
        <v>1.49</v>
      </c>
      <c r="M12" s="89">
        <v>1.49</v>
      </c>
    </row>
    <row r="13" spans="1:13" s="31" customFormat="1" x14ac:dyDescent="0.25"/>
    <row r="14" spans="1:13" s="31" customFormat="1" x14ac:dyDescent="0.25">
      <c r="A14" s="31" t="s">
        <v>203</v>
      </c>
      <c r="B14" s="52" t="s">
        <v>128</v>
      </c>
      <c r="C14" s="52" t="s">
        <v>32</v>
      </c>
      <c r="D14" s="52" t="s">
        <v>33</v>
      </c>
      <c r="E14" s="52" t="s">
        <v>34</v>
      </c>
      <c r="F14" s="52" t="s">
        <v>36</v>
      </c>
      <c r="G14" s="53" t="s">
        <v>39</v>
      </c>
    </row>
    <row r="15" spans="1:13" s="31" customFormat="1" x14ac:dyDescent="0.25">
      <c r="A15" s="31" t="s">
        <v>203</v>
      </c>
      <c r="B15" s="13">
        <f>Private_Vehicle_Kilometres_Car_Stock[2009]*Private_Vehicle_Occupancy_from_TIMES[2009]</f>
        <v>48981833733.349998</v>
      </c>
      <c r="C15" s="13">
        <f>Private_Vehicle_Kilometres_Car_Stock[2012]*Private_Vehicle_Occupancy_from_TIMES[2010]</f>
        <v>44007233697.769997</v>
      </c>
      <c r="D15" s="13">
        <f>Private_Vehicle_Kilometres_Car_Stock[2013]*Private_Vehicle_Occupancy_from_TIMES[2011]</f>
        <v>47413735799.059998</v>
      </c>
      <c r="E15" s="13">
        <f>Private_Vehicle_Kilometres_Car_Stock[2014]*Private_Vehicle_Occupancy_from_TIMES[2012]</f>
        <v>48161382395.169998</v>
      </c>
      <c r="F15" s="13">
        <f>Private_Vehicle_Kilometres_Car_Stock[2016]*Private_Vehicle_Occupancy_from_TIMES[2013]</f>
        <v>53895027954.489998</v>
      </c>
      <c r="G15" s="13">
        <f>Private_Vehicle_Kilometres_Car_Stock[2019]*Private_Vehicle_Occupancy_from_TIMES[2014]</f>
        <v>53931033165.279999</v>
      </c>
    </row>
    <row r="17" spans="1:7" x14ac:dyDescent="0.25">
      <c r="C17" s="31"/>
      <c r="D17" s="31"/>
      <c r="E17" s="31"/>
      <c r="F17" s="31"/>
      <c r="G17" s="31"/>
    </row>
    <row r="18" spans="1:7" x14ac:dyDescent="0.25">
      <c r="A18" s="26" t="s">
        <v>202</v>
      </c>
      <c r="B18" s="26" t="s">
        <v>84</v>
      </c>
    </row>
    <row r="19" spans="1:7" x14ac:dyDescent="0.25">
      <c r="A19" s="26" t="s">
        <v>81</v>
      </c>
      <c r="B19" s="31" t="s">
        <v>128</v>
      </c>
      <c r="C19" s="31" t="s">
        <v>32</v>
      </c>
      <c r="D19" s="31" t="s">
        <v>33</v>
      </c>
      <c r="E19" s="31" t="s">
        <v>34</v>
      </c>
      <c r="F19" s="31" t="s">
        <v>36</v>
      </c>
      <c r="G19" s="31" t="s">
        <v>39</v>
      </c>
    </row>
    <row r="20" spans="1:7" x14ac:dyDescent="0.25">
      <c r="A20" s="27" t="s">
        <v>5</v>
      </c>
      <c r="B20" s="13">
        <v>41186265414.625694</v>
      </c>
      <c r="C20" s="13">
        <v>37448909302.314651</v>
      </c>
      <c r="D20" s="13">
        <v>40897858608.807022</v>
      </c>
      <c r="E20" s="13">
        <v>41379942945.201332</v>
      </c>
      <c r="F20" s="13">
        <v>47547076180.316528</v>
      </c>
      <c r="G20" s="13">
        <v>43130427324.122261</v>
      </c>
    </row>
    <row r="21" spans="1:7" x14ac:dyDescent="0.25">
      <c r="A21" s="27" t="s">
        <v>6</v>
      </c>
      <c r="B21" s="13">
        <v>7789254559.7352896</v>
      </c>
      <c r="C21" s="13">
        <v>6545814439.711257</v>
      </c>
      <c r="D21" s="13">
        <v>6533218281.3236027</v>
      </c>
      <c r="E21" s="13">
        <v>6799367587.5175657</v>
      </c>
      <c r="F21" s="13">
        <v>6373422709.3424664</v>
      </c>
      <c r="G21" s="13">
        <v>10792465210.306</v>
      </c>
    </row>
    <row r="22" spans="1:7" x14ac:dyDescent="0.25">
      <c r="A22" s="27" t="s">
        <v>82</v>
      </c>
      <c r="B22" s="13">
        <v>48975519974.360985</v>
      </c>
      <c r="C22" s="13">
        <v>43994723742.025909</v>
      </c>
      <c r="D22" s="13">
        <v>47431076890.130623</v>
      </c>
      <c r="E22" s="13">
        <v>48179310532.718895</v>
      </c>
      <c r="F22" s="13">
        <v>53920498889.658997</v>
      </c>
      <c r="G22" s="13">
        <v>53922892534.428261</v>
      </c>
    </row>
    <row r="24" spans="1:7" x14ac:dyDescent="0.25">
      <c r="A24" s="27" t="s">
        <v>204</v>
      </c>
      <c r="B24" t="s">
        <v>128</v>
      </c>
      <c r="C24" s="31" t="s">
        <v>32</v>
      </c>
      <c r="D24" s="31" t="s">
        <v>33</v>
      </c>
      <c r="E24" s="31" t="s">
        <v>34</v>
      </c>
      <c r="F24" s="31" t="s">
        <v>36</v>
      </c>
      <c r="G24" s="31" t="s">
        <v>39</v>
      </c>
    </row>
    <row r="25" spans="1:7" x14ac:dyDescent="0.25">
      <c r="A25" t="s">
        <v>205</v>
      </c>
      <c r="B25" s="10">
        <f>B15/B22</f>
        <v>1.0001289166300291</v>
      </c>
      <c r="C25" s="10">
        <f>C15/C22</f>
        <v>1.0002843512739719</v>
      </c>
      <c r="D25" s="10">
        <f t="shared" ref="D25:F25" si="0">D15/D22</f>
        <v>0.99963439389936704</v>
      </c>
      <c r="E25" s="10">
        <f t="shared" si="0"/>
        <v>0.99962788721236018</v>
      </c>
      <c r="F25" s="10">
        <f t="shared" si="0"/>
        <v>0.99952762055816435</v>
      </c>
      <c r="G25" s="10">
        <f>G15/G22</f>
        <v>1.0001509679927971</v>
      </c>
    </row>
    <row r="27" spans="1:7" x14ac:dyDescent="0.25">
      <c r="A27" t="s">
        <v>228</v>
      </c>
      <c r="B27" t="s">
        <v>128</v>
      </c>
      <c r="C27" t="s">
        <v>32</v>
      </c>
      <c r="D27" t="s">
        <v>33</v>
      </c>
      <c r="E27" t="s">
        <v>34</v>
      </c>
      <c r="F27" t="s">
        <v>36</v>
      </c>
      <c r="G27" t="s">
        <v>39</v>
      </c>
    </row>
    <row r="28" spans="1:7" x14ac:dyDescent="0.25">
      <c r="A28" t="str">
        <f>A2</f>
        <v>&lt;2 kilometres</v>
      </c>
      <c r="B28" s="75">
        <v>1</v>
      </c>
      <c r="C28" s="75">
        <v>1</v>
      </c>
      <c r="D28" s="75">
        <v>1</v>
      </c>
      <c r="E28" s="75">
        <v>1</v>
      </c>
      <c r="F28" s="75">
        <v>1</v>
      </c>
      <c r="G28" s="76">
        <v>1</v>
      </c>
    </row>
    <row r="29" spans="1:7" x14ac:dyDescent="0.25">
      <c r="A29" s="89" t="str">
        <f t="shared" ref="A29:A32" si="1">A3</f>
        <v>2-4 kilometres</v>
      </c>
      <c r="B29" s="83">
        <v>3</v>
      </c>
      <c r="C29" s="83">
        <v>3</v>
      </c>
      <c r="D29" s="83">
        <v>3</v>
      </c>
      <c r="E29" s="83">
        <v>3</v>
      </c>
      <c r="F29" s="83">
        <v>3</v>
      </c>
      <c r="G29" s="84">
        <v>3</v>
      </c>
    </row>
    <row r="30" spans="1:7" x14ac:dyDescent="0.25">
      <c r="A30" s="89" t="str">
        <f t="shared" si="1"/>
        <v>4-6 kilometres</v>
      </c>
      <c r="B30" s="75">
        <v>5</v>
      </c>
      <c r="C30" s="75">
        <v>5</v>
      </c>
      <c r="D30" s="75">
        <v>5</v>
      </c>
      <c r="E30" s="75">
        <v>5</v>
      </c>
      <c r="F30" s="75">
        <v>5</v>
      </c>
      <c r="G30" s="76">
        <v>5</v>
      </c>
    </row>
    <row r="31" spans="1:7" x14ac:dyDescent="0.25">
      <c r="A31" s="89" t="str">
        <f t="shared" si="1"/>
        <v>6-8 kilometres</v>
      </c>
      <c r="B31" s="83">
        <v>7</v>
      </c>
      <c r="C31" s="83">
        <v>7</v>
      </c>
      <c r="D31" s="83">
        <v>7</v>
      </c>
      <c r="E31" s="83">
        <v>7</v>
      </c>
      <c r="F31" s="83">
        <v>7</v>
      </c>
      <c r="G31" s="84">
        <v>7</v>
      </c>
    </row>
    <row r="32" spans="1:7" x14ac:dyDescent="0.25">
      <c r="A32" s="89" t="str">
        <f t="shared" si="1"/>
        <v>8+ kilometres</v>
      </c>
      <c r="B32" s="100">
        <v>32.770000000000003</v>
      </c>
      <c r="C32" s="100">
        <v>34.770000000000003</v>
      </c>
      <c r="D32" s="100">
        <v>38.15</v>
      </c>
      <c r="E32" s="100">
        <v>42.45</v>
      </c>
      <c r="F32" s="100">
        <v>43.24</v>
      </c>
      <c r="G32" s="101">
        <v>28.2</v>
      </c>
    </row>
    <row r="34" spans="1:7" x14ac:dyDescent="0.25">
      <c r="B34" s="89" t="s">
        <v>128</v>
      </c>
      <c r="C34" s="89" t="s">
        <v>32</v>
      </c>
      <c r="D34" s="89" t="s">
        <v>33</v>
      </c>
      <c r="E34" s="89" t="s">
        <v>34</v>
      </c>
      <c r="F34" s="89" t="s">
        <v>36</v>
      </c>
      <c r="G34" s="89" t="s">
        <v>39</v>
      </c>
    </row>
    <row r="35" spans="1:7" x14ac:dyDescent="0.25">
      <c r="A35" s="11" t="s">
        <v>202</v>
      </c>
      <c r="B35" s="102">
        <v>60795670201.850075</v>
      </c>
      <c r="C35" s="102">
        <v>51766863243.7985</v>
      </c>
      <c r="D35" s="102">
        <v>56214168696.681831</v>
      </c>
      <c r="E35" s="102">
        <v>57861823020.251396</v>
      </c>
      <c r="F35" s="102">
        <v>62808866450.009483</v>
      </c>
      <c r="G35" s="102">
        <v>65687960409.654739</v>
      </c>
    </row>
    <row r="37" spans="1:7" s="89" customFormat="1" x14ac:dyDescent="0.25">
      <c r="A37" s="67" t="s">
        <v>229</v>
      </c>
      <c r="B37" s="39" t="s">
        <v>128</v>
      </c>
      <c r="C37" s="67" t="s">
        <v>32</v>
      </c>
      <c r="D37" s="67" t="s">
        <v>33</v>
      </c>
      <c r="E37" s="67" t="s">
        <v>34</v>
      </c>
      <c r="F37" s="67" t="s">
        <v>36</v>
      </c>
      <c r="G37" s="67" t="s">
        <v>39</v>
      </c>
    </row>
    <row r="38" spans="1:7" s="89" customFormat="1" x14ac:dyDescent="0.25">
      <c r="A38" s="29" t="s">
        <v>42</v>
      </c>
      <c r="B38" s="6">
        <f>'CSO Tables'!B188/'CSO Tables'!B$188</f>
        <v>1</v>
      </c>
      <c r="C38" s="67">
        <f>Adjustment_factor_for_distance_based_on_trip_purpose[[#This Row],[2009]]</f>
        <v>1</v>
      </c>
      <c r="D38" s="67">
        <f>Adjustment_factor_for_distance_based_on_trip_purpose[[#This Row],[2009]]</f>
        <v>1</v>
      </c>
      <c r="E38" s="67">
        <f>Adjustment_factor_for_distance_based_on_trip_purpose[[#This Row],[2009]]</f>
        <v>1</v>
      </c>
      <c r="F38" s="67">
        <f>Adjustment_factor_for_distance_based_on_trip_purpose[[#This Row],[2009]]</f>
        <v>1</v>
      </c>
      <c r="G38" s="89">
        <f>Adjustment_factor_for_distance_based_on_trip_purpose[[#This Row],[2009]]</f>
        <v>1</v>
      </c>
    </row>
    <row r="39" spans="1:7" s="89" customFormat="1" x14ac:dyDescent="0.25">
      <c r="A39" s="29" t="s">
        <v>43</v>
      </c>
      <c r="B39" s="6">
        <f>'CSO Tables'!B189/'CSO Tables'!B$188</f>
        <v>0.88888888888888884</v>
      </c>
      <c r="C39" s="67">
        <f>Adjustment_factor_for_distance_based_on_trip_purpose[[#This Row],[2009]]</f>
        <v>0.88888888888888884</v>
      </c>
      <c r="D39" s="67">
        <f>Adjustment_factor_for_distance_based_on_trip_purpose[[#This Row],[2009]]</f>
        <v>0.88888888888888884</v>
      </c>
      <c r="E39" s="67">
        <f>Adjustment_factor_for_distance_based_on_trip_purpose[[#This Row],[2009]]</f>
        <v>0.88888888888888884</v>
      </c>
      <c r="F39" s="6">
        <f>Adjustment_factor_for_distance_based_on_trip_purpose[[#This Row],[2009]]</f>
        <v>0.88888888888888884</v>
      </c>
      <c r="G39" s="67">
        <f>Adjustment_factor_for_distance_based_on_trip_purpose[[#This Row],[2009]]</f>
        <v>0.88888888888888884</v>
      </c>
    </row>
    <row r="40" spans="1:7" s="89" customFormat="1" x14ac:dyDescent="0.25">
      <c r="A40" s="29" t="s">
        <v>44</v>
      </c>
      <c r="B40" s="6">
        <f>'CSO Tables'!B190/'CSO Tables'!B$188</f>
        <v>0.44444444444444442</v>
      </c>
      <c r="C40" s="67">
        <f>Adjustment_factor_for_distance_based_on_trip_purpose[[#This Row],[2009]]</f>
        <v>0.44444444444444442</v>
      </c>
      <c r="D40" s="67">
        <f>Adjustment_factor_for_distance_based_on_trip_purpose[[#This Row],[2009]]</f>
        <v>0.44444444444444442</v>
      </c>
      <c r="E40" s="67">
        <f>Adjustment_factor_for_distance_based_on_trip_purpose[[#This Row],[2009]]</f>
        <v>0.44444444444444442</v>
      </c>
      <c r="F40" s="6">
        <f>Adjustment_factor_for_distance_based_on_trip_purpose[[#This Row],[2009]]</f>
        <v>0.44444444444444442</v>
      </c>
      <c r="G40" s="67">
        <f>Adjustment_factor_for_distance_based_on_trip_purpose[[#This Row],[2009]]</f>
        <v>0.44444444444444442</v>
      </c>
    </row>
    <row r="41" spans="1:7" s="89" customFormat="1" x14ac:dyDescent="0.25">
      <c r="A41" s="29" t="s">
        <v>45</v>
      </c>
      <c r="B41" s="6">
        <f>'CSO Tables'!B191/'CSO Tables'!B$188</f>
        <v>0.44444444444444442</v>
      </c>
      <c r="C41" s="67">
        <f>Adjustment_factor_for_distance_based_on_trip_purpose[[#This Row],[2009]]</f>
        <v>0.44444444444444442</v>
      </c>
      <c r="D41" s="67">
        <f>Adjustment_factor_for_distance_based_on_trip_purpose[[#This Row],[2009]]</f>
        <v>0.44444444444444442</v>
      </c>
      <c r="E41" s="67">
        <f>Adjustment_factor_for_distance_based_on_trip_purpose[[#This Row],[2009]]</f>
        <v>0.44444444444444442</v>
      </c>
      <c r="F41" s="6">
        <f>Adjustment_factor_for_distance_based_on_trip_purpose[[#This Row],[2009]]</f>
        <v>0.44444444444444442</v>
      </c>
      <c r="G41" s="67">
        <f>Adjustment_factor_for_distance_based_on_trip_purpose[[#This Row],[2009]]</f>
        <v>0.44444444444444442</v>
      </c>
    </row>
    <row r="42" spans="1:7" s="89" customFormat="1" x14ac:dyDescent="0.25">
      <c r="A42" s="29" t="s">
        <v>46</v>
      </c>
      <c r="B42" s="6">
        <f>'CSO Tables'!B192/'CSO Tables'!B$188</f>
        <v>0.94444444444444442</v>
      </c>
      <c r="C42" s="67">
        <f>Adjustment_factor_for_distance_based_on_trip_purpose[[#This Row],[2009]]</f>
        <v>0.94444444444444442</v>
      </c>
      <c r="D42" s="67">
        <f>Adjustment_factor_for_distance_based_on_trip_purpose[[#This Row],[2009]]</f>
        <v>0.94444444444444442</v>
      </c>
      <c r="E42" s="67">
        <f>Adjustment_factor_for_distance_based_on_trip_purpose[[#This Row],[2009]]</f>
        <v>0.94444444444444442</v>
      </c>
      <c r="F42" s="6">
        <f>Adjustment_factor_for_distance_based_on_trip_purpose[[#This Row],[2009]]</f>
        <v>0.94444444444444442</v>
      </c>
      <c r="G42" s="67">
        <f>Adjustment_factor_for_distance_based_on_trip_purpose[[#This Row],[2009]]</f>
        <v>0.94444444444444442</v>
      </c>
    </row>
    <row r="43" spans="1:7" s="89" customFormat="1" x14ac:dyDescent="0.25">
      <c r="A43" s="29" t="s">
        <v>47</v>
      </c>
      <c r="B43" s="6">
        <f>'CSO Tables'!B193/'CSO Tables'!B$188</f>
        <v>0.94444444444444442</v>
      </c>
      <c r="C43" s="67">
        <f>Adjustment_factor_for_distance_based_on_trip_purpose[[#This Row],[2009]]</f>
        <v>0.94444444444444442</v>
      </c>
      <c r="D43" s="67">
        <f>Adjustment_factor_for_distance_based_on_trip_purpose[[#This Row],[2009]]</f>
        <v>0.94444444444444442</v>
      </c>
      <c r="E43" s="67">
        <f>Adjustment_factor_for_distance_based_on_trip_purpose[[#This Row],[2009]]</f>
        <v>0.94444444444444442</v>
      </c>
      <c r="F43" s="6">
        <f>Adjustment_factor_for_distance_based_on_trip_purpose[[#This Row],[2009]]</f>
        <v>0.94444444444444442</v>
      </c>
      <c r="G43" s="67">
        <f>Adjustment_factor_for_distance_based_on_trip_purpose[[#This Row],[2009]]</f>
        <v>0.94444444444444442</v>
      </c>
    </row>
    <row r="44" spans="1:7" s="89" customFormat="1" x14ac:dyDescent="0.25">
      <c r="A44" s="29" t="s">
        <v>48</v>
      </c>
      <c r="B44" s="6">
        <f>'CSO Tables'!B194/'CSO Tables'!B$188</f>
        <v>0.66666666666666663</v>
      </c>
      <c r="C44" s="67">
        <f>Adjustment_factor_for_distance_based_on_trip_purpose[[#This Row],[2009]]</f>
        <v>0.66666666666666663</v>
      </c>
      <c r="D44" s="67">
        <f>Adjustment_factor_for_distance_based_on_trip_purpose[[#This Row],[2009]]</f>
        <v>0.66666666666666663</v>
      </c>
      <c r="E44" s="67">
        <f>Adjustment_factor_for_distance_based_on_trip_purpose[[#This Row],[2009]]</f>
        <v>0.66666666666666663</v>
      </c>
      <c r="F44" s="6">
        <f>Adjustment_factor_for_distance_based_on_trip_purpose[[#This Row],[2009]]</f>
        <v>0.66666666666666663</v>
      </c>
      <c r="G44" s="67">
        <f>Adjustment_factor_for_distance_based_on_trip_purpose[[#This Row],[2009]]</f>
        <v>0.66666666666666663</v>
      </c>
    </row>
    <row r="45" spans="1:7" s="89" customFormat="1" x14ac:dyDescent="0.25">
      <c r="A45" s="29" t="s">
        <v>49</v>
      </c>
      <c r="B45" s="6">
        <f>'CSO Tables'!B195/'CSO Tables'!B$188</f>
        <v>1.2222222222222223</v>
      </c>
      <c r="C45" s="67">
        <f>Adjustment_factor_for_distance_based_on_trip_purpose[[#This Row],[2009]]</f>
        <v>1.2222222222222223</v>
      </c>
      <c r="D45" s="67">
        <f>Adjustment_factor_for_distance_based_on_trip_purpose[[#This Row],[2009]]</f>
        <v>1.2222222222222223</v>
      </c>
      <c r="E45" s="67">
        <f>Adjustment_factor_for_distance_based_on_trip_purpose[[#This Row],[2009]]</f>
        <v>1.2222222222222223</v>
      </c>
      <c r="F45" s="6">
        <f>Adjustment_factor_for_distance_based_on_trip_purpose[[#This Row],[2009]]</f>
        <v>1.2222222222222223</v>
      </c>
      <c r="G45" s="67">
        <f>Adjustment_factor_for_distance_based_on_trip_purpose[[#This Row],[2009]]</f>
        <v>1.2222222222222223</v>
      </c>
    </row>
    <row r="46" spans="1:7" s="89" customFormat="1" x14ac:dyDescent="0.25">
      <c r="A46" s="29" t="s">
        <v>50</v>
      </c>
      <c r="B46" s="6">
        <f>'CSO Tables'!B196/'CSO Tables'!B$188</f>
        <v>0.77777777777777779</v>
      </c>
      <c r="C46" s="67">
        <f>Adjustment_factor_for_distance_based_on_trip_purpose[[#This Row],[2009]]</f>
        <v>0.77777777777777779</v>
      </c>
      <c r="D46" s="67">
        <f>Adjustment_factor_for_distance_based_on_trip_purpose[[#This Row],[2009]]</f>
        <v>0.77777777777777779</v>
      </c>
      <c r="E46" s="67">
        <f>Adjustment_factor_for_distance_based_on_trip_purpose[[#This Row],[2009]]</f>
        <v>0.77777777777777779</v>
      </c>
      <c r="F46" s="6">
        <f>Adjustment_factor_for_distance_based_on_trip_purpose[[#This Row],[2009]]</f>
        <v>0.77777777777777779</v>
      </c>
      <c r="G46" s="67">
        <f>Adjustment_factor_for_distance_based_on_trip_purpose[[#This Row],[2009]]</f>
        <v>0.77777777777777779</v>
      </c>
    </row>
    <row r="47" spans="1:7" s="89" customFormat="1" x14ac:dyDescent="0.25">
      <c r="A47" s="29" t="s">
        <v>15</v>
      </c>
      <c r="B47" s="6"/>
      <c r="C47" s="67"/>
      <c r="D47" s="67"/>
      <c r="E47" s="67"/>
      <c r="F47" s="67"/>
    </row>
    <row r="48" spans="1:7" s="89" customFormat="1" x14ac:dyDescent="0.25">
      <c r="A48" s="29" t="s">
        <v>123</v>
      </c>
      <c r="B48" s="6"/>
      <c r="C48" s="67"/>
      <c r="D48" s="67"/>
      <c r="E48" s="67"/>
      <c r="F48" s="67"/>
    </row>
    <row r="49" spans="1:20" s="89" customFormat="1" x14ac:dyDescent="0.25">
      <c r="A49" s="29"/>
      <c r="B49" s="6"/>
      <c r="C49" s="67"/>
      <c r="D49" s="67"/>
      <c r="E49" s="67"/>
      <c r="F49" s="67"/>
    </row>
    <row r="50" spans="1:20" x14ac:dyDescent="0.25">
      <c r="B50" s="89" t="s">
        <v>128</v>
      </c>
      <c r="C50" s="89" t="s">
        <v>32</v>
      </c>
      <c r="D50" s="89" t="s">
        <v>33</v>
      </c>
      <c r="E50" s="89" t="s">
        <v>34</v>
      </c>
      <c r="F50" s="89" t="s">
        <v>36</v>
      </c>
      <c r="G50" s="89" t="s">
        <v>39</v>
      </c>
    </row>
    <row r="51" spans="1:20" x14ac:dyDescent="0.25">
      <c r="A51" t="s">
        <v>202</v>
      </c>
      <c r="B51" s="13">
        <v>60806057854.928558</v>
      </c>
      <c r="C51" s="13">
        <v>51783946792.656509</v>
      </c>
      <c r="D51" s="13">
        <v>56241183587.894196</v>
      </c>
      <c r="E51" s="13">
        <v>57840068037.98938</v>
      </c>
      <c r="F51" s="13">
        <v>62835657586.956902</v>
      </c>
      <c r="G51" s="13">
        <v>65666270294.519981</v>
      </c>
    </row>
    <row r="53" spans="1:20" x14ac:dyDescent="0.25">
      <c r="A53" s="103" t="s">
        <v>230</v>
      </c>
      <c r="B53" t="s">
        <v>128</v>
      </c>
      <c r="C53" t="s">
        <v>32</v>
      </c>
      <c r="D53" t="s">
        <v>33</v>
      </c>
      <c r="E53" t="s">
        <v>34</v>
      </c>
      <c r="F53" t="s">
        <v>36</v>
      </c>
      <c r="G53" t="s">
        <v>39</v>
      </c>
    </row>
    <row r="54" spans="1:20" x14ac:dyDescent="0.25">
      <c r="A54" s="75" t="s">
        <v>205</v>
      </c>
      <c r="B54" s="10">
        <f t="shared" ref="B54:G54" si="2">B51/B35</f>
        <v>1.0001708617249221</v>
      </c>
      <c r="C54" s="10">
        <f t="shared" si="2"/>
        <v>1.0003300093493699</v>
      </c>
      <c r="D54" s="10">
        <f t="shared" si="2"/>
        <v>1.0004805708567555</v>
      </c>
      <c r="E54" s="10">
        <f t="shared" si="2"/>
        <v>0.99962401837469927</v>
      </c>
      <c r="F54" s="10">
        <f t="shared" si="2"/>
        <v>1.0004265502382335</v>
      </c>
      <c r="G54" s="10">
        <f t="shared" si="2"/>
        <v>0.99966980075192635</v>
      </c>
    </row>
    <row r="56" spans="1:20" x14ac:dyDescent="0.25">
      <c r="B56" s="26" t="s">
        <v>84</v>
      </c>
    </row>
    <row r="57" spans="1:20" x14ac:dyDescent="0.25">
      <c r="B57" s="89" t="s">
        <v>128</v>
      </c>
      <c r="C57" s="89" t="s">
        <v>32</v>
      </c>
      <c r="D57" s="89" t="s">
        <v>33</v>
      </c>
      <c r="E57" s="89" t="s">
        <v>34</v>
      </c>
      <c r="F57" s="89" t="s">
        <v>36</v>
      </c>
      <c r="G57" s="89" t="s">
        <v>39</v>
      </c>
    </row>
    <row r="58" spans="1:20" x14ac:dyDescent="0.25">
      <c r="A58" t="s">
        <v>247</v>
      </c>
      <c r="B58" s="13">
        <v>60795670201.850159</v>
      </c>
      <c r="C58" s="13">
        <v>51766863243.798485</v>
      </c>
      <c r="D58" s="13">
        <v>56214168696.68174</v>
      </c>
      <c r="E58" s="13">
        <v>57866091171.605087</v>
      </c>
      <c r="F58" s="13">
        <v>62804543979.238762</v>
      </c>
      <c r="G58" s="13">
        <v>65681638448.596535</v>
      </c>
    </row>
    <row r="60" spans="1:20" x14ac:dyDescent="0.25">
      <c r="A60" s="107" t="s">
        <v>248</v>
      </c>
      <c r="B60" s="52">
        <v>2009</v>
      </c>
      <c r="C60" s="52">
        <v>2012</v>
      </c>
      <c r="D60" s="52">
        <v>2013</v>
      </c>
      <c r="E60" s="52">
        <v>2014</v>
      </c>
      <c r="F60" s="52">
        <v>2016</v>
      </c>
      <c r="G60" s="53">
        <v>2019</v>
      </c>
    </row>
    <row r="61" spans="1:20" x14ac:dyDescent="0.25">
      <c r="A61" s="85"/>
      <c r="B61" s="108">
        <f>GETPIVOTDATA("Total Passenger Kilometres",$A$50,"Year","2009")/GETPIVOTDATA("Passenger Kilometres",$A$56,"Year","2009")</f>
        <v>1.0001708617249208</v>
      </c>
      <c r="C61" s="108">
        <f t="shared" ref="C61:G61" si="3">GETPIVOTDATA("Total Passenger Kilometres",$A$50,"Year","2009")/GETPIVOTDATA("Passenger Kilometres",$A$56,"Year","2009")</f>
        <v>1.0001708617249208</v>
      </c>
      <c r="D61" s="108">
        <f t="shared" si="3"/>
        <v>1.0001708617249208</v>
      </c>
      <c r="E61" s="108">
        <f t="shared" si="3"/>
        <v>1.0001708617249208</v>
      </c>
      <c r="F61" s="108">
        <f t="shared" si="3"/>
        <v>1.0001708617249208</v>
      </c>
      <c r="G61" s="109">
        <f t="shared" si="3"/>
        <v>1.0001708617249208</v>
      </c>
    </row>
    <row r="63" spans="1:20" s="89" customFormat="1" x14ac:dyDescent="0.25">
      <c r="A63" s="89" t="s">
        <v>199</v>
      </c>
      <c r="B63" s="89" t="s">
        <v>198</v>
      </c>
      <c r="C63" s="89" t="s">
        <v>190</v>
      </c>
      <c r="D63" s="89" t="s">
        <v>191</v>
      </c>
      <c r="E63" s="89" t="s">
        <v>192</v>
      </c>
      <c r="F63" s="89" t="s">
        <v>193</v>
      </c>
      <c r="G63" s="89" t="s">
        <v>194</v>
      </c>
      <c r="H63" s="89" t="s">
        <v>195</v>
      </c>
      <c r="I63" s="89" t="s">
        <v>196</v>
      </c>
      <c r="J63" s="89" t="s">
        <v>197</v>
      </c>
      <c r="K63" s="89" t="s">
        <v>128</v>
      </c>
      <c r="L63" s="89" t="s">
        <v>30</v>
      </c>
      <c r="M63" s="89" t="s">
        <v>31</v>
      </c>
      <c r="N63" s="89" t="s">
        <v>32</v>
      </c>
      <c r="O63" s="89" t="s">
        <v>33</v>
      </c>
      <c r="P63" s="89" t="s">
        <v>34</v>
      </c>
      <c r="Q63" s="89" t="s">
        <v>35</v>
      </c>
      <c r="R63" s="89" t="s">
        <v>36</v>
      </c>
      <c r="S63" s="89" t="s">
        <v>37</v>
      </c>
      <c r="T63" s="89" t="s">
        <v>38</v>
      </c>
    </row>
    <row r="64" spans="1:20" s="89" customFormat="1" x14ac:dyDescent="0.25">
      <c r="A64" s="89" t="s">
        <v>16</v>
      </c>
      <c r="B64" s="89" t="s">
        <v>121</v>
      </c>
      <c r="C64" s="35">
        <v>20379511457</v>
      </c>
      <c r="D64" s="35">
        <v>21118450168</v>
      </c>
      <c r="E64" s="35">
        <v>21704735401</v>
      </c>
      <c r="F64" s="35">
        <v>22381530268</v>
      </c>
      <c r="G64" s="35">
        <v>22953391260</v>
      </c>
      <c r="H64" s="35">
        <v>23889013161</v>
      </c>
      <c r="I64" s="35">
        <v>24846356186</v>
      </c>
      <c r="J64" s="35">
        <v>22214881541</v>
      </c>
      <c r="K64" s="35">
        <v>22624266400</v>
      </c>
      <c r="L64" s="35">
        <v>20132966506</v>
      </c>
      <c r="M64" s="35">
        <v>18807795150</v>
      </c>
      <c r="N64" s="35">
        <v>15857327208</v>
      </c>
      <c r="O64" s="35">
        <v>16948237773</v>
      </c>
      <c r="P64" s="35">
        <v>15497223549</v>
      </c>
      <c r="Q64" s="35">
        <v>15142086282</v>
      </c>
      <c r="R64" s="35">
        <v>14318726283</v>
      </c>
      <c r="S64" s="35">
        <v>13271978988</v>
      </c>
      <c r="T64" s="35">
        <v>11710674441</v>
      </c>
    </row>
    <row r="65" spans="1:20" s="89" customFormat="1" x14ac:dyDescent="0.25">
      <c r="A65" s="89" t="s">
        <v>17</v>
      </c>
      <c r="B65" s="89" t="s">
        <v>121</v>
      </c>
      <c r="C65" s="35">
        <v>4721440677</v>
      </c>
      <c r="D65" s="35">
        <v>5009620013</v>
      </c>
      <c r="E65" s="35">
        <v>4614186671</v>
      </c>
      <c r="F65" s="35">
        <v>5590760579</v>
      </c>
      <c r="G65" s="35">
        <v>5884523493</v>
      </c>
      <c r="H65" s="35">
        <v>6755051568</v>
      </c>
      <c r="I65" s="35">
        <v>8081107831</v>
      </c>
      <c r="J65" s="35">
        <v>8618248635</v>
      </c>
      <c r="K65" s="35">
        <v>10175367199</v>
      </c>
      <c r="L65" s="35">
        <v>10959399339</v>
      </c>
      <c r="M65" s="35">
        <v>12526350906</v>
      </c>
      <c r="N65" s="35">
        <v>13541022168</v>
      </c>
      <c r="O65" s="35">
        <v>14752242235</v>
      </c>
      <c r="P65" s="35">
        <v>16684732301</v>
      </c>
      <c r="Q65" s="35">
        <v>19198399205</v>
      </c>
      <c r="R65" s="35">
        <v>21618978317</v>
      </c>
      <c r="S65" s="35">
        <v>23766498565</v>
      </c>
      <c r="T65" s="35">
        <v>23972319492</v>
      </c>
    </row>
    <row r="66" spans="1:20" s="89" customFormat="1" x14ac:dyDescent="0.25">
      <c r="A66" s="89" t="s">
        <v>18</v>
      </c>
      <c r="B66" s="89" t="s">
        <v>121</v>
      </c>
      <c r="C66" s="35">
        <v>0</v>
      </c>
      <c r="D66" s="35">
        <v>0</v>
      </c>
      <c r="E66" s="35">
        <v>565239</v>
      </c>
      <c r="F66" s="35">
        <v>4426198</v>
      </c>
      <c r="G66" s="35">
        <v>9525508</v>
      </c>
      <c r="H66" s="35">
        <v>20616884</v>
      </c>
      <c r="I66" s="35">
        <v>39163675</v>
      </c>
      <c r="J66" s="35">
        <v>60592256</v>
      </c>
      <c r="K66" s="35">
        <v>73842762</v>
      </c>
      <c r="L66" s="35">
        <v>90235482</v>
      </c>
      <c r="M66" s="35">
        <v>101220024</v>
      </c>
      <c r="N66" s="35">
        <v>132652109</v>
      </c>
      <c r="O66" s="35">
        <v>116713683</v>
      </c>
      <c r="P66" s="35">
        <v>133293917</v>
      </c>
      <c r="Q66" s="35">
        <v>162705393</v>
      </c>
      <c r="R66" s="35">
        <v>202000218</v>
      </c>
      <c r="S66" s="35">
        <v>298864147</v>
      </c>
      <c r="T66" s="35">
        <v>412781948</v>
      </c>
    </row>
    <row r="67" spans="1:20" s="89" customFormat="1" x14ac:dyDescent="0.25">
      <c r="A67" s="89" t="s">
        <v>19</v>
      </c>
      <c r="B67" s="89" t="s">
        <v>121</v>
      </c>
      <c r="C67" s="35">
        <v>0</v>
      </c>
      <c r="D67" s="35">
        <v>0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12039</v>
      </c>
      <c r="R67" s="35">
        <v>6601685</v>
      </c>
      <c r="S67" s="35">
        <v>12692006</v>
      </c>
      <c r="T67" s="35">
        <v>37824250</v>
      </c>
    </row>
    <row r="68" spans="1:20" s="89" customFormat="1" x14ac:dyDescent="0.25">
      <c r="A68" s="89" t="s">
        <v>20</v>
      </c>
      <c r="B68" s="89" t="s">
        <v>121</v>
      </c>
      <c r="C68" s="35">
        <v>0</v>
      </c>
      <c r="D68" s="35">
        <v>17665</v>
      </c>
      <c r="E68" s="35">
        <v>17679</v>
      </c>
      <c r="F68" s="35">
        <v>17679</v>
      </c>
      <c r="G68" s="35">
        <v>31226</v>
      </c>
      <c r="H68" s="35">
        <v>52850</v>
      </c>
      <c r="I68" s="35">
        <v>70453</v>
      </c>
      <c r="J68" s="35">
        <v>180190</v>
      </c>
      <c r="K68" s="35">
        <v>237554</v>
      </c>
      <c r="L68" s="35">
        <v>606092</v>
      </c>
      <c r="M68" s="35">
        <v>1370622</v>
      </c>
      <c r="N68" s="35">
        <v>4054688</v>
      </c>
      <c r="O68" s="35">
        <v>4105503</v>
      </c>
      <c r="P68" s="35">
        <v>7825666</v>
      </c>
      <c r="Q68" s="35">
        <v>16281443</v>
      </c>
      <c r="R68" s="35">
        <v>24853198</v>
      </c>
      <c r="S68" s="35">
        <v>39747301</v>
      </c>
      <c r="T68" s="35">
        <v>61724141</v>
      </c>
    </row>
    <row r="69" spans="1:20" s="89" customFormat="1" x14ac:dyDescent="0.25">
      <c r="A69" s="89" t="s">
        <v>349</v>
      </c>
      <c r="B69" s="89" t="s">
        <v>121</v>
      </c>
      <c r="C69" s="35">
        <v>25100952134</v>
      </c>
      <c r="D69" s="35">
        <v>26128087846</v>
      </c>
      <c r="E69" s="35">
        <v>26319504990</v>
      </c>
      <c r="F69" s="35">
        <v>27976734724</v>
      </c>
      <c r="G69" s="35">
        <v>28847471487</v>
      </c>
      <c r="H69" s="35">
        <v>30664734463</v>
      </c>
      <c r="I69" s="35">
        <v>32966698145</v>
      </c>
      <c r="J69" s="35">
        <v>30893902622</v>
      </c>
      <c r="K69" s="35">
        <v>32873713915</v>
      </c>
      <c r="L69" s="35">
        <v>31183207419</v>
      </c>
      <c r="M69" s="35">
        <v>31436736702</v>
      </c>
      <c r="N69" s="35">
        <v>29535056173</v>
      </c>
      <c r="O69" s="35">
        <v>31821299194</v>
      </c>
      <c r="P69" s="35">
        <v>32323075433</v>
      </c>
      <c r="Q69" s="35">
        <v>34519484362</v>
      </c>
      <c r="R69" s="35">
        <v>36171159701</v>
      </c>
      <c r="S69" s="35">
        <v>37389781007</v>
      </c>
      <c r="T69" s="35">
        <v>36195324272</v>
      </c>
    </row>
    <row r="70" spans="1:20" s="89" customFormat="1" x14ac:dyDescent="0.25"/>
    <row r="71" spans="1:20" s="89" customFormat="1" x14ac:dyDescent="0.25">
      <c r="A71" s="89" t="s">
        <v>15</v>
      </c>
      <c r="B71" s="89" t="s">
        <v>88</v>
      </c>
    </row>
    <row r="72" spans="1:20" x14ac:dyDescent="0.25">
      <c r="A72">
        <v>1000000</v>
      </c>
    </row>
    <row r="74" spans="1:20" x14ac:dyDescent="0.25">
      <c r="A74" t="s">
        <v>451</v>
      </c>
      <c r="B74" t="s">
        <v>128</v>
      </c>
      <c r="C74" t="s">
        <v>32</v>
      </c>
      <c r="D74" t="s">
        <v>33</v>
      </c>
      <c r="E74" t="s">
        <v>34</v>
      </c>
      <c r="F74" s="175" t="s">
        <v>36</v>
      </c>
      <c r="G74" s="175" t="s">
        <v>39</v>
      </c>
    </row>
    <row r="75" spans="1:20" x14ac:dyDescent="0.25">
      <c r="A75" s="69" t="s">
        <v>42</v>
      </c>
      <c r="B75" s="13">
        <f>Total_Journeys_Per_Year[2009]*'CSO Tables'!B260/100</f>
        <v>1001885892.8571427</v>
      </c>
      <c r="C75" s="13">
        <f>Total_Journeys_Per_Year[2012]*'CSO Tables'!C260/100</f>
        <v>728108245.29846191</v>
      </c>
      <c r="D75" s="13">
        <f>Total_Journeys_Per_Year[2013]*'CSO Tables'!D260/100</f>
        <v>786528457.86299896</v>
      </c>
      <c r="E75" s="13">
        <f>Total_Journeys_Per_Year[2014]*'CSO Tables'!E260/100</f>
        <v>735025500.14448094</v>
      </c>
      <c r="F75" s="13">
        <f>Total_Journeys_Per_Year[2016]*'CSO Tables'!F260/100</f>
        <v>902205246.07236791</v>
      </c>
      <c r="G75" s="13">
        <f>Total_Journeys_Per_Year[2019]*'CSO Tables'!G260/100</f>
        <v>1267291680</v>
      </c>
      <c r="H75" s="13"/>
    </row>
    <row r="76" spans="1:20" x14ac:dyDescent="0.25">
      <c r="A76" s="43" t="s">
        <v>43</v>
      </c>
      <c r="B76" s="13">
        <f>Total_Journeys_Per_Year[2009]*'CSO Tables'!B261/100</f>
        <v>120226307.14285713</v>
      </c>
      <c r="C76" s="13">
        <f>Total_Journeys_Per_Year[2012]*'CSO Tables'!C261/100</f>
        <v>151953025.10576594</v>
      </c>
      <c r="D76" s="13">
        <f>Total_Journeys_Per_Year[2013]*'CSO Tables'!D261/100</f>
        <v>145888342.99071753</v>
      </c>
      <c r="E76" s="13">
        <f>Total_Journeys_Per_Year[2014]*'CSO Tables'!E261/100</f>
        <v>132304590.02600655</v>
      </c>
      <c r="F76" s="13">
        <f>Total_Journeys_Per_Year[2016]*'CSO Tables'!F261/100</f>
        <v>123167951.68223451</v>
      </c>
      <c r="G76" s="13">
        <f>Total_Journeys_Per_Year[2019]*'CSO Tables'!G261/100</f>
        <v>144986760</v>
      </c>
    </row>
    <row r="77" spans="1:20" x14ac:dyDescent="0.25">
      <c r="A77" s="69" t="s">
        <v>44</v>
      </c>
      <c r="B77" s="13">
        <f>Total_Journeys_Per_Year[2009]*'CSO Tables'!B262/100</f>
        <v>841584149.99999988</v>
      </c>
      <c r="C77" s="13">
        <f>Total_Journeys_Per_Year[2012]*'CSO Tables'!C262/100</f>
        <v>677457236.92987323</v>
      </c>
      <c r="D77" s="13">
        <f>Total_Journeys_Per_Year[2013]*'CSO Tables'!D262/100</f>
        <v>719927257.80201924</v>
      </c>
      <c r="E77" s="13">
        <f>Total_Journeys_Per_Year[2014]*'CSO Tables'!E262/100</f>
        <v>705624480.13870168</v>
      </c>
      <c r="F77" s="13">
        <f>Total_Journeys_Per_Year[2016]*'CSO Tables'!F262/100</f>
        <v>674344535.46023393</v>
      </c>
      <c r="G77" s="13">
        <f>Total_Journeys_Per_Year[2019]*'CSO Tables'!G262/100</f>
        <v>1143784440</v>
      </c>
    </row>
    <row r="78" spans="1:20" x14ac:dyDescent="0.25">
      <c r="A78" s="43" t="s">
        <v>45</v>
      </c>
      <c r="B78" s="13">
        <f>Total_Journeys_Per_Year[2009]*'CSO Tables'!B263/100</f>
        <v>80150871.428571418</v>
      </c>
      <c r="C78" s="13">
        <f>Total_Journeys_Per_Year[2012]*'CSO Tables'!C263/100</f>
        <v>72810824.529846177</v>
      </c>
      <c r="D78" s="13">
        <f>Total_Journeys_Per_Year[2013]*'CSO Tables'!D263/100</f>
        <v>60258228.62660072</v>
      </c>
      <c r="E78" s="13">
        <f>Total_Journeys_Per_Year[2014]*'CSO Tables'!E263/100</f>
        <v>52921836.01040262</v>
      </c>
      <c r="F78" s="13">
        <f>Total_Journeys_Per_Year[2016]*'CSO Tables'!F263/100</f>
        <v>73900771.009340703</v>
      </c>
      <c r="G78" s="13">
        <f>Total_Journeys_Per_Year[2019]*'CSO Tables'!G263/100</f>
        <v>187945800</v>
      </c>
    </row>
    <row r="79" spans="1:20" x14ac:dyDescent="0.25">
      <c r="A79" s="69" t="s">
        <v>46</v>
      </c>
      <c r="B79" s="13">
        <f>Total_Journeys_Per_Year[2009]*'CSO Tables'!B264/100</f>
        <v>400754357.14285707</v>
      </c>
      <c r="C79" s="13">
        <f>Total_Journeys_Per_Year[2012]*'CSO Tables'!C264/100</f>
        <v>332397242.41886306</v>
      </c>
      <c r="D79" s="13">
        <f>Total_Journeys_Per_Year[2013]*'CSO Tables'!D264/100</f>
        <v>323491543.15333021</v>
      </c>
      <c r="E79" s="13">
        <f>Total_Journeys_Per_Year[2014]*'CSO Tables'!E264/100</f>
        <v>317531016.06241572</v>
      </c>
      <c r="F79" s="13">
        <f>Total_Journeys_Per_Year[2016]*'CSO Tables'!F264/100</f>
        <v>264811096.11680421</v>
      </c>
      <c r="G79" s="13">
        <f>Total_Journeys_Per_Year[2019]*'CSO Tables'!G264/100</f>
        <v>558467520</v>
      </c>
    </row>
    <row r="80" spans="1:20" x14ac:dyDescent="0.25">
      <c r="A80" s="43" t="s">
        <v>47</v>
      </c>
      <c r="B80" s="13">
        <f>Total_Journeys_Per_Year[2009]*'CSO Tables'!B265/100</f>
        <v>280528049.99999994</v>
      </c>
      <c r="C80" s="13">
        <f>Total_Journeys_Per_Year[2012]*'CSO Tables'!C265/100</f>
        <v>288077610.09634799</v>
      </c>
      <c r="D80" s="13">
        <f>Total_Journeys_Per_Year[2013]*'CSO Tables'!D265/100</f>
        <v>310805600.28457218</v>
      </c>
      <c r="E80" s="13">
        <f>Total_Journeys_Per_Year[2014]*'CSO Tables'!E265/100</f>
        <v>291070098.05721444</v>
      </c>
      <c r="F80" s="13">
        <f>Total_Journeys_Per_Year[2016]*'CSO Tables'!F265/100</f>
        <v>283286288.86913937</v>
      </c>
      <c r="G80" s="13">
        <f>Total_Journeys_Per_Year[2019]*'CSO Tables'!G265/100</f>
        <v>499398840</v>
      </c>
    </row>
    <row r="81" spans="1:7" x14ac:dyDescent="0.25">
      <c r="A81" s="69" t="s">
        <v>48</v>
      </c>
      <c r="B81" s="13">
        <f>Total_Journeys_Per_Year[2009]*'CSO Tables'!B266/100</f>
        <v>360678921.4285714</v>
      </c>
      <c r="C81" s="13">
        <f>Total_Journeys_Per_Year[2012]*'CSO Tables'!C266/100</f>
        <v>183609905.33613387</v>
      </c>
      <c r="D81" s="13">
        <f>Total_Journeys_Per_Year[2013]*'CSO Tables'!D266/100</f>
        <v>202975085.90012875</v>
      </c>
      <c r="E81" s="13">
        <f>Total_Journeys_Per_Year[2014]*'CSO Tables'!E266/100</f>
        <v>152885304.03005201</v>
      </c>
      <c r="F81" s="13">
        <f>Total_Journeys_Per_Year[2016]*'CSO Tables'!F266/100</f>
        <v>175514331.14718419</v>
      </c>
      <c r="G81" s="13">
        <f>Total_Journeys_Per_Year[2019]*'CSO Tables'!G266/100</f>
        <v>289973520</v>
      </c>
    </row>
    <row r="82" spans="1:7" x14ac:dyDescent="0.25">
      <c r="A82" s="43" t="s">
        <v>49</v>
      </c>
      <c r="B82" s="13">
        <f>Total_Journeys_Per_Year[2009]*'CSO Tables'!B267/100</f>
        <v>360678921.4285714</v>
      </c>
      <c r="C82" s="13">
        <f>Total_Journeys_Per_Year[2012]*'CSO Tables'!C267/100</f>
        <v>601480724.37699032</v>
      </c>
      <c r="D82" s="13">
        <f>Total_Journeys_Per_Year[2013]*'CSO Tables'!D267/100</f>
        <v>482065829.01280576</v>
      </c>
      <c r="E82" s="13">
        <f>Total_Journeys_Per_Year[2014]*'CSO Tables'!E267/100</f>
        <v>405734076.0797534</v>
      </c>
      <c r="F82" s="13">
        <f>Total_Journeys_Per_Year[2016]*'CSO Tables'!F267/100</f>
        <v>468038216.39249116</v>
      </c>
      <c r="G82" s="13">
        <f>Total_Journeys_Per_Year[2019]*'CSO Tables'!G267/100</f>
        <v>1073976000</v>
      </c>
    </row>
    <row r="83" spans="1:7" x14ac:dyDescent="0.25">
      <c r="A83" s="69" t="s">
        <v>50</v>
      </c>
      <c r="B83" s="13">
        <f>Total_Journeys_Per_Year[2009]*'CSO Tables'!B268/100</f>
        <v>400754357.14285707</v>
      </c>
      <c r="C83" s="13">
        <f>Total_Journeys_Per_Year[2012]*'CSO Tables'!C268/100</f>
        <v>129793208.94450842</v>
      </c>
      <c r="D83" s="13">
        <f>Total_Journeys_Per_Year[2013]*'CSO Tables'!D268/100</f>
        <v>133202400.12195949</v>
      </c>
      <c r="E83" s="13">
        <f>Total_Journeys_Per_Year[2014]*'CSO Tables'!E268/100</f>
        <v>149945202.02947408</v>
      </c>
      <c r="F83" s="13">
        <f>Total_Journeys_Per_Year[2016]*'CSO Tables'!F268/100</f>
        <v>117009554.09812279</v>
      </c>
      <c r="G83" s="13">
        <f>Total_Journeys_Per_Year[2019]*'CSO Tables'!G268/100</f>
        <v>198685560</v>
      </c>
    </row>
    <row r="85" spans="1:7" x14ac:dyDescent="0.25">
      <c r="A85" s="26" t="s">
        <v>459</v>
      </c>
      <c r="B85" s="175" t="s">
        <v>84</v>
      </c>
      <c r="C85" s="175"/>
      <c r="D85" s="175"/>
      <c r="E85" s="175"/>
      <c r="F85" s="175"/>
      <c r="G85" s="175"/>
    </row>
    <row r="86" spans="1:7" x14ac:dyDescent="0.25">
      <c r="A86" s="26" t="s">
        <v>81</v>
      </c>
      <c r="B86" s="26" t="s">
        <v>128</v>
      </c>
      <c r="C86" s="26" t="s">
        <v>32</v>
      </c>
      <c r="D86" s="26" t="s">
        <v>33</v>
      </c>
      <c r="E86" s="26" t="s">
        <v>34</v>
      </c>
      <c r="F86" s="26" t="s">
        <v>36</v>
      </c>
      <c r="G86" s="26" t="s">
        <v>39</v>
      </c>
    </row>
    <row r="87" spans="1:7" x14ac:dyDescent="0.25">
      <c r="A87" s="27" t="s">
        <v>12</v>
      </c>
      <c r="B87" s="8">
        <v>7.7668304997462862E-5</v>
      </c>
      <c r="C87" s="8">
        <v>6.6150299171565039E-5</v>
      </c>
      <c r="D87" s="8">
        <v>4.913310762455985E-5</v>
      </c>
      <c r="E87" s="8">
        <v>6.0867859723093536E-5</v>
      </c>
      <c r="F87" s="8">
        <v>5.821894319775867E-5</v>
      </c>
      <c r="G87" s="8">
        <v>8.2830720331376976E-5</v>
      </c>
    </row>
    <row r="88" spans="1:7" x14ac:dyDescent="0.25">
      <c r="A88" s="110" t="s">
        <v>9</v>
      </c>
      <c r="B88" s="8">
        <v>7.7668304997462862E-5</v>
      </c>
      <c r="C88" s="8">
        <v>6.6150299171565039E-5</v>
      </c>
      <c r="D88" s="8">
        <v>4.913310762455985E-5</v>
      </c>
      <c r="E88" s="8">
        <v>6.0867859723093536E-5</v>
      </c>
      <c r="F88" s="8">
        <v>5.821894319775867E-5</v>
      </c>
      <c r="G88" s="8">
        <v>8.2830720331376976E-5</v>
      </c>
    </row>
    <row r="89" spans="1:7" x14ac:dyDescent="0.25">
      <c r="A89" s="27" t="s">
        <v>181</v>
      </c>
      <c r="B89" s="8">
        <v>2.3300491499238859E-4</v>
      </c>
      <c r="C89" s="8">
        <v>1.984508975146951E-4</v>
      </c>
      <c r="D89" s="8">
        <v>1.4739932287367955E-4</v>
      </c>
      <c r="E89" s="8">
        <v>1.8260357916928061E-4</v>
      </c>
      <c r="F89" s="8">
        <v>1.7465682959327602E-4</v>
      </c>
      <c r="G89" s="8">
        <v>2.4849216099413096E-4</v>
      </c>
    </row>
    <row r="90" spans="1:7" x14ac:dyDescent="0.25">
      <c r="A90" s="110" t="s">
        <v>9</v>
      </c>
      <c r="B90" s="8">
        <v>2.3300491499238859E-4</v>
      </c>
      <c r="C90" s="8">
        <v>1.984508975146951E-4</v>
      </c>
      <c r="D90" s="8">
        <v>1.4739932287367955E-4</v>
      </c>
      <c r="E90" s="8">
        <v>1.8260357916928061E-4</v>
      </c>
      <c r="F90" s="8">
        <v>1.7465682959327602E-4</v>
      </c>
      <c r="G90" s="8">
        <v>2.4849216099413096E-4</v>
      </c>
    </row>
    <row r="91" spans="1:7" x14ac:dyDescent="0.25">
      <c r="A91" s="27" t="s">
        <v>180</v>
      </c>
      <c r="B91" s="8">
        <v>3.883415249873142E-4</v>
      </c>
      <c r="C91" s="8">
        <v>3.3075149585782518E-4</v>
      </c>
      <c r="D91" s="8">
        <v>2.456655381227992E-4</v>
      </c>
      <c r="E91" s="8">
        <v>3.0433929861546768E-4</v>
      </c>
      <c r="F91" s="8">
        <v>2.9109471598879336E-4</v>
      </c>
      <c r="G91" s="8">
        <v>4.1415360165688502E-4</v>
      </c>
    </row>
    <row r="92" spans="1:7" x14ac:dyDescent="0.25">
      <c r="A92" s="110" t="s">
        <v>9</v>
      </c>
      <c r="B92" s="8">
        <v>3.883415249873142E-4</v>
      </c>
      <c r="C92" s="8">
        <v>3.3075149585782518E-4</v>
      </c>
      <c r="D92" s="8">
        <v>2.456655381227992E-4</v>
      </c>
      <c r="E92" s="8">
        <v>3.0433929861546768E-4</v>
      </c>
      <c r="F92" s="8">
        <v>2.9109471598879336E-4</v>
      </c>
      <c r="G92" s="8">
        <v>4.1415360165688502E-4</v>
      </c>
    </row>
    <row r="93" spans="1:7" x14ac:dyDescent="0.25">
      <c r="A93" s="27" t="s">
        <v>182</v>
      </c>
      <c r="B93" s="8">
        <v>5.4367813498223993E-4</v>
      </c>
      <c r="C93" s="8">
        <v>4.6305209420095523E-4</v>
      </c>
      <c r="D93" s="8">
        <v>3.4393175337191895E-4</v>
      </c>
      <c r="E93" s="8">
        <v>4.2607501806165481E-4</v>
      </c>
      <c r="F93" s="8">
        <v>4.0753260238431073E-4</v>
      </c>
      <c r="G93" s="8">
        <v>5.7981504231963891E-4</v>
      </c>
    </row>
    <row r="94" spans="1:7" x14ac:dyDescent="0.25">
      <c r="A94" s="110" t="s">
        <v>9</v>
      </c>
      <c r="B94" s="8">
        <v>5.4367813498223993E-4</v>
      </c>
      <c r="C94" s="8">
        <v>4.6305209420095523E-4</v>
      </c>
      <c r="D94" s="8">
        <v>3.4393175337191895E-4</v>
      </c>
      <c r="E94" s="8">
        <v>4.2607501806165481E-4</v>
      </c>
      <c r="F94" s="8">
        <v>4.0753260238431073E-4</v>
      </c>
      <c r="G94" s="8">
        <v>5.7981504231963891E-4</v>
      </c>
    </row>
    <row r="95" spans="1:7" x14ac:dyDescent="0.25">
      <c r="A95" s="27" t="s">
        <v>1</v>
      </c>
      <c r="B95" s="8">
        <v>2.4415031675952452E-3</v>
      </c>
      <c r="C95" s="8">
        <v>2.2001589504462536E-3</v>
      </c>
      <c r="D95" s="8">
        <v>1.8024480532069782E-3</v>
      </c>
      <c r="E95" s="8">
        <v>2.4785392479243686E-3</v>
      </c>
      <c r="F95" s="8">
        <v>2.458003781809371E-3</v>
      </c>
      <c r="G95" s="8">
        <v>2.2322879129306099E-3</v>
      </c>
    </row>
    <row r="96" spans="1:7" x14ac:dyDescent="0.25">
      <c r="A96" s="110" t="s">
        <v>9</v>
      </c>
      <c r="B96" s="8">
        <v>2.4415031675952452E-3</v>
      </c>
      <c r="C96" s="8">
        <v>2.2001589504462536E-3</v>
      </c>
      <c r="D96" s="8">
        <v>1.8024480532069782E-3</v>
      </c>
      <c r="E96" s="8">
        <v>2.4785392479243686E-3</v>
      </c>
      <c r="F96" s="8">
        <v>2.458003781809371E-3</v>
      </c>
      <c r="G96" s="8">
        <v>2.2322879129306099E-3</v>
      </c>
    </row>
    <row r="97" spans="1:7" x14ac:dyDescent="0.25">
      <c r="A97" s="175" t="s">
        <v>450</v>
      </c>
      <c r="B97" s="175">
        <f>(B88/1+B90/3+B92/5+B94/7+B96/'PKM calculation Assumptions'!B24)*100*100</f>
        <v>3.1188850280099882</v>
      </c>
      <c r="C97" s="175">
        <f>(C88/1+C90/3+C92/5+C94/7+C96/'PKM calculation Assumptions'!C24)*100*100</f>
        <v>2.6569471505129312</v>
      </c>
      <c r="D97" s="175">
        <f>(D88/1+D90/3+D92/5+D94/7+D96/'PKM calculation Assumptions'!D24)*100*100</f>
        <v>1.9742783439948481</v>
      </c>
      <c r="E97" s="175">
        <f>(E88/1+E90/3+E92/5+E94/7+E96/'PKM calculation Assumptions'!E24)*100*100</f>
        <v>2.4470209393106548</v>
      </c>
      <c r="F97" s="175">
        <f>(F88/1+F90/3+F92/5+F94/7+F96/'PKM calculation Assumptions'!F24)*100*100</f>
        <v>2.3409502069867822</v>
      </c>
      <c r="G97" s="175">
        <f>(G88/1+G90/3+G92/5+G94/7+G96/'PKM calculation Assumptions'!G24)*100*100</f>
        <v>3.3242852169843053</v>
      </c>
    </row>
    <row r="99" spans="1:7" x14ac:dyDescent="0.25">
      <c r="A99" s="175" t="s">
        <v>460</v>
      </c>
      <c r="B99" s="175" t="s">
        <v>128</v>
      </c>
      <c r="C99" s="175" t="s">
        <v>32</v>
      </c>
      <c r="D99" s="175" t="s">
        <v>33</v>
      </c>
      <c r="E99" s="175" t="s">
        <v>34</v>
      </c>
      <c r="F99" s="175" t="s">
        <v>36</v>
      </c>
      <c r="G99" s="175" t="s">
        <v>39</v>
      </c>
    </row>
    <row r="100" spans="1:7" x14ac:dyDescent="0.25">
      <c r="A100" s="69" t="s">
        <v>42</v>
      </c>
      <c r="B100" s="179">
        <f>'PKM display'!B79/'PKM calculation Assumptions'!B75</f>
        <v>21.296036000000004</v>
      </c>
      <c r="C100" s="179">
        <f>'PKM display'!C79/'PKM calculation Assumptions'!C75</f>
        <v>21.728185217391307</v>
      </c>
      <c r="D100" s="179">
        <f>'PKM display'!D79/'PKM calculation Assumptions'!D75</f>
        <v>15.527007661290323</v>
      </c>
      <c r="E100" s="179">
        <f>'PKM display'!E79/'PKM calculation Assumptions'!E75</f>
        <v>25.336126799999992</v>
      </c>
      <c r="F100" s="179">
        <f>'PKM display'!F79/'PKM calculation Assumptions'!F75</f>
        <v>25.85615877133106</v>
      </c>
      <c r="G100" s="179">
        <f>'PKM display'!G79/'PKM calculation Assumptions'!G75</f>
        <v>15.359633050847457</v>
      </c>
    </row>
    <row r="101" spans="1:7" x14ac:dyDescent="0.25">
      <c r="A101" s="43" t="s">
        <v>43</v>
      </c>
      <c r="B101" s="179">
        <f>'PKM display'!B72/'PKM calculation Assumptions'!B76</f>
        <v>19.087599999999998</v>
      </c>
      <c r="C101" s="179">
        <f>'PKM display'!C72/'PKM calculation Assumptions'!C76</f>
        <v>14.090954791666668</v>
      </c>
      <c r="D101" s="179">
        <f>'PKM display'!D72/'PKM calculation Assumptions'!D76</f>
        <v>19.039141304347833</v>
      </c>
      <c r="E101" s="179">
        <f>'PKM display'!E72/'PKM calculation Assumptions'!E76</f>
        <v>14.911324444444448</v>
      </c>
      <c r="F101" s="179">
        <f>'PKM display'!F72/'PKM calculation Assumptions'!F76</f>
        <v>13.452100000000003</v>
      </c>
      <c r="G101" s="179">
        <f>'PKM display'!G72/'PKM calculation Assumptions'!G76</f>
        <v>11.86125925925926</v>
      </c>
    </row>
    <row r="102" spans="1:7" x14ac:dyDescent="0.25">
      <c r="A102" s="69" t="s">
        <v>44</v>
      </c>
      <c r="B102" s="179">
        <f>'PKM display'!B76/'PKM calculation Assumptions'!B77</f>
        <v>12.05767619047619</v>
      </c>
      <c r="C102" s="179">
        <f>'PKM display'!C76/'PKM calculation Assumptions'!C77</f>
        <v>13.653442149532712</v>
      </c>
      <c r="D102" s="179">
        <f>'PKM display'!D76/'PKM calculation Assumptions'!D77</f>
        <v>18.666623127753304</v>
      </c>
      <c r="E102" s="179">
        <f>'PKM display'!E76/'PKM calculation Assumptions'!E77</f>
        <v>15.578136041666665</v>
      </c>
      <c r="F102" s="179">
        <f>'PKM display'!F76/'PKM calculation Assumptions'!F77</f>
        <v>16.770100091324206</v>
      </c>
      <c r="G102" s="179">
        <f>'PKM display'!G76/'PKM calculation Assumptions'!G77</f>
        <v>10.763606572769953</v>
      </c>
    </row>
    <row r="103" spans="1:7" x14ac:dyDescent="0.25">
      <c r="A103" s="43" t="s">
        <v>45</v>
      </c>
      <c r="B103" s="179">
        <f>'PKM display'!B77/'PKM calculation Assumptions'!B78</f>
        <v>9.187850000000001</v>
      </c>
      <c r="C103" s="179">
        <f>'PKM display'!C77/'PKM calculation Assumptions'!C78</f>
        <v>10.195747391304351</v>
      </c>
      <c r="D103" s="179">
        <f>'PKM display'!D77/'PKM calculation Assumptions'!D78</f>
        <v>20.381215789473686</v>
      </c>
      <c r="E103" s="179">
        <f>'PKM display'!E77/'PKM calculation Assumptions'!E78</f>
        <v>13.874588888888889</v>
      </c>
      <c r="F103" s="179">
        <f>'PKM display'!F77/'PKM calculation Assumptions'!F78</f>
        <v>13.55699166666667</v>
      </c>
      <c r="G103" s="179">
        <f>'PKM display'!G77/'PKM calculation Assumptions'!G78</f>
        <v>9.29006857142857</v>
      </c>
    </row>
    <row r="104" spans="1:7" x14ac:dyDescent="0.25">
      <c r="A104" s="69" t="s">
        <v>46</v>
      </c>
      <c r="B104" s="179">
        <f>'PKM display'!B78/'PKM calculation Assumptions'!B79</f>
        <v>17.535840000000004</v>
      </c>
      <c r="C104" s="179">
        <f>'PKM display'!C78/'PKM calculation Assumptions'!C79</f>
        <v>19.736062190476193</v>
      </c>
      <c r="D104" s="179">
        <f>'PKM display'!D78/'PKM calculation Assumptions'!D79</f>
        <v>16.908626470588235</v>
      </c>
      <c r="E104" s="179">
        <f>'PKM display'!E78/'PKM calculation Assumptions'!E79</f>
        <v>23.860520833333339</v>
      </c>
      <c r="F104" s="179">
        <f>'PKM display'!F78/'PKM calculation Assumptions'!F79</f>
        <v>24.671935348837209</v>
      </c>
      <c r="G104" s="179">
        <f>'PKM display'!G78/'PKM calculation Assumptions'!G79</f>
        <v>14.020926923076923</v>
      </c>
    </row>
    <row r="105" spans="1:7" x14ac:dyDescent="0.25">
      <c r="A105" s="43" t="s">
        <v>47</v>
      </c>
      <c r="B105" s="179">
        <f>'PKM display'!B73/'PKM calculation Assumptions'!B80</f>
        <v>13.813457142857144</v>
      </c>
      <c r="C105" s="179">
        <f>'PKM display'!C73/'PKM calculation Assumptions'!C80</f>
        <v>16.319945824175825</v>
      </c>
      <c r="D105" s="179">
        <f>'PKM display'!D73/'PKM calculation Assumptions'!D80</f>
        <v>23.368255612244901</v>
      </c>
      <c r="E105" s="179">
        <f>'PKM display'!E73/'PKM calculation Assumptions'!E80</f>
        <v>19.830206565656567</v>
      </c>
      <c r="F105" s="179">
        <f>'PKM display'!F73/'PKM calculation Assumptions'!F80</f>
        <v>20.045019565217395</v>
      </c>
      <c r="G105" s="179">
        <f>'PKM display'!G73/'PKM calculation Assumptions'!G80</f>
        <v>11.869329032258063</v>
      </c>
    </row>
    <row r="106" spans="1:7" x14ac:dyDescent="0.25">
      <c r="A106" s="69" t="s">
        <v>48</v>
      </c>
      <c r="B106" s="179">
        <f>'PKM display'!B75/'PKM calculation Assumptions'!B81</f>
        <v>13.776177777777777</v>
      </c>
      <c r="C106" s="179">
        <f>'PKM display'!C75/'PKM calculation Assumptions'!C81</f>
        <v>17.625695172413792</v>
      </c>
      <c r="D106" s="179">
        <f>'PKM display'!D75/'PKM calculation Assumptions'!D81</f>
        <v>15.378300781250001</v>
      </c>
      <c r="E106" s="179">
        <f>'PKM display'!E75/'PKM calculation Assumptions'!E81</f>
        <v>22.241673076923078</v>
      </c>
      <c r="F106" s="179">
        <f>'PKM display'!F75/'PKM calculation Assumptions'!F81</f>
        <v>23.371046315789474</v>
      </c>
      <c r="G106" s="179">
        <f>'PKM display'!G75/'PKM calculation Assumptions'!G81</f>
        <v>13.771985185185184</v>
      </c>
    </row>
    <row r="107" spans="1:7" x14ac:dyDescent="0.25">
      <c r="A107" s="43" t="s">
        <v>49</v>
      </c>
      <c r="B107" s="179">
        <f>'PKM display'!B71/'PKM calculation Assumptions'!B82</f>
        <v>13.619988888888889</v>
      </c>
      <c r="C107" s="179">
        <f>'PKM display'!C71/'PKM calculation Assumptions'!C82</f>
        <v>12.541419368421051</v>
      </c>
      <c r="D107" s="179">
        <f>'PKM display'!D71/'PKM calculation Assumptions'!D82</f>
        <v>16.696384539473687</v>
      </c>
      <c r="E107" s="179">
        <f>'PKM display'!E71/'PKM calculation Assumptions'!E82</f>
        <v>14.187327173913046</v>
      </c>
      <c r="F107" s="179">
        <f>'PKM display'!F71/'PKM calculation Assumptions'!F82</f>
        <v>15.199279210526315</v>
      </c>
      <c r="G107" s="179">
        <f>'PKM display'!G71/'PKM calculation Assumptions'!G82</f>
        <v>9.564722999999999</v>
      </c>
    </row>
    <row r="108" spans="1:7" x14ac:dyDescent="0.25">
      <c r="A108" s="69" t="s">
        <v>50</v>
      </c>
      <c r="B108" s="179">
        <f>'PKM display'!B74/'PKM calculation Assumptions'!B83</f>
        <v>13.742129999999998</v>
      </c>
      <c r="C108" s="179">
        <f>'PKM display'!C74/'PKM calculation Assumptions'!C83</f>
        <v>13.783702195121954</v>
      </c>
      <c r="D108" s="179">
        <f>'PKM display'!D74/'PKM calculation Assumptions'!D83</f>
        <v>20.130747619047622</v>
      </c>
      <c r="E108" s="179">
        <f>'PKM display'!E74/'PKM calculation Assumptions'!E83</f>
        <v>20.092717647058826</v>
      </c>
      <c r="F108" s="179">
        <f>'PKM display'!F74/'PKM calculation Assumptions'!F83</f>
        <v>18.057088421052633</v>
      </c>
      <c r="G108" s="179">
        <f>'PKM display'!G74/'PKM calculation Assumptions'!G83</f>
        <v>12.082302702702703</v>
      </c>
    </row>
  </sheetData>
  <phoneticPr fontId="26" type="noConversion"/>
  <pageMargins left="0.7" right="0.7" top="0.75" bottom="0.75" header="0.3" footer="0.3"/>
  <tableParts count="11"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D889D-7C8A-45EA-8E78-DA277CF6121D}">
  <dimension ref="A1:Y296"/>
  <sheetViews>
    <sheetView topLeftCell="A37" zoomScale="60" zoomScaleNormal="60" workbookViewId="0">
      <selection activeCell="C84" sqref="C84"/>
    </sheetView>
  </sheetViews>
  <sheetFormatPr defaultRowHeight="15" x14ac:dyDescent="0.25"/>
  <cols>
    <col min="1" max="1" width="80.5703125" customWidth="1"/>
    <col min="2" max="2" width="16.42578125" customWidth="1"/>
    <col min="3" max="3" width="27.28515625" customWidth="1"/>
    <col min="4" max="4" width="28.28515625" customWidth="1"/>
    <col min="5" max="5" width="20.28515625" customWidth="1"/>
    <col min="6" max="6" width="20.85546875" customWidth="1"/>
    <col min="7" max="7" width="24.85546875" customWidth="1"/>
    <col min="8" max="8" width="21.85546875" customWidth="1"/>
    <col min="9" max="9" width="19.7109375" customWidth="1"/>
    <col min="10" max="10" width="18.28515625" customWidth="1"/>
    <col min="11" max="11" width="23.7109375" customWidth="1"/>
    <col min="12" max="12" width="15.7109375" customWidth="1"/>
    <col min="13" max="14" width="13.140625" customWidth="1"/>
    <col min="15" max="15" width="16.85546875" customWidth="1"/>
    <col min="16" max="16" width="26.42578125" customWidth="1"/>
    <col min="17" max="17" width="17" customWidth="1"/>
    <col min="18" max="18" width="16.28515625" customWidth="1"/>
    <col min="19" max="19" width="17.140625" customWidth="1"/>
    <col min="20" max="20" width="18" customWidth="1"/>
    <col min="21" max="21" width="14.5703125" customWidth="1"/>
    <col min="22" max="22" width="20.28515625" customWidth="1"/>
    <col min="23" max="23" width="18.42578125" customWidth="1"/>
    <col min="24" max="24" width="16" customWidth="1"/>
    <col min="25" max="25" width="16.5703125" customWidth="1"/>
  </cols>
  <sheetData>
    <row r="1" spans="1:12" x14ac:dyDescent="0.25">
      <c r="A1" s="89" t="s">
        <v>251</v>
      </c>
      <c r="B1" s="89" t="s">
        <v>128</v>
      </c>
      <c r="C1" s="89" t="s">
        <v>30</v>
      </c>
      <c r="D1" s="89" t="s">
        <v>31</v>
      </c>
      <c r="E1" s="89" t="s">
        <v>32</v>
      </c>
      <c r="F1" s="89" t="s">
        <v>33</v>
      </c>
      <c r="G1" s="89" t="s">
        <v>34</v>
      </c>
      <c r="H1" s="89" t="s">
        <v>35</v>
      </c>
      <c r="I1" s="89" t="s">
        <v>36</v>
      </c>
      <c r="J1" s="89" t="s">
        <v>37</v>
      </c>
      <c r="K1" s="89" t="s">
        <v>38</v>
      </c>
      <c r="L1" s="89" t="s">
        <v>39</v>
      </c>
    </row>
    <row r="2" spans="1:12" x14ac:dyDescent="0.25">
      <c r="A2" t="s">
        <v>472</v>
      </c>
      <c r="C2" s="148">
        <f t="shared" ref="C2:K2" si="0">C8/C42</f>
        <v>26.812385848776703</v>
      </c>
      <c r="D2" s="148">
        <f t="shared" si="0"/>
        <v>20.801606473131102</v>
      </c>
      <c r="E2" s="148">
        <f t="shared" si="0"/>
        <v>21.176318781173251</v>
      </c>
      <c r="F2" s="148">
        <f t="shared" si="0"/>
        <v>27.436462574030021</v>
      </c>
      <c r="G2" s="148">
        <f t="shared" si="0"/>
        <v>30.976642582870053</v>
      </c>
      <c r="H2" s="148">
        <f t="shared" si="0"/>
        <v>31.180806826850482</v>
      </c>
      <c r="I2" s="148">
        <f t="shared" si="0"/>
        <v>20.246679681926519</v>
      </c>
      <c r="J2" s="148">
        <f t="shared" si="0"/>
        <v>20.468018663229376</v>
      </c>
      <c r="K2" s="148">
        <f t="shared" si="0"/>
        <v>34.372764084025889</v>
      </c>
      <c r="L2" s="89"/>
    </row>
    <row r="3" spans="1:12" x14ac:dyDescent="0.25">
      <c r="A3" t="s">
        <v>473</v>
      </c>
      <c r="C3" s="148">
        <f t="shared" ref="C3:K3" si="1">C11/C45</f>
        <v>6.6727449788540394</v>
      </c>
      <c r="D3" s="148">
        <f t="shared" si="1"/>
        <v>5.1493242273339748</v>
      </c>
      <c r="E3" s="148">
        <f t="shared" si="1"/>
        <v>5.3520304264211696</v>
      </c>
      <c r="F3" s="148">
        <f t="shared" si="1"/>
        <v>6.9853345908100248</v>
      </c>
      <c r="G3" s="148">
        <f t="shared" si="1"/>
        <v>7.9106874099897801</v>
      </c>
      <c r="H3" s="148">
        <f t="shared" si="1"/>
        <v>7.8667650673985143</v>
      </c>
      <c r="I3" s="148">
        <f t="shared" si="1"/>
        <v>5.188060242389148</v>
      </c>
      <c r="J3" s="148">
        <f t="shared" si="1"/>
        <v>4.6761296124051848</v>
      </c>
      <c r="K3" s="148">
        <f t="shared" si="1"/>
        <v>8.6520989286054881</v>
      </c>
      <c r="L3" s="89"/>
    </row>
    <row r="4" spans="1:12" x14ac:dyDescent="0.25">
      <c r="A4" t="s">
        <v>474</v>
      </c>
      <c r="C4" s="148">
        <f t="shared" ref="C4:K4" si="2">C14/C48</f>
        <v>152.75616742928392</v>
      </c>
      <c r="D4" s="148">
        <f t="shared" si="2"/>
        <v>146.31341340955171</v>
      </c>
      <c r="E4" s="148">
        <f t="shared" si="2"/>
        <v>144.83799309799255</v>
      </c>
      <c r="F4" s="148">
        <f t="shared" si="2"/>
        <v>145.71693222096798</v>
      </c>
      <c r="G4" s="148">
        <f t="shared" si="2"/>
        <v>144.05021623343919</v>
      </c>
      <c r="H4" s="148">
        <f t="shared" si="2"/>
        <v>143.80201686214838</v>
      </c>
      <c r="I4" s="148">
        <f t="shared" si="2"/>
        <v>147.07685861733168</v>
      </c>
      <c r="J4" s="148">
        <f t="shared" si="2"/>
        <v>152.75997651535548</v>
      </c>
      <c r="K4" s="148">
        <f t="shared" si="2"/>
        <v>139.51276648367187</v>
      </c>
      <c r="L4" s="89"/>
    </row>
    <row r="5" spans="1:12" x14ac:dyDescent="0.25">
      <c r="A5" t="s">
        <v>475</v>
      </c>
      <c r="C5" s="148">
        <f t="shared" ref="C5:K5" si="3">C17/C51</f>
        <v>110.00202169312544</v>
      </c>
      <c r="D5" s="148">
        <f t="shared" si="3"/>
        <v>113.90370064788534</v>
      </c>
      <c r="E5" s="148">
        <f t="shared" si="3"/>
        <v>115.58655301124502</v>
      </c>
      <c r="F5" s="148">
        <f t="shared" si="3"/>
        <v>121.00771916335691</v>
      </c>
      <c r="G5" s="148">
        <f t="shared" si="3"/>
        <v>124.27189289345112</v>
      </c>
      <c r="H5" s="148">
        <f t="shared" si="3"/>
        <v>125.4551130466549</v>
      </c>
      <c r="I5" s="148">
        <f t="shared" si="3"/>
        <v>116.93984810158405</v>
      </c>
      <c r="J5" s="148">
        <f t="shared" si="3"/>
        <v>126.37690871903175</v>
      </c>
      <c r="K5" s="148">
        <f t="shared" si="3"/>
        <v>121.71005316256945</v>
      </c>
      <c r="L5" s="89"/>
    </row>
    <row r="6" spans="1:12" s="89" customFormat="1" x14ac:dyDescent="0.25">
      <c r="A6" s="120"/>
    </row>
    <row r="7" spans="1:12" s="89" customFormat="1" x14ac:dyDescent="0.25">
      <c r="A7" s="89" t="s">
        <v>246</v>
      </c>
      <c r="B7" s="89" t="s">
        <v>128</v>
      </c>
      <c r="C7" s="89" t="s">
        <v>30</v>
      </c>
      <c r="D7" s="89" t="s">
        <v>31</v>
      </c>
      <c r="E7" s="89" t="s">
        <v>32</v>
      </c>
      <c r="F7" s="89" t="s">
        <v>33</v>
      </c>
      <c r="G7" s="89" t="s">
        <v>34</v>
      </c>
      <c r="H7" s="89" t="s">
        <v>35</v>
      </c>
      <c r="I7" s="89" t="s">
        <v>36</v>
      </c>
      <c r="J7" s="89" t="s">
        <v>37</v>
      </c>
      <c r="K7" s="89" t="s">
        <v>38</v>
      </c>
      <c r="L7" s="89" t="s">
        <v>39</v>
      </c>
    </row>
    <row r="8" spans="1:12" s="89" customFormat="1" x14ac:dyDescent="0.25">
      <c r="A8" s="89" t="s">
        <v>472</v>
      </c>
      <c r="C8" s="35">
        <f>C22/(C22+C23)*VLOOKUP("Bus",Passenger_Kilometre_by_mode_type[],2,FALSE)</f>
        <v>1657005445.4544003</v>
      </c>
      <c r="D8" s="35">
        <f>D22/(D22+D23)*VLOOKUP("Bus",Passenger_Kilometre_by_mode_type[],3,FALSE)</f>
        <v>1249888238.7694616</v>
      </c>
      <c r="E8" s="35">
        <f>E22/(E22+E23)*VLOOKUP("Bus",Passenger_Kilometre_by_mode_type[],3,FALSE)</f>
        <v>1214931149.3244767</v>
      </c>
      <c r="F8" s="35">
        <f>F22/(F22+F23)*VLOOKUP("Bus",Passenger_Kilometre_by_mode_type[],4,FALSE)</f>
        <v>1536441904.1456811</v>
      </c>
      <c r="G8" s="35">
        <f>G22/(G22+G23)*VLOOKUP("Bus",Passenger_Kilometre_by_mode_type[],5,FALSE)</f>
        <v>1765668627.223593</v>
      </c>
      <c r="H8" s="35">
        <f>H22/(H22+H23)*VLOOKUP("Bus",Passenger_Kilometre_by_mode_type[],5,FALSE)</f>
        <v>1777305989.1304774</v>
      </c>
      <c r="I8" s="35">
        <f>I22/(I22+I23)*VLOOKUP("Bus",Passenger_Kilometre_by_mode_type[],6,FALSE)</f>
        <v>1160134745.7743895</v>
      </c>
      <c r="J8" s="35">
        <f>J22/(J22+J23)*VLOOKUP("Bus",Passenger_Kilometre_by_mode_type[],6,FALSE)</f>
        <v>1195332289.9325955</v>
      </c>
      <c r="K8" s="35">
        <f>K22/(K22+K23)*VLOOKUP("Bus",Passenger_Kilometre_by_mode_type[],7,FALSE)</f>
        <v>1962684829.1978781</v>
      </c>
    </row>
    <row r="9" spans="1:12" s="89" customFormat="1" x14ac:dyDescent="0.25">
      <c r="A9" s="120" t="s">
        <v>15</v>
      </c>
      <c r="C9" s="35" t="s">
        <v>315</v>
      </c>
      <c r="D9" s="35" t="s">
        <v>315</v>
      </c>
      <c r="E9" s="35" t="s">
        <v>315</v>
      </c>
      <c r="F9" s="35" t="s">
        <v>315</v>
      </c>
      <c r="G9" s="35" t="s">
        <v>315</v>
      </c>
      <c r="H9" s="35" t="s">
        <v>315</v>
      </c>
      <c r="I9" s="35" t="s">
        <v>315</v>
      </c>
      <c r="J9" s="35" t="s">
        <v>315</v>
      </c>
      <c r="K9" s="35" t="s">
        <v>315</v>
      </c>
    </row>
    <row r="10" spans="1:12" s="89" customFormat="1" x14ac:dyDescent="0.25">
      <c r="A10" s="120" t="s">
        <v>123</v>
      </c>
      <c r="C10" s="35"/>
      <c r="D10" s="35"/>
      <c r="E10" s="35"/>
      <c r="F10" s="35"/>
      <c r="G10" s="35"/>
      <c r="H10" s="35"/>
      <c r="I10" s="35"/>
      <c r="J10" s="35"/>
      <c r="K10" s="35"/>
    </row>
    <row r="11" spans="1:12" s="89" customFormat="1" x14ac:dyDescent="0.25">
      <c r="A11" s="89" t="s">
        <v>473</v>
      </c>
      <c r="C11" s="35">
        <f>C23/(C22+C23)*VLOOKUP("Bus",Passenger_Kilometre_by_mode_type[],2,FALSE)</f>
        <v>1150728217.0933368</v>
      </c>
      <c r="D11" s="35">
        <f>D23/(D22+D23)*VLOOKUP("Bus",Passenger_Kilometre_by_mode_type[],3,FALSE)</f>
        <v>888011261.65219867</v>
      </c>
      <c r="E11" s="35">
        <f>E23/(E22+E23)*VLOOKUP("Bus",Passenger_Kilometre_by_mode_type[],3,FALSE)</f>
        <v>922968351.09718359</v>
      </c>
      <c r="F11" s="35">
        <f>F23/(F22+F23)*VLOOKUP("Bus",Passenger_Kilometre_by_mode_type[],4,FALSE)</f>
        <v>1183539210.3901241</v>
      </c>
      <c r="G11" s="35">
        <f>G23/(G22+G23)*VLOOKUP("Bus",Passenger_Kilometre_by_mode_type[],5,FALSE)</f>
        <v>1294022335.8387182</v>
      </c>
      <c r="H11" s="35">
        <f>H23/(H22+H23)*VLOOKUP("Bus",Passenger_Kilometre_by_mode_type[],5,FALSE)</f>
        <v>1282384973.931834</v>
      </c>
      <c r="I11" s="35">
        <f>I23/(I22+I23)*VLOOKUP("Bus",Passenger_Kilometre_by_mode_type[],6,FALSE)</f>
        <v>885093453.47207344</v>
      </c>
      <c r="J11" s="35">
        <f>J23/(J22+J23)*VLOOKUP("Bus",Passenger_Kilometre_by_mode_type[],6,FALSE)</f>
        <v>849895909.31386709</v>
      </c>
      <c r="K11" s="35">
        <f>K23/(K22+K23)*VLOOKUP("Bus",Passenger_Kilometre_by_mode_type[],7,FALSE)</f>
        <v>1680055917.8576851</v>
      </c>
    </row>
    <row r="12" spans="1:12" s="89" customFormat="1" x14ac:dyDescent="0.25">
      <c r="A12" s="120" t="s">
        <v>15</v>
      </c>
      <c r="C12" s="35" t="s">
        <v>315</v>
      </c>
      <c r="D12" s="35" t="s">
        <v>315</v>
      </c>
      <c r="E12" s="35" t="s">
        <v>315</v>
      </c>
      <c r="F12" s="35" t="s">
        <v>315</v>
      </c>
      <c r="G12" s="35" t="s">
        <v>315</v>
      </c>
      <c r="H12" s="35" t="s">
        <v>315</v>
      </c>
      <c r="I12" s="35" t="s">
        <v>315</v>
      </c>
      <c r="J12" s="35" t="s">
        <v>315</v>
      </c>
      <c r="K12" s="35" t="s">
        <v>315</v>
      </c>
    </row>
    <row r="13" spans="1:12" s="89" customFormat="1" x14ac:dyDescent="0.25">
      <c r="A13" s="120" t="s">
        <v>123</v>
      </c>
      <c r="C13" s="35"/>
      <c r="D13" s="35"/>
      <c r="E13" s="35"/>
      <c r="F13" s="35"/>
      <c r="G13" s="35"/>
      <c r="H13" s="35"/>
      <c r="I13" s="35"/>
      <c r="J13" s="35"/>
      <c r="K13" s="35"/>
    </row>
    <row r="14" spans="1:12" s="89" customFormat="1" x14ac:dyDescent="0.25">
      <c r="A14" s="89" t="s">
        <v>474</v>
      </c>
      <c r="C14" s="35">
        <f>C24/(C$25+C$24)*VLOOKUP("Rail/DART/Luas",Passenger_Kilometre_by_mode_type[],2,FALSE)</f>
        <v>2436460870.4970784</v>
      </c>
      <c r="D14" s="35">
        <f>D24/(D$25+D$24)*VLOOKUP("Rail/DART/Luas",Passenger_Kilometre_by_mode_type[],2,FALSE)</f>
        <v>2335162078.0164452</v>
      </c>
      <c r="E14" s="35">
        <f>E24/(E$25+E$24)*VLOOKUP("Rail/DART/Luas",Passenger_Kilometre_by_mode_type[],2,FALSE)</f>
        <v>2311614369.8439612</v>
      </c>
      <c r="F14" s="35">
        <f>F24/(F$25+F$24)*VLOOKUP("Rail/DART/Luas",Passenger_Kilometre_by_mode_type[],2,FALSE)</f>
        <v>2327099407.5688586</v>
      </c>
      <c r="G14" s="35">
        <f>G24/(G$25+G$24)*VLOOKUP("Rail/DART/Luas",Passenger_Kilometre_by_mode_type[],2,FALSE)</f>
        <v>2299761702.1668568</v>
      </c>
      <c r="H14" s="35">
        <f>H24/(H$25+H$24)*VLOOKUP("Rail/DART/Luas",Passenger_Kilometre_by_mode_type[],2,FALSE)</f>
        <v>2295799199.2041988</v>
      </c>
      <c r="I14" s="35">
        <f>I24/(I$25+I$24)*VLOOKUP("Rail/DART/Luas",Passenger_Kilometre_by_mode_type[],2,FALSE)</f>
        <v>2347346663.5326138</v>
      </c>
      <c r="J14" s="35">
        <f>J24/(J$25+J$24)*VLOOKUP("Rail/DART/Luas",Passenger_Kilometre_by_mode_type[],2,FALSE)</f>
        <v>2292927247.4954858</v>
      </c>
      <c r="K14" s="35">
        <f>K24/(K$25+K$24)*VLOOKUP("Rail/DART/Luas",Passenger_Kilometre_by_mode_type[],2,FALSE)</f>
        <v>2260106817.0354843</v>
      </c>
    </row>
    <row r="15" spans="1:12" s="89" customFormat="1" x14ac:dyDescent="0.25">
      <c r="A15" s="120" t="s">
        <v>15</v>
      </c>
      <c r="C15" s="35" t="s">
        <v>315</v>
      </c>
      <c r="D15" s="35" t="s">
        <v>315</v>
      </c>
      <c r="E15" s="35" t="s">
        <v>315</v>
      </c>
      <c r="F15" s="35" t="s">
        <v>315</v>
      </c>
      <c r="G15" s="35" t="s">
        <v>315</v>
      </c>
      <c r="H15" s="35" t="s">
        <v>315</v>
      </c>
      <c r="I15" s="35" t="s">
        <v>315</v>
      </c>
      <c r="J15" s="35" t="s">
        <v>315</v>
      </c>
      <c r="K15" s="35" t="s">
        <v>315</v>
      </c>
    </row>
    <row r="16" spans="1:12" s="89" customFormat="1" x14ac:dyDescent="0.25">
      <c r="A16" s="120" t="s">
        <v>123</v>
      </c>
      <c r="C16" s="35"/>
      <c r="D16" s="35"/>
      <c r="E16" s="35"/>
      <c r="F16" s="35"/>
      <c r="G16" s="35"/>
      <c r="H16" s="35"/>
      <c r="I16" s="35"/>
      <c r="J16" s="35"/>
      <c r="K16" s="35"/>
    </row>
    <row r="17" spans="1:12" s="89" customFormat="1" x14ac:dyDescent="0.25">
      <c r="A17" s="89" t="s">
        <v>475</v>
      </c>
      <c r="C17" s="35">
        <f>C25/(C$25+C$24)*VLOOKUP("Rail/DART/Luas",Passenger_Kilometre_by_mode_type[],2,FALSE)</f>
        <v>319005862.9100638</v>
      </c>
      <c r="D17" s="35">
        <f>D25/(D$25+D$24)*VLOOKUP("Rail/DART/Luas",Passenger_Kilometre_by_mode_type[],2,FALSE)</f>
        <v>420304655.39069694</v>
      </c>
      <c r="E17" s="35">
        <f>E25/(E$25+E$24)*VLOOKUP("Rail/DART/Luas",Passenger_Kilometre_by_mode_type[],2,FALSE)</f>
        <v>443852363.56318086</v>
      </c>
      <c r="F17" s="35">
        <f>F25/(F$25+F$24)*VLOOKUP("Rail/DART/Luas",Passenger_Kilometre_by_mode_type[],2,FALSE)</f>
        <v>428367325.83828348</v>
      </c>
      <c r="G17" s="35">
        <f>G25/(G$25+G$24)*VLOOKUP("Rail/DART/Luas",Passenger_Kilometre_by_mode_type[],2,FALSE)</f>
        <v>455705031.24028528</v>
      </c>
      <c r="H17" s="35">
        <f>H25/(H$25+H$24)*VLOOKUP("Rail/DART/Luas",Passenger_Kilometre_by_mode_type[],2,FALSE)</f>
        <v>459667534.20294356</v>
      </c>
      <c r="I17" s="35">
        <f>I25/(I$25+I$24)*VLOOKUP("Rail/DART/Luas",Passenger_Kilometre_by_mode_type[],2,FALSE)</f>
        <v>408120069.87452835</v>
      </c>
      <c r="J17" s="35">
        <f>J25/(J$25+J$24)*VLOOKUP("Rail/DART/Luas",Passenger_Kilometre_by_mode_type[],2,FALSE)</f>
        <v>462539485.9116562</v>
      </c>
      <c r="K17" s="35">
        <f>K25/(K$25+K$24)*VLOOKUP("Rail/DART/Luas",Passenger_Kilometre_by_mode_type[],2,FALSE)</f>
        <v>495359916.37165767</v>
      </c>
    </row>
    <row r="18" spans="1:12" s="89" customFormat="1" hidden="1" x14ac:dyDescent="0.25">
      <c r="A18" s="120" t="s">
        <v>15</v>
      </c>
      <c r="C18" s="35" t="s">
        <v>315</v>
      </c>
      <c r="D18" s="35" t="s">
        <v>315</v>
      </c>
      <c r="E18" s="35" t="s">
        <v>315</v>
      </c>
      <c r="F18" s="35" t="s">
        <v>315</v>
      </c>
      <c r="G18" s="35" t="s">
        <v>315</v>
      </c>
      <c r="H18" s="35" t="s">
        <v>315</v>
      </c>
      <c r="I18" s="35" t="s">
        <v>315</v>
      </c>
      <c r="J18" s="35" t="s">
        <v>315</v>
      </c>
      <c r="K18" s="35" t="s">
        <v>315</v>
      </c>
    </row>
    <row r="19" spans="1:12" s="89" customFormat="1" hidden="1" x14ac:dyDescent="0.25">
      <c r="A19" s="120" t="s">
        <v>123</v>
      </c>
      <c r="C19" s="35"/>
      <c r="D19" s="13"/>
    </row>
    <row r="20" spans="1:12" s="89" customFormat="1" ht="14.25" customHeight="1" x14ac:dyDescent="0.25">
      <c r="A20" s="120"/>
    </row>
    <row r="21" spans="1:12" s="89" customFormat="1" ht="14.25" customHeight="1" x14ac:dyDescent="0.25">
      <c r="A21" s="27" t="s">
        <v>326</v>
      </c>
      <c r="B21" s="52" t="s">
        <v>128</v>
      </c>
      <c r="C21" s="52" t="s">
        <v>30</v>
      </c>
      <c r="D21" s="52" t="s">
        <v>31</v>
      </c>
      <c r="E21" s="52" t="s">
        <v>32</v>
      </c>
      <c r="F21" s="52" t="s">
        <v>33</v>
      </c>
      <c r="G21" s="52" t="s">
        <v>34</v>
      </c>
      <c r="H21" s="52" t="s">
        <v>35</v>
      </c>
      <c r="I21" s="52" t="s">
        <v>36</v>
      </c>
      <c r="J21" s="52" t="s">
        <v>37</v>
      </c>
      <c r="K21" s="52" t="s">
        <v>38</v>
      </c>
      <c r="L21" s="53" t="s">
        <v>39</v>
      </c>
    </row>
    <row r="22" spans="1:12" s="89" customFormat="1" x14ac:dyDescent="0.25">
      <c r="A22" s="27" t="s">
        <v>472</v>
      </c>
      <c r="C22" s="89">
        <f t="shared" ref="C22:K22" si="4">C28*C42</f>
        <v>7233690000000000</v>
      </c>
      <c r="D22" s="89">
        <f t="shared" si="4"/>
        <v>6912910407000000</v>
      </c>
      <c r="E22" s="89">
        <f t="shared" si="4"/>
        <v>6499118284800000</v>
      </c>
      <c r="F22" s="89">
        <f t="shared" si="4"/>
        <v>6299440000000000</v>
      </c>
      <c r="G22" s="89">
        <f t="shared" si="4"/>
        <v>6626820000000000</v>
      </c>
      <c r="H22" s="89">
        <f t="shared" si="4"/>
        <v>6829740000000000</v>
      </c>
      <c r="I22" s="89">
        <f t="shared" si="4"/>
        <v>7182555000000000</v>
      </c>
      <c r="J22" s="89">
        <f t="shared" si="4"/>
        <v>7957584000000000</v>
      </c>
      <c r="K22" s="89">
        <f t="shared" si="4"/>
        <v>7996284000000000</v>
      </c>
    </row>
    <row r="23" spans="1:12" s="89" customFormat="1" x14ac:dyDescent="0.25">
      <c r="A23" s="27" t="s">
        <v>473</v>
      </c>
      <c r="C23" s="89">
        <f t="shared" ref="C23:K23" si="5">C31*C45</f>
        <v>5023526760000000</v>
      </c>
      <c r="D23" s="89">
        <f t="shared" si="5"/>
        <v>4911432960000000</v>
      </c>
      <c r="E23" s="89">
        <f t="shared" si="5"/>
        <v>4937300760000000</v>
      </c>
      <c r="F23" s="89">
        <f t="shared" si="5"/>
        <v>4852532480000000</v>
      </c>
      <c r="G23" s="89">
        <f t="shared" si="5"/>
        <v>4856660510000000</v>
      </c>
      <c r="H23" s="89">
        <f t="shared" si="5"/>
        <v>4927882990000000</v>
      </c>
      <c r="I23" s="89">
        <f t="shared" si="5"/>
        <v>5479736240000000</v>
      </c>
      <c r="J23" s="89">
        <f t="shared" si="5"/>
        <v>5657939760000000</v>
      </c>
      <c r="K23" s="89">
        <f t="shared" si="5"/>
        <v>6844809750000000</v>
      </c>
    </row>
    <row r="24" spans="1:12" s="89" customFormat="1" x14ac:dyDescent="0.25">
      <c r="A24" s="27" t="s">
        <v>474</v>
      </c>
      <c r="C24" s="89">
        <f t="shared" ref="C24:K24" si="6">C34*C48</f>
        <v>609768500000000</v>
      </c>
      <c r="D24" s="89">
        <f t="shared" si="6"/>
        <v>596584800000000</v>
      </c>
      <c r="E24" s="89">
        <f t="shared" si="6"/>
        <v>586370400000000</v>
      </c>
      <c r="F24" s="89">
        <f t="shared" si="6"/>
        <v>586737800000000</v>
      </c>
      <c r="G24" s="89">
        <f t="shared" si="6"/>
        <v>603477000000000</v>
      </c>
      <c r="H24" s="89">
        <f t="shared" si="6"/>
        <v>633171900000000</v>
      </c>
      <c r="I24" s="89">
        <f t="shared" si="6"/>
        <v>683088000000000</v>
      </c>
      <c r="J24" s="89">
        <f t="shared" si="6"/>
        <v>683105100000000</v>
      </c>
      <c r="K24" s="89">
        <f t="shared" si="6"/>
        <v>776952000000000</v>
      </c>
    </row>
    <row r="25" spans="1:12" s="89" customFormat="1" x14ac:dyDescent="0.25">
      <c r="A25" s="27" t="s">
        <v>475</v>
      </c>
      <c r="C25" s="89">
        <f t="shared" ref="C25:K25" si="7">C37*C51</f>
        <v>79837000000000</v>
      </c>
      <c r="D25" s="89">
        <f t="shared" si="7"/>
        <v>107379000000000</v>
      </c>
      <c r="E25" s="89">
        <f t="shared" si="7"/>
        <v>112588800000000</v>
      </c>
      <c r="F25" s="89">
        <f t="shared" si="7"/>
        <v>108005400000000</v>
      </c>
      <c r="G25" s="89">
        <f t="shared" si="7"/>
        <v>119580870000000</v>
      </c>
      <c r="H25" s="89">
        <f t="shared" si="7"/>
        <v>126774400000000</v>
      </c>
      <c r="I25" s="89">
        <f t="shared" si="7"/>
        <v>118764700000000</v>
      </c>
      <c r="J25" s="89">
        <f t="shared" si="7"/>
        <v>137799000000000</v>
      </c>
      <c r="K25" s="89">
        <f t="shared" si="7"/>
        <v>170288800000000</v>
      </c>
    </row>
    <row r="26" spans="1:12" s="89" customFormat="1" x14ac:dyDescent="0.25">
      <c r="A26" s="120"/>
    </row>
    <row r="27" spans="1:12" s="89" customFormat="1" x14ac:dyDescent="0.25">
      <c r="A27" s="27" t="s">
        <v>314</v>
      </c>
      <c r="B27" s="52" t="s">
        <v>128</v>
      </c>
      <c r="C27" s="52" t="s">
        <v>30</v>
      </c>
      <c r="D27" s="52" t="s">
        <v>31</v>
      </c>
      <c r="E27" s="52" t="s">
        <v>32</v>
      </c>
      <c r="F27" s="52" t="s">
        <v>33</v>
      </c>
      <c r="G27" s="52" t="s">
        <v>34</v>
      </c>
      <c r="H27" s="52" t="s">
        <v>35</v>
      </c>
      <c r="I27" s="52" t="s">
        <v>36</v>
      </c>
      <c r="J27" s="52" t="s">
        <v>37</v>
      </c>
      <c r="K27" s="52" t="s">
        <v>38</v>
      </c>
      <c r="L27" s="53" t="s">
        <v>39</v>
      </c>
    </row>
    <row r="28" spans="1:12" s="89" customFormat="1" x14ac:dyDescent="0.25">
      <c r="A28" s="85" t="s">
        <v>479</v>
      </c>
      <c r="C28" s="35">
        <v>117050000</v>
      </c>
      <c r="D28" s="89">
        <v>115050000</v>
      </c>
      <c r="E28" s="89">
        <v>113280000</v>
      </c>
      <c r="F28" s="89">
        <v>112490000</v>
      </c>
      <c r="G28" s="89">
        <v>116260000</v>
      </c>
      <c r="H28" s="89">
        <v>119820000</v>
      </c>
      <c r="I28" s="89">
        <v>125350000</v>
      </c>
      <c r="J28" s="89">
        <v>136260000</v>
      </c>
      <c r="K28" s="89">
        <v>140040000</v>
      </c>
    </row>
    <row r="29" spans="1:12" s="89" customFormat="1" x14ac:dyDescent="0.25">
      <c r="A29" s="117" t="s">
        <v>15</v>
      </c>
      <c r="C29" s="89" t="s">
        <v>316</v>
      </c>
      <c r="D29" s="89" t="s">
        <v>317</v>
      </c>
      <c r="E29" s="89" t="s">
        <v>318</v>
      </c>
      <c r="F29" s="89" t="s">
        <v>319</v>
      </c>
      <c r="G29" s="89" t="s">
        <v>320</v>
      </c>
      <c r="H29" s="89" t="s">
        <v>321</v>
      </c>
      <c r="I29" s="89" t="s">
        <v>322</v>
      </c>
      <c r="J29" s="89" t="s">
        <v>323</v>
      </c>
      <c r="K29" s="89" t="s">
        <v>324</v>
      </c>
      <c r="L29" s="89" t="s">
        <v>325</v>
      </c>
    </row>
    <row r="30" spans="1:12" s="89" customFormat="1" x14ac:dyDescent="0.25">
      <c r="A30" s="118" t="s">
        <v>123</v>
      </c>
      <c r="C30" s="89" t="s">
        <v>22</v>
      </c>
      <c r="D30" s="89" t="s">
        <v>22</v>
      </c>
      <c r="E30" s="89" t="s">
        <v>22</v>
      </c>
      <c r="F30" s="89" t="s">
        <v>22</v>
      </c>
      <c r="G30" s="89" t="s">
        <v>22</v>
      </c>
      <c r="H30" s="89" t="s">
        <v>22</v>
      </c>
      <c r="I30" s="89" t="s">
        <v>22</v>
      </c>
      <c r="J30" s="89" t="s">
        <v>22</v>
      </c>
      <c r="K30" s="89" t="s">
        <v>22</v>
      </c>
    </row>
    <row r="31" spans="1:12" s="89" customFormat="1" x14ac:dyDescent="0.25">
      <c r="A31" s="82" t="s">
        <v>473</v>
      </c>
      <c r="C31" s="35">
        <v>29130000</v>
      </c>
      <c r="D31" s="35">
        <v>28480000</v>
      </c>
      <c r="E31" s="35">
        <v>28630000</v>
      </c>
      <c r="F31" s="35">
        <v>28640000</v>
      </c>
      <c r="G31" s="89">
        <v>29690000</v>
      </c>
      <c r="H31" s="89">
        <v>30230000</v>
      </c>
      <c r="I31" s="89">
        <v>32120000</v>
      </c>
      <c r="J31" s="89">
        <v>31130000</v>
      </c>
      <c r="K31" s="89">
        <v>35250000</v>
      </c>
    </row>
    <row r="32" spans="1:12" s="89" customFormat="1" x14ac:dyDescent="0.25">
      <c r="A32" s="118" t="s">
        <v>15</v>
      </c>
      <c r="C32" s="89" t="s">
        <v>316</v>
      </c>
      <c r="D32" s="89" t="s">
        <v>317</v>
      </c>
      <c r="E32" s="89" t="s">
        <v>318</v>
      </c>
      <c r="F32" s="89" t="s">
        <v>319</v>
      </c>
      <c r="G32" s="89" t="s">
        <v>320</v>
      </c>
      <c r="H32" s="89" t="s">
        <v>321</v>
      </c>
      <c r="I32" s="89" t="s">
        <v>322</v>
      </c>
      <c r="J32" s="89" t="s">
        <v>323</v>
      </c>
      <c r="K32" s="89" t="s">
        <v>324</v>
      </c>
    </row>
    <row r="33" spans="1:12" s="89" customFormat="1" x14ac:dyDescent="0.25">
      <c r="A33" s="117" t="s">
        <v>123</v>
      </c>
      <c r="C33" s="89" t="s">
        <v>22</v>
      </c>
      <c r="D33" s="89" t="s">
        <v>22</v>
      </c>
      <c r="E33" s="89" t="s">
        <v>22</v>
      </c>
      <c r="F33" s="89" t="s">
        <v>22</v>
      </c>
      <c r="G33" s="89" t="s">
        <v>22</v>
      </c>
      <c r="H33" s="89" t="s">
        <v>22</v>
      </c>
      <c r="I33" s="89" t="s">
        <v>22</v>
      </c>
      <c r="J33" s="89" t="s">
        <v>22</v>
      </c>
      <c r="K33" s="89" t="s">
        <v>22</v>
      </c>
    </row>
    <row r="34" spans="1:12" s="89" customFormat="1" x14ac:dyDescent="0.25">
      <c r="A34" s="85" t="s">
        <v>474</v>
      </c>
      <c r="C34" s="35">
        <v>38230000</v>
      </c>
      <c r="D34" s="35">
        <v>37380000</v>
      </c>
      <c r="E34" s="35">
        <v>36740000</v>
      </c>
      <c r="F34" s="35">
        <v>36740000</v>
      </c>
      <c r="G34" s="35">
        <v>37800000</v>
      </c>
      <c r="H34" s="35">
        <v>39660000</v>
      </c>
      <c r="I34" s="35">
        <v>42800000</v>
      </c>
      <c r="J34" s="35">
        <v>45510000</v>
      </c>
      <c r="K34" s="35">
        <v>47960000</v>
      </c>
      <c r="L34" s="35"/>
    </row>
    <row r="35" spans="1:12" s="89" customFormat="1" x14ac:dyDescent="0.25">
      <c r="A35" s="117" t="s">
        <v>15</v>
      </c>
      <c r="C35" s="89" t="s">
        <v>316</v>
      </c>
      <c r="D35" s="89" t="s">
        <v>317</v>
      </c>
      <c r="E35" s="89" t="s">
        <v>318</v>
      </c>
      <c r="F35" s="89" t="s">
        <v>319</v>
      </c>
      <c r="G35" s="89" t="s">
        <v>320</v>
      </c>
      <c r="H35" s="89" t="s">
        <v>321</v>
      </c>
      <c r="I35" s="89" t="s">
        <v>322</v>
      </c>
      <c r="J35" s="89" t="s">
        <v>323</v>
      </c>
      <c r="K35" s="89" t="s">
        <v>324</v>
      </c>
    </row>
    <row r="36" spans="1:12" s="89" customFormat="1" x14ac:dyDescent="0.25">
      <c r="A36" s="118" t="s">
        <v>123</v>
      </c>
      <c r="C36" s="89" t="s">
        <v>22</v>
      </c>
      <c r="D36" s="89" t="s">
        <v>22</v>
      </c>
      <c r="E36" s="89" t="s">
        <v>22</v>
      </c>
      <c r="F36" s="89" t="s">
        <v>22</v>
      </c>
      <c r="G36" s="89" t="s">
        <v>22</v>
      </c>
      <c r="H36" s="89" t="s">
        <v>22</v>
      </c>
      <c r="I36" s="89" t="s">
        <v>22</v>
      </c>
      <c r="J36" s="89" t="s">
        <v>22</v>
      </c>
      <c r="K36" s="89" t="s">
        <v>22</v>
      </c>
    </row>
    <row r="37" spans="1:12" s="89" customFormat="1" x14ac:dyDescent="0.25">
      <c r="A37" s="82" t="s">
        <v>475</v>
      </c>
      <c r="C37" s="35">
        <v>27530000</v>
      </c>
      <c r="D37" s="35">
        <v>29100000</v>
      </c>
      <c r="E37" s="35">
        <v>29320000</v>
      </c>
      <c r="F37" s="35">
        <v>30510000</v>
      </c>
      <c r="G37" s="35">
        <v>32610000</v>
      </c>
      <c r="H37" s="35">
        <v>34600000</v>
      </c>
      <c r="I37" s="35">
        <v>34030000</v>
      </c>
      <c r="J37" s="35">
        <v>37650000</v>
      </c>
      <c r="K37" s="35">
        <v>41840000</v>
      </c>
    </row>
    <row r="38" spans="1:12" s="89" customFormat="1" hidden="1" x14ac:dyDescent="0.25">
      <c r="A38" s="118" t="s">
        <v>15</v>
      </c>
      <c r="C38" s="89" t="s">
        <v>316</v>
      </c>
      <c r="D38" s="89" t="s">
        <v>317</v>
      </c>
      <c r="E38" s="89" t="s">
        <v>318</v>
      </c>
      <c r="F38" s="89" t="s">
        <v>319</v>
      </c>
      <c r="G38" s="89" t="s">
        <v>320</v>
      </c>
      <c r="H38" s="89" t="s">
        <v>321</v>
      </c>
      <c r="I38" s="89" t="s">
        <v>322</v>
      </c>
      <c r="J38" s="89" t="s">
        <v>323</v>
      </c>
      <c r="K38" s="89" t="s">
        <v>324</v>
      </c>
    </row>
    <row r="39" spans="1:12" hidden="1" x14ac:dyDescent="0.25">
      <c r="A39" s="117" t="s">
        <v>123</v>
      </c>
      <c r="B39" s="89"/>
      <c r="C39" s="89" t="s">
        <v>22</v>
      </c>
      <c r="D39" s="89" t="s">
        <v>22</v>
      </c>
      <c r="E39" s="89" t="s">
        <v>22</v>
      </c>
      <c r="F39" s="89" t="s">
        <v>22</v>
      </c>
      <c r="G39" s="89" t="s">
        <v>22</v>
      </c>
      <c r="H39" s="89" t="s">
        <v>22</v>
      </c>
      <c r="I39" s="89" t="s">
        <v>22</v>
      </c>
      <c r="J39" s="89" t="s">
        <v>22</v>
      </c>
      <c r="K39" s="89" t="s">
        <v>22</v>
      </c>
      <c r="L39" s="89"/>
    </row>
    <row r="40" spans="1:12" x14ac:dyDescent="0.25"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</row>
    <row r="41" spans="1:12" s="89" customFormat="1" x14ac:dyDescent="0.25">
      <c r="A41" t="s">
        <v>29</v>
      </c>
      <c r="B41" t="s">
        <v>128</v>
      </c>
      <c r="C41" s="89" t="s">
        <v>30</v>
      </c>
      <c r="D41" t="s">
        <v>31</v>
      </c>
      <c r="E41" t="s">
        <v>32</v>
      </c>
      <c r="F41" t="s">
        <v>33</v>
      </c>
      <c r="G41" t="s">
        <v>34</v>
      </c>
      <c r="H41" t="s">
        <v>35</v>
      </c>
      <c r="I41" t="s">
        <v>36</v>
      </c>
      <c r="J41" t="s">
        <v>37</v>
      </c>
      <c r="K41" t="s">
        <v>38</v>
      </c>
      <c r="L41" t="s">
        <v>39</v>
      </c>
    </row>
    <row r="42" spans="1:12" s="89" customFormat="1" x14ac:dyDescent="0.25">
      <c r="A42" s="85" t="s">
        <v>472</v>
      </c>
      <c r="B42"/>
      <c r="C42" s="35">
        <v>61800000</v>
      </c>
      <c r="D42" s="35">
        <v>60086140</v>
      </c>
      <c r="E42" s="35">
        <v>57372160</v>
      </c>
      <c r="F42" s="35">
        <v>56000000</v>
      </c>
      <c r="G42" s="35">
        <v>57000000</v>
      </c>
      <c r="H42" s="35">
        <v>57000000</v>
      </c>
      <c r="I42" s="35">
        <v>57300000</v>
      </c>
      <c r="J42" s="35">
        <v>58400000</v>
      </c>
      <c r="K42" s="35">
        <v>57100000</v>
      </c>
      <c r="L42" s="35"/>
    </row>
    <row r="43" spans="1:12" hidden="1" x14ac:dyDescent="0.25">
      <c r="A43" s="118" t="s">
        <v>15</v>
      </c>
      <c r="B43" s="89"/>
      <c r="C43" s="89" t="s">
        <v>262</v>
      </c>
      <c r="D43" s="89" t="s">
        <v>261</v>
      </c>
      <c r="E43" s="89" t="s">
        <v>260</v>
      </c>
      <c r="F43" s="89" t="s">
        <v>259</v>
      </c>
      <c r="G43" s="89" t="s">
        <v>258</v>
      </c>
      <c r="H43" s="89" t="s">
        <v>257</v>
      </c>
      <c r="I43" s="89" t="s">
        <v>254</v>
      </c>
      <c r="J43" s="89" t="s">
        <v>302</v>
      </c>
      <c r="K43" s="89" t="s">
        <v>301</v>
      </c>
      <c r="L43" s="89"/>
    </row>
    <row r="44" spans="1:12" s="89" customFormat="1" hidden="1" x14ac:dyDescent="0.25">
      <c r="A44" s="118" t="s">
        <v>123</v>
      </c>
      <c r="C44" s="2" t="s">
        <v>263</v>
      </c>
      <c r="D44" s="2" t="s">
        <v>69</v>
      </c>
      <c r="E44" s="2" t="s">
        <v>68</v>
      </c>
      <c r="F44" s="2" t="s">
        <v>67</v>
      </c>
      <c r="G44" s="2" t="s">
        <v>66</v>
      </c>
      <c r="H44" s="2" t="s">
        <v>65</v>
      </c>
      <c r="I44" s="2" t="s">
        <v>76</v>
      </c>
      <c r="J44" s="2" t="s">
        <v>300</v>
      </c>
      <c r="K44" s="2" t="s">
        <v>77</v>
      </c>
    </row>
    <row r="45" spans="1:12" s="89" customFormat="1" x14ac:dyDescent="0.25">
      <c r="A45" s="82" t="s">
        <v>473</v>
      </c>
      <c r="B45" s="35"/>
      <c r="C45" s="35">
        <f>Vehicle_Kilometres_Public_Transport[[#This Row],[2012]]</f>
        <v>172452000</v>
      </c>
      <c r="D45" s="35">
        <f>Vehicle_Kilometres_Public_Transport[[#This Row],[2012]]</f>
        <v>172452000</v>
      </c>
      <c r="E45" s="35">
        <v>172452000</v>
      </c>
      <c r="F45" s="35">
        <v>169432000</v>
      </c>
      <c r="G45" s="35">
        <v>163579000</v>
      </c>
      <c r="H45" s="35">
        <v>163013000</v>
      </c>
      <c r="I45" s="35">
        <v>170602000</v>
      </c>
      <c r="J45" s="35">
        <v>181752000</v>
      </c>
      <c r="K45" s="35">
        <v>194179000</v>
      </c>
      <c r="L45" s="35">
        <v>202452000</v>
      </c>
    </row>
    <row r="46" spans="1:12" hidden="1" x14ac:dyDescent="0.25">
      <c r="A46" s="117" t="s">
        <v>15</v>
      </c>
      <c r="B46" s="89"/>
      <c r="C46" s="89"/>
      <c r="D46" s="89"/>
      <c r="E46" s="89" t="s">
        <v>299</v>
      </c>
      <c r="F46" s="89" t="s">
        <v>299</v>
      </c>
      <c r="G46" s="89" t="s">
        <v>298</v>
      </c>
      <c r="H46" s="89" t="s">
        <v>298</v>
      </c>
      <c r="I46" s="89" t="s">
        <v>297</v>
      </c>
      <c r="J46" s="89" t="s">
        <v>297</v>
      </c>
      <c r="K46" s="89" t="s">
        <v>296</v>
      </c>
      <c r="L46" s="89" t="s">
        <v>296</v>
      </c>
    </row>
    <row r="47" spans="1:12" s="89" customFormat="1" hidden="1" x14ac:dyDescent="0.25">
      <c r="A47" s="117" t="s">
        <v>123</v>
      </c>
      <c r="E47" s="2" t="s">
        <v>270</v>
      </c>
      <c r="F47" s="89" t="s">
        <v>270</v>
      </c>
      <c r="G47" s="89" t="s">
        <v>70</v>
      </c>
      <c r="H47" s="89" t="s">
        <v>70</v>
      </c>
      <c r="I47" s="89" t="s">
        <v>265</v>
      </c>
      <c r="J47" s="89" t="s">
        <v>265</v>
      </c>
      <c r="K47" s="89" t="s">
        <v>295</v>
      </c>
      <c r="L47" s="89" t="s">
        <v>295</v>
      </c>
    </row>
    <row r="48" spans="1:12" s="89" customFormat="1" x14ac:dyDescent="0.25">
      <c r="A48" s="89" t="s">
        <v>474</v>
      </c>
      <c r="B48"/>
      <c r="C48" s="35">
        <v>15950000</v>
      </c>
      <c r="D48" s="35">
        <v>15960000</v>
      </c>
      <c r="E48" s="35">
        <v>15960000</v>
      </c>
      <c r="F48" s="13">
        <v>15970000</v>
      </c>
      <c r="G48" s="35">
        <v>15965000</v>
      </c>
      <c r="H48" s="35">
        <v>15965000</v>
      </c>
      <c r="I48" s="35">
        <v>15960000</v>
      </c>
      <c r="J48" s="35">
        <v>15010000</v>
      </c>
      <c r="K48" s="35">
        <v>16200000</v>
      </c>
      <c r="L48"/>
    </row>
    <row r="49" spans="1:25" hidden="1" x14ac:dyDescent="0.25">
      <c r="A49" s="118" t="s">
        <v>15</v>
      </c>
      <c r="B49" s="89"/>
      <c r="C49" s="89" t="s">
        <v>304</v>
      </c>
      <c r="D49" s="89" t="s">
        <v>304</v>
      </c>
      <c r="E49" s="89" t="s">
        <v>304</v>
      </c>
      <c r="F49" s="89" t="s">
        <v>306</v>
      </c>
      <c r="G49" s="89" t="s">
        <v>309</v>
      </c>
      <c r="H49" s="89" t="s">
        <v>309</v>
      </c>
      <c r="I49" s="89" t="s">
        <v>308</v>
      </c>
      <c r="J49" s="89" t="s">
        <v>308</v>
      </c>
      <c r="K49" s="89" t="s">
        <v>309</v>
      </c>
      <c r="L49" s="89"/>
    </row>
    <row r="50" spans="1:25" s="89" customFormat="1" hidden="1" x14ac:dyDescent="0.25">
      <c r="A50" s="118" t="s">
        <v>123</v>
      </c>
      <c r="C50" s="89" t="s">
        <v>303</v>
      </c>
      <c r="D50" s="2" t="s">
        <v>303</v>
      </c>
      <c r="E50" s="89" t="s">
        <v>303</v>
      </c>
      <c r="F50" s="89" t="s">
        <v>305</v>
      </c>
      <c r="G50" s="89" t="s">
        <v>22</v>
      </c>
      <c r="H50" s="3" t="s">
        <v>22</v>
      </c>
      <c r="I50" s="89" t="s">
        <v>307</v>
      </c>
      <c r="J50" s="89" t="s">
        <v>307</v>
      </c>
      <c r="K50" s="89" t="s">
        <v>22</v>
      </c>
    </row>
    <row r="51" spans="1:25" s="89" customFormat="1" x14ac:dyDescent="0.25">
      <c r="A51" s="82" t="s">
        <v>475</v>
      </c>
      <c r="B51"/>
      <c r="C51" s="35">
        <v>2900000</v>
      </c>
      <c r="D51" s="35">
        <v>3690000</v>
      </c>
      <c r="E51" s="35">
        <v>3840000</v>
      </c>
      <c r="F51" s="121">
        <v>3540000</v>
      </c>
      <c r="G51" s="35">
        <v>3667000</v>
      </c>
      <c r="H51" s="35">
        <v>3664000</v>
      </c>
      <c r="I51" s="35">
        <v>3490000</v>
      </c>
      <c r="J51" s="35">
        <v>3660000</v>
      </c>
      <c r="K51" s="35">
        <v>4070000</v>
      </c>
      <c r="L51"/>
    </row>
    <row r="52" spans="1:25" s="89" customFormat="1" hidden="1" x14ac:dyDescent="0.25">
      <c r="A52" s="119" t="s">
        <v>15</v>
      </c>
      <c r="C52" s="89" t="s">
        <v>304</v>
      </c>
      <c r="D52" s="89" t="s">
        <v>304</v>
      </c>
      <c r="E52" s="89" t="s">
        <v>304</v>
      </c>
      <c r="F52" s="89" t="s">
        <v>306</v>
      </c>
      <c r="G52" s="89" t="s">
        <v>309</v>
      </c>
      <c r="H52" s="89" t="s">
        <v>310</v>
      </c>
      <c r="I52" s="89" t="s">
        <v>311</v>
      </c>
      <c r="J52" s="89" t="s">
        <v>312</v>
      </c>
      <c r="K52" s="89" t="s">
        <v>313</v>
      </c>
    </row>
    <row r="53" spans="1:25" s="89" customFormat="1" hidden="1" x14ac:dyDescent="0.25">
      <c r="A53" s="119" t="s">
        <v>123</v>
      </c>
      <c r="C53" s="89" t="s">
        <v>303</v>
      </c>
      <c r="D53" s="89" t="s">
        <v>303</v>
      </c>
      <c r="E53" s="89" t="s">
        <v>303</v>
      </c>
      <c r="F53" s="89" t="s">
        <v>305</v>
      </c>
      <c r="G53" s="89" t="s">
        <v>22</v>
      </c>
      <c r="H53" s="89" t="s">
        <v>22</v>
      </c>
      <c r="I53" s="89" t="s">
        <v>22</v>
      </c>
      <c r="J53" s="89" t="s">
        <v>22</v>
      </c>
      <c r="K53" s="89" t="s">
        <v>22</v>
      </c>
    </row>
    <row r="54" spans="1:25" s="89" customFormat="1" x14ac:dyDescent="0.25">
      <c r="A54" s="115"/>
    </row>
    <row r="55" spans="1:25" s="89" customFormat="1" x14ac:dyDescent="0.25">
      <c r="A55" s="115" t="s">
        <v>342</v>
      </c>
      <c r="B55" s="89" t="s">
        <v>128</v>
      </c>
      <c r="C55" s="89" t="s">
        <v>30</v>
      </c>
      <c r="D55" s="89" t="s">
        <v>31</v>
      </c>
      <c r="E55" s="89" t="s">
        <v>32</v>
      </c>
      <c r="F55" s="89" t="s">
        <v>33</v>
      </c>
      <c r="G55" s="89" t="s">
        <v>34</v>
      </c>
      <c r="H55" s="89" t="s">
        <v>35</v>
      </c>
      <c r="I55" s="89" t="s">
        <v>36</v>
      </c>
      <c r="J55" s="89" t="s">
        <v>37</v>
      </c>
      <c r="K55" s="89" t="s">
        <v>38</v>
      </c>
      <c r="L55" s="89" t="s">
        <v>39</v>
      </c>
      <c r="N55" s="68"/>
      <c r="O55" s="52" t="s">
        <v>128</v>
      </c>
      <c r="P55" s="52" t="s">
        <v>30</v>
      </c>
      <c r="Q55" s="52" t="s">
        <v>31</v>
      </c>
      <c r="R55" s="52" t="s">
        <v>32</v>
      </c>
      <c r="S55" s="52" t="s">
        <v>33</v>
      </c>
      <c r="T55" s="52" t="s">
        <v>34</v>
      </c>
      <c r="U55" s="52" t="s">
        <v>35</v>
      </c>
      <c r="V55" s="52" t="s">
        <v>36</v>
      </c>
      <c r="W55" s="52" t="s">
        <v>37</v>
      </c>
      <c r="X55" s="52" t="s">
        <v>38</v>
      </c>
      <c r="Y55" s="53" t="s">
        <v>39</v>
      </c>
    </row>
    <row r="56" spans="1:25" s="89" customFormat="1" x14ac:dyDescent="0.25">
      <c r="A56" s="85" t="s">
        <v>472</v>
      </c>
      <c r="C56" s="35">
        <v>318229000</v>
      </c>
      <c r="D56" s="35">
        <v>305663000</v>
      </c>
      <c r="E56" s="1">
        <v>284767000</v>
      </c>
      <c r="F56" s="1">
        <v>278385000</v>
      </c>
      <c r="G56" s="35">
        <v>279911000</v>
      </c>
      <c r="H56" s="35">
        <v>280847000</v>
      </c>
      <c r="I56" s="35">
        <v>278405000</v>
      </c>
      <c r="J56" s="35">
        <v>280716000</v>
      </c>
      <c r="K56" s="35">
        <v>267592000</v>
      </c>
      <c r="N56" s="85" t="s">
        <v>26</v>
      </c>
      <c r="O56" s="162" t="s">
        <v>41</v>
      </c>
      <c r="P56" s="162">
        <f>Diesel_Consumpetion_Public_Transport[[#This Row],[2010]]/1000000</f>
        <v>318.22899999999998</v>
      </c>
      <c r="Q56" s="162">
        <f>Diesel_Consumpetion_Public_Transport[[#This Row],[2011]]/1000000</f>
        <v>305.66300000000001</v>
      </c>
      <c r="R56" s="162">
        <f>Diesel_Consumpetion_Public_Transport[[#This Row],[2012]]/1000000</f>
        <v>284.767</v>
      </c>
      <c r="S56" s="162">
        <f>Diesel_Consumpetion_Public_Transport[[#This Row],[2013]]/1000000</f>
        <v>278.38499999999999</v>
      </c>
      <c r="T56" s="162">
        <f>Diesel_Consumpetion_Public_Transport[[#This Row],[2014]]/1000000</f>
        <v>279.911</v>
      </c>
      <c r="U56" s="162">
        <f>Diesel_Consumpetion_Public_Transport[[#This Row],[2015]]/1000000</f>
        <v>280.84699999999998</v>
      </c>
      <c r="V56" s="162">
        <f>Diesel_Consumpetion_Public_Transport[[#This Row],[2016]]/1000000</f>
        <v>278.40499999999997</v>
      </c>
      <c r="W56" s="162">
        <f>Diesel_Consumpetion_Public_Transport[[#This Row],[2017]]/1000000</f>
        <v>280.71600000000001</v>
      </c>
      <c r="X56" s="162">
        <f>Diesel_Consumpetion_Public_Transport[[#This Row],[2018]]/1000000</f>
        <v>267.59199999999998</v>
      </c>
      <c r="Y56" s="162" t="s">
        <v>41</v>
      </c>
    </row>
    <row r="57" spans="1:25" s="89" customFormat="1" hidden="1" x14ac:dyDescent="0.25">
      <c r="A57" s="118" t="s">
        <v>15</v>
      </c>
      <c r="C57" s="89" t="s">
        <v>262</v>
      </c>
      <c r="D57" s="89" t="s">
        <v>261</v>
      </c>
      <c r="E57" s="89" t="s">
        <v>260</v>
      </c>
      <c r="F57" t="s">
        <v>259</v>
      </c>
      <c r="G57" s="89" t="s">
        <v>258</v>
      </c>
      <c r="H57" s="89" t="s">
        <v>257</v>
      </c>
      <c r="I57" s="89" t="s">
        <v>254</v>
      </c>
      <c r="J57" s="89" t="s">
        <v>255</v>
      </c>
      <c r="K57" s="89" t="s">
        <v>255</v>
      </c>
      <c r="N57" s="118" t="s">
        <v>15</v>
      </c>
      <c r="O57" s="162" t="s">
        <v>40</v>
      </c>
      <c r="P57" s="162" t="e">
        <f>Diesel_Consumpetion_Public_Transport[[#This Row],[2010]]/1000000</f>
        <v>#VALUE!</v>
      </c>
      <c r="Q57" s="162" t="e">
        <f>Diesel_Consumpetion_Public_Transport[[#This Row],[2011]]/1000000</f>
        <v>#VALUE!</v>
      </c>
      <c r="R57" s="162" t="e">
        <f>Diesel_Consumpetion_Public_Transport[[#This Row],[2012]]/1000000</f>
        <v>#VALUE!</v>
      </c>
      <c r="S57" s="162" t="e">
        <f>Diesel_Consumpetion_Public_Transport[[#This Row],[2013]]/1000000</f>
        <v>#VALUE!</v>
      </c>
      <c r="T57" s="162" t="e">
        <f>Diesel_Consumpetion_Public_Transport[[#This Row],[2014]]/1000000</f>
        <v>#VALUE!</v>
      </c>
      <c r="U57" s="162" t="e">
        <f>Diesel_Consumpetion_Public_Transport[[#This Row],[2015]]/1000000</f>
        <v>#VALUE!</v>
      </c>
      <c r="V57" s="162" t="e">
        <f>Diesel_Consumpetion_Public_Transport[[#This Row],[2016]]/1000000</f>
        <v>#VALUE!</v>
      </c>
      <c r="W57" s="162" t="e">
        <f>Diesel_Consumpetion_Public_Transport[[#This Row],[2017]]/1000000</f>
        <v>#VALUE!</v>
      </c>
      <c r="X57" s="162" t="e">
        <f>Diesel_Consumpetion_Public_Transport[[#This Row],[2018]]/1000000</f>
        <v>#VALUE!</v>
      </c>
      <c r="Y57" s="162" t="s">
        <v>40</v>
      </c>
    </row>
    <row r="58" spans="1:25" s="89" customFormat="1" hidden="1" x14ac:dyDescent="0.25">
      <c r="A58" s="118" t="s">
        <v>123</v>
      </c>
      <c r="C58" s="2" t="s">
        <v>263</v>
      </c>
      <c r="D58" s="2" t="s">
        <v>69</v>
      </c>
      <c r="E58" s="89" t="s">
        <v>68</v>
      </c>
      <c r="F58" s="89" t="s">
        <v>67</v>
      </c>
      <c r="G58" s="89" t="s">
        <v>66</v>
      </c>
      <c r="H58" s="89" t="s">
        <v>65</v>
      </c>
      <c r="I58" s="89" t="s">
        <v>76</v>
      </c>
      <c r="J58" s="2" t="s">
        <v>77</v>
      </c>
      <c r="K58" s="2" t="s">
        <v>77</v>
      </c>
      <c r="N58" s="118" t="s">
        <v>123</v>
      </c>
      <c r="O58" s="162" t="s">
        <v>40</v>
      </c>
      <c r="P58" s="162" t="e">
        <f>Diesel_Consumpetion_Public_Transport[[#This Row],[2010]]/1000000</f>
        <v>#VALUE!</v>
      </c>
      <c r="Q58" s="162" t="e">
        <f>Diesel_Consumpetion_Public_Transport[[#This Row],[2011]]/1000000</f>
        <v>#VALUE!</v>
      </c>
      <c r="R58" s="162" t="e">
        <f>Diesel_Consumpetion_Public_Transport[[#This Row],[2012]]/1000000</f>
        <v>#VALUE!</v>
      </c>
      <c r="S58" s="162" t="e">
        <f>Diesel_Consumpetion_Public_Transport[[#This Row],[2013]]/1000000</f>
        <v>#VALUE!</v>
      </c>
      <c r="T58" s="162" t="e">
        <f>Diesel_Consumpetion_Public_Transport[[#This Row],[2014]]/1000000</f>
        <v>#VALUE!</v>
      </c>
      <c r="U58" s="162" t="e">
        <f>Diesel_Consumpetion_Public_Transport[[#This Row],[2015]]/1000000</f>
        <v>#VALUE!</v>
      </c>
      <c r="V58" s="162" t="e">
        <f>Diesel_Consumpetion_Public_Transport[[#This Row],[2016]]/1000000</f>
        <v>#VALUE!</v>
      </c>
      <c r="W58" s="162" t="e">
        <f>Diesel_Consumpetion_Public_Transport[[#This Row],[2017]]/1000000</f>
        <v>#VALUE!</v>
      </c>
      <c r="X58" s="162" t="e">
        <f>Diesel_Consumpetion_Public_Transport[[#This Row],[2018]]/1000000</f>
        <v>#VALUE!</v>
      </c>
      <c r="Y58" s="162" t="s">
        <v>40</v>
      </c>
    </row>
    <row r="59" spans="1:25" s="89" customFormat="1" x14ac:dyDescent="0.25">
      <c r="A59" s="82" t="s">
        <v>473</v>
      </c>
      <c r="C59" s="35">
        <v>297467000</v>
      </c>
      <c r="D59" s="35">
        <v>289702000</v>
      </c>
      <c r="E59" s="35">
        <v>291770000</v>
      </c>
      <c r="F59" s="35">
        <v>286652000</v>
      </c>
      <c r="G59" s="89">
        <v>286601000</v>
      </c>
      <c r="H59" s="89">
        <v>286483000</v>
      </c>
      <c r="I59" s="35">
        <v>292139000</v>
      </c>
      <c r="J59" s="1">
        <v>270446000</v>
      </c>
      <c r="K59" s="35">
        <v>289571000</v>
      </c>
      <c r="N59" s="82" t="s">
        <v>250</v>
      </c>
      <c r="O59" s="162" t="s">
        <v>41</v>
      </c>
      <c r="P59" s="162">
        <f>Diesel_Consumpetion_Public_Transport[[#This Row],[2010]]/1000000</f>
        <v>297.46699999999998</v>
      </c>
      <c r="Q59" s="162">
        <f>Diesel_Consumpetion_Public_Transport[[#This Row],[2011]]/1000000</f>
        <v>289.702</v>
      </c>
      <c r="R59" s="162">
        <f>Diesel_Consumpetion_Public_Transport[[#This Row],[2012]]/1000000</f>
        <v>291.77</v>
      </c>
      <c r="S59" s="162">
        <f>Diesel_Consumpetion_Public_Transport[[#This Row],[2013]]/1000000</f>
        <v>286.65199999999999</v>
      </c>
      <c r="T59" s="162">
        <f>Diesel_Consumpetion_Public_Transport[[#This Row],[2014]]/1000000</f>
        <v>286.601</v>
      </c>
      <c r="U59" s="162">
        <f>Diesel_Consumpetion_Public_Transport[[#This Row],[2015]]/1000000</f>
        <v>286.483</v>
      </c>
      <c r="V59" s="162">
        <f>Diesel_Consumpetion_Public_Transport[[#This Row],[2016]]/1000000</f>
        <v>292.13900000000001</v>
      </c>
      <c r="W59" s="162">
        <f>Diesel_Consumpetion_Public_Transport[[#This Row],[2017]]/1000000</f>
        <v>270.44600000000003</v>
      </c>
      <c r="X59" s="162">
        <f>Diesel_Consumpetion_Public_Transport[[#This Row],[2018]]/1000000</f>
        <v>289.57100000000003</v>
      </c>
      <c r="Y59" s="162" t="s">
        <v>41</v>
      </c>
    </row>
    <row r="60" spans="1:25" s="89" customFormat="1" hidden="1" x14ac:dyDescent="0.25">
      <c r="A60" s="117" t="s">
        <v>15</v>
      </c>
      <c r="C60" s="89" t="s">
        <v>274</v>
      </c>
      <c r="D60" t="s">
        <v>274</v>
      </c>
      <c r="E60" s="89" t="s">
        <v>273</v>
      </c>
      <c r="F60" s="89" t="s">
        <v>271</v>
      </c>
      <c r="G60" t="s">
        <v>268</v>
      </c>
      <c r="H60" s="89" t="s">
        <v>267</v>
      </c>
      <c r="I60" s="89" t="s">
        <v>266</v>
      </c>
      <c r="J60" s="89" t="s">
        <v>264</v>
      </c>
      <c r="K60" s="89" t="s">
        <v>264</v>
      </c>
      <c r="N60" s="117" t="s">
        <v>15</v>
      </c>
      <c r="O60" s="162">
        <f>Diesel_Consumpetion_Public_Transport[[#This Row],[2009]]/1000000</f>
        <v>0</v>
      </c>
      <c r="P60" s="162" t="e">
        <f>Diesel_Consumpetion_Public_Transport[[#This Row],[2010]]/1000000</f>
        <v>#VALUE!</v>
      </c>
      <c r="Q60" s="162" t="e">
        <f>Diesel_Consumpetion_Public_Transport[[#This Row],[2011]]/1000000</f>
        <v>#VALUE!</v>
      </c>
      <c r="R60" s="162" t="e">
        <f>Diesel_Consumpetion_Public_Transport[[#This Row],[2012]]/1000000</f>
        <v>#VALUE!</v>
      </c>
      <c r="S60" s="162" t="e">
        <f>Diesel_Consumpetion_Public_Transport[[#This Row],[2013]]/1000000</f>
        <v>#VALUE!</v>
      </c>
      <c r="T60" s="162" t="e">
        <f>Diesel_Consumpetion_Public_Transport[[#This Row],[2014]]/1000000</f>
        <v>#VALUE!</v>
      </c>
      <c r="U60" s="162" t="e">
        <f>Diesel_Consumpetion_Public_Transport[[#This Row],[2015]]/1000000</f>
        <v>#VALUE!</v>
      </c>
      <c r="V60" s="162" t="e">
        <f>Diesel_Consumpetion_Public_Transport[[#This Row],[2016]]/1000000</f>
        <v>#VALUE!</v>
      </c>
      <c r="W60" s="162" t="e">
        <f>Diesel_Consumpetion_Public_Transport[[#This Row],[2017]]/1000000</f>
        <v>#VALUE!</v>
      </c>
      <c r="X60" s="162" t="e">
        <f>Diesel_Consumpetion_Public_Transport[[#This Row],[2018]]/1000000</f>
        <v>#VALUE!</v>
      </c>
      <c r="Y60" s="162">
        <f>Diesel_Consumpetion_Public_Transport[[#This Row],[2019]]/1000000</f>
        <v>0</v>
      </c>
    </row>
    <row r="61" spans="1:25" s="89" customFormat="1" hidden="1" x14ac:dyDescent="0.25">
      <c r="A61" s="117" t="s">
        <v>123</v>
      </c>
      <c r="C61" s="89" t="s">
        <v>275</v>
      </c>
      <c r="D61" s="89" t="s">
        <v>275</v>
      </c>
      <c r="E61" s="89" t="s">
        <v>272</v>
      </c>
      <c r="F61" s="89" t="s">
        <v>270</v>
      </c>
      <c r="G61" s="89" t="s">
        <v>269</v>
      </c>
      <c r="H61" s="89" t="s">
        <v>70</v>
      </c>
      <c r="I61" s="89" t="s">
        <v>265</v>
      </c>
      <c r="J61" s="89" t="s">
        <v>23</v>
      </c>
      <c r="K61" s="89" t="s">
        <v>23</v>
      </c>
      <c r="N61" s="117" t="s">
        <v>123</v>
      </c>
      <c r="O61" s="162">
        <f>Diesel_Consumpetion_Public_Transport[[#This Row],[2009]]/1000000</f>
        <v>0</v>
      </c>
      <c r="P61" s="162" t="e">
        <f>Diesel_Consumpetion_Public_Transport[[#This Row],[2010]]/1000000</f>
        <v>#VALUE!</v>
      </c>
      <c r="Q61" s="162" t="e">
        <f>Diesel_Consumpetion_Public_Transport[[#This Row],[2011]]/1000000</f>
        <v>#VALUE!</v>
      </c>
      <c r="R61" s="162" t="e">
        <f>Diesel_Consumpetion_Public_Transport[[#This Row],[2012]]/1000000</f>
        <v>#VALUE!</v>
      </c>
      <c r="S61" s="162" t="e">
        <f>Diesel_Consumpetion_Public_Transport[[#This Row],[2013]]/1000000</f>
        <v>#VALUE!</v>
      </c>
      <c r="T61" s="162" t="e">
        <f>Diesel_Consumpetion_Public_Transport[[#This Row],[2014]]/1000000</f>
        <v>#VALUE!</v>
      </c>
      <c r="U61" s="162" t="e">
        <f>Diesel_Consumpetion_Public_Transport[[#This Row],[2015]]/1000000</f>
        <v>#VALUE!</v>
      </c>
      <c r="V61" s="162" t="e">
        <f>Diesel_Consumpetion_Public_Transport[[#This Row],[2016]]/1000000</f>
        <v>#VALUE!</v>
      </c>
      <c r="W61" s="162" t="e">
        <f>Diesel_Consumpetion_Public_Transport[[#This Row],[2017]]/1000000</f>
        <v>#VALUE!</v>
      </c>
      <c r="X61" s="162" t="e">
        <f>Diesel_Consumpetion_Public_Transport[[#This Row],[2018]]/1000000</f>
        <v>#VALUE!</v>
      </c>
      <c r="Y61" s="162">
        <f>Diesel_Consumpetion_Public_Transport[[#This Row],[2019]]/1000000</f>
        <v>0</v>
      </c>
    </row>
    <row r="62" spans="1:25" s="89" customFormat="1" x14ac:dyDescent="0.25">
      <c r="A62" s="175" t="s">
        <v>474</v>
      </c>
      <c r="B62" s="35">
        <v>480000000</v>
      </c>
      <c r="C62" s="35">
        <v>466000000</v>
      </c>
      <c r="D62" s="35">
        <v>468300000</v>
      </c>
      <c r="E62" s="35">
        <v>455400000</v>
      </c>
      <c r="F62" s="35">
        <v>451000000</v>
      </c>
      <c r="G62" s="35">
        <v>414900000</v>
      </c>
      <c r="H62" s="35">
        <v>409700000</v>
      </c>
      <c r="I62" s="35">
        <v>429000000</v>
      </c>
      <c r="J62" s="35">
        <v>438000000</v>
      </c>
      <c r="K62" s="35">
        <v>445500000</v>
      </c>
      <c r="L62" s="35">
        <v>460100000</v>
      </c>
      <c r="N62" s="85" t="s">
        <v>64</v>
      </c>
      <c r="O62" s="162">
        <f>Diesel_Consumpetion_Public_Transport[[#This Row],[2009]]/1000000</f>
        <v>480</v>
      </c>
      <c r="P62" s="162">
        <f>Diesel_Consumpetion_Public_Transport[[#This Row],[2010]]/1000000</f>
        <v>466</v>
      </c>
      <c r="Q62" s="162">
        <f>Diesel_Consumpetion_Public_Transport[[#This Row],[2011]]/1000000</f>
        <v>468.3</v>
      </c>
      <c r="R62" s="162">
        <f>Diesel_Consumpetion_Public_Transport[[#This Row],[2012]]/1000000</f>
        <v>455.4</v>
      </c>
      <c r="S62" s="162">
        <f>Diesel_Consumpetion_Public_Transport[[#This Row],[2013]]/1000000</f>
        <v>451</v>
      </c>
      <c r="T62" s="162">
        <f>Diesel_Consumpetion_Public_Transport[[#This Row],[2014]]/1000000</f>
        <v>414.9</v>
      </c>
      <c r="U62" s="162">
        <f>Diesel_Consumpetion_Public_Transport[[#This Row],[2015]]/1000000</f>
        <v>409.7</v>
      </c>
      <c r="V62" s="162">
        <f>Diesel_Consumpetion_Public_Transport[[#This Row],[2016]]/1000000</f>
        <v>429</v>
      </c>
      <c r="W62" s="162">
        <f>Diesel_Consumpetion_Public_Transport[[#This Row],[2017]]/1000000</f>
        <v>438</v>
      </c>
      <c r="X62" s="162">
        <f>Diesel_Consumpetion_Public_Transport[[#This Row],[2018]]/1000000</f>
        <v>445.5</v>
      </c>
      <c r="Y62" s="162">
        <f>Diesel_Consumpetion_Public_Transport[[#This Row],[2019]]/1000000</f>
        <v>460.1</v>
      </c>
    </row>
    <row r="63" spans="1:25" s="89" customFormat="1" hidden="1" x14ac:dyDescent="0.25">
      <c r="A63" s="118" t="s">
        <v>15</v>
      </c>
      <c r="B63" s="89" t="s">
        <v>287</v>
      </c>
      <c r="C63" t="s">
        <v>282</v>
      </c>
      <c r="D63" s="89" t="s">
        <v>283</v>
      </c>
      <c r="E63" s="89" t="s">
        <v>284</v>
      </c>
      <c r="F63" s="89" t="s">
        <v>285</v>
      </c>
      <c r="G63" s="89" t="s">
        <v>286</v>
      </c>
      <c r="H63" s="89" t="s">
        <v>280</v>
      </c>
      <c r="I63" s="89" t="s">
        <v>280</v>
      </c>
      <c r="J63" s="89" t="s">
        <v>280</v>
      </c>
      <c r="K63" s="89" t="s">
        <v>277</v>
      </c>
      <c r="L63" s="89" t="s">
        <v>278</v>
      </c>
    </row>
    <row r="64" spans="1:25" s="89" customFormat="1" hidden="1" x14ac:dyDescent="0.25">
      <c r="A64" s="118" t="s">
        <v>123</v>
      </c>
      <c r="B64" s="2" t="s">
        <v>288</v>
      </c>
      <c r="C64" s="89" t="s">
        <v>288</v>
      </c>
      <c r="D64" s="89" t="s">
        <v>281</v>
      </c>
      <c r="E64" s="89" t="s">
        <v>281</v>
      </c>
      <c r="F64" s="89" t="s">
        <v>281</v>
      </c>
      <c r="G64" s="89" t="s">
        <v>281</v>
      </c>
      <c r="H64" s="89" t="s">
        <v>279</v>
      </c>
      <c r="I64" s="89" t="s">
        <v>279</v>
      </c>
      <c r="J64" s="89" t="s">
        <v>279</v>
      </c>
      <c r="K64" s="89" t="s">
        <v>276</v>
      </c>
      <c r="L64" s="89" t="s">
        <v>276</v>
      </c>
    </row>
    <row r="65" spans="1:25" s="89" customFormat="1" x14ac:dyDescent="0.25">
      <c r="A65" s="2"/>
      <c r="B65" s="2"/>
    </row>
    <row r="66" spans="1:25" s="89" customFormat="1" x14ac:dyDescent="0.25">
      <c r="A66" s="116" t="s">
        <v>331</v>
      </c>
      <c r="B66" s="89" t="s">
        <v>128</v>
      </c>
      <c r="C66" s="89" t="s">
        <v>30</v>
      </c>
      <c r="D66" s="89" t="s">
        <v>31</v>
      </c>
      <c r="E66" s="89" t="s">
        <v>32</v>
      </c>
      <c r="F66" s="89" t="s">
        <v>33</v>
      </c>
      <c r="G66" s="89" t="s">
        <v>34</v>
      </c>
      <c r="H66" s="89" t="s">
        <v>35</v>
      </c>
      <c r="I66" s="89" t="s">
        <v>36</v>
      </c>
      <c r="J66" s="89" t="s">
        <v>37</v>
      </c>
      <c r="K66" s="89" t="s">
        <v>38</v>
      </c>
      <c r="L66" s="89" t="s">
        <v>39</v>
      </c>
      <c r="N66" s="68"/>
      <c r="O66" s="52" t="s">
        <v>128</v>
      </c>
      <c r="P66" s="52" t="s">
        <v>30</v>
      </c>
      <c r="Q66" s="52" t="s">
        <v>31</v>
      </c>
      <c r="R66" s="52" t="s">
        <v>32</v>
      </c>
      <c r="S66" s="52" t="s">
        <v>33</v>
      </c>
      <c r="T66" s="52" t="s">
        <v>34</v>
      </c>
      <c r="U66" s="52" t="s">
        <v>35</v>
      </c>
      <c r="V66" s="52" t="s">
        <v>36</v>
      </c>
      <c r="W66" s="52" t="s">
        <v>37</v>
      </c>
      <c r="X66" s="52" t="s">
        <v>38</v>
      </c>
      <c r="Y66" s="53" t="s">
        <v>39</v>
      </c>
    </row>
    <row r="67" spans="1:25" s="89" customFormat="1" x14ac:dyDescent="0.25">
      <c r="A67" s="85" t="s">
        <v>472</v>
      </c>
      <c r="C67" s="35">
        <v>6500000</v>
      </c>
      <c r="D67" s="35">
        <v>6422000</v>
      </c>
      <c r="E67" s="35">
        <v>5786000</v>
      </c>
      <c r="F67" s="35">
        <v>5430000</v>
      </c>
      <c r="G67" s="1">
        <v>5240000</v>
      </c>
      <c r="H67" s="35">
        <v>5223000</v>
      </c>
      <c r="I67" s="35">
        <v>4614000</v>
      </c>
      <c r="J67" s="1">
        <v>4517000</v>
      </c>
      <c r="K67" s="35">
        <v>4457000</v>
      </c>
      <c r="N67" s="85" t="s">
        <v>26</v>
      </c>
      <c r="O67" s="75" t="s">
        <v>41</v>
      </c>
      <c r="P67" s="162">
        <f>Electricity_Consumpetion_Public_Transport[[#This Row],[2010]]/1000000</f>
        <v>6.5</v>
      </c>
      <c r="Q67" s="162">
        <f>Electricity_Consumpetion_Public_Transport[[#This Row],[2011]]/1000000</f>
        <v>6.4219999999999997</v>
      </c>
      <c r="R67" s="162">
        <f>Electricity_Consumpetion_Public_Transport[[#This Row],[2012]]/1000000</f>
        <v>5.7859999999999996</v>
      </c>
      <c r="S67" s="162">
        <f>Electricity_Consumpetion_Public_Transport[[#This Row],[2013]]/1000000</f>
        <v>5.43</v>
      </c>
      <c r="T67" s="162">
        <f>Electricity_Consumpetion_Public_Transport[[#This Row],[2014]]/1000000</f>
        <v>5.24</v>
      </c>
      <c r="U67" s="162">
        <f>Electricity_Consumpetion_Public_Transport[[#This Row],[2015]]/1000000</f>
        <v>5.2229999999999999</v>
      </c>
      <c r="V67" s="162">
        <f>Electricity_Consumpetion_Public_Transport[[#This Row],[2016]]/1000000</f>
        <v>4.6139999999999999</v>
      </c>
      <c r="W67" s="162">
        <f>Electricity_Consumpetion_Public_Transport[[#This Row],[2017]]/1000000</f>
        <v>4.5170000000000003</v>
      </c>
      <c r="X67" s="162">
        <f>Electricity_Consumpetion_Public_Transport[[#This Row],[2018]]/1000000</f>
        <v>4.4569999999999999</v>
      </c>
      <c r="Y67" s="75" t="s">
        <v>41</v>
      </c>
    </row>
    <row r="68" spans="1:25" s="89" customFormat="1" hidden="1" x14ac:dyDescent="0.25">
      <c r="A68" s="118" t="s">
        <v>15</v>
      </c>
      <c r="C68" s="89" t="s">
        <v>262</v>
      </c>
      <c r="D68" s="89" t="s">
        <v>261</v>
      </c>
      <c r="E68" s="89" t="s">
        <v>260</v>
      </c>
      <c r="F68" s="89" t="s">
        <v>259</v>
      </c>
      <c r="G68" t="s">
        <v>258</v>
      </c>
      <c r="H68" s="89" t="s">
        <v>257</v>
      </c>
      <c r="I68" s="89" t="s">
        <v>254</v>
      </c>
      <c r="J68" s="89" t="s">
        <v>255</v>
      </c>
      <c r="K68" s="89" t="s">
        <v>255</v>
      </c>
      <c r="N68" s="163" t="s">
        <v>15</v>
      </c>
      <c r="O68" s="75">
        <f>Electricity_Consumpetion_Public_Transport[[#This Row],[2009]]/1000000</f>
        <v>0</v>
      </c>
      <c r="P68" s="162" t="e">
        <f>Electricity_Consumpetion_Public_Transport[[#This Row],[2010]]/1000000</f>
        <v>#VALUE!</v>
      </c>
      <c r="Q68" s="162" t="e">
        <f>Electricity_Consumpetion_Public_Transport[[#This Row],[2011]]/1000000</f>
        <v>#VALUE!</v>
      </c>
      <c r="R68" s="162" t="e">
        <f>Electricity_Consumpetion_Public_Transport[[#This Row],[2012]]/1000000</f>
        <v>#VALUE!</v>
      </c>
      <c r="S68" s="162" t="e">
        <f>Electricity_Consumpetion_Public_Transport[[#This Row],[2013]]/1000000</f>
        <v>#VALUE!</v>
      </c>
      <c r="T68" s="162" t="e">
        <f>Electricity_Consumpetion_Public_Transport[[#This Row],[2014]]/1000000</f>
        <v>#VALUE!</v>
      </c>
      <c r="U68" s="162" t="e">
        <f>Electricity_Consumpetion_Public_Transport[[#This Row],[2015]]/1000000</f>
        <v>#VALUE!</v>
      </c>
      <c r="V68" s="162" t="e">
        <f>Electricity_Consumpetion_Public_Transport[[#This Row],[2016]]/1000000</f>
        <v>#VALUE!</v>
      </c>
      <c r="W68" s="162" t="e">
        <f>Electricity_Consumpetion_Public_Transport[[#This Row],[2017]]/1000000</f>
        <v>#VALUE!</v>
      </c>
      <c r="X68" s="162" t="e">
        <f>Electricity_Consumpetion_Public_Transport[[#This Row],[2018]]/1000000</f>
        <v>#VALUE!</v>
      </c>
      <c r="Y68" s="75">
        <f>Electricity_Consumpetion_Public_Transport[[#This Row],[2019]]/1000000</f>
        <v>0</v>
      </c>
    </row>
    <row r="69" spans="1:25" s="89" customFormat="1" hidden="1" x14ac:dyDescent="0.25">
      <c r="A69" s="118" t="s">
        <v>123</v>
      </c>
      <c r="C69" s="89" t="s">
        <v>263</v>
      </c>
      <c r="D69" s="89" t="s">
        <v>69</v>
      </c>
      <c r="E69" s="89" t="s">
        <v>68</v>
      </c>
      <c r="F69" s="89" t="s">
        <v>67</v>
      </c>
      <c r="G69" s="89" t="s">
        <v>66</v>
      </c>
      <c r="H69" s="89" t="s">
        <v>65</v>
      </c>
      <c r="I69" s="89" t="s">
        <v>76</v>
      </c>
      <c r="J69" s="2" t="s">
        <v>77</v>
      </c>
      <c r="K69" s="2" t="s">
        <v>77</v>
      </c>
      <c r="N69" s="118" t="s">
        <v>123</v>
      </c>
      <c r="O69" s="75">
        <f>Electricity_Consumpetion_Public_Transport[[#This Row],[2009]]/1000000</f>
        <v>0</v>
      </c>
      <c r="P69" s="162" t="e">
        <f>Electricity_Consumpetion_Public_Transport[[#This Row],[2010]]/1000000</f>
        <v>#VALUE!</v>
      </c>
      <c r="Q69" s="162" t="e">
        <f>Electricity_Consumpetion_Public_Transport[[#This Row],[2011]]/1000000</f>
        <v>#VALUE!</v>
      </c>
      <c r="R69" s="162" t="e">
        <f>Electricity_Consumpetion_Public_Transport[[#This Row],[2012]]/1000000</f>
        <v>#VALUE!</v>
      </c>
      <c r="S69" s="162" t="e">
        <f>Electricity_Consumpetion_Public_Transport[[#This Row],[2013]]/1000000</f>
        <v>#VALUE!</v>
      </c>
      <c r="T69" s="162" t="e">
        <f>Electricity_Consumpetion_Public_Transport[[#This Row],[2014]]/1000000</f>
        <v>#VALUE!</v>
      </c>
      <c r="U69" s="162" t="e">
        <f>Electricity_Consumpetion_Public_Transport[[#This Row],[2015]]/1000000</f>
        <v>#VALUE!</v>
      </c>
      <c r="V69" s="162" t="e">
        <f>Electricity_Consumpetion_Public_Transport[[#This Row],[2016]]/1000000</f>
        <v>#VALUE!</v>
      </c>
      <c r="W69" s="162" t="e">
        <f>Electricity_Consumpetion_Public_Transport[[#This Row],[2017]]/1000000</f>
        <v>#VALUE!</v>
      </c>
      <c r="X69" s="162" t="e">
        <f>Electricity_Consumpetion_Public_Transport[[#This Row],[2018]]/1000000</f>
        <v>#VALUE!</v>
      </c>
      <c r="Y69" s="75">
        <f>Electricity_Consumpetion_Public_Transport[[#This Row],[2019]]/1000000</f>
        <v>0</v>
      </c>
    </row>
    <row r="70" spans="1:25" s="89" customFormat="1" x14ac:dyDescent="0.25">
      <c r="A70" s="82" t="s">
        <v>473</v>
      </c>
      <c r="C70" s="35">
        <v>6781000</v>
      </c>
      <c r="D70" s="35">
        <v>6506000</v>
      </c>
      <c r="E70" s="35">
        <v>5792000</v>
      </c>
      <c r="F70" s="35">
        <v>5568000</v>
      </c>
      <c r="G70" s="35">
        <v>5813000</v>
      </c>
      <c r="H70" s="35">
        <v>5913000</v>
      </c>
      <c r="I70" s="35">
        <v>5638000</v>
      </c>
      <c r="J70" s="35">
        <v>4898000</v>
      </c>
      <c r="K70" s="35">
        <v>5124000</v>
      </c>
      <c r="N70" s="82" t="s">
        <v>250</v>
      </c>
      <c r="O70" s="75" t="s">
        <v>41</v>
      </c>
      <c r="P70" s="162">
        <f>Electricity_Consumpetion_Public_Transport[[#This Row],[2010]]/1000000</f>
        <v>6.7809999999999997</v>
      </c>
      <c r="Q70" s="162">
        <f>Electricity_Consumpetion_Public_Transport[[#This Row],[2011]]/1000000</f>
        <v>6.5060000000000002</v>
      </c>
      <c r="R70" s="162">
        <f>Electricity_Consumpetion_Public_Transport[[#This Row],[2012]]/1000000</f>
        <v>5.7919999999999998</v>
      </c>
      <c r="S70" s="162">
        <f>Electricity_Consumpetion_Public_Transport[[#This Row],[2013]]/1000000</f>
        <v>5.5679999999999996</v>
      </c>
      <c r="T70" s="162">
        <f>Electricity_Consumpetion_Public_Transport[[#This Row],[2014]]/1000000</f>
        <v>5.8129999999999997</v>
      </c>
      <c r="U70" s="162">
        <f>Electricity_Consumpetion_Public_Transport[[#This Row],[2015]]/1000000</f>
        <v>5.9130000000000003</v>
      </c>
      <c r="V70" s="162">
        <f>Electricity_Consumpetion_Public_Transport[[#This Row],[2016]]/1000000</f>
        <v>5.6379999999999999</v>
      </c>
      <c r="W70" s="162">
        <f>Electricity_Consumpetion_Public_Transport[[#This Row],[2017]]/1000000</f>
        <v>4.8979999999999997</v>
      </c>
      <c r="X70" s="162">
        <f>Electricity_Consumpetion_Public_Transport[[#This Row],[2018]]/1000000</f>
        <v>5.1239999999999997</v>
      </c>
      <c r="Y70" s="75" t="s">
        <v>41</v>
      </c>
    </row>
    <row r="71" spans="1:25" s="89" customFormat="1" hidden="1" x14ac:dyDescent="0.25">
      <c r="A71" s="117" t="s">
        <v>15</v>
      </c>
      <c r="C71" s="89" t="s">
        <v>274</v>
      </c>
      <c r="D71" s="89" t="s">
        <v>274</v>
      </c>
      <c r="E71" s="89" t="s">
        <v>273</v>
      </c>
      <c r="F71" s="89" t="s">
        <v>271</v>
      </c>
      <c r="G71" s="89" t="s">
        <v>268</v>
      </c>
      <c r="H71" s="89" t="s">
        <v>267</v>
      </c>
      <c r="I71" s="89" t="s">
        <v>266</v>
      </c>
      <c r="J71" s="89" t="s">
        <v>264</v>
      </c>
      <c r="K71" s="89" t="s">
        <v>264</v>
      </c>
      <c r="N71" s="117" t="s">
        <v>15</v>
      </c>
      <c r="O71" s="75">
        <f>Electricity_Consumpetion_Public_Transport[[#This Row],[2009]]/1000000</f>
        <v>0</v>
      </c>
      <c r="P71" s="162" t="e">
        <f>Electricity_Consumpetion_Public_Transport[[#This Row],[2010]]/1000000</f>
        <v>#VALUE!</v>
      </c>
      <c r="Q71" s="162" t="e">
        <f>Electricity_Consumpetion_Public_Transport[[#This Row],[2011]]/1000000</f>
        <v>#VALUE!</v>
      </c>
      <c r="R71" s="162" t="e">
        <f>Electricity_Consumpetion_Public_Transport[[#This Row],[2012]]/1000000</f>
        <v>#VALUE!</v>
      </c>
      <c r="S71" s="162" t="e">
        <f>Electricity_Consumpetion_Public_Transport[[#This Row],[2013]]/1000000</f>
        <v>#VALUE!</v>
      </c>
      <c r="T71" s="162" t="e">
        <f>Electricity_Consumpetion_Public_Transport[[#This Row],[2014]]/1000000</f>
        <v>#VALUE!</v>
      </c>
      <c r="U71" s="162" t="e">
        <f>Electricity_Consumpetion_Public_Transport[[#This Row],[2015]]/1000000</f>
        <v>#VALUE!</v>
      </c>
      <c r="V71" s="162" t="e">
        <f>Electricity_Consumpetion_Public_Transport[[#This Row],[2016]]/1000000</f>
        <v>#VALUE!</v>
      </c>
      <c r="W71" s="162" t="e">
        <f>Electricity_Consumpetion_Public_Transport[[#This Row],[2017]]/1000000</f>
        <v>#VALUE!</v>
      </c>
      <c r="X71" s="162" t="e">
        <f>Electricity_Consumpetion_Public_Transport[[#This Row],[2018]]/1000000</f>
        <v>#VALUE!</v>
      </c>
      <c r="Y71" s="75">
        <f>Electricity_Consumpetion_Public_Transport[[#This Row],[2019]]/1000000</f>
        <v>0</v>
      </c>
    </row>
    <row r="72" spans="1:25" s="89" customFormat="1" hidden="1" x14ac:dyDescent="0.25">
      <c r="A72" s="117" t="s">
        <v>123</v>
      </c>
      <c r="C72" s="89" t="s">
        <v>275</v>
      </c>
      <c r="D72" s="89" t="s">
        <v>275</v>
      </c>
      <c r="E72" s="89" t="s">
        <v>272</v>
      </c>
      <c r="F72" s="89" t="s">
        <v>270</v>
      </c>
      <c r="G72" s="89" t="s">
        <v>269</v>
      </c>
      <c r="H72" s="89" t="s">
        <v>70</v>
      </c>
      <c r="I72" s="89" t="s">
        <v>265</v>
      </c>
      <c r="J72" s="89" t="s">
        <v>23</v>
      </c>
      <c r="K72" s="89" t="s">
        <v>23</v>
      </c>
      <c r="N72" s="117" t="s">
        <v>123</v>
      </c>
      <c r="O72" s="75">
        <f>Electricity_Consumpetion_Public_Transport[[#This Row],[2009]]/1000000</f>
        <v>0</v>
      </c>
      <c r="P72" s="162" t="e">
        <f>Electricity_Consumpetion_Public_Transport[[#This Row],[2010]]/1000000</f>
        <v>#VALUE!</v>
      </c>
      <c r="Q72" s="162" t="e">
        <f>Electricity_Consumpetion_Public_Transport[[#This Row],[2011]]/1000000</f>
        <v>#VALUE!</v>
      </c>
      <c r="R72" s="162" t="e">
        <f>Electricity_Consumpetion_Public_Transport[[#This Row],[2012]]/1000000</f>
        <v>#VALUE!</v>
      </c>
      <c r="S72" s="162" t="e">
        <f>Electricity_Consumpetion_Public_Transport[[#This Row],[2013]]/1000000</f>
        <v>#VALUE!</v>
      </c>
      <c r="T72" s="162" t="e">
        <f>Electricity_Consumpetion_Public_Transport[[#This Row],[2014]]/1000000</f>
        <v>#VALUE!</v>
      </c>
      <c r="U72" s="162" t="e">
        <f>Electricity_Consumpetion_Public_Transport[[#This Row],[2015]]/1000000</f>
        <v>#VALUE!</v>
      </c>
      <c r="V72" s="162" t="e">
        <f>Electricity_Consumpetion_Public_Transport[[#This Row],[2016]]/1000000</f>
        <v>#VALUE!</v>
      </c>
      <c r="W72" s="162" t="e">
        <f>Electricity_Consumpetion_Public_Transport[[#This Row],[2017]]/1000000</f>
        <v>#VALUE!</v>
      </c>
      <c r="X72" s="162" t="e">
        <f>Electricity_Consumpetion_Public_Transport[[#This Row],[2018]]/1000000</f>
        <v>#VALUE!</v>
      </c>
      <c r="Y72" s="75">
        <f>Electricity_Consumpetion_Public_Transport[[#This Row],[2019]]/1000000</f>
        <v>0</v>
      </c>
    </row>
    <row r="73" spans="1:25" s="89" customFormat="1" x14ac:dyDescent="0.25">
      <c r="A73" s="175" t="s">
        <v>474</v>
      </c>
      <c r="B73" s="35">
        <f>26800000+40000000</f>
        <v>66800000</v>
      </c>
      <c r="C73" s="35">
        <f>26700000+39000000</f>
        <v>65700000</v>
      </c>
      <c r="D73" s="35">
        <f>25000000+40000000</f>
        <v>65000000</v>
      </c>
      <c r="E73" s="35">
        <f>23900000+37400000</f>
        <v>61300000</v>
      </c>
      <c r="F73" s="35">
        <f>21200000+37800000</f>
        <v>59000000</v>
      </c>
      <c r="G73" s="35">
        <f>19200000+37400000</f>
        <v>56600000</v>
      </c>
      <c r="H73" s="35">
        <f>20519000+36800000</f>
        <v>57319000</v>
      </c>
      <c r="I73" s="35">
        <f>24458000+36889000</f>
        <v>61347000</v>
      </c>
      <c r="J73" s="35">
        <f>25240000+38124000</f>
        <v>63364000</v>
      </c>
      <c r="K73" s="35">
        <f>26200000+37000000</f>
        <v>63200000</v>
      </c>
      <c r="L73" s="35">
        <f>27700000+35800000</f>
        <v>63500000</v>
      </c>
      <c r="N73" s="85" t="s">
        <v>64</v>
      </c>
      <c r="O73" s="162">
        <f>Electricity_Consumpetion_Public_Transport[[#This Row],[2009]]/1000000</f>
        <v>66.8</v>
      </c>
      <c r="P73" s="162">
        <f>Electricity_Consumpetion_Public_Transport[[#This Row],[2010]]/1000000</f>
        <v>65.7</v>
      </c>
      <c r="Q73" s="162">
        <f>Electricity_Consumpetion_Public_Transport[[#This Row],[2011]]/1000000</f>
        <v>65</v>
      </c>
      <c r="R73" s="162">
        <f>Electricity_Consumpetion_Public_Transport[[#This Row],[2012]]/1000000</f>
        <v>61.3</v>
      </c>
      <c r="S73" s="162">
        <f>Electricity_Consumpetion_Public_Transport[[#This Row],[2013]]/1000000</f>
        <v>59</v>
      </c>
      <c r="T73" s="162">
        <f>Electricity_Consumpetion_Public_Transport[[#This Row],[2014]]/1000000</f>
        <v>56.6</v>
      </c>
      <c r="U73" s="162">
        <f>Electricity_Consumpetion_Public_Transport[[#This Row],[2015]]/1000000</f>
        <v>57.319000000000003</v>
      </c>
      <c r="V73" s="162">
        <f>Electricity_Consumpetion_Public_Transport[[#This Row],[2016]]/1000000</f>
        <v>61.347000000000001</v>
      </c>
      <c r="W73" s="162">
        <f>Electricity_Consumpetion_Public_Transport[[#This Row],[2017]]/1000000</f>
        <v>63.363999999999997</v>
      </c>
      <c r="X73" s="162">
        <f>Electricity_Consumpetion_Public_Transport[[#This Row],[2018]]/1000000</f>
        <v>63.2</v>
      </c>
      <c r="Y73" s="162">
        <f>Electricity_Consumpetion_Public_Transport[[#This Row],[2019]]/1000000</f>
        <v>63.5</v>
      </c>
    </row>
    <row r="74" spans="1:25" s="89" customFormat="1" hidden="1" x14ac:dyDescent="0.25">
      <c r="A74" s="118" t="s">
        <v>15</v>
      </c>
      <c r="B74" s="89" t="s">
        <v>287</v>
      </c>
      <c r="C74" s="89" t="s">
        <v>282</v>
      </c>
      <c r="D74" s="89" t="s">
        <v>283</v>
      </c>
      <c r="E74" s="89" t="s">
        <v>284</v>
      </c>
      <c r="F74" s="89" t="s">
        <v>285</v>
      </c>
      <c r="G74" s="89" t="s">
        <v>286</v>
      </c>
      <c r="H74" s="89" t="s">
        <v>280</v>
      </c>
      <c r="I74" s="89" t="s">
        <v>280</v>
      </c>
      <c r="J74" s="89" t="s">
        <v>280</v>
      </c>
      <c r="K74" t="s">
        <v>277</v>
      </c>
      <c r="L74" s="89" t="s">
        <v>278</v>
      </c>
      <c r="N74" s="163" t="s">
        <v>15</v>
      </c>
      <c r="O74" s="75" t="e">
        <f>Electricity_Consumpetion_Public_Transport[[#This Row],[2009]]/1000000</f>
        <v>#VALUE!</v>
      </c>
      <c r="P74" s="162" t="e">
        <f>Electricity_Consumpetion_Public_Transport[[#This Row],[2010]]/1000000</f>
        <v>#VALUE!</v>
      </c>
      <c r="Q74" s="162" t="e">
        <f>Electricity_Consumpetion_Public_Transport[[#This Row],[2011]]/1000000</f>
        <v>#VALUE!</v>
      </c>
      <c r="R74" s="162" t="e">
        <f>Electricity_Consumpetion_Public_Transport[[#This Row],[2012]]/1000000</f>
        <v>#VALUE!</v>
      </c>
      <c r="S74" s="162" t="e">
        <f>Electricity_Consumpetion_Public_Transport[[#This Row],[2013]]/1000000</f>
        <v>#VALUE!</v>
      </c>
      <c r="T74" s="162" t="e">
        <f>Electricity_Consumpetion_Public_Transport[[#This Row],[2014]]/1000000</f>
        <v>#VALUE!</v>
      </c>
      <c r="U74" s="162" t="e">
        <f>Electricity_Consumpetion_Public_Transport[[#This Row],[2015]]/1000000</f>
        <v>#VALUE!</v>
      </c>
      <c r="V74" s="162" t="e">
        <f>Electricity_Consumpetion_Public_Transport[[#This Row],[2016]]/1000000</f>
        <v>#VALUE!</v>
      </c>
      <c r="W74" s="162" t="e">
        <f>Electricity_Consumpetion_Public_Transport[[#This Row],[2017]]/1000000</f>
        <v>#VALUE!</v>
      </c>
      <c r="X74" s="162" t="e">
        <f>Electricity_Consumpetion_Public_Transport[[#This Row],[2018]]/1000000</f>
        <v>#VALUE!</v>
      </c>
      <c r="Y74" s="75" t="e">
        <f>Electricity_Consumpetion_Public_Transport[[#This Row],[2019]]/1000000</f>
        <v>#VALUE!</v>
      </c>
    </row>
    <row r="75" spans="1:25" s="89" customFormat="1" hidden="1" x14ac:dyDescent="0.25">
      <c r="A75" s="118" t="s">
        <v>123</v>
      </c>
      <c r="B75" s="89" t="s">
        <v>288</v>
      </c>
      <c r="C75" s="89" t="s">
        <v>288</v>
      </c>
      <c r="D75" s="89" t="s">
        <v>281</v>
      </c>
      <c r="E75" s="89" t="s">
        <v>281</v>
      </c>
      <c r="F75" s="89" t="s">
        <v>281</v>
      </c>
      <c r="G75" s="89" t="s">
        <v>281</v>
      </c>
      <c r="H75" s="89" t="s">
        <v>279</v>
      </c>
      <c r="I75" s="89" t="s">
        <v>279</v>
      </c>
      <c r="J75" s="89" t="s">
        <v>279</v>
      </c>
      <c r="K75" s="89" t="s">
        <v>276</v>
      </c>
      <c r="L75" s="89" t="s">
        <v>276</v>
      </c>
      <c r="N75" s="118" t="s">
        <v>123</v>
      </c>
      <c r="O75" s="75" t="e">
        <f>Electricity_Consumpetion_Public_Transport[[#This Row],[2009]]/1000000</f>
        <v>#VALUE!</v>
      </c>
      <c r="P75" s="162" t="e">
        <f>Electricity_Consumpetion_Public_Transport[[#This Row],[2010]]/1000000</f>
        <v>#VALUE!</v>
      </c>
      <c r="Q75" s="162" t="e">
        <f>Electricity_Consumpetion_Public_Transport[[#This Row],[2011]]/1000000</f>
        <v>#VALUE!</v>
      </c>
      <c r="R75" s="162" t="e">
        <f>Electricity_Consumpetion_Public_Transport[[#This Row],[2012]]/1000000</f>
        <v>#VALUE!</v>
      </c>
      <c r="S75" s="162" t="e">
        <f>Electricity_Consumpetion_Public_Transport[[#This Row],[2013]]/1000000</f>
        <v>#VALUE!</v>
      </c>
      <c r="T75" s="162" t="e">
        <f>Electricity_Consumpetion_Public_Transport[[#This Row],[2014]]/1000000</f>
        <v>#VALUE!</v>
      </c>
      <c r="U75" s="162" t="e">
        <f>Electricity_Consumpetion_Public_Transport[[#This Row],[2015]]/1000000</f>
        <v>#VALUE!</v>
      </c>
      <c r="V75" s="162" t="e">
        <f>Electricity_Consumpetion_Public_Transport[[#This Row],[2016]]/1000000</f>
        <v>#VALUE!</v>
      </c>
      <c r="W75" s="162" t="e">
        <f>Electricity_Consumpetion_Public_Transport[[#This Row],[2017]]/1000000</f>
        <v>#VALUE!</v>
      </c>
      <c r="X75" s="162" t="e">
        <f>Electricity_Consumpetion_Public_Transport[[#This Row],[2018]]/1000000</f>
        <v>#VALUE!</v>
      </c>
      <c r="Y75" s="75" t="e">
        <f>Electricity_Consumpetion_Public_Transport[[#This Row],[2019]]/1000000</f>
        <v>#VALUE!</v>
      </c>
    </row>
    <row r="76" spans="1:25" s="89" customFormat="1" x14ac:dyDescent="0.25">
      <c r="A76" s="82" t="s">
        <v>475</v>
      </c>
      <c r="C76" s="35">
        <v>20400000</v>
      </c>
      <c r="D76" s="35">
        <v>20400000</v>
      </c>
      <c r="E76" s="35">
        <v>22000000</v>
      </c>
      <c r="F76" s="35">
        <v>20600000</v>
      </c>
      <c r="G76" s="35">
        <v>19800000</v>
      </c>
      <c r="H76" s="35">
        <v>21000000</v>
      </c>
      <c r="I76" s="35">
        <v>21000000</v>
      </c>
      <c r="J76" s="35">
        <v>21000000</v>
      </c>
      <c r="K76" s="35">
        <v>21000000</v>
      </c>
      <c r="L76" s="35">
        <v>21000000</v>
      </c>
      <c r="N76" s="82" t="s">
        <v>28</v>
      </c>
      <c r="O76" s="75" t="s">
        <v>41</v>
      </c>
      <c r="P76" s="162">
        <f>Electricity_Consumpetion_Public_Transport[[#This Row],[2010]]/1000000</f>
        <v>20.399999999999999</v>
      </c>
      <c r="Q76" s="162">
        <f>Electricity_Consumpetion_Public_Transport[[#This Row],[2011]]/1000000</f>
        <v>20.399999999999999</v>
      </c>
      <c r="R76" s="162">
        <f>Electricity_Consumpetion_Public_Transport[[#This Row],[2012]]/1000000</f>
        <v>22</v>
      </c>
      <c r="S76" s="162">
        <f>Electricity_Consumpetion_Public_Transport[[#This Row],[2013]]/1000000</f>
        <v>20.6</v>
      </c>
      <c r="T76" s="162">
        <f>Electricity_Consumpetion_Public_Transport[[#This Row],[2014]]/1000000</f>
        <v>19.8</v>
      </c>
      <c r="U76" s="162">
        <f>Electricity_Consumpetion_Public_Transport[[#This Row],[2015]]/1000000</f>
        <v>21</v>
      </c>
      <c r="V76" s="162">
        <f>Electricity_Consumpetion_Public_Transport[[#This Row],[2016]]/1000000</f>
        <v>21</v>
      </c>
      <c r="W76" s="162">
        <f>Electricity_Consumpetion_Public_Transport[[#This Row],[2017]]/1000000</f>
        <v>21</v>
      </c>
      <c r="X76" s="162">
        <f>Electricity_Consumpetion_Public_Transport[[#This Row],[2018]]/1000000</f>
        <v>21</v>
      </c>
      <c r="Y76" s="75">
        <f>Electricity_Consumpetion_Public_Transport[[#This Row],[2019]]/1000000</f>
        <v>21</v>
      </c>
    </row>
    <row r="77" spans="1:25" s="89" customFormat="1" hidden="1" x14ac:dyDescent="0.25">
      <c r="A77" s="119" t="s">
        <v>15</v>
      </c>
      <c r="D77" s="89" t="s">
        <v>289</v>
      </c>
      <c r="E77" s="89" t="s">
        <v>289</v>
      </c>
      <c r="F77" s="89" t="s">
        <v>289</v>
      </c>
      <c r="G77" s="89" t="s">
        <v>289</v>
      </c>
      <c r="H77" s="89" t="s">
        <v>290</v>
      </c>
      <c r="I77" s="89" t="s">
        <v>291</v>
      </c>
      <c r="J77" s="89" t="s">
        <v>292</v>
      </c>
      <c r="K77" s="89" t="s">
        <v>293</v>
      </c>
      <c r="L77" s="89" t="s">
        <v>294</v>
      </c>
      <c r="O77" s="75">
        <f>Electricity_Consumpetion_Public_Transport[[#This Row],[2009]]/1000000</f>
        <v>0</v>
      </c>
    </row>
    <row r="78" spans="1:25" s="89" customFormat="1" hidden="1" x14ac:dyDescent="0.25">
      <c r="A78" s="119" t="s">
        <v>123</v>
      </c>
      <c r="D78" s="89" t="s">
        <v>78</v>
      </c>
      <c r="E78" s="89" t="s">
        <v>78</v>
      </c>
      <c r="F78" s="89" t="s">
        <v>78</v>
      </c>
      <c r="G78" s="89" t="s">
        <v>78</v>
      </c>
      <c r="H78" s="89" t="s">
        <v>78</v>
      </c>
      <c r="I78" s="89" t="s">
        <v>78</v>
      </c>
      <c r="J78" s="89" t="s">
        <v>78</v>
      </c>
      <c r="K78" s="89" t="s">
        <v>78</v>
      </c>
      <c r="L78" s="89" t="s">
        <v>78</v>
      </c>
      <c r="O78" s="75">
        <f>Electricity_Consumpetion_Public_Transport[[#This Row],[2009]]/1000000</f>
        <v>0</v>
      </c>
    </row>
    <row r="79" spans="1:25" s="89" customFormat="1" x14ac:dyDescent="0.25">
      <c r="A79" s="115"/>
    </row>
    <row r="80" spans="1:25" s="89" customFormat="1" x14ac:dyDescent="0.25">
      <c r="A80" s="116" t="s">
        <v>332</v>
      </c>
      <c r="B80" s="89" t="s">
        <v>128</v>
      </c>
      <c r="C80" s="89" t="s">
        <v>30</v>
      </c>
      <c r="D80" s="89" t="s">
        <v>31</v>
      </c>
      <c r="E80" s="89" t="s">
        <v>32</v>
      </c>
      <c r="F80" s="89" t="s">
        <v>33</v>
      </c>
      <c r="G80" s="89" t="s">
        <v>34</v>
      </c>
      <c r="H80" s="89" t="s">
        <v>35</v>
      </c>
      <c r="I80" s="89" t="s">
        <v>36</v>
      </c>
      <c r="J80" s="89" t="s">
        <v>37</v>
      </c>
      <c r="K80" s="89" t="s">
        <v>38</v>
      </c>
      <c r="L80" s="89" t="s">
        <v>39</v>
      </c>
      <c r="N80" s="68"/>
      <c r="O80" s="52" t="s">
        <v>128</v>
      </c>
      <c r="P80" s="52" t="s">
        <v>30</v>
      </c>
      <c r="Q80" s="52" t="s">
        <v>31</v>
      </c>
      <c r="R80" s="52" t="s">
        <v>32</v>
      </c>
      <c r="S80" s="52" t="s">
        <v>33</v>
      </c>
      <c r="T80" s="52" t="s">
        <v>34</v>
      </c>
      <c r="U80" s="52" t="s">
        <v>35</v>
      </c>
      <c r="V80" s="52" t="s">
        <v>36</v>
      </c>
      <c r="W80" s="52" t="s">
        <v>37</v>
      </c>
      <c r="X80" s="52" t="s">
        <v>38</v>
      </c>
      <c r="Y80" s="53" t="s">
        <v>39</v>
      </c>
    </row>
    <row r="81" spans="1:25" s="89" customFormat="1" x14ac:dyDescent="0.25">
      <c r="A81" s="85" t="s">
        <v>472</v>
      </c>
      <c r="C81" s="35">
        <v>11850000</v>
      </c>
      <c r="D81" s="35">
        <v>8791000</v>
      </c>
      <c r="E81" s="35">
        <v>8900000</v>
      </c>
      <c r="F81" s="35">
        <v>9229000</v>
      </c>
      <c r="G81" s="35">
        <v>8563000</v>
      </c>
      <c r="H81" s="35">
        <v>10508000</v>
      </c>
      <c r="I81" s="35">
        <v>11489000</v>
      </c>
      <c r="J81" s="35">
        <v>9997000</v>
      </c>
      <c r="K81" s="35">
        <v>11111000</v>
      </c>
      <c r="N81" s="85" t="s">
        <v>26</v>
      </c>
      <c r="O81" s="75" t="s">
        <v>41</v>
      </c>
      <c r="P81" s="162">
        <f>Natural_Gas_Consumpetion_Public_Transport[[#This Row],[2010]]/1000000</f>
        <v>11.85</v>
      </c>
      <c r="Q81" s="162">
        <f>Natural_Gas_Consumpetion_Public_Transport[[#This Row],[2011]]/1000000</f>
        <v>8.7910000000000004</v>
      </c>
      <c r="R81" s="162">
        <f>Natural_Gas_Consumpetion_Public_Transport[[#This Row],[2012]]/1000000</f>
        <v>8.9</v>
      </c>
      <c r="S81" s="162">
        <f>Natural_Gas_Consumpetion_Public_Transport[[#This Row],[2013]]/1000000</f>
        <v>9.2289999999999992</v>
      </c>
      <c r="T81" s="162">
        <f>Natural_Gas_Consumpetion_Public_Transport[[#This Row],[2014]]/1000000</f>
        <v>8.5630000000000006</v>
      </c>
      <c r="U81" s="162">
        <f>Natural_Gas_Consumpetion_Public_Transport[[#This Row],[2015]]/1000000</f>
        <v>10.507999999999999</v>
      </c>
      <c r="V81" s="162">
        <f>Natural_Gas_Consumpetion_Public_Transport[[#This Row],[2016]]/1000000</f>
        <v>11.489000000000001</v>
      </c>
      <c r="W81" s="162">
        <f>Natural_Gas_Consumpetion_Public_Transport[[#This Row],[2017]]/1000000</f>
        <v>9.9969999999999999</v>
      </c>
      <c r="X81" s="162">
        <f>Natural_Gas_Consumpetion_Public_Transport[[#This Row],[2018]]/1000000</f>
        <v>11.111000000000001</v>
      </c>
      <c r="Y81" s="75" t="s">
        <v>41</v>
      </c>
    </row>
    <row r="82" spans="1:25" s="89" customFormat="1" hidden="1" x14ac:dyDescent="0.25">
      <c r="A82" s="118" t="s">
        <v>15</v>
      </c>
      <c r="C82" s="89" t="s">
        <v>262</v>
      </c>
      <c r="D82" s="89" t="s">
        <v>261</v>
      </c>
      <c r="E82" s="89" t="s">
        <v>260</v>
      </c>
      <c r="F82" s="89" t="s">
        <v>259</v>
      </c>
      <c r="G82" s="89" t="s">
        <v>258</v>
      </c>
      <c r="H82" s="89" t="s">
        <v>257</v>
      </c>
      <c r="I82" s="89" t="s">
        <v>254</v>
      </c>
      <c r="J82" s="89" t="s">
        <v>255</v>
      </c>
      <c r="K82" s="89" t="s">
        <v>256</v>
      </c>
      <c r="N82" s="118" t="s">
        <v>15</v>
      </c>
      <c r="O82" s="75">
        <f>Natural_Gas_Consumpetion_Public_Transport[[#This Row],[2009]]/1000000</f>
        <v>0</v>
      </c>
      <c r="P82" s="162" t="e">
        <f>Natural_Gas_Consumpetion_Public_Transport[[#This Row],[2010]]/1000000</f>
        <v>#VALUE!</v>
      </c>
      <c r="Q82" s="162" t="e">
        <f>Natural_Gas_Consumpetion_Public_Transport[[#This Row],[2011]]/1000000</f>
        <v>#VALUE!</v>
      </c>
      <c r="R82" s="162" t="e">
        <f>Natural_Gas_Consumpetion_Public_Transport[[#This Row],[2012]]/1000000</f>
        <v>#VALUE!</v>
      </c>
      <c r="S82" s="162" t="e">
        <f>Natural_Gas_Consumpetion_Public_Transport[[#This Row],[2013]]/1000000</f>
        <v>#VALUE!</v>
      </c>
      <c r="T82" s="162" t="e">
        <f>Natural_Gas_Consumpetion_Public_Transport[[#This Row],[2014]]/1000000</f>
        <v>#VALUE!</v>
      </c>
      <c r="U82" s="162" t="e">
        <f>Natural_Gas_Consumpetion_Public_Transport[[#This Row],[2015]]/1000000</f>
        <v>#VALUE!</v>
      </c>
      <c r="V82" s="162" t="e">
        <f>Natural_Gas_Consumpetion_Public_Transport[[#This Row],[2016]]/1000000</f>
        <v>#VALUE!</v>
      </c>
      <c r="W82" s="162" t="e">
        <f>Natural_Gas_Consumpetion_Public_Transport[[#This Row],[2017]]/1000000</f>
        <v>#VALUE!</v>
      </c>
      <c r="X82" s="162" t="e">
        <f>Natural_Gas_Consumpetion_Public_Transport[[#This Row],[2018]]/1000000</f>
        <v>#VALUE!</v>
      </c>
      <c r="Y82" s="75">
        <f>Natural_Gas_Consumpetion_Public_Transport[[#This Row],[2019]]/1000000</f>
        <v>0</v>
      </c>
    </row>
    <row r="83" spans="1:25" s="89" customFormat="1" hidden="1" x14ac:dyDescent="0.25">
      <c r="A83" s="118" t="s">
        <v>123</v>
      </c>
      <c r="C83" s="89" t="s">
        <v>263</v>
      </c>
      <c r="D83" s="89" t="s">
        <v>69</v>
      </c>
      <c r="E83" s="89" t="s">
        <v>68</v>
      </c>
      <c r="F83" s="89" t="s">
        <v>67</v>
      </c>
      <c r="G83" s="89" t="s">
        <v>66</v>
      </c>
      <c r="H83" s="89" t="s">
        <v>65</v>
      </c>
      <c r="I83" s="89" t="s">
        <v>76</v>
      </c>
      <c r="J83" s="2" t="s">
        <v>77</v>
      </c>
      <c r="K83" s="2" t="s">
        <v>77</v>
      </c>
      <c r="N83" s="118" t="s">
        <v>123</v>
      </c>
      <c r="O83" s="75">
        <f>Natural_Gas_Consumpetion_Public_Transport[[#This Row],[2009]]/1000000</f>
        <v>0</v>
      </c>
      <c r="P83" s="162" t="e">
        <f>Natural_Gas_Consumpetion_Public_Transport[[#This Row],[2010]]/1000000</f>
        <v>#VALUE!</v>
      </c>
      <c r="Q83" s="162" t="e">
        <f>Natural_Gas_Consumpetion_Public_Transport[[#This Row],[2011]]/1000000</f>
        <v>#VALUE!</v>
      </c>
      <c r="R83" s="162" t="e">
        <f>Natural_Gas_Consumpetion_Public_Transport[[#This Row],[2012]]/1000000</f>
        <v>#VALUE!</v>
      </c>
      <c r="S83" s="162" t="e">
        <f>Natural_Gas_Consumpetion_Public_Transport[[#This Row],[2013]]/1000000</f>
        <v>#VALUE!</v>
      </c>
      <c r="T83" s="162" t="e">
        <f>Natural_Gas_Consumpetion_Public_Transport[[#This Row],[2014]]/1000000</f>
        <v>#VALUE!</v>
      </c>
      <c r="U83" s="162" t="e">
        <f>Natural_Gas_Consumpetion_Public_Transport[[#This Row],[2015]]/1000000</f>
        <v>#VALUE!</v>
      </c>
      <c r="V83" s="162" t="e">
        <f>Natural_Gas_Consumpetion_Public_Transport[[#This Row],[2016]]/1000000</f>
        <v>#VALUE!</v>
      </c>
      <c r="W83" s="162" t="e">
        <f>Natural_Gas_Consumpetion_Public_Transport[[#This Row],[2017]]/1000000</f>
        <v>#VALUE!</v>
      </c>
      <c r="X83" s="162" t="e">
        <f>Natural_Gas_Consumpetion_Public_Transport[[#This Row],[2018]]/1000000</f>
        <v>#VALUE!</v>
      </c>
      <c r="Y83" s="75">
        <f>Natural_Gas_Consumpetion_Public_Transport[[#This Row],[2019]]/1000000</f>
        <v>0</v>
      </c>
    </row>
    <row r="84" spans="1:25" s="89" customFormat="1" x14ac:dyDescent="0.25">
      <c r="A84" s="82" t="s">
        <v>473</v>
      </c>
      <c r="C84" s="35">
        <v>3638000</v>
      </c>
      <c r="D84" s="35">
        <v>3424000</v>
      </c>
      <c r="E84" s="35">
        <v>4044000</v>
      </c>
      <c r="F84" s="35">
        <v>5540000</v>
      </c>
      <c r="G84" s="35">
        <v>4905000</v>
      </c>
      <c r="H84" s="35">
        <v>5236000</v>
      </c>
      <c r="I84" s="35">
        <v>5168000</v>
      </c>
      <c r="J84" s="35">
        <v>4628000</v>
      </c>
      <c r="K84" s="35">
        <v>7246000</v>
      </c>
      <c r="N84" s="82" t="s">
        <v>250</v>
      </c>
      <c r="O84" s="75" t="s">
        <v>41</v>
      </c>
      <c r="P84" s="162">
        <f>Natural_Gas_Consumpetion_Public_Transport[[#This Row],[2010]]/1000000</f>
        <v>3.6379999999999999</v>
      </c>
      <c r="Q84" s="162">
        <f>Natural_Gas_Consumpetion_Public_Transport[[#This Row],[2011]]/1000000</f>
        <v>3.4239999999999999</v>
      </c>
      <c r="R84" s="162">
        <f>Natural_Gas_Consumpetion_Public_Transport[[#This Row],[2012]]/1000000</f>
        <v>4.0439999999999996</v>
      </c>
      <c r="S84" s="162">
        <f>Natural_Gas_Consumpetion_Public_Transport[[#This Row],[2013]]/1000000</f>
        <v>5.54</v>
      </c>
      <c r="T84" s="162">
        <f>Natural_Gas_Consumpetion_Public_Transport[[#This Row],[2014]]/1000000</f>
        <v>4.9050000000000002</v>
      </c>
      <c r="U84" s="162">
        <f>Natural_Gas_Consumpetion_Public_Transport[[#This Row],[2015]]/1000000</f>
        <v>5.2359999999999998</v>
      </c>
      <c r="V84" s="162">
        <f>Natural_Gas_Consumpetion_Public_Transport[[#This Row],[2016]]/1000000</f>
        <v>5.1680000000000001</v>
      </c>
      <c r="W84" s="162">
        <f>Natural_Gas_Consumpetion_Public_Transport[[#This Row],[2017]]/1000000</f>
        <v>4.6280000000000001</v>
      </c>
      <c r="X84" s="162">
        <f>Natural_Gas_Consumpetion_Public_Transport[[#This Row],[2018]]/1000000</f>
        <v>7.2460000000000004</v>
      </c>
      <c r="Y84" s="75" t="s">
        <v>41</v>
      </c>
    </row>
    <row r="85" spans="1:25" s="89" customFormat="1" hidden="1" x14ac:dyDescent="0.25">
      <c r="A85" s="117" t="s">
        <v>15</v>
      </c>
      <c r="C85" s="35" t="s">
        <v>274</v>
      </c>
      <c r="D85" s="35" t="s">
        <v>274</v>
      </c>
      <c r="E85" s="89" t="s">
        <v>273</v>
      </c>
      <c r="F85" s="89" t="s">
        <v>271</v>
      </c>
      <c r="G85" s="89" t="s">
        <v>268</v>
      </c>
      <c r="H85" s="89" t="s">
        <v>267</v>
      </c>
      <c r="I85" s="89" t="s">
        <v>266</v>
      </c>
      <c r="J85" s="89" t="s">
        <v>264</v>
      </c>
      <c r="K85" s="89" t="s">
        <v>264</v>
      </c>
      <c r="N85" s="163" t="s">
        <v>15</v>
      </c>
      <c r="O85" s="75">
        <f>Natural_Gas_Consumpetion_Public_Transport[[#This Row],[2009]]/1000000</f>
        <v>0</v>
      </c>
      <c r="P85" s="75" t="e">
        <f>Natural_Gas_Consumpetion_Public_Transport[[#This Row],[2010]]/1000000</f>
        <v>#VALUE!</v>
      </c>
      <c r="Q85" s="75" t="e">
        <f>Natural_Gas_Consumpetion_Public_Transport[[#This Row],[2011]]/1000000</f>
        <v>#VALUE!</v>
      </c>
      <c r="R85" s="75" t="e">
        <f>Natural_Gas_Consumpetion_Public_Transport[[#This Row],[2012]]/1000000</f>
        <v>#VALUE!</v>
      </c>
      <c r="S85" s="75" t="e">
        <f>Natural_Gas_Consumpetion_Public_Transport[[#This Row],[2013]]/1000000</f>
        <v>#VALUE!</v>
      </c>
      <c r="T85" s="75" t="e">
        <f>Natural_Gas_Consumpetion_Public_Transport[[#This Row],[2014]]/1000000</f>
        <v>#VALUE!</v>
      </c>
      <c r="U85" s="75" t="e">
        <f>Natural_Gas_Consumpetion_Public_Transport[[#This Row],[2015]]/1000000</f>
        <v>#VALUE!</v>
      </c>
      <c r="V85" s="75" t="e">
        <f>Natural_Gas_Consumpetion_Public_Transport[[#This Row],[2016]]/1000000</f>
        <v>#VALUE!</v>
      </c>
      <c r="W85" s="75" t="e">
        <f>Natural_Gas_Consumpetion_Public_Transport[[#This Row],[2017]]/1000000</f>
        <v>#VALUE!</v>
      </c>
      <c r="X85" s="75" t="e">
        <f>Natural_Gas_Consumpetion_Public_Transport[[#This Row],[2018]]/1000000</f>
        <v>#VALUE!</v>
      </c>
      <c r="Y85" s="75">
        <f>Natural_Gas_Consumpetion_Public_Transport[[#This Row],[2019]]/1000000</f>
        <v>0</v>
      </c>
    </row>
    <row r="86" spans="1:25" s="89" customFormat="1" hidden="1" x14ac:dyDescent="0.25">
      <c r="A86" s="117" t="s">
        <v>123</v>
      </c>
      <c r="C86" s="89" t="s">
        <v>275</v>
      </c>
      <c r="D86" s="89" t="s">
        <v>275</v>
      </c>
      <c r="E86" s="89" t="s">
        <v>272</v>
      </c>
      <c r="F86" s="89" t="s">
        <v>270</v>
      </c>
      <c r="G86" s="89" t="s">
        <v>269</v>
      </c>
      <c r="H86" s="89" t="s">
        <v>70</v>
      </c>
      <c r="I86" s="89" t="s">
        <v>265</v>
      </c>
      <c r="J86" s="89" t="s">
        <v>23</v>
      </c>
      <c r="K86" s="89" t="s">
        <v>23</v>
      </c>
      <c r="N86" s="163" t="s">
        <v>123</v>
      </c>
      <c r="O86" s="75">
        <f>Natural_Gas_Consumpetion_Public_Transport[[#This Row],[2009]]/1000000</f>
        <v>0</v>
      </c>
      <c r="P86" s="75" t="e">
        <f>Natural_Gas_Consumpetion_Public_Transport[[#This Row],[2010]]/1000000</f>
        <v>#VALUE!</v>
      </c>
      <c r="Q86" s="75" t="e">
        <f>Natural_Gas_Consumpetion_Public_Transport[[#This Row],[2011]]/1000000</f>
        <v>#VALUE!</v>
      </c>
      <c r="R86" s="75" t="e">
        <f>Natural_Gas_Consumpetion_Public_Transport[[#This Row],[2012]]/1000000</f>
        <v>#VALUE!</v>
      </c>
      <c r="S86" s="75" t="e">
        <f>Natural_Gas_Consumpetion_Public_Transport[[#This Row],[2013]]/1000000</f>
        <v>#VALUE!</v>
      </c>
      <c r="T86" s="75" t="e">
        <f>Natural_Gas_Consumpetion_Public_Transport[[#This Row],[2014]]/1000000</f>
        <v>#VALUE!</v>
      </c>
      <c r="U86" s="75" t="e">
        <f>Natural_Gas_Consumpetion_Public_Transport[[#This Row],[2015]]/1000000</f>
        <v>#VALUE!</v>
      </c>
      <c r="V86" s="75" t="e">
        <f>Natural_Gas_Consumpetion_Public_Transport[[#This Row],[2016]]/1000000</f>
        <v>#VALUE!</v>
      </c>
      <c r="W86" s="75" t="e">
        <f>Natural_Gas_Consumpetion_Public_Transport[[#This Row],[2017]]/1000000</f>
        <v>#VALUE!</v>
      </c>
      <c r="X86" s="75" t="e">
        <f>Natural_Gas_Consumpetion_Public_Transport[[#This Row],[2018]]/1000000</f>
        <v>#VALUE!</v>
      </c>
      <c r="Y86" s="75">
        <f>Natural_Gas_Consumpetion_Public_Transport[[#This Row],[2019]]/1000000</f>
        <v>0</v>
      </c>
    </row>
    <row r="87" spans="1:25" s="89" customFormat="1" x14ac:dyDescent="0.25">
      <c r="A87" s="175" t="s">
        <v>474</v>
      </c>
      <c r="B87" s="35">
        <f>18500000</f>
        <v>18500000</v>
      </c>
      <c r="C87" s="35">
        <f>18600000</f>
        <v>18600000</v>
      </c>
      <c r="D87" s="35">
        <v>10800000</v>
      </c>
      <c r="E87" s="35">
        <v>10100000</v>
      </c>
      <c r="F87" s="35">
        <v>10700000</v>
      </c>
      <c r="G87" s="35">
        <v>8400000</v>
      </c>
      <c r="H87" s="35">
        <v>8000000</v>
      </c>
      <c r="I87" s="35">
        <v>8700000</v>
      </c>
      <c r="J87" s="35">
        <v>8600000</v>
      </c>
      <c r="K87" s="35">
        <v>9000000</v>
      </c>
      <c r="L87" s="35">
        <v>9300000</v>
      </c>
      <c r="N87" s="85" t="s">
        <v>64</v>
      </c>
      <c r="O87" s="162">
        <f>Natural_Gas_Consumpetion_Public_Transport[[#This Row],[2009]]/1000000</f>
        <v>18.5</v>
      </c>
      <c r="P87" s="162">
        <f>Natural_Gas_Consumpetion_Public_Transport[[#This Row],[2010]]/1000000</f>
        <v>18.600000000000001</v>
      </c>
      <c r="Q87" s="162">
        <f>Natural_Gas_Consumpetion_Public_Transport[[#This Row],[2011]]/1000000</f>
        <v>10.8</v>
      </c>
      <c r="R87" s="162">
        <f>Natural_Gas_Consumpetion_Public_Transport[[#This Row],[2012]]/1000000</f>
        <v>10.1</v>
      </c>
      <c r="S87" s="162">
        <f>Natural_Gas_Consumpetion_Public_Transport[[#This Row],[2013]]/1000000</f>
        <v>10.7</v>
      </c>
      <c r="T87" s="162">
        <f>Natural_Gas_Consumpetion_Public_Transport[[#This Row],[2014]]/1000000</f>
        <v>8.4</v>
      </c>
      <c r="U87" s="162">
        <f>Natural_Gas_Consumpetion_Public_Transport[[#This Row],[2015]]/1000000</f>
        <v>8</v>
      </c>
      <c r="V87" s="162">
        <f>Natural_Gas_Consumpetion_Public_Transport[[#This Row],[2016]]/1000000</f>
        <v>8.6999999999999993</v>
      </c>
      <c r="W87" s="162">
        <f>Natural_Gas_Consumpetion_Public_Transport[[#This Row],[2017]]/1000000</f>
        <v>8.6</v>
      </c>
      <c r="X87" s="162">
        <f>Natural_Gas_Consumpetion_Public_Transport[[#This Row],[2018]]/1000000</f>
        <v>9</v>
      </c>
      <c r="Y87" s="75">
        <f>Natural_Gas_Consumpetion_Public_Transport[[#This Row],[2019]]/1000000</f>
        <v>9.3000000000000007</v>
      </c>
    </row>
    <row r="88" spans="1:25" s="89" customFormat="1" hidden="1" x14ac:dyDescent="0.25">
      <c r="A88" s="119" t="s">
        <v>15</v>
      </c>
      <c r="B88" s="89" t="s">
        <v>287</v>
      </c>
      <c r="C88" s="89" t="s">
        <v>282</v>
      </c>
      <c r="D88" s="89" t="s">
        <v>283</v>
      </c>
      <c r="E88" s="89" t="s">
        <v>284</v>
      </c>
      <c r="F88" s="89" t="s">
        <v>285</v>
      </c>
      <c r="G88" s="89" t="s">
        <v>286</v>
      </c>
      <c r="H88" s="89" t="s">
        <v>280</v>
      </c>
      <c r="I88" s="89" t="s">
        <v>280</v>
      </c>
      <c r="J88" s="89" t="s">
        <v>280</v>
      </c>
      <c r="K88" s="89" t="s">
        <v>277</v>
      </c>
      <c r="L88" s="89" t="s">
        <v>278</v>
      </c>
    </row>
    <row r="89" spans="1:25" s="89" customFormat="1" hidden="1" x14ac:dyDescent="0.25">
      <c r="A89" s="119" t="s">
        <v>123</v>
      </c>
      <c r="B89" s="89" t="s">
        <v>288</v>
      </c>
      <c r="C89" s="89" t="s">
        <v>288</v>
      </c>
      <c r="D89" s="89" t="s">
        <v>281</v>
      </c>
      <c r="E89" s="89" t="s">
        <v>281</v>
      </c>
      <c r="F89" s="89" t="s">
        <v>281</v>
      </c>
      <c r="G89" s="89" t="s">
        <v>281</v>
      </c>
      <c r="H89" s="89" t="s">
        <v>279</v>
      </c>
      <c r="I89" s="89" t="s">
        <v>279</v>
      </c>
      <c r="J89" s="89" t="s">
        <v>279</v>
      </c>
      <c r="K89" s="89" t="s">
        <v>276</v>
      </c>
      <c r="L89" s="89" t="s">
        <v>276</v>
      </c>
    </row>
    <row r="90" spans="1:25" x14ac:dyDescent="0.25">
      <c r="A90" s="115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</row>
    <row r="91" spans="1:25" x14ac:dyDescent="0.25">
      <c r="A91" s="115" t="s">
        <v>329</v>
      </c>
      <c r="B91" s="89" t="s">
        <v>128</v>
      </c>
      <c r="C91" s="89" t="s">
        <v>30</v>
      </c>
      <c r="D91" s="89" t="s">
        <v>31</v>
      </c>
      <c r="E91" s="89" t="s">
        <v>32</v>
      </c>
      <c r="F91" s="89" t="s">
        <v>33</v>
      </c>
      <c r="G91" s="89" t="s">
        <v>34</v>
      </c>
      <c r="H91" s="89" t="s">
        <v>35</v>
      </c>
      <c r="I91" s="89" t="s">
        <v>36</v>
      </c>
      <c r="J91" s="89" t="s">
        <v>37</v>
      </c>
      <c r="K91" s="89" t="s">
        <v>38</v>
      </c>
      <c r="L91" s="89" t="s">
        <v>39</v>
      </c>
      <c r="N91" s="68"/>
      <c r="O91" s="52" t="s">
        <v>128</v>
      </c>
      <c r="P91" s="52" t="s">
        <v>30</v>
      </c>
      <c r="Q91" s="52" t="s">
        <v>31</v>
      </c>
      <c r="R91" s="52" t="s">
        <v>32</v>
      </c>
      <c r="S91" s="52" t="s">
        <v>33</v>
      </c>
      <c r="T91" s="52" t="s">
        <v>34</v>
      </c>
      <c r="U91" s="52" t="s">
        <v>35</v>
      </c>
      <c r="V91" s="52" t="s">
        <v>36</v>
      </c>
      <c r="W91" s="52" t="s">
        <v>37</v>
      </c>
      <c r="X91" s="52" t="s">
        <v>38</v>
      </c>
      <c r="Y91" s="53" t="s">
        <v>39</v>
      </c>
    </row>
    <row r="92" spans="1:25" s="89" customFormat="1" x14ac:dyDescent="0.25">
      <c r="A92" s="82" t="s">
        <v>71</v>
      </c>
      <c r="B92" s="89">
        <v>263.89999999999998</v>
      </c>
      <c r="C92" s="89">
        <v>263.89999999999998</v>
      </c>
      <c r="D92" s="89">
        <v>263.89999999999998</v>
      </c>
      <c r="E92" s="89">
        <v>263.89999999999998</v>
      </c>
      <c r="F92" s="89">
        <v>263.89999999999998</v>
      </c>
      <c r="G92" s="89">
        <v>263.89999999999998</v>
      </c>
      <c r="H92" s="89">
        <v>263.89999999999998</v>
      </c>
      <c r="I92" s="89">
        <v>263.89999999999998</v>
      </c>
      <c r="J92" s="89">
        <v>263.89999999999998</v>
      </c>
      <c r="K92" s="89">
        <v>263.89999999999998</v>
      </c>
      <c r="N92" s="85" t="s">
        <v>71</v>
      </c>
      <c r="O92" s="75">
        <v>263.89999999999998</v>
      </c>
      <c r="P92" s="75">
        <v>263.89999999999998</v>
      </c>
      <c r="Q92" s="75">
        <v>263.89999999999998</v>
      </c>
      <c r="R92" s="75">
        <v>263.89999999999998</v>
      </c>
      <c r="S92" s="75">
        <v>263.89999999999998</v>
      </c>
      <c r="T92" s="75">
        <v>263.89999999999998</v>
      </c>
      <c r="U92" s="75">
        <v>263.89999999999998</v>
      </c>
      <c r="V92" s="75">
        <v>263.89999999999998</v>
      </c>
      <c r="W92" s="75">
        <v>263.89999999999998</v>
      </c>
      <c r="X92" s="75">
        <v>263.89999999999998</v>
      </c>
      <c r="Y92" s="76"/>
    </row>
    <row r="93" spans="1:25" s="89" customFormat="1" hidden="1" x14ac:dyDescent="0.25">
      <c r="A93" s="118" t="s">
        <v>15</v>
      </c>
      <c r="C93" s="89" t="s">
        <v>89</v>
      </c>
      <c r="D93" s="89" t="s">
        <v>89</v>
      </c>
      <c r="E93" s="89" t="s">
        <v>89</v>
      </c>
      <c r="F93" s="89" t="s">
        <v>89</v>
      </c>
      <c r="G93" s="89" t="s">
        <v>89</v>
      </c>
      <c r="H93" s="89" t="s">
        <v>89</v>
      </c>
      <c r="I93" s="89" t="s">
        <v>89</v>
      </c>
      <c r="J93" s="89" t="s">
        <v>89</v>
      </c>
      <c r="K93" s="89" t="s">
        <v>89</v>
      </c>
      <c r="N93" s="118" t="s">
        <v>15</v>
      </c>
      <c r="O93" s="83"/>
      <c r="P93" s="83" t="s">
        <v>89</v>
      </c>
      <c r="Q93" s="83" t="s">
        <v>89</v>
      </c>
      <c r="R93" s="83" t="s">
        <v>89</v>
      </c>
      <c r="S93" s="83" t="s">
        <v>89</v>
      </c>
      <c r="T93" s="83" t="s">
        <v>89</v>
      </c>
      <c r="U93" s="83" t="s">
        <v>89</v>
      </c>
      <c r="V93" s="83" t="s">
        <v>89</v>
      </c>
      <c r="W93" s="83" t="s">
        <v>89</v>
      </c>
      <c r="X93" s="83" t="s">
        <v>89</v>
      </c>
      <c r="Y93" s="83"/>
    </row>
    <row r="94" spans="1:25" s="89" customFormat="1" hidden="1" x14ac:dyDescent="0.25">
      <c r="A94" s="117" t="s">
        <v>123</v>
      </c>
      <c r="C94" s="89" t="s">
        <v>330</v>
      </c>
      <c r="D94" s="89" t="s">
        <v>330</v>
      </c>
      <c r="E94" s="89" t="s">
        <v>330</v>
      </c>
      <c r="F94" s="89" t="s">
        <v>330</v>
      </c>
      <c r="G94" s="89" t="s">
        <v>330</v>
      </c>
      <c r="H94" s="89" t="s">
        <v>330</v>
      </c>
      <c r="I94" s="89" t="s">
        <v>330</v>
      </c>
      <c r="J94" s="89" t="s">
        <v>330</v>
      </c>
      <c r="K94" s="89" t="s">
        <v>330</v>
      </c>
      <c r="N94" s="117" t="s">
        <v>123</v>
      </c>
      <c r="O94" s="83"/>
      <c r="P94" s="83" t="s">
        <v>330</v>
      </c>
      <c r="Q94" s="83" t="s">
        <v>330</v>
      </c>
      <c r="R94" s="83" t="s">
        <v>330</v>
      </c>
      <c r="S94" s="83" t="s">
        <v>330</v>
      </c>
      <c r="T94" s="83" t="s">
        <v>330</v>
      </c>
      <c r="U94" s="83" t="s">
        <v>330</v>
      </c>
      <c r="V94" s="83" t="s">
        <v>330</v>
      </c>
      <c r="W94" s="83" t="s">
        <v>330</v>
      </c>
      <c r="X94" s="83" t="s">
        <v>330</v>
      </c>
      <c r="Y94" s="83"/>
    </row>
    <row r="95" spans="1:25" x14ac:dyDescent="0.25">
      <c r="A95" s="115" t="s">
        <v>73</v>
      </c>
      <c r="B95" s="75">
        <v>635.4</v>
      </c>
      <c r="C95" s="75">
        <v>635.4</v>
      </c>
      <c r="D95" s="75">
        <v>529.79999999999995</v>
      </c>
      <c r="E95" s="75">
        <v>489</v>
      </c>
      <c r="F95" s="75">
        <v>530</v>
      </c>
      <c r="G95" s="75">
        <v>467.2</v>
      </c>
      <c r="H95" s="75">
        <v>454.9</v>
      </c>
      <c r="I95" s="75">
        <v>464.9</v>
      </c>
      <c r="J95" s="75">
        <v>480.4</v>
      </c>
      <c r="K95" s="75">
        <v>436.6</v>
      </c>
      <c r="L95" s="76"/>
      <c r="N95" s="82" t="s">
        <v>73</v>
      </c>
      <c r="O95" s="75">
        <v>635.4</v>
      </c>
      <c r="P95" s="75">
        <v>635.4</v>
      </c>
      <c r="Q95" s="75">
        <v>529.79999999999995</v>
      </c>
      <c r="R95" s="75">
        <v>489</v>
      </c>
      <c r="S95" s="75">
        <v>530</v>
      </c>
      <c r="T95" s="75">
        <v>467.2</v>
      </c>
      <c r="U95" s="75">
        <v>454.9</v>
      </c>
      <c r="V95" s="75">
        <v>464.9</v>
      </c>
      <c r="W95" s="75">
        <v>480.4</v>
      </c>
      <c r="X95" s="75">
        <v>436.6</v>
      </c>
      <c r="Y95" s="76"/>
    </row>
    <row r="96" spans="1:25" hidden="1" x14ac:dyDescent="0.25">
      <c r="A96" s="115"/>
      <c r="B96" s="89"/>
      <c r="C96" s="83" t="s">
        <v>328</v>
      </c>
      <c r="D96" s="83" t="s">
        <v>328</v>
      </c>
      <c r="E96" s="83" t="s">
        <v>328</v>
      </c>
      <c r="F96" s="83" t="s">
        <v>328</v>
      </c>
      <c r="G96" s="83" t="s">
        <v>328</v>
      </c>
      <c r="H96" s="83" t="s">
        <v>328</v>
      </c>
      <c r="I96" s="83" t="s">
        <v>328</v>
      </c>
      <c r="J96" s="83" t="s">
        <v>328</v>
      </c>
      <c r="K96" s="83" t="s">
        <v>328</v>
      </c>
      <c r="L96" s="84"/>
      <c r="N96" s="83"/>
      <c r="O96" s="83"/>
      <c r="P96" s="83" t="s">
        <v>328</v>
      </c>
      <c r="Q96" s="83" t="s">
        <v>328</v>
      </c>
      <c r="R96" s="83" t="s">
        <v>328</v>
      </c>
      <c r="S96" s="83" t="s">
        <v>328</v>
      </c>
      <c r="T96" s="83" t="s">
        <v>328</v>
      </c>
      <c r="U96" s="83" t="s">
        <v>328</v>
      </c>
      <c r="V96" s="83" t="s">
        <v>328</v>
      </c>
      <c r="W96" s="83" t="s">
        <v>328</v>
      </c>
      <c r="X96" s="83" t="s">
        <v>328</v>
      </c>
      <c r="Y96" s="84"/>
    </row>
    <row r="97" spans="1:25" hidden="1" x14ac:dyDescent="0.25">
      <c r="A97" s="115"/>
      <c r="B97" s="89"/>
      <c r="C97" s="75" t="s">
        <v>327</v>
      </c>
      <c r="D97" s="75" t="s">
        <v>327</v>
      </c>
      <c r="E97" s="75" t="s">
        <v>327</v>
      </c>
      <c r="F97" s="75" t="s">
        <v>327</v>
      </c>
      <c r="G97" s="75" t="s">
        <v>327</v>
      </c>
      <c r="H97" s="75" t="s">
        <v>327</v>
      </c>
      <c r="I97" s="75" t="s">
        <v>327</v>
      </c>
      <c r="J97" s="75" t="s">
        <v>327</v>
      </c>
      <c r="K97" s="75" t="s">
        <v>327</v>
      </c>
      <c r="L97" s="76"/>
      <c r="N97" s="83"/>
      <c r="O97" s="83"/>
      <c r="P97" s="75" t="s">
        <v>327</v>
      </c>
      <c r="Q97" s="75" t="s">
        <v>327</v>
      </c>
      <c r="R97" s="75" t="s">
        <v>327</v>
      </c>
      <c r="S97" s="75" t="s">
        <v>327</v>
      </c>
      <c r="T97" s="75" t="s">
        <v>327</v>
      </c>
      <c r="U97" s="75" t="s">
        <v>327</v>
      </c>
      <c r="V97" s="75" t="s">
        <v>327</v>
      </c>
      <c r="W97" s="75" t="s">
        <v>327</v>
      </c>
      <c r="X97" s="75" t="s">
        <v>327</v>
      </c>
      <c r="Y97" s="76"/>
    </row>
    <row r="98" spans="1:25" s="89" customFormat="1" x14ac:dyDescent="0.25">
      <c r="A98" s="85" t="s">
        <v>75</v>
      </c>
      <c r="B98" s="89">
        <v>251.9</v>
      </c>
      <c r="C98" s="89">
        <v>251.9</v>
      </c>
      <c r="D98" s="89">
        <v>251.9</v>
      </c>
      <c r="E98" s="89">
        <v>251.9</v>
      </c>
      <c r="F98" s="89">
        <v>251.9</v>
      </c>
      <c r="G98" s="89">
        <v>251.9</v>
      </c>
      <c r="H98" s="89">
        <v>251.9</v>
      </c>
      <c r="I98" s="89">
        <v>251.9</v>
      </c>
      <c r="J98" s="89">
        <v>251.9</v>
      </c>
      <c r="K98" s="89">
        <v>251.9</v>
      </c>
      <c r="N98" s="85" t="s">
        <v>75</v>
      </c>
      <c r="O98" s="75">
        <v>251.9</v>
      </c>
      <c r="P98" s="75">
        <v>251.9</v>
      </c>
      <c r="Q98" s="75">
        <v>251.9</v>
      </c>
      <c r="R98" s="75">
        <v>251.9</v>
      </c>
      <c r="S98" s="75">
        <v>251.9</v>
      </c>
      <c r="T98" s="75">
        <v>251.9</v>
      </c>
      <c r="U98" s="75">
        <v>251.9</v>
      </c>
      <c r="V98" s="75">
        <v>251.9</v>
      </c>
      <c r="W98" s="75">
        <v>251.9</v>
      </c>
      <c r="X98" s="75">
        <v>251.9</v>
      </c>
      <c r="Y98" s="76"/>
    </row>
    <row r="99" spans="1:25" s="89" customFormat="1" hidden="1" x14ac:dyDescent="0.25">
      <c r="A99" s="117" t="s">
        <v>15</v>
      </c>
      <c r="C99" s="89" t="s">
        <v>89</v>
      </c>
      <c r="D99" s="89" t="s">
        <v>89</v>
      </c>
      <c r="E99" s="89" t="s">
        <v>89</v>
      </c>
      <c r="F99" s="89" t="s">
        <v>89</v>
      </c>
      <c r="G99" s="89" t="s">
        <v>89</v>
      </c>
      <c r="H99" s="89" t="s">
        <v>89</v>
      </c>
      <c r="I99" s="89" t="s">
        <v>89</v>
      </c>
      <c r="J99" s="89" t="s">
        <v>89</v>
      </c>
      <c r="K99" s="89" t="s">
        <v>89</v>
      </c>
      <c r="N99" s="117" t="s">
        <v>15</v>
      </c>
      <c r="O99" s="83"/>
      <c r="P99" s="83" t="s">
        <v>89</v>
      </c>
      <c r="Q99" s="83" t="s">
        <v>89</v>
      </c>
      <c r="R99" s="83" t="s">
        <v>89</v>
      </c>
      <c r="S99" s="83" t="s">
        <v>89</v>
      </c>
      <c r="T99" s="83" t="s">
        <v>89</v>
      </c>
      <c r="U99" s="83" t="s">
        <v>89</v>
      </c>
      <c r="V99" s="83" t="s">
        <v>89</v>
      </c>
      <c r="W99" s="83" t="s">
        <v>89</v>
      </c>
      <c r="X99" s="83" t="s">
        <v>89</v>
      </c>
      <c r="Y99" s="83"/>
    </row>
    <row r="100" spans="1:25" s="89" customFormat="1" hidden="1" x14ac:dyDescent="0.25">
      <c r="A100" s="118" t="s">
        <v>123</v>
      </c>
      <c r="C100" s="89" t="s">
        <v>330</v>
      </c>
      <c r="D100" s="89" t="s">
        <v>330</v>
      </c>
      <c r="E100" s="89" t="s">
        <v>330</v>
      </c>
      <c r="F100" s="89" t="s">
        <v>330</v>
      </c>
      <c r="G100" s="89" t="s">
        <v>330</v>
      </c>
      <c r="H100" s="89" t="s">
        <v>330</v>
      </c>
      <c r="I100" s="89" t="s">
        <v>330</v>
      </c>
      <c r="J100" s="89" t="s">
        <v>330</v>
      </c>
      <c r="K100" s="89" t="s">
        <v>330</v>
      </c>
      <c r="N100" s="118" t="s">
        <v>123</v>
      </c>
      <c r="O100" s="83"/>
      <c r="P100" s="83" t="s">
        <v>330</v>
      </c>
      <c r="Q100" s="83" t="s">
        <v>330</v>
      </c>
      <c r="R100" s="83" t="s">
        <v>330</v>
      </c>
      <c r="S100" s="83" t="s">
        <v>330</v>
      </c>
      <c r="T100" s="83" t="s">
        <v>330</v>
      </c>
      <c r="U100" s="83" t="s">
        <v>330</v>
      </c>
      <c r="V100" s="83" t="s">
        <v>330</v>
      </c>
      <c r="W100" s="83" t="s">
        <v>330</v>
      </c>
      <c r="X100" s="83" t="s">
        <v>330</v>
      </c>
      <c r="Y100" s="83"/>
    </row>
    <row r="101" spans="1:25" s="89" customFormat="1" x14ac:dyDescent="0.25">
      <c r="A101" s="82" t="s">
        <v>72</v>
      </c>
      <c r="B101" s="89">
        <v>229.3</v>
      </c>
      <c r="C101" s="89">
        <v>229.3</v>
      </c>
      <c r="D101" s="89">
        <v>229.3</v>
      </c>
      <c r="E101" s="89">
        <v>229.3</v>
      </c>
      <c r="F101" s="89">
        <v>229.3</v>
      </c>
      <c r="G101" s="89">
        <v>229.3</v>
      </c>
      <c r="H101" s="89">
        <v>229.3</v>
      </c>
      <c r="I101" s="89">
        <v>229.3</v>
      </c>
      <c r="J101" s="89">
        <v>229.3</v>
      </c>
      <c r="K101" s="89">
        <v>229.3</v>
      </c>
      <c r="N101" s="82" t="s">
        <v>72</v>
      </c>
      <c r="O101" s="83">
        <v>229.3</v>
      </c>
      <c r="P101" s="83">
        <v>229.3</v>
      </c>
      <c r="Q101" s="83">
        <v>229.3</v>
      </c>
      <c r="R101" s="83">
        <v>229.3</v>
      </c>
      <c r="S101" s="83">
        <v>229.3</v>
      </c>
      <c r="T101" s="83">
        <v>229.3</v>
      </c>
      <c r="U101" s="83">
        <v>229.3</v>
      </c>
      <c r="V101" s="83">
        <v>229.3</v>
      </c>
      <c r="W101" s="83">
        <v>229.3</v>
      </c>
      <c r="X101" s="83">
        <v>229.3</v>
      </c>
      <c r="Y101" s="84"/>
    </row>
    <row r="102" spans="1:25" s="89" customFormat="1" hidden="1" x14ac:dyDescent="0.25">
      <c r="A102" s="118" t="s">
        <v>15</v>
      </c>
      <c r="C102" s="89" t="s">
        <v>89</v>
      </c>
      <c r="D102" s="89" t="s">
        <v>89</v>
      </c>
      <c r="E102" s="89" t="s">
        <v>89</v>
      </c>
      <c r="F102" s="89" t="s">
        <v>89</v>
      </c>
      <c r="G102" s="89" t="s">
        <v>89</v>
      </c>
      <c r="H102" s="89" t="s">
        <v>89</v>
      </c>
      <c r="I102" s="89" t="s">
        <v>89</v>
      </c>
      <c r="J102" s="89" t="s">
        <v>89</v>
      </c>
      <c r="K102" s="89" t="s">
        <v>89</v>
      </c>
    </row>
    <row r="103" spans="1:25" s="89" customFormat="1" hidden="1" x14ac:dyDescent="0.25">
      <c r="A103" s="117" t="s">
        <v>123</v>
      </c>
      <c r="C103" s="89" t="s">
        <v>330</v>
      </c>
      <c r="D103" s="89" t="s">
        <v>330</v>
      </c>
      <c r="E103" s="89" t="s">
        <v>330</v>
      </c>
      <c r="F103" s="89" t="s">
        <v>330</v>
      </c>
      <c r="G103" s="89" t="s">
        <v>330</v>
      </c>
      <c r="H103" s="89" t="s">
        <v>330</v>
      </c>
      <c r="I103" s="89" t="s">
        <v>330</v>
      </c>
      <c r="J103" s="89" t="s">
        <v>330</v>
      </c>
      <c r="K103" s="89" t="s">
        <v>330</v>
      </c>
    </row>
    <row r="104" spans="1:25" s="89" customFormat="1" x14ac:dyDescent="0.25">
      <c r="A104" s="119"/>
    </row>
    <row r="105" spans="1:25" s="89" customFormat="1" x14ac:dyDescent="0.25">
      <c r="A105" s="115" t="s">
        <v>333</v>
      </c>
      <c r="B105" s="89" t="s">
        <v>128</v>
      </c>
      <c r="C105" s="89" t="s">
        <v>30</v>
      </c>
      <c r="D105" s="89" t="s">
        <v>31</v>
      </c>
      <c r="E105" s="89" t="s">
        <v>32</v>
      </c>
      <c r="F105" s="89" t="s">
        <v>33</v>
      </c>
      <c r="G105" s="89" t="s">
        <v>34</v>
      </c>
      <c r="H105" s="89" t="s">
        <v>35</v>
      </c>
      <c r="I105" s="89" t="s">
        <v>36</v>
      </c>
      <c r="J105" s="89" t="s">
        <v>37</v>
      </c>
      <c r="K105" s="89" t="s">
        <v>38</v>
      </c>
      <c r="L105" s="89" t="s">
        <v>39</v>
      </c>
    </row>
    <row r="106" spans="1:25" s="89" customFormat="1" x14ac:dyDescent="0.25">
      <c r="A106" s="116" t="s">
        <v>71</v>
      </c>
      <c r="C106" s="125">
        <f t="shared" ref="C106:K106" si="8">C56/C$8</f>
        <v>0.19205066638313437</v>
      </c>
      <c r="D106" s="125">
        <f t="shared" si="8"/>
        <v>0.24455226516966905</v>
      </c>
      <c r="E106" s="125">
        <f t="shared" si="8"/>
        <v>0.23438941388434686</v>
      </c>
      <c r="F106" s="125">
        <f t="shared" si="8"/>
        <v>0.18118810691693052</v>
      </c>
      <c r="G106" s="125">
        <f t="shared" si="8"/>
        <v>0.15852974656979837</v>
      </c>
      <c r="H106" s="125">
        <f t="shared" si="8"/>
        <v>0.15801837259176768</v>
      </c>
      <c r="I106" s="125">
        <f t="shared" si="8"/>
        <v>0.23997643464610205</v>
      </c>
      <c r="J106" s="125">
        <f t="shared" si="8"/>
        <v>0.23484348441371855</v>
      </c>
      <c r="K106" s="125">
        <f t="shared" si="8"/>
        <v>0.13633977091949151</v>
      </c>
      <c r="L106" s="125"/>
    </row>
    <row r="107" spans="1:25" s="89" customFormat="1" x14ac:dyDescent="0.25">
      <c r="A107" s="116" t="s">
        <v>73</v>
      </c>
      <c r="C107" s="125">
        <f>C67/C$8</f>
        <v>3.9227390699476585E-3</v>
      </c>
      <c r="D107" s="125">
        <f t="shared" ref="D107:K107" si="9">D67/D$8</f>
        <v>5.1380593886718859E-3</v>
      </c>
      <c r="E107" s="125">
        <f t="shared" si="9"/>
        <v>4.7624097902314207E-3</v>
      </c>
      <c r="F107" s="125">
        <f t="shared" si="9"/>
        <v>3.5341394850977345E-3</v>
      </c>
      <c r="G107" s="125">
        <f t="shared" si="9"/>
        <v>2.9677142807025929E-3</v>
      </c>
      <c r="H107" s="125">
        <f t="shared" si="9"/>
        <v>2.9387173800923729E-3</v>
      </c>
      <c r="I107" s="125">
        <f t="shared" si="9"/>
        <v>3.9771242235488403E-3</v>
      </c>
      <c r="J107" s="125">
        <f t="shared" si="9"/>
        <v>3.7788655406060458E-3</v>
      </c>
      <c r="K107" s="125">
        <f t="shared" si="9"/>
        <v>2.2708689310150291E-3</v>
      </c>
      <c r="L107" s="125">
        <f>L56/$C$42</f>
        <v>0</v>
      </c>
    </row>
    <row r="108" spans="1:25" s="89" customFormat="1" x14ac:dyDescent="0.25">
      <c r="A108" s="116" t="s">
        <v>72</v>
      </c>
      <c r="C108" s="125">
        <f>C81/C$8</f>
        <v>7.1514550736738085E-3</v>
      </c>
      <c r="D108" s="125">
        <f t="shared" ref="D108:K108" si="10">D81/D$8</f>
        <v>7.0334288517306985E-3</v>
      </c>
      <c r="E108" s="125">
        <f t="shared" si="10"/>
        <v>7.3255179974178438E-3</v>
      </c>
      <c r="F108" s="125">
        <f t="shared" si="10"/>
        <v>6.0067354158318586E-3</v>
      </c>
      <c r="G108" s="125">
        <f t="shared" si="10"/>
        <v>4.8497208751252484E-3</v>
      </c>
      <c r="H108" s="125">
        <f t="shared" si="10"/>
        <v>5.9123190178078985E-3</v>
      </c>
      <c r="I108" s="125">
        <f t="shared" si="10"/>
        <v>9.903159992274084E-3</v>
      </c>
      <c r="J108" s="125">
        <f t="shared" si="10"/>
        <v>8.3633648017353637E-3</v>
      </c>
      <c r="K108" s="125">
        <f t="shared" si="10"/>
        <v>5.661122883667935E-3</v>
      </c>
    </row>
    <row r="109" spans="1:25" s="89" customFormat="1" x14ac:dyDescent="0.25">
      <c r="A109" s="119"/>
    </row>
    <row r="110" spans="1:25" s="89" customFormat="1" x14ac:dyDescent="0.25">
      <c r="A110" s="115" t="s">
        <v>334</v>
      </c>
      <c r="B110" s="89" t="s">
        <v>128</v>
      </c>
      <c r="C110" s="89" t="s">
        <v>30</v>
      </c>
      <c r="D110" s="89" t="s">
        <v>31</v>
      </c>
      <c r="E110" s="89" t="s">
        <v>32</v>
      </c>
      <c r="F110" s="89" t="s">
        <v>33</v>
      </c>
      <c r="G110" s="89" t="s">
        <v>34</v>
      </c>
      <c r="H110" s="89" t="s">
        <v>35</v>
      </c>
      <c r="I110" s="89" t="s">
        <v>36</v>
      </c>
      <c r="J110" s="89" t="s">
        <v>37</v>
      </c>
      <c r="K110" s="89" t="s">
        <v>38</v>
      </c>
      <c r="L110" s="89" t="s">
        <v>39</v>
      </c>
    </row>
    <row r="111" spans="1:25" s="89" customFormat="1" x14ac:dyDescent="0.25">
      <c r="A111" s="116" t="s">
        <v>71</v>
      </c>
      <c r="C111" s="123">
        <f t="shared" ref="C111:K111" si="11">C59/C$11</f>
        <v>0.25850326391698458</v>
      </c>
      <c r="D111" s="123">
        <f t="shared" si="11"/>
        <v>0.32623685364191429</v>
      </c>
      <c r="E111" s="123">
        <f t="shared" si="11"/>
        <v>0.31612134874739406</v>
      </c>
      <c r="F111" s="123">
        <f t="shared" si="11"/>
        <v>0.24219898883241253</v>
      </c>
      <c r="G111" s="123">
        <f t="shared" si="11"/>
        <v>0.22148072105280942</v>
      </c>
      <c r="H111" s="123">
        <f t="shared" si="11"/>
        <v>0.22339859388841232</v>
      </c>
      <c r="I111" s="123">
        <f t="shared" si="11"/>
        <v>0.33006571097547677</v>
      </c>
      <c r="J111" s="123">
        <f t="shared" si="11"/>
        <v>0.31821073267470468</v>
      </c>
      <c r="K111" s="123">
        <f t="shared" si="11"/>
        <v>0.1723579536383795</v>
      </c>
    </row>
    <row r="112" spans="1:25" s="89" customFormat="1" x14ac:dyDescent="0.25">
      <c r="A112" s="116" t="s">
        <v>73</v>
      </c>
      <c r="C112" s="122">
        <f>C70/C$11</f>
        <v>5.8927902342816941E-3</v>
      </c>
      <c r="D112" s="122">
        <f t="shared" ref="D112:K112" si="12">D70/D$11</f>
        <v>7.3264836618121189E-3</v>
      </c>
      <c r="E112" s="122">
        <f t="shared" si="12"/>
        <v>6.2754047775470624E-3</v>
      </c>
      <c r="F112" s="122">
        <f t="shared" si="12"/>
        <v>4.7045336150414894E-3</v>
      </c>
      <c r="G112" s="122">
        <f t="shared" si="12"/>
        <v>4.4921944845969872E-3</v>
      </c>
      <c r="H112" s="122">
        <f t="shared" si="12"/>
        <v>4.6109398661078743E-3</v>
      </c>
      <c r="I112" s="122">
        <f t="shared" si="12"/>
        <v>6.3699488205263182E-3</v>
      </c>
      <c r="J112" s="122">
        <f t="shared" si="12"/>
        <v>5.7630586832147761E-3</v>
      </c>
      <c r="K112" s="122">
        <f t="shared" si="12"/>
        <v>3.0498984858395922E-3</v>
      </c>
    </row>
    <row r="113" spans="1:12" x14ac:dyDescent="0.25">
      <c r="A113" s="116" t="s">
        <v>72</v>
      </c>
      <c r="B113" s="89"/>
      <c r="C113" s="122">
        <f>C84/C$11</f>
        <v>3.1614763120950897E-3</v>
      </c>
      <c r="D113" s="122">
        <f t="shared" ref="D113:K113" si="13">D84/D$11</f>
        <v>3.8558069563548562E-3</v>
      </c>
      <c r="E113" s="122">
        <f t="shared" si="13"/>
        <v>4.3815153522790608E-3</v>
      </c>
      <c r="F113" s="122">
        <f t="shared" si="13"/>
        <v>4.6808757592187228E-3</v>
      </c>
      <c r="G113" s="122">
        <f t="shared" si="13"/>
        <v>3.7905064419315711E-3</v>
      </c>
      <c r="H113" s="122">
        <f t="shared" si="13"/>
        <v>4.083017273624358E-3</v>
      </c>
      <c r="I113" s="122">
        <f t="shared" si="13"/>
        <v>5.838931448116356E-3</v>
      </c>
      <c r="J113" s="122">
        <f t="shared" si="13"/>
        <v>5.4453727206855828E-3</v>
      </c>
      <c r="K113" s="122">
        <f t="shared" si="13"/>
        <v>4.3129516839175812E-3</v>
      </c>
      <c r="L113" s="89"/>
    </row>
    <row r="114" spans="1:12" x14ac:dyDescent="0.25">
      <c r="A114" s="11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</row>
    <row r="115" spans="1:12" x14ac:dyDescent="0.25">
      <c r="A115" s="115" t="s">
        <v>335</v>
      </c>
      <c r="B115" s="89" t="s">
        <v>128</v>
      </c>
      <c r="C115" s="89" t="s">
        <v>30</v>
      </c>
      <c r="D115" s="89" t="s">
        <v>31</v>
      </c>
      <c r="E115" s="89" t="s">
        <v>32</v>
      </c>
      <c r="F115" s="89" t="s">
        <v>33</v>
      </c>
      <c r="G115" s="89" t="s">
        <v>34</v>
      </c>
      <c r="H115" s="89" t="s">
        <v>35</v>
      </c>
      <c r="I115" s="89" t="s">
        <v>36</v>
      </c>
      <c r="J115" s="89" t="s">
        <v>37</v>
      </c>
      <c r="K115" s="89" t="s">
        <v>38</v>
      </c>
      <c r="L115" s="89" t="s">
        <v>39</v>
      </c>
    </row>
    <row r="116" spans="1:12" x14ac:dyDescent="0.25">
      <c r="A116" s="116" t="s">
        <v>71</v>
      </c>
      <c r="B116" s="89"/>
      <c r="C116" s="89">
        <f t="shared" ref="C116:K116" si="14">C62/C$14</f>
        <v>0.19126102357840383</v>
      </c>
      <c r="D116" s="89">
        <f t="shared" si="14"/>
        <v>0.20054282501786244</v>
      </c>
      <c r="E116" s="89">
        <f t="shared" si="14"/>
        <v>0.19700517782762375</v>
      </c>
      <c r="F116" s="89">
        <f t="shared" si="14"/>
        <v>0.19380349568786306</v>
      </c>
      <c r="G116" s="89">
        <f t="shared" si="14"/>
        <v>0.18040999622225093</v>
      </c>
      <c r="H116" s="89">
        <f t="shared" si="14"/>
        <v>0.17845637377259116</v>
      </c>
      <c r="I116" s="89">
        <f t="shared" si="14"/>
        <v>0.18275954151330215</v>
      </c>
      <c r="J116" s="89">
        <f t="shared" si="14"/>
        <v>0.19102219683525407</v>
      </c>
      <c r="K116" s="89">
        <f t="shared" si="14"/>
        <v>0.19711457734743229</v>
      </c>
      <c r="L116" s="89"/>
    </row>
    <row r="117" spans="1:12" x14ac:dyDescent="0.25">
      <c r="A117" s="116" t="s">
        <v>73</v>
      </c>
      <c r="B117" s="89"/>
      <c r="C117" s="89">
        <f>C73/C$14</f>
        <v>2.6965341736268522E-2</v>
      </c>
      <c r="D117" s="89">
        <f t="shared" ref="D117:K117" si="15">D73/D$14</f>
        <v>2.7835326983047318E-2</v>
      </c>
      <c r="E117" s="89">
        <f t="shared" si="15"/>
        <v>2.6518263945615583E-2</v>
      </c>
      <c r="F117" s="89">
        <f t="shared" si="15"/>
        <v>2.5353450655396723E-2</v>
      </c>
      <c r="G117" s="89">
        <f t="shared" si="15"/>
        <v>2.4611245568039054E-2</v>
      </c>
      <c r="H117" s="89">
        <f t="shared" si="15"/>
        <v>2.4966904779768498E-2</v>
      </c>
      <c r="I117" s="89">
        <f t="shared" si="15"/>
        <v>2.6134614436402206E-2</v>
      </c>
      <c r="J117" s="89">
        <f t="shared" si="15"/>
        <v>2.7634544475500088E-2</v>
      </c>
      <c r="K117" s="89">
        <f t="shared" si="15"/>
        <v>2.7963280108547074E-2</v>
      </c>
      <c r="L117" s="89"/>
    </row>
    <row r="118" spans="1:12" x14ac:dyDescent="0.25">
      <c r="A118" s="116" t="s">
        <v>72</v>
      </c>
      <c r="B118" s="89"/>
      <c r="C118" s="89">
        <f>C87/C$14</f>
        <v>7.6340236878933709E-3</v>
      </c>
      <c r="D118" s="89">
        <f t="shared" ref="D118:K118" si="16">D87/D$14</f>
        <v>4.6249466371832467E-3</v>
      </c>
      <c r="E118" s="89">
        <f t="shared" si="16"/>
        <v>4.3692408784782606E-3</v>
      </c>
      <c r="F118" s="89">
        <f t="shared" si="16"/>
        <v>4.5979986781821171E-3</v>
      </c>
      <c r="G118" s="89">
        <f t="shared" si="16"/>
        <v>3.6525523457867142E-3</v>
      </c>
      <c r="H118" s="89">
        <f t="shared" si="16"/>
        <v>3.4846253116444458E-3</v>
      </c>
      <c r="I118" s="89">
        <f t="shared" si="16"/>
        <v>3.706312380339694E-3</v>
      </c>
      <c r="J118" s="89">
        <f t="shared" si="16"/>
        <v>3.7506641387743951E-3</v>
      </c>
      <c r="K118" s="89">
        <f t="shared" si="16"/>
        <v>3.9821126736855009E-3</v>
      </c>
      <c r="L118" s="89"/>
    </row>
    <row r="119" spans="1:12" s="89" customFormat="1" x14ac:dyDescent="0.25">
      <c r="A119" s="119"/>
    </row>
    <row r="120" spans="1:12" s="89" customFormat="1" x14ac:dyDescent="0.25">
      <c r="A120" s="115" t="s">
        <v>336</v>
      </c>
      <c r="B120" s="89" t="s">
        <v>128</v>
      </c>
      <c r="C120" s="89" t="s">
        <v>30</v>
      </c>
      <c r="D120" s="89" t="s">
        <v>31</v>
      </c>
      <c r="E120" s="89" t="s">
        <v>32</v>
      </c>
      <c r="F120" s="89" t="s">
        <v>33</v>
      </c>
      <c r="G120" s="89" t="s">
        <v>34</v>
      </c>
      <c r="H120" s="89" t="s">
        <v>35</v>
      </c>
      <c r="I120" s="89" t="s">
        <v>36</v>
      </c>
      <c r="J120" s="89" t="s">
        <v>37</v>
      </c>
      <c r="K120" s="89" t="s">
        <v>38</v>
      </c>
      <c r="L120" s="89" t="s">
        <v>39</v>
      </c>
    </row>
    <row r="121" spans="1:12" s="89" customFormat="1" x14ac:dyDescent="0.25">
      <c r="A121" s="116" t="s">
        <v>73</v>
      </c>
      <c r="C121" s="124">
        <f>C76/C$17</f>
        <v>6.3948667945802923E-2</v>
      </c>
      <c r="D121" s="124">
        <f t="shared" ref="D121:K121" si="17">D76/D$17</f>
        <v>4.8536221853257955E-2</v>
      </c>
      <c r="E121" s="124">
        <f t="shared" si="17"/>
        <v>4.9566030973423839E-2</v>
      </c>
      <c r="F121" s="124">
        <f t="shared" si="17"/>
        <v>4.8089568829012129E-2</v>
      </c>
      <c r="G121" s="124">
        <f t="shared" si="17"/>
        <v>4.344915821120221E-2</v>
      </c>
      <c r="H121" s="124">
        <f t="shared" si="17"/>
        <v>4.5685192965419404E-2</v>
      </c>
      <c r="I121" s="124">
        <f t="shared" si="17"/>
        <v>5.1455445468428444E-2</v>
      </c>
      <c r="J121" s="124">
        <f t="shared" si="17"/>
        <v>4.5401529252382451E-2</v>
      </c>
      <c r="K121" s="124">
        <f t="shared" si="17"/>
        <v>4.2393418009712684E-2</v>
      </c>
    </row>
    <row r="122" spans="1:12" s="89" customFormat="1" x14ac:dyDescent="0.25">
      <c r="A122" s="115"/>
    </row>
    <row r="123" spans="1:12" s="89" customFormat="1" x14ac:dyDescent="0.25">
      <c r="A123" s="115" t="s">
        <v>337</v>
      </c>
      <c r="B123" s="89" t="s">
        <v>128</v>
      </c>
      <c r="C123" s="89" t="s">
        <v>30</v>
      </c>
      <c r="D123" s="89" t="s">
        <v>31</v>
      </c>
      <c r="E123" s="89" t="s">
        <v>32</v>
      </c>
      <c r="F123" s="89" t="s">
        <v>33</v>
      </c>
      <c r="G123" s="89" t="s">
        <v>34</v>
      </c>
      <c r="H123" s="89" t="s">
        <v>35</v>
      </c>
      <c r="I123" s="89" t="s">
        <v>36</v>
      </c>
      <c r="J123" s="89" t="s">
        <v>37</v>
      </c>
      <c r="K123" s="89" t="s">
        <v>38</v>
      </c>
      <c r="L123" s="89" t="s">
        <v>39</v>
      </c>
    </row>
    <row r="124" spans="1:12" s="89" customFormat="1" x14ac:dyDescent="0.25">
      <c r="A124" s="115" t="s">
        <v>71</v>
      </c>
      <c r="C124" s="5">
        <f t="shared" ref="C124:L124" si="18">C92*C106</f>
        <v>50.682170858509153</v>
      </c>
      <c r="D124" s="5">
        <f t="shared" si="18"/>
        <v>64.537342778275658</v>
      </c>
      <c r="E124" s="5">
        <f t="shared" si="18"/>
        <v>61.855366324079135</v>
      </c>
      <c r="F124" s="5">
        <f t="shared" si="18"/>
        <v>47.815541415377957</v>
      </c>
      <c r="G124" s="5">
        <f t="shared" si="18"/>
        <v>41.836000119769785</v>
      </c>
      <c r="H124" s="5">
        <f t="shared" si="18"/>
        <v>41.70104852696749</v>
      </c>
      <c r="I124" s="5">
        <f t="shared" si="18"/>
        <v>63.329781103106328</v>
      </c>
      <c r="J124" s="5">
        <f t="shared" si="18"/>
        <v>61.975195536780319</v>
      </c>
      <c r="K124" s="5">
        <f t="shared" si="18"/>
        <v>35.980065545653808</v>
      </c>
      <c r="L124" s="5">
        <f t="shared" si="18"/>
        <v>0</v>
      </c>
    </row>
    <row r="125" spans="1:12" s="89" customFormat="1" x14ac:dyDescent="0.25">
      <c r="A125" s="115" t="s">
        <v>73</v>
      </c>
      <c r="C125" s="126">
        <f t="shared" ref="C125:K125" si="19">C95*C107</f>
        <v>2.4925084050447421</v>
      </c>
      <c r="D125" s="126">
        <f t="shared" si="19"/>
        <v>2.7221438641183648</v>
      </c>
      <c r="E125" s="126">
        <f t="shared" si="19"/>
        <v>2.3288183874231647</v>
      </c>
      <c r="F125" s="126">
        <f t="shared" si="19"/>
        <v>1.8730939271017992</v>
      </c>
      <c r="G125" s="126">
        <f t="shared" si="19"/>
        <v>1.3865161119442513</v>
      </c>
      <c r="H125" s="126">
        <f t="shared" si="19"/>
        <v>1.3368225362040205</v>
      </c>
      <c r="I125" s="126">
        <f t="shared" si="19"/>
        <v>1.8489650515278557</v>
      </c>
      <c r="J125" s="126">
        <f t="shared" si="19"/>
        <v>1.8153670057071443</v>
      </c>
      <c r="K125" s="126">
        <f t="shared" si="19"/>
        <v>0.99146137528116174</v>
      </c>
      <c r="L125" s="126"/>
    </row>
    <row r="126" spans="1:12" s="89" customFormat="1" x14ac:dyDescent="0.25">
      <c r="A126" s="116" t="s">
        <v>72</v>
      </c>
      <c r="C126" s="126">
        <f t="shared" ref="C126:K126" si="20">C101*C108</f>
        <v>1.6398286483934044</v>
      </c>
      <c r="D126" s="126">
        <f t="shared" si="20"/>
        <v>1.6127652357018492</v>
      </c>
      <c r="E126" s="126">
        <f t="shared" si="20"/>
        <v>1.6797412768079116</v>
      </c>
      <c r="F126" s="126">
        <f t="shared" si="20"/>
        <v>1.3773444308502452</v>
      </c>
      <c r="G126" s="126">
        <f t="shared" si="20"/>
        <v>1.1120409966662195</v>
      </c>
      <c r="H126" s="126">
        <f t="shared" si="20"/>
        <v>1.3556947507833512</v>
      </c>
      <c r="I126" s="126">
        <f t="shared" si="20"/>
        <v>2.2707945862284475</v>
      </c>
      <c r="J126" s="126">
        <f t="shared" si="20"/>
        <v>1.9177195490379191</v>
      </c>
      <c r="K126" s="126">
        <f t="shared" si="20"/>
        <v>1.2980954772250575</v>
      </c>
    </row>
    <row r="127" spans="1:12" s="89" customFormat="1" x14ac:dyDescent="0.25">
      <c r="A127" s="127" t="s">
        <v>4</v>
      </c>
      <c r="C127" s="126">
        <f>SUBTOTAL(109,Carbon_Intensity_Dublin_Bus[2010])</f>
        <v>54.814507911947302</v>
      </c>
      <c r="D127" s="126">
        <f>SUBTOTAL(109,Carbon_Intensity_Dublin_Bus[2011])</f>
        <v>68.872251878095867</v>
      </c>
      <c r="E127" s="126">
        <f>SUBTOTAL(109,Carbon_Intensity_Dublin_Bus[2012])</f>
        <v>65.863925988310214</v>
      </c>
      <c r="F127" s="126">
        <f>SUBTOTAL(109,Carbon_Intensity_Dublin_Bus[2013])</f>
        <v>51.06597977333</v>
      </c>
      <c r="G127" s="126">
        <f>SUBTOTAL(109,Carbon_Intensity_Dublin_Bus[2014])</f>
        <v>44.334557228380255</v>
      </c>
      <c r="H127" s="126">
        <f>SUBTOTAL(109,Carbon_Intensity_Dublin_Bus[2015])</f>
        <v>44.393565813954858</v>
      </c>
      <c r="I127" s="126">
        <f>SUBTOTAL(109,Carbon_Intensity_Dublin_Bus[2016])</f>
        <v>67.449540740862631</v>
      </c>
      <c r="J127" s="126">
        <f>SUBTOTAL(109,Carbon_Intensity_Dublin_Bus[2017])</f>
        <v>65.708282091525376</v>
      </c>
      <c r="K127" s="126">
        <f>SUBTOTAL(109,Carbon_Intensity_Dublin_Bus[2018])</f>
        <v>38.269622398160024</v>
      </c>
    </row>
    <row r="128" spans="1:12" s="89" customFormat="1" x14ac:dyDescent="0.25">
      <c r="A128" s="115"/>
    </row>
    <row r="129" spans="1:12" s="89" customFormat="1" x14ac:dyDescent="0.25">
      <c r="A129" s="115" t="s">
        <v>338</v>
      </c>
      <c r="B129" s="89" t="s">
        <v>128</v>
      </c>
      <c r="C129" s="89" t="s">
        <v>30</v>
      </c>
      <c r="D129" s="89" t="s">
        <v>31</v>
      </c>
      <c r="E129" s="89" t="s">
        <v>32</v>
      </c>
      <c r="F129" s="89" t="s">
        <v>33</v>
      </c>
      <c r="G129" s="89" t="s">
        <v>34</v>
      </c>
      <c r="H129" s="89" t="s">
        <v>35</v>
      </c>
      <c r="I129" s="89" t="s">
        <v>36</v>
      </c>
      <c r="J129" s="89" t="s">
        <v>37</v>
      </c>
      <c r="K129" s="89" t="s">
        <v>38</v>
      </c>
      <c r="L129" s="89" t="s">
        <v>39</v>
      </c>
    </row>
    <row r="130" spans="1:12" s="89" customFormat="1" x14ac:dyDescent="0.25">
      <c r="A130" s="115" t="s">
        <v>71</v>
      </c>
      <c r="C130" s="5">
        <f t="shared" ref="C130:K130" si="21">C111*C92</f>
        <v>68.219011347692231</v>
      </c>
      <c r="D130" s="5">
        <f t="shared" si="21"/>
        <v>86.093905676101173</v>
      </c>
      <c r="E130" s="5">
        <f t="shared" si="21"/>
        <v>83.424423934437286</v>
      </c>
      <c r="F130" s="5">
        <f t="shared" si="21"/>
        <v>63.916313152873663</v>
      </c>
      <c r="G130" s="5">
        <f t="shared" si="21"/>
        <v>58.448762285836402</v>
      </c>
      <c r="H130" s="5">
        <f t="shared" si="21"/>
        <v>58.954888927152005</v>
      </c>
      <c r="I130" s="5">
        <f t="shared" si="21"/>
        <v>87.104341126428309</v>
      </c>
      <c r="J130" s="5">
        <f t="shared" si="21"/>
        <v>83.975812352854561</v>
      </c>
      <c r="K130" s="5">
        <f t="shared" si="21"/>
        <v>45.485263965168343</v>
      </c>
      <c r="L130" s="5">
        <f>L98*L112</f>
        <v>0</v>
      </c>
    </row>
    <row r="131" spans="1:12" s="89" customFormat="1" x14ac:dyDescent="0.25">
      <c r="A131" s="115" t="s">
        <v>73</v>
      </c>
      <c r="C131" s="126">
        <f t="shared" ref="C131:K131" si="22">C112*C95</f>
        <v>3.7442789148625883</v>
      </c>
      <c r="D131" s="126">
        <f t="shared" si="22"/>
        <v>3.8815710440280604</v>
      </c>
      <c r="E131" s="126">
        <f t="shared" si="22"/>
        <v>3.0686729362205134</v>
      </c>
      <c r="F131" s="126">
        <f t="shared" si="22"/>
        <v>2.4934028159719892</v>
      </c>
      <c r="G131" s="126">
        <f t="shared" si="22"/>
        <v>2.0987532632037125</v>
      </c>
      <c r="H131" s="126">
        <f t="shared" si="22"/>
        <v>2.0975165450924718</v>
      </c>
      <c r="I131" s="126">
        <f t="shared" si="22"/>
        <v>2.9613892066626852</v>
      </c>
      <c r="J131" s="126">
        <f t="shared" si="22"/>
        <v>2.7685733914163784</v>
      </c>
      <c r="K131" s="126">
        <f t="shared" si="22"/>
        <v>1.331585678917566</v>
      </c>
      <c r="L131" s="126"/>
    </row>
    <row r="132" spans="1:12" s="89" customFormat="1" x14ac:dyDescent="0.25">
      <c r="A132" s="116" t="s">
        <v>72</v>
      </c>
      <c r="C132" s="126">
        <f t="shared" ref="C132:K132" si="23">C101*C113</f>
        <v>0.72492651836340405</v>
      </c>
      <c r="D132" s="126">
        <f t="shared" si="23"/>
        <v>0.88413653509216861</v>
      </c>
      <c r="E132" s="126">
        <f t="shared" si="23"/>
        <v>1.0046814702775888</v>
      </c>
      <c r="F132" s="126">
        <f t="shared" si="23"/>
        <v>1.0733248115888532</v>
      </c>
      <c r="G132" s="126">
        <f t="shared" si="23"/>
        <v>0.86916312713490929</v>
      </c>
      <c r="H132" s="126">
        <f t="shared" si="23"/>
        <v>0.93623586084206534</v>
      </c>
      <c r="I132" s="126">
        <f t="shared" si="23"/>
        <v>1.3388669810530804</v>
      </c>
      <c r="J132" s="126">
        <f t="shared" si="23"/>
        <v>1.2486239648532043</v>
      </c>
      <c r="K132" s="126">
        <f t="shared" si="23"/>
        <v>0.98895982112230141</v>
      </c>
    </row>
    <row r="133" spans="1:12" s="89" customFormat="1" x14ac:dyDescent="0.25">
      <c r="A133" s="127" t="s">
        <v>4</v>
      </c>
      <c r="C133" s="126">
        <f>SUBTOTAL(109,Carbon_Intensity_Bus_Éireann[2010])</f>
        <v>72.688216780918225</v>
      </c>
      <c r="D133" s="126">
        <f>SUBTOTAL(109,Carbon_Intensity_Bus_Éireann[2011])</f>
        <v>90.859613255221404</v>
      </c>
      <c r="E133" s="126">
        <f>SUBTOTAL(109,Carbon_Intensity_Bus_Éireann[2012])</f>
        <v>87.497778340935383</v>
      </c>
      <c r="F133" s="126">
        <f>SUBTOTAL(109,Carbon_Intensity_Bus_Éireann[2013])</f>
        <v>67.483040780434493</v>
      </c>
      <c r="G133" s="126">
        <f>SUBTOTAL(109,Carbon_Intensity_Bus_Éireann[2014])</f>
        <v>61.416678676175025</v>
      </c>
      <c r="H133" s="126">
        <f>SUBTOTAL(109,Carbon_Intensity_Bus_Éireann[2015])</f>
        <v>61.988641333086548</v>
      </c>
      <c r="I133" s="126">
        <f>SUBTOTAL(109,Carbon_Intensity_Bus_Éireann[2016])</f>
        <v>91.404597314144084</v>
      </c>
      <c r="J133" s="126">
        <f>SUBTOTAL(109,Carbon_Intensity_Bus_Éireann[2017])</f>
        <v>87.993009709124152</v>
      </c>
      <c r="K133" s="126">
        <f>SUBTOTAL(109,Carbon_Intensity_Bus_Éireann[2018])</f>
        <v>47.805809465208206</v>
      </c>
    </row>
    <row r="134" spans="1:12" x14ac:dyDescent="0.25">
      <c r="A134" s="115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</row>
    <row r="135" spans="1:12" s="89" customFormat="1" x14ac:dyDescent="0.25">
      <c r="A135" s="115" t="s">
        <v>339</v>
      </c>
      <c r="B135" s="89" t="s">
        <v>128</v>
      </c>
      <c r="C135" s="89" t="s">
        <v>30</v>
      </c>
      <c r="D135" s="89" t="s">
        <v>31</v>
      </c>
      <c r="E135" s="89" t="s">
        <v>32</v>
      </c>
      <c r="F135" s="89" t="s">
        <v>33</v>
      </c>
      <c r="G135" s="89" t="s">
        <v>34</v>
      </c>
      <c r="H135" s="89" t="s">
        <v>35</v>
      </c>
      <c r="I135" s="89" t="s">
        <v>36</v>
      </c>
      <c r="J135" s="89" t="s">
        <v>37</v>
      </c>
      <c r="K135" s="89" t="s">
        <v>38</v>
      </c>
      <c r="L135" s="89" t="s">
        <v>39</v>
      </c>
    </row>
    <row r="136" spans="1:12" s="89" customFormat="1" x14ac:dyDescent="0.25">
      <c r="A136" s="115" t="s">
        <v>71</v>
      </c>
      <c r="C136" s="5">
        <f t="shared" ref="C136:L136" si="24">C116*C92</f>
        <v>50.473784122340767</v>
      </c>
      <c r="D136" s="5">
        <f t="shared" si="24"/>
        <v>52.923251522213896</v>
      </c>
      <c r="E136" s="5">
        <f t="shared" si="24"/>
        <v>51.989666428709903</v>
      </c>
      <c r="F136" s="5">
        <f t="shared" si="24"/>
        <v>51.144742512027058</v>
      </c>
      <c r="G136" s="5">
        <f t="shared" si="24"/>
        <v>47.61019800305202</v>
      </c>
      <c r="H136" s="5">
        <f t="shared" si="24"/>
        <v>47.094637038586804</v>
      </c>
      <c r="I136" s="5">
        <f t="shared" si="24"/>
        <v>48.230243005360435</v>
      </c>
      <c r="J136" s="5">
        <f t="shared" si="24"/>
        <v>50.410757744823542</v>
      </c>
      <c r="K136" s="5">
        <f t="shared" si="24"/>
        <v>52.01853696198738</v>
      </c>
      <c r="L136" s="5">
        <f t="shared" si="24"/>
        <v>0</v>
      </c>
    </row>
    <row r="137" spans="1:12" s="89" customFormat="1" x14ac:dyDescent="0.25">
      <c r="A137" s="115" t="s">
        <v>73</v>
      </c>
      <c r="C137" s="126">
        <f t="shared" ref="C137:K137" si="25">C117*C95</f>
        <v>17.133778139225019</v>
      </c>
      <c r="D137" s="126">
        <f t="shared" si="25"/>
        <v>14.747156235618467</v>
      </c>
      <c r="E137" s="126">
        <f t="shared" si="25"/>
        <v>12.96743106940602</v>
      </c>
      <c r="F137" s="126">
        <f t="shared" si="25"/>
        <v>13.437328847360263</v>
      </c>
      <c r="G137" s="126">
        <f t="shared" si="25"/>
        <v>11.498373929387846</v>
      </c>
      <c r="H137" s="126">
        <f t="shared" si="25"/>
        <v>11.35744498431669</v>
      </c>
      <c r="I137" s="126">
        <f t="shared" si="25"/>
        <v>12.149982251483385</v>
      </c>
      <c r="J137" s="126">
        <f t="shared" si="25"/>
        <v>13.275635166030241</v>
      </c>
      <c r="K137" s="126">
        <f t="shared" si="25"/>
        <v>12.208768095391653</v>
      </c>
      <c r="L137" s="126"/>
    </row>
    <row r="138" spans="1:12" s="89" customFormat="1" x14ac:dyDescent="0.25">
      <c r="A138" s="116" t="s">
        <v>72</v>
      </c>
      <c r="C138" s="126">
        <f t="shared" ref="C138:K138" si="26">C101*C118</f>
        <v>1.75048163163395</v>
      </c>
      <c r="D138" s="126">
        <f t="shared" si="26"/>
        <v>1.0605002639061185</v>
      </c>
      <c r="E138" s="126">
        <f t="shared" si="26"/>
        <v>1.0018669334350652</v>
      </c>
      <c r="F138" s="126">
        <f t="shared" si="26"/>
        <v>1.0543210969071595</v>
      </c>
      <c r="G138" s="126">
        <f t="shared" si="26"/>
        <v>0.8375302528888936</v>
      </c>
      <c r="H138" s="126">
        <f t="shared" si="26"/>
        <v>0.79902458396007148</v>
      </c>
      <c r="I138" s="126">
        <f t="shared" si="26"/>
        <v>0.84985742881189186</v>
      </c>
      <c r="J138" s="126">
        <f t="shared" si="26"/>
        <v>0.86002728702096887</v>
      </c>
      <c r="K138" s="126">
        <f t="shared" si="26"/>
        <v>0.91309843607608543</v>
      </c>
    </row>
    <row r="139" spans="1:12" s="89" customFormat="1" x14ac:dyDescent="0.25">
      <c r="A139" s="127" t="s">
        <v>4</v>
      </c>
      <c r="C139" s="126">
        <f>SUBTOTAL(109,Carbon_Intensity_Irish_Rail[2010])</f>
        <v>69.358043893199735</v>
      </c>
      <c r="D139" s="126">
        <f>SUBTOTAL(109,Carbon_Intensity_Irish_Rail[2011])</f>
        <v>68.730908021738486</v>
      </c>
      <c r="E139" s="126">
        <f>SUBTOTAL(109,Carbon_Intensity_Irish_Rail[2012])</f>
        <v>65.958964431550996</v>
      </c>
      <c r="F139" s="126">
        <f>SUBTOTAL(109,Carbon_Intensity_Irish_Rail[2013])</f>
        <v>65.636392456294487</v>
      </c>
      <c r="G139" s="126">
        <f>SUBTOTAL(109,Carbon_Intensity_Irish_Rail[2014])</f>
        <v>59.946102185328762</v>
      </c>
      <c r="H139" s="126">
        <f>SUBTOTAL(109,Carbon_Intensity_Irish_Rail[2015])</f>
        <v>59.251106606863566</v>
      </c>
      <c r="I139" s="126">
        <f>SUBTOTAL(109,Carbon_Intensity_Irish_Rail[2016])</f>
        <v>61.230082685655717</v>
      </c>
      <c r="J139" s="126">
        <f>SUBTOTAL(109,Carbon_Intensity_Irish_Rail[2017])</f>
        <v>64.546420197874752</v>
      </c>
      <c r="K139" s="126">
        <f>SUBTOTAL(109,Carbon_Intensity_Irish_Rail[2018])</f>
        <v>65.140403493455111</v>
      </c>
    </row>
    <row r="140" spans="1:12" s="89" customFormat="1" x14ac:dyDescent="0.25">
      <c r="A140" s="127"/>
      <c r="C140" s="126"/>
      <c r="D140" s="126"/>
      <c r="E140" s="126"/>
      <c r="F140" s="126"/>
      <c r="G140" s="126"/>
      <c r="H140" s="126"/>
      <c r="I140" s="126"/>
      <c r="J140" s="126"/>
      <c r="K140" s="126"/>
    </row>
    <row r="141" spans="1:12" s="89" customFormat="1" x14ac:dyDescent="0.25">
      <c r="A141" s="115" t="s">
        <v>340</v>
      </c>
      <c r="B141" s="89" t="s">
        <v>128</v>
      </c>
      <c r="C141" s="89" t="s">
        <v>30</v>
      </c>
      <c r="D141" s="89" t="s">
        <v>31</v>
      </c>
      <c r="E141" s="89" t="s">
        <v>32</v>
      </c>
      <c r="F141" s="89" t="s">
        <v>33</v>
      </c>
      <c r="G141" s="89" t="s">
        <v>34</v>
      </c>
      <c r="H141" s="89" t="s">
        <v>35</v>
      </c>
      <c r="I141" s="89" t="s">
        <v>36</v>
      </c>
      <c r="J141" s="89" t="s">
        <v>37</v>
      </c>
      <c r="K141" s="89" t="s">
        <v>38</v>
      </c>
      <c r="L141" s="89" t="s">
        <v>39</v>
      </c>
    </row>
    <row r="142" spans="1:12" s="89" customFormat="1" x14ac:dyDescent="0.25">
      <c r="A142" s="115" t="s">
        <v>73</v>
      </c>
      <c r="C142" s="126">
        <f>Energy_Intensity_by_fuel_type_Luas[2010]*C95</f>
        <v>40.632983612763176</v>
      </c>
      <c r="D142" s="126">
        <f>Energy_Intensity_by_fuel_type_Luas[2011]*D95</f>
        <v>25.714490337856063</v>
      </c>
      <c r="E142" s="126">
        <f>Energy_Intensity_by_fuel_type_Luas[2012]*E95</f>
        <v>24.237789146004257</v>
      </c>
      <c r="F142" s="126">
        <f>Energy_Intensity_by_fuel_type_Luas[2013]*F95</f>
        <v>25.487471479376428</v>
      </c>
      <c r="G142" s="126">
        <f>Energy_Intensity_by_fuel_type_Luas[2014]*G95</f>
        <v>20.299446716273671</v>
      </c>
      <c r="H142" s="126">
        <f>Energy_Intensity_by_fuel_type_Luas[2015]*H95</f>
        <v>20.782194279969286</v>
      </c>
      <c r="I142" s="126">
        <f>Energy_Intensity_by_fuel_type_Luas[2016]*I95</f>
        <v>23.921636598272382</v>
      </c>
      <c r="J142" s="126">
        <f>Energy_Intensity_by_fuel_type_Luas[2017]*J95</f>
        <v>21.810894652844528</v>
      </c>
      <c r="K142" s="126">
        <f>Energy_Intensity_by_fuel_type_Luas[2018]*K95</f>
        <v>18.508966303040559</v>
      </c>
      <c r="L142" s="126"/>
    </row>
    <row r="143" spans="1:12" s="89" customFormat="1" x14ac:dyDescent="0.25">
      <c r="A143" s="127" t="s">
        <v>4</v>
      </c>
      <c r="C143" s="126">
        <f>SUBTOTAL(109,Carbon_Intensity_Luas[2010])</f>
        <v>40.632983612763176</v>
      </c>
      <c r="D143" s="126">
        <f>SUBTOTAL(109,Carbon_Intensity_Luas[2011])</f>
        <v>25.714490337856063</v>
      </c>
      <c r="E143" s="126">
        <f>SUBTOTAL(109,Carbon_Intensity_Luas[2012])</f>
        <v>24.237789146004257</v>
      </c>
      <c r="F143" s="126">
        <f>SUBTOTAL(109,Carbon_Intensity_Luas[2013])</f>
        <v>25.487471479376428</v>
      </c>
      <c r="G143" s="126">
        <f>SUBTOTAL(109,Carbon_Intensity_Luas[2014])</f>
        <v>20.299446716273671</v>
      </c>
      <c r="H143" s="126">
        <f>SUBTOTAL(109,Carbon_Intensity_Luas[2015])</f>
        <v>20.782194279969286</v>
      </c>
      <c r="I143" s="126">
        <f>SUBTOTAL(109,Carbon_Intensity_Luas[2016])</f>
        <v>23.921636598272382</v>
      </c>
      <c r="J143" s="126">
        <f>SUBTOTAL(109,Carbon_Intensity_Luas[2017])</f>
        <v>21.810894652844528</v>
      </c>
      <c r="K143" s="126">
        <f>SUBTOTAL(109,Carbon_Intensity_Luas[2018])</f>
        <v>18.508966303040559</v>
      </c>
    </row>
    <row r="144" spans="1:12" s="89" customFormat="1" x14ac:dyDescent="0.25">
      <c r="A144" s="127"/>
      <c r="C144" s="126"/>
      <c r="D144" s="126"/>
      <c r="E144" s="126"/>
      <c r="F144" s="126"/>
      <c r="G144" s="126"/>
      <c r="H144" s="126"/>
      <c r="I144" s="126"/>
      <c r="J144" s="126"/>
      <c r="K144" s="126"/>
    </row>
    <row r="145" spans="1:19" s="89" customFormat="1" x14ac:dyDescent="0.25">
      <c r="A145" s="127" t="s">
        <v>358</v>
      </c>
      <c r="B145" s="89" t="s">
        <v>190</v>
      </c>
      <c r="C145" s="89" t="s">
        <v>191</v>
      </c>
      <c r="D145" s="89" t="s">
        <v>192</v>
      </c>
      <c r="E145" s="89" t="s">
        <v>193</v>
      </c>
      <c r="F145" s="89" t="s">
        <v>194</v>
      </c>
      <c r="G145" s="89" t="s">
        <v>195</v>
      </c>
      <c r="H145" s="89" t="s">
        <v>196</v>
      </c>
      <c r="I145" s="89" t="s">
        <v>197</v>
      </c>
      <c r="J145" s="89" t="s">
        <v>128</v>
      </c>
      <c r="K145" s="89" t="s">
        <v>30</v>
      </c>
      <c r="L145" s="89" t="s">
        <v>31</v>
      </c>
      <c r="M145" s="89" t="s">
        <v>32</v>
      </c>
      <c r="N145" s="89" t="s">
        <v>33</v>
      </c>
      <c r="O145" s="89" t="s">
        <v>34</v>
      </c>
      <c r="P145" s="89" t="s">
        <v>35</v>
      </c>
      <c r="Q145" s="89" t="s">
        <v>36</v>
      </c>
      <c r="R145" s="89" t="s">
        <v>37</v>
      </c>
      <c r="S145" s="89" t="s">
        <v>38</v>
      </c>
    </row>
    <row r="146" spans="1:19" x14ac:dyDescent="0.25">
      <c r="A146" s="127" t="s">
        <v>71</v>
      </c>
      <c r="B146" s="89">
        <v>179.350167306347</v>
      </c>
      <c r="C146" s="89">
        <v>180.072362748503</v>
      </c>
      <c r="D146" s="89">
        <v>182.364066050546</v>
      </c>
      <c r="E146" s="89">
        <v>182.81215830362601</v>
      </c>
      <c r="F146" s="89">
        <v>181.612322220148</v>
      </c>
      <c r="G146" s="89">
        <v>185.69696293390899</v>
      </c>
      <c r="H146" s="89">
        <v>186.531316175885</v>
      </c>
      <c r="I146" s="89">
        <v>184.618050496991</v>
      </c>
      <c r="J146" s="89">
        <v>182.361307676113</v>
      </c>
      <c r="K146" s="89">
        <v>179.439500341139</v>
      </c>
      <c r="L146" s="89">
        <v>177.201378864189</v>
      </c>
      <c r="M146" s="89">
        <v>175.75899491246801</v>
      </c>
      <c r="N146" s="89">
        <v>175.52631262609501</v>
      </c>
      <c r="O146" s="89">
        <v>174.56235261195201</v>
      </c>
      <c r="P146" s="89">
        <v>174.49175550360201</v>
      </c>
      <c r="Q146" s="89">
        <v>173.70930205742599</v>
      </c>
      <c r="R146" s="89">
        <v>172.360426776857</v>
      </c>
      <c r="S146" s="89">
        <v>173.48070804879799</v>
      </c>
    </row>
    <row r="147" spans="1:19" s="89" customFormat="1" x14ac:dyDescent="0.25">
      <c r="A147" s="129" t="s">
        <v>15</v>
      </c>
      <c r="B147" s="89" t="s">
        <v>381</v>
      </c>
      <c r="C147" s="89" t="s">
        <v>381</v>
      </c>
      <c r="D147" s="89" t="s">
        <v>381</v>
      </c>
      <c r="E147" s="89" t="s">
        <v>381</v>
      </c>
      <c r="F147" s="89" t="s">
        <v>381</v>
      </c>
      <c r="G147" s="89" t="s">
        <v>381</v>
      </c>
      <c r="H147" s="89" t="s">
        <v>381</v>
      </c>
      <c r="I147" s="89" t="s">
        <v>381</v>
      </c>
      <c r="J147" s="89" t="s">
        <v>381</v>
      </c>
      <c r="K147" s="89" t="s">
        <v>381</v>
      </c>
      <c r="L147" s="89" t="s">
        <v>381</v>
      </c>
      <c r="M147" s="89" t="s">
        <v>381</v>
      </c>
      <c r="N147" s="89" t="s">
        <v>381</v>
      </c>
      <c r="O147" s="89" t="s">
        <v>381</v>
      </c>
      <c r="P147" s="89" t="s">
        <v>381</v>
      </c>
      <c r="Q147" s="89" t="s">
        <v>381</v>
      </c>
      <c r="R147" s="89" t="s">
        <v>381</v>
      </c>
      <c r="S147" s="89" t="s">
        <v>381</v>
      </c>
    </row>
    <row r="148" spans="1:19" s="89" customFormat="1" x14ac:dyDescent="0.25">
      <c r="A148" s="129" t="s">
        <v>123</v>
      </c>
      <c r="B148" s="89" t="s">
        <v>363</v>
      </c>
      <c r="C148" s="89" t="s">
        <v>364</v>
      </c>
      <c r="D148" s="89" t="s">
        <v>365</v>
      </c>
      <c r="E148" s="89" t="s">
        <v>366</v>
      </c>
      <c r="F148" s="89" t="s">
        <v>367</v>
      </c>
      <c r="G148" s="89" t="s">
        <v>368</v>
      </c>
      <c r="H148" s="89" t="s">
        <v>369</v>
      </c>
      <c r="I148" s="89" t="s">
        <v>370</v>
      </c>
      <c r="J148" s="89" t="s">
        <v>371</v>
      </c>
      <c r="K148" s="89" t="s">
        <v>372</v>
      </c>
      <c r="L148" s="89" t="s">
        <v>373</v>
      </c>
      <c r="M148" s="89" t="s">
        <v>374</v>
      </c>
      <c r="N148" s="89" t="s">
        <v>375</v>
      </c>
      <c r="O148" s="89" t="s">
        <v>376</v>
      </c>
      <c r="P148" s="89" t="s">
        <v>377</v>
      </c>
      <c r="Q148" s="89" t="s">
        <v>378</v>
      </c>
      <c r="R148" s="89" t="s">
        <v>379</v>
      </c>
      <c r="S148" s="89" t="s">
        <v>380</v>
      </c>
    </row>
    <row r="149" spans="1:19" x14ac:dyDescent="0.25">
      <c r="A149" s="127" t="s">
        <v>75</v>
      </c>
      <c r="B149" s="89">
        <v>186.27972967839901</v>
      </c>
      <c r="C149" s="89">
        <v>186.40884094105999</v>
      </c>
      <c r="D149" s="89">
        <v>186.203847057243</v>
      </c>
      <c r="E149" s="89">
        <v>185.971154861142</v>
      </c>
      <c r="F149" s="89">
        <v>185.462438510103</v>
      </c>
      <c r="G149" s="89">
        <v>185.08351765573499</v>
      </c>
      <c r="H149" s="89">
        <v>184.64799206993001</v>
      </c>
      <c r="I149" s="89">
        <v>182.275171166527</v>
      </c>
      <c r="J149" s="89">
        <v>181.18790585836399</v>
      </c>
      <c r="K149" s="89">
        <v>179.79640846099201</v>
      </c>
      <c r="L149" s="89">
        <v>178.60718327455101</v>
      </c>
      <c r="M149" s="89">
        <v>176.99232306061299</v>
      </c>
      <c r="N149" s="89">
        <v>176.064121770154</v>
      </c>
      <c r="O149" s="89">
        <v>175.33767721173601</v>
      </c>
      <c r="P149" s="89">
        <v>173.82104608411399</v>
      </c>
      <c r="Q149" s="89">
        <v>171.551126306584</v>
      </c>
      <c r="R149" s="89">
        <v>168.21623247768201</v>
      </c>
      <c r="S149" s="89">
        <v>165.37319564302501</v>
      </c>
    </row>
    <row r="150" spans="1:19" s="89" customFormat="1" x14ac:dyDescent="0.25">
      <c r="A150" s="129" t="s">
        <v>15</v>
      </c>
      <c r="B150" s="89" t="s">
        <v>381</v>
      </c>
      <c r="C150" s="89" t="s">
        <v>381</v>
      </c>
      <c r="D150" s="89" t="s">
        <v>381</v>
      </c>
      <c r="E150" s="89" t="s">
        <v>381</v>
      </c>
      <c r="F150" s="89" t="s">
        <v>381</v>
      </c>
      <c r="G150" s="89" t="s">
        <v>381</v>
      </c>
      <c r="H150" s="89" t="s">
        <v>381</v>
      </c>
      <c r="I150" s="89" t="s">
        <v>381</v>
      </c>
      <c r="J150" s="89" t="s">
        <v>381</v>
      </c>
      <c r="K150" s="89" t="s">
        <v>381</v>
      </c>
      <c r="L150" s="89" t="s">
        <v>381</v>
      </c>
      <c r="M150" s="89" t="s">
        <v>381</v>
      </c>
      <c r="N150" s="89" t="s">
        <v>381</v>
      </c>
      <c r="O150" s="89" t="s">
        <v>381</v>
      </c>
      <c r="P150" s="89" t="s">
        <v>381</v>
      </c>
      <c r="Q150" s="89" t="s">
        <v>381</v>
      </c>
      <c r="R150" s="89" t="s">
        <v>381</v>
      </c>
      <c r="S150" s="89" t="s">
        <v>381</v>
      </c>
    </row>
    <row r="151" spans="1:19" s="89" customFormat="1" x14ac:dyDescent="0.25">
      <c r="A151" s="129" t="s">
        <v>123</v>
      </c>
      <c r="B151" s="89" t="s">
        <v>363</v>
      </c>
      <c r="C151" s="89" t="s">
        <v>364</v>
      </c>
      <c r="D151" s="89" t="s">
        <v>365</v>
      </c>
      <c r="E151" s="89" t="s">
        <v>366</v>
      </c>
      <c r="F151" s="89" t="s">
        <v>367</v>
      </c>
      <c r="G151" s="89" t="s">
        <v>368</v>
      </c>
      <c r="H151" s="89" t="s">
        <v>369</v>
      </c>
      <c r="I151" s="89" t="s">
        <v>370</v>
      </c>
      <c r="J151" s="89" t="s">
        <v>371</v>
      </c>
      <c r="K151" s="89" t="s">
        <v>372</v>
      </c>
      <c r="L151" s="89" t="s">
        <v>373</v>
      </c>
      <c r="M151" s="89" t="s">
        <v>374</v>
      </c>
      <c r="N151" s="89" t="s">
        <v>375</v>
      </c>
      <c r="O151" s="89" t="s">
        <v>376</v>
      </c>
      <c r="P151" s="89" t="s">
        <v>377</v>
      </c>
      <c r="Q151" s="89" t="s">
        <v>378</v>
      </c>
      <c r="R151" s="89" t="s">
        <v>379</v>
      </c>
      <c r="S151" s="89" t="s">
        <v>380</v>
      </c>
    </row>
    <row r="152" spans="1:19" s="89" customFormat="1" x14ac:dyDescent="0.25">
      <c r="A152" s="129"/>
      <c r="C152" s="126"/>
      <c r="D152" s="126"/>
      <c r="E152" s="127"/>
    </row>
    <row r="153" spans="1:19" x14ac:dyDescent="0.25">
      <c r="A153" s="127" t="s">
        <v>393</v>
      </c>
      <c r="B153" s="89" t="s">
        <v>128</v>
      </c>
      <c r="C153" s="89" t="s">
        <v>30</v>
      </c>
      <c r="D153" s="89" t="s">
        <v>31</v>
      </c>
      <c r="E153" s="89" t="s">
        <v>32</v>
      </c>
      <c r="F153" s="89" t="s">
        <v>33</v>
      </c>
      <c r="G153" s="89" t="s">
        <v>34</v>
      </c>
      <c r="H153" s="89" t="s">
        <v>35</v>
      </c>
      <c r="I153" s="89" t="s">
        <v>36</v>
      </c>
      <c r="J153" s="89" t="s">
        <v>37</v>
      </c>
      <c r="K153" s="89" t="s">
        <v>38</v>
      </c>
    </row>
    <row r="154" spans="1:19" s="89" customFormat="1" x14ac:dyDescent="0.25">
      <c r="A154" s="127" t="s">
        <v>73</v>
      </c>
      <c r="B154" s="89">
        <f>Energy_Consumption_Electric_kWh[2009]*B95</f>
        <v>96.580799999999996</v>
      </c>
      <c r="C154" s="89">
        <f>Energy_Consumption_Electric_kWh[2010]*C95</f>
        <v>96.580799999999996</v>
      </c>
      <c r="D154" s="89">
        <f>Energy_Consumption_Electric_kWh[2011]*D95</f>
        <v>80.529599999999988</v>
      </c>
      <c r="E154" s="89">
        <f>Energy_Consumption_Electric_kWh[2012]*E95</f>
        <v>74.328000000000003</v>
      </c>
      <c r="F154" s="89">
        <f>Energy_Consumption_Electric_kWh[2013]*F95</f>
        <v>80.56</v>
      </c>
      <c r="G154" s="89">
        <f>Energy_Consumption_Electric_kWh[2014]*G95</f>
        <v>71.014399999999995</v>
      </c>
      <c r="H154" s="89">
        <f>Energy_Consumption_Electric_kWh[2015]*H95</f>
        <v>69.144799999999989</v>
      </c>
      <c r="I154" s="89">
        <f>Energy_Consumption_Electric_kWh[2016]*I95</f>
        <v>70.6648</v>
      </c>
      <c r="J154" s="89">
        <f>Energy_Consumption_Electric_kWh[2017]*J95</f>
        <v>73.020799999999994</v>
      </c>
      <c r="K154" s="89">
        <f>Energy_Consumption_Electric_kWh[2018]*K95</f>
        <v>66.363200000000006</v>
      </c>
    </row>
    <row r="155" spans="1:19" x14ac:dyDescent="0.25">
      <c r="A155" s="127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</row>
    <row r="156" spans="1:19" s="89" customFormat="1" x14ac:dyDescent="0.25">
      <c r="A156" s="140" t="s">
        <v>394</v>
      </c>
      <c r="B156" s="141" t="s">
        <v>128</v>
      </c>
      <c r="C156" s="141" t="s">
        <v>30</v>
      </c>
      <c r="D156" s="141" t="s">
        <v>31</v>
      </c>
      <c r="E156" s="141" t="s">
        <v>32</v>
      </c>
      <c r="F156" s="141" t="s">
        <v>33</v>
      </c>
      <c r="G156" s="141" t="s">
        <v>34</v>
      </c>
      <c r="H156" s="141" t="s">
        <v>35</v>
      </c>
      <c r="I156" s="141" t="s">
        <v>36</v>
      </c>
      <c r="J156" s="141" t="s">
        <v>37</v>
      </c>
      <c r="K156" s="142" t="s">
        <v>38</v>
      </c>
    </row>
    <row r="157" spans="1:19" s="89" customFormat="1" x14ac:dyDescent="0.25">
      <c r="A157" s="127" t="s">
        <v>73</v>
      </c>
      <c r="B157" s="127">
        <f>B95*'Irish Car Stock Model V 2.4'!J34</f>
        <v>57.948480000000004</v>
      </c>
      <c r="C157" s="127">
        <f>C95*'Irish Car Stock Model V 2.4'!K34</f>
        <v>57.948480000000004</v>
      </c>
      <c r="D157" s="127">
        <f>D95*'Irish Car Stock Model V 2.4'!L34</f>
        <v>48.31776</v>
      </c>
      <c r="E157" s="127">
        <f>E95*'Irish Car Stock Model V 2.4'!M34</f>
        <v>44.596800000000002</v>
      </c>
      <c r="F157" s="127">
        <f>F95*'Irish Car Stock Model V 2.4'!N34</f>
        <v>48.335999999999999</v>
      </c>
      <c r="G157" s="127">
        <f>G95*'Irish Car Stock Model V 2.4'!O34</f>
        <v>42.608640000000001</v>
      </c>
      <c r="H157" s="127">
        <f>H95*'Irish Car Stock Model V 2.4'!P34</f>
        <v>41.486879999999999</v>
      </c>
      <c r="I157" s="127">
        <f>I95*'Irish Car Stock Model V 2.4'!Q34</f>
        <v>42.398879999999998</v>
      </c>
      <c r="J157" s="127">
        <f>J95*'Irish Car Stock Model V 2.4'!R34</f>
        <v>43.812480000000001</v>
      </c>
      <c r="K157" s="127">
        <f>K95*'Irish Car Stock Model V 2.4'!S34</f>
        <v>39.817920000000001</v>
      </c>
    </row>
    <row r="158" spans="1:19" s="89" customFormat="1" x14ac:dyDescent="0.25">
      <c r="A158" s="127" t="s">
        <v>71</v>
      </c>
      <c r="B158" s="127">
        <f>B92*'Irish Car Stock Model V 2.4'!J33*(1+On_road_factor_diesel[2009])</f>
        <v>11.80598702729896</v>
      </c>
      <c r="C158" s="127">
        <f>C92*'Irish Car Stock Model V 2.4'!K33*(1+On_road_factor_diesel[2010])</f>
        <v>12.108704643383549</v>
      </c>
      <c r="D158" s="127">
        <f>D92*'Irish Car Stock Model V 2.4'!L33*(1+On_road_factor_diesel[2011])</f>
        <v>12.613234003524529</v>
      </c>
      <c r="E158" s="127">
        <f>E92*'Irish Car Stock Model V 2.4'!M33*(1+On_road_factor_diesel[2012])</f>
        <v>12.815045747580921</v>
      </c>
      <c r="F158" s="127">
        <f>F92*'Irish Car Stock Model V 2.4'!N33*(1+On_road_factor_diesel[2013])</f>
        <v>13.420480979750099</v>
      </c>
      <c r="G158" s="127">
        <f>G92*'Irish Car Stock Model V 2.4'!O33*(1+On_road_factor_diesel[2014])</f>
        <v>14.025916211919277</v>
      </c>
      <c r="H158" s="127">
        <f>H92*'Irish Car Stock Model V 2.4'!P33*(1+On_road_factor_diesel[2015])</f>
        <v>14.227727955975668</v>
      </c>
      <c r="I158" s="127">
        <f>I92*'Irish Car Stock Model V 2.4'!Q33*(1+On_road_factor_diesel[2016])</f>
        <v>14.328633828003865</v>
      </c>
      <c r="J158" s="127">
        <f>J92*'Irish Car Stock Model V 2.4'!R33*(1+On_road_factor_diesel[2017])</f>
        <v>14.328633828003865</v>
      </c>
      <c r="K158" s="127">
        <f>K92*'Irish Car Stock Model V 2.4'!S33*(1+On_road_factor_diesel[2018])</f>
        <v>14.328633828003865</v>
      </c>
    </row>
    <row r="159" spans="1:19" x14ac:dyDescent="0.25">
      <c r="A159" s="127" t="s">
        <v>4</v>
      </c>
      <c r="B159" s="127">
        <f>SUBTOTAL(109,Carbon_Intensity_Plug_in_Hybrids[2009])</f>
        <v>69.754467027298958</v>
      </c>
      <c r="C159" s="127">
        <f>SUBTOTAL(109,Carbon_Intensity_Plug_in_Hybrids[2010])</f>
        <v>70.05718464338355</v>
      </c>
      <c r="D159" s="127">
        <f>SUBTOTAL(109,Carbon_Intensity_Plug_in_Hybrids[2011])</f>
        <v>60.930994003524532</v>
      </c>
      <c r="E159" s="127">
        <f>SUBTOTAL(109,Carbon_Intensity_Plug_in_Hybrids[2012])</f>
        <v>57.411845747580927</v>
      </c>
      <c r="F159" s="127">
        <f>SUBTOTAL(109,Carbon_Intensity_Plug_in_Hybrids[2013])</f>
        <v>61.756480979750094</v>
      </c>
      <c r="G159" s="127">
        <f>SUBTOTAL(109,Carbon_Intensity_Plug_in_Hybrids[2014])</f>
        <v>56.634556211919275</v>
      </c>
      <c r="H159" s="127">
        <f>SUBTOTAL(109,Carbon_Intensity_Plug_in_Hybrids[2015])</f>
        <v>55.714607955975666</v>
      </c>
      <c r="I159" s="127">
        <f>SUBTOTAL(109,Carbon_Intensity_Plug_in_Hybrids[2016])</f>
        <v>56.727513828003865</v>
      </c>
      <c r="J159" s="127">
        <f>SUBTOTAL(109,Carbon_Intensity_Plug_in_Hybrids[2017])</f>
        <v>58.141113828003867</v>
      </c>
      <c r="K159" s="127">
        <f>SUBTOTAL(109,Carbon_Intensity_Plug_in_Hybrids[2018])</f>
        <v>54.146553828003867</v>
      </c>
      <c r="L159" s="89"/>
      <c r="M159" s="89"/>
      <c r="N159" s="89"/>
      <c r="O159" s="89"/>
      <c r="P159" s="89"/>
      <c r="Q159" s="89"/>
      <c r="R159" s="89"/>
    </row>
    <row r="160" spans="1:19" x14ac:dyDescent="0.25">
      <c r="A160" s="127"/>
      <c r="B160" s="89"/>
      <c r="C160" s="126"/>
      <c r="D160" s="126"/>
      <c r="E160" s="127"/>
      <c r="F160" s="89"/>
      <c r="G160" s="89"/>
      <c r="H160" s="89"/>
      <c r="I160" s="89"/>
      <c r="J160" s="89"/>
      <c r="K160" s="89"/>
    </row>
    <row r="161" spans="1:19" x14ac:dyDescent="0.25">
      <c r="A161" s="140" t="s">
        <v>392</v>
      </c>
      <c r="B161" s="141" t="s">
        <v>128</v>
      </c>
      <c r="C161" s="141" t="s">
        <v>30</v>
      </c>
      <c r="D161" s="141" t="s">
        <v>31</v>
      </c>
      <c r="E161" s="141" t="s">
        <v>32</v>
      </c>
      <c r="F161" s="141" t="s">
        <v>33</v>
      </c>
      <c r="G161" s="141" t="s">
        <v>34</v>
      </c>
      <c r="H161" s="141" t="s">
        <v>35</v>
      </c>
      <c r="I161" s="141" t="s">
        <v>36</v>
      </c>
      <c r="J161" s="141" t="s">
        <v>37</v>
      </c>
      <c r="K161" s="142" t="s">
        <v>38</v>
      </c>
    </row>
    <row r="162" spans="1:19" x14ac:dyDescent="0.25">
      <c r="A162" s="127" t="s">
        <v>73</v>
      </c>
      <c r="B162">
        <f>B95*'Irish Car Stock Model V 2.4'!J39</f>
        <v>38.63232</v>
      </c>
      <c r="C162" s="89">
        <f>C95*'Irish Car Stock Model V 2.4'!K39</f>
        <v>38.63232</v>
      </c>
      <c r="D162" s="89">
        <f>D95*'Irish Car Stock Model V 2.4'!L39</f>
        <v>32.211840000000002</v>
      </c>
      <c r="E162" s="89">
        <f>E95*'Irish Car Stock Model V 2.4'!M39</f>
        <v>29.731200000000005</v>
      </c>
      <c r="F162" s="89">
        <f>F95*'Irish Car Stock Model V 2.4'!N39</f>
        <v>32.224000000000004</v>
      </c>
      <c r="G162" s="89">
        <f>G95*'Irish Car Stock Model V 2.4'!O39</f>
        <v>28.405760000000001</v>
      </c>
      <c r="H162" s="89">
        <f>H95*'Irish Car Stock Model V 2.4'!P39</f>
        <v>27.657920000000001</v>
      </c>
      <c r="I162" s="89">
        <f>I95*'Irish Car Stock Model V 2.4'!Q39</f>
        <v>28.265920000000001</v>
      </c>
      <c r="J162" s="89">
        <f>J95*'Irish Car Stock Model V 2.4'!R39</f>
        <v>29.208320000000001</v>
      </c>
      <c r="K162" s="89">
        <f>K95*'Irish Car Stock Model V 2.4'!S39</f>
        <v>26.545280000000005</v>
      </c>
    </row>
    <row r="163" spans="1:19" x14ac:dyDescent="0.25">
      <c r="A163" s="127" t="s">
        <v>71</v>
      </c>
      <c r="B163">
        <f>B92*'Irish Car Stock Model V 2.4'!J38*(1+On_road_factor_diesel[2009])</f>
        <v>21.055224462902171</v>
      </c>
      <c r="C163" s="89">
        <f>C92*'Irish Car Stock Model V 2.4'!K38*(1+On_road_factor_diesel[2010])</f>
        <v>21.8691823201729</v>
      </c>
      <c r="D163" s="89">
        <f>D92*'Irish Car Stock Model V 2.4'!L38*(1+On_road_factor_diesel[2011])</f>
        <v>20.675868606186974</v>
      </c>
      <c r="E163" s="89">
        <f>E92*'Irish Car Stock Model V 2.4'!M38*(1+On_road_factor_diesel[2012])</f>
        <v>20.679486150300679</v>
      </c>
      <c r="F163" s="89">
        <f>F92*'Irish Car Stock Model V 2.4'!N38*(1+On_road_factor_diesel[2013])</f>
        <v>20.814248344013411</v>
      </c>
      <c r="G163" s="89">
        <f>G92*'Irish Car Stock Model V 2.4'!O38*(1+On_road_factor_diesel[2014])</f>
        <v>19.870487421945587</v>
      </c>
      <c r="H163" s="89">
        <f>H92*'Irish Car Stock Model V 2.4'!P38*(1+On_road_factor_diesel[2015])</f>
        <v>17.852516198909658</v>
      </c>
      <c r="I163" s="89">
        <f>I92*'Irish Car Stock Model V 2.4'!Q38*(1+On_road_factor_diesel[2016])</f>
        <v>18.916067187169809</v>
      </c>
      <c r="J163" s="89">
        <f>J92*'Irish Car Stock Model V 2.4'!R38*(1+On_road_factor_diesel[2017])</f>
        <v>18.916067187169809</v>
      </c>
      <c r="K163" s="89">
        <f>K92*'Irish Car Stock Model V 2.4'!S38*(1+On_road_factor_diesel[2018])</f>
        <v>18.916067187169819</v>
      </c>
    </row>
    <row r="164" spans="1:19" s="89" customFormat="1" x14ac:dyDescent="0.25">
      <c r="A164" s="127" t="s">
        <v>4</v>
      </c>
      <c r="B164" s="89">
        <f>SUBTOTAL(109,Carbon_Intensity_Hybrids[2009])</f>
        <v>59.687544462902167</v>
      </c>
      <c r="C164" s="89">
        <f>SUBTOTAL(109,Carbon_Intensity_Hybrids[2010])</f>
        <v>60.501502320172904</v>
      </c>
      <c r="D164" s="89">
        <f>SUBTOTAL(109,Carbon_Intensity_Hybrids[2011])</f>
        <v>52.887708606186976</v>
      </c>
      <c r="E164" s="89">
        <f>SUBTOTAL(109,Carbon_Intensity_Hybrids[2012])</f>
        <v>50.410686150300684</v>
      </c>
      <c r="F164" s="89">
        <f>SUBTOTAL(109,Carbon_Intensity_Hybrids[2013])</f>
        <v>53.038248344013411</v>
      </c>
      <c r="G164" s="89">
        <f>SUBTOTAL(109,Carbon_Intensity_Hybrids[2014])</f>
        <v>48.276247421945584</v>
      </c>
      <c r="H164" s="89">
        <f>SUBTOTAL(109,Carbon_Intensity_Hybrids[2015])</f>
        <v>45.510436198909659</v>
      </c>
      <c r="I164" s="89">
        <f>SUBTOTAL(109,Carbon_Intensity_Hybrids[2016])</f>
        <v>47.18198718716981</v>
      </c>
      <c r="J164" s="89">
        <f>SUBTOTAL(109,Carbon_Intensity_Hybrids[2017])</f>
        <v>48.124387187169809</v>
      </c>
      <c r="K164" s="89">
        <f>SUBTOTAL(109,Carbon_Intensity_Hybrids[2018])</f>
        <v>45.461347187169821</v>
      </c>
    </row>
    <row r="165" spans="1:19" x14ac:dyDescent="0.25">
      <c r="A165" s="127"/>
      <c r="B165" s="89"/>
      <c r="C165" s="89"/>
      <c r="D165" s="89"/>
      <c r="E165" s="89"/>
      <c r="F165" s="89"/>
      <c r="G165" s="89"/>
      <c r="H165" s="89"/>
      <c r="I165" s="89"/>
      <c r="J165" s="89"/>
      <c r="K165" s="89"/>
    </row>
    <row r="166" spans="1:19" x14ac:dyDescent="0.25">
      <c r="A166" s="127" t="s">
        <v>409</v>
      </c>
      <c r="B166" s="52" t="s">
        <v>128</v>
      </c>
      <c r="C166" s="52" t="s">
        <v>30</v>
      </c>
      <c r="D166" s="52" t="s">
        <v>31</v>
      </c>
      <c r="E166" s="52" t="s">
        <v>32</v>
      </c>
      <c r="F166" s="52" t="s">
        <v>33</v>
      </c>
      <c r="G166" s="52" t="s">
        <v>34</v>
      </c>
      <c r="H166" s="52" t="s">
        <v>35</v>
      </c>
      <c r="I166" s="52" t="s">
        <v>36</v>
      </c>
      <c r="J166" s="52" t="s">
        <v>37</v>
      </c>
      <c r="K166" s="53" t="s">
        <v>38</v>
      </c>
    </row>
    <row r="167" spans="1:19" x14ac:dyDescent="0.25">
      <c r="A167" s="127" t="s">
        <v>71</v>
      </c>
      <c r="B167" s="89">
        <f>B146/Private_Vehicle_Occupancy_from_TIMES[2009]</f>
        <v>120.36923980291745</v>
      </c>
      <c r="C167" s="89">
        <f>C146/Private_Vehicle_Occupancy_from_TIMES[2010]</f>
        <v>120.85393473053892</v>
      </c>
      <c r="D167" s="89">
        <f>D146/Private_Vehicle_Occupancy_from_TIMES[2011]</f>
        <v>122.39199063795034</v>
      </c>
      <c r="E167" s="89">
        <f>E146/Private_Vehicle_Occupancy_from_TIMES[2012]</f>
        <v>122.69272369370873</v>
      </c>
      <c r="F167" s="89">
        <f>F146/Private_Vehicle_Occupancy_from_TIMES[2013]</f>
        <v>121.88746457728054</v>
      </c>
      <c r="G167" s="89">
        <f>G146/Private_Vehicle_Occupancy_from_TIMES[2014]</f>
        <v>124.62883418383154</v>
      </c>
      <c r="H167" s="89">
        <f>H146/Private_Vehicle_Occupancy_from_TIMES[2015]</f>
        <v>125.18880280260738</v>
      </c>
      <c r="I167" s="89">
        <f>I146/Private_Vehicle_Occupancy_from_TIMES[2016]</f>
        <v>123.90473187717517</v>
      </c>
      <c r="J167" s="89">
        <f>J146/Private_Vehicle_Occupancy_from_TIMES[2017]</f>
        <v>122.39013937994162</v>
      </c>
      <c r="K167" s="89">
        <f>K146/Private_Vehicle_Occupancy_from_TIMES[2018]</f>
        <v>120.42919485982483</v>
      </c>
    </row>
    <row r="168" spans="1:19" x14ac:dyDescent="0.25">
      <c r="A168" s="89" t="s">
        <v>75</v>
      </c>
      <c r="B168" s="89">
        <f>B149/Private_Vehicle_Occupancy_from_TIMES[2010]</f>
        <v>125.01995280429463</v>
      </c>
      <c r="C168" s="89">
        <f>C149/Private_Vehicle_Occupancy_from_TIMES[2011]</f>
        <v>125.10660465842953</v>
      </c>
      <c r="D168" s="89">
        <f>D149/Private_Vehicle_Occupancy_from_TIMES[2012]</f>
        <v>124.96902487063288</v>
      </c>
      <c r="E168" s="89">
        <f>E149/Private_Vehicle_Occupancy_from_TIMES[2013]</f>
        <v>124.8128556115047</v>
      </c>
      <c r="F168" s="89">
        <f>F149/Private_Vehicle_Occupancy_from_TIMES[2014]</f>
        <v>124.47143524167987</v>
      </c>
      <c r="G168" s="89">
        <f>G149/Private_Vehicle_Occupancy_from_TIMES[2015]</f>
        <v>124.21712594344631</v>
      </c>
      <c r="H168" s="89">
        <f>H149/Private_Vehicle_Occupancy_from_TIMES[2016]</f>
        <v>123.92482689257048</v>
      </c>
      <c r="I168" s="89">
        <f>I149/Private_Vehicle_Occupancy_from_TIMES[2017]</f>
        <v>122.33232964196444</v>
      </c>
      <c r="J168" s="89">
        <f>J149/Private_Vehicle_Occupancy_from_TIMES[2018]</f>
        <v>121.60262138145234</v>
      </c>
      <c r="K168" s="89">
        <f>K149/Private_Vehicle_Occupancy_from_TIMES[2019]</f>
        <v>120.6687305107329</v>
      </c>
    </row>
    <row r="169" spans="1:19" x14ac:dyDescent="0.25">
      <c r="A169" s="89" t="s">
        <v>352</v>
      </c>
      <c r="B169" s="89">
        <f>Carbon_Intensity_Electric_Vehicles[2009]/Private_Vehicle_Occupancy_from_TIMES[2009]</f>
        <v>64.819328859060406</v>
      </c>
      <c r="C169" s="89">
        <f>Carbon_Intensity_Electric_Vehicles[2010]/Private_Vehicle_Occupancy_from_TIMES[2010]</f>
        <v>64.819328859060406</v>
      </c>
      <c r="D169" s="89">
        <f>Carbon_Intensity_Electric_Vehicles[2011]/Private_Vehicle_Occupancy_from_TIMES[2011]</f>
        <v>54.046711409395968</v>
      </c>
      <c r="E169" s="89">
        <f>Carbon_Intensity_Electric_Vehicles[2012]/Private_Vehicle_Occupancy_from_TIMES[2012]</f>
        <v>49.884563758389262</v>
      </c>
      <c r="F169" s="89">
        <f>Carbon_Intensity_Electric_Vehicles[2013]/Private_Vehicle_Occupancy_from_TIMES[2013]</f>
        <v>54.067114093959731</v>
      </c>
      <c r="G169" s="89">
        <f>Carbon_Intensity_Electric_Vehicles[2014]/Private_Vehicle_Occupancy_from_TIMES[2014]</f>
        <v>47.660671140939591</v>
      </c>
      <c r="H169" s="89">
        <f>Carbon_Intensity_Electric_Vehicles[2015]/Private_Vehicle_Occupancy_from_TIMES[2015]</f>
        <v>46.405906040268448</v>
      </c>
      <c r="I169" s="89">
        <f>Carbon_Intensity_Electric_Vehicles[2016]/Private_Vehicle_Occupancy_from_TIMES[2016]</f>
        <v>47.426040268456376</v>
      </c>
      <c r="J169" s="89">
        <f>Carbon_Intensity_Electric_Vehicles[2017]/Private_Vehicle_Occupancy_from_TIMES[2017]</f>
        <v>49.007248322147646</v>
      </c>
      <c r="K169" s="89">
        <f>Carbon_Intensity_Electric_Vehicles[2018]/Private_Vehicle_Occupancy_from_TIMES[2018]</f>
        <v>44.539060402684569</v>
      </c>
    </row>
    <row r="170" spans="1:19" x14ac:dyDescent="0.25">
      <c r="A170" s="89" t="s">
        <v>19</v>
      </c>
      <c r="B170">
        <f>B159/Private_Vehicle_Occupancy_from_TIMES[2009]</f>
        <v>46.815078541811381</v>
      </c>
      <c r="C170" s="89">
        <f>C159/Private_Vehicle_Occupancy_from_TIMES[2010]</f>
        <v>47.018244727103053</v>
      </c>
      <c r="D170" s="89">
        <f>D159/Private_Vehicle_Occupancy_from_TIMES[2011]</f>
        <v>40.893284566123846</v>
      </c>
      <c r="E170" s="89">
        <f>E159/Private_Vehicle_Occupancy_from_TIMES[2012]</f>
        <v>38.5314400990476</v>
      </c>
      <c r="F170" s="89">
        <f>F159/Private_Vehicle_Occupancy_from_TIMES[2013]</f>
        <v>41.447302670973215</v>
      </c>
      <c r="G170" s="89">
        <f>G159/Private_Vehicle_Occupancy_from_TIMES[2014]</f>
        <v>38.009769269744481</v>
      </c>
      <c r="H170" s="89">
        <f>H159/Private_Vehicle_Occupancy_from_TIMES[2015]</f>
        <v>37.392354332869573</v>
      </c>
      <c r="I170" s="89">
        <f>I159/Private_Vehicle_Occupancy_from_TIMES[2016]</f>
        <v>38.072156931546218</v>
      </c>
      <c r="J170" s="89">
        <f>J159/Private_Vehicle_Occupancy_from_TIMES[2017]</f>
        <v>39.020881763760983</v>
      </c>
      <c r="K170" s="89">
        <f>K159/Private_Vehicle_Occupancy_from_TIMES[2018]</f>
        <v>36.339969012083131</v>
      </c>
    </row>
    <row r="171" spans="1:19" x14ac:dyDescent="0.25">
      <c r="A171" s="89" t="s">
        <v>18</v>
      </c>
      <c r="B171">
        <f>Carbon_Intensity_Hybrids[[#Totals],[2009]]/Private_Vehicle_Occupancy_from_TIMES[2009]</f>
        <v>40.0587546730887</v>
      </c>
      <c r="C171" s="89">
        <f>Carbon_Intensity_Hybrids[[#Totals],[2010]]/Private_Vehicle_Occupancy_from_TIMES[2010]</f>
        <v>40.605035114210004</v>
      </c>
      <c r="D171" s="89">
        <f>Carbon_Intensity_Hybrids[[#Totals],[2011]]/Private_Vehicle_Occupancy_from_TIMES[2011]</f>
        <v>35.49510644710535</v>
      </c>
      <c r="E171" s="89">
        <f>Carbon_Intensity_Hybrids[[#Totals],[2012]]/Private_Vehicle_Occupancy_from_TIMES[2012]</f>
        <v>33.832675268658178</v>
      </c>
      <c r="F171" s="89">
        <f>Carbon_Intensity_Hybrids[[#Totals],[2013]]/Private_Vehicle_Occupancy_from_TIMES[2013]</f>
        <v>35.596139828196918</v>
      </c>
      <c r="G171" s="89">
        <f>Carbon_Intensity_Hybrids[[#Totals],[2014]]/Private_Vehicle_Occupancy_from_TIMES[2014]</f>
        <v>32.400166054997037</v>
      </c>
      <c r="H171" s="89">
        <f>Carbon_Intensity_Hybrids[[#Totals],[2015]]/Private_Vehicle_Occupancy_from_TIMES[2015]</f>
        <v>30.543916912019906</v>
      </c>
      <c r="I171" s="89">
        <f>Carbon_Intensity_Hybrids[[#Totals],[2016]]/Private_Vehicle_Occupancy_from_TIMES[2016]</f>
        <v>31.665763212865645</v>
      </c>
      <c r="J171" s="89">
        <f>Carbon_Intensity_Hybrids[[#Totals],[2017]]/Private_Vehicle_Occupancy_from_TIMES[2017]</f>
        <v>32.298246434342154</v>
      </c>
      <c r="K171" s="89">
        <f>Carbon_Intensity_Hybrids[[#Totals],[2018]]/Private_Vehicle_Occupancy_from_TIMES[2018]</f>
        <v>30.510971266556925</v>
      </c>
    </row>
    <row r="172" spans="1:19" x14ac:dyDescent="0.25">
      <c r="A172" s="89"/>
      <c r="B172" s="89"/>
      <c r="C172" s="89"/>
      <c r="D172" s="89"/>
      <c r="E172" s="89"/>
      <c r="F172" s="89"/>
      <c r="G172" s="89"/>
      <c r="H172" s="89"/>
      <c r="I172" s="89"/>
    </row>
    <row r="173" spans="1:19" x14ac:dyDescent="0.25">
      <c r="A173" s="89" t="s">
        <v>408</v>
      </c>
      <c r="B173" s="52" t="s">
        <v>128</v>
      </c>
      <c r="C173" s="52" t="s">
        <v>30</v>
      </c>
      <c r="D173" s="52" t="s">
        <v>31</v>
      </c>
      <c r="E173" s="52" t="s">
        <v>32</v>
      </c>
      <c r="F173" s="52" t="s">
        <v>33</v>
      </c>
      <c r="G173" s="52" t="s">
        <v>34</v>
      </c>
      <c r="H173" s="52" t="s">
        <v>35</v>
      </c>
      <c r="I173" s="52" t="s">
        <v>36</v>
      </c>
      <c r="J173" s="52" t="s">
        <v>37</v>
      </c>
      <c r="K173" s="53" t="s">
        <v>38</v>
      </c>
      <c r="M173" s="89"/>
      <c r="N173" s="89"/>
      <c r="O173" s="89"/>
      <c r="P173" s="89"/>
      <c r="Q173" s="89"/>
      <c r="R173" s="89"/>
      <c r="S173" s="89"/>
    </row>
    <row r="174" spans="1:19" x14ac:dyDescent="0.25">
      <c r="A174" s="85" t="s">
        <v>71</v>
      </c>
      <c r="B174" s="89">
        <f t="shared" ref="B174:K174" si="27">B167/B92</f>
        <v>0.45611686170108928</v>
      </c>
      <c r="C174" s="89">
        <f t="shared" si="27"/>
        <v>0.45795352304107212</v>
      </c>
      <c r="D174" s="89">
        <f t="shared" si="27"/>
        <v>0.46378170003012636</v>
      </c>
      <c r="E174" s="89">
        <f t="shared" si="27"/>
        <v>0.46492127204891526</v>
      </c>
      <c r="F174" s="89">
        <f t="shared" si="27"/>
        <v>0.46186989229738745</v>
      </c>
      <c r="G174" s="89">
        <f t="shared" si="27"/>
        <v>0.47225780289439773</v>
      </c>
      <c r="H174" s="89">
        <f t="shared" si="27"/>
        <v>0.47437969989620082</v>
      </c>
      <c r="I174" s="89">
        <f t="shared" si="27"/>
        <v>0.46951395178922006</v>
      </c>
      <c r="J174" s="89">
        <f t="shared" si="27"/>
        <v>0.46377468503198799</v>
      </c>
      <c r="K174" s="89">
        <f t="shared" si="27"/>
        <v>0.45634405024564167</v>
      </c>
      <c r="M174" s="89"/>
      <c r="N174" s="89"/>
      <c r="O174" s="89"/>
      <c r="P174" s="89"/>
      <c r="Q174" s="89"/>
      <c r="R174" s="89"/>
      <c r="S174" s="89"/>
    </row>
    <row r="175" spans="1:19" x14ac:dyDescent="0.25">
      <c r="A175" s="82" t="s">
        <v>75</v>
      </c>
      <c r="B175" s="89">
        <f>B168/B98</f>
        <v>0.49630787139457971</v>
      </c>
      <c r="C175" s="89">
        <f t="shared" ref="C175:K175" si="28">C168/C98</f>
        <v>0.49665186446379328</v>
      </c>
      <c r="D175" s="89">
        <f t="shared" si="28"/>
        <v>0.49610569619147626</v>
      </c>
      <c r="E175" s="89">
        <f t="shared" si="28"/>
        <v>0.49548573089124531</v>
      </c>
      <c r="F175" s="89">
        <f t="shared" si="28"/>
        <v>0.494130350304406</v>
      </c>
      <c r="G175" s="89">
        <f t="shared" si="28"/>
        <v>0.49312078580169233</v>
      </c>
      <c r="H175" s="89">
        <f t="shared" si="28"/>
        <v>0.49196040846594075</v>
      </c>
      <c r="I175" s="89">
        <f t="shared" si="28"/>
        <v>0.48563846622455115</v>
      </c>
      <c r="J175" s="89">
        <f t="shared" si="28"/>
        <v>0.48274164899345906</v>
      </c>
      <c r="K175" s="89">
        <f t="shared" si="28"/>
        <v>0.47903426165435847</v>
      </c>
      <c r="M175" s="89"/>
      <c r="N175" s="89"/>
      <c r="O175" s="89"/>
      <c r="P175" s="89"/>
      <c r="Q175" s="89"/>
      <c r="R175" s="89"/>
      <c r="S175" s="89"/>
    </row>
    <row r="176" spans="1:19" x14ac:dyDescent="0.25">
      <c r="A176" s="85" t="s">
        <v>352</v>
      </c>
      <c r="B176" s="89">
        <f>Energy_Consumption_Electric_kWh[[#Totals],[2009]]/Private_Vehicle_Occupancy_from_TIMES[2009]</f>
        <v>0.10201342281879194</v>
      </c>
      <c r="C176" s="89">
        <f>Energy_Consumption_Electric_kWh[[#Totals],[2010]]/Private_Vehicle_Occupancy_from_TIMES[2010]</f>
        <v>0.10201342281879194</v>
      </c>
      <c r="D176" s="89">
        <f>Energy_Consumption_Electric_kWh[[#Totals],[2011]]/Private_Vehicle_Occupancy_from_TIMES[2011]</f>
        <v>0.10201342281879194</v>
      </c>
      <c r="E176" s="89">
        <f>Energy_Consumption_Electric_kWh[[#Totals],[2012]]/Private_Vehicle_Occupancy_from_TIMES[2012]</f>
        <v>0.10201342281879194</v>
      </c>
      <c r="F176" s="89">
        <f>Energy_Consumption_Electric_kWh[[#Totals],[2013]]/Private_Vehicle_Occupancy_from_TIMES[2013]</f>
        <v>0.10201342281879194</v>
      </c>
      <c r="G176" s="89">
        <f>Energy_Consumption_Electric_kWh[[#Totals],[2014]]/Private_Vehicle_Occupancy_from_TIMES[2014]</f>
        <v>0.10201342281879194</v>
      </c>
      <c r="H176" s="89">
        <f>Energy_Consumption_Electric_kWh[[#Totals],[2015]]/Private_Vehicle_Occupancy_from_TIMES[2015]</f>
        <v>0.10201342281879194</v>
      </c>
      <c r="I176" s="89">
        <f>Energy_Consumption_Electric_kWh[[#Totals],[2016]]/Private_Vehicle_Occupancy_from_TIMES[2016]</f>
        <v>0.10201342281879194</v>
      </c>
      <c r="J176" s="89">
        <f>Energy_Consumption_Electric_kWh[[#Totals],[2017]]/Private_Vehicle_Occupancy_from_TIMES[2017]</f>
        <v>0.10201342281879194</v>
      </c>
      <c r="K176" s="89">
        <f>Energy_Consumption_Electric_kWh[[#Totals],[2018]]/Private_Vehicle_Occupancy_from_TIMES[2018]</f>
        <v>0.10201342281879194</v>
      </c>
      <c r="M176" s="89"/>
      <c r="N176" s="89"/>
      <c r="O176" s="89"/>
      <c r="P176" s="89"/>
      <c r="Q176" s="89"/>
      <c r="R176" s="89"/>
      <c r="S176" s="89"/>
    </row>
    <row r="177" spans="1:19" x14ac:dyDescent="0.25">
      <c r="A177" s="82" t="s">
        <v>19</v>
      </c>
      <c r="B177" s="89">
        <f>Energy_Consumption_Plug_in_hybrid_kWh[[#Totals],[2001]]/Private_Vehicle_Occupancy_from_TIMES[2009]</f>
        <v>8.6870070274787839E-2</v>
      </c>
      <c r="C177" s="89">
        <f>Energy_Consumption_Plug_in_hybrid_kWh[[#Totals],[2002]]/Private_Vehicle_Occupancy_from_TIMES[2010]</f>
        <v>8.6870070274787894E-2</v>
      </c>
      <c r="D177" s="89">
        <f>Energy_Consumption_Plug_in_hybrid_kWh[[#Totals],[2003]]/Private_Vehicle_Occupancy_from_TIMES[2011]</f>
        <v>8.6870070274787894E-2</v>
      </c>
      <c r="E177" s="89">
        <f>Energy_Consumption_Plug_in_hybrid_kWh[[#Totals],[2004]]/Private_Vehicle_Occupancy_from_TIMES[2012]</f>
        <v>8.6870070274787894E-2</v>
      </c>
      <c r="F177" s="89">
        <f>Energy_Consumption_Plug_in_hybrid_kWh[[#Totals],[2005]]/Private_Vehicle_Occupancy_from_TIMES[2013]</f>
        <v>8.6870070274787894E-2</v>
      </c>
      <c r="G177" s="89">
        <f>Energy_Consumption_Plug_in_hybrid_kWh[[#Totals],[2006]]/Private_Vehicle_Occupancy_from_TIMES[2014]</f>
        <v>8.6870070274787894E-2</v>
      </c>
      <c r="H177" s="89">
        <f>Energy_Consumption_Plug_in_hybrid_kWh[[#Totals],[2007]]/Private_Vehicle_Occupancy_from_TIMES[2015]</f>
        <v>8.6870070274787894E-2</v>
      </c>
      <c r="I177" s="89">
        <f>Energy_Consumption_Plug_in_hybrid_kWh[[#Totals],[2008]]/Private_Vehicle_Occupancy_from_TIMES[2016]</f>
        <v>8.6870070274787894E-2</v>
      </c>
      <c r="J177" s="89">
        <f>Energy_Consumption_Plug_in_hybrid_kWh[[#Totals],[2009]]/Private_Vehicle_Occupancy_from_TIMES[2017]</f>
        <v>8.6870070274787894E-2</v>
      </c>
      <c r="K177" s="89">
        <f>Energy_Consumption_Plug_in_hybrid_kWh[[#Totals],[2010]]/Private_Vehicle_Occupancy_from_TIMES[2018]</f>
        <v>8.6870070274787894E-2</v>
      </c>
      <c r="M177" s="89"/>
      <c r="N177" s="89"/>
      <c r="O177" s="89"/>
      <c r="P177" s="89"/>
      <c r="Q177" s="89"/>
      <c r="R177" s="89"/>
      <c r="S177" s="89"/>
    </row>
    <row r="178" spans="1:19" x14ac:dyDescent="0.25">
      <c r="A178" s="85" t="s">
        <v>18</v>
      </c>
      <c r="B178" s="89">
        <f>Energy_Consumption_hybrid_kWh[[#Totals],[2009]]/Private_Vehicle_Occupancy_from_TIMES[2009]</f>
        <v>8.6571938079964286E-2</v>
      </c>
      <c r="C178" s="89">
        <f>Energy_Consumption_hybrid_kWh[[#Totals],[2010]]/Private_Vehicle_Occupancy_from_TIMES[2010]</f>
        <v>8.7152797353441516E-2</v>
      </c>
      <c r="D178" s="89">
        <f>Energy_Consumption_hybrid_kWh[[#Totals],[2011]]/Private_Vehicle_Occupancy_from_TIMES[2011]</f>
        <v>8.2871066386620881E-2</v>
      </c>
      <c r="E178" s="89">
        <f>Energy_Consumption_hybrid_kWh[[#Totals],[2012]]/Private_Vehicle_Occupancy_from_TIMES[2012]</f>
        <v>8.2215858561603516E-2</v>
      </c>
      <c r="F178" s="89">
        <f>Energy_Consumption_hybrid_kWh[[#Totals],[2013]]/Private_Vehicle_Occupancy_from_TIMES[2013]</f>
        <v>8.0605402150429384E-2</v>
      </c>
      <c r="G178" s="89">
        <f>Energy_Consumption_hybrid_kWh[[#Totals],[2014]]/Private_Vehicle_Occupancy_from_TIMES[2014]</f>
        <v>7.7160696654079333E-2</v>
      </c>
      <c r="H178" s="89">
        <f>Energy_Consumption_hybrid_kWh[[#Totals],[2015]]/Private_Vehicle_Occupancy_from_TIMES[2015]</f>
        <v>7.3005279624219335E-2</v>
      </c>
      <c r="I178" s="89">
        <f>Energy_Consumption_hybrid_kWh[[#Totals],[2016]]/Private_Vehicle_Occupancy_from_TIMES[2016]</f>
        <v>7.4683297454729652E-2</v>
      </c>
      <c r="J178" s="89">
        <f>Energy_Consumption_hybrid_kWh[[#Totals],[2017]]/Private_Vehicle_Occupancy_from_TIMES[2017]</f>
        <v>7.4683297454729652E-2</v>
      </c>
      <c r="K178" s="89">
        <f>Energy_Consumption_hybrid_kWh[[#Totals],[2018]]/Private_Vehicle_Occupancy_from_TIMES[2018]</f>
        <v>7.468329745472968E-2</v>
      </c>
      <c r="M178" s="89"/>
      <c r="N178" s="89"/>
      <c r="O178" s="89"/>
      <c r="P178" s="89"/>
      <c r="Q178" s="89"/>
      <c r="R178" s="89"/>
      <c r="S178" s="89"/>
    </row>
    <row r="179" spans="1:19" x14ac:dyDescent="0.25">
      <c r="A179" s="89"/>
      <c r="B179" s="89"/>
      <c r="C179" s="89"/>
      <c r="D179" s="89"/>
      <c r="E179" s="89"/>
      <c r="F179" s="89"/>
      <c r="G179" s="89"/>
      <c r="H179" s="89"/>
      <c r="I179" s="89"/>
      <c r="M179" s="89"/>
      <c r="N179" s="89"/>
      <c r="O179" s="89"/>
      <c r="P179" s="89"/>
      <c r="Q179" s="89"/>
      <c r="R179" s="89"/>
      <c r="S179" s="89"/>
    </row>
    <row r="180" spans="1:19" x14ac:dyDescent="0.25">
      <c r="A180" s="89"/>
      <c r="B180" s="89"/>
      <c r="C180" s="89"/>
      <c r="D180" s="89"/>
      <c r="E180" s="89"/>
      <c r="F180" s="89"/>
      <c r="G180" s="89"/>
      <c r="H180" s="89"/>
      <c r="I180" s="89"/>
      <c r="M180" s="89"/>
      <c r="N180" s="89"/>
      <c r="O180" s="89"/>
      <c r="P180" s="89"/>
      <c r="Q180" s="89"/>
      <c r="R180" s="89"/>
      <c r="S180" s="89"/>
    </row>
    <row r="181" spans="1:19" x14ac:dyDescent="0.25">
      <c r="A181" s="89"/>
      <c r="B181" s="89"/>
      <c r="C181" s="89"/>
      <c r="D181" s="89"/>
      <c r="E181" s="89"/>
      <c r="F181" s="89"/>
      <c r="G181" s="89"/>
      <c r="H181" s="89"/>
      <c r="I181" s="89"/>
      <c r="M181" s="89"/>
      <c r="N181" s="89"/>
      <c r="O181" s="89"/>
      <c r="P181" s="89"/>
      <c r="Q181" s="89"/>
      <c r="R181" s="89"/>
      <c r="S181" s="89"/>
    </row>
    <row r="182" spans="1:19" x14ac:dyDescent="0.25">
      <c r="A182" s="89"/>
      <c r="B182" s="89"/>
      <c r="C182" s="89"/>
      <c r="D182" s="89"/>
      <c r="E182" s="89"/>
      <c r="F182" s="89"/>
      <c r="G182" s="89"/>
      <c r="H182" s="89"/>
      <c r="I182" s="89"/>
      <c r="M182" s="89"/>
      <c r="N182" s="89"/>
      <c r="O182" s="89"/>
      <c r="P182" s="89"/>
      <c r="Q182" s="89"/>
      <c r="R182" s="89"/>
      <c r="S182" s="89"/>
    </row>
    <row r="183" spans="1:19" x14ac:dyDescent="0.25">
      <c r="A183" s="89"/>
      <c r="B183" s="89"/>
      <c r="C183" s="89"/>
      <c r="D183" s="89"/>
      <c r="E183" s="89"/>
      <c r="F183" s="89"/>
      <c r="G183" s="89"/>
      <c r="H183" s="89"/>
      <c r="I183" s="89"/>
      <c r="M183" s="89"/>
      <c r="N183" s="89"/>
      <c r="O183" s="89"/>
      <c r="P183" s="89"/>
      <c r="Q183" s="89"/>
      <c r="R183" s="89"/>
      <c r="S183" s="89"/>
    </row>
    <row r="184" spans="1:19" x14ac:dyDescent="0.25">
      <c r="A184" s="89"/>
      <c r="B184" s="89"/>
      <c r="C184" s="89"/>
      <c r="D184" s="89"/>
      <c r="E184" s="89"/>
      <c r="F184" s="89"/>
      <c r="G184" s="89"/>
      <c r="H184" s="89"/>
      <c r="I184" s="89"/>
      <c r="M184" s="89"/>
      <c r="N184" s="89"/>
      <c r="O184" s="89"/>
      <c r="P184" s="89"/>
      <c r="Q184" s="89"/>
      <c r="R184" s="89"/>
      <c r="S184" s="89"/>
    </row>
    <row r="185" spans="1:19" x14ac:dyDescent="0.25">
      <c r="A185" s="89"/>
      <c r="B185" s="89"/>
      <c r="C185" s="89"/>
      <c r="D185" s="89"/>
      <c r="E185" s="89"/>
      <c r="F185" s="89"/>
      <c r="G185" s="89"/>
      <c r="H185" s="89"/>
      <c r="I185" s="89"/>
      <c r="M185" s="89"/>
      <c r="N185" s="89"/>
      <c r="O185" s="89"/>
      <c r="P185" s="89"/>
      <c r="Q185" s="89"/>
      <c r="R185" s="89"/>
      <c r="S185" s="89"/>
    </row>
    <row r="186" spans="1:19" x14ac:dyDescent="0.25">
      <c r="A186" s="89"/>
      <c r="B186" s="89"/>
      <c r="C186" s="89"/>
      <c r="D186" s="89"/>
      <c r="E186" s="89"/>
      <c r="F186" s="89"/>
      <c r="G186" s="89"/>
      <c r="H186" s="89"/>
      <c r="I186" s="89"/>
      <c r="M186" s="89"/>
      <c r="N186" s="89"/>
      <c r="O186" s="89"/>
      <c r="P186" s="89"/>
      <c r="Q186" s="89"/>
      <c r="R186" s="89"/>
      <c r="S186" s="89"/>
    </row>
    <row r="187" spans="1:19" x14ac:dyDescent="0.25">
      <c r="A187" s="89"/>
      <c r="B187" s="89"/>
      <c r="C187" s="89"/>
      <c r="D187" s="89"/>
      <c r="E187" s="89"/>
      <c r="F187" s="89"/>
      <c r="G187" s="89"/>
      <c r="H187" s="89"/>
      <c r="I187" s="89"/>
      <c r="M187" s="89"/>
      <c r="N187" s="89"/>
      <c r="O187" s="89"/>
      <c r="P187" s="89"/>
      <c r="Q187" s="89"/>
      <c r="R187" s="89"/>
      <c r="S187" s="89"/>
    </row>
    <row r="188" spans="1:19" x14ac:dyDescent="0.25">
      <c r="A188" s="89"/>
      <c r="B188" s="89"/>
      <c r="C188" s="89"/>
      <c r="D188" s="89"/>
      <c r="E188" s="89"/>
      <c r="F188" s="89"/>
      <c r="G188" s="89"/>
      <c r="H188" s="89"/>
      <c r="I188" s="89"/>
      <c r="M188" s="89"/>
      <c r="N188" s="89"/>
      <c r="O188" s="89"/>
      <c r="P188" s="89"/>
      <c r="Q188" s="89"/>
      <c r="R188" s="89"/>
      <c r="S188" s="89"/>
    </row>
    <row r="189" spans="1:19" x14ac:dyDescent="0.25">
      <c r="A189" s="89"/>
      <c r="B189" s="89"/>
      <c r="C189" s="89"/>
      <c r="D189" s="89"/>
      <c r="E189" s="89"/>
      <c r="F189" s="89"/>
      <c r="G189" s="89"/>
      <c r="H189" s="89"/>
      <c r="I189" s="89"/>
      <c r="M189" s="89"/>
      <c r="N189" s="89"/>
      <c r="O189" s="89"/>
      <c r="P189" s="89"/>
      <c r="Q189" s="89"/>
      <c r="R189" s="89"/>
      <c r="S189" s="89"/>
    </row>
    <row r="190" spans="1:19" x14ac:dyDescent="0.25">
      <c r="M190" s="89"/>
      <c r="N190" s="89"/>
      <c r="O190" s="89"/>
      <c r="P190" s="89"/>
      <c r="Q190" s="89"/>
      <c r="R190" s="89"/>
      <c r="S190" s="89"/>
    </row>
    <row r="191" spans="1:19" x14ac:dyDescent="0.25">
      <c r="M191" s="89"/>
      <c r="N191" s="89"/>
      <c r="O191" s="89"/>
      <c r="P191" s="89"/>
      <c r="Q191" s="89"/>
      <c r="R191" s="89"/>
      <c r="S191" s="89"/>
    </row>
    <row r="192" spans="1:19" x14ac:dyDescent="0.25">
      <c r="M192" s="89"/>
      <c r="N192" s="89"/>
      <c r="O192" s="89"/>
      <c r="P192" s="89"/>
      <c r="Q192" s="89"/>
      <c r="R192" s="89"/>
      <c r="S192" s="89"/>
    </row>
    <row r="193" spans="1:19" x14ac:dyDescent="0.25">
      <c r="M193" s="89"/>
      <c r="N193" s="89"/>
      <c r="O193" s="89"/>
      <c r="P193" s="89"/>
      <c r="Q193" s="89"/>
      <c r="R193" s="89"/>
      <c r="S193" s="89"/>
    </row>
    <row r="194" spans="1:19" x14ac:dyDescent="0.25">
      <c r="M194" s="89"/>
      <c r="N194" s="89"/>
      <c r="O194" s="89"/>
      <c r="P194" s="89"/>
      <c r="Q194" s="89"/>
      <c r="R194" s="89"/>
      <c r="S194" s="89"/>
    </row>
    <row r="195" spans="1:19" x14ac:dyDescent="0.25">
      <c r="A195" s="89"/>
      <c r="B195" s="89"/>
      <c r="C195" s="89"/>
      <c r="D195" s="89"/>
      <c r="E195" s="89"/>
      <c r="F195" s="89"/>
      <c r="G195" s="89"/>
      <c r="M195" s="89"/>
      <c r="N195" s="89"/>
      <c r="O195" s="89"/>
      <c r="P195" s="89"/>
      <c r="Q195" s="89"/>
      <c r="R195" s="89"/>
      <c r="S195" s="89"/>
    </row>
    <row r="196" spans="1:19" x14ac:dyDescent="0.25">
      <c r="A196" s="89"/>
      <c r="B196" s="89"/>
      <c r="C196" s="89"/>
      <c r="D196" s="89"/>
      <c r="E196" s="89"/>
      <c r="F196" s="89"/>
      <c r="G196" s="89"/>
      <c r="M196" s="89"/>
      <c r="N196" s="89"/>
      <c r="O196" s="89"/>
      <c r="P196" s="89"/>
      <c r="Q196" s="89"/>
      <c r="R196" s="89"/>
      <c r="S196" s="89"/>
    </row>
    <row r="197" spans="1:19" x14ac:dyDescent="0.25">
      <c r="A197" s="89"/>
      <c r="B197" s="89"/>
      <c r="C197" s="89"/>
      <c r="D197" s="89"/>
      <c r="E197" s="89"/>
      <c r="F197" s="89"/>
      <c r="G197" s="89"/>
      <c r="M197" s="89"/>
      <c r="N197" s="89"/>
      <c r="O197" s="89"/>
      <c r="P197" s="89"/>
      <c r="Q197" s="89"/>
      <c r="R197" s="89"/>
      <c r="S197" s="89"/>
    </row>
    <row r="198" spans="1:19" x14ac:dyDescent="0.25">
      <c r="A198" s="89"/>
      <c r="B198" s="89"/>
      <c r="C198" s="89"/>
      <c r="D198" s="89"/>
      <c r="E198" s="89"/>
      <c r="F198" s="89"/>
      <c r="G198" s="89"/>
      <c r="M198" s="89"/>
      <c r="N198" s="89"/>
      <c r="O198" s="89"/>
      <c r="P198" s="89"/>
      <c r="Q198" s="89"/>
      <c r="R198" s="89"/>
      <c r="S198" s="89"/>
    </row>
    <row r="199" spans="1:19" x14ac:dyDescent="0.25">
      <c r="M199" s="89"/>
      <c r="N199" s="89"/>
      <c r="O199" s="89"/>
      <c r="P199" s="89"/>
      <c r="Q199" s="89"/>
      <c r="R199" s="89"/>
      <c r="S199" s="89"/>
    </row>
    <row r="200" spans="1:19" x14ac:dyDescent="0.25">
      <c r="A200" s="89"/>
      <c r="B200" s="89"/>
      <c r="C200" s="89"/>
      <c r="D200" s="89"/>
      <c r="E200" s="89"/>
      <c r="F200" s="89"/>
      <c r="G200" s="89"/>
    </row>
    <row r="201" spans="1:19" x14ac:dyDescent="0.25">
      <c r="A201" s="89"/>
      <c r="B201" s="89"/>
      <c r="C201" s="89"/>
      <c r="D201" s="89"/>
      <c r="E201" s="89"/>
      <c r="F201" s="89"/>
      <c r="G201" s="89"/>
    </row>
    <row r="202" spans="1:19" x14ac:dyDescent="0.25">
      <c r="A202" s="89"/>
      <c r="B202" s="89"/>
      <c r="C202" s="89"/>
      <c r="D202" s="89"/>
      <c r="E202" s="89"/>
      <c r="F202" s="89"/>
      <c r="G202" s="89"/>
    </row>
    <row r="203" spans="1:19" x14ac:dyDescent="0.25">
      <c r="A203" s="89"/>
      <c r="B203" s="89"/>
      <c r="C203" s="89"/>
      <c r="D203" s="89"/>
      <c r="E203" s="89"/>
      <c r="F203" s="89"/>
      <c r="G203" s="89"/>
    </row>
    <row r="205" spans="1:19" x14ac:dyDescent="0.25">
      <c r="A205" s="89"/>
      <c r="B205" s="89"/>
      <c r="C205" s="89"/>
      <c r="D205" s="89"/>
      <c r="E205" s="89"/>
      <c r="F205" s="89"/>
      <c r="G205" s="89"/>
      <c r="H205" s="89"/>
    </row>
    <row r="206" spans="1:19" x14ac:dyDescent="0.25">
      <c r="A206" s="89"/>
      <c r="B206" s="89"/>
      <c r="C206" s="89"/>
      <c r="D206" s="89"/>
      <c r="E206" s="89"/>
      <c r="F206" s="89"/>
      <c r="G206" s="89"/>
      <c r="H206" s="89"/>
    </row>
    <row r="207" spans="1:19" x14ac:dyDescent="0.25">
      <c r="A207" s="89"/>
      <c r="B207" s="89"/>
      <c r="C207" s="89"/>
      <c r="D207" s="89"/>
      <c r="E207" s="89"/>
      <c r="F207" s="89"/>
      <c r="G207" s="89"/>
      <c r="H207" s="89"/>
    </row>
    <row r="208" spans="1:19" x14ac:dyDescent="0.25">
      <c r="A208" s="89"/>
      <c r="B208" s="89"/>
      <c r="C208" s="89"/>
      <c r="D208" s="89"/>
      <c r="E208" s="89"/>
      <c r="F208" s="89"/>
      <c r="G208" s="89"/>
      <c r="H208" s="89"/>
    </row>
    <row r="209" spans="1:19" x14ac:dyDescent="0.25">
      <c r="A209" s="89"/>
      <c r="B209" s="89"/>
      <c r="C209" s="89"/>
      <c r="D209" s="89"/>
      <c r="E209" s="89"/>
      <c r="F209" s="89"/>
      <c r="G209" s="89"/>
      <c r="H209" s="89"/>
    </row>
    <row r="210" spans="1:19" x14ac:dyDescent="0.25">
      <c r="A210" s="89"/>
      <c r="B210" s="89"/>
      <c r="C210" s="89"/>
      <c r="D210" s="89"/>
      <c r="E210" s="89"/>
      <c r="F210" s="89"/>
      <c r="G210" s="89"/>
      <c r="H210" s="89"/>
    </row>
    <row r="211" spans="1:19" x14ac:dyDescent="0.25">
      <c r="A211" s="89"/>
      <c r="B211" s="89"/>
      <c r="C211" s="89"/>
      <c r="D211" s="89"/>
      <c r="E211" s="89"/>
      <c r="F211" s="89"/>
      <c r="G211" s="89"/>
      <c r="H211" s="89"/>
    </row>
    <row r="212" spans="1:19" x14ac:dyDescent="0.25">
      <c r="A212" s="89"/>
      <c r="B212" s="89"/>
      <c r="C212" s="89"/>
      <c r="D212" s="89"/>
      <c r="E212" s="89"/>
      <c r="F212" s="89"/>
      <c r="G212" s="89"/>
      <c r="H212" s="89"/>
    </row>
    <row r="213" spans="1:19" x14ac:dyDescent="0.25">
      <c r="A213" s="89"/>
      <c r="B213" s="89"/>
      <c r="C213" s="89"/>
      <c r="D213" s="89"/>
      <c r="E213" s="89"/>
      <c r="F213" s="89"/>
      <c r="G213" s="89"/>
      <c r="H213" s="89"/>
    </row>
    <row r="214" spans="1:19" x14ac:dyDescent="0.25">
      <c r="A214" s="89"/>
      <c r="B214" s="89"/>
      <c r="C214" s="89"/>
      <c r="D214" s="89"/>
      <c r="E214" s="89"/>
      <c r="F214" s="89"/>
      <c r="G214" s="89"/>
      <c r="H214" s="89"/>
    </row>
    <row r="215" spans="1:19" x14ac:dyDescent="0.25">
      <c r="A215" s="89"/>
      <c r="B215" s="89"/>
      <c r="C215" s="89"/>
      <c r="D215" s="89"/>
      <c r="E215" s="89"/>
      <c r="F215" s="89"/>
      <c r="G215" s="89"/>
      <c r="H215" s="89"/>
    </row>
    <row r="216" spans="1:19" x14ac:dyDescent="0.25">
      <c r="A216" s="89"/>
      <c r="B216" s="89"/>
      <c r="C216" s="89"/>
      <c r="D216" s="89"/>
      <c r="E216" s="89"/>
      <c r="F216" s="89"/>
      <c r="G216" s="89"/>
      <c r="H216" s="89"/>
    </row>
    <row r="218" spans="1:19" x14ac:dyDescent="0.25">
      <c r="M218" s="26"/>
    </row>
    <row r="219" spans="1:19" x14ac:dyDescent="0.25">
      <c r="L219" s="26"/>
    </row>
    <row r="220" spans="1:19" x14ac:dyDescent="0.25">
      <c r="A220" s="89"/>
      <c r="B220" s="89"/>
      <c r="C220" s="89"/>
      <c r="D220" s="89"/>
      <c r="E220" s="89"/>
      <c r="F220" s="89"/>
      <c r="G220" s="89"/>
      <c r="H220" s="89"/>
      <c r="I220" s="89"/>
      <c r="M220" s="89"/>
      <c r="N220" s="89"/>
      <c r="O220" s="89"/>
      <c r="P220" s="89"/>
      <c r="Q220" s="89"/>
      <c r="R220" s="89"/>
      <c r="S220" s="89"/>
    </row>
    <row r="221" spans="1:19" x14ac:dyDescent="0.25">
      <c r="A221" s="89"/>
      <c r="B221" s="89"/>
      <c r="C221" s="89"/>
      <c r="D221" s="89"/>
      <c r="E221" s="89"/>
      <c r="F221" s="89"/>
      <c r="G221" s="89"/>
      <c r="H221" s="89"/>
      <c r="I221" s="89"/>
      <c r="L221" s="89"/>
      <c r="M221" s="89"/>
      <c r="N221" s="89"/>
      <c r="O221" s="89"/>
      <c r="P221" s="89"/>
      <c r="Q221" s="89"/>
      <c r="R221" s="89"/>
      <c r="S221" s="89"/>
    </row>
    <row r="222" spans="1:19" x14ac:dyDescent="0.25">
      <c r="A222" s="89"/>
      <c r="B222" s="89"/>
      <c r="C222" s="89"/>
      <c r="D222" s="89"/>
      <c r="E222" s="89"/>
      <c r="F222" s="89"/>
      <c r="G222" s="89"/>
      <c r="H222" s="89"/>
      <c r="I222" s="89"/>
      <c r="L222" s="89"/>
      <c r="M222" s="89"/>
      <c r="N222" s="89"/>
      <c r="O222" s="89"/>
      <c r="P222" s="89"/>
      <c r="Q222" s="89"/>
      <c r="R222" s="89"/>
      <c r="S222" s="89"/>
    </row>
    <row r="223" spans="1:19" x14ac:dyDescent="0.25">
      <c r="A223" s="89"/>
      <c r="B223" s="89"/>
      <c r="C223" s="26"/>
      <c r="D223" s="26"/>
      <c r="E223" s="26"/>
      <c r="F223" s="26"/>
      <c r="G223" s="26"/>
      <c r="H223" s="26"/>
      <c r="I223" s="26"/>
      <c r="J223" s="26"/>
      <c r="K223" s="26"/>
      <c r="L223" s="89"/>
      <c r="M223" s="89"/>
      <c r="N223" s="89"/>
      <c r="O223" s="89"/>
      <c r="P223" s="89"/>
      <c r="Q223" s="89"/>
      <c r="R223" s="89"/>
      <c r="S223" s="89"/>
    </row>
    <row r="224" spans="1:19" x14ac:dyDescent="0.25">
      <c r="A224" s="89"/>
      <c r="B224" s="89"/>
      <c r="C224" s="89"/>
      <c r="D224" s="89"/>
      <c r="E224" s="89"/>
      <c r="F224" s="89"/>
      <c r="G224" s="89"/>
      <c r="H224" s="89"/>
      <c r="I224" s="89"/>
      <c r="L224" s="89"/>
      <c r="M224" s="89"/>
      <c r="N224" s="89"/>
      <c r="O224" s="89"/>
      <c r="P224" s="89"/>
      <c r="Q224" s="89"/>
      <c r="R224" s="89"/>
      <c r="S224" s="89"/>
    </row>
    <row r="225" spans="1:19" x14ac:dyDescent="0.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</row>
    <row r="226" spans="1:19" x14ac:dyDescent="0.25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</row>
    <row r="227" spans="1:19" x14ac:dyDescent="0.25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</row>
    <row r="228" spans="1:19" x14ac:dyDescent="0.25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</row>
    <row r="229" spans="1:19" x14ac:dyDescent="0.25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</row>
    <row r="230" spans="1:19" x14ac:dyDescent="0.25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</row>
    <row r="231" spans="1:19" x14ac:dyDescent="0.25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</row>
    <row r="232" spans="1:19" x14ac:dyDescent="0.25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</row>
    <row r="233" spans="1:19" x14ac:dyDescent="0.25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26"/>
      <c r="N233" s="26"/>
      <c r="O233" s="26"/>
      <c r="P233" s="26"/>
      <c r="Q233" s="26"/>
      <c r="R233" s="26"/>
      <c r="S233" s="26"/>
    </row>
    <row r="234" spans="1:19" x14ac:dyDescent="0.25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</row>
    <row r="235" spans="1:19" x14ac:dyDescent="0.2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</row>
    <row r="236" spans="1:19" x14ac:dyDescent="0.25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</row>
    <row r="237" spans="1:19" x14ac:dyDescent="0.25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</row>
    <row r="238" spans="1:19" x14ac:dyDescent="0.25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</row>
    <row r="239" spans="1:19" x14ac:dyDescent="0.25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</row>
    <row r="240" spans="1:19" x14ac:dyDescent="0.25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</row>
    <row r="241" spans="1:19" x14ac:dyDescent="0.25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</row>
    <row r="242" spans="1:19" x14ac:dyDescent="0.25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</row>
    <row r="243" spans="1:19" x14ac:dyDescent="0.25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</row>
    <row r="244" spans="1:19" x14ac:dyDescent="0.25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M244" s="89"/>
      <c r="N244" s="89"/>
      <c r="O244" s="89"/>
      <c r="P244" s="89"/>
      <c r="Q244" s="89"/>
      <c r="R244" s="89"/>
      <c r="S244" s="89"/>
    </row>
    <row r="245" spans="1:19" x14ac:dyDescent="0.2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M245" s="89"/>
      <c r="N245" s="89"/>
      <c r="O245" s="89"/>
      <c r="P245" s="89"/>
      <c r="Q245" s="89"/>
      <c r="R245" s="89"/>
      <c r="S245" s="89"/>
    </row>
    <row r="246" spans="1:19" x14ac:dyDescent="0.25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M246" s="89"/>
      <c r="N246" s="89"/>
      <c r="O246" s="89"/>
      <c r="P246" s="89"/>
      <c r="Q246" s="89"/>
      <c r="R246" s="89"/>
      <c r="S246" s="89"/>
    </row>
    <row r="247" spans="1:19" x14ac:dyDescent="0.25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</row>
    <row r="248" spans="1:19" x14ac:dyDescent="0.25">
      <c r="L248" s="89"/>
      <c r="M248" s="89"/>
      <c r="N248" s="89"/>
      <c r="O248" s="89"/>
      <c r="P248" s="89"/>
      <c r="Q248" s="89"/>
      <c r="R248" s="89"/>
      <c r="S248" s="89"/>
    </row>
    <row r="249" spans="1:19" x14ac:dyDescent="0.25">
      <c r="L249" s="89"/>
      <c r="M249" s="89"/>
      <c r="N249" s="89"/>
      <c r="O249" s="89"/>
      <c r="P249" s="89"/>
      <c r="Q249" s="89"/>
      <c r="R249" s="89"/>
      <c r="S249" s="89"/>
    </row>
    <row r="250" spans="1:19" x14ac:dyDescent="0.25">
      <c r="L250" s="26"/>
      <c r="M250" s="89"/>
      <c r="N250" s="89"/>
      <c r="O250" s="89"/>
      <c r="P250" s="89"/>
      <c r="Q250" s="89"/>
      <c r="R250" s="89"/>
      <c r="S250" s="89"/>
    </row>
    <row r="251" spans="1:19" x14ac:dyDescent="0.25">
      <c r="A251" s="26" t="s">
        <v>80</v>
      </c>
      <c r="B251" s="89" t="s">
        <v>85</v>
      </c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</row>
    <row r="252" spans="1:19" x14ac:dyDescent="0.25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</row>
    <row r="253" spans="1:19" x14ac:dyDescent="0.25">
      <c r="A253" s="26" t="s">
        <v>83</v>
      </c>
      <c r="B253" s="89" t="s">
        <v>84</v>
      </c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</row>
    <row r="254" spans="1:19" x14ac:dyDescent="0.25">
      <c r="A254" s="26" t="s">
        <v>81</v>
      </c>
      <c r="B254" s="26" t="s">
        <v>27</v>
      </c>
      <c r="C254" s="26" t="s">
        <v>26</v>
      </c>
      <c r="D254" s="26" t="s">
        <v>64</v>
      </c>
      <c r="E254" s="26" t="s">
        <v>28</v>
      </c>
      <c r="F254" s="26" t="s">
        <v>74</v>
      </c>
      <c r="G254" s="26" t="s">
        <v>82</v>
      </c>
      <c r="H254" s="26"/>
      <c r="I254" s="26"/>
      <c r="J254" s="26"/>
      <c r="K254" s="26"/>
      <c r="L254" s="89"/>
      <c r="M254" s="89"/>
      <c r="N254" s="89"/>
      <c r="O254" s="89"/>
      <c r="P254" s="89"/>
      <c r="Q254" s="89"/>
      <c r="R254" s="89"/>
      <c r="S254" s="89"/>
    </row>
    <row r="255" spans="1:19" x14ac:dyDescent="0.25">
      <c r="A255" s="27">
        <v>2010</v>
      </c>
      <c r="B255" s="8">
        <v>300121</v>
      </c>
      <c r="C255" s="8">
        <v>336579</v>
      </c>
      <c r="D255" s="8">
        <v>547900</v>
      </c>
      <c r="E255" s="8">
        <v>21000</v>
      </c>
      <c r="F255" s="8">
        <v>21645140.550221473</v>
      </c>
      <c r="G255" s="8">
        <v>22850740.550221473</v>
      </c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</row>
    <row r="256" spans="1:19" x14ac:dyDescent="0.25">
      <c r="A256" s="27">
        <v>2011</v>
      </c>
      <c r="B256" s="8">
        <v>307397</v>
      </c>
      <c r="C256" s="8">
        <v>336089</v>
      </c>
      <c r="D256" s="8">
        <v>544100</v>
      </c>
      <c r="E256" s="8">
        <v>21000</v>
      </c>
      <c r="F256" s="8">
        <v>21234000.872158252</v>
      </c>
      <c r="G256" s="8">
        <v>22442586.872158252</v>
      </c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</row>
    <row r="257" spans="1:19" x14ac:dyDescent="0.25">
      <c r="A257" s="27">
        <v>2012</v>
      </c>
      <c r="B257" s="8">
        <v>301606</v>
      </c>
      <c r="C257" s="8">
        <v>299453</v>
      </c>
      <c r="D257" s="8">
        <v>526800</v>
      </c>
      <c r="E257" s="8">
        <v>21000</v>
      </c>
      <c r="F257" s="8">
        <v>19708873.829099141</v>
      </c>
      <c r="G257" s="8">
        <v>20857732.829099141</v>
      </c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</row>
    <row r="258" spans="1:19" x14ac:dyDescent="0.25">
      <c r="A258" s="27">
        <v>2013</v>
      </c>
      <c r="B258" s="8">
        <v>297760</v>
      </c>
      <c r="C258" s="8">
        <v>293044</v>
      </c>
      <c r="D258" s="8">
        <v>520700</v>
      </c>
      <c r="E258" s="8">
        <v>21000</v>
      </c>
      <c r="F258" s="8">
        <v>21056800.134214073</v>
      </c>
      <c r="G258" s="8">
        <v>22189304.134214073</v>
      </c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</row>
    <row r="259" spans="1:19" x14ac:dyDescent="0.25">
      <c r="A259" s="27">
        <v>2014</v>
      </c>
      <c r="B259" s="8">
        <v>297319</v>
      </c>
      <c r="C259" s="8">
        <v>293714</v>
      </c>
      <c r="D259" s="8">
        <v>480300</v>
      </c>
      <c r="E259" s="8">
        <v>21000</v>
      </c>
      <c r="F259" s="8">
        <v>21133250.541704711</v>
      </c>
      <c r="G259" s="8">
        <v>22225583.541704711</v>
      </c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</row>
    <row r="260" spans="1:19" x14ac:dyDescent="0.25">
      <c r="A260" s="27">
        <v>2015</v>
      </c>
      <c r="B260" s="8">
        <v>297632</v>
      </c>
      <c r="C260" s="8">
        <v>296578</v>
      </c>
      <c r="D260" s="8">
        <v>476700</v>
      </c>
      <c r="E260" s="8">
        <v>21000</v>
      </c>
      <c r="F260" s="8">
        <v>22315305.585379481</v>
      </c>
      <c r="G260" s="8">
        <v>23407215.585379481</v>
      </c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</row>
    <row r="261" spans="1:19" x14ac:dyDescent="0.25">
      <c r="A261" s="27">
        <v>2016</v>
      </c>
      <c r="B261" s="8">
        <v>302945</v>
      </c>
      <c r="C261" s="8">
        <v>294508</v>
      </c>
      <c r="D261" s="8">
        <v>499047</v>
      </c>
      <c r="E261" s="8">
        <v>21000</v>
      </c>
      <c r="F261" s="8">
        <v>23153818.473949231</v>
      </c>
      <c r="G261" s="8">
        <v>24271318.473949231</v>
      </c>
      <c r="H261" s="89"/>
      <c r="I261" s="89"/>
      <c r="J261" s="89"/>
      <c r="K261" s="89"/>
      <c r="L261" s="89"/>
    </row>
    <row r="262" spans="1:19" x14ac:dyDescent="0.25">
      <c r="A262" s="27">
        <v>2017</v>
      </c>
      <c r="B262" s="8">
        <v>279972</v>
      </c>
      <c r="C262" s="8">
        <v>295230</v>
      </c>
      <c r="D262" s="8">
        <v>509256</v>
      </c>
      <c r="E262" s="8">
        <v>21000</v>
      </c>
      <c r="F262" s="8">
        <v>23256768.57201644</v>
      </c>
      <c r="G262" s="8">
        <v>24362226.57201644</v>
      </c>
      <c r="H262" s="89"/>
      <c r="I262" s="89"/>
      <c r="J262" s="89"/>
      <c r="K262" s="89"/>
      <c r="L262" s="89"/>
    </row>
    <row r="263" spans="1:19" x14ac:dyDescent="0.25">
      <c r="A263" s="27">
        <v>2018</v>
      </c>
      <c r="B263" s="8">
        <v>301941</v>
      </c>
      <c r="C263" s="8">
        <v>283160</v>
      </c>
      <c r="D263" s="8">
        <v>517785</v>
      </c>
      <c r="E263" s="8">
        <v>21000</v>
      </c>
      <c r="F263" s="8">
        <v>22406265.679956038</v>
      </c>
      <c r="G263" s="8">
        <v>23530151.679956038</v>
      </c>
      <c r="H263" s="89"/>
      <c r="I263" s="89"/>
      <c r="J263" s="89"/>
      <c r="K263" s="89"/>
      <c r="L263" s="89"/>
    </row>
    <row r="264" spans="1:19" x14ac:dyDescent="0.25">
      <c r="A264" s="27" t="s">
        <v>82</v>
      </c>
      <c r="B264" s="8">
        <v>2686693</v>
      </c>
      <c r="C264" s="8">
        <v>2728355</v>
      </c>
      <c r="D264" s="8">
        <v>4622588</v>
      </c>
      <c r="E264" s="8">
        <v>189000</v>
      </c>
      <c r="F264" s="8">
        <v>195910224.23869887</v>
      </c>
      <c r="G264" s="8">
        <v>206136860.23869887</v>
      </c>
      <c r="H264" s="89"/>
      <c r="I264" s="89"/>
      <c r="J264" s="89"/>
      <c r="K264" s="89"/>
      <c r="L264" s="89"/>
    </row>
    <row r="265" spans="1:19" x14ac:dyDescent="0.2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26"/>
    </row>
    <row r="266" spans="1:19" x14ac:dyDescent="0.25">
      <c r="A266" s="26" t="s">
        <v>80</v>
      </c>
      <c r="B266" s="89" t="s">
        <v>85</v>
      </c>
      <c r="C266" s="89"/>
      <c r="D266" s="89"/>
      <c r="E266" s="89"/>
      <c r="F266" s="89"/>
      <c r="G266" s="89"/>
      <c r="H266" s="89"/>
      <c r="I266" s="89"/>
      <c r="J266" s="89"/>
      <c r="K266" s="89"/>
      <c r="L266" s="89"/>
    </row>
    <row r="267" spans="1:19" x14ac:dyDescent="0.25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</row>
    <row r="268" spans="1:19" x14ac:dyDescent="0.25">
      <c r="A268" s="26" t="s">
        <v>83</v>
      </c>
      <c r="B268" s="89" t="s">
        <v>84</v>
      </c>
      <c r="C268" s="89"/>
      <c r="D268" s="89"/>
      <c r="E268" s="89"/>
      <c r="F268" s="89"/>
      <c r="G268" s="89"/>
      <c r="H268" s="89"/>
      <c r="I268" s="89"/>
      <c r="J268" s="89"/>
      <c r="K268" s="89"/>
      <c r="L268" s="89"/>
    </row>
    <row r="269" spans="1:19" x14ac:dyDescent="0.25">
      <c r="A269" s="26" t="s">
        <v>81</v>
      </c>
      <c r="B269" s="26" t="s">
        <v>27</v>
      </c>
      <c r="C269" s="26" t="s">
        <v>26</v>
      </c>
      <c r="D269" s="26" t="s">
        <v>64</v>
      </c>
      <c r="E269" s="26" t="s">
        <v>28</v>
      </c>
      <c r="F269" s="26" t="s">
        <v>82</v>
      </c>
      <c r="G269" s="26"/>
      <c r="H269" s="26"/>
      <c r="I269" s="26"/>
      <c r="J269" s="26"/>
      <c r="K269" s="26"/>
      <c r="L269" s="89"/>
    </row>
    <row r="270" spans="1:19" x14ac:dyDescent="0.25">
      <c r="A270" s="27">
        <v>2010</v>
      </c>
      <c r="B270" s="8">
        <v>300121</v>
      </c>
      <c r="C270" s="8">
        <v>336579</v>
      </c>
      <c r="D270" s="8">
        <v>547900</v>
      </c>
      <c r="E270" s="8">
        <v>21000</v>
      </c>
      <c r="F270" s="8">
        <v>1205600</v>
      </c>
      <c r="G270" s="89"/>
      <c r="H270" s="89"/>
      <c r="I270" s="89"/>
      <c r="J270" s="89"/>
      <c r="K270" s="89"/>
      <c r="L270" s="89"/>
    </row>
    <row r="271" spans="1:19" x14ac:dyDescent="0.25">
      <c r="A271" s="27">
        <v>2011</v>
      </c>
      <c r="B271" s="8">
        <v>307397</v>
      </c>
      <c r="C271" s="8">
        <v>336089</v>
      </c>
      <c r="D271" s="8">
        <v>544100</v>
      </c>
      <c r="E271" s="8">
        <v>21000</v>
      </c>
      <c r="F271" s="8">
        <v>1208586</v>
      </c>
      <c r="G271" s="89"/>
      <c r="H271" s="89"/>
      <c r="I271" s="89"/>
      <c r="J271" s="89"/>
      <c r="K271" s="89"/>
      <c r="L271" s="89"/>
    </row>
    <row r="272" spans="1:19" x14ac:dyDescent="0.25">
      <c r="A272" s="27">
        <v>2012</v>
      </c>
      <c r="B272" s="8">
        <v>301606</v>
      </c>
      <c r="C272" s="8">
        <v>299453</v>
      </c>
      <c r="D272" s="8">
        <v>526800</v>
      </c>
      <c r="E272" s="8">
        <v>21000</v>
      </c>
      <c r="F272" s="8">
        <v>1148859</v>
      </c>
      <c r="G272" s="89"/>
      <c r="H272" s="89"/>
      <c r="I272" s="89"/>
      <c r="J272" s="89"/>
      <c r="K272" s="89"/>
      <c r="L272" s="89"/>
    </row>
    <row r="273" spans="1:12" x14ac:dyDescent="0.25">
      <c r="A273" s="27">
        <v>2013</v>
      </c>
      <c r="B273" s="8">
        <v>297760</v>
      </c>
      <c r="C273" s="8">
        <v>293044</v>
      </c>
      <c r="D273" s="8">
        <v>520700</v>
      </c>
      <c r="E273" s="8">
        <v>21000</v>
      </c>
      <c r="F273" s="8">
        <v>1132504</v>
      </c>
      <c r="G273" s="89"/>
      <c r="H273" s="89"/>
      <c r="I273" s="89"/>
      <c r="J273" s="89"/>
      <c r="K273" s="89"/>
      <c r="L273" s="89"/>
    </row>
    <row r="274" spans="1:12" x14ac:dyDescent="0.25">
      <c r="A274" s="27">
        <v>2014</v>
      </c>
      <c r="B274" s="8">
        <v>297319</v>
      </c>
      <c r="C274" s="8">
        <v>293714</v>
      </c>
      <c r="D274" s="8">
        <v>480300</v>
      </c>
      <c r="E274" s="8">
        <v>21000</v>
      </c>
      <c r="F274" s="8">
        <v>1092333</v>
      </c>
      <c r="G274" s="89"/>
      <c r="H274" s="89"/>
      <c r="I274" s="89"/>
      <c r="J274" s="89"/>
      <c r="K274" s="89"/>
      <c r="L274" s="89"/>
    </row>
    <row r="275" spans="1:12" x14ac:dyDescent="0.25">
      <c r="A275" s="27">
        <v>2015</v>
      </c>
      <c r="B275" s="8">
        <v>297632</v>
      </c>
      <c r="C275" s="8">
        <v>296578</v>
      </c>
      <c r="D275" s="8">
        <v>476700</v>
      </c>
      <c r="E275" s="8">
        <v>21000</v>
      </c>
      <c r="F275" s="8">
        <v>1091910</v>
      </c>
      <c r="G275" s="89"/>
      <c r="H275" s="89"/>
      <c r="I275" s="89"/>
      <c r="J275" s="89"/>
      <c r="K275" s="89"/>
      <c r="L275" s="89"/>
    </row>
    <row r="276" spans="1:12" x14ac:dyDescent="0.25">
      <c r="A276" s="27">
        <v>2016</v>
      </c>
      <c r="B276" s="8">
        <v>302945</v>
      </c>
      <c r="C276" s="8">
        <v>294508</v>
      </c>
      <c r="D276" s="8">
        <v>499047</v>
      </c>
      <c r="E276" s="8">
        <v>21000</v>
      </c>
      <c r="F276" s="8">
        <v>1117500</v>
      </c>
      <c r="G276" s="89"/>
      <c r="H276" s="89"/>
      <c r="I276" s="89"/>
      <c r="J276" s="89"/>
      <c r="K276" s="89"/>
      <c r="L276" s="89"/>
    </row>
    <row r="277" spans="1:12" x14ac:dyDescent="0.25">
      <c r="A277" s="27">
        <v>2017</v>
      </c>
      <c r="B277" s="8">
        <v>279972</v>
      </c>
      <c r="C277" s="8">
        <v>295230</v>
      </c>
      <c r="D277" s="8">
        <v>509256</v>
      </c>
      <c r="E277" s="8">
        <v>21000</v>
      </c>
      <c r="F277" s="8">
        <v>1105458</v>
      </c>
      <c r="G277" s="89"/>
      <c r="H277" s="89"/>
      <c r="I277" s="89"/>
      <c r="J277" s="89"/>
      <c r="K277" s="89"/>
      <c r="L277" s="89"/>
    </row>
    <row r="278" spans="1:12" x14ac:dyDescent="0.25">
      <c r="A278" s="27">
        <v>2018</v>
      </c>
      <c r="B278" s="8">
        <v>301941</v>
      </c>
      <c r="C278" s="8">
        <v>283160</v>
      </c>
      <c r="D278" s="8">
        <v>517785</v>
      </c>
      <c r="E278" s="8">
        <v>21000</v>
      </c>
      <c r="F278" s="8">
        <v>1123886</v>
      </c>
      <c r="G278" s="89"/>
      <c r="H278" s="89"/>
      <c r="I278" s="89"/>
      <c r="J278" s="89"/>
      <c r="K278" s="89"/>
      <c r="L278" s="89"/>
    </row>
    <row r="279" spans="1:12" x14ac:dyDescent="0.25">
      <c r="A279" s="27" t="s">
        <v>82</v>
      </c>
      <c r="B279" s="8">
        <v>2686693</v>
      </c>
      <c r="C279" s="8">
        <v>2728355</v>
      </c>
      <c r="D279" s="8">
        <v>4622588</v>
      </c>
      <c r="E279" s="8">
        <v>189000</v>
      </c>
      <c r="F279" s="8">
        <v>10226636</v>
      </c>
      <c r="G279" s="89"/>
      <c r="H279" s="89"/>
      <c r="I279" s="89"/>
      <c r="J279" s="89"/>
      <c r="K279" s="89"/>
      <c r="L279" s="89"/>
    </row>
    <row r="280" spans="1:12" x14ac:dyDescent="0.25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</row>
    <row r="281" spans="1:12" x14ac:dyDescent="0.25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</row>
    <row r="282" spans="1:12" x14ac:dyDescent="0.25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</row>
    <row r="283" spans="1:12" x14ac:dyDescent="0.2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</row>
    <row r="284" spans="1:12" x14ac:dyDescent="0.2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</row>
    <row r="285" spans="1:12" x14ac:dyDescent="0.2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</row>
    <row r="286" spans="1:12" x14ac:dyDescent="0.2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</row>
    <row r="287" spans="1:12" x14ac:dyDescent="0.2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</row>
    <row r="288" spans="1:12" x14ac:dyDescent="0.25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</row>
    <row r="289" spans="1:12" x14ac:dyDescent="0.25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</row>
    <row r="290" spans="1:12" x14ac:dyDescent="0.25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</row>
    <row r="291" spans="1:12" x14ac:dyDescent="0.25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</row>
    <row r="292" spans="1:12" x14ac:dyDescent="0.25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</row>
    <row r="293" spans="1:12" x14ac:dyDescent="0.25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</row>
    <row r="294" spans="1:12" x14ac:dyDescent="0.25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</row>
    <row r="295" spans="1:12" x14ac:dyDescent="0.2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</row>
    <row r="296" spans="1:12" x14ac:dyDescent="0.25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</row>
  </sheetData>
  <phoneticPr fontId="26" type="noConversion"/>
  <hyperlinks>
    <hyperlink ref="J83" r:id="rId3" xr:uid="{AD5E9760-B66A-48C4-8C89-D0066F0EE248}"/>
    <hyperlink ref="K83" r:id="rId4" xr:uid="{748729E2-5E07-4A3A-935B-B4FC2106998C}"/>
    <hyperlink ref="J69" r:id="rId5" xr:uid="{7D994F73-9016-4D27-B976-C3ADDBB6081F}"/>
    <hyperlink ref="K69" r:id="rId6" xr:uid="{3A2A96EC-9CA9-4345-82B7-26FA4929FCDE}"/>
    <hyperlink ref="J58" r:id="rId7" xr:uid="{47C0BE36-C1B0-46DB-A304-5D760697F961}"/>
    <hyperlink ref="K58" r:id="rId8" xr:uid="{2A395769-9B7C-4B46-B8CF-57E4032202D2}"/>
    <hyperlink ref="C58" r:id="rId9" xr:uid="{53B06CCF-B70D-4D95-90DD-006CDE6DB582}"/>
    <hyperlink ref="E47" r:id="rId10" xr:uid="{A2670D26-9569-4934-BAAC-89194D0525EE}"/>
    <hyperlink ref="D58" r:id="rId11" xr:uid="{8955A11C-4BCC-449C-8A7B-21AC848DE08D}"/>
    <hyperlink ref="D44" r:id="rId12" xr:uid="{C8DCC0D4-3B22-411C-882E-3B4DCB94464A}"/>
    <hyperlink ref="E44" r:id="rId13" xr:uid="{BE8C0211-322A-430F-B692-0607E2EEBC9E}"/>
    <hyperlink ref="F44" r:id="rId14" xr:uid="{F7B1905B-A79B-4D90-B980-AFA41C7BC23E}"/>
    <hyperlink ref="G44" r:id="rId15" xr:uid="{9226D779-4B00-4731-AF08-2A538BFE3EB8}"/>
    <hyperlink ref="H44" r:id="rId16" xr:uid="{6DF7BC6A-2CB3-4C92-A750-A840FE5D7624}"/>
    <hyperlink ref="I44" r:id="rId17" xr:uid="{18B285C7-ADD0-4AA8-8347-FA71E943DF21}"/>
    <hyperlink ref="J44" r:id="rId18" xr:uid="{2987E92D-B295-4F36-8E41-EB077A6589B0}"/>
    <hyperlink ref="K44" r:id="rId19" xr:uid="{643FC727-8776-4060-9FC9-2CA1EBC7D407}"/>
    <hyperlink ref="D50" r:id="rId20" xr:uid="{3BFA138E-3DC8-44D4-AED8-48AD469A1E16}"/>
    <hyperlink ref="C44" r:id="rId21" xr:uid="{356F7985-8CBD-4A2C-A5AD-B18EFCEF7A32}"/>
    <hyperlink ref="B64" r:id="rId22" xr:uid="{15077B57-FCD7-4F84-AEAA-7F092B4B29AF}"/>
  </hyperlinks>
  <pageMargins left="0.7" right="0.7" top="0.75" bottom="0.75" header="0.3" footer="0.3"/>
  <pageSetup paperSize="9" orientation="portrait" r:id="rId23"/>
  <drawing r:id="rId24"/>
  <legacyDrawing r:id="rId25"/>
  <tableParts count="23"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133-C051-4A8D-90FC-CFF573EA1243}">
  <dimension ref="A1:X46"/>
  <sheetViews>
    <sheetView workbookViewId="0">
      <selection activeCell="E30" sqref="E30"/>
    </sheetView>
  </sheetViews>
  <sheetFormatPr defaultRowHeight="15" x14ac:dyDescent="0.25"/>
  <cols>
    <col min="1" max="1" width="43" customWidth="1"/>
    <col min="2" max="4" width="11" customWidth="1"/>
    <col min="5" max="5" width="12" bestFit="1" customWidth="1"/>
    <col min="6" max="9" width="11" customWidth="1"/>
    <col min="10" max="19" width="12" customWidth="1"/>
  </cols>
  <sheetData>
    <row r="1" spans="1:24" x14ac:dyDescent="0.25">
      <c r="A1" s="130" t="s">
        <v>398</v>
      </c>
      <c r="B1" s="130" t="s">
        <v>38</v>
      </c>
      <c r="C1" s="130" t="s">
        <v>37</v>
      </c>
      <c r="D1" s="130" t="s">
        <v>36</v>
      </c>
      <c r="E1" s="130" t="s">
        <v>35</v>
      </c>
      <c r="F1" s="130" t="s">
        <v>34</v>
      </c>
      <c r="G1" s="130" t="s">
        <v>33</v>
      </c>
      <c r="H1" s="130" t="s">
        <v>32</v>
      </c>
      <c r="I1" s="130" t="s">
        <v>31</v>
      </c>
      <c r="J1" s="130" t="s">
        <v>30</v>
      </c>
      <c r="K1" s="130" t="s">
        <v>128</v>
      </c>
      <c r="L1" s="130" t="s">
        <v>197</v>
      </c>
      <c r="M1" s="130" t="s">
        <v>196</v>
      </c>
      <c r="N1" s="130" t="s">
        <v>195</v>
      </c>
      <c r="O1" s="130" t="s">
        <v>194</v>
      </c>
      <c r="P1" s="130" t="s">
        <v>193</v>
      </c>
      <c r="Q1" s="130" t="s">
        <v>192</v>
      </c>
      <c r="R1" s="130" t="s">
        <v>191</v>
      </c>
      <c r="S1" s="130" t="s">
        <v>190</v>
      </c>
      <c r="T1" s="130"/>
    </row>
    <row r="2" spans="1:24" x14ac:dyDescent="0.25">
      <c r="A2" s="75" t="s">
        <v>359</v>
      </c>
      <c r="B2" s="83">
        <v>1.2787788679245282</v>
      </c>
      <c r="C2" s="75">
        <v>1.2787788679245282</v>
      </c>
      <c r="D2" s="83">
        <v>1.2787788679245282</v>
      </c>
      <c r="E2" s="75">
        <v>1.2787788679245282</v>
      </c>
      <c r="F2" s="83">
        <v>1.4806913207547172</v>
      </c>
      <c r="G2" s="75">
        <v>1.5428182293178521</v>
      </c>
      <c r="H2" s="83">
        <v>1.5324377282639612</v>
      </c>
      <c r="I2" s="75">
        <v>1.4989479123061642</v>
      </c>
      <c r="J2" s="83">
        <v>1.4941066751657228</v>
      </c>
      <c r="K2" s="75">
        <v>1.4717886552860069</v>
      </c>
      <c r="L2" s="83">
        <v>1.4512023886403347</v>
      </c>
      <c r="M2" s="75">
        <v>1.4470392452830114</v>
      </c>
      <c r="N2" s="83">
        <v>1.447039245283013</v>
      </c>
      <c r="O2" s="75">
        <v>1.4470392452830187</v>
      </c>
      <c r="P2" s="83">
        <v>1.4470392452830187</v>
      </c>
      <c r="Q2" s="75">
        <v>1.4470392452830187</v>
      </c>
      <c r="R2" s="83">
        <v>1.4470392452830187</v>
      </c>
      <c r="S2" s="75">
        <v>1.4470392452830187</v>
      </c>
    </row>
    <row r="3" spans="1:24" x14ac:dyDescent="0.25">
      <c r="A3" s="75" t="s">
        <v>360</v>
      </c>
      <c r="B3" s="83">
        <v>1.2787788679245282</v>
      </c>
      <c r="C3" s="75">
        <v>1.2787788679245282</v>
      </c>
      <c r="D3" s="83">
        <v>1.2787788679245282</v>
      </c>
      <c r="E3" s="75">
        <v>1.2787788679245282</v>
      </c>
      <c r="F3" s="83">
        <v>1.4806913207547172</v>
      </c>
      <c r="G3" s="75">
        <v>1.5428182293178521</v>
      </c>
      <c r="H3" s="83">
        <v>1.5324377282639612</v>
      </c>
      <c r="I3" s="75">
        <v>1.4989479123061642</v>
      </c>
      <c r="J3" s="83">
        <v>1.4941066751657228</v>
      </c>
      <c r="K3" s="75">
        <v>1.4717886552860069</v>
      </c>
      <c r="L3" s="83">
        <v>1.4512023886403347</v>
      </c>
      <c r="M3" s="75">
        <v>1.4470392452830114</v>
      </c>
      <c r="N3" s="83">
        <v>1.447039245283013</v>
      </c>
      <c r="O3" s="75">
        <v>1.4470392452830187</v>
      </c>
      <c r="P3" s="83">
        <v>1.4470392452830187</v>
      </c>
      <c r="Q3" s="75">
        <v>1.4470392452830187</v>
      </c>
      <c r="R3" s="83">
        <v>1.4470392452830187</v>
      </c>
      <c r="S3" s="75">
        <v>1.4470392452830187</v>
      </c>
    </row>
    <row r="4" spans="1:24" x14ac:dyDescent="0.25">
      <c r="A4" s="131" t="s">
        <v>361</v>
      </c>
      <c r="B4" s="132">
        <v>1.64895169811321</v>
      </c>
      <c r="C4" s="131">
        <v>1.6489516981132075</v>
      </c>
      <c r="D4" s="132">
        <v>1.6489516981132075</v>
      </c>
      <c r="E4" s="131">
        <v>1.4405978174915104</v>
      </c>
      <c r="F4" s="132">
        <v>1.5527371930387477</v>
      </c>
      <c r="G4" s="131">
        <v>1.8562009750426123</v>
      </c>
      <c r="H4" s="132">
        <v>2.0769269815378468</v>
      </c>
      <c r="I4" s="131">
        <v>2.2252615850597643</v>
      </c>
      <c r="J4" s="132">
        <v>2.766592321054206</v>
      </c>
      <c r="K4" s="131">
        <v>2.7391050010235505</v>
      </c>
      <c r="L4" s="132">
        <v>2.6702653956255169</v>
      </c>
      <c r="M4" s="131">
        <v>2.7258181132075472</v>
      </c>
      <c r="N4" s="132">
        <v>2.7258181132075472</v>
      </c>
      <c r="O4" s="131">
        <v>2.7258181132075472</v>
      </c>
      <c r="P4" s="132">
        <v>2.7258181132075472</v>
      </c>
      <c r="Q4" s="131">
        <v>2.7258181132075472</v>
      </c>
      <c r="R4" s="132">
        <v>2.7258181132075472</v>
      </c>
      <c r="S4" s="131">
        <v>2.7258181132075472</v>
      </c>
    </row>
    <row r="5" spans="1:24" s="89" customFormat="1" x14ac:dyDescent="0.25">
      <c r="A5" s="134" t="s">
        <v>402</v>
      </c>
      <c r="B5" s="135">
        <f>AVERAGE(B2:B4)</f>
        <v>1.4021698113207555</v>
      </c>
      <c r="C5" s="135">
        <f t="shared" ref="C5:S5" si="0">AVERAGE(C2:C4)</f>
        <v>1.4021698113207546</v>
      </c>
      <c r="D5" s="135">
        <f t="shared" si="0"/>
        <v>1.4021698113207546</v>
      </c>
      <c r="E5" s="135">
        <f t="shared" si="0"/>
        <v>1.332718517780189</v>
      </c>
      <c r="F5" s="135">
        <f t="shared" si="0"/>
        <v>1.5047066115160608</v>
      </c>
      <c r="G5" s="135">
        <f t="shared" si="0"/>
        <v>1.6472791445594386</v>
      </c>
      <c r="H5" s="135">
        <f t="shared" si="0"/>
        <v>1.7139341460219228</v>
      </c>
      <c r="I5" s="135">
        <f t="shared" si="0"/>
        <v>1.7410524698906975</v>
      </c>
      <c r="J5" s="135">
        <f t="shared" si="0"/>
        <v>1.9182685571285507</v>
      </c>
      <c r="K5" s="135">
        <f t="shared" si="0"/>
        <v>1.8942274371985215</v>
      </c>
      <c r="L5" s="135">
        <f t="shared" si="0"/>
        <v>1.8575567243020619</v>
      </c>
      <c r="M5" s="135">
        <f t="shared" si="0"/>
        <v>1.8732988679245235</v>
      </c>
      <c r="N5" s="135">
        <f t="shared" si="0"/>
        <v>1.8732988679245244</v>
      </c>
      <c r="O5" s="135">
        <f t="shared" si="0"/>
        <v>1.8732988679245282</v>
      </c>
      <c r="P5" s="135">
        <f t="shared" si="0"/>
        <v>1.8732988679245282</v>
      </c>
      <c r="Q5" s="135">
        <f t="shared" si="0"/>
        <v>1.8732988679245282</v>
      </c>
      <c r="R5" s="135">
        <f t="shared" si="0"/>
        <v>1.8732988679245282</v>
      </c>
      <c r="S5" s="135">
        <f t="shared" si="0"/>
        <v>1.8732988679245282</v>
      </c>
    </row>
    <row r="6" spans="1:24" s="89" customFormat="1" x14ac:dyDescent="0.25">
      <c r="A6" s="75" t="s">
        <v>401</v>
      </c>
      <c r="B6" s="83">
        <f>B5/100</f>
        <v>1.4021698113207555E-2</v>
      </c>
      <c r="C6" s="83">
        <f t="shared" ref="C6:S6" si="1">C5/100</f>
        <v>1.4021698113207547E-2</v>
      </c>
      <c r="D6" s="83">
        <f t="shared" si="1"/>
        <v>1.4021698113207547E-2</v>
      </c>
      <c r="E6" s="83">
        <f t="shared" si="1"/>
        <v>1.332718517780189E-2</v>
      </c>
      <c r="F6" s="83">
        <f t="shared" si="1"/>
        <v>1.5047066115160608E-2</v>
      </c>
      <c r="G6" s="83">
        <f t="shared" si="1"/>
        <v>1.6472791445594385E-2</v>
      </c>
      <c r="H6" s="83">
        <f t="shared" si="1"/>
        <v>1.713934146021923E-2</v>
      </c>
      <c r="I6" s="83">
        <f t="shared" si="1"/>
        <v>1.7410524698906974E-2</v>
      </c>
      <c r="J6" s="83">
        <f t="shared" si="1"/>
        <v>1.9182685571285506E-2</v>
      </c>
      <c r="K6" s="83">
        <f t="shared" si="1"/>
        <v>1.8942274371985215E-2</v>
      </c>
      <c r="L6" s="83">
        <f t="shared" si="1"/>
        <v>1.8575567243020619E-2</v>
      </c>
      <c r="M6" s="83">
        <f t="shared" si="1"/>
        <v>1.8732988679245235E-2</v>
      </c>
      <c r="N6" s="83">
        <f t="shared" si="1"/>
        <v>1.8732988679245242E-2</v>
      </c>
      <c r="O6" s="83">
        <f t="shared" si="1"/>
        <v>1.8732988679245281E-2</v>
      </c>
      <c r="P6" s="83">
        <f t="shared" si="1"/>
        <v>1.8732988679245281E-2</v>
      </c>
      <c r="Q6" s="83">
        <f t="shared" si="1"/>
        <v>1.8732988679245281E-2</v>
      </c>
      <c r="R6" s="83">
        <f t="shared" si="1"/>
        <v>1.8732988679245281E-2</v>
      </c>
      <c r="S6" s="83">
        <f t="shared" si="1"/>
        <v>1.8732988679245281E-2</v>
      </c>
    </row>
    <row r="7" spans="1:24" s="89" customFormat="1" x14ac:dyDescent="0.25">
      <c r="A7" s="75" t="s">
        <v>391</v>
      </c>
      <c r="B7" s="136">
        <v>0.6</v>
      </c>
      <c r="C7" s="136">
        <v>0.6</v>
      </c>
      <c r="D7" s="136">
        <v>0.6</v>
      </c>
      <c r="E7" s="136">
        <v>0.6</v>
      </c>
      <c r="F7" s="136">
        <v>0.6</v>
      </c>
      <c r="G7" s="136">
        <v>0.6</v>
      </c>
      <c r="H7" s="136">
        <v>0.6</v>
      </c>
      <c r="I7" s="136">
        <v>0.6</v>
      </c>
      <c r="J7" s="136">
        <v>0.6</v>
      </c>
      <c r="K7" s="136">
        <v>0.6</v>
      </c>
      <c r="L7" s="136">
        <v>0.6</v>
      </c>
      <c r="M7" s="136">
        <v>0.6</v>
      </c>
      <c r="N7" s="136">
        <v>0.6</v>
      </c>
      <c r="O7" s="136">
        <v>0.6</v>
      </c>
      <c r="P7" s="136">
        <v>0.6</v>
      </c>
      <c r="Q7" s="136">
        <v>0.6</v>
      </c>
      <c r="R7" s="136">
        <v>0.6</v>
      </c>
      <c r="S7" s="136">
        <v>0.6</v>
      </c>
    </row>
    <row r="8" spans="1:24" s="89" customFormat="1" x14ac:dyDescent="0.25">
      <c r="A8" s="75" t="s">
        <v>384</v>
      </c>
      <c r="B8" s="136">
        <v>0.4</v>
      </c>
      <c r="C8" s="136">
        <v>0.4</v>
      </c>
      <c r="D8" s="136">
        <v>0.4</v>
      </c>
      <c r="E8" s="136">
        <v>0.4</v>
      </c>
      <c r="F8" s="136">
        <v>0.4</v>
      </c>
      <c r="G8" s="136">
        <v>0.4</v>
      </c>
      <c r="H8" s="136">
        <v>0.4</v>
      </c>
      <c r="I8" s="136">
        <v>0.4</v>
      </c>
      <c r="J8" s="136">
        <v>0.4</v>
      </c>
      <c r="K8" s="136">
        <v>0.4</v>
      </c>
      <c r="L8" s="136">
        <v>0.4</v>
      </c>
      <c r="M8" s="136">
        <v>0.4</v>
      </c>
      <c r="N8" s="136">
        <v>0.4</v>
      </c>
      <c r="O8" s="136">
        <v>0.4</v>
      </c>
      <c r="P8" s="136">
        <v>0.4</v>
      </c>
      <c r="Q8" s="136">
        <v>0.4</v>
      </c>
      <c r="R8" s="136">
        <v>0.4</v>
      </c>
      <c r="S8" s="136">
        <v>0.4</v>
      </c>
    </row>
    <row r="9" spans="1:24" s="89" customFormat="1" x14ac:dyDescent="0.25">
      <c r="A9" s="75" t="s">
        <v>406</v>
      </c>
      <c r="B9" s="83">
        <f t="shared" ref="B9:S9" si="2">B21*B8</f>
        <v>1.6888888888888891E-2</v>
      </c>
      <c r="C9" s="83">
        <f t="shared" si="2"/>
        <v>1.6888888888888891E-2</v>
      </c>
      <c r="D9" s="83">
        <f t="shared" si="2"/>
        <v>1.6888888888888891E-2</v>
      </c>
      <c r="E9" s="83">
        <f t="shared" si="2"/>
        <v>1.6888888888888891E-2</v>
      </c>
      <c r="F9" s="83">
        <f t="shared" si="2"/>
        <v>1.6888888888888891E-2</v>
      </c>
      <c r="G9" s="83">
        <f t="shared" si="2"/>
        <v>1.6888888888888891E-2</v>
      </c>
      <c r="H9" s="83">
        <f t="shared" si="2"/>
        <v>1.6888888888888891E-2</v>
      </c>
      <c r="I9" s="83">
        <f t="shared" si="2"/>
        <v>1.6888888888888891E-2</v>
      </c>
      <c r="J9" s="83">
        <f t="shared" si="2"/>
        <v>1.6888888888888891E-2</v>
      </c>
      <c r="K9" s="83">
        <f t="shared" si="2"/>
        <v>1.6888888888888891E-2</v>
      </c>
      <c r="L9" s="83">
        <f t="shared" si="2"/>
        <v>1.6888888888888891E-2</v>
      </c>
      <c r="M9" s="83">
        <f t="shared" si="2"/>
        <v>1.6888888888888891E-2</v>
      </c>
      <c r="N9" s="83">
        <f t="shared" si="2"/>
        <v>1.6888888888888891E-2</v>
      </c>
      <c r="O9" s="83">
        <f t="shared" si="2"/>
        <v>1.6888888888888891E-2</v>
      </c>
      <c r="P9" s="83">
        <f t="shared" si="2"/>
        <v>1.6888888888888891E-2</v>
      </c>
      <c r="Q9" s="83">
        <f t="shared" si="2"/>
        <v>1.6888888888888891E-2</v>
      </c>
      <c r="R9" s="83">
        <f t="shared" si="2"/>
        <v>1.6888888888888891E-2</v>
      </c>
      <c r="S9" s="83">
        <f t="shared" si="2"/>
        <v>1.6888888888888891E-2</v>
      </c>
    </row>
    <row r="10" spans="1:24" s="89" customFormat="1" x14ac:dyDescent="0.25">
      <c r="A10" s="106" t="s">
        <v>400</v>
      </c>
      <c r="B10" s="111">
        <f>B6+B9</f>
        <v>3.0910587002096444E-2</v>
      </c>
      <c r="C10" s="111">
        <f t="shared" ref="C10:S10" si="3">C6+C9</f>
        <v>3.0910587002096437E-2</v>
      </c>
      <c r="D10" s="111">
        <f t="shared" si="3"/>
        <v>3.0910587002096437E-2</v>
      </c>
      <c r="E10" s="111">
        <f t="shared" si="3"/>
        <v>3.021607406669078E-2</v>
      </c>
      <c r="F10" s="111">
        <f t="shared" si="3"/>
        <v>3.1935955004049499E-2</v>
      </c>
      <c r="G10" s="111">
        <f t="shared" si="3"/>
        <v>3.3361680334483279E-2</v>
      </c>
      <c r="H10" s="111">
        <f t="shared" si="3"/>
        <v>3.4028230349108124E-2</v>
      </c>
      <c r="I10" s="111">
        <f t="shared" si="3"/>
        <v>3.4299413587795868E-2</v>
      </c>
      <c r="J10" s="111">
        <f t="shared" si="3"/>
        <v>3.6071574460174394E-2</v>
      </c>
      <c r="K10" s="111">
        <f t="shared" si="3"/>
        <v>3.5831163260874106E-2</v>
      </c>
      <c r="L10" s="111">
        <f t="shared" si="3"/>
        <v>3.5464456131909509E-2</v>
      </c>
      <c r="M10" s="111">
        <f t="shared" si="3"/>
        <v>3.5621877568134126E-2</v>
      </c>
      <c r="N10" s="111">
        <f t="shared" si="3"/>
        <v>3.5621877568134133E-2</v>
      </c>
      <c r="O10" s="111">
        <f t="shared" si="3"/>
        <v>3.5621877568134175E-2</v>
      </c>
      <c r="P10" s="111">
        <f t="shared" si="3"/>
        <v>3.5621877568134175E-2</v>
      </c>
      <c r="Q10" s="111">
        <f t="shared" si="3"/>
        <v>3.5621877568134175E-2</v>
      </c>
      <c r="R10" s="111">
        <f t="shared" si="3"/>
        <v>3.5621877568134175E-2</v>
      </c>
      <c r="S10" s="111">
        <f t="shared" si="3"/>
        <v>3.5621877568134175E-2</v>
      </c>
    </row>
    <row r="11" spans="1:24" s="11" customFormat="1" x14ac:dyDescent="0.25">
      <c r="A11" s="145"/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</row>
    <row r="12" spans="1:24" x14ac:dyDescent="0.25">
      <c r="A12" s="130" t="s">
        <v>399</v>
      </c>
      <c r="B12" s="89" t="s">
        <v>190</v>
      </c>
      <c r="C12" s="89" t="s">
        <v>191</v>
      </c>
      <c r="D12" s="89" t="s">
        <v>192</v>
      </c>
      <c r="E12" s="89" t="s">
        <v>193</v>
      </c>
      <c r="F12" s="89" t="s">
        <v>194</v>
      </c>
      <c r="G12" s="89" t="s">
        <v>195</v>
      </c>
      <c r="H12" s="89" t="s">
        <v>196</v>
      </c>
      <c r="I12" s="89" t="s">
        <v>197</v>
      </c>
      <c r="J12" s="89" t="s">
        <v>128</v>
      </c>
      <c r="K12" s="89" t="s">
        <v>30</v>
      </c>
      <c r="L12" s="89" t="s">
        <v>31</v>
      </c>
      <c r="M12" s="89" t="s">
        <v>32</v>
      </c>
      <c r="N12" s="89" t="s">
        <v>33</v>
      </c>
      <c r="O12" s="89" t="s">
        <v>34</v>
      </c>
      <c r="P12" s="89" t="s">
        <v>35</v>
      </c>
      <c r="Q12" s="89" t="s">
        <v>36</v>
      </c>
      <c r="R12" s="89" t="s">
        <v>37</v>
      </c>
      <c r="S12" s="89" t="s">
        <v>38</v>
      </c>
      <c r="T12" s="130"/>
      <c r="U12" s="130"/>
      <c r="V12" s="130"/>
      <c r="W12" s="130"/>
      <c r="X12" s="130"/>
    </row>
    <row r="13" spans="1:24" s="89" customFormat="1" x14ac:dyDescent="0.25">
      <c r="A13" s="75" t="s">
        <v>383</v>
      </c>
      <c r="B13" s="136">
        <v>0.4</v>
      </c>
      <c r="C13" s="136">
        <v>0.4</v>
      </c>
      <c r="D13" s="136">
        <v>0.4</v>
      </c>
      <c r="E13" s="136">
        <v>0.4</v>
      </c>
      <c r="F13" s="136">
        <v>0.4</v>
      </c>
      <c r="G13" s="136">
        <v>0.4</v>
      </c>
      <c r="H13" s="136">
        <v>0.4</v>
      </c>
      <c r="I13" s="136">
        <v>0.4</v>
      </c>
      <c r="J13" s="136">
        <v>0.4</v>
      </c>
      <c r="K13" s="136">
        <v>0.4</v>
      </c>
      <c r="L13" s="136">
        <v>0.4</v>
      </c>
      <c r="M13" s="136">
        <v>0.4</v>
      </c>
      <c r="N13" s="136">
        <v>0.4</v>
      </c>
      <c r="O13" s="136">
        <v>0.4</v>
      </c>
      <c r="P13" s="136">
        <v>0.4</v>
      </c>
      <c r="Q13" s="136">
        <v>0.4</v>
      </c>
      <c r="R13" s="136">
        <v>0.4</v>
      </c>
      <c r="S13" s="136">
        <v>0.4</v>
      </c>
    </row>
    <row r="14" spans="1:24" s="89" customFormat="1" x14ac:dyDescent="0.25">
      <c r="A14" s="75" t="s">
        <v>384</v>
      </c>
      <c r="B14" s="136">
        <v>0.6</v>
      </c>
      <c r="C14" s="136">
        <v>0.6</v>
      </c>
      <c r="D14" s="136">
        <v>0.6</v>
      </c>
      <c r="E14" s="136">
        <v>0.6</v>
      </c>
      <c r="F14" s="136">
        <v>0.6</v>
      </c>
      <c r="G14" s="136">
        <v>0.6</v>
      </c>
      <c r="H14" s="136">
        <v>0.6</v>
      </c>
      <c r="I14" s="136">
        <v>0.6</v>
      </c>
      <c r="J14" s="136">
        <v>0.6</v>
      </c>
      <c r="K14" s="136">
        <v>0.6</v>
      </c>
      <c r="L14" s="136">
        <v>0.6</v>
      </c>
      <c r="M14" s="136">
        <v>0.6</v>
      </c>
      <c r="N14" s="136">
        <v>0.6</v>
      </c>
      <c r="O14" s="136">
        <v>0.6</v>
      </c>
      <c r="P14" s="136">
        <v>0.6</v>
      </c>
      <c r="Q14" s="136">
        <v>0.6</v>
      </c>
      <c r="R14" s="136">
        <v>0.6</v>
      </c>
      <c r="S14" s="136">
        <v>0.6</v>
      </c>
    </row>
    <row r="15" spans="1:24" x14ac:dyDescent="0.25">
      <c r="A15" s="134" t="s">
        <v>403</v>
      </c>
      <c r="B15" s="132">
        <v>1.06212235303983</v>
      </c>
      <c r="C15" s="131">
        <v>1.0621223530398325</v>
      </c>
      <c r="D15" s="132">
        <v>1.0621223530398325</v>
      </c>
      <c r="E15" s="131">
        <v>1.0621223530398325</v>
      </c>
      <c r="F15" s="132">
        <v>1.0621223530398325</v>
      </c>
      <c r="G15" s="131">
        <v>1.0621223530398325</v>
      </c>
      <c r="H15" s="132">
        <v>1.0621223530398325</v>
      </c>
      <c r="I15" s="131">
        <v>1.0621223530398325</v>
      </c>
      <c r="J15" s="132">
        <v>1.0621223530398325</v>
      </c>
      <c r="K15" s="131">
        <v>1.0621223530398325</v>
      </c>
      <c r="L15" s="132">
        <v>1.0621223530398325</v>
      </c>
      <c r="M15" s="131">
        <v>1.0621223530398325</v>
      </c>
      <c r="N15" s="132">
        <v>1.0621223530398325</v>
      </c>
      <c r="O15" s="131">
        <v>1.0621223530398325</v>
      </c>
      <c r="P15" s="132">
        <v>1.0621223530398325</v>
      </c>
      <c r="Q15" s="131">
        <v>1.0621223530398325</v>
      </c>
      <c r="R15" s="132">
        <v>1.0621223530398325</v>
      </c>
      <c r="S15" s="131">
        <v>1.0621223530398325</v>
      </c>
    </row>
    <row r="16" spans="1:24" s="89" customFormat="1" x14ac:dyDescent="0.25">
      <c r="A16" s="75" t="s">
        <v>404</v>
      </c>
      <c r="B16" s="132">
        <f>B15/100</f>
        <v>1.0621223530398301E-2</v>
      </c>
      <c r="C16" s="132">
        <f t="shared" ref="C16:S16" si="4">C15/100</f>
        <v>1.0621223530398325E-2</v>
      </c>
      <c r="D16" s="132">
        <f t="shared" si="4"/>
        <v>1.0621223530398325E-2</v>
      </c>
      <c r="E16" s="132">
        <f t="shared" si="4"/>
        <v>1.0621223530398325E-2</v>
      </c>
      <c r="F16" s="132">
        <f t="shared" si="4"/>
        <v>1.0621223530398325E-2</v>
      </c>
      <c r="G16" s="132">
        <f t="shared" si="4"/>
        <v>1.0621223530398325E-2</v>
      </c>
      <c r="H16" s="132">
        <f t="shared" si="4"/>
        <v>1.0621223530398325E-2</v>
      </c>
      <c r="I16" s="132">
        <f t="shared" si="4"/>
        <v>1.0621223530398325E-2</v>
      </c>
      <c r="J16" s="132">
        <f t="shared" si="4"/>
        <v>1.0621223530398325E-2</v>
      </c>
      <c r="K16" s="132">
        <f t="shared" si="4"/>
        <v>1.0621223530398325E-2</v>
      </c>
      <c r="L16" s="132">
        <f t="shared" si="4"/>
        <v>1.0621223530398325E-2</v>
      </c>
      <c r="M16" s="132">
        <f t="shared" si="4"/>
        <v>1.0621223530398325E-2</v>
      </c>
      <c r="N16" s="132">
        <f t="shared" si="4"/>
        <v>1.0621223530398325E-2</v>
      </c>
      <c r="O16" s="132">
        <f t="shared" si="4"/>
        <v>1.0621223530398325E-2</v>
      </c>
      <c r="P16" s="132">
        <f t="shared" si="4"/>
        <v>1.0621223530398325E-2</v>
      </c>
      <c r="Q16" s="132">
        <f t="shared" si="4"/>
        <v>1.0621223530398325E-2</v>
      </c>
      <c r="R16" s="132">
        <f t="shared" si="4"/>
        <v>1.0621223530398325E-2</v>
      </c>
      <c r="S16" s="132">
        <f t="shared" si="4"/>
        <v>1.0621223530398325E-2</v>
      </c>
    </row>
    <row r="17" spans="1:19" s="89" customFormat="1" x14ac:dyDescent="0.25">
      <c r="A17" s="131" t="s">
        <v>405</v>
      </c>
      <c r="B17" s="132">
        <f>Energy_Consumption_Electric_MJ[2001]*B14</f>
        <v>2.5333333333333333E-2</v>
      </c>
      <c r="C17" s="132">
        <f>Energy_Consumption_Electric_MJ[2002]*C14</f>
        <v>2.5333333333333333E-2</v>
      </c>
      <c r="D17" s="132">
        <f>Energy_Consumption_Electric_MJ[2003]*D14</f>
        <v>2.5333333333333333E-2</v>
      </c>
      <c r="E17" s="132">
        <f>Energy_Consumption_Electric_MJ[2004]*E14</f>
        <v>2.5333333333333333E-2</v>
      </c>
      <c r="F17" s="132">
        <f>Energy_Consumption_Electric_MJ[2005]*F14</f>
        <v>2.5333333333333333E-2</v>
      </c>
      <c r="G17" s="132">
        <f>Energy_Consumption_Electric_MJ[2006]*G14</f>
        <v>2.5333333333333333E-2</v>
      </c>
      <c r="H17" s="132">
        <f>Energy_Consumption_Electric_MJ[2007]*H14</f>
        <v>2.5333333333333333E-2</v>
      </c>
      <c r="I17" s="132">
        <f>Energy_Consumption_Electric_MJ[2008]*I14</f>
        <v>2.5333333333333333E-2</v>
      </c>
      <c r="J17" s="132">
        <f>Energy_Consumption_Electric_MJ[2009]*J14</f>
        <v>2.5333333333333333E-2</v>
      </c>
      <c r="K17" s="132">
        <f>Energy_Consumption_Electric_MJ[2010]*K14</f>
        <v>2.5333333333333333E-2</v>
      </c>
      <c r="L17" s="132">
        <f>Energy_Consumption_Electric_MJ[2011]*L14</f>
        <v>2.5333333333333333E-2</v>
      </c>
      <c r="M17" s="132">
        <f>Energy_Consumption_Electric_MJ[2012]*M14</f>
        <v>2.5333333333333333E-2</v>
      </c>
      <c r="N17" s="132">
        <f>Energy_Consumption_Electric_MJ[2013]*N14</f>
        <v>2.5333333333333333E-2</v>
      </c>
      <c r="O17" s="132">
        <f>Energy_Consumption_Electric_MJ[2014]*O14</f>
        <v>2.5333333333333333E-2</v>
      </c>
      <c r="P17" s="132">
        <f>Energy_Consumption_Electric_MJ[2015]*P14</f>
        <v>2.5333333333333333E-2</v>
      </c>
      <c r="Q17" s="132">
        <f>Energy_Consumption_Electric_MJ[2016]*Q14</f>
        <v>2.5333333333333333E-2</v>
      </c>
      <c r="R17" s="132">
        <f>Energy_Consumption_Electric_MJ[2017]*R14</f>
        <v>2.5333333333333333E-2</v>
      </c>
      <c r="S17" s="132">
        <f>Energy_Consumption_Electric_MJ[2018]*S14</f>
        <v>2.5333333333333333E-2</v>
      </c>
    </row>
    <row r="18" spans="1:19" s="89" customFormat="1" x14ac:dyDescent="0.25">
      <c r="A18" s="131" t="s">
        <v>4</v>
      </c>
      <c r="B18" s="132">
        <f t="shared" ref="B18:S18" si="5">SUM(B16:B17)</f>
        <v>3.5954556863731633E-2</v>
      </c>
      <c r="C18" s="132">
        <f t="shared" si="5"/>
        <v>3.5954556863731654E-2</v>
      </c>
      <c r="D18" s="132">
        <f t="shared" si="5"/>
        <v>3.5954556863731654E-2</v>
      </c>
      <c r="E18" s="132">
        <f t="shared" si="5"/>
        <v>3.5954556863731654E-2</v>
      </c>
      <c r="F18" s="132">
        <f t="shared" si="5"/>
        <v>3.5954556863731654E-2</v>
      </c>
      <c r="G18" s="132">
        <f t="shared" si="5"/>
        <v>3.5954556863731654E-2</v>
      </c>
      <c r="H18" s="132">
        <f t="shared" si="5"/>
        <v>3.5954556863731654E-2</v>
      </c>
      <c r="I18" s="132">
        <f t="shared" si="5"/>
        <v>3.5954556863731654E-2</v>
      </c>
      <c r="J18" s="132">
        <f t="shared" si="5"/>
        <v>3.5954556863731654E-2</v>
      </c>
      <c r="K18" s="132">
        <f t="shared" si="5"/>
        <v>3.5954556863731654E-2</v>
      </c>
      <c r="L18" s="132">
        <f t="shared" si="5"/>
        <v>3.5954556863731654E-2</v>
      </c>
      <c r="M18" s="132">
        <f t="shared" si="5"/>
        <v>3.5954556863731654E-2</v>
      </c>
      <c r="N18" s="132">
        <f t="shared" si="5"/>
        <v>3.5954556863731654E-2</v>
      </c>
      <c r="O18" s="132">
        <f t="shared" si="5"/>
        <v>3.5954556863731654E-2</v>
      </c>
      <c r="P18" s="132">
        <f t="shared" si="5"/>
        <v>3.5954556863731654E-2</v>
      </c>
      <c r="Q18" s="132">
        <f t="shared" si="5"/>
        <v>3.5954556863731654E-2</v>
      </c>
      <c r="R18" s="132">
        <f t="shared" si="5"/>
        <v>3.5954556863731654E-2</v>
      </c>
      <c r="S18" s="132">
        <f t="shared" si="5"/>
        <v>3.5954556863731654E-2</v>
      </c>
    </row>
    <row r="20" spans="1:19" x14ac:dyDescent="0.25">
      <c r="A20" s="140" t="s">
        <v>382</v>
      </c>
      <c r="B20" s="89" t="s">
        <v>190</v>
      </c>
      <c r="C20" s="89" t="s">
        <v>191</v>
      </c>
      <c r="D20" s="89" t="s">
        <v>192</v>
      </c>
      <c r="E20" s="89" t="s">
        <v>193</v>
      </c>
      <c r="F20" s="89" t="s">
        <v>194</v>
      </c>
      <c r="G20" s="89" t="s">
        <v>195</v>
      </c>
      <c r="H20" s="89" t="s">
        <v>196</v>
      </c>
      <c r="I20" s="89" t="s">
        <v>197</v>
      </c>
      <c r="J20" s="89" t="s">
        <v>128</v>
      </c>
      <c r="K20" s="89" t="s">
        <v>30</v>
      </c>
      <c r="L20" s="89" t="s">
        <v>31</v>
      </c>
      <c r="M20" s="89" t="s">
        <v>32</v>
      </c>
      <c r="N20" s="89" t="s">
        <v>33</v>
      </c>
      <c r="O20" s="89" t="s">
        <v>34</v>
      </c>
      <c r="P20" s="89" t="s">
        <v>35</v>
      </c>
      <c r="Q20" s="89" t="s">
        <v>36</v>
      </c>
      <c r="R20" s="89" t="s">
        <v>37</v>
      </c>
      <c r="S20" s="89" t="s">
        <v>38</v>
      </c>
    </row>
    <row r="21" spans="1:19" x14ac:dyDescent="0.25">
      <c r="A21" s="143" t="s">
        <v>362</v>
      </c>
      <c r="B21" s="144">
        <v>4.2222222222222223E-2</v>
      </c>
      <c r="C21" s="143">
        <v>4.2222222222222223E-2</v>
      </c>
      <c r="D21" s="144">
        <v>4.2222222222222223E-2</v>
      </c>
      <c r="E21" s="143">
        <v>4.2222222222222223E-2</v>
      </c>
      <c r="F21" s="144">
        <v>4.2222222222222223E-2</v>
      </c>
      <c r="G21" s="143">
        <v>4.2222222222222223E-2</v>
      </c>
      <c r="H21" s="144">
        <v>4.2222222222222223E-2</v>
      </c>
      <c r="I21" s="143">
        <v>4.2222222222222223E-2</v>
      </c>
      <c r="J21" s="144">
        <v>4.2222222222222223E-2</v>
      </c>
      <c r="K21" s="143">
        <v>4.2222222222222223E-2</v>
      </c>
      <c r="L21" s="144">
        <v>4.2222222222222223E-2</v>
      </c>
      <c r="M21" s="144">
        <v>4.2222222222222223E-2</v>
      </c>
      <c r="N21" s="143">
        <v>4.2222222222222223E-2</v>
      </c>
      <c r="O21" s="144">
        <v>4.2222222222222223E-2</v>
      </c>
      <c r="P21" s="143">
        <v>4.2222222222222223E-2</v>
      </c>
      <c r="Q21" s="144">
        <v>4.2222222222222223E-2</v>
      </c>
      <c r="R21" s="143">
        <v>4.2222222222222223E-2</v>
      </c>
      <c r="S21" s="144">
        <v>4.2222222222222223E-2</v>
      </c>
    </row>
    <row r="23" spans="1:19" x14ac:dyDescent="0.25">
      <c r="A23" s="140" t="s">
        <v>388</v>
      </c>
      <c r="B23" s="141" t="s">
        <v>190</v>
      </c>
      <c r="C23" s="141" t="s">
        <v>191</v>
      </c>
      <c r="D23" s="141" t="s">
        <v>192</v>
      </c>
      <c r="E23" s="141" t="s">
        <v>193</v>
      </c>
      <c r="F23" s="141" t="s">
        <v>194</v>
      </c>
      <c r="G23" s="141" t="s">
        <v>195</v>
      </c>
      <c r="H23" s="141" t="s">
        <v>196</v>
      </c>
      <c r="I23" s="141" t="s">
        <v>197</v>
      </c>
      <c r="J23" s="141" t="s">
        <v>128</v>
      </c>
      <c r="K23" s="141" t="s">
        <v>30</v>
      </c>
      <c r="L23" s="141" t="s">
        <v>31</v>
      </c>
      <c r="M23" s="141" t="s">
        <v>32</v>
      </c>
      <c r="N23" s="141" t="s">
        <v>33</v>
      </c>
      <c r="O23" s="141" t="s">
        <v>34</v>
      </c>
      <c r="P23" s="141" t="s">
        <v>35</v>
      </c>
      <c r="Q23" s="141" t="s">
        <v>36</v>
      </c>
      <c r="R23" s="141" t="s">
        <v>37</v>
      </c>
      <c r="S23" s="142" t="s">
        <v>38</v>
      </c>
    </row>
    <row r="24" spans="1:19" s="89" customFormat="1" x14ac:dyDescent="0.25">
      <c r="A24" s="133" t="s">
        <v>401</v>
      </c>
      <c r="B24" s="75">
        <f>S6</f>
        <v>1.8732988679245281E-2</v>
      </c>
      <c r="C24" s="89">
        <f>R6</f>
        <v>1.8732988679245281E-2</v>
      </c>
      <c r="D24" s="75">
        <f>Q6</f>
        <v>1.8732988679245281E-2</v>
      </c>
      <c r="E24" s="89">
        <f>P6</f>
        <v>1.8732988679245281E-2</v>
      </c>
      <c r="F24" s="75">
        <f>O6</f>
        <v>1.8732988679245281E-2</v>
      </c>
      <c r="G24" s="89">
        <f>N6</f>
        <v>1.8732988679245242E-2</v>
      </c>
      <c r="H24" s="75">
        <f>M6</f>
        <v>1.8732988679245235E-2</v>
      </c>
      <c r="I24" s="89">
        <f>L6</f>
        <v>1.8575567243020619E-2</v>
      </c>
      <c r="J24" s="75">
        <f>K6</f>
        <v>1.8942274371985215E-2</v>
      </c>
      <c r="K24" s="89">
        <f>J6</f>
        <v>1.9182685571285506E-2</v>
      </c>
      <c r="L24" s="75">
        <f>I6</f>
        <v>1.7410524698906974E-2</v>
      </c>
      <c r="M24" s="89">
        <f>H6</f>
        <v>1.713934146021923E-2</v>
      </c>
      <c r="N24" s="75">
        <f>G6</f>
        <v>1.6472791445594385E-2</v>
      </c>
      <c r="O24" s="89">
        <f>F6</f>
        <v>1.5047066115160608E-2</v>
      </c>
      <c r="P24" s="75">
        <f>E6</f>
        <v>1.332718517780189E-2</v>
      </c>
      <c r="Q24" s="89">
        <f>D6</f>
        <v>1.4021698113207547E-2</v>
      </c>
      <c r="R24" s="75">
        <f>C6</f>
        <v>1.4021698113207547E-2</v>
      </c>
      <c r="S24" s="89">
        <f>B6</f>
        <v>1.4021698113207555E-2</v>
      </c>
    </row>
    <row r="25" spans="1:19" x14ac:dyDescent="0.25">
      <c r="A25" s="133" t="str">
        <f>A9</f>
        <v>Electric Hybrid (MJ/km)</v>
      </c>
      <c r="B25" s="75">
        <f>S9</f>
        <v>1.6888888888888891E-2</v>
      </c>
      <c r="C25" s="89">
        <f>R9</f>
        <v>1.6888888888888891E-2</v>
      </c>
      <c r="D25" s="75">
        <f>Q9</f>
        <v>1.6888888888888891E-2</v>
      </c>
      <c r="E25" s="89">
        <f>P9</f>
        <v>1.6888888888888891E-2</v>
      </c>
      <c r="F25" s="75">
        <f>O9</f>
        <v>1.6888888888888891E-2</v>
      </c>
      <c r="G25" s="89">
        <f>N9</f>
        <v>1.6888888888888891E-2</v>
      </c>
      <c r="H25" s="75">
        <f>M9</f>
        <v>1.6888888888888891E-2</v>
      </c>
      <c r="I25" s="89">
        <f>L9</f>
        <v>1.6888888888888891E-2</v>
      </c>
      <c r="J25" s="75">
        <f>K9</f>
        <v>1.6888888888888891E-2</v>
      </c>
      <c r="K25" s="89">
        <f>J9</f>
        <v>1.6888888888888891E-2</v>
      </c>
      <c r="L25" s="75">
        <f>I9</f>
        <v>1.6888888888888891E-2</v>
      </c>
      <c r="M25" s="89">
        <f>H9</f>
        <v>1.6888888888888891E-2</v>
      </c>
      <c r="N25" s="75">
        <f>G9</f>
        <v>1.6888888888888891E-2</v>
      </c>
      <c r="O25" s="89">
        <f>F9</f>
        <v>1.6888888888888891E-2</v>
      </c>
      <c r="P25" s="75">
        <f>E9</f>
        <v>1.6888888888888891E-2</v>
      </c>
      <c r="Q25" s="89">
        <f>D9</f>
        <v>1.6888888888888891E-2</v>
      </c>
      <c r="R25" s="75">
        <f>C9</f>
        <v>1.6888888888888891E-2</v>
      </c>
      <c r="S25" s="89">
        <f>B9</f>
        <v>1.6888888888888891E-2</v>
      </c>
    </row>
    <row r="26" spans="1:19" s="89" customFormat="1" x14ac:dyDescent="0.25">
      <c r="A26" s="106" t="s">
        <v>362</v>
      </c>
      <c r="B26" s="111">
        <f>SUM(Energy_Consumption_Hybrid_MJ[2001])</f>
        <v>3.5621877568134175E-2</v>
      </c>
      <c r="C26" s="111">
        <f>SUM(Energy_Consumption_Hybrid_MJ[2002])</f>
        <v>3.5621877568134175E-2</v>
      </c>
      <c r="D26" s="111">
        <f>SUM(Energy_Consumption_Hybrid_MJ[2003])</f>
        <v>3.5621877568134175E-2</v>
      </c>
      <c r="E26" s="111">
        <f>SUM(Energy_Consumption_Hybrid_MJ[2004])</f>
        <v>3.5621877568134175E-2</v>
      </c>
      <c r="F26" s="111">
        <f>SUM(Energy_Consumption_Hybrid_MJ[2005])</f>
        <v>3.5621877568134175E-2</v>
      </c>
      <c r="G26" s="111">
        <f>SUM(Energy_Consumption_Hybrid_MJ[2006])</f>
        <v>3.5621877568134133E-2</v>
      </c>
      <c r="H26" s="111">
        <f>SUM(Energy_Consumption_Hybrid_MJ[2007])</f>
        <v>3.5621877568134126E-2</v>
      </c>
      <c r="I26" s="111">
        <f>SUM(Energy_Consumption_Hybrid_MJ[2008])</f>
        <v>3.5464456131909509E-2</v>
      </c>
      <c r="J26" s="111">
        <f>SUM(Energy_Consumption_Hybrid_MJ[2009])</f>
        <v>3.5831163260874106E-2</v>
      </c>
      <c r="K26" s="111">
        <f>SUM(Energy_Consumption_Hybrid_MJ[2010])</f>
        <v>3.6071574460174394E-2</v>
      </c>
      <c r="L26" s="111">
        <f>SUM(Energy_Consumption_Hybrid_MJ[2011])</f>
        <v>3.4299413587795868E-2</v>
      </c>
      <c r="M26" s="111">
        <f>SUM(Energy_Consumption_Hybrid_MJ[2012])</f>
        <v>3.4028230349108124E-2</v>
      </c>
      <c r="N26" s="111">
        <f>SUM(Energy_Consumption_Hybrid_MJ[2013])</f>
        <v>3.3361680334483279E-2</v>
      </c>
      <c r="O26" s="111">
        <f>SUM(Energy_Consumption_Hybrid_MJ[2014])</f>
        <v>3.1935955004049499E-2</v>
      </c>
      <c r="P26" s="111">
        <f>SUM(Energy_Consumption_Hybrid_MJ[2015])</f>
        <v>3.021607406669078E-2</v>
      </c>
      <c r="Q26" s="111">
        <f>SUM(Energy_Consumption_Hybrid_MJ[2016])</f>
        <v>3.0910587002096437E-2</v>
      </c>
      <c r="R26" s="111">
        <f>SUM(Energy_Consumption_Hybrid_MJ[2017])</f>
        <v>3.0910587002096437E-2</v>
      </c>
      <c r="S26" s="111">
        <f>SUM(Energy_Consumption_Hybrid_MJ[2018])</f>
        <v>3.0910587002096444E-2</v>
      </c>
    </row>
    <row r="28" spans="1:19" s="89" customFormat="1" x14ac:dyDescent="0.25">
      <c r="A28" s="89" t="s">
        <v>395</v>
      </c>
      <c r="B28" s="89" t="s">
        <v>190</v>
      </c>
      <c r="C28" s="89" t="s">
        <v>191</v>
      </c>
      <c r="D28" s="89" t="s">
        <v>192</v>
      </c>
      <c r="E28" s="89" t="s">
        <v>193</v>
      </c>
      <c r="F28" s="89" t="s">
        <v>194</v>
      </c>
      <c r="G28" s="89" t="s">
        <v>195</v>
      </c>
      <c r="H28" s="89" t="s">
        <v>196</v>
      </c>
      <c r="I28" s="89" t="s">
        <v>197</v>
      </c>
      <c r="J28" s="89" t="s">
        <v>128</v>
      </c>
      <c r="K28" s="89" t="s">
        <v>30</v>
      </c>
      <c r="L28" s="89" t="s">
        <v>31</v>
      </c>
      <c r="M28" s="89" t="s">
        <v>32</v>
      </c>
      <c r="N28" s="89" t="s">
        <v>33</v>
      </c>
      <c r="O28" s="89" t="s">
        <v>34</v>
      </c>
      <c r="P28" s="89" t="s">
        <v>35</v>
      </c>
      <c r="Q28" s="89" t="s">
        <v>36</v>
      </c>
      <c r="R28" s="89" t="s">
        <v>37</v>
      </c>
      <c r="S28" s="89" t="s">
        <v>38</v>
      </c>
    </row>
    <row r="29" spans="1:19" s="89" customFormat="1" x14ac:dyDescent="0.25">
      <c r="A29" s="133" t="s">
        <v>73</v>
      </c>
      <c r="B29">
        <f>B21*Conversion_factor_MJ_to_kWh[MJ to kWh]</f>
        <v>0.152</v>
      </c>
      <c r="C29" s="89">
        <f>Energy_Consumption_Electric_MJ[2002]*Conversion_factor_MJ_to_kWh[MJ to kWh]</f>
        <v>0.152</v>
      </c>
      <c r="D29" s="89">
        <f>Energy_Consumption_Electric_MJ[2003]*Conversion_factor_MJ_to_kWh[MJ to kWh]</f>
        <v>0.152</v>
      </c>
      <c r="E29" s="89">
        <f>Energy_Consumption_Electric_MJ[2004]*Conversion_factor_MJ_to_kWh[MJ to kWh]</f>
        <v>0.152</v>
      </c>
      <c r="F29" s="89">
        <f>Energy_Consumption_Electric_MJ[2005]*Conversion_factor_MJ_to_kWh[MJ to kWh]</f>
        <v>0.152</v>
      </c>
      <c r="G29" s="89">
        <f>Energy_Consumption_Electric_MJ[2006]*Conversion_factor_MJ_to_kWh[MJ to kWh]</f>
        <v>0.152</v>
      </c>
      <c r="H29" s="89">
        <f>Energy_Consumption_Electric_MJ[2007]*Conversion_factor_MJ_to_kWh[MJ to kWh]</f>
        <v>0.152</v>
      </c>
      <c r="I29" s="89">
        <f>Energy_Consumption_Electric_MJ[2008]*Conversion_factor_MJ_to_kWh[MJ to kWh]</f>
        <v>0.152</v>
      </c>
      <c r="J29" s="89">
        <f>Energy_Consumption_Electric_MJ[2009]*Conversion_factor_MJ_to_kWh[MJ to kWh]</f>
        <v>0.152</v>
      </c>
      <c r="K29" s="89">
        <f>Energy_Consumption_Electric_MJ[2010]*Conversion_factor_MJ_to_kWh[MJ to kWh]</f>
        <v>0.152</v>
      </c>
      <c r="L29" s="89">
        <f>Energy_Consumption_Electric_MJ[2011]*Conversion_factor_MJ_to_kWh[MJ to kWh]</f>
        <v>0.152</v>
      </c>
      <c r="M29" s="89">
        <f>Energy_Consumption_Electric_MJ[2012]*Conversion_factor_MJ_to_kWh[MJ to kWh]</f>
        <v>0.152</v>
      </c>
      <c r="N29" s="89">
        <f>Energy_Consumption_Electric_MJ[2013]*Conversion_factor_MJ_to_kWh[MJ to kWh]</f>
        <v>0.152</v>
      </c>
      <c r="O29" s="89">
        <f>Energy_Consumption_Electric_MJ[2014]*Conversion_factor_MJ_to_kWh[MJ to kWh]</f>
        <v>0.152</v>
      </c>
      <c r="P29" s="89">
        <f>Energy_Consumption_Electric_MJ[2015]*Conversion_factor_MJ_to_kWh[MJ to kWh]</f>
        <v>0.152</v>
      </c>
      <c r="Q29" s="89">
        <f>Energy_Consumption_Electric_MJ[2016]*Conversion_factor_MJ_to_kWh[MJ to kWh]</f>
        <v>0.152</v>
      </c>
      <c r="R29" s="89">
        <f>Energy_Consumption_Electric_MJ[2017]*Conversion_factor_MJ_to_kWh[MJ to kWh]</f>
        <v>0.152</v>
      </c>
      <c r="S29" s="89">
        <f>Energy_Consumption_Electric_MJ[2018]*Conversion_factor_MJ_to_kWh[MJ to kWh]</f>
        <v>0.152</v>
      </c>
    </row>
    <row r="30" spans="1:19" s="89" customFormat="1" x14ac:dyDescent="0.25">
      <c r="A30" s="146" t="s">
        <v>4</v>
      </c>
      <c r="B30" s="89">
        <f>SUBTOTAL(109,Energy_Consumption_Electric_kWh[2001])</f>
        <v>0.152</v>
      </c>
      <c r="C30" s="89">
        <f>SUBTOTAL(109,Energy_Consumption_Electric_kWh[2002])</f>
        <v>0.152</v>
      </c>
      <c r="D30" s="89">
        <f>SUBTOTAL(109,Energy_Consumption_Electric_kWh[2003])</f>
        <v>0.152</v>
      </c>
      <c r="E30" s="89">
        <f>SUBTOTAL(109,Energy_Consumption_Electric_kWh[2004])</f>
        <v>0.152</v>
      </c>
      <c r="F30" s="89">
        <f>SUBTOTAL(109,Energy_Consumption_Electric_kWh[2005])</f>
        <v>0.152</v>
      </c>
      <c r="G30" s="89">
        <f>SUBTOTAL(109,Energy_Consumption_Electric_kWh[2006])</f>
        <v>0.152</v>
      </c>
      <c r="H30" s="89">
        <f>SUBTOTAL(109,Energy_Consumption_Electric_kWh[2007])</f>
        <v>0.152</v>
      </c>
      <c r="I30" s="89">
        <f>SUBTOTAL(109,Energy_Consumption_Electric_kWh[2008])</f>
        <v>0.152</v>
      </c>
      <c r="J30" s="89">
        <f>SUBTOTAL(109,Energy_Consumption_Electric_kWh[2009])</f>
        <v>0.152</v>
      </c>
      <c r="K30" s="89">
        <f>SUBTOTAL(109,Energy_Consumption_Electric_kWh[2010])</f>
        <v>0.152</v>
      </c>
      <c r="L30" s="89">
        <f>SUBTOTAL(109,Energy_Consumption_Electric_kWh[2011])</f>
        <v>0.152</v>
      </c>
      <c r="M30" s="89">
        <f>SUBTOTAL(109,Energy_Consumption_Electric_kWh[2012])</f>
        <v>0.152</v>
      </c>
      <c r="N30" s="89">
        <f>SUBTOTAL(109,Energy_Consumption_Electric_kWh[2013])</f>
        <v>0.152</v>
      </c>
      <c r="O30" s="89">
        <f>SUBTOTAL(109,Energy_Consumption_Electric_kWh[2014])</f>
        <v>0.152</v>
      </c>
      <c r="P30" s="89">
        <f>SUBTOTAL(109,Energy_Consumption_Electric_kWh[2015])</f>
        <v>0.152</v>
      </c>
      <c r="Q30" s="89">
        <f>SUBTOTAL(109,Energy_Consumption_Electric_kWh[2016])</f>
        <v>0.152</v>
      </c>
      <c r="R30" s="89">
        <f>SUBTOTAL(109,Energy_Consumption_Electric_kWh[2017])</f>
        <v>0.152</v>
      </c>
      <c r="S30" s="89">
        <f>SUBTOTAL(109,Energy_Consumption_Electric_kWh[2018])</f>
        <v>0.152</v>
      </c>
    </row>
    <row r="31" spans="1:19" x14ac:dyDescent="0.25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</row>
    <row r="32" spans="1:19" x14ac:dyDescent="0.25">
      <c r="A32" s="68" t="s">
        <v>396</v>
      </c>
      <c r="B32" s="89" t="s">
        <v>190</v>
      </c>
      <c r="C32" s="89" t="s">
        <v>191</v>
      </c>
      <c r="D32" s="89" t="s">
        <v>192</v>
      </c>
      <c r="E32" s="89" t="s">
        <v>193</v>
      </c>
      <c r="F32" s="89" t="s">
        <v>194</v>
      </c>
      <c r="G32" s="89" t="s">
        <v>195</v>
      </c>
      <c r="H32" s="89" t="s">
        <v>196</v>
      </c>
      <c r="I32" s="89" t="s">
        <v>197</v>
      </c>
      <c r="J32" s="89" t="s">
        <v>128</v>
      </c>
      <c r="K32" s="89" t="s">
        <v>30</v>
      </c>
      <c r="L32" s="89" t="s">
        <v>31</v>
      </c>
      <c r="M32" s="89" t="s">
        <v>32</v>
      </c>
      <c r="N32" s="89" t="s">
        <v>33</v>
      </c>
      <c r="O32" s="89" t="s">
        <v>34</v>
      </c>
      <c r="P32" s="89" t="s">
        <v>35</v>
      </c>
      <c r="Q32" s="89" t="s">
        <v>36</v>
      </c>
      <c r="R32" s="89" t="s">
        <v>37</v>
      </c>
      <c r="S32" s="89" t="s">
        <v>38</v>
      </c>
    </row>
    <row r="33" spans="1:19" s="89" customFormat="1" x14ac:dyDescent="0.25">
      <c r="A33" s="133" t="s">
        <v>71</v>
      </c>
      <c r="B33">
        <f>B16*Conversion_factor_MJ_to_kWh[MJ to kWh]</f>
        <v>3.8236404709433881E-2</v>
      </c>
      <c r="C33" s="89">
        <f>C16*Conversion_factor_MJ_to_kWh[MJ to kWh]</f>
        <v>3.8236404709433972E-2</v>
      </c>
      <c r="D33" s="89">
        <f>D16*Conversion_factor_MJ_to_kWh[MJ to kWh]</f>
        <v>3.8236404709433972E-2</v>
      </c>
      <c r="E33" s="89">
        <f>E16*Conversion_factor_MJ_to_kWh[MJ to kWh]</f>
        <v>3.8236404709433972E-2</v>
      </c>
      <c r="F33" s="89">
        <f>F16*Conversion_factor_MJ_to_kWh[MJ to kWh]</f>
        <v>3.8236404709433972E-2</v>
      </c>
      <c r="G33" s="89">
        <f>G16*Conversion_factor_MJ_to_kWh[MJ to kWh]</f>
        <v>3.8236404709433972E-2</v>
      </c>
      <c r="H33" s="89">
        <f>H16*Conversion_factor_MJ_to_kWh[MJ to kWh]</f>
        <v>3.8236404709433972E-2</v>
      </c>
      <c r="I33" s="89">
        <f>I16*Conversion_factor_MJ_to_kWh[MJ to kWh]</f>
        <v>3.8236404709433972E-2</v>
      </c>
      <c r="J33" s="89">
        <f>J16*Conversion_factor_MJ_to_kWh[MJ to kWh]</f>
        <v>3.8236404709433972E-2</v>
      </c>
      <c r="K33" s="89">
        <f>K16*Conversion_factor_MJ_to_kWh[MJ to kWh]</f>
        <v>3.8236404709433972E-2</v>
      </c>
      <c r="L33" s="89">
        <f>L16*Conversion_factor_MJ_to_kWh[MJ to kWh]</f>
        <v>3.8236404709433972E-2</v>
      </c>
      <c r="M33" s="89">
        <f>M16*Conversion_factor_MJ_to_kWh[MJ to kWh]</f>
        <v>3.8236404709433972E-2</v>
      </c>
      <c r="N33" s="89">
        <f>N16*Conversion_factor_MJ_to_kWh[MJ to kWh]</f>
        <v>3.8236404709433972E-2</v>
      </c>
      <c r="O33" s="89">
        <f>O16*Conversion_factor_MJ_to_kWh[MJ to kWh]</f>
        <v>3.8236404709433972E-2</v>
      </c>
      <c r="P33" s="89">
        <f>P16*Conversion_factor_MJ_to_kWh[MJ to kWh]</f>
        <v>3.8236404709433972E-2</v>
      </c>
      <c r="Q33" s="89">
        <f>Q16*Conversion_factor_MJ_to_kWh[MJ to kWh]</f>
        <v>3.8236404709433972E-2</v>
      </c>
      <c r="R33" s="89">
        <f>R16*Conversion_factor_MJ_to_kWh[MJ to kWh]</f>
        <v>3.8236404709433972E-2</v>
      </c>
      <c r="S33" s="89">
        <f>S16*Conversion_factor_MJ_to_kWh[MJ to kWh]</f>
        <v>3.8236404709433972E-2</v>
      </c>
    </row>
    <row r="34" spans="1:19" x14ac:dyDescent="0.25">
      <c r="A34" s="133" t="s">
        <v>73</v>
      </c>
      <c r="B34" s="89">
        <f>B17*Conversion_factor_MJ_to_kWh[MJ to kWh]</f>
        <v>9.1200000000000003E-2</v>
      </c>
      <c r="C34" s="89">
        <f>C17*Conversion_factor_MJ_to_kWh[MJ to kWh]</f>
        <v>9.1200000000000003E-2</v>
      </c>
      <c r="D34" s="89">
        <f>D17*Conversion_factor_MJ_to_kWh[MJ to kWh]</f>
        <v>9.1200000000000003E-2</v>
      </c>
      <c r="E34" s="89">
        <f>E17*Conversion_factor_MJ_to_kWh[MJ to kWh]</f>
        <v>9.1200000000000003E-2</v>
      </c>
      <c r="F34" s="89">
        <f>F17*Conversion_factor_MJ_to_kWh[MJ to kWh]</f>
        <v>9.1200000000000003E-2</v>
      </c>
      <c r="G34" s="89">
        <f>G17*Conversion_factor_MJ_to_kWh[MJ to kWh]</f>
        <v>9.1200000000000003E-2</v>
      </c>
      <c r="H34" s="89">
        <f>H17*Conversion_factor_MJ_to_kWh[MJ to kWh]</f>
        <v>9.1200000000000003E-2</v>
      </c>
      <c r="I34" s="89">
        <f>I17*Conversion_factor_MJ_to_kWh[MJ to kWh]</f>
        <v>9.1200000000000003E-2</v>
      </c>
      <c r="J34" s="89">
        <f>J17*Conversion_factor_MJ_to_kWh[MJ to kWh]</f>
        <v>9.1200000000000003E-2</v>
      </c>
      <c r="K34" s="89">
        <f>K17*Conversion_factor_MJ_to_kWh[MJ to kWh]</f>
        <v>9.1200000000000003E-2</v>
      </c>
      <c r="L34" s="89">
        <f>L17*Conversion_factor_MJ_to_kWh[MJ to kWh]</f>
        <v>9.1200000000000003E-2</v>
      </c>
      <c r="M34" s="89">
        <f>M17*Conversion_factor_MJ_to_kWh[MJ to kWh]</f>
        <v>9.1200000000000003E-2</v>
      </c>
      <c r="N34" s="89">
        <f>N17*Conversion_factor_MJ_to_kWh[MJ to kWh]</f>
        <v>9.1200000000000003E-2</v>
      </c>
      <c r="O34" s="89">
        <f>O17*Conversion_factor_MJ_to_kWh[MJ to kWh]</f>
        <v>9.1200000000000003E-2</v>
      </c>
      <c r="P34" s="89">
        <f>P17*Conversion_factor_MJ_to_kWh[MJ to kWh]</f>
        <v>9.1200000000000003E-2</v>
      </c>
      <c r="Q34" s="89">
        <f>Q17*Conversion_factor_MJ_to_kWh[MJ to kWh]</f>
        <v>9.1200000000000003E-2</v>
      </c>
      <c r="R34" s="89">
        <f>R17*Conversion_factor_MJ_to_kWh[MJ to kWh]</f>
        <v>9.1200000000000003E-2</v>
      </c>
      <c r="S34" s="89">
        <f>S17*Conversion_factor_MJ_to_kWh[MJ to kWh]</f>
        <v>9.1200000000000003E-2</v>
      </c>
    </row>
    <row r="35" spans="1:19" x14ac:dyDescent="0.25">
      <c r="A35" t="s">
        <v>4</v>
      </c>
      <c r="B35" s="89">
        <f>SUBTOTAL(109,Energy_Consumption_Plug_in_hybrid_kWh[2001])</f>
        <v>0.12943640470943388</v>
      </c>
      <c r="C35" s="89">
        <f>SUBTOTAL(109,Energy_Consumption_Plug_in_hybrid_kWh[2002])</f>
        <v>0.12943640470943396</v>
      </c>
      <c r="D35" s="89">
        <f>SUBTOTAL(109,Energy_Consumption_Plug_in_hybrid_kWh[2003])</f>
        <v>0.12943640470943396</v>
      </c>
      <c r="E35" s="89">
        <f>SUBTOTAL(109,Energy_Consumption_Plug_in_hybrid_kWh[2004])</f>
        <v>0.12943640470943396</v>
      </c>
      <c r="F35" s="89">
        <f>SUBTOTAL(109,Energy_Consumption_Plug_in_hybrid_kWh[2005])</f>
        <v>0.12943640470943396</v>
      </c>
      <c r="G35" s="89">
        <f>SUBTOTAL(109,Energy_Consumption_Plug_in_hybrid_kWh[2006])</f>
        <v>0.12943640470943396</v>
      </c>
      <c r="H35" s="89">
        <f>SUBTOTAL(109,Energy_Consumption_Plug_in_hybrid_kWh[2007])</f>
        <v>0.12943640470943396</v>
      </c>
      <c r="I35" s="89">
        <f>SUBTOTAL(109,Energy_Consumption_Plug_in_hybrid_kWh[2008])</f>
        <v>0.12943640470943396</v>
      </c>
      <c r="J35" s="89">
        <f>SUBTOTAL(109,Energy_Consumption_Plug_in_hybrid_kWh[2009])</f>
        <v>0.12943640470943396</v>
      </c>
      <c r="K35" s="89">
        <f>SUBTOTAL(109,Energy_Consumption_Plug_in_hybrid_kWh[2010])</f>
        <v>0.12943640470943396</v>
      </c>
      <c r="L35" s="89">
        <f>SUBTOTAL(109,Energy_Consumption_Plug_in_hybrid_kWh[2011])</f>
        <v>0.12943640470943396</v>
      </c>
      <c r="M35" s="89">
        <f>SUBTOTAL(109,Energy_Consumption_Plug_in_hybrid_kWh[2012])</f>
        <v>0.12943640470943396</v>
      </c>
      <c r="N35" s="89">
        <f>SUBTOTAL(109,Energy_Consumption_Plug_in_hybrid_kWh[2013])</f>
        <v>0.12943640470943396</v>
      </c>
      <c r="O35" s="89">
        <f>SUBTOTAL(109,Energy_Consumption_Plug_in_hybrid_kWh[2014])</f>
        <v>0.12943640470943396</v>
      </c>
      <c r="P35" s="89">
        <f>SUBTOTAL(109,Energy_Consumption_Plug_in_hybrid_kWh[2015])</f>
        <v>0.12943640470943396</v>
      </c>
      <c r="Q35" s="89">
        <f>SUBTOTAL(109,Energy_Consumption_Plug_in_hybrid_kWh[2016])</f>
        <v>0.12943640470943396</v>
      </c>
      <c r="R35" s="89">
        <f>SUBTOTAL(109,Energy_Consumption_Plug_in_hybrid_kWh[2017])</f>
        <v>0.12943640470943396</v>
      </c>
      <c r="S35" s="89">
        <f>SUBTOTAL(109,Energy_Consumption_Plug_in_hybrid_kWh[2018])</f>
        <v>0.12943640470943396</v>
      </c>
    </row>
    <row r="36" spans="1:19" x14ac:dyDescent="0.25">
      <c r="A36" s="8"/>
      <c r="B36" s="8"/>
      <c r="C36" s="8"/>
      <c r="D36" s="8"/>
      <c r="E36" s="89"/>
      <c r="F36" s="8"/>
      <c r="G36" s="89"/>
      <c r="H36" s="8"/>
      <c r="I36" s="89"/>
      <c r="J36" s="8"/>
      <c r="K36" s="89"/>
      <c r="L36" s="8"/>
      <c r="M36" s="89"/>
      <c r="N36" s="8"/>
      <c r="O36" s="89"/>
      <c r="P36" s="8"/>
      <c r="Q36" s="89"/>
      <c r="R36" s="8"/>
      <c r="S36" s="89"/>
    </row>
    <row r="37" spans="1:19" x14ac:dyDescent="0.25">
      <c r="A37" s="140" t="s">
        <v>397</v>
      </c>
      <c r="B37" s="141" t="s">
        <v>190</v>
      </c>
      <c r="C37" s="141" t="s">
        <v>191</v>
      </c>
      <c r="D37" s="141" t="s">
        <v>192</v>
      </c>
      <c r="E37" s="141" t="s">
        <v>193</v>
      </c>
      <c r="F37" s="141" t="s">
        <v>194</v>
      </c>
      <c r="G37" s="141" t="s">
        <v>195</v>
      </c>
      <c r="H37" s="141" t="s">
        <v>196</v>
      </c>
      <c r="I37" s="141" t="s">
        <v>197</v>
      </c>
      <c r="J37" s="141" t="s">
        <v>128</v>
      </c>
      <c r="K37" s="141" t="s">
        <v>30</v>
      </c>
      <c r="L37" s="141" t="s">
        <v>31</v>
      </c>
      <c r="M37" s="141" t="s">
        <v>32</v>
      </c>
      <c r="N37" s="141" t="s">
        <v>33</v>
      </c>
      <c r="O37" s="141" t="s">
        <v>34</v>
      </c>
      <c r="P37" s="141" t="s">
        <v>35</v>
      </c>
      <c r="Q37" s="141" t="s">
        <v>36</v>
      </c>
      <c r="R37" s="141" t="s">
        <v>37</v>
      </c>
      <c r="S37" s="142" t="s">
        <v>38</v>
      </c>
    </row>
    <row r="38" spans="1:19" x14ac:dyDescent="0.25">
      <c r="A38" s="133" t="s">
        <v>71</v>
      </c>
      <c r="B38">
        <f>B24*Conversion_factor_MJ_to_kWh[MJ to kWh]</f>
        <v>6.7438759245283017E-2</v>
      </c>
      <c r="C38" s="89">
        <f>C24*Conversion_factor_MJ_to_kWh[MJ to kWh]</f>
        <v>6.7438759245283017E-2</v>
      </c>
      <c r="D38" s="89">
        <f>D24*Conversion_factor_MJ_to_kWh[MJ to kWh]</f>
        <v>6.7438759245283017E-2</v>
      </c>
      <c r="E38" s="89">
        <f>E24*Conversion_factor_MJ_to_kWh[MJ to kWh]</f>
        <v>6.7438759245283017E-2</v>
      </c>
      <c r="F38" s="89">
        <f>F24*Conversion_factor_MJ_to_kWh[MJ to kWh]</f>
        <v>6.7438759245283017E-2</v>
      </c>
      <c r="G38" s="89">
        <f>G24*Conversion_factor_MJ_to_kWh[MJ to kWh]</f>
        <v>6.7438759245282878E-2</v>
      </c>
      <c r="H38" s="89">
        <f>H24*Conversion_factor_MJ_to_kWh[MJ to kWh]</f>
        <v>6.743875924528285E-2</v>
      </c>
      <c r="I38" s="89">
        <f>I24*Conversion_factor_MJ_to_kWh[MJ to kWh]</f>
        <v>6.6872042074874224E-2</v>
      </c>
      <c r="J38" s="89">
        <f>J24*Conversion_factor_MJ_to_kWh[MJ to kWh]</f>
        <v>6.8192187739146773E-2</v>
      </c>
      <c r="K38" s="89">
        <f>K24*Conversion_factor_MJ_to_kWh[MJ to kWh]</f>
        <v>6.905766805662783E-2</v>
      </c>
      <c r="L38" s="89">
        <f>L24*Conversion_factor_MJ_to_kWh[MJ to kWh]</f>
        <v>6.2677888916065114E-2</v>
      </c>
      <c r="M38" s="89">
        <f>M24*Conversion_factor_MJ_to_kWh[MJ to kWh]</f>
        <v>6.170162925678923E-2</v>
      </c>
      <c r="N38" s="89">
        <f>N24*Conversion_factor_MJ_to_kWh[MJ to kWh]</f>
        <v>5.9302049204139784E-2</v>
      </c>
      <c r="O38" s="89">
        <f>O24*Conversion_factor_MJ_to_kWh[MJ to kWh]</f>
        <v>5.4169438014578193E-2</v>
      </c>
      <c r="P38" s="89">
        <f>P24*Conversion_factor_MJ_to_kWh[MJ to kWh]</f>
        <v>4.7977866640086804E-2</v>
      </c>
      <c r="Q38" s="89">
        <f>Q24*Conversion_factor_MJ_to_kWh[MJ to kWh]</f>
        <v>5.0478113207547172E-2</v>
      </c>
      <c r="R38" s="89">
        <f>R24*Conversion_factor_MJ_to_kWh[MJ to kWh]</f>
        <v>5.0478113207547172E-2</v>
      </c>
      <c r="S38" s="89">
        <f>S24*Conversion_factor_MJ_to_kWh[MJ to kWh]</f>
        <v>5.04781132075472E-2</v>
      </c>
    </row>
    <row r="39" spans="1:19" x14ac:dyDescent="0.25">
      <c r="A39" s="133" t="s">
        <v>73</v>
      </c>
      <c r="B39" s="89">
        <f>B25*Conversion_factor_MJ_to_kWh[MJ to kWh]</f>
        <v>6.0800000000000007E-2</v>
      </c>
      <c r="C39" s="89">
        <f>C25*Conversion_factor_MJ_to_kWh[MJ to kWh]</f>
        <v>6.0800000000000007E-2</v>
      </c>
      <c r="D39" s="89">
        <f>D25*Conversion_factor_MJ_to_kWh[MJ to kWh]</f>
        <v>6.0800000000000007E-2</v>
      </c>
      <c r="E39" s="89">
        <f>E25*Conversion_factor_MJ_to_kWh[MJ to kWh]</f>
        <v>6.0800000000000007E-2</v>
      </c>
      <c r="F39" s="89">
        <f>F25*Conversion_factor_MJ_to_kWh[MJ to kWh]</f>
        <v>6.0800000000000007E-2</v>
      </c>
      <c r="G39" s="89">
        <f>G25*Conversion_factor_MJ_to_kWh[MJ to kWh]</f>
        <v>6.0800000000000007E-2</v>
      </c>
      <c r="H39" s="89">
        <f>H25*Conversion_factor_MJ_to_kWh[MJ to kWh]</f>
        <v>6.0800000000000007E-2</v>
      </c>
      <c r="I39" s="89">
        <f>I25*Conversion_factor_MJ_to_kWh[MJ to kWh]</f>
        <v>6.0800000000000007E-2</v>
      </c>
      <c r="J39" s="89">
        <f>J25*Conversion_factor_MJ_to_kWh[MJ to kWh]</f>
        <v>6.0800000000000007E-2</v>
      </c>
      <c r="K39" s="89">
        <f>K25*Conversion_factor_MJ_to_kWh[MJ to kWh]</f>
        <v>6.0800000000000007E-2</v>
      </c>
      <c r="L39" s="89">
        <f>L25*Conversion_factor_MJ_to_kWh[MJ to kWh]</f>
        <v>6.0800000000000007E-2</v>
      </c>
      <c r="M39" s="89">
        <f>M25*Conversion_factor_MJ_to_kWh[MJ to kWh]</f>
        <v>6.0800000000000007E-2</v>
      </c>
      <c r="N39" s="89">
        <f>N25*Conversion_factor_MJ_to_kWh[MJ to kWh]</f>
        <v>6.0800000000000007E-2</v>
      </c>
      <c r="O39" s="89">
        <f>O25*Conversion_factor_MJ_to_kWh[MJ to kWh]</f>
        <v>6.0800000000000007E-2</v>
      </c>
      <c r="P39" s="89">
        <f>P25*Conversion_factor_MJ_to_kWh[MJ to kWh]</f>
        <v>6.0800000000000007E-2</v>
      </c>
      <c r="Q39" s="89">
        <f>Q25*Conversion_factor_MJ_to_kWh[MJ to kWh]</f>
        <v>6.0800000000000007E-2</v>
      </c>
      <c r="R39" s="89">
        <f>R25*Conversion_factor_MJ_to_kWh[MJ to kWh]</f>
        <v>6.0800000000000007E-2</v>
      </c>
      <c r="S39" s="89">
        <f>S25*Conversion_factor_MJ_to_kWh[MJ to kWh]</f>
        <v>6.0800000000000007E-2</v>
      </c>
    </row>
    <row r="40" spans="1:19" x14ac:dyDescent="0.25">
      <c r="A40" s="146" t="s">
        <v>4</v>
      </c>
      <c r="B40" s="89">
        <f>SUBTOTAL(109,Energy_Consumption_hybrid_kWh[2001])</f>
        <v>0.12823875924528302</v>
      </c>
      <c r="C40" s="89">
        <f>SUBTOTAL(109,Energy_Consumption_hybrid_kWh[2002])</f>
        <v>0.12823875924528302</v>
      </c>
      <c r="D40" s="89">
        <f>SUBTOTAL(109,Energy_Consumption_hybrid_kWh[2003])</f>
        <v>0.12823875924528302</v>
      </c>
      <c r="E40" s="89">
        <f>SUBTOTAL(109,Energy_Consumption_hybrid_kWh[2004])</f>
        <v>0.12823875924528302</v>
      </c>
      <c r="F40" s="89">
        <f>SUBTOTAL(109,Energy_Consumption_hybrid_kWh[2005])</f>
        <v>0.12823875924528302</v>
      </c>
      <c r="G40" s="89">
        <f>SUBTOTAL(109,Energy_Consumption_hybrid_kWh[2006])</f>
        <v>0.12823875924528289</v>
      </c>
      <c r="H40" s="89">
        <f>SUBTOTAL(109,Energy_Consumption_hybrid_kWh[2007])</f>
        <v>0.12823875924528286</v>
      </c>
      <c r="I40" s="89">
        <f>SUBTOTAL(109,Energy_Consumption_hybrid_kWh[2008])</f>
        <v>0.12767204207487423</v>
      </c>
      <c r="J40" s="89">
        <f>SUBTOTAL(109,Energy_Consumption_hybrid_kWh[2009])</f>
        <v>0.12899218773914678</v>
      </c>
      <c r="K40" s="89">
        <f>SUBTOTAL(109,Energy_Consumption_hybrid_kWh[2010])</f>
        <v>0.12985766805662785</v>
      </c>
      <c r="L40" s="89">
        <f>SUBTOTAL(109,Energy_Consumption_hybrid_kWh[2011])</f>
        <v>0.12347788891606512</v>
      </c>
      <c r="M40" s="89">
        <f>SUBTOTAL(109,Energy_Consumption_hybrid_kWh[2012])</f>
        <v>0.12250162925678923</v>
      </c>
      <c r="N40" s="89">
        <f>SUBTOTAL(109,Energy_Consumption_hybrid_kWh[2013])</f>
        <v>0.12010204920413979</v>
      </c>
      <c r="O40" s="89">
        <f>SUBTOTAL(109,Energy_Consumption_hybrid_kWh[2014])</f>
        <v>0.11496943801457821</v>
      </c>
      <c r="P40" s="89">
        <f>SUBTOTAL(109,Energy_Consumption_hybrid_kWh[2015])</f>
        <v>0.10877786664008682</v>
      </c>
      <c r="Q40" s="89">
        <f>SUBTOTAL(109,Energy_Consumption_hybrid_kWh[2016])</f>
        <v>0.11127811320754719</v>
      </c>
      <c r="R40" s="89">
        <f>SUBTOTAL(109,Energy_Consumption_hybrid_kWh[2017])</f>
        <v>0.11127811320754719</v>
      </c>
      <c r="S40" s="89">
        <f>SUBTOTAL(109,Energy_Consumption_hybrid_kWh[2018])</f>
        <v>0.11127811320754721</v>
      </c>
    </row>
    <row r="41" spans="1:19" x14ac:dyDescent="0.25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</row>
    <row r="42" spans="1:19" x14ac:dyDescent="0.25">
      <c r="A42" s="89" t="s">
        <v>390</v>
      </c>
      <c r="B42" s="89" t="s">
        <v>389</v>
      </c>
    </row>
    <row r="43" spans="1:19" x14ac:dyDescent="0.25">
      <c r="B43">
        <f>3.6/1</f>
        <v>3.6</v>
      </c>
    </row>
    <row r="45" spans="1:19" x14ac:dyDescent="0.25">
      <c r="A45" t="s">
        <v>407</v>
      </c>
      <c r="B45" s="52" t="s">
        <v>190</v>
      </c>
      <c r="C45" s="52" t="s">
        <v>191</v>
      </c>
      <c r="D45" s="52" t="s">
        <v>192</v>
      </c>
      <c r="E45" s="52" t="s">
        <v>193</v>
      </c>
      <c r="F45" s="52" t="s">
        <v>194</v>
      </c>
      <c r="G45" s="52" t="s">
        <v>195</v>
      </c>
      <c r="H45" s="52" t="s">
        <v>196</v>
      </c>
      <c r="I45" s="52" t="s">
        <v>197</v>
      </c>
      <c r="J45" s="52" t="s">
        <v>128</v>
      </c>
      <c r="K45" s="52" t="s">
        <v>30</v>
      </c>
      <c r="L45" s="52" t="s">
        <v>31</v>
      </c>
      <c r="M45" s="52" t="s">
        <v>32</v>
      </c>
      <c r="N45" s="52" t="s">
        <v>33</v>
      </c>
      <c r="O45" s="52" t="s">
        <v>34</v>
      </c>
      <c r="P45" s="52" t="s">
        <v>35</v>
      </c>
      <c r="Q45" s="52" t="s">
        <v>36</v>
      </c>
      <c r="R45" s="52" t="s">
        <v>37</v>
      </c>
      <c r="S45" s="53" t="s">
        <v>38</v>
      </c>
    </row>
    <row r="46" spans="1:19" x14ac:dyDescent="0.25">
      <c r="B46" s="89">
        <v>0.13</v>
      </c>
      <c r="C46" s="89">
        <v>0.13</v>
      </c>
      <c r="D46" s="89">
        <v>0.13</v>
      </c>
      <c r="E46" s="89">
        <v>0.13</v>
      </c>
      <c r="F46" s="89">
        <v>0.13</v>
      </c>
      <c r="G46" s="89">
        <v>0.12</v>
      </c>
      <c r="H46" s="89">
        <v>0.14000000000000001</v>
      </c>
      <c r="I46" s="89">
        <v>0.16</v>
      </c>
      <c r="J46" s="89">
        <v>0.17</v>
      </c>
      <c r="K46" s="89">
        <v>0.2</v>
      </c>
      <c r="L46" s="89">
        <v>0.25</v>
      </c>
      <c r="M46" s="89">
        <v>0.27</v>
      </c>
      <c r="N46" s="89">
        <v>0.33</v>
      </c>
      <c r="O46" s="89">
        <v>0.39</v>
      </c>
      <c r="P46" s="89">
        <v>0.41</v>
      </c>
      <c r="Q46" s="89">
        <v>0.42</v>
      </c>
      <c r="R46" s="89">
        <v>0.42</v>
      </c>
      <c r="S46" s="89">
        <v>0.42</v>
      </c>
    </row>
  </sheetData>
  <phoneticPr fontId="26" type="noConversion"/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46D7-E33B-4C29-B6F0-BCAA4A1A1257}">
  <dimension ref="A1:CN285"/>
  <sheetViews>
    <sheetView topLeftCell="A109" zoomScale="60" zoomScaleNormal="60" zoomScaleSheetLayoutView="80" workbookViewId="0">
      <selection activeCell="A85" sqref="A85"/>
    </sheetView>
  </sheetViews>
  <sheetFormatPr defaultRowHeight="15" x14ac:dyDescent="0.25"/>
  <cols>
    <col min="1" max="1" width="47" bestFit="1" customWidth="1"/>
    <col min="2" max="2" width="31.28515625" bestFit="1" customWidth="1"/>
    <col min="3" max="3" width="33" bestFit="1" customWidth="1"/>
    <col min="4" max="6" width="31.28515625" bestFit="1" customWidth="1"/>
    <col min="7" max="7" width="29" bestFit="1" customWidth="1"/>
    <col min="8" max="8" width="22.28515625" bestFit="1" customWidth="1"/>
    <col min="9" max="9" width="34.85546875" bestFit="1" customWidth="1"/>
    <col min="10" max="10" width="30.85546875" bestFit="1" customWidth="1"/>
    <col min="11" max="11" width="33.5703125" bestFit="1" customWidth="1"/>
    <col min="12" max="12" width="26.42578125" bestFit="1" customWidth="1"/>
    <col min="13" max="13" width="33.5703125" bestFit="1" customWidth="1"/>
    <col min="14" max="14" width="26.42578125" bestFit="1" customWidth="1"/>
    <col min="15" max="15" width="33.5703125" bestFit="1" customWidth="1"/>
    <col min="16" max="16" width="26.42578125" bestFit="1" customWidth="1"/>
    <col min="17" max="17" width="33.5703125" bestFit="1" customWidth="1"/>
    <col min="18" max="18" width="26.42578125" bestFit="1" customWidth="1"/>
    <col min="19" max="19" width="33.5703125" bestFit="1" customWidth="1"/>
    <col min="20" max="20" width="22" bestFit="1" customWidth="1"/>
    <col min="21" max="23" width="12" bestFit="1" customWidth="1"/>
    <col min="24" max="24" width="8.5703125" bestFit="1" customWidth="1"/>
    <col min="25" max="25" width="12" bestFit="1" customWidth="1"/>
    <col min="26" max="26" width="22" bestFit="1" customWidth="1"/>
    <col min="27" max="27" width="22.85546875" bestFit="1" customWidth="1"/>
    <col min="28" max="28" width="22.28515625" bestFit="1" customWidth="1"/>
    <col min="29" max="29" width="21.85546875" bestFit="1" customWidth="1"/>
    <col min="30" max="30" width="22" bestFit="1" customWidth="1"/>
    <col min="31" max="31" width="12" bestFit="1" customWidth="1"/>
    <col min="32" max="32" width="11.28515625" bestFit="1" customWidth="1"/>
    <col min="33" max="33" width="12" bestFit="1" customWidth="1"/>
    <col min="34" max="34" width="8.5703125" bestFit="1" customWidth="1"/>
    <col min="35" max="35" width="12" bestFit="1" customWidth="1"/>
    <col min="36" max="36" width="22" bestFit="1" customWidth="1"/>
    <col min="37" max="37" width="22.85546875" bestFit="1" customWidth="1"/>
    <col min="38" max="38" width="22.28515625" bestFit="1" customWidth="1"/>
    <col min="39" max="39" width="21.85546875" bestFit="1" customWidth="1"/>
    <col min="40" max="40" width="22" bestFit="1" customWidth="1"/>
    <col min="41" max="43" width="12" bestFit="1" customWidth="1"/>
    <col min="44" max="44" width="8.5703125" bestFit="1" customWidth="1"/>
    <col min="45" max="45" width="12" bestFit="1" customWidth="1"/>
    <col min="46" max="46" width="22" bestFit="1" customWidth="1"/>
    <col min="47" max="47" width="22.85546875" bestFit="1" customWidth="1"/>
    <col min="48" max="48" width="22.28515625" bestFit="1" customWidth="1"/>
    <col min="49" max="49" width="21.85546875" bestFit="1" customWidth="1"/>
    <col min="50" max="50" width="22" bestFit="1" customWidth="1"/>
    <col min="51" max="53" width="12" bestFit="1" customWidth="1"/>
    <col min="54" max="54" width="8.5703125" bestFit="1" customWidth="1"/>
    <col min="55" max="55" width="12" bestFit="1" customWidth="1"/>
    <col min="56" max="56" width="22" bestFit="1" customWidth="1"/>
    <col min="57" max="57" width="22.85546875" bestFit="1" customWidth="1"/>
    <col min="58" max="58" width="22.28515625" bestFit="1" customWidth="1"/>
    <col min="59" max="59" width="21.85546875" bestFit="1" customWidth="1"/>
    <col min="60" max="60" width="22" bestFit="1" customWidth="1"/>
    <col min="61" max="63" width="12" bestFit="1" customWidth="1"/>
    <col min="64" max="64" width="8.5703125" bestFit="1" customWidth="1"/>
    <col min="65" max="65" width="12" bestFit="1" customWidth="1"/>
    <col min="66" max="66" width="22" bestFit="1" customWidth="1"/>
    <col min="67" max="67" width="22.85546875" bestFit="1" customWidth="1"/>
    <col min="68" max="68" width="22.28515625" bestFit="1" customWidth="1"/>
    <col min="69" max="69" width="21.85546875" bestFit="1" customWidth="1"/>
    <col min="70" max="70" width="22" bestFit="1" customWidth="1"/>
    <col min="71" max="73" width="12" bestFit="1" customWidth="1"/>
    <col min="74" max="74" width="8.5703125" bestFit="1" customWidth="1"/>
    <col min="75" max="75" width="10" bestFit="1" customWidth="1"/>
    <col min="76" max="76" width="22" bestFit="1" customWidth="1"/>
    <col min="77" max="77" width="22.85546875" bestFit="1" customWidth="1"/>
    <col min="78" max="78" width="22.28515625" bestFit="1" customWidth="1"/>
    <col min="79" max="79" width="21.85546875" bestFit="1" customWidth="1"/>
    <col min="80" max="80" width="22" bestFit="1" customWidth="1"/>
    <col min="81" max="83" width="12" bestFit="1" customWidth="1"/>
    <col min="84" max="84" width="8.5703125" bestFit="1" customWidth="1"/>
    <col min="85" max="85" width="11" bestFit="1" customWidth="1"/>
    <col min="86" max="86" width="22" bestFit="1" customWidth="1"/>
    <col min="87" max="87" width="22.85546875" bestFit="1" customWidth="1"/>
    <col min="88" max="88" width="22.28515625" bestFit="1" customWidth="1"/>
    <col min="89" max="89" width="21.85546875" bestFit="1" customWidth="1"/>
    <col min="90" max="90" width="22" bestFit="1" customWidth="1"/>
    <col min="91" max="91" width="12" bestFit="1" customWidth="1"/>
    <col min="92" max="92" width="11.28515625" bestFit="1" customWidth="1"/>
    <col min="93" max="93" width="13.42578125" bestFit="1" customWidth="1"/>
    <col min="94" max="94" width="17.5703125" bestFit="1" customWidth="1"/>
    <col min="95" max="95" width="13.42578125" bestFit="1" customWidth="1"/>
    <col min="96" max="96" width="17.5703125" bestFit="1" customWidth="1"/>
    <col min="97" max="97" width="13.42578125" bestFit="1" customWidth="1"/>
    <col min="98" max="98" width="17.5703125" bestFit="1" customWidth="1"/>
    <col min="99" max="99" width="13.42578125" bestFit="1" customWidth="1"/>
    <col min="100" max="100" width="17.5703125" bestFit="1" customWidth="1"/>
    <col min="101" max="101" width="13.42578125" bestFit="1" customWidth="1"/>
    <col min="102" max="102" width="17.5703125" bestFit="1" customWidth="1"/>
    <col min="103" max="103" width="14.42578125" bestFit="1" customWidth="1"/>
    <col min="104" max="104" width="18.5703125" bestFit="1" customWidth="1"/>
    <col min="105" max="105" width="14.42578125" bestFit="1" customWidth="1"/>
    <col min="106" max="106" width="18.5703125" bestFit="1" customWidth="1"/>
    <col min="107" max="107" width="14.42578125" bestFit="1" customWidth="1"/>
    <col min="108" max="108" width="18.5703125" bestFit="1" customWidth="1"/>
    <col min="109" max="109" width="14.42578125" bestFit="1" customWidth="1"/>
    <col min="110" max="110" width="18.5703125" bestFit="1" customWidth="1"/>
    <col min="111" max="111" width="14.42578125" bestFit="1" customWidth="1"/>
    <col min="112" max="112" width="18.5703125" bestFit="1" customWidth="1"/>
    <col min="113" max="113" width="14.42578125" bestFit="1" customWidth="1"/>
    <col min="114" max="114" width="18.5703125" bestFit="1" customWidth="1"/>
    <col min="115" max="115" width="14.42578125" bestFit="1" customWidth="1"/>
    <col min="116" max="116" width="18.5703125" bestFit="1" customWidth="1"/>
    <col min="117" max="117" width="14.42578125" bestFit="1" customWidth="1"/>
    <col min="118" max="118" width="18.5703125" bestFit="1" customWidth="1"/>
    <col min="119" max="119" width="17.140625" bestFit="1" customWidth="1"/>
    <col min="120" max="120" width="21.140625" bestFit="1" customWidth="1"/>
    <col min="121" max="121" width="17.140625" bestFit="1" customWidth="1"/>
    <col min="122" max="122" width="21.140625" bestFit="1" customWidth="1"/>
    <col min="123" max="123" width="17.140625" bestFit="1" customWidth="1"/>
    <col min="124" max="124" width="21.140625" bestFit="1" customWidth="1"/>
    <col min="125" max="125" width="17.140625" bestFit="1" customWidth="1"/>
    <col min="126" max="126" width="21.140625" bestFit="1" customWidth="1"/>
    <col min="127" max="127" width="17.140625" bestFit="1" customWidth="1"/>
    <col min="128" max="128" width="21.140625" bestFit="1" customWidth="1"/>
    <col min="129" max="129" width="17.140625" bestFit="1" customWidth="1"/>
    <col min="130" max="130" width="21.140625" bestFit="1" customWidth="1"/>
    <col min="131" max="131" width="17.140625" bestFit="1" customWidth="1"/>
    <col min="132" max="132" width="21.140625" bestFit="1" customWidth="1"/>
    <col min="133" max="133" width="17.140625" bestFit="1" customWidth="1"/>
    <col min="134" max="134" width="21.140625" bestFit="1" customWidth="1"/>
    <col min="135" max="135" width="17.140625" bestFit="1" customWidth="1"/>
    <col min="136" max="136" width="21.140625" bestFit="1" customWidth="1"/>
    <col min="137" max="137" width="17.140625" bestFit="1" customWidth="1"/>
    <col min="138" max="138" width="21.140625" bestFit="1" customWidth="1"/>
    <col min="139" max="139" width="17.140625" bestFit="1" customWidth="1"/>
    <col min="140" max="140" width="21.140625" bestFit="1" customWidth="1"/>
    <col min="141" max="141" width="17.140625" bestFit="1" customWidth="1"/>
    <col min="142" max="142" width="21.140625" bestFit="1" customWidth="1"/>
    <col min="143" max="143" width="17.140625" bestFit="1" customWidth="1"/>
    <col min="144" max="144" width="21.140625" bestFit="1" customWidth="1"/>
    <col min="145" max="145" width="17.140625" bestFit="1" customWidth="1"/>
    <col min="146" max="146" width="21.140625" bestFit="1" customWidth="1"/>
    <col min="147" max="147" width="17.140625" bestFit="1" customWidth="1"/>
    <col min="148" max="148" width="21.140625" bestFit="1" customWidth="1"/>
    <col min="149" max="149" width="17.140625" bestFit="1" customWidth="1"/>
    <col min="150" max="150" width="21.140625" bestFit="1" customWidth="1"/>
    <col min="151" max="151" width="17.140625" bestFit="1" customWidth="1"/>
    <col min="152" max="152" width="21.140625" bestFit="1" customWidth="1"/>
    <col min="153" max="153" width="17.140625" bestFit="1" customWidth="1"/>
    <col min="154" max="154" width="21.140625" bestFit="1" customWidth="1"/>
    <col min="155" max="155" width="27.5703125" bestFit="1" customWidth="1"/>
    <col min="156" max="156" width="11.28515625" bestFit="1" customWidth="1"/>
  </cols>
  <sheetData>
    <row r="1" spans="1:10" x14ac:dyDescent="0.25">
      <c r="A1" s="26" t="s">
        <v>412</v>
      </c>
      <c r="B1" s="26" t="s">
        <v>84</v>
      </c>
    </row>
    <row r="2" spans="1:10" x14ac:dyDescent="0.25">
      <c r="A2" s="26" t="s">
        <v>81</v>
      </c>
      <c r="B2" s="175" t="s">
        <v>413</v>
      </c>
      <c r="C2" s="175" t="s">
        <v>414</v>
      </c>
      <c r="D2" s="175" t="s">
        <v>415</v>
      </c>
      <c r="E2" s="175" t="s">
        <v>416</v>
      </c>
      <c r="F2" s="175" t="s">
        <v>417</v>
      </c>
      <c r="G2" s="175" t="s">
        <v>474</v>
      </c>
      <c r="H2" s="175" t="s">
        <v>475</v>
      </c>
      <c r="I2" s="175" t="s">
        <v>473</v>
      </c>
      <c r="J2" s="175" t="s">
        <v>472</v>
      </c>
    </row>
    <row r="3" spans="1:10" x14ac:dyDescent="0.25">
      <c r="A3" s="27" t="s">
        <v>30</v>
      </c>
      <c r="B3" s="9">
        <v>120.85393473053892</v>
      </c>
      <c r="C3" s="9">
        <v>125.10660465842953</v>
      </c>
      <c r="D3" s="9">
        <v>40.605035114210004</v>
      </c>
      <c r="E3" s="9">
        <v>47.018244727103053</v>
      </c>
      <c r="F3" s="9">
        <v>64.819328859060406</v>
      </c>
      <c r="G3" s="9">
        <v>69.358043893199735</v>
      </c>
      <c r="H3" s="9">
        <v>40.632983612763176</v>
      </c>
      <c r="I3" s="9">
        <v>72.688216780918225</v>
      </c>
      <c r="J3" s="9">
        <v>54.814507911947302</v>
      </c>
    </row>
    <row r="4" spans="1:10" x14ac:dyDescent="0.25">
      <c r="A4" s="27" t="s">
        <v>31</v>
      </c>
      <c r="B4" s="9">
        <v>122.39199063795034</v>
      </c>
      <c r="C4" s="9">
        <v>124.96902487063288</v>
      </c>
      <c r="D4" s="9">
        <v>35.49510644710535</v>
      </c>
      <c r="E4" s="9">
        <v>40.893284566123846</v>
      </c>
      <c r="F4" s="9">
        <v>54.046711409395968</v>
      </c>
      <c r="G4" s="9">
        <v>68.730908021738486</v>
      </c>
      <c r="H4" s="9">
        <v>25.714490337856063</v>
      </c>
      <c r="I4" s="9">
        <v>90.859613255221404</v>
      </c>
      <c r="J4" s="9">
        <v>68.872251878095867</v>
      </c>
    </row>
    <row r="5" spans="1:10" x14ac:dyDescent="0.25">
      <c r="A5" s="27" t="s">
        <v>32</v>
      </c>
      <c r="B5" s="9">
        <v>122.69272369370873</v>
      </c>
      <c r="C5" s="9">
        <v>124.8128556115047</v>
      </c>
      <c r="D5" s="9">
        <v>33.832675268658178</v>
      </c>
      <c r="E5" s="9">
        <v>38.5314400990476</v>
      </c>
      <c r="F5" s="9">
        <v>49.884563758389262</v>
      </c>
      <c r="G5" s="9">
        <v>65.958964431550996</v>
      </c>
      <c r="H5" s="9">
        <v>24.237789146004257</v>
      </c>
      <c r="I5" s="9">
        <v>87.497778340935383</v>
      </c>
      <c r="J5" s="9">
        <v>65.863925988310214</v>
      </c>
    </row>
    <row r="6" spans="1:10" x14ac:dyDescent="0.25">
      <c r="A6" s="27" t="s">
        <v>33</v>
      </c>
      <c r="B6" s="9">
        <v>121.88746457728054</v>
      </c>
      <c r="C6" s="9">
        <v>124.47143524167987</v>
      </c>
      <c r="D6" s="9">
        <v>35.596139828196918</v>
      </c>
      <c r="E6" s="9">
        <v>41.447302670973215</v>
      </c>
      <c r="F6" s="9">
        <v>54.067114093959731</v>
      </c>
      <c r="G6" s="9">
        <v>65.636392456294487</v>
      </c>
      <c r="H6" s="9">
        <v>25.487471479376428</v>
      </c>
      <c r="I6" s="9">
        <v>67.483040780434507</v>
      </c>
      <c r="J6" s="9">
        <v>51.06597977333</v>
      </c>
    </row>
    <row r="7" spans="1:10" x14ac:dyDescent="0.25">
      <c r="A7" s="27" t="s">
        <v>34</v>
      </c>
      <c r="B7" s="9">
        <v>124.62883418383154</v>
      </c>
      <c r="C7" s="9">
        <v>124.21712594344631</v>
      </c>
      <c r="D7" s="9">
        <v>32.400166054997037</v>
      </c>
      <c r="E7" s="9">
        <v>38.009769269744481</v>
      </c>
      <c r="F7" s="9">
        <v>47.660671140939591</v>
      </c>
      <c r="G7" s="9">
        <v>59.946102185328762</v>
      </c>
      <c r="H7" s="9">
        <v>20.299446716273671</v>
      </c>
      <c r="I7" s="9">
        <v>61.416678676175025</v>
      </c>
      <c r="J7" s="9">
        <v>44.334557228380255</v>
      </c>
    </row>
    <row r="8" spans="1:10" x14ac:dyDescent="0.25">
      <c r="A8" s="27" t="s">
        <v>35</v>
      </c>
      <c r="B8" s="9">
        <v>125.18880280260738</v>
      </c>
      <c r="C8" s="9">
        <v>123.92482689257048</v>
      </c>
      <c r="D8" s="9">
        <v>30.543916912019906</v>
      </c>
      <c r="E8" s="9">
        <v>37.392354332869573</v>
      </c>
      <c r="F8" s="9">
        <v>46.405906040268448</v>
      </c>
      <c r="G8" s="9">
        <v>59.251106606863559</v>
      </c>
      <c r="H8" s="9">
        <v>20.782194279969286</v>
      </c>
      <c r="I8" s="9">
        <v>61.988641333086548</v>
      </c>
      <c r="J8" s="9">
        <v>44.393565813954858</v>
      </c>
    </row>
    <row r="9" spans="1:10" x14ac:dyDescent="0.25">
      <c r="A9" s="27" t="s">
        <v>36</v>
      </c>
      <c r="B9" s="9">
        <v>123.90473187717517</v>
      </c>
      <c r="C9" s="9">
        <v>122.33232964196444</v>
      </c>
      <c r="D9" s="9">
        <v>31.665763212865645</v>
      </c>
      <c r="E9" s="9">
        <v>38.072156931546218</v>
      </c>
      <c r="F9" s="9">
        <v>47.426040268456376</v>
      </c>
      <c r="G9" s="9">
        <v>61.230082685655717</v>
      </c>
      <c r="H9" s="9">
        <v>23.921636598272382</v>
      </c>
      <c r="I9" s="9">
        <v>91.404597314144084</v>
      </c>
      <c r="J9" s="9">
        <v>67.449540740862631</v>
      </c>
    </row>
    <row r="10" spans="1:10" x14ac:dyDescent="0.25">
      <c r="A10" s="27" t="s">
        <v>37</v>
      </c>
      <c r="B10" s="9">
        <v>122.39013937994162</v>
      </c>
      <c r="C10" s="9">
        <v>121.60262138145234</v>
      </c>
      <c r="D10" s="9">
        <v>32.298246434342154</v>
      </c>
      <c r="E10" s="9">
        <v>39.020881763760983</v>
      </c>
      <c r="F10" s="9">
        <v>49.007248322147646</v>
      </c>
      <c r="G10" s="9">
        <v>64.546420197874752</v>
      </c>
      <c r="H10" s="9">
        <v>21.810894652844528</v>
      </c>
      <c r="I10" s="9">
        <v>87.993009709124152</v>
      </c>
      <c r="J10" s="9">
        <v>65.708282091525376</v>
      </c>
    </row>
    <row r="11" spans="1:10" x14ac:dyDescent="0.25">
      <c r="A11" s="27" t="s">
        <v>38</v>
      </c>
      <c r="B11" s="9">
        <v>120.42919485982483</v>
      </c>
      <c r="C11" s="9">
        <v>120.6687305107329</v>
      </c>
      <c r="D11" s="9">
        <v>30.510971266556925</v>
      </c>
      <c r="E11" s="9">
        <v>36.339969012083131</v>
      </c>
      <c r="F11" s="9">
        <v>44.539060402684569</v>
      </c>
      <c r="G11" s="9">
        <v>65.140403493455111</v>
      </c>
      <c r="H11" s="9">
        <v>18.508966303040559</v>
      </c>
      <c r="I11" s="9">
        <v>47.805809465208206</v>
      </c>
      <c r="J11" s="9">
        <v>38.269622398160024</v>
      </c>
    </row>
    <row r="13" spans="1:10" s="89" customFormat="1" x14ac:dyDescent="0.25"/>
    <row r="14" spans="1:10" s="89" customFormat="1" x14ac:dyDescent="0.25"/>
    <row r="15" spans="1:10" s="89" customFormat="1" x14ac:dyDescent="0.25"/>
    <row r="16" spans="1:10" s="89" customFormat="1" x14ac:dyDescent="0.25"/>
    <row r="18" spans="1:10" x14ac:dyDescent="0.25">
      <c r="A18" s="26" t="s">
        <v>424</v>
      </c>
      <c r="B18" s="26" t="s">
        <v>84</v>
      </c>
    </row>
    <row r="19" spans="1:10" x14ac:dyDescent="0.25">
      <c r="A19" s="26" t="s">
        <v>81</v>
      </c>
      <c r="B19" s="175" t="s">
        <v>413</v>
      </c>
      <c r="C19" s="175" t="s">
        <v>417</v>
      </c>
      <c r="D19" s="175" t="s">
        <v>415</v>
      </c>
      <c r="E19" s="175" t="s">
        <v>414</v>
      </c>
      <c r="F19" s="175" t="s">
        <v>416</v>
      </c>
      <c r="G19" s="175" t="s">
        <v>474</v>
      </c>
      <c r="H19" s="175" t="s">
        <v>475</v>
      </c>
      <c r="I19" s="175" t="s">
        <v>473</v>
      </c>
      <c r="J19" s="175" t="s">
        <v>472</v>
      </c>
    </row>
    <row r="20" spans="1:10" x14ac:dyDescent="0.25">
      <c r="A20" s="27" t="s">
        <v>30</v>
      </c>
      <c r="B20" s="8">
        <v>10959399339</v>
      </c>
      <c r="C20" s="8">
        <v>606092</v>
      </c>
      <c r="D20" s="8">
        <v>90235482</v>
      </c>
      <c r="E20" s="8">
        <v>20132966506</v>
      </c>
      <c r="F20" s="8">
        <v>0</v>
      </c>
      <c r="G20" s="8">
        <v>15950000</v>
      </c>
      <c r="H20" s="8">
        <v>2900000</v>
      </c>
      <c r="I20" s="8">
        <v>172452000</v>
      </c>
      <c r="J20" s="8">
        <v>61800000</v>
      </c>
    </row>
    <row r="21" spans="1:10" x14ac:dyDescent="0.25">
      <c r="A21" s="27" t="s">
        <v>31</v>
      </c>
      <c r="B21" s="8">
        <v>12526350906</v>
      </c>
      <c r="C21" s="8">
        <v>1370622</v>
      </c>
      <c r="D21" s="8">
        <v>101220024</v>
      </c>
      <c r="E21" s="8">
        <v>18807795150</v>
      </c>
      <c r="F21" s="8">
        <v>0</v>
      </c>
      <c r="G21" s="8">
        <v>15960000</v>
      </c>
      <c r="H21" s="8">
        <v>3690000</v>
      </c>
      <c r="I21" s="8">
        <v>172452000</v>
      </c>
      <c r="J21" s="8">
        <v>60086140</v>
      </c>
    </row>
    <row r="22" spans="1:10" x14ac:dyDescent="0.25">
      <c r="A22" s="27" t="s">
        <v>32</v>
      </c>
      <c r="B22" s="8">
        <v>13541022168</v>
      </c>
      <c r="C22" s="8">
        <v>4054688</v>
      </c>
      <c r="D22" s="8">
        <v>132652109</v>
      </c>
      <c r="E22" s="8">
        <v>15857327208</v>
      </c>
      <c r="F22" s="8">
        <v>0</v>
      </c>
      <c r="G22" s="8">
        <v>15960000</v>
      </c>
      <c r="H22" s="8">
        <v>3840000</v>
      </c>
      <c r="I22" s="8">
        <v>172452000</v>
      </c>
      <c r="J22" s="8">
        <v>57372160</v>
      </c>
    </row>
    <row r="23" spans="1:10" x14ac:dyDescent="0.25">
      <c r="A23" s="27" t="s">
        <v>33</v>
      </c>
      <c r="B23" s="8">
        <v>14752242235</v>
      </c>
      <c r="C23" s="8">
        <v>4105503</v>
      </c>
      <c r="D23" s="8">
        <v>116713683</v>
      </c>
      <c r="E23" s="8">
        <v>16948237773</v>
      </c>
      <c r="F23" s="8">
        <v>0</v>
      </c>
      <c r="G23" s="8">
        <v>15970000</v>
      </c>
      <c r="H23" s="8">
        <v>3540000</v>
      </c>
      <c r="I23" s="8">
        <v>169432000</v>
      </c>
      <c r="J23" s="8">
        <v>56000000</v>
      </c>
    </row>
    <row r="24" spans="1:10" x14ac:dyDescent="0.25">
      <c r="A24" s="27" t="s">
        <v>34</v>
      </c>
      <c r="B24" s="8">
        <v>16684732301</v>
      </c>
      <c r="C24" s="8">
        <v>7825666</v>
      </c>
      <c r="D24" s="8">
        <v>133293917</v>
      </c>
      <c r="E24" s="8">
        <v>15497223549</v>
      </c>
      <c r="F24" s="8">
        <v>0</v>
      </c>
      <c r="G24" s="8">
        <v>15965000</v>
      </c>
      <c r="H24" s="8">
        <v>3667000</v>
      </c>
      <c r="I24" s="8">
        <v>163579000</v>
      </c>
      <c r="J24" s="8">
        <v>57000000</v>
      </c>
    </row>
    <row r="25" spans="1:10" x14ac:dyDescent="0.25">
      <c r="A25" s="27" t="s">
        <v>35</v>
      </c>
      <c r="B25" s="8">
        <v>19198399205</v>
      </c>
      <c r="C25" s="8">
        <v>16281443</v>
      </c>
      <c r="D25" s="8">
        <v>162705393</v>
      </c>
      <c r="E25" s="8">
        <v>15142086282</v>
      </c>
      <c r="F25" s="8">
        <v>12039</v>
      </c>
      <c r="G25" s="8">
        <v>15965000</v>
      </c>
      <c r="H25" s="8">
        <v>3664000</v>
      </c>
      <c r="I25" s="8">
        <v>163013000</v>
      </c>
      <c r="J25" s="8">
        <v>57000000</v>
      </c>
    </row>
    <row r="26" spans="1:10" x14ac:dyDescent="0.25">
      <c r="A26" s="27" t="s">
        <v>36</v>
      </c>
      <c r="B26" s="8">
        <v>21618978317</v>
      </c>
      <c r="C26" s="8">
        <v>24853198</v>
      </c>
      <c r="D26" s="8">
        <v>202000218</v>
      </c>
      <c r="E26" s="8">
        <v>14318726283</v>
      </c>
      <c r="F26" s="8">
        <v>6601685</v>
      </c>
      <c r="G26" s="8">
        <v>15960000</v>
      </c>
      <c r="H26" s="8">
        <v>3490000</v>
      </c>
      <c r="I26" s="8">
        <v>170602000</v>
      </c>
      <c r="J26" s="8">
        <v>57300000</v>
      </c>
    </row>
    <row r="27" spans="1:10" x14ac:dyDescent="0.25">
      <c r="A27" s="27" t="s">
        <v>37</v>
      </c>
      <c r="B27" s="8">
        <v>23766498565</v>
      </c>
      <c r="C27" s="8">
        <v>39747301</v>
      </c>
      <c r="D27" s="8">
        <v>298864147</v>
      </c>
      <c r="E27" s="8">
        <v>13271978988</v>
      </c>
      <c r="F27" s="8">
        <v>12692006</v>
      </c>
      <c r="G27" s="8">
        <v>15010000</v>
      </c>
      <c r="H27" s="8">
        <v>3660000</v>
      </c>
      <c r="I27" s="8">
        <v>181752000</v>
      </c>
      <c r="J27" s="8">
        <v>58400000</v>
      </c>
    </row>
    <row r="28" spans="1:10" x14ac:dyDescent="0.25">
      <c r="A28" s="27" t="s">
        <v>38</v>
      </c>
      <c r="B28" s="8">
        <v>23972319492</v>
      </c>
      <c r="C28" s="8">
        <v>61724141</v>
      </c>
      <c r="D28" s="8">
        <v>412781948</v>
      </c>
      <c r="E28" s="8">
        <v>11710674441</v>
      </c>
      <c r="F28" s="8">
        <v>37824250</v>
      </c>
      <c r="G28" s="8">
        <v>16200000</v>
      </c>
      <c r="H28" s="8">
        <v>4070000</v>
      </c>
      <c r="I28" s="8">
        <v>194179000</v>
      </c>
      <c r="J28" s="8">
        <v>57100000</v>
      </c>
    </row>
    <row r="29" spans="1:10" s="89" customFormat="1" x14ac:dyDescent="0.25">
      <c r="A29" s="27"/>
      <c r="B29" s="8"/>
      <c r="C29" s="8"/>
      <c r="D29" s="8"/>
      <c r="E29" s="8"/>
      <c r="F29" s="8"/>
      <c r="G29" s="8"/>
      <c r="H29" s="8"/>
      <c r="I29" s="8"/>
      <c r="J29" s="8"/>
    </row>
    <row r="30" spans="1:10" s="89" customFormat="1" x14ac:dyDescent="0.25">
      <c r="A30" s="190" t="s">
        <v>431</v>
      </c>
      <c r="B30" s="190"/>
      <c r="C30" s="190"/>
      <c r="D30" s="8"/>
      <c r="E30" s="8"/>
      <c r="F30" s="8"/>
      <c r="G30" s="8"/>
      <c r="H30" s="8"/>
      <c r="I30" s="8"/>
      <c r="J30" s="8"/>
    </row>
    <row r="31" spans="1:10" s="89" customFormat="1" x14ac:dyDescent="0.25">
      <c r="A31" s="27" t="s">
        <v>63</v>
      </c>
      <c r="B31" s="8" t="s">
        <v>430</v>
      </c>
      <c r="C31" s="8" t="s">
        <v>429</v>
      </c>
      <c r="D31" s="8"/>
      <c r="E31" s="8"/>
      <c r="F31" s="8"/>
      <c r="G31" s="8"/>
      <c r="H31" s="8"/>
      <c r="I31" s="8"/>
      <c r="J31" s="8"/>
    </row>
    <row r="32" spans="1:10" s="89" customFormat="1" x14ac:dyDescent="0.25">
      <c r="A32" s="89" t="str">
        <f t="shared" ref="A32:A40" si="0">A20</f>
        <v>2010</v>
      </c>
      <c r="B32" s="35">
        <f>SUM(B20:E20)</f>
        <v>31183207419</v>
      </c>
      <c r="C32" s="35">
        <f>SUM(F20:J20)</f>
        <v>253102000</v>
      </c>
      <c r="D32" s="8"/>
      <c r="E32" s="8"/>
      <c r="F32" s="8"/>
      <c r="G32" s="8"/>
      <c r="H32" s="8"/>
      <c r="I32" s="8"/>
      <c r="J32" s="8"/>
    </row>
    <row r="33" spans="1:10" s="89" customFormat="1" x14ac:dyDescent="0.25">
      <c r="A33" s="89" t="str">
        <f t="shared" si="0"/>
        <v>2011</v>
      </c>
      <c r="B33" s="35">
        <f t="shared" ref="B33:B40" si="1">SUM(B21:E21)</f>
        <v>31436736702</v>
      </c>
      <c r="C33" s="35">
        <f t="shared" ref="C33:C40" si="2">SUM(F21:J21)</f>
        <v>252188140</v>
      </c>
      <c r="D33" s="8"/>
      <c r="E33" s="8"/>
      <c r="F33" s="8"/>
      <c r="G33" s="8"/>
      <c r="H33" s="8"/>
      <c r="I33" s="8"/>
      <c r="J33" s="8"/>
    </row>
    <row r="34" spans="1:10" s="89" customFormat="1" x14ac:dyDescent="0.25">
      <c r="A34" s="89" t="str">
        <f t="shared" si="0"/>
        <v>2012</v>
      </c>
      <c r="B34" s="35">
        <f t="shared" si="1"/>
        <v>29535056173</v>
      </c>
      <c r="C34" s="35">
        <f t="shared" si="2"/>
        <v>249624160</v>
      </c>
      <c r="D34" s="8"/>
      <c r="E34" s="8"/>
      <c r="F34" s="8"/>
      <c r="G34" s="8"/>
      <c r="H34" s="8"/>
      <c r="I34" s="8"/>
      <c r="J34" s="8"/>
    </row>
    <row r="35" spans="1:10" s="89" customFormat="1" x14ac:dyDescent="0.25">
      <c r="A35" s="89" t="str">
        <f t="shared" si="0"/>
        <v>2013</v>
      </c>
      <c r="B35" s="35">
        <f t="shared" si="1"/>
        <v>31821299194</v>
      </c>
      <c r="C35" s="35">
        <f t="shared" si="2"/>
        <v>244942000</v>
      </c>
      <c r="D35" s="8"/>
      <c r="E35" s="8"/>
      <c r="F35" s="8"/>
      <c r="G35" s="8"/>
      <c r="H35" s="8"/>
      <c r="I35" s="8"/>
      <c r="J35" s="8"/>
    </row>
    <row r="36" spans="1:10" s="89" customFormat="1" x14ac:dyDescent="0.25">
      <c r="A36" s="89" t="str">
        <f t="shared" si="0"/>
        <v>2014</v>
      </c>
      <c r="B36" s="35">
        <f t="shared" si="1"/>
        <v>32323075433</v>
      </c>
      <c r="C36" s="35">
        <f t="shared" si="2"/>
        <v>240211000</v>
      </c>
      <c r="D36" s="8"/>
      <c r="E36" s="8"/>
      <c r="F36" s="8"/>
      <c r="G36" s="8"/>
      <c r="H36" s="8"/>
      <c r="I36" s="8"/>
      <c r="J36" s="8"/>
    </row>
    <row r="37" spans="1:10" s="89" customFormat="1" x14ac:dyDescent="0.25">
      <c r="A37" s="89" t="str">
        <f t="shared" si="0"/>
        <v>2015</v>
      </c>
      <c r="B37" s="35">
        <f t="shared" si="1"/>
        <v>34519472323</v>
      </c>
      <c r="C37" s="35">
        <f t="shared" si="2"/>
        <v>239654039</v>
      </c>
      <c r="D37" s="8"/>
      <c r="E37" s="8"/>
      <c r="F37" s="8"/>
      <c r="G37" s="8"/>
      <c r="H37" s="8"/>
      <c r="I37" s="8"/>
      <c r="J37" s="8"/>
    </row>
    <row r="38" spans="1:10" s="89" customFormat="1" x14ac:dyDescent="0.25">
      <c r="A38" s="89" t="str">
        <f t="shared" si="0"/>
        <v>2016</v>
      </c>
      <c r="B38" s="35">
        <f t="shared" si="1"/>
        <v>36164558016</v>
      </c>
      <c r="C38" s="35">
        <f t="shared" si="2"/>
        <v>253953685</v>
      </c>
      <c r="D38" s="8"/>
      <c r="E38" s="8"/>
      <c r="F38" s="8"/>
      <c r="G38" s="8"/>
      <c r="H38" s="8"/>
      <c r="I38" s="8"/>
      <c r="J38" s="8"/>
    </row>
    <row r="39" spans="1:10" s="89" customFormat="1" x14ac:dyDescent="0.25">
      <c r="A39" s="89" t="str">
        <f t="shared" si="0"/>
        <v>2017</v>
      </c>
      <c r="B39" s="35">
        <f t="shared" si="1"/>
        <v>37377089001</v>
      </c>
      <c r="C39" s="35">
        <f t="shared" si="2"/>
        <v>271514006</v>
      </c>
      <c r="D39" s="8"/>
      <c r="E39" s="8"/>
      <c r="F39" s="8"/>
      <c r="G39" s="8"/>
      <c r="H39" s="8"/>
      <c r="I39" s="8"/>
      <c r="J39" s="8"/>
    </row>
    <row r="40" spans="1:10" s="89" customFormat="1" x14ac:dyDescent="0.25">
      <c r="A40" s="89" t="str">
        <f t="shared" si="0"/>
        <v>2018</v>
      </c>
      <c r="B40" s="35">
        <f t="shared" si="1"/>
        <v>36157500022</v>
      </c>
      <c r="C40" s="35">
        <f t="shared" si="2"/>
        <v>309373250</v>
      </c>
      <c r="D40" s="8"/>
      <c r="E40" s="8"/>
      <c r="F40" s="8"/>
      <c r="G40" s="8"/>
      <c r="H40" s="8"/>
      <c r="I40" s="8"/>
      <c r="J40" s="8"/>
    </row>
    <row r="41" spans="1:10" s="89" customFormat="1" x14ac:dyDescent="0.25">
      <c r="B41" s="35"/>
      <c r="C41" s="35"/>
      <c r="D41" s="8"/>
      <c r="E41" s="8"/>
      <c r="F41" s="8"/>
      <c r="G41" s="8"/>
      <c r="H41" s="8"/>
      <c r="I41" s="8"/>
      <c r="J41" s="8"/>
    </row>
    <row r="42" spans="1:10" s="89" customFormat="1" x14ac:dyDescent="0.25">
      <c r="B42" s="35"/>
      <c r="C42" s="35"/>
      <c r="D42" s="8"/>
      <c r="E42" s="8"/>
      <c r="F42" s="8"/>
      <c r="G42" s="8"/>
      <c r="H42" s="8"/>
      <c r="I42" s="8"/>
      <c r="J42" s="8"/>
    </row>
    <row r="43" spans="1:10" s="89" customFormat="1" x14ac:dyDescent="0.25">
      <c r="B43" s="35"/>
      <c r="C43" s="35"/>
      <c r="D43" s="8"/>
      <c r="E43" s="8"/>
      <c r="F43" s="8"/>
      <c r="G43" s="8"/>
      <c r="H43" s="8"/>
      <c r="I43" s="8"/>
      <c r="J43" s="8"/>
    </row>
    <row r="45" spans="1:10" x14ac:dyDescent="0.25">
      <c r="A45" s="26" t="s">
        <v>247</v>
      </c>
      <c r="B45" s="26" t="s">
        <v>84</v>
      </c>
    </row>
    <row r="46" spans="1:10" x14ac:dyDescent="0.25">
      <c r="A46" s="26" t="s">
        <v>81</v>
      </c>
      <c r="B46" s="175" t="s">
        <v>413</v>
      </c>
      <c r="C46" s="175" t="s">
        <v>417</v>
      </c>
      <c r="D46" s="175" t="s">
        <v>415</v>
      </c>
      <c r="E46" s="175" t="s">
        <v>414</v>
      </c>
      <c r="F46" s="175" t="s">
        <v>416</v>
      </c>
      <c r="G46" s="175" t="s">
        <v>474</v>
      </c>
      <c r="H46" s="175" t="s">
        <v>475</v>
      </c>
      <c r="I46" s="175" t="s">
        <v>473</v>
      </c>
      <c r="J46" s="175" t="s">
        <v>472</v>
      </c>
    </row>
    <row r="47" spans="1:10" x14ac:dyDescent="0.25">
      <c r="A47" s="27" t="s">
        <v>30</v>
      </c>
      <c r="B47" s="8">
        <v>16329505015.110001</v>
      </c>
      <c r="C47" s="8">
        <v>903077.08</v>
      </c>
      <c r="D47" s="8">
        <v>134450868.18000001</v>
      </c>
      <c r="E47" s="8">
        <v>29998120093.939999</v>
      </c>
      <c r="F47" s="8">
        <v>0</v>
      </c>
      <c r="G47" s="8">
        <v>7309382611.4912357</v>
      </c>
      <c r="H47" s="8">
        <v>319005862.9100638</v>
      </c>
      <c r="I47" s="8">
        <v>3452184651.2800102</v>
      </c>
      <c r="J47" s="8">
        <v>4971016336.3632011</v>
      </c>
    </row>
    <row r="48" spans="1:10" x14ac:dyDescent="0.25">
      <c r="A48" s="27" t="s">
        <v>31</v>
      </c>
      <c r="B48" s="8">
        <v>18664262849.939999</v>
      </c>
      <c r="C48" s="8">
        <v>2042226.78</v>
      </c>
      <c r="D48" s="8">
        <v>150817835.75999999</v>
      </c>
      <c r="E48" s="8">
        <v>28023614773.5</v>
      </c>
      <c r="F48" s="8">
        <v>0</v>
      </c>
      <c r="G48" s="8">
        <v>7005486234.0493355</v>
      </c>
      <c r="H48" s="8">
        <v>420304655.39069694</v>
      </c>
      <c r="I48" s="8">
        <v>2664033784.9565959</v>
      </c>
      <c r="J48" s="8">
        <v>3749664716.3083849</v>
      </c>
    </row>
    <row r="49" spans="1:10" x14ac:dyDescent="0.25">
      <c r="A49" s="27" t="s">
        <v>32</v>
      </c>
      <c r="B49" s="8">
        <v>20176123030.32</v>
      </c>
      <c r="C49" s="8">
        <v>6041485.1200000001</v>
      </c>
      <c r="D49" s="8">
        <v>197651642.41</v>
      </c>
      <c r="E49" s="8">
        <v>23627417539.919998</v>
      </c>
      <c r="F49" s="8">
        <v>0</v>
      </c>
      <c r="G49" s="8">
        <v>6934843109.5318832</v>
      </c>
      <c r="H49" s="8">
        <v>443852363.56318086</v>
      </c>
      <c r="I49" s="8">
        <v>2768905053.2915506</v>
      </c>
      <c r="J49" s="8">
        <v>3644793447.9734302</v>
      </c>
    </row>
    <row r="50" spans="1:10" x14ac:dyDescent="0.25">
      <c r="A50" s="27" t="s">
        <v>33</v>
      </c>
      <c r="B50" s="8">
        <v>21980840930.150002</v>
      </c>
      <c r="C50" s="8">
        <v>6117199.4699999997</v>
      </c>
      <c r="D50" s="8">
        <v>173903387.66999999</v>
      </c>
      <c r="E50" s="8">
        <v>25252874281.77</v>
      </c>
      <c r="F50" s="8">
        <v>0</v>
      </c>
      <c r="G50" s="8">
        <v>6981298222.7065754</v>
      </c>
      <c r="H50" s="8">
        <v>428367325.83828348</v>
      </c>
      <c r="I50" s="8">
        <v>3550617631.170372</v>
      </c>
      <c r="J50" s="8">
        <v>4609325712.4370432</v>
      </c>
    </row>
    <row r="51" spans="1:10" x14ac:dyDescent="0.25">
      <c r="A51" s="27" t="s">
        <v>34</v>
      </c>
      <c r="B51" s="8">
        <v>24860251128.490002</v>
      </c>
      <c r="C51" s="8">
        <v>11660242.34</v>
      </c>
      <c r="D51" s="8">
        <v>198607936.33000001</v>
      </c>
      <c r="E51" s="8">
        <v>23090863088.009998</v>
      </c>
      <c r="F51" s="8">
        <v>0</v>
      </c>
      <c r="G51" s="8">
        <v>6899285106.5005703</v>
      </c>
      <c r="H51" s="8">
        <v>455705031.24028528</v>
      </c>
      <c r="I51" s="8">
        <v>3882067007.5161543</v>
      </c>
      <c r="J51" s="8">
        <v>5297005881.6707792</v>
      </c>
    </row>
    <row r="52" spans="1:10" x14ac:dyDescent="0.25">
      <c r="A52" s="27" t="s">
        <v>35</v>
      </c>
      <c r="B52" s="8">
        <v>28605614815.450001</v>
      </c>
      <c r="C52" s="8">
        <v>24259350.07</v>
      </c>
      <c r="D52" s="8">
        <v>242431035.56999999</v>
      </c>
      <c r="E52" s="8">
        <v>22561708560.18</v>
      </c>
      <c r="F52" s="8">
        <v>17938.11</v>
      </c>
      <c r="G52" s="8">
        <v>6887397597.6125965</v>
      </c>
      <c r="H52" s="8">
        <v>459667534.20294356</v>
      </c>
      <c r="I52" s="8">
        <v>3847154921.7955017</v>
      </c>
      <c r="J52" s="8">
        <v>5331917967.3914318</v>
      </c>
    </row>
    <row r="53" spans="1:10" x14ac:dyDescent="0.25">
      <c r="A53" s="27" t="s">
        <v>36</v>
      </c>
      <c r="B53" s="8">
        <v>32212277692.329998</v>
      </c>
      <c r="C53" s="8">
        <v>37031265.020000003</v>
      </c>
      <c r="D53" s="8">
        <v>300980324.81999999</v>
      </c>
      <c r="E53" s="8">
        <v>21334902161.669998</v>
      </c>
      <c r="F53" s="8">
        <v>9836510.6500000004</v>
      </c>
      <c r="G53" s="8">
        <v>7042039990.5978413</v>
      </c>
      <c r="H53" s="8">
        <v>408120069.87452835</v>
      </c>
      <c r="I53" s="8">
        <v>2655280360.4162202</v>
      </c>
      <c r="J53" s="8">
        <v>3480404237.3231688</v>
      </c>
    </row>
    <row r="54" spans="1:10" x14ac:dyDescent="0.25">
      <c r="A54" s="27" t="s">
        <v>37</v>
      </c>
      <c r="B54" s="8">
        <v>35412082861.849998</v>
      </c>
      <c r="C54" s="8">
        <v>59223478.490000002</v>
      </c>
      <c r="D54" s="8">
        <v>445307579.02999997</v>
      </c>
      <c r="E54" s="8">
        <v>19775248692.119999</v>
      </c>
      <c r="F54" s="8">
        <v>18911088.940000001</v>
      </c>
      <c r="G54" s="8">
        <v>6878781742.4864578</v>
      </c>
      <c r="H54" s="8">
        <v>462539485.9116562</v>
      </c>
      <c r="I54" s="8">
        <v>2549687727.9416013</v>
      </c>
      <c r="J54" s="8">
        <v>3585996869.7977867</v>
      </c>
    </row>
    <row r="55" spans="1:10" x14ac:dyDescent="0.25">
      <c r="A55" s="27" t="s">
        <v>38</v>
      </c>
      <c r="B55" s="8">
        <v>35718756043.080002</v>
      </c>
      <c r="C55" s="8">
        <v>91968970.090000004</v>
      </c>
      <c r="D55" s="8">
        <v>615045102.51999998</v>
      </c>
      <c r="E55" s="8">
        <v>17448904917.09</v>
      </c>
      <c r="F55" s="8">
        <v>56358132.5</v>
      </c>
      <c r="G55" s="8">
        <v>6780320451.1064529</v>
      </c>
      <c r="H55" s="8">
        <v>495359916.37165767</v>
      </c>
      <c r="I55" s="8">
        <v>5040167753.5730553</v>
      </c>
      <c r="J55" s="8">
        <v>5888054487.5936346</v>
      </c>
    </row>
    <row r="56" spans="1:10" s="89" customFormat="1" x14ac:dyDescent="0.25">
      <c r="A56" s="27"/>
      <c r="B56" s="8"/>
      <c r="C56" s="8"/>
      <c r="D56" s="8"/>
      <c r="E56" s="8"/>
      <c r="F56" s="8"/>
      <c r="G56" s="8"/>
      <c r="H56" s="8"/>
      <c r="I56" s="8"/>
      <c r="J56" s="8"/>
    </row>
    <row r="57" spans="1:10" s="89" customFormat="1" x14ac:dyDescent="0.25">
      <c r="A57"/>
      <c r="B57"/>
      <c r="C57"/>
      <c r="D57" s="8"/>
      <c r="E57" s="8"/>
      <c r="F57" s="8"/>
      <c r="G57" s="8"/>
      <c r="H57" s="8"/>
      <c r="I57" s="8"/>
      <c r="J57" s="8"/>
    </row>
    <row r="58" spans="1:10" s="89" customFormat="1" x14ac:dyDescent="0.25">
      <c r="A58" s="190" t="s">
        <v>432</v>
      </c>
      <c r="B58" s="190"/>
      <c r="C58" s="190"/>
      <c r="D58" s="8"/>
      <c r="E58" s="8"/>
      <c r="F58" s="8"/>
      <c r="G58" s="8"/>
      <c r="H58" s="8"/>
      <c r="I58" s="8"/>
      <c r="J58" s="8"/>
    </row>
    <row r="59" spans="1:10" s="89" customFormat="1" x14ac:dyDescent="0.25">
      <c r="A59" s="27" t="s">
        <v>63</v>
      </c>
      <c r="B59" s="8" t="s">
        <v>430</v>
      </c>
      <c r="C59" s="8" t="s">
        <v>429</v>
      </c>
      <c r="D59" s="8"/>
      <c r="E59" s="8"/>
      <c r="F59" s="8"/>
      <c r="G59" s="8"/>
      <c r="H59" s="8"/>
      <c r="I59" s="8"/>
      <c r="J59" s="8"/>
    </row>
    <row r="60" spans="1:10" s="89" customFormat="1" x14ac:dyDescent="0.25">
      <c r="A60" s="89" t="str">
        <f t="shared" ref="A60:A68" si="3">A47</f>
        <v>2010</v>
      </c>
      <c r="B60" s="35">
        <f>SUM(B47:E47)</f>
        <v>46462979054.309998</v>
      </c>
      <c r="C60" s="35">
        <f>SUM(F47:J47)</f>
        <v>16051589462.04451</v>
      </c>
      <c r="D60" s="8"/>
      <c r="E60" s="4">
        <f>Vehicle_Kilometres_Mass_Transport_Single_Vehicle_Transport88[[#This Row],[Mass Transport]]/SUM(Vehicle_Kilometres_Mass_Transport_Single_Vehicle_Transport88[[#This Row],[Mass Transport]:[Single Vehicle Transport]])</f>
        <v>0.74323441970418092</v>
      </c>
      <c r="F60" s="8"/>
      <c r="G60" s="8"/>
      <c r="H60" s="8"/>
      <c r="I60" s="8"/>
      <c r="J60" s="8"/>
    </row>
    <row r="61" spans="1:10" s="89" customFormat="1" x14ac:dyDescent="0.25">
      <c r="A61" s="89" t="str">
        <f t="shared" si="3"/>
        <v>2011</v>
      </c>
      <c r="B61" s="35">
        <f t="shared" ref="B61:B68" si="4">SUM(B48:E48)</f>
        <v>46840737685.979996</v>
      </c>
      <c r="C61" s="35">
        <f t="shared" ref="C61:C68" si="5">SUM(F48:J48)</f>
        <v>13839489390.705013</v>
      </c>
      <c r="D61" s="8"/>
      <c r="E61" s="4">
        <f>Vehicle_Kilometres_Mass_Transport_Single_Vehicle_Transport88[[#This Row],[Mass Transport]]/SUM(Vehicle_Kilometres_Mass_Transport_Single_Vehicle_Transport88[[#This Row],[Mass Transport]:[Single Vehicle Transport]])</f>
        <v>0.77192752800322784</v>
      </c>
      <c r="F61" s="8"/>
      <c r="G61" s="8"/>
      <c r="H61" s="8"/>
      <c r="I61" s="8"/>
      <c r="J61" s="8"/>
    </row>
    <row r="62" spans="1:10" s="89" customFormat="1" x14ac:dyDescent="0.25">
      <c r="A62" s="89" t="str">
        <f t="shared" si="3"/>
        <v>2012</v>
      </c>
      <c r="B62" s="35">
        <f t="shared" si="4"/>
        <v>44007233697.769997</v>
      </c>
      <c r="C62" s="35">
        <f t="shared" si="5"/>
        <v>13792393974.360046</v>
      </c>
      <c r="D62" s="8"/>
      <c r="E62" s="4">
        <f>Vehicle_Kilometres_Mass_Transport_Single_Vehicle_Transport88[[#This Row],[Mass Transport]]/SUM(Vehicle_Kilometres_Mass_Transport_Single_Vehicle_Transport88[[#This Row],[Mass Transport]:[Single Vehicle Transport]])</f>
        <v>0.76137572974348944</v>
      </c>
      <c r="F62" s="8"/>
      <c r="G62" s="8"/>
      <c r="H62" s="8"/>
      <c r="I62" s="8"/>
      <c r="J62" s="8"/>
    </row>
    <row r="63" spans="1:10" s="89" customFormat="1" x14ac:dyDescent="0.25">
      <c r="A63" s="89" t="str">
        <f t="shared" si="3"/>
        <v>2013</v>
      </c>
      <c r="B63" s="35">
        <f t="shared" si="4"/>
        <v>47413735799.059998</v>
      </c>
      <c r="C63" s="35">
        <f t="shared" si="5"/>
        <v>15569608892.152275</v>
      </c>
      <c r="D63" s="8"/>
      <c r="E63" s="4">
        <f>Vehicle_Kilometres_Mass_Transport_Single_Vehicle_Transport88[[#This Row],[Mass Transport]]/SUM(Vehicle_Kilometres_Mass_Transport_Single_Vehicle_Transport88[[#This Row],[Mass Transport]:[Single Vehicle Transport]])</f>
        <v>0.75279799812974013</v>
      </c>
      <c r="F63" s="8"/>
      <c r="G63" s="8"/>
      <c r="H63" s="8"/>
      <c r="I63" s="8"/>
      <c r="J63" s="8"/>
    </row>
    <row r="64" spans="1:10" s="89" customFormat="1" x14ac:dyDescent="0.25">
      <c r="A64" s="89" t="str">
        <f t="shared" si="3"/>
        <v>2014</v>
      </c>
      <c r="B64" s="35">
        <f t="shared" si="4"/>
        <v>48161382395.169998</v>
      </c>
      <c r="C64" s="35">
        <f t="shared" si="5"/>
        <v>16534063026.927788</v>
      </c>
      <c r="D64" s="8"/>
      <c r="E64" s="4">
        <f>Vehicle_Kilometres_Mass_Transport_Single_Vehicle_Transport88[[#This Row],[Mass Transport]]/SUM(Vehicle_Kilometres_Mass_Transport_Single_Vehicle_Transport88[[#This Row],[Mass Transport]:[Single Vehicle Transport]])</f>
        <v>0.74443234884537468</v>
      </c>
      <c r="F64" s="8"/>
      <c r="G64" s="8"/>
      <c r="H64" s="8"/>
      <c r="I64" s="8"/>
      <c r="J64" s="8"/>
    </row>
    <row r="65" spans="1:10" s="89" customFormat="1" x14ac:dyDescent="0.25">
      <c r="A65" s="89" t="str">
        <f t="shared" si="3"/>
        <v>2015</v>
      </c>
      <c r="B65" s="35">
        <f t="shared" si="4"/>
        <v>51434013761.270004</v>
      </c>
      <c r="C65" s="35">
        <f t="shared" si="5"/>
        <v>16526155959.112474</v>
      </c>
      <c r="D65" s="8"/>
      <c r="E65" s="4">
        <f>Vehicle_Kilometres_Mass_Transport_Single_Vehicle_Transport88[[#This Row],[Mass Transport]]/SUM(Vehicle_Kilometres_Mass_Transport_Single_Vehicle_Transport88[[#This Row],[Mass Transport]:[Single Vehicle Transport]])</f>
        <v>0.75682585804143476</v>
      </c>
      <c r="F65" s="8"/>
      <c r="G65" s="8"/>
      <c r="H65" s="8"/>
      <c r="I65" s="8"/>
      <c r="J65" s="8"/>
    </row>
    <row r="66" spans="1:10" s="89" customFormat="1" x14ac:dyDescent="0.25">
      <c r="A66" s="89" t="str">
        <f t="shared" si="3"/>
        <v>2016</v>
      </c>
      <c r="B66" s="35">
        <f t="shared" si="4"/>
        <v>53885191443.839996</v>
      </c>
      <c r="C66" s="35">
        <f t="shared" si="5"/>
        <v>13595681168.861759</v>
      </c>
      <c r="D66" s="8"/>
      <c r="E66" s="4">
        <f>Vehicle_Kilometres_Mass_Transport_Single_Vehicle_Transport88[[#This Row],[Mass Transport]]/SUM(Vehicle_Kilometres_Mass_Transport_Single_Vehicle_Transport88[[#This Row],[Mass Transport]:[Single Vehicle Transport]])</f>
        <v>0.79852540960914198</v>
      </c>
      <c r="F66" s="8"/>
      <c r="G66" s="8"/>
      <c r="H66" s="8"/>
      <c r="I66" s="8"/>
      <c r="J66" s="8"/>
    </row>
    <row r="67" spans="1:10" s="89" customFormat="1" x14ac:dyDescent="0.25">
      <c r="A67" s="89" t="str">
        <f t="shared" si="3"/>
        <v>2017</v>
      </c>
      <c r="B67" s="35">
        <f t="shared" si="4"/>
        <v>55691862611.48999</v>
      </c>
      <c r="C67" s="35">
        <f t="shared" si="5"/>
        <v>13495916915.077501</v>
      </c>
      <c r="D67" s="8"/>
      <c r="E67" s="4">
        <f>Vehicle_Kilometres_Mass_Transport_Single_Vehicle_Transport88[[#This Row],[Mass Transport]]/SUM(Vehicle_Kilometres_Mass_Transport_Single_Vehicle_Transport88[[#This Row],[Mass Transport]:[Single Vehicle Transport]])</f>
        <v>0.80493785163469245</v>
      </c>
      <c r="F67" s="8"/>
      <c r="G67" s="8"/>
      <c r="H67" s="8"/>
      <c r="I67" s="8"/>
      <c r="J67" s="8"/>
    </row>
    <row r="68" spans="1:10" s="89" customFormat="1" x14ac:dyDescent="0.25">
      <c r="A68" s="89" t="str">
        <f t="shared" si="3"/>
        <v>2018</v>
      </c>
      <c r="B68" s="35">
        <f t="shared" si="4"/>
        <v>53874675032.779999</v>
      </c>
      <c r="C68" s="35">
        <f t="shared" si="5"/>
        <v>18260260741.144802</v>
      </c>
      <c r="D68" s="8"/>
      <c r="E68" s="4">
        <f>Vehicle_Kilometres_Mass_Transport_Single_Vehicle_Transport88[[#This Row],[Mass Transport]]/SUM(Vehicle_Kilometres_Mass_Transport_Single_Vehicle_Transport88[[#This Row],[Mass Transport]:[Single Vehicle Transport]])</f>
        <v>0.74685967977605816</v>
      </c>
      <c r="F68" s="8"/>
      <c r="G68" s="8"/>
      <c r="H68" s="8"/>
      <c r="I68" s="8"/>
      <c r="J68" s="8"/>
    </row>
    <row r="69" spans="1:10" s="89" customFormat="1" x14ac:dyDescent="0.25">
      <c r="A69"/>
      <c r="B69"/>
      <c r="C69"/>
      <c r="D69" s="8"/>
      <c r="E69" s="8"/>
      <c r="F69" s="8"/>
      <c r="G69" s="8"/>
      <c r="H69" s="8"/>
      <c r="I69" s="8"/>
      <c r="J69" s="8"/>
    </row>
    <row r="70" spans="1:10" s="89" customFormat="1" x14ac:dyDescent="0.25">
      <c r="A70" s="147"/>
      <c r="B70" s="147"/>
      <c r="C70" s="147"/>
    </row>
    <row r="71" spans="1:10" x14ac:dyDescent="0.25">
      <c r="A71" s="26" t="s">
        <v>424</v>
      </c>
      <c r="B71" s="26" t="s">
        <v>84</v>
      </c>
    </row>
    <row r="72" spans="1:10" x14ac:dyDescent="0.25">
      <c r="A72" s="26" t="s">
        <v>81</v>
      </c>
      <c r="B72" s="175" t="s">
        <v>30</v>
      </c>
      <c r="C72" s="175" t="s">
        <v>31</v>
      </c>
      <c r="D72" s="175" t="s">
        <v>32</v>
      </c>
      <c r="E72" s="175" t="s">
        <v>33</v>
      </c>
      <c r="F72" s="175" t="s">
        <v>34</v>
      </c>
      <c r="G72" s="175" t="s">
        <v>35</v>
      </c>
      <c r="H72" s="175" t="s">
        <v>36</v>
      </c>
      <c r="I72" s="175" t="s">
        <v>37</v>
      </c>
      <c r="J72" s="175" t="s">
        <v>38</v>
      </c>
    </row>
    <row r="73" spans="1:10" x14ac:dyDescent="0.25">
      <c r="A73" s="27" t="s">
        <v>413</v>
      </c>
      <c r="B73" s="8">
        <v>10959399339</v>
      </c>
      <c r="C73" s="8">
        <v>12526350906</v>
      </c>
      <c r="D73" s="8">
        <v>13541022168</v>
      </c>
      <c r="E73" s="8">
        <v>14752242235</v>
      </c>
      <c r="F73" s="8">
        <v>16684732301</v>
      </c>
      <c r="G73" s="8">
        <v>19198399205</v>
      </c>
      <c r="H73" s="8">
        <v>21618978317</v>
      </c>
      <c r="I73" s="8">
        <v>23766498565</v>
      </c>
      <c r="J73" s="8">
        <v>23972319492</v>
      </c>
    </row>
    <row r="74" spans="1:10" x14ac:dyDescent="0.25">
      <c r="A74" s="27" t="s">
        <v>417</v>
      </c>
      <c r="B74" s="8">
        <v>606092</v>
      </c>
      <c r="C74" s="8">
        <v>1370622</v>
      </c>
      <c r="D74" s="8">
        <v>4054688</v>
      </c>
      <c r="E74" s="8">
        <v>4105503</v>
      </c>
      <c r="F74" s="8">
        <v>7825666</v>
      </c>
      <c r="G74" s="8">
        <v>16281443</v>
      </c>
      <c r="H74" s="8">
        <v>24853198</v>
      </c>
      <c r="I74" s="8">
        <v>39747301</v>
      </c>
      <c r="J74" s="8">
        <v>61724141</v>
      </c>
    </row>
    <row r="75" spans="1:10" x14ac:dyDescent="0.25">
      <c r="A75" s="27" t="s">
        <v>415</v>
      </c>
      <c r="B75" s="8">
        <v>90235482</v>
      </c>
      <c r="C75" s="8">
        <v>101220024</v>
      </c>
      <c r="D75" s="8">
        <v>132652109</v>
      </c>
      <c r="E75" s="8">
        <v>116713683</v>
      </c>
      <c r="F75" s="8">
        <v>133293917</v>
      </c>
      <c r="G75" s="8">
        <v>162705393</v>
      </c>
      <c r="H75" s="8">
        <v>202000218</v>
      </c>
      <c r="I75" s="8">
        <v>298864147</v>
      </c>
      <c r="J75" s="8">
        <v>412781948</v>
      </c>
    </row>
    <row r="76" spans="1:10" x14ac:dyDescent="0.25">
      <c r="A76" s="27" t="s">
        <v>414</v>
      </c>
      <c r="B76" s="8">
        <v>20132966506</v>
      </c>
      <c r="C76" s="8">
        <v>18807795150</v>
      </c>
      <c r="D76" s="8">
        <v>15857327208</v>
      </c>
      <c r="E76" s="8">
        <v>16948237773</v>
      </c>
      <c r="F76" s="8">
        <v>15497223549</v>
      </c>
      <c r="G76" s="8">
        <v>15142086282</v>
      </c>
      <c r="H76" s="8">
        <v>14318726283</v>
      </c>
      <c r="I76" s="8">
        <v>13271978988</v>
      </c>
      <c r="J76" s="8">
        <v>11710674441</v>
      </c>
    </row>
    <row r="77" spans="1:10" x14ac:dyDescent="0.25">
      <c r="A77" s="27" t="s">
        <v>416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12039</v>
      </c>
      <c r="H77" s="8">
        <v>6601685</v>
      </c>
      <c r="I77" s="8">
        <v>12692006</v>
      </c>
      <c r="J77" s="8">
        <v>37824250</v>
      </c>
    </row>
    <row r="78" spans="1:10" s="89" customFormat="1" x14ac:dyDescent="0.25">
      <c r="A78" s="27" t="s">
        <v>474</v>
      </c>
      <c r="B78" s="8">
        <v>15950000</v>
      </c>
      <c r="C78" s="8">
        <v>15960000</v>
      </c>
      <c r="D78" s="8">
        <v>15960000</v>
      </c>
      <c r="E78" s="8">
        <v>15970000</v>
      </c>
      <c r="F78" s="8">
        <v>15965000</v>
      </c>
      <c r="G78" s="8">
        <v>15965000</v>
      </c>
      <c r="H78" s="8">
        <v>15960000</v>
      </c>
      <c r="I78" s="8">
        <v>15010000</v>
      </c>
      <c r="J78" s="8">
        <v>16200000</v>
      </c>
    </row>
    <row r="79" spans="1:10" s="89" customFormat="1" x14ac:dyDescent="0.25">
      <c r="A79" s="27" t="s">
        <v>475</v>
      </c>
      <c r="B79" s="8">
        <v>2900000</v>
      </c>
      <c r="C79" s="8">
        <v>3690000</v>
      </c>
      <c r="D79" s="8">
        <v>3840000</v>
      </c>
      <c r="E79" s="8">
        <v>3540000</v>
      </c>
      <c r="F79" s="8">
        <v>3667000</v>
      </c>
      <c r="G79" s="8">
        <v>3664000</v>
      </c>
      <c r="H79" s="8">
        <v>3490000</v>
      </c>
      <c r="I79" s="8">
        <v>3660000</v>
      </c>
      <c r="J79" s="8">
        <v>4070000</v>
      </c>
    </row>
    <row r="80" spans="1:10" s="89" customFormat="1" x14ac:dyDescent="0.25">
      <c r="A80" s="27" t="s">
        <v>473</v>
      </c>
      <c r="B80" s="8">
        <v>172452000</v>
      </c>
      <c r="C80" s="8">
        <v>172452000</v>
      </c>
      <c r="D80" s="8">
        <v>172452000</v>
      </c>
      <c r="E80" s="8">
        <v>169432000</v>
      </c>
      <c r="F80" s="8">
        <v>163579000</v>
      </c>
      <c r="G80" s="8">
        <v>163013000</v>
      </c>
      <c r="H80" s="8">
        <v>170602000</v>
      </c>
      <c r="I80" s="8">
        <v>181752000</v>
      </c>
      <c r="J80" s="8">
        <v>194179000</v>
      </c>
    </row>
    <row r="81" spans="1:10" s="89" customFormat="1" x14ac:dyDescent="0.25">
      <c r="A81" s="27" t="s">
        <v>472</v>
      </c>
      <c r="B81" s="8">
        <v>61800000</v>
      </c>
      <c r="C81" s="8">
        <v>60086140</v>
      </c>
      <c r="D81" s="8">
        <v>57372160</v>
      </c>
      <c r="E81" s="8">
        <v>56000000</v>
      </c>
      <c r="F81" s="8">
        <v>57000000</v>
      </c>
      <c r="G81" s="8">
        <v>57000000</v>
      </c>
      <c r="H81" s="8">
        <v>57300000</v>
      </c>
      <c r="I81" s="8">
        <v>58400000</v>
      </c>
      <c r="J81" s="8">
        <v>57100000</v>
      </c>
    </row>
    <row r="84" spans="1:10" x14ac:dyDescent="0.25">
      <c r="A84" s="26" t="s">
        <v>422</v>
      </c>
      <c r="B84" s="26" t="s">
        <v>84</v>
      </c>
    </row>
    <row r="85" spans="1:10" x14ac:dyDescent="0.25">
      <c r="A85" s="26" t="s">
        <v>81</v>
      </c>
      <c r="B85" s="175" t="s">
        <v>413</v>
      </c>
      <c r="C85" s="175" t="s">
        <v>417</v>
      </c>
      <c r="D85" s="175" t="s">
        <v>415</v>
      </c>
      <c r="E85" s="175" t="s">
        <v>414</v>
      </c>
      <c r="F85" s="175" t="s">
        <v>416</v>
      </c>
      <c r="G85" s="175" t="s">
        <v>474</v>
      </c>
      <c r="H85" s="175" t="s">
        <v>475</v>
      </c>
      <c r="I85" s="175" t="s">
        <v>473</v>
      </c>
      <c r="J85" s="175" t="s">
        <v>472</v>
      </c>
    </row>
    <row r="86" spans="1:10" x14ac:dyDescent="0.25">
      <c r="A86" s="27" t="s">
        <v>30</v>
      </c>
      <c r="B86" s="8">
        <v>1.49</v>
      </c>
      <c r="C86" s="8">
        <v>1.49</v>
      </c>
      <c r="D86" s="8">
        <v>1.49</v>
      </c>
      <c r="E86" s="8">
        <v>1.49</v>
      </c>
      <c r="F86" s="8">
        <v>1.49</v>
      </c>
      <c r="G86" s="8">
        <v>152.75616742928392</v>
      </c>
      <c r="H86" s="8">
        <v>110.00202169312544</v>
      </c>
      <c r="I86" s="8">
        <v>6.6727449788540385</v>
      </c>
      <c r="J86" s="8">
        <v>26.812385848776703</v>
      </c>
    </row>
    <row r="87" spans="1:10" x14ac:dyDescent="0.25">
      <c r="A87" s="27" t="s">
        <v>31</v>
      </c>
      <c r="B87" s="8">
        <v>1.49</v>
      </c>
      <c r="C87" s="8">
        <v>1.49</v>
      </c>
      <c r="D87" s="8">
        <v>1.49</v>
      </c>
      <c r="E87" s="8">
        <v>1.49</v>
      </c>
      <c r="F87" s="8">
        <v>1.49</v>
      </c>
      <c r="G87" s="8">
        <v>146.31341340955171</v>
      </c>
      <c r="H87" s="8">
        <v>113.90370064788534</v>
      </c>
      <c r="I87" s="8">
        <v>5.1493242273339748</v>
      </c>
      <c r="J87" s="8">
        <v>20.801606473131102</v>
      </c>
    </row>
    <row r="88" spans="1:10" x14ac:dyDescent="0.25">
      <c r="A88" s="27" t="s">
        <v>32</v>
      </c>
      <c r="B88" s="8">
        <v>1.49</v>
      </c>
      <c r="C88" s="8">
        <v>1.49</v>
      </c>
      <c r="D88" s="8">
        <v>1.49</v>
      </c>
      <c r="E88" s="8">
        <v>1.49</v>
      </c>
      <c r="F88" s="8">
        <v>1.49</v>
      </c>
      <c r="G88" s="8">
        <v>144.83799309799255</v>
      </c>
      <c r="H88" s="8">
        <v>115.58655301124502</v>
      </c>
      <c r="I88" s="8">
        <v>5.3520304264211696</v>
      </c>
      <c r="J88" s="8">
        <v>21.176318781173251</v>
      </c>
    </row>
    <row r="89" spans="1:10" x14ac:dyDescent="0.25">
      <c r="A89" s="27" t="s">
        <v>33</v>
      </c>
      <c r="B89" s="8">
        <v>1.49</v>
      </c>
      <c r="C89" s="8">
        <v>1.49</v>
      </c>
      <c r="D89" s="8">
        <v>1.49</v>
      </c>
      <c r="E89" s="8">
        <v>1.49</v>
      </c>
      <c r="F89" s="8">
        <v>1.49</v>
      </c>
      <c r="G89" s="8">
        <v>145.71693222096798</v>
      </c>
      <c r="H89" s="8">
        <v>121.00771916335691</v>
      </c>
      <c r="I89" s="8">
        <v>6.9853345908100239</v>
      </c>
      <c r="J89" s="8">
        <v>27.436462574030021</v>
      </c>
    </row>
    <row r="90" spans="1:10" x14ac:dyDescent="0.25">
      <c r="A90" s="27" t="s">
        <v>34</v>
      </c>
      <c r="B90" s="8">
        <v>1.49</v>
      </c>
      <c r="C90" s="8">
        <v>1.49</v>
      </c>
      <c r="D90" s="8">
        <v>1.49</v>
      </c>
      <c r="E90" s="8">
        <v>1.49</v>
      </c>
      <c r="F90" s="8">
        <v>1.49</v>
      </c>
      <c r="G90" s="8">
        <v>144.05021623343919</v>
      </c>
      <c r="H90" s="8">
        <v>124.27189289345112</v>
      </c>
      <c r="I90" s="8">
        <v>7.9106874099897801</v>
      </c>
      <c r="J90" s="8">
        <v>30.976642582870053</v>
      </c>
    </row>
    <row r="91" spans="1:10" x14ac:dyDescent="0.25">
      <c r="A91" s="27" t="s">
        <v>35</v>
      </c>
      <c r="B91" s="8">
        <v>1.49</v>
      </c>
      <c r="C91" s="8">
        <v>1.49</v>
      </c>
      <c r="D91" s="8">
        <v>1.49</v>
      </c>
      <c r="E91" s="8">
        <v>1.49</v>
      </c>
      <c r="F91" s="8">
        <v>1.49</v>
      </c>
      <c r="G91" s="8">
        <v>143.80201686214838</v>
      </c>
      <c r="H91" s="8">
        <v>125.4551130466549</v>
      </c>
      <c r="I91" s="8">
        <v>7.8667650673985143</v>
      </c>
      <c r="J91" s="8">
        <v>31.180806826850482</v>
      </c>
    </row>
    <row r="92" spans="1:10" x14ac:dyDescent="0.25">
      <c r="A92" s="27" t="s">
        <v>36</v>
      </c>
      <c r="B92" s="8">
        <v>1.49</v>
      </c>
      <c r="C92" s="8">
        <v>1.49</v>
      </c>
      <c r="D92" s="8">
        <v>1.49</v>
      </c>
      <c r="E92" s="8">
        <v>1.49</v>
      </c>
      <c r="F92" s="8">
        <v>1.49</v>
      </c>
      <c r="G92" s="8">
        <v>147.07685861733168</v>
      </c>
      <c r="H92" s="8">
        <v>116.93984810158405</v>
      </c>
      <c r="I92" s="8">
        <v>5.188060242389148</v>
      </c>
      <c r="J92" s="8">
        <v>20.246679681926519</v>
      </c>
    </row>
    <row r="93" spans="1:10" x14ac:dyDescent="0.25">
      <c r="A93" s="27" t="s">
        <v>37</v>
      </c>
      <c r="B93" s="8">
        <v>1.49</v>
      </c>
      <c r="C93" s="8">
        <v>1.49</v>
      </c>
      <c r="D93" s="8">
        <v>1.49</v>
      </c>
      <c r="E93" s="8">
        <v>1.49</v>
      </c>
      <c r="F93" s="8">
        <v>1.49</v>
      </c>
      <c r="G93" s="8">
        <v>152.75997651535548</v>
      </c>
      <c r="H93" s="8">
        <v>126.37690871903175</v>
      </c>
      <c r="I93" s="8">
        <v>4.6761296124051848</v>
      </c>
      <c r="J93" s="8">
        <v>20.468018663229376</v>
      </c>
    </row>
    <row r="94" spans="1:10" x14ac:dyDescent="0.25">
      <c r="A94" s="27" t="s">
        <v>38</v>
      </c>
      <c r="B94" s="8">
        <v>1.49</v>
      </c>
      <c r="C94" s="8">
        <v>1.49</v>
      </c>
      <c r="D94" s="8">
        <v>1.49</v>
      </c>
      <c r="E94" s="8">
        <v>1.49</v>
      </c>
      <c r="F94" s="8">
        <v>1.49</v>
      </c>
      <c r="G94" s="8">
        <v>139.51276648367187</v>
      </c>
      <c r="H94" s="8">
        <v>121.71005316256945</v>
      </c>
      <c r="I94" s="8">
        <v>8.6520989286054881</v>
      </c>
      <c r="J94" s="8">
        <v>34.372764084025889</v>
      </c>
    </row>
    <row r="99" spans="1:10" x14ac:dyDescent="0.25">
      <c r="B99" s="26" t="s">
        <v>84</v>
      </c>
    </row>
    <row r="100" spans="1:10" x14ac:dyDescent="0.25">
      <c r="A100" s="26" t="s">
        <v>81</v>
      </c>
      <c r="B100" s="175" t="s">
        <v>413</v>
      </c>
      <c r="C100" s="175" t="s">
        <v>417</v>
      </c>
      <c r="D100" s="175" t="s">
        <v>415</v>
      </c>
      <c r="E100" s="175" t="s">
        <v>414</v>
      </c>
      <c r="F100" s="175" t="s">
        <v>416</v>
      </c>
      <c r="G100" s="175" t="s">
        <v>474</v>
      </c>
      <c r="H100" s="175" t="s">
        <v>475</v>
      </c>
      <c r="I100" s="175" t="s">
        <v>473</v>
      </c>
      <c r="J100" s="175" t="s">
        <v>472</v>
      </c>
    </row>
    <row r="101" spans="1:10" x14ac:dyDescent="0.25">
      <c r="A101" s="27" t="s">
        <v>30</v>
      </c>
    </row>
    <row r="102" spans="1:10" x14ac:dyDescent="0.25">
      <c r="A102" s="27" t="s">
        <v>31</v>
      </c>
    </row>
    <row r="103" spans="1:10" x14ac:dyDescent="0.25">
      <c r="A103" s="27" t="s">
        <v>32</v>
      </c>
    </row>
    <row r="104" spans="1:10" x14ac:dyDescent="0.25">
      <c r="A104" s="27" t="s">
        <v>33</v>
      </c>
    </row>
    <row r="105" spans="1:10" x14ac:dyDescent="0.25">
      <c r="A105" s="27" t="s">
        <v>34</v>
      </c>
    </row>
    <row r="106" spans="1:10" x14ac:dyDescent="0.25">
      <c r="A106" s="27" t="s">
        <v>35</v>
      </c>
    </row>
    <row r="107" spans="1:10" x14ac:dyDescent="0.25">
      <c r="A107" s="27" t="s">
        <v>36</v>
      </c>
    </row>
    <row r="108" spans="1:10" x14ac:dyDescent="0.25">
      <c r="A108" s="27" t="s">
        <v>37</v>
      </c>
    </row>
    <row r="109" spans="1:10" x14ac:dyDescent="0.25">
      <c r="A109" s="27" t="s">
        <v>38</v>
      </c>
    </row>
    <row r="110" spans="1:10" s="89" customFormat="1" x14ac:dyDescent="0.25">
      <c r="A110" s="27"/>
      <c r="B110" s="8"/>
      <c r="C110" s="8"/>
      <c r="D110" s="8"/>
      <c r="E110" s="8"/>
      <c r="F110" s="8"/>
      <c r="G110" s="8"/>
      <c r="H110" s="8"/>
      <c r="I110" s="8"/>
      <c r="J110" s="8"/>
    </row>
    <row r="111" spans="1:10" s="89" customFormat="1" x14ac:dyDescent="0.25">
      <c r="A111" s="27"/>
      <c r="B111" s="8"/>
      <c r="C111" s="8"/>
      <c r="D111" s="8"/>
      <c r="E111" s="8"/>
      <c r="F111" s="8"/>
      <c r="G111" s="8"/>
      <c r="H111" s="8"/>
      <c r="I111" s="8"/>
      <c r="J111" s="8"/>
    </row>
    <row r="112" spans="1:10" s="89" customFormat="1" x14ac:dyDescent="0.25">
      <c r="A112" s="27"/>
      <c r="B112" s="8"/>
      <c r="C112" s="8"/>
      <c r="D112" s="8"/>
      <c r="E112" s="8"/>
      <c r="F112" s="8"/>
      <c r="G112" s="8"/>
      <c r="H112" s="8"/>
      <c r="I112" s="8"/>
      <c r="J112" s="8"/>
    </row>
    <row r="113" spans="1:92" s="89" customFormat="1" x14ac:dyDescent="0.25">
      <c r="A113" s="26" t="s">
        <v>411</v>
      </c>
      <c r="B113" s="26" t="s">
        <v>84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</row>
    <row r="114" spans="1:92" s="89" customFormat="1" x14ac:dyDescent="0.25">
      <c r="A114" s="26" t="s">
        <v>81</v>
      </c>
      <c r="B114" s="175" t="s">
        <v>413</v>
      </c>
      <c r="C114" s="175" t="s">
        <v>417</v>
      </c>
      <c r="D114" s="175" t="s">
        <v>415</v>
      </c>
      <c r="E114" s="175" t="s">
        <v>414</v>
      </c>
      <c r="F114" s="175" t="s">
        <v>416</v>
      </c>
      <c r="G114" s="175" t="s">
        <v>474</v>
      </c>
      <c r="H114" s="175" t="s">
        <v>475</v>
      </c>
      <c r="I114" s="175" t="s">
        <v>473</v>
      </c>
      <c r="J114" s="175" t="s">
        <v>472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</row>
    <row r="115" spans="1:92" s="89" customFormat="1" x14ac:dyDescent="0.25">
      <c r="A115" s="27" t="s">
        <v>30</v>
      </c>
      <c r="B115" s="8">
        <v>45.795352304107212</v>
      </c>
      <c r="C115" s="8">
        <v>10.201342281879194</v>
      </c>
      <c r="D115" s="8">
        <v>8.7152797353441525</v>
      </c>
      <c r="E115" s="8">
        <v>49.66518644637933</v>
      </c>
      <c r="F115" s="8">
        <v>8.6870070274787903</v>
      </c>
      <c r="G115" s="8">
        <v>22.586038900256572</v>
      </c>
      <c r="H115" s="8">
        <v>2.6965341736268522</v>
      </c>
      <c r="I115" s="8">
        <v>22.586038900256572</v>
      </c>
      <c r="J115" s="8">
        <v>22.586038900256572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</row>
    <row r="116" spans="1:92" s="89" customFormat="1" x14ac:dyDescent="0.25">
      <c r="A116" s="27" t="s">
        <v>31</v>
      </c>
      <c r="B116" s="8">
        <v>46.378170003012634</v>
      </c>
      <c r="C116" s="8">
        <v>10.201342281879194</v>
      </c>
      <c r="D116" s="8">
        <v>8.2871066386620882</v>
      </c>
      <c r="E116" s="8">
        <v>49.610569619147626</v>
      </c>
      <c r="F116" s="8">
        <v>8.6870070274787903</v>
      </c>
      <c r="G116" s="8">
        <v>23.3003098638093</v>
      </c>
      <c r="H116" s="8">
        <v>2.7835326983047319</v>
      </c>
      <c r="I116" s="8">
        <v>23.3003098638093</v>
      </c>
      <c r="J116" s="8">
        <v>23.3003098638093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</row>
    <row r="117" spans="1:92" s="89" customFormat="1" x14ac:dyDescent="0.25">
      <c r="A117" s="27" t="s">
        <v>32</v>
      </c>
      <c r="B117" s="8">
        <v>46.492127204891524</v>
      </c>
      <c r="C117" s="8">
        <v>10.201342281879194</v>
      </c>
      <c r="D117" s="8">
        <v>8.2215858561603525</v>
      </c>
      <c r="E117" s="8">
        <v>49.548573089124531</v>
      </c>
      <c r="F117" s="8">
        <v>8.6870070274787903</v>
      </c>
      <c r="G117" s="8">
        <v>22.789268265171756</v>
      </c>
      <c r="H117" s="8">
        <v>2.6518263945615583</v>
      </c>
      <c r="I117" s="8">
        <v>22.789268265171756</v>
      </c>
      <c r="J117" s="8">
        <v>22.789268265171756</v>
      </c>
      <c r="K117"/>
    </row>
    <row r="118" spans="1:92" s="89" customFormat="1" x14ac:dyDescent="0.25">
      <c r="A118" s="27" t="s">
        <v>33</v>
      </c>
      <c r="B118" s="8">
        <v>46.186989229738742</v>
      </c>
      <c r="C118" s="8">
        <v>10.201342281879194</v>
      </c>
      <c r="D118" s="8">
        <v>8.0605402150429377</v>
      </c>
      <c r="E118" s="8">
        <v>49.413035030440597</v>
      </c>
      <c r="F118" s="8">
        <v>8.6870070274787903</v>
      </c>
      <c r="G118" s="8">
        <v>22.375494502144193</v>
      </c>
      <c r="H118" s="8">
        <v>2.5353450655396723</v>
      </c>
      <c r="I118" s="8">
        <v>22.375494502144193</v>
      </c>
      <c r="J118" s="8">
        <v>22.375494502144193</v>
      </c>
      <c r="K118"/>
    </row>
    <row r="119" spans="1:92" s="89" customFormat="1" x14ac:dyDescent="0.25">
      <c r="A119" s="27" t="s">
        <v>34</v>
      </c>
      <c r="B119" s="8">
        <v>47.225780289439776</v>
      </c>
      <c r="C119" s="8">
        <v>10.201342281879194</v>
      </c>
      <c r="D119" s="8">
        <v>7.7160696654079333</v>
      </c>
      <c r="E119" s="8">
        <v>49.312078580169235</v>
      </c>
      <c r="F119" s="8">
        <v>8.6870070274787903</v>
      </c>
      <c r="G119" s="8">
        <v>20.867379413607672</v>
      </c>
      <c r="H119" s="8">
        <v>2.4611245568039055</v>
      </c>
      <c r="I119" s="8">
        <v>20.867379413607672</v>
      </c>
      <c r="J119" s="8">
        <v>20.867379413607672</v>
      </c>
      <c r="K119"/>
    </row>
    <row r="120" spans="1:92" s="89" customFormat="1" x14ac:dyDescent="0.25">
      <c r="A120" s="27" t="s">
        <v>35</v>
      </c>
      <c r="B120" s="8">
        <v>47.437969989620079</v>
      </c>
      <c r="C120" s="8">
        <v>10.201342281879194</v>
      </c>
      <c r="D120" s="8">
        <v>7.3005279624219339</v>
      </c>
      <c r="E120" s="8">
        <v>49.196040846594073</v>
      </c>
      <c r="F120" s="8">
        <v>8.6870070274787903</v>
      </c>
      <c r="G120" s="8">
        <v>20.690790386400408</v>
      </c>
      <c r="H120" s="8">
        <v>2.4966904779768497</v>
      </c>
      <c r="I120" s="8">
        <v>20.690790386400408</v>
      </c>
      <c r="J120" s="8">
        <v>20.690790386400408</v>
      </c>
      <c r="K120"/>
    </row>
    <row r="121" spans="1:92" s="89" customFormat="1" x14ac:dyDescent="0.25">
      <c r="A121" s="27" t="s">
        <v>36</v>
      </c>
      <c r="B121" s="8">
        <v>46.951395178922006</v>
      </c>
      <c r="C121" s="8">
        <v>10.201342281879194</v>
      </c>
      <c r="D121" s="8">
        <v>7.4683297454729649</v>
      </c>
      <c r="E121" s="8">
        <v>48.563846622455117</v>
      </c>
      <c r="F121" s="8">
        <v>8.6870070274787903</v>
      </c>
      <c r="G121" s="8">
        <v>21.260046833004402</v>
      </c>
      <c r="H121" s="8">
        <v>2.6134614436402206</v>
      </c>
      <c r="I121" s="8">
        <v>21.260046833004402</v>
      </c>
      <c r="J121" s="8">
        <v>21.260046833004402</v>
      </c>
      <c r="K121"/>
    </row>
    <row r="122" spans="1:92" s="89" customFormat="1" x14ac:dyDescent="0.25">
      <c r="A122" s="27" t="s">
        <v>37</v>
      </c>
      <c r="B122" s="8">
        <v>46.377468503198799</v>
      </c>
      <c r="C122" s="8">
        <v>10.201342281879194</v>
      </c>
      <c r="D122" s="8">
        <v>7.4683297454729649</v>
      </c>
      <c r="E122" s="8">
        <v>48.274164899345905</v>
      </c>
      <c r="F122" s="8">
        <v>8.6870070274787903</v>
      </c>
      <c r="G122" s="8">
        <v>22.240740544952857</v>
      </c>
      <c r="H122" s="8">
        <v>2.7634544475500089</v>
      </c>
      <c r="I122" s="8">
        <v>22.240740544952857</v>
      </c>
      <c r="J122" s="8">
        <v>22.240740544952857</v>
      </c>
      <c r="K122"/>
    </row>
    <row r="123" spans="1:92" s="89" customFormat="1" x14ac:dyDescent="0.25">
      <c r="A123" s="27" t="s">
        <v>38</v>
      </c>
      <c r="B123" s="8">
        <v>45.634405024564167</v>
      </c>
      <c r="C123" s="8">
        <v>10.201342281879194</v>
      </c>
      <c r="D123" s="8">
        <v>7.4683297454729676</v>
      </c>
      <c r="E123" s="8">
        <v>47.903426165435846</v>
      </c>
      <c r="F123" s="8">
        <v>8.6870070274787903</v>
      </c>
      <c r="G123" s="8">
        <v>22.905997012966484</v>
      </c>
      <c r="H123" s="8">
        <v>2.7963280108547073</v>
      </c>
      <c r="I123" s="8">
        <v>22.905997012966484</v>
      </c>
      <c r="J123" s="8">
        <v>22.905997012966484</v>
      </c>
      <c r="K123"/>
    </row>
    <row r="124" spans="1:92" s="89" customFormat="1" x14ac:dyDescent="0.25">
      <c r="A124" s="27"/>
      <c r="B124" s="8"/>
      <c r="C124" s="8"/>
      <c r="D124" s="8"/>
      <c r="E124" s="8"/>
      <c r="F124" s="8"/>
      <c r="G124" s="8"/>
      <c r="H124" s="8"/>
      <c r="I124" s="8"/>
      <c r="J124" s="8"/>
    </row>
    <row r="125" spans="1:92" s="89" customFormat="1" x14ac:dyDescent="0.25">
      <c r="A125"/>
      <c r="B125"/>
      <c r="C125"/>
      <c r="D125"/>
      <c r="E125"/>
      <c r="F125"/>
      <c r="G125"/>
      <c r="H125"/>
      <c r="I125"/>
      <c r="J125"/>
      <c r="K125"/>
    </row>
    <row r="126" spans="1:92" s="89" customFormat="1" x14ac:dyDescent="0.25">
      <c r="A126" s="26" t="s">
        <v>436</v>
      </c>
      <c r="B126" s="26" t="s">
        <v>84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</row>
    <row r="127" spans="1:92" s="89" customFormat="1" x14ac:dyDescent="0.25">
      <c r="A127" s="26" t="s">
        <v>81</v>
      </c>
      <c r="B127" s="175" t="s">
        <v>413</v>
      </c>
      <c r="C127" s="175" t="s">
        <v>417</v>
      </c>
      <c r="D127" s="175" t="s">
        <v>415</v>
      </c>
      <c r="E127" s="175" t="s">
        <v>414</v>
      </c>
      <c r="F127" s="175" t="s">
        <v>416</v>
      </c>
      <c r="G127" s="175" t="s">
        <v>474</v>
      </c>
      <c r="H127" s="175" t="s">
        <v>475</v>
      </c>
      <c r="I127" s="175" t="s">
        <v>473</v>
      </c>
      <c r="J127" s="175" t="s">
        <v>472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</row>
    <row r="128" spans="1:92" s="89" customFormat="1" x14ac:dyDescent="0.25">
      <c r="A128" s="27" t="s">
        <v>30</v>
      </c>
      <c r="B128" s="8">
        <v>7478154.3511864804</v>
      </c>
      <c r="C128" s="8">
        <v>92.125983999999988</v>
      </c>
      <c r="D128" s="8">
        <v>11717.769268485819</v>
      </c>
      <c r="E128" s="8">
        <v>14898622.275064081</v>
      </c>
      <c r="F128" s="8">
        <v>0</v>
      </c>
      <c r="G128" s="8">
        <v>550300.00000000012</v>
      </c>
      <c r="H128" s="8">
        <v>8602.1021092430983</v>
      </c>
      <c r="I128" s="8">
        <v>259903.92274893</v>
      </c>
      <c r="J128" s="8">
        <v>374251.89448970061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</row>
    <row r="129" spans="1:92" s="89" customFormat="1" x14ac:dyDescent="0.25">
      <c r="A129" s="27" t="s">
        <v>31</v>
      </c>
      <c r="B129" s="8">
        <v>8656143.5543543026</v>
      </c>
      <c r="C129" s="8">
        <v>208.33454399999999</v>
      </c>
      <c r="D129" s="8">
        <v>12498.434879553444</v>
      </c>
      <c r="E129" s="8">
        <v>13902674.917008957</v>
      </c>
      <c r="F129" s="8">
        <v>0</v>
      </c>
      <c r="G129" s="8">
        <v>544100</v>
      </c>
      <c r="H129" s="8">
        <v>11699.317515297073</v>
      </c>
      <c r="I129" s="8">
        <v>206909.37559048465</v>
      </c>
      <c r="J129" s="8">
        <v>291227.83258459321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</row>
    <row r="130" spans="1:92" s="89" customFormat="1" x14ac:dyDescent="0.25">
      <c r="A130" s="27" t="s">
        <v>32</v>
      </c>
      <c r="B130" s="8">
        <v>9380308.7842717879</v>
      </c>
      <c r="C130" s="8">
        <v>616.31257600000004</v>
      </c>
      <c r="D130" s="8">
        <v>16250.099476849196</v>
      </c>
      <c r="E130" s="8">
        <v>11707048.248839889</v>
      </c>
      <c r="F130" s="8">
        <v>0</v>
      </c>
      <c r="G130" s="8">
        <v>526800</v>
      </c>
      <c r="H130" s="8">
        <v>11770.194129853759</v>
      </c>
      <c r="I130" s="8">
        <v>210337.73353416956</v>
      </c>
      <c r="J130" s="8">
        <v>276873.91885668953</v>
      </c>
      <c r="K130"/>
      <c r="L130"/>
      <c r="M130"/>
      <c r="N130"/>
      <c r="O130"/>
      <c r="P130"/>
      <c r="Q130"/>
      <c r="R130"/>
      <c r="S130"/>
    </row>
    <row r="131" spans="1:92" s="89" customFormat="1" x14ac:dyDescent="0.25">
      <c r="A131" s="27" t="s">
        <v>33</v>
      </c>
      <c r="B131" s="8">
        <v>10152288.633014385</v>
      </c>
      <c r="C131" s="8">
        <v>624.03645599999993</v>
      </c>
      <c r="D131" s="8">
        <v>14017.55249846237</v>
      </c>
      <c r="E131" s="8">
        <v>12478211.615044134</v>
      </c>
      <c r="F131" s="8">
        <v>0</v>
      </c>
      <c r="G131" s="8">
        <v>520700</v>
      </c>
      <c r="H131" s="8">
        <v>10860.589858025169</v>
      </c>
      <c r="I131" s="8">
        <v>264822.75095156301</v>
      </c>
      <c r="J131" s="8">
        <v>343786.47379075643</v>
      </c>
      <c r="K131"/>
      <c r="L131"/>
      <c r="M131"/>
      <c r="N131"/>
      <c r="O131"/>
      <c r="P131"/>
      <c r="Q131"/>
      <c r="R131"/>
      <c r="S131"/>
    </row>
    <row r="132" spans="1:92" s="89" customFormat="1" x14ac:dyDescent="0.25">
      <c r="A132" s="27" t="s">
        <v>34</v>
      </c>
      <c r="B132" s="8">
        <v>11740447.577343659</v>
      </c>
      <c r="C132" s="8">
        <v>1189.5012319999998</v>
      </c>
      <c r="D132" s="8">
        <v>15324.726728251833</v>
      </c>
      <c r="E132" s="8">
        <v>11386584.550798783</v>
      </c>
      <c r="F132" s="8">
        <v>0</v>
      </c>
      <c r="G132" s="8">
        <v>479900</v>
      </c>
      <c r="H132" s="8">
        <v>11215.468430445571</v>
      </c>
      <c r="I132" s="8">
        <v>270028.55051629379</v>
      </c>
      <c r="J132" s="8">
        <v>368448.77162978525</v>
      </c>
      <c r="K132"/>
      <c r="L132"/>
      <c r="M132"/>
      <c r="N132"/>
      <c r="O132"/>
      <c r="P132"/>
      <c r="Q132"/>
      <c r="R132"/>
      <c r="S132"/>
    </row>
    <row r="133" spans="1:92" s="89" customFormat="1" x14ac:dyDescent="0.25">
      <c r="A133" s="27" t="s">
        <v>35</v>
      </c>
      <c r="B133" s="8">
        <v>13569922.971499488</v>
      </c>
      <c r="C133" s="8">
        <v>2474.7793360000001</v>
      </c>
      <c r="D133" s="8">
        <v>17698.745541376913</v>
      </c>
      <c r="E133" s="8">
        <v>11099467.358955665</v>
      </c>
      <c r="F133" s="8">
        <v>1.5582848762968755</v>
      </c>
      <c r="G133" s="8">
        <v>475019</v>
      </c>
      <c r="H133" s="8">
        <v>11476.475556795871</v>
      </c>
      <c r="I133" s="8">
        <v>265335.58690293127</v>
      </c>
      <c r="J133" s="8">
        <v>367738.65673592757</v>
      </c>
      <c r="K133"/>
      <c r="L133"/>
      <c r="M133"/>
      <c r="N133"/>
      <c r="O133"/>
      <c r="P133"/>
      <c r="Q133"/>
      <c r="R133"/>
      <c r="S133"/>
    </row>
    <row r="134" spans="1:92" s="89" customFormat="1" x14ac:dyDescent="0.25">
      <c r="A134" s="27" t="s">
        <v>36</v>
      </c>
      <c r="B134" s="8">
        <v>15124113.795457596</v>
      </c>
      <c r="C134" s="8">
        <v>3777.6860960000004</v>
      </c>
      <c r="D134" s="8">
        <v>22478.203126553206</v>
      </c>
      <c r="E134" s="8">
        <v>10361049.162844278</v>
      </c>
      <c r="F134" s="8">
        <v>854.49837142419972</v>
      </c>
      <c r="G134" s="8">
        <v>499047</v>
      </c>
      <c r="H134" s="8">
        <v>10666.060669928325</v>
      </c>
      <c r="I134" s="8">
        <v>188171.28272401885</v>
      </c>
      <c r="J134" s="8">
        <v>246645.19027759181</v>
      </c>
      <c r="K134"/>
      <c r="L134"/>
      <c r="M134"/>
      <c r="N134"/>
      <c r="O134"/>
      <c r="P134"/>
      <c r="Q134"/>
      <c r="R134"/>
      <c r="S134"/>
    </row>
    <row r="135" spans="1:92" s="89" customFormat="1" x14ac:dyDescent="0.25">
      <c r="A135" s="27" t="s">
        <v>37</v>
      </c>
      <c r="B135" s="8">
        <v>16423227.575581143</v>
      </c>
      <c r="C135" s="8">
        <v>6041.5897520000008</v>
      </c>
      <c r="D135" s="8">
        <v>33257.038383543018</v>
      </c>
      <c r="E135" s="8">
        <v>9546336.1628897507</v>
      </c>
      <c r="F135" s="8">
        <v>1642.8076251905645</v>
      </c>
      <c r="G135" s="8">
        <v>509964</v>
      </c>
      <c r="H135" s="8">
        <v>12782.06799510061</v>
      </c>
      <c r="I135" s="8">
        <v>189023.14409266497</v>
      </c>
      <c r="J135" s="8">
        <v>265850.75325395219</v>
      </c>
      <c r="K135"/>
      <c r="L135"/>
      <c r="M135"/>
      <c r="N135"/>
      <c r="O135"/>
      <c r="P135"/>
      <c r="Q135"/>
      <c r="R135"/>
      <c r="S135"/>
    </row>
    <row r="136" spans="1:92" s="89" customFormat="1" x14ac:dyDescent="0.25">
      <c r="A136" s="27" t="s">
        <v>38</v>
      </c>
      <c r="B136" s="8">
        <v>16300041.802435117</v>
      </c>
      <c r="C136" s="8">
        <v>9382.0694320000002</v>
      </c>
      <c r="D136" s="8">
        <v>45933.596339575866</v>
      </c>
      <c r="E136" s="8">
        <v>8358623.2836353118</v>
      </c>
      <c r="F136" s="8">
        <v>4895.8349308308079</v>
      </c>
      <c r="G136" s="8">
        <v>517699.99999999994</v>
      </c>
      <c r="H136" s="8">
        <v>13851.888096047114</v>
      </c>
      <c r="I136" s="8">
        <v>384833.55836064799</v>
      </c>
      <c r="J136" s="8">
        <v>449572.52835001232</v>
      </c>
      <c r="K136"/>
      <c r="L136"/>
      <c r="M136"/>
      <c r="N136"/>
      <c r="O136"/>
      <c r="P136"/>
      <c r="Q136"/>
      <c r="R136"/>
      <c r="S136"/>
    </row>
    <row r="137" spans="1:92" s="89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1:92" s="89" customFormat="1" x14ac:dyDescent="0.25">
      <c r="A138"/>
      <c r="B138"/>
      <c r="C138"/>
      <c r="D138" s="8"/>
      <c r="E138" s="8"/>
      <c r="F138" s="8"/>
      <c r="G138" s="8"/>
      <c r="H138" s="8"/>
      <c r="I138" s="8"/>
      <c r="J138" s="8"/>
    </row>
    <row r="139" spans="1:92" s="89" customFormat="1" x14ac:dyDescent="0.25">
      <c r="A139"/>
      <c r="B139"/>
      <c r="C139"/>
      <c r="D139" s="8"/>
      <c r="E139" s="8"/>
      <c r="F139" s="8"/>
      <c r="G139" s="8"/>
      <c r="H139" s="8"/>
      <c r="I139" s="8"/>
      <c r="J139" s="8"/>
    </row>
    <row r="140" spans="1:92" x14ac:dyDescent="0.25">
      <c r="B140" s="26" t="s">
        <v>84</v>
      </c>
    </row>
    <row r="141" spans="1:92" x14ac:dyDescent="0.25">
      <c r="B141" s="175" t="s">
        <v>413</v>
      </c>
    </row>
    <row r="142" spans="1:92" x14ac:dyDescent="0.25">
      <c r="A142" s="26" t="s">
        <v>421</v>
      </c>
      <c r="B142" s="175" t="s">
        <v>30</v>
      </c>
      <c r="C142" s="175" t="s">
        <v>31</v>
      </c>
      <c r="D142" s="175" t="s">
        <v>32</v>
      </c>
      <c r="E142" s="175" t="s">
        <v>33</v>
      </c>
      <c r="F142" s="175" t="s">
        <v>34</v>
      </c>
      <c r="G142" s="175" t="s">
        <v>35</v>
      </c>
      <c r="H142" s="175" t="s">
        <v>36</v>
      </c>
      <c r="I142" s="175" t="s">
        <v>37</v>
      </c>
      <c r="J142" s="175" t="s">
        <v>38</v>
      </c>
    </row>
    <row r="143" spans="1:92" x14ac:dyDescent="0.25">
      <c r="A143" s="27" t="s">
        <v>422</v>
      </c>
      <c r="B143" s="8">
        <v>1.49</v>
      </c>
      <c r="C143" s="8">
        <v>1.49</v>
      </c>
      <c r="D143" s="8">
        <v>1.49</v>
      </c>
      <c r="E143" s="8">
        <v>1.49</v>
      </c>
      <c r="F143" s="8">
        <v>1.49</v>
      </c>
      <c r="G143" s="8">
        <v>1.49</v>
      </c>
      <c r="H143" s="8">
        <v>1.49</v>
      </c>
      <c r="I143" s="8">
        <v>1.49</v>
      </c>
      <c r="J143" s="8">
        <v>1.49</v>
      </c>
    </row>
    <row r="144" spans="1:92" x14ac:dyDescent="0.25">
      <c r="A144" s="27" t="s">
        <v>423</v>
      </c>
      <c r="B144" s="8">
        <v>16329505015.110001</v>
      </c>
      <c r="C144" s="8">
        <v>18664262849.939999</v>
      </c>
      <c r="D144" s="8">
        <v>20176123030.32</v>
      </c>
      <c r="E144" s="8">
        <v>21980840930.150002</v>
      </c>
      <c r="F144" s="8">
        <v>24860251128.490002</v>
      </c>
      <c r="G144" s="8">
        <v>28605614815.450001</v>
      </c>
      <c r="H144" s="8">
        <v>32212277692.329998</v>
      </c>
      <c r="I144" s="8">
        <v>35412082861.849998</v>
      </c>
      <c r="J144" s="8">
        <v>35718756043.080002</v>
      </c>
    </row>
    <row r="145" spans="1:12" x14ac:dyDescent="0.25">
      <c r="A145" s="27" t="s">
        <v>412</v>
      </c>
      <c r="B145" s="8">
        <v>120.85393473053892</v>
      </c>
      <c r="C145" s="8">
        <v>122.39199063795034</v>
      </c>
      <c r="D145" s="8">
        <v>122.69272369370873</v>
      </c>
      <c r="E145" s="8">
        <v>121.88746457728054</v>
      </c>
      <c r="F145" s="8">
        <v>124.62883418383154</v>
      </c>
      <c r="G145" s="8">
        <v>125.18880280260738</v>
      </c>
      <c r="H145" s="8">
        <v>123.90473187717517</v>
      </c>
      <c r="I145" s="8">
        <v>122.39013937994162</v>
      </c>
      <c r="J145" s="8">
        <v>120.42919485982483</v>
      </c>
    </row>
    <row r="146" spans="1:12" x14ac:dyDescent="0.25">
      <c r="A146" s="27" t="s">
        <v>424</v>
      </c>
      <c r="B146" s="8">
        <v>10959399339</v>
      </c>
      <c r="C146" s="8">
        <v>12526350906</v>
      </c>
      <c r="D146" s="8">
        <v>13541022168</v>
      </c>
      <c r="E146" s="8">
        <v>14752242235</v>
      </c>
      <c r="F146" s="8">
        <v>16684732301</v>
      </c>
      <c r="G146" s="8">
        <v>19198399205</v>
      </c>
      <c r="H146" s="8">
        <v>21618978317</v>
      </c>
      <c r="I146" s="8">
        <v>23766498565</v>
      </c>
      <c r="J146" s="8">
        <v>23972319492</v>
      </c>
    </row>
    <row r="147" spans="1:12" x14ac:dyDescent="0.25">
      <c r="A147" s="27" t="s">
        <v>410</v>
      </c>
      <c r="B147" s="8">
        <v>1973484933278.1121</v>
      </c>
      <c r="C147" s="8">
        <v>2284356283994.1006</v>
      </c>
      <c r="D147" s="8">
        <v>2475463488169.3252</v>
      </c>
      <c r="E147" s="8">
        <v>2679188970252.4966</v>
      </c>
      <c r="F147" s="8">
        <v>3098304115660.9912</v>
      </c>
      <c r="G147" s="8">
        <v>3581102672178.7144</v>
      </c>
      <c r="H147" s="8">
        <v>3991253630621.2593</v>
      </c>
      <c r="I147" s="8">
        <v>4334089757195.8633</v>
      </c>
      <c r="J147" s="8">
        <v>4301581031662.6274</v>
      </c>
    </row>
    <row r="148" spans="1:12" s="89" customFormat="1" x14ac:dyDescent="0.25">
      <c r="A148" s="27" t="s">
        <v>420</v>
      </c>
      <c r="B148" s="8">
        <v>1.9734849332781121</v>
      </c>
      <c r="C148" s="8">
        <v>2.2843562839941005</v>
      </c>
      <c r="D148" s="8">
        <v>2.4754634881693254</v>
      </c>
      <c r="E148" s="8">
        <v>2.6791889702524965</v>
      </c>
      <c r="F148" s="8">
        <v>3.0983041156609912</v>
      </c>
      <c r="G148" s="8">
        <v>3.5811026721787145</v>
      </c>
      <c r="H148" s="8">
        <v>3.9912536306212592</v>
      </c>
      <c r="I148" s="8">
        <v>4.334089757195863</v>
      </c>
      <c r="J148" s="8">
        <v>4.3015810316626277</v>
      </c>
      <c r="K148"/>
      <c r="L148"/>
    </row>
    <row r="149" spans="1:12" s="89" customFormat="1" x14ac:dyDescent="0.25">
      <c r="A149" s="27" t="s">
        <v>411</v>
      </c>
      <c r="B149" s="8">
        <v>45.795352304107212</v>
      </c>
      <c r="C149" s="8">
        <v>46.378170003012634</v>
      </c>
      <c r="D149" s="8">
        <v>46.492127204891524</v>
      </c>
      <c r="E149" s="8">
        <v>46.186989229738742</v>
      </c>
      <c r="F149" s="8">
        <v>47.225780289439776</v>
      </c>
      <c r="G149" s="8">
        <v>47.437969989620079</v>
      </c>
      <c r="H149" s="8">
        <v>46.951395178922006</v>
      </c>
      <c r="I149" s="8">
        <v>46.377468503198799</v>
      </c>
      <c r="J149" s="8">
        <v>45.634405024564167</v>
      </c>
      <c r="K149"/>
      <c r="L149"/>
    </row>
    <row r="150" spans="1:12" s="89" customFormat="1" x14ac:dyDescent="0.25">
      <c r="A150" s="27" t="s">
        <v>425</v>
      </c>
      <c r="B150" s="8">
        <v>7478154351.1864805</v>
      </c>
      <c r="C150" s="8">
        <v>8656143554.3543034</v>
      </c>
      <c r="D150" s="8">
        <v>9380308784.2717876</v>
      </c>
      <c r="E150" s="8">
        <v>10152288633.014385</v>
      </c>
      <c r="F150" s="8">
        <v>11740447577.34366</v>
      </c>
      <c r="G150" s="8">
        <v>13569922971.499487</v>
      </c>
      <c r="H150" s="8">
        <v>15124113795.457596</v>
      </c>
      <c r="I150" s="8">
        <v>16423227575.581142</v>
      </c>
      <c r="J150" s="8">
        <v>16300041802.435118</v>
      </c>
      <c r="K150"/>
      <c r="L150"/>
    </row>
    <row r="151" spans="1:12" s="89" customFormat="1" x14ac:dyDescent="0.25">
      <c r="A151" s="2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spans="1:12" x14ac:dyDescent="0.25">
      <c r="B152" s="26" t="s">
        <v>84</v>
      </c>
    </row>
    <row r="153" spans="1:12" x14ac:dyDescent="0.25">
      <c r="B153" s="175" t="s">
        <v>413</v>
      </c>
    </row>
    <row r="154" spans="1:12" x14ac:dyDescent="0.25">
      <c r="A154" s="26" t="s">
        <v>421</v>
      </c>
      <c r="B154" s="175" t="s">
        <v>30</v>
      </c>
      <c r="C154" s="175" t="s">
        <v>31</v>
      </c>
      <c r="D154" s="175" t="s">
        <v>32</v>
      </c>
      <c r="E154" s="175" t="s">
        <v>33</v>
      </c>
      <c r="F154" s="175" t="s">
        <v>34</v>
      </c>
      <c r="G154" s="175" t="s">
        <v>35</v>
      </c>
      <c r="H154" s="175" t="s">
        <v>36</v>
      </c>
      <c r="I154" s="175" t="s">
        <v>37</v>
      </c>
      <c r="J154" s="175" t="s">
        <v>38</v>
      </c>
    </row>
    <row r="155" spans="1:12" x14ac:dyDescent="0.25">
      <c r="A155" s="27" t="s">
        <v>422</v>
      </c>
      <c r="B155" s="8">
        <v>1.49</v>
      </c>
      <c r="C155" s="8">
        <v>1.49</v>
      </c>
      <c r="D155" s="8">
        <v>1.49</v>
      </c>
      <c r="E155" s="8">
        <v>1.49</v>
      </c>
      <c r="F155" s="8">
        <v>1.49</v>
      </c>
      <c r="G155" s="8">
        <v>1.49</v>
      </c>
      <c r="H155" s="8">
        <v>1.49</v>
      </c>
      <c r="I155" s="8">
        <v>1.49</v>
      </c>
      <c r="J155" s="8">
        <v>1.49</v>
      </c>
    </row>
    <row r="156" spans="1:12" x14ac:dyDescent="0.25">
      <c r="A156" s="27" t="s">
        <v>423</v>
      </c>
      <c r="B156" s="8">
        <v>16329505015.110001</v>
      </c>
      <c r="C156" s="8">
        <v>18664262849.939999</v>
      </c>
      <c r="D156" s="8">
        <v>20176123030.32</v>
      </c>
      <c r="E156" s="8">
        <v>21980840930.150002</v>
      </c>
      <c r="F156" s="8">
        <v>24860251128.490002</v>
      </c>
      <c r="G156" s="8">
        <v>28605614815.450001</v>
      </c>
      <c r="H156" s="8">
        <v>32212277692.329998</v>
      </c>
      <c r="I156" s="8">
        <v>35412082861.849998</v>
      </c>
      <c r="J156" s="8">
        <v>35718756043.080002</v>
      </c>
    </row>
    <row r="157" spans="1:12" x14ac:dyDescent="0.25">
      <c r="A157" s="27" t="s">
        <v>412</v>
      </c>
      <c r="B157" s="8">
        <v>120.85393473053892</v>
      </c>
      <c r="C157" s="8">
        <v>122.39199063795034</v>
      </c>
      <c r="D157" s="8">
        <v>122.69272369370873</v>
      </c>
      <c r="E157" s="8">
        <v>121.88746457728054</v>
      </c>
      <c r="F157" s="8">
        <v>124.62883418383154</v>
      </c>
      <c r="G157" s="8">
        <v>125.18880280260738</v>
      </c>
      <c r="H157" s="8">
        <v>123.90473187717517</v>
      </c>
      <c r="I157" s="8">
        <v>122.39013937994162</v>
      </c>
      <c r="J157" s="8">
        <v>120.42919485982483</v>
      </c>
    </row>
    <row r="158" spans="1:12" x14ac:dyDescent="0.25">
      <c r="A158" s="27" t="s">
        <v>424</v>
      </c>
      <c r="B158" s="8">
        <v>10959399339</v>
      </c>
      <c r="C158" s="8">
        <v>12526350906</v>
      </c>
      <c r="D158" s="8">
        <v>13541022168</v>
      </c>
      <c r="E158" s="8">
        <v>14752242235</v>
      </c>
      <c r="F158" s="8">
        <v>16684732301</v>
      </c>
      <c r="G158" s="8">
        <v>19198399205</v>
      </c>
      <c r="H158" s="8">
        <v>21618978317</v>
      </c>
      <c r="I158" s="8">
        <v>23766498565</v>
      </c>
      <c r="J158" s="8">
        <v>23972319492</v>
      </c>
    </row>
    <row r="159" spans="1:12" x14ac:dyDescent="0.25">
      <c r="A159" s="27" t="s">
        <v>411</v>
      </c>
      <c r="B159" s="8">
        <v>45.795352304107212</v>
      </c>
      <c r="C159" s="8">
        <v>46.378170003012634</v>
      </c>
      <c r="D159" s="8">
        <v>46.492127204891524</v>
      </c>
      <c r="E159" s="8">
        <v>46.186989229738742</v>
      </c>
      <c r="F159" s="8">
        <v>47.225780289439776</v>
      </c>
      <c r="G159" s="8">
        <v>47.437969989620079</v>
      </c>
      <c r="H159" s="8">
        <v>46.951395178922006</v>
      </c>
      <c r="I159" s="8">
        <v>46.377468503198799</v>
      </c>
      <c r="J159" s="8">
        <v>45.634405024564167</v>
      </c>
    </row>
    <row r="160" spans="1:12" s="89" customFormat="1" x14ac:dyDescent="0.25">
      <c r="A160" s="27" t="s">
        <v>420</v>
      </c>
      <c r="B160" s="8">
        <v>1.9734849332781121</v>
      </c>
      <c r="C160" s="8">
        <v>2.2843562839941005</v>
      </c>
      <c r="D160" s="8">
        <v>2.4754634881693254</v>
      </c>
      <c r="E160" s="8">
        <v>2.6791889702524965</v>
      </c>
      <c r="F160" s="8">
        <v>3.0983041156609912</v>
      </c>
      <c r="G160" s="8">
        <v>3.5811026721787145</v>
      </c>
      <c r="H160" s="8">
        <v>3.9912536306212592</v>
      </c>
      <c r="I160" s="8">
        <v>4.334089757195863</v>
      </c>
      <c r="J160" s="8">
        <v>4.3015810316626277</v>
      </c>
      <c r="K160"/>
      <c r="L160"/>
    </row>
    <row r="161" spans="1:12" s="89" customFormat="1" x14ac:dyDescent="0.25">
      <c r="A161" s="27" t="s">
        <v>425</v>
      </c>
      <c r="B161" s="8">
        <v>7478154351.1864805</v>
      </c>
      <c r="C161" s="8">
        <v>8656143554.3543034</v>
      </c>
      <c r="D161" s="8">
        <v>9380308784.2717876</v>
      </c>
      <c r="E161" s="8">
        <v>10152288633.014385</v>
      </c>
      <c r="F161" s="8">
        <v>11740447577.34366</v>
      </c>
      <c r="G161" s="8">
        <v>13569922971.499487</v>
      </c>
      <c r="H161" s="8">
        <v>15124113795.457596</v>
      </c>
      <c r="I161" s="8">
        <v>16423227575.581142</v>
      </c>
      <c r="J161" s="8">
        <v>16300041802.435118</v>
      </c>
      <c r="K161"/>
      <c r="L161"/>
    </row>
    <row r="162" spans="1:12" s="89" customFormat="1" x14ac:dyDescent="0.25">
      <c r="A162" s="2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</row>
    <row r="163" spans="1:12" x14ac:dyDescent="0.25">
      <c r="B163" s="26" t="s">
        <v>84</v>
      </c>
    </row>
    <row r="164" spans="1:12" x14ac:dyDescent="0.25">
      <c r="B164" s="175" t="s">
        <v>413</v>
      </c>
    </row>
    <row r="165" spans="1:12" x14ac:dyDescent="0.25">
      <c r="A165" s="26" t="s">
        <v>421</v>
      </c>
      <c r="B165" s="175" t="s">
        <v>30</v>
      </c>
      <c r="C165" s="175" t="s">
        <v>31</v>
      </c>
      <c r="D165" s="175" t="s">
        <v>32</v>
      </c>
      <c r="E165" s="175" t="s">
        <v>33</v>
      </c>
      <c r="F165" s="175" t="s">
        <v>34</v>
      </c>
      <c r="G165" s="175" t="s">
        <v>35</v>
      </c>
      <c r="H165" s="175" t="s">
        <v>36</v>
      </c>
      <c r="I165" s="175" t="s">
        <v>37</v>
      </c>
      <c r="J165" s="175" t="s">
        <v>38</v>
      </c>
    </row>
    <row r="166" spans="1:12" x14ac:dyDescent="0.25">
      <c r="A166" s="27" t="s">
        <v>420</v>
      </c>
      <c r="B166" s="8">
        <v>1.9734849332781121</v>
      </c>
      <c r="C166" s="8">
        <v>2.2843562839941005</v>
      </c>
      <c r="D166" s="8">
        <v>2.4754634881693254</v>
      </c>
      <c r="E166" s="8">
        <v>2.6791889702524965</v>
      </c>
      <c r="F166" s="8">
        <v>3.0983041156609912</v>
      </c>
      <c r="G166" s="8">
        <v>3.5811026721787145</v>
      </c>
      <c r="H166" s="8">
        <v>3.9912536306212592</v>
      </c>
      <c r="I166" s="8">
        <v>4.334089757195863</v>
      </c>
      <c r="J166" s="8">
        <v>4.3015810316626277</v>
      </c>
    </row>
    <row r="167" spans="1:12" x14ac:dyDescent="0.25">
      <c r="A167" s="27" t="s">
        <v>412</v>
      </c>
      <c r="B167" s="8">
        <v>120.85393473053892</v>
      </c>
      <c r="C167" s="8">
        <v>122.39199063795034</v>
      </c>
      <c r="D167" s="8">
        <v>122.69272369370873</v>
      </c>
      <c r="E167" s="8">
        <v>121.88746457728054</v>
      </c>
      <c r="F167" s="8">
        <v>124.62883418383154</v>
      </c>
      <c r="G167" s="8">
        <v>125.18880280260738</v>
      </c>
      <c r="H167" s="8">
        <v>123.90473187717517</v>
      </c>
      <c r="I167" s="8">
        <v>122.39013937994162</v>
      </c>
      <c r="J167" s="8">
        <v>120.42919485982483</v>
      </c>
    </row>
    <row r="168" spans="1:12" x14ac:dyDescent="0.25">
      <c r="A168" s="27" t="s">
        <v>247</v>
      </c>
      <c r="B168" s="8">
        <v>16329505015.110001</v>
      </c>
      <c r="C168" s="8">
        <v>18664262849.939999</v>
      </c>
      <c r="D168" s="8">
        <v>20176123030.32</v>
      </c>
      <c r="E168" s="8">
        <v>21980840930.150002</v>
      </c>
      <c r="F168" s="8">
        <v>24860251128.490002</v>
      </c>
      <c r="G168" s="8">
        <v>28605614815.450001</v>
      </c>
      <c r="H168" s="8">
        <v>32212277692.329998</v>
      </c>
      <c r="I168" s="8">
        <v>35412082861.849998</v>
      </c>
      <c r="J168" s="8">
        <v>35718756043.080002</v>
      </c>
    </row>
    <row r="169" spans="1:12" x14ac:dyDescent="0.25">
      <c r="A169" s="27" t="s">
        <v>411</v>
      </c>
      <c r="B169" s="8">
        <v>45.795352304107212</v>
      </c>
      <c r="C169" s="8">
        <v>46.378170003012634</v>
      </c>
      <c r="D169" s="8">
        <v>46.492127204891524</v>
      </c>
      <c r="E169" s="8">
        <v>46.186989229738742</v>
      </c>
      <c r="F169" s="8">
        <v>47.225780289439776</v>
      </c>
      <c r="G169" s="8">
        <v>47.437969989620079</v>
      </c>
      <c r="H169" s="8">
        <v>46.951395178922006</v>
      </c>
      <c r="I169" s="8">
        <v>46.377468503198799</v>
      </c>
      <c r="J169" s="8">
        <v>45.634405024564167</v>
      </c>
    </row>
    <row r="170" spans="1:12" x14ac:dyDescent="0.25">
      <c r="A170" s="27" t="s">
        <v>425</v>
      </c>
      <c r="B170" s="8">
        <v>7478154351.1864805</v>
      </c>
      <c r="C170" s="8">
        <v>8656143554.3543034</v>
      </c>
      <c r="D170" s="8">
        <v>9380308784.2717876</v>
      </c>
      <c r="E170" s="8">
        <v>10152288633.014385</v>
      </c>
      <c r="F170" s="8">
        <v>11740447577.34366</v>
      </c>
      <c r="G170" s="8">
        <v>13569922971.499487</v>
      </c>
      <c r="H170" s="8">
        <v>15124113795.457596</v>
      </c>
      <c r="I170" s="8">
        <v>16423227575.581142</v>
      </c>
      <c r="J170" s="8">
        <v>16300041802.435118</v>
      </c>
    </row>
    <row r="171" spans="1:12" s="89" customFormat="1" x14ac:dyDescent="0.25">
      <c r="A171" s="27" t="s">
        <v>419</v>
      </c>
      <c r="B171" s="8">
        <v>1.49</v>
      </c>
      <c r="C171" s="8">
        <v>1.49</v>
      </c>
      <c r="D171" s="8">
        <v>1.49</v>
      </c>
      <c r="E171" s="8">
        <v>1.49</v>
      </c>
      <c r="F171" s="8">
        <v>1.49</v>
      </c>
      <c r="G171" s="8">
        <v>1.49</v>
      </c>
      <c r="H171" s="8">
        <v>1.49</v>
      </c>
      <c r="I171" s="8">
        <v>1.49</v>
      </c>
      <c r="J171" s="8">
        <v>1.49</v>
      </c>
      <c r="K171"/>
      <c r="L171"/>
    </row>
    <row r="172" spans="1:12" s="89" customFormat="1" x14ac:dyDescent="0.25">
      <c r="A172" s="27" t="s">
        <v>418</v>
      </c>
      <c r="B172" s="8">
        <v>10959399339</v>
      </c>
      <c r="C172" s="8">
        <v>12526350906</v>
      </c>
      <c r="D172" s="8">
        <v>13541022168</v>
      </c>
      <c r="E172" s="8">
        <v>14752242235</v>
      </c>
      <c r="F172" s="8">
        <v>16684732301</v>
      </c>
      <c r="G172" s="8">
        <v>19198399205</v>
      </c>
      <c r="H172" s="8">
        <v>21618978317</v>
      </c>
      <c r="I172" s="8">
        <v>23766498565</v>
      </c>
      <c r="J172" s="8">
        <v>23972319492</v>
      </c>
      <c r="K172"/>
      <c r="L172"/>
    </row>
    <row r="173" spans="1:12" x14ac:dyDescent="0.25">
      <c r="A173" s="27" t="s">
        <v>410</v>
      </c>
      <c r="B173" s="8">
        <v>1973484933278.1121</v>
      </c>
      <c r="C173" s="8">
        <v>2284356283994.1006</v>
      </c>
      <c r="D173" s="8">
        <v>2475463488169.3252</v>
      </c>
      <c r="E173" s="8">
        <v>2679188970252.4966</v>
      </c>
      <c r="F173" s="8">
        <v>3098304115660.9912</v>
      </c>
      <c r="G173" s="8">
        <v>3581102672178.7144</v>
      </c>
      <c r="H173" s="8">
        <v>3991253630621.2593</v>
      </c>
      <c r="I173" s="8">
        <v>4334089757195.8633</v>
      </c>
      <c r="J173" s="8">
        <v>4301581031662.6274</v>
      </c>
    </row>
    <row r="174" spans="1:12" s="89" customFormat="1" x14ac:dyDescent="0.25">
      <c r="A174" s="2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</row>
    <row r="175" spans="1:12" x14ac:dyDescent="0.25">
      <c r="B175" s="26" t="s">
        <v>84</v>
      </c>
    </row>
    <row r="176" spans="1:12" x14ac:dyDescent="0.25">
      <c r="B176" s="175" t="s">
        <v>413</v>
      </c>
    </row>
    <row r="177" spans="1:10" x14ac:dyDescent="0.25">
      <c r="A177" s="26" t="s">
        <v>421</v>
      </c>
      <c r="B177" s="175" t="s">
        <v>30</v>
      </c>
      <c r="C177" s="175" t="s">
        <v>31</v>
      </c>
      <c r="D177" s="175" t="s">
        <v>32</v>
      </c>
      <c r="E177" s="175" t="s">
        <v>33</v>
      </c>
      <c r="F177" s="175" t="s">
        <v>34</v>
      </c>
      <c r="G177" s="175" t="s">
        <v>35</v>
      </c>
      <c r="H177" s="175" t="s">
        <v>36</v>
      </c>
      <c r="I177" s="175" t="s">
        <v>37</v>
      </c>
      <c r="J177" s="175" t="s">
        <v>38</v>
      </c>
    </row>
    <row r="178" spans="1:10" x14ac:dyDescent="0.25">
      <c r="A178" s="27" t="s">
        <v>424</v>
      </c>
      <c r="B178" s="8">
        <v>10959399339</v>
      </c>
      <c r="C178" s="8">
        <v>12526350906</v>
      </c>
      <c r="D178" s="8">
        <v>13541022168</v>
      </c>
      <c r="E178" s="8">
        <v>14752242235</v>
      </c>
      <c r="F178" s="8">
        <v>16684732301</v>
      </c>
      <c r="G178" s="8">
        <v>19198399205</v>
      </c>
      <c r="H178" s="8">
        <v>21618978317</v>
      </c>
      <c r="I178" s="8">
        <v>23766498565</v>
      </c>
      <c r="J178" s="8">
        <v>23972319492</v>
      </c>
    </row>
    <row r="179" spans="1:10" x14ac:dyDescent="0.25">
      <c r="A179" s="27" t="s">
        <v>422</v>
      </c>
      <c r="B179" s="8">
        <v>1.49</v>
      </c>
      <c r="C179" s="8">
        <v>1.49</v>
      </c>
      <c r="D179" s="8">
        <v>1.49</v>
      </c>
      <c r="E179" s="8">
        <v>1.49</v>
      </c>
      <c r="F179" s="8">
        <v>1.49</v>
      </c>
      <c r="G179" s="8">
        <v>1.49</v>
      </c>
      <c r="H179" s="8">
        <v>1.49</v>
      </c>
      <c r="I179" s="8">
        <v>1.49</v>
      </c>
      <c r="J179" s="8">
        <v>1.49</v>
      </c>
    </row>
    <row r="180" spans="1:10" x14ac:dyDescent="0.25">
      <c r="A180" s="27" t="s">
        <v>423</v>
      </c>
      <c r="B180" s="8">
        <v>16329505015.110001</v>
      </c>
      <c r="C180" s="8">
        <v>18664262849.939999</v>
      </c>
      <c r="D180" s="8">
        <v>20176123030.32</v>
      </c>
      <c r="E180" s="8">
        <v>21980840930.150002</v>
      </c>
      <c r="F180" s="8">
        <v>24860251128.490002</v>
      </c>
      <c r="G180" s="8">
        <v>28605614815.450001</v>
      </c>
      <c r="H180" s="8">
        <v>32212277692.329998</v>
      </c>
      <c r="I180" s="8">
        <v>35412082861.849998</v>
      </c>
      <c r="J180" s="8">
        <v>35718756043.080002</v>
      </c>
    </row>
    <row r="181" spans="1:10" x14ac:dyDescent="0.25">
      <c r="A181" s="27" t="s">
        <v>412</v>
      </c>
      <c r="B181" s="8">
        <v>120.85393473053892</v>
      </c>
      <c r="C181" s="8">
        <v>122.39199063795034</v>
      </c>
      <c r="D181" s="8">
        <v>122.69272369370873</v>
      </c>
      <c r="E181" s="8">
        <v>121.88746457728054</v>
      </c>
      <c r="F181" s="8">
        <v>124.62883418383154</v>
      </c>
      <c r="G181" s="8">
        <v>125.18880280260738</v>
      </c>
      <c r="H181" s="8">
        <v>123.90473187717517</v>
      </c>
      <c r="I181" s="8">
        <v>122.39013937994162</v>
      </c>
      <c r="J181" s="8">
        <v>120.42919485982483</v>
      </c>
    </row>
    <row r="182" spans="1:10" x14ac:dyDescent="0.25">
      <c r="A182" s="27" t="s">
        <v>420</v>
      </c>
      <c r="B182" s="8">
        <v>1.9734849332781121</v>
      </c>
      <c r="C182" s="8">
        <v>2.2843562839941005</v>
      </c>
      <c r="D182" s="8">
        <v>2.4754634881693254</v>
      </c>
      <c r="E182" s="8">
        <v>2.6791889702524965</v>
      </c>
      <c r="F182" s="8">
        <v>3.0983041156609912</v>
      </c>
      <c r="G182" s="8">
        <v>3.5811026721787145</v>
      </c>
      <c r="H182" s="8">
        <v>3.9912536306212592</v>
      </c>
      <c r="I182" s="8">
        <v>4.334089757195863</v>
      </c>
      <c r="J182" s="8">
        <v>4.3015810316626277</v>
      </c>
    </row>
    <row r="183" spans="1:10" x14ac:dyDescent="0.25">
      <c r="A183" s="27" t="s">
        <v>411</v>
      </c>
      <c r="B183" s="8">
        <v>45.795352304107212</v>
      </c>
      <c r="C183" s="8">
        <v>46.378170003012634</v>
      </c>
      <c r="D183" s="8">
        <v>46.492127204891524</v>
      </c>
      <c r="E183" s="8">
        <v>46.186989229738742</v>
      </c>
      <c r="F183" s="8">
        <v>47.225780289439776</v>
      </c>
      <c r="G183" s="8">
        <v>47.437969989620079</v>
      </c>
      <c r="H183" s="8">
        <v>46.951395178922006</v>
      </c>
      <c r="I183" s="8">
        <v>46.377468503198799</v>
      </c>
      <c r="J183" s="8">
        <v>45.634405024564167</v>
      </c>
    </row>
    <row r="184" spans="1:10" x14ac:dyDescent="0.25">
      <c r="A184" s="27" t="s">
        <v>425</v>
      </c>
      <c r="B184" s="8">
        <v>7478154351.1864805</v>
      </c>
      <c r="C184" s="8">
        <v>8656143554.3543034</v>
      </c>
      <c r="D184" s="8">
        <v>9380308784.2717876</v>
      </c>
      <c r="E184" s="8">
        <v>10152288633.014385</v>
      </c>
      <c r="F184" s="8">
        <v>11740447577.34366</v>
      </c>
      <c r="G184" s="8">
        <v>13569922971.499487</v>
      </c>
      <c r="H184" s="8">
        <v>15124113795.457596</v>
      </c>
      <c r="I184" s="8">
        <v>16423227575.581142</v>
      </c>
      <c r="J184" s="8">
        <v>16300041802.435118</v>
      </c>
    </row>
    <row r="192" spans="1:10" x14ac:dyDescent="0.25">
      <c r="B192" s="26" t="s">
        <v>84</v>
      </c>
    </row>
    <row r="193" spans="1:10" x14ac:dyDescent="0.25">
      <c r="B193" s="175" t="s">
        <v>413</v>
      </c>
    </row>
    <row r="194" spans="1:10" x14ac:dyDescent="0.25">
      <c r="A194" s="26" t="s">
        <v>421</v>
      </c>
      <c r="B194" s="175" t="s">
        <v>30</v>
      </c>
      <c r="C194" s="175" t="s">
        <v>31</v>
      </c>
      <c r="D194" s="175" t="s">
        <v>32</v>
      </c>
      <c r="E194" s="175" t="s">
        <v>33</v>
      </c>
      <c r="F194" s="175" t="s">
        <v>34</v>
      </c>
      <c r="G194" s="175" t="s">
        <v>35</v>
      </c>
      <c r="H194" s="175" t="s">
        <v>36</v>
      </c>
      <c r="I194" s="175" t="s">
        <v>37</v>
      </c>
      <c r="J194" s="175" t="s">
        <v>38</v>
      </c>
    </row>
    <row r="195" spans="1:10" x14ac:dyDescent="0.25">
      <c r="A195" s="27" t="s">
        <v>247</v>
      </c>
      <c r="B195" s="8">
        <v>16329505015.110001</v>
      </c>
      <c r="C195" s="8">
        <v>18664262849.939999</v>
      </c>
      <c r="D195" s="8">
        <v>20176123030.32</v>
      </c>
      <c r="E195" s="8">
        <v>21980840930.150002</v>
      </c>
      <c r="F195" s="8">
        <v>24860251128.490002</v>
      </c>
      <c r="G195" s="8">
        <v>28605614815.450001</v>
      </c>
      <c r="H195" s="8">
        <v>32212277692.329998</v>
      </c>
      <c r="I195" s="8">
        <v>35412082861.849998</v>
      </c>
      <c r="J195" s="8">
        <v>35718756043.080002</v>
      </c>
    </row>
    <row r="196" spans="1:10" x14ac:dyDescent="0.25">
      <c r="A196" s="27" t="s">
        <v>412</v>
      </c>
      <c r="B196" s="8">
        <v>120.85393473053892</v>
      </c>
      <c r="C196" s="8">
        <v>122.39199063795034</v>
      </c>
      <c r="D196" s="8">
        <v>122.69272369370873</v>
      </c>
      <c r="E196" s="8">
        <v>121.88746457728054</v>
      </c>
      <c r="F196" s="8">
        <v>124.62883418383154</v>
      </c>
      <c r="G196" s="8">
        <v>125.18880280260738</v>
      </c>
      <c r="H196" s="8">
        <v>123.90473187717517</v>
      </c>
      <c r="I196" s="8">
        <v>122.39013937994162</v>
      </c>
      <c r="J196" s="8">
        <v>120.42919485982483</v>
      </c>
    </row>
    <row r="197" spans="1:10" x14ac:dyDescent="0.25">
      <c r="A197" s="27" t="s">
        <v>410</v>
      </c>
      <c r="B197" s="8">
        <v>1973484933278.1121</v>
      </c>
      <c r="C197" s="8">
        <v>2284356283994.1006</v>
      </c>
      <c r="D197" s="8">
        <v>2475463488169.3252</v>
      </c>
      <c r="E197" s="8">
        <v>2679188970252.4966</v>
      </c>
      <c r="F197" s="8">
        <v>3098304115660.9912</v>
      </c>
      <c r="G197" s="8">
        <v>3581102672178.7144</v>
      </c>
      <c r="H197" s="8">
        <v>3991253630621.2593</v>
      </c>
      <c r="I197" s="8">
        <v>4334089757195.8633</v>
      </c>
      <c r="J197" s="8">
        <v>4301581031662.6274</v>
      </c>
    </row>
    <row r="198" spans="1:10" x14ac:dyDescent="0.25">
      <c r="A198" s="27" t="s">
        <v>420</v>
      </c>
      <c r="B198" s="8">
        <v>1.9734849332781121</v>
      </c>
      <c r="C198" s="8">
        <v>2.2843562839941005</v>
      </c>
      <c r="D198" s="8">
        <v>2.4754634881693254</v>
      </c>
      <c r="E198" s="8">
        <v>2.6791889702524965</v>
      </c>
      <c r="F198" s="8">
        <v>3.0983041156609912</v>
      </c>
      <c r="G198" s="8">
        <v>3.5811026721787145</v>
      </c>
      <c r="H198" s="8">
        <v>3.9912536306212592</v>
      </c>
      <c r="I198" s="8">
        <v>4.334089757195863</v>
      </c>
      <c r="J198" s="8">
        <v>4.3015810316626277</v>
      </c>
    </row>
    <row r="199" spans="1:10" x14ac:dyDescent="0.25">
      <c r="A199" s="27" t="s">
        <v>411</v>
      </c>
      <c r="B199" s="8">
        <v>45.795352304107212</v>
      </c>
      <c r="C199" s="8">
        <v>46.378170003012634</v>
      </c>
      <c r="D199" s="8">
        <v>46.492127204891524</v>
      </c>
      <c r="E199" s="8">
        <v>46.186989229738742</v>
      </c>
      <c r="F199" s="8">
        <v>47.225780289439776</v>
      </c>
      <c r="G199" s="8">
        <v>47.437969989620079</v>
      </c>
      <c r="H199" s="8">
        <v>46.951395178922006</v>
      </c>
      <c r="I199" s="8">
        <v>46.377468503198799</v>
      </c>
      <c r="J199" s="8">
        <v>45.634405024564167</v>
      </c>
    </row>
    <row r="200" spans="1:10" x14ac:dyDescent="0.25">
      <c r="A200" s="27" t="s">
        <v>425</v>
      </c>
      <c r="B200" s="8">
        <v>7478154351.1864805</v>
      </c>
      <c r="C200" s="8">
        <v>8656143554.3543034</v>
      </c>
      <c r="D200" s="8">
        <v>9380308784.2717876</v>
      </c>
      <c r="E200" s="8">
        <v>10152288633.014385</v>
      </c>
      <c r="F200" s="8">
        <v>11740447577.34366</v>
      </c>
      <c r="G200" s="8">
        <v>13569922971.499487</v>
      </c>
      <c r="H200" s="8">
        <v>15124113795.457596</v>
      </c>
      <c r="I200" s="8">
        <v>16423227575.581142</v>
      </c>
      <c r="J200" s="8">
        <v>16300041802.435118</v>
      </c>
    </row>
    <row r="202" spans="1:10" x14ac:dyDescent="0.25">
      <c r="B202" s="26" t="s">
        <v>84</v>
      </c>
    </row>
    <row r="203" spans="1:10" x14ac:dyDescent="0.25">
      <c r="B203" s="175" t="s">
        <v>417</v>
      </c>
    </row>
    <row r="204" spans="1:10" x14ac:dyDescent="0.25">
      <c r="A204" s="26" t="s">
        <v>421</v>
      </c>
      <c r="B204" s="175" t="s">
        <v>30</v>
      </c>
      <c r="C204" s="175" t="s">
        <v>31</v>
      </c>
      <c r="D204" s="175" t="s">
        <v>32</v>
      </c>
      <c r="E204" s="175" t="s">
        <v>33</v>
      </c>
      <c r="F204" s="175" t="s">
        <v>34</v>
      </c>
      <c r="G204" s="175" t="s">
        <v>35</v>
      </c>
      <c r="H204" s="175" t="s">
        <v>36</v>
      </c>
      <c r="I204" s="175" t="s">
        <v>37</v>
      </c>
      <c r="J204" s="175" t="s">
        <v>38</v>
      </c>
    </row>
    <row r="205" spans="1:10" x14ac:dyDescent="0.25">
      <c r="A205" s="27" t="s">
        <v>418</v>
      </c>
      <c r="B205" s="8">
        <v>606092</v>
      </c>
      <c r="C205" s="8">
        <v>1370622</v>
      </c>
      <c r="D205" s="8">
        <v>4054688</v>
      </c>
      <c r="E205" s="8">
        <v>4105503</v>
      </c>
      <c r="F205" s="8">
        <v>7825666</v>
      </c>
      <c r="G205" s="8">
        <v>16281443</v>
      </c>
      <c r="H205" s="8">
        <v>24853198</v>
      </c>
      <c r="I205" s="8">
        <v>39747301</v>
      </c>
      <c r="J205" s="8">
        <v>61724141</v>
      </c>
    </row>
    <row r="206" spans="1:10" x14ac:dyDescent="0.25">
      <c r="A206" s="27" t="s">
        <v>419</v>
      </c>
      <c r="B206" s="8">
        <v>1.49</v>
      </c>
      <c r="C206" s="8">
        <v>1.49</v>
      </c>
      <c r="D206" s="8">
        <v>1.49</v>
      </c>
      <c r="E206" s="8">
        <v>1.49</v>
      </c>
      <c r="F206" s="8">
        <v>1.49</v>
      </c>
      <c r="G206" s="8">
        <v>1.49</v>
      </c>
      <c r="H206" s="8">
        <v>1.49</v>
      </c>
      <c r="I206" s="8">
        <v>1.49</v>
      </c>
      <c r="J206" s="8">
        <v>1.49</v>
      </c>
    </row>
    <row r="207" spans="1:10" x14ac:dyDescent="0.25">
      <c r="A207" s="27" t="s">
        <v>247</v>
      </c>
      <c r="B207" s="8">
        <v>903077.08</v>
      </c>
      <c r="C207" s="8">
        <v>2042226.78</v>
      </c>
      <c r="D207" s="8">
        <v>6041485.1200000001</v>
      </c>
      <c r="E207" s="8">
        <v>6117199.4699999997</v>
      </c>
      <c r="F207" s="8">
        <v>11660242.34</v>
      </c>
      <c r="G207" s="8">
        <v>24259350.07</v>
      </c>
      <c r="H207" s="8">
        <v>37031265.020000003</v>
      </c>
      <c r="I207" s="8">
        <v>59223478.490000002</v>
      </c>
      <c r="J207" s="8">
        <v>91968970.090000004</v>
      </c>
    </row>
    <row r="208" spans="1:10" x14ac:dyDescent="0.25">
      <c r="A208" s="27" t="s">
        <v>412</v>
      </c>
      <c r="B208" s="8">
        <v>64.819328859060406</v>
      </c>
      <c r="C208" s="8">
        <v>54.046711409395968</v>
      </c>
      <c r="D208" s="8">
        <v>49.884563758389262</v>
      </c>
      <c r="E208" s="8">
        <v>54.067114093959731</v>
      </c>
      <c r="F208" s="8">
        <v>47.660671140939591</v>
      </c>
      <c r="G208" s="8">
        <v>46.405906040268448</v>
      </c>
      <c r="H208" s="8">
        <v>47.426040268456376</v>
      </c>
      <c r="I208" s="8">
        <v>49.007248322147646</v>
      </c>
      <c r="J208" s="8">
        <v>44.539060402684569</v>
      </c>
    </row>
    <row r="209" spans="1:10" x14ac:dyDescent="0.25">
      <c r="A209" s="27" t="s">
        <v>410</v>
      </c>
      <c r="B209" s="8">
        <v>58536850.233599998</v>
      </c>
      <c r="C209" s="8">
        <v>110375641.41119999</v>
      </c>
      <c r="D209" s="8">
        <v>301376849.66400003</v>
      </c>
      <c r="E209" s="8">
        <v>330739321.68000001</v>
      </c>
      <c r="F209" s="8">
        <v>555734975.59039998</v>
      </c>
      <c r="G209" s="8">
        <v>1125777119.9463999</v>
      </c>
      <c r="H209" s="8">
        <v>1756246266.0304</v>
      </c>
      <c r="I209" s="8">
        <v>2902379716.8607998</v>
      </c>
      <c r="J209" s="8">
        <v>4096211514.0112009</v>
      </c>
    </row>
    <row r="210" spans="1:10" x14ac:dyDescent="0.25">
      <c r="A210" s="27" t="s">
        <v>420</v>
      </c>
      <c r="B210" s="8">
        <v>5.85368502336E-5</v>
      </c>
      <c r="C210" s="8">
        <v>1.1037564141119999E-4</v>
      </c>
      <c r="D210" s="8">
        <v>3.0137684966400003E-4</v>
      </c>
      <c r="E210" s="8">
        <v>3.3073932168E-4</v>
      </c>
      <c r="F210" s="8">
        <v>5.5573497559040003E-4</v>
      </c>
      <c r="G210" s="8">
        <v>1.1257771199463999E-3</v>
      </c>
      <c r="H210" s="8">
        <v>1.7562462660304001E-3</v>
      </c>
      <c r="I210" s="8">
        <v>2.9023797168608E-3</v>
      </c>
      <c r="J210" s="8">
        <v>4.0962115140112006E-3</v>
      </c>
    </row>
    <row r="211" spans="1:10" x14ac:dyDescent="0.25">
      <c r="A211" s="27" t="s">
        <v>411</v>
      </c>
      <c r="B211" s="8">
        <v>10.201342281879194</v>
      </c>
      <c r="C211" s="8">
        <v>10.201342281879194</v>
      </c>
      <c r="D211" s="8">
        <v>10.201342281879194</v>
      </c>
      <c r="E211" s="8">
        <v>10.201342281879194</v>
      </c>
      <c r="F211" s="8">
        <v>10.201342281879194</v>
      </c>
      <c r="G211" s="8">
        <v>10.201342281879194</v>
      </c>
      <c r="H211" s="8">
        <v>10.201342281879194</v>
      </c>
      <c r="I211" s="8">
        <v>10.201342281879194</v>
      </c>
      <c r="J211" s="8">
        <v>10.201342281879194</v>
      </c>
    </row>
    <row r="212" spans="1:10" x14ac:dyDescent="0.25">
      <c r="A212" s="27" t="s">
        <v>425</v>
      </c>
      <c r="B212" s="8">
        <v>92125.983999999982</v>
      </c>
      <c r="C212" s="8">
        <v>208334.54399999999</v>
      </c>
      <c r="D212" s="8">
        <v>616312.576</v>
      </c>
      <c r="E212" s="8">
        <v>624036.45599999989</v>
      </c>
      <c r="F212" s="8">
        <v>1189501.2319999998</v>
      </c>
      <c r="G212" s="8">
        <v>2474779.3360000001</v>
      </c>
      <c r="H212" s="8">
        <v>3777686.0960000004</v>
      </c>
      <c r="I212" s="8">
        <v>6041589.7520000003</v>
      </c>
      <c r="J212" s="8">
        <v>9382069.432</v>
      </c>
    </row>
    <row r="214" spans="1:10" x14ac:dyDescent="0.25">
      <c r="B214" s="26" t="s">
        <v>84</v>
      </c>
    </row>
    <row r="215" spans="1:10" x14ac:dyDescent="0.25">
      <c r="B215" s="175" t="s">
        <v>415</v>
      </c>
    </row>
    <row r="216" spans="1:10" x14ac:dyDescent="0.25">
      <c r="A216" s="26" t="s">
        <v>421</v>
      </c>
      <c r="B216" s="175" t="s">
        <v>30</v>
      </c>
      <c r="C216" s="175" t="s">
        <v>31</v>
      </c>
      <c r="D216" s="175" t="s">
        <v>32</v>
      </c>
      <c r="E216" s="175" t="s">
        <v>33</v>
      </c>
      <c r="F216" s="175" t="s">
        <v>34</v>
      </c>
      <c r="G216" s="175" t="s">
        <v>35</v>
      </c>
      <c r="H216" s="175" t="s">
        <v>36</v>
      </c>
      <c r="I216" s="175" t="s">
        <v>37</v>
      </c>
      <c r="J216" s="175" t="s">
        <v>38</v>
      </c>
    </row>
    <row r="217" spans="1:10" x14ac:dyDescent="0.25">
      <c r="A217" s="27" t="s">
        <v>418</v>
      </c>
      <c r="B217" s="8">
        <v>90235482</v>
      </c>
      <c r="C217" s="8">
        <v>101220024</v>
      </c>
      <c r="D217" s="8">
        <v>132652109</v>
      </c>
      <c r="E217" s="8">
        <v>116713683</v>
      </c>
      <c r="F217" s="8">
        <v>133293917</v>
      </c>
      <c r="G217" s="8">
        <v>162705393</v>
      </c>
      <c r="H217" s="8">
        <v>202000218</v>
      </c>
      <c r="I217" s="8">
        <v>298864147</v>
      </c>
      <c r="J217" s="8">
        <v>412781948</v>
      </c>
    </row>
    <row r="218" spans="1:10" x14ac:dyDescent="0.25">
      <c r="A218" s="27" t="s">
        <v>419</v>
      </c>
      <c r="B218" s="8">
        <v>1.49</v>
      </c>
      <c r="C218" s="8">
        <v>1.49</v>
      </c>
      <c r="D218" s="8">
        <v>1.49</v>
      </c>
      <c r="E218" s="8">
        <v>1.49</v>
      </c>
      <c r="F218" s="8">
        <v>1.49</v>
      </c>
      <c r="G218" s="8">
        <v>1.49</v>
      </c>
      <c r="H218" s="8">
        <v>1.49</v>
      </c>
      <c r="I218" s="8">
        <v>1.49</v>
      </c>
      <c r="J218" s="8">
        <v>1.49</v>
      </c>
    </row>
    <row r="219" spans="1:10" x14ac:dyDescent="0.25">
      <c r="A219" s="27" t="s">
        <v>247</v>
      </c>
      <c r="B219" s="8">
        <v>134450868.18000001</v>
      </c>
      <c r="C219" s="8">
        <v>150817835.75999999</v>
      </c>
      <c r="D219" s="8">
        <v>197651642.41</v>
      </c>
      <c r="E219" s="8">
        <v>173903387.66999999</v>
      </c>
      <c r="F219" s="8">
        <v>198607936.33000001</v>
      </c>
      <c r="G219" s="8">
        <v>242431035.56999999</v>
      </c>
      <c r="H219" s="8">
        <v>300980324.81999999</v>
      </c>
      <c r="I219" s="8">
        <v>445307579.02999997</v>
      </c>
      <c r="J219" s="8">
        <v>615045102.51999998</v>
      </c>
    </row>
    <row r="220" spans="1:10" x14ac:dyDescent="0.25">
      <c r="A220" s="27" t="s">
        <v>412</v>
      </c>
      <c r="B220" s="8">
        <v>40.605035114210004</v>
      </c>
      <c r="C220" s="8">
        <v>35.49510644710535</v>
      </c>
      <c r="D220" s="8">
        <v>33.832675268658178</v>
      </c>
      <c r="E220" s="8">
        <v>35.596139828196918</v>
      </c>
      <c r="F220" s="8">
        <v>32.400166054997037</v>
      </c>
      <c r="G220" s="8">
        <v>30.543916912019906</v>
      </c>
      <c r="H220" s="8">
        <v>31.665763212865645</v>
      </c>
      <c r="I220" s="8">
        <v>32.298246434342154</v>
      </c>
      <c r="J220" s="8">
        <v>30.510971266556925</v>
      </c>
    </row>
    <row r="221" spans="1:10" x14ac:dyDescent="0.25">
      <c r="A221" s="27" t="s">
        <v>410</v>
      </c>
      <c r="B221" s="8">
        <v>5459382223.5849209</v>
      </c>
      <c r="C221" s="8">
        <v>5353295134.4232512</v>
      </c>
      <c r="D221" s="8">
        <v>6687083833.9744768</v>
      </c>
      <c r="E221" s="8">
        <v>6190289304.0984554</v>
      </c>
      <c r="F221" s="8">
        <v>6434930116.9322796</v>
      </c>
      <c r="G221" s="8">
        <v>7404793407.3450222</v>
      </c>
      <c r="H221" s="8">
        <v>9530771697.4815083</v>
      </c>
      <c r="I221" s="8">
        <v>14382653926.591234</v>
      </c>
      <c r="J221" s="8">
        <v>18765623450.624279</v>
      </c>
    </row>
    <row r="222" spans="1:10" x14ac:dyDescent="0.25">
      <c r="A222" s="27" t="s">
        <v>420</v>
      </c>
      <c r="B222" s="8">
        <v>5.459382223584921E-3</v>
      </c>
      <c r="C222" s="8">
        <v>5.3532951344232513E-3</v>
      </c>
      <c r="D222" s="8">
        <v>6.6870838339744771E-3</v>
      </c>
      <c r="E222" s="8">
        <v>6.1902893040984555E-3</v>
      </c>
      <c r="F222" s="8">
        <v>6.43493011693228E-3</v>
      </c>
      <c r="G222" s="8">
        <v>7.4047934073450221E-3</v>
      </c>
      <c r="H222" s="8">
        <v>9.5307716974815087E-3</v>
      </c>
      <c r="I222" s="8">
        <v>1.4382653926591235E-2</v>
      </c>
      <c r="J222" s="8">
        <v>1.876562345062428E-2</v>
      </c>
    </row>
    <row r="223" spans="1:10" x14ac:dyDescent="0.25">
      <c r="A223" s="27" t="s">
        <v>411</v>
      </c>
      <c r="B223" s="8">
        <v>8.7152797353441525</v>
      </c>
      <c r="C223" s="8">
        <v>8.2871066386620882</v>
      </c>
      <c r="D223" s="8">
        <v>8.2215858561603525</v>
      </c>
      <c r="E223" s="8">
        <v>8.0605402150429377</v>
      </c>
      <c r="F223" s="8">
        <v>7.7160696654079333</v>
      </c>
      <c r="G223" s="8">
        <v>7.3005279624219339</v>
      </c>
      <c r="H223" s="8">
        <v>7.4683297454729649</v>
      </c>
      <c r="I223" s="8">
        <v>7.4683297454729649</v>
      </c>
      <c r="J223" s="8">
        <v>7.4683297454729676</v>
      </c>
    </row>
    <row r="224" spans="1:10" x14ac:dyDescent="0.25">
      <c r="A224" s="27" t="s">
        <v>425</v>
      </c>
      <c r="B224" s="8">
        <v>11717769.26848582</v>
      </c>
      <c r="C224" s="8">
        <v>12498434.879553445</v>
      </c>
      <c r="D224" s="8">
        <v>16250099.476849196</v>
      </c>
      <c r="E224" s="8">
        <v>14017552.49846237</v>
      </c>
      <c r="F224" s="8">
        <v>15324726.728251833</v>
      </c>
      <c r="G224" s="8">
        <v>17698745.541376915</v>
      </c>
      <c r="H224" s="8">
        <v>22478203.126553208</v>
      </c>
      <c r="I224" s="8">
        <v>33257038.383543018</v>
      </c>
      <c r="J224" s="8">
        <v>45933596.339575864</v>
      </c>
    </row>
    <row r="226" spans="1:10" x14ac:dyDescent="0.25">
      <c r="B226" s="26" t="s">
        <v>84</v>
      </c>
    </row>
    <row r="227" spans="1:10" x14ac:dyDescent="0.25">
      <c r="B227" s="175" t="s">
        <v>414</v>
      </c>
    </row>
    <row r="228" spans="1:10" x14ac:dyDescent="0.25">
      <c r="A228" s="26" t="s">
        <v>421</v>
      </c>
      <c r="B228" s="175" t="s">
        <v>30</v>
      </c>
      <c r="C228" s="175" t="s">
        <v>31</v>
      </c>
      <c r="D228" s="175" t="s">
        <v>32</v>
      </c>
      <c r="E228" s="175" t="s">
        <v>33</v>
      </c>
      <c r="F228" s="175" t="s">
        <v>34</v>
      </c>
      <c r="G228" s="175" t="s">
        <v>35</v>
      </c>
      <c r="H228" s="175" t="s">
        <v>36</v>
      </c>
      <c r="I228" s="175" t="s">
        <v>37</v>
      </c>
      <c r="J228" s="175" t="s">
        <v>38</v>
      </c>
    </row>
    <row r="229" spans="1:10" x14ac:dyDescent="0.25">
      <c r="A229" s="27" t="s">
        <v>418</v>
      </c>
      <c r="B229" s="8">
        <v>20132966506</v>
      </c>
      <c r="C229" s="8">
        <v>18807795150</v>
      </c>
      <c r="D229" s="8">
        <v>15857327208</v>
      </c>
      <c r="E229" s="8">
        <v>16948237773</v>
      </c>
      <c r="F229" s="8">
        <v>15497223549</v>
      </c>
      <c r="G229" s="8">
        <v>15142086282</v>
      </c>
      <c r="H229" s="8">
        <v>14318726283</v>
      </c>
      <c r="I229" s="8">
        <v>13271978988</v>
      </c>
      <c r="J229" s="8">
        <v>11710674441</v>
      </c>
    </row>
    <row r="230" spans="1:10" x14ac:dyDescent="0.25">
      <c r="A230" s="27" t="s">
        <v>419</v>
      </c>
      <c r="B230" s="8">
        <v>1.49</v>
      </c>
      <c r="C230" s="8">
        <v>1.49</v>
      </c>
      <c r="D230" s="8">
        <v>1.49</v>
      </c>
      <c r="E230" s="8">
        <v>1.49</v>
      </c>
      <c r="F230" s="8">
        <v>1.49</v>
      </c>
      <c r="G230" s="8">
        <v>1.49</v>
      </c>
      <c r="H230" s="8">
        <v>1.49</v>
      </c>
      <c r="I230" s="8">
        <v>1.49</v>
      </c>
      <c r="J230" s="8">
        <v>1.49</v>
      </c>
    </row>
    <row r="231" spans="1:10" x14ac:dyDescent="0.25">
      <c r="A231" s="27" t="s">
        <v>412</v>
      </c>
      <c r="B231" s="8">
        <v>125.10660465842953</v>
      </c>
      <c r="C231" s="8">
        <v>124.96902487063288</v>
      </c>
      <c r="D231" s="8">
        <v>124.8128556115047</v>
      </c>
      <c r="E231" s="8">
        <v>124.47143524167987</v>
      </c>
      <c r="F231" s="8">
        <v>124.21712594344631</v>
      </c>
      <c r="G231" s="8">
        <v>123.92482689257048</v>
      </c>
      <c r="H231" s="8">
        <v>122.33232964196444</v>
      </c>
      <c r="I231" s="8">
        <v>121.60262138145234</v>
      </c>
      <c r="J231" s="8">
        <v>120.6687305107329</v>
      </c>
    </row>
    <row r="232" spans="1:10" x14ac:dyDescent="0.25">
      <c r="A232" s="27" t="s">
        <v>247</v>
      </c>
      <c r="B232" s="8">
        <v>29998120093.939999</v>
      </c>
      <c r="C232" s="8">
        <v>28023614773.5</v>
      </c>
      <c r="D232" s="8">
        <v>23627417539.919998</v>
      </c>
      <c r="E232" s="8">
        <v>25252874281.77</v>
      </c>
      <c r="F232" s="8">
        <v>23090863088.009998</v>
      </c>
      <c r="G232" s="8">
        <v>22561708560.18</v>
      </c>
      <c r="H232" s="8">
        <v>21334902161.669998</v>
      </c>
      <c r="I232" s="8">
        <v>19775248692.119999</v>
      </c>
      <c r="J232" s="8">
        <v>17448904917.09</v>
      </c>
    </row>
    <row r="233" spans="1:10" x14ac:dyDescent="0.25">
      <c r="A233" s="27" t="s">
        <v>420</v>
      </c>
      <c r="B233" s="8">
        <v>3.7529629510886426</v>
      </c>
      <c r="C233" s="8">
        <v>3.5020838115945567</v>
      </c>
      <c r="D233" s="8">
        <v>2.9490054538827684</v>
      </c>
      <c r="E233" s="8">
        <v>3.1432615058296176</v>
      </c>
      <c r="F233" s="8">
        <v>2.8682806483462135</v>
      </c>
      <c r="G233" s="8">
        <v>2.795955827720932</v>
      </c>
      <c r="H233" s="8">
        <v>2.6099482841204735</v>
      </c>
      <c r="I233" s="8">
        <v>2.4047220794319286</v>
      </c>
      <c r="J233" s="8">
        <v>2.1055372051477352</v>
      </c>
    </row>
    <row r="234" spans="1:10" x14ac:dyDescent="0.25">
      <c r="A234" s="27" t="s">
        <v>411</v>
      </c>
      <c r="B234" s="8">
        <v>49.66518644637933</v>
      </c>
      <c r="C234" s="8">
        <v>49.610569619147626</v>
      </c>
      <c r="D234" s="8">
        <v>49.548573089124531</v>
      </c>
      <c r="E234" s="8">
        <v>49.413035030440597</v>
      </c>
      <c r="F234" s="8">
        <v>49.312078580169235</v>
      </c>
      <c r="G234" s="8">
        <v>49.196040846594073</v>
      </c>
      <c r="H234" s="8">
        <v>48.563846622455117</v>
      </c>
      <c r="I234" s="8">
        <v>48.274164899345905</v>
      </c>
      <c r="J234" s="8">
        <v>47.903426165435846</v>
      </c>
    </row>
    <row r="235" spans="1:10" x14ac:dyDescent="0.25">
      <c r="A235" s="27" t="s">
        <v>425</v>
      </c>
      <c r="B235" s="8">
        <v>14898622275.064081</v>
      </c>
      <c r="C235" s="8">
        <v>13902674917.008957</v>
      </c>
      <c r="D235" s="8">
        <v>11707048248.83989</v>
      </c>
      <c r="E235" s="8">
        <v>12478211615.044134</v>
      </c>
      <c r="F235" s="8">
        <v>11386584550.798782</v>
      </c>
      <c r="G235" s="8">
        <v>11099467358.955664</v>
      </c>
      <c r="H235" s="8">
        <v>10361049162.844278</v>
      </c>
      <c r="I235" s="8">
        <v>9546336162.8897514</v>
      </c>
      <c r="J235" s="8">
        <v>8358623283.6353121</v>
      </c>
    </row>
    <row r="239" spans="1:10" x14ac:dyDescent="0.25">
      <c r="B239" s="26" t="s">
        <v>84</v>
      </c>
    </row>
    <row r="240" spans="1:10" x14ac:dyDescent="0.25">
      <c r="B240" s="175" t="s">
        <v>416</v>
      </c>
    </row>
    <row r="241" spans="1:10" x14ac:dyDescent="0.25">
      <c r="A241" s="26" t="s">
        <v>81</v>
      </c>
      <c r="B241" s="175" t="s">
        <v>30</v>
      </c>
      <c r="C241" s="175" t="s">
        <v>31</v>
      </c>
      <c r="D241" s="175" t="s">
        <v>32</v>
      </c>
      <c r="E241" s="175" t="s">
        <v>33</v>
      </c>
      <c r="F241" s="175" t="s">
        <v>34</v>
      </c>
      <c r="G241" s="175" t="s">
        <v>35</v>
      </c>
      <c r="H241" s="175" t="s">
        <v>36</v>
      </c>
      <c r="I241" s="175" t="s">
        <v>37</v>
      </c>
      <c r="J241" s="175" t="s">
        <v>38</v>
      </c>
    </row>
    <row r="242" spans="1:10" x14ac:dyDescent="0.25">
      <c r="A242" s="27" t="s">
        <v>19</v>
      </c>
      <c r="B242" s="8"/>
      <c r="C242" s="8"/>
      <c r="D242" s="8"/>
      <c r="E242" s="8"/>
      <c r="F242" s="8"/>
      <c r="G242" s="8"/>
      <c r="H242" s="8"/>
      <c r="I242" s="8"/>
      <c r="J242" s="8"/>
    </row>
    <row r="243" spans="1:10" x14ac:dyDescent="0.25">
      <c r="A243" s="110" t="s">
        <v>419</v>
      </c>
      <c r="B243" s="8">
        <v>1.49</v>
      </c>
      <c r="C243" s="8">
        <v>1.49</v>
      </c>
      <c r="D243" s="8">
        <v>1.49</v>
      </c>
      <c r="E243" s="8">
        <v>1.49</v>
      </c>
      <c r="F243" s="8">
        <v>1.49</v>
      </c>
      <c r="G243" s="8">
        <v>1.49</v>
      </c>
      <c r="H243" s="8">
        <v>1.49</v>
      </c>
      <c r="I243" s="8">
        <v>1.49</v>
      </c>
      <c r="J243" s="8">
        <v>1.49</v>
      </c>
    </row>
    <row r="244" spans="1:10" x14ac:dyDescent="0.25">
      <c r="A244" s="110" t="s">
        <v>418</v>
      </c>
      <c r="B244" s="8">
        <v>0</v>
      </c>
      <c r="C244" s="8">
        <v>0</v>
      </c>
      <c r="D244" s="8">
        <v>0</v>
      </c>
      <c r="E244" s="8">
        <v>0</v>
      </c>
      <c r="F244" s="8">
        <v>0</v>
      </c>
      <c r="G244" s="8">
        <v>12039</v>
      </c>
      <c r="H244" s="8">
        <v>6601685</v>
      </c>
      <c r="I244" s="8">
        <v>12692006</v>
      </c>
      <c r="J244" s="8">
        <v>37824250</v>
      </c>
    </row>
    <row r="245" spans="1:10" x14ac:dyDescent="0.25">
      <c r="A245" s="110" t="s">
        <v>247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17938.11</v>
      </c>
      <c r="H245" s="8">
        <v>9836510.6500000004</v>
      </c>
      <c r="I245" s="8">
        <v>18911088.940000001</v>
      </c>
      <c r="J245" s="8">
        <v>56358132.5</v>
      </c>
    </row>
    <row r="246" spans="1:10" x14ac:dyDescent="0.25">
      <c r="A246" s="110" t="s">
        <v>412</v>
      </c>
      <c r="B246" s="8">
        <v>47.018244727103053</v>
      </c>
      <c r="C246" s="8">
        <v>40.893284566123846</v>
      </c>
      <c r="D246" s="8">
        <v>38.5314400990476</v>
      </c>
      <c r="E246" s="8">
        <v>41.447302670973215</v>
      </c>
      <c r="F246" s="8">
        <v>38.009769269744481</v>
      </c>
      <c r="G246" s="8">
        <v>37.392354332869573</v>
      </c>
      <c r="H246" s="8">
        <v>38.072156931546218</v>
      </c>
      <c r="I246" s="8">
        <v>39.020881763760983</v>
      </c>
      <c r="J246" s="8">
        <v>36.339969012083131</v>
      </c>
    </row>
    <row r="247" spans="1:10" x14ac:dyDescent="0.25">
      <c r="A247" s="110" t="s">
        <v>420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6.7074816518199107E-7</v>
      </c>
      <c r="H247" s="8">
        <v>3.7449717712562575E-4</v>
      </c>
      <c r="I247" s="8">
        <v>7.3792736555170814E-4</v>
      </c>
      <c r="J247" s="8">
        <v>2.0480527886288752E-3</v>
      </c>
    </row>
    <row r="248" spans="1:10" x14ac:dyDescent="0.25">
      <c r="A248" s="110" t="s">
        <v>411</v>
      </c>
      <c r="B248" s="8">
        <v>8.6870070274787903</v>
      </c>
      <c r="C248" s="8">
        <v>8.6870070274787903</v>
      </c>
      <c r="D248" s="8">
        <v>8.6870070274787903</v>
      </c>
      <c r="E248" s="8">
        <v>8.6870070274787903</v>
      </c>
      <c r="F248" s="8">
        <v>8.6870070274787903</v>
      </c>
      <c r="G248" s="8">
        <v>8.6870070274787903</v>
      </c>
      <c r="H248" s="8">
        <v>8.6870070274787903</v>
      </c>
      <c r="I248" s="8">
        <v>8.6870070274787903</v>
      </c>
      <c r="J248" s="8">
        <v>8.6870070274787903</v>
      </c>
    </row>
    <row r="249" spans="1:10" x14ac:dyDescent="0.25">
      <c r="A249" s="110" t="s">
        <v>425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1558.2848762968756</v>
      </c>
      <c r="H249" s="8">
        <v>854498.37142419966</v>
      </c>
      <c r="I249" s="8">
        <v>1642807.6251905644</v>
      </c>
      <c r="J249" s="8">
        <v>4895834.9308308084</v>
      </c>
    </row>
    <row r="252" spans="1:10" x14ac:dyDescent="0.25">
      <c r="A252" s="26" t="s">
        <v>422</v>
      </c>
      <c r="B252" s="26" t="s">
        <v>84</v>
      </c>
    </row>
    <row r="253" spans="1:10" x14ac:dyDescent="0.25">
      <c r="A253" s="26" t="s">
        <v>81</v>
      </c>
      <c r="B253" s="175" t="s">
        <v>413</v>
      </c>
    </row>
    <row r="254" spans="1:10" x14ac:dyDescent="0.25">
      <c r="A254" s="27" t="s">
        <v>38</v>
      </c>
      <c r="B254" s="8">
        <v>1.49</v>
      </c>
    </row>
    <row r="256" spans="1:10" x14ac:dyDescent="0.25">
      <c r="A256" s="26" t="s">
        <v>422</v>
      </c>
      <c r="B256" s="26" t="s">
        <v>84</v>
      </c>
    </row>
    <row r="257" spans="1:2" x14ac:dyDescent="0.25">
      <c r="A257" s="26" t="s">
        <v>81</v>
      </c>
      <c r="B257" s="175" t="s">
        <v>38</v>
      </c>
    </row>
    <row r="258" spans="1:2" x14ac:dyDescent="0.25">
      <c r="A258" s="27" t="s">
        <v>413</v>
      </c>
      <c r="B258" s="8">
        <v>1.49</v>
      </c>
    </row>
    <row r="264" spans="1:2" x14ac:dyDescent="0.25">
      <c r="A264" s="27" t="s">
        <v>79</v>
      </c>
      <c r="B264" s="89" t="s">
        <v>38</v>
      </c>
    </row>
    <row r="265" spans="1:2" x14ac:dyDescent="0.25">
      <c r="A265" s="27" t="s">
        <v>64</v>
      </c>
      <c r="B265" s="8">
        <v>139.51276648367187</v>
      </c>
    </row>
    <row r="266" spans="1:2" x14ac:dyDescent="0.25">
      <c r="A266" s="27" t="s">
        <v>28</v>
      </c>
      <c r="B266" s="8">
        <v>121.71005316256945</v>
      </c>
    </row>
    <row r="267" spans="1:2" x14ac:dyDescent="0.25">
      <c r="A267" s="27" t="s">
        <v>26</v>
      </c>
      <c r="B267" s="8">
        <v>34.372764084025889</v>
      </c>
    </row>
    <row r="268" spans="1:2" x14ac:dyDescent="0.25">
      <c r="A268" s="27" t="s">
        <v>250</v>
      </c>
      <c r="B268" s="8">
        <v>8.6520989286054881</v>
      </c>
    </row>
    <row r="269" spans="1:2" x14ac:dyDescent="0.25">
      <c r="A269" s="27" t="s">
        <v>349</v>
      </c>
      <c r="B269" s="8">
        <v>1.49</v>
      </c>
    </row>
    <row r="276" spans="1:10" x14ac:dyDescent="0.25">
      <c r="A276" s="26" t="s">
        <v>412</v>
      </c>
      <c r="B276" s="26" t="s">
        <v>84</v>
      </c>
    </row>
    <row r="277" spans="1:10" x14ac:dyDescent="0.25">
      <c r="A277" s="26" t="s">
        <v>81</v>
      </c>
      <c r="B277" s="175" t="s">
        <v>413</v>
      </c>
      <c r="C277" s="175" t="s">
        <v>414</v>
      </c>
      <c r="D277" s="175" t="s">
        <v>415</v>
      </c>
      <c r="E277" s="175" t="s">
        <v>416</v>
      </c>
      <c r="F277" s="175" t="s">
        <v>417</v>
      </c>
      <c r="G277" s="175" t="s">
        <v>474</v>
      </c>
      <c r="H277" s="175" t="s">
        <v>475</v>
      </c>
      <c r="I277" s="175" t="s">
        <v>473</v>
      </c>
      <c r="J277" s="175" t="s">
        <v>472</v>
      </c>
    </row>
    <row r="278" spans="1:10" x14ac:dyDescent="0.25">
      <c r="A278" s="27" t="s">
        <v>38</v>
      </c>
      <c r="B278" s="9">
        <v>120.42919485982483</v>
      </c>
      <c r="C278" s="9">
        <v>120.6687305107329</v>
      </c>
      <c r="D278" s="9">
        <v>30.510971266556925</v>
      </c>
      <c r="E278" s="9">
        <v>36.339969012083131</v>
      </c>
      <c r="F278" s="9">
        <v>44.539060402684569</v>
      </c>
      <c r="G278" s="9">
        <v>65.140403493455125</v>
      </c>
      <c r="H278" s="9">
        <v>18.508966303040559</v>
      </c>
      <c r="I278" s="9">
        <v>47.805809465208213</v>
      </c>
      <c r="J278" s="9">
        <v>38.269622398160024</v>
      </c>
    </row>
    <row r="280" spans="1:10" x14ac:dyDescent="0.25">
      <c r="A280" s="106" t="s">
        <v>252</v>
      </c>
      <c r="B280" s="27" t="s">
        <v>38</v>
      </c>
    </row>
    <row r="281" spans="1:10" x14ac:dyDescent="0.25">
      <c r="A281" s="106" t="s">
        <v>349</v>
      </c>
      <c r="B281" s="9">
        <v>120.42919485982483</v>
      </c>
    </row>
    <row r="282" spans="1:10" x14ac:dyDescent="0.25">
      <c r="A282" s="106" t="s">
        <v>64</v>
      </c>
      <c r="B282" s="9">
        <v>65.140403493455125</v>
      </c>
    </row>
    <row r="283" spans="1:10" x14ac:dyDescent="0.25">
      <c r="A283" s="106" t="s">
        <v>250</v>
      </c>
      <c r="B283" s="9">
        <v>47.805809465208213</v>
      </c>
    </row>
    <row r="284" spans="1:10" x14ac:dyDescent="0.25">
      <c r="A284" s="106" t="s">
        <v>26</v>
      </c>
      <c r="B284" s="9">
        <v>38.269622398160024</v>
      </c>
    </row>
    <row r="285" spans="1:10" x14ac:dyDescent="0.25">
      <c r="A285" s="106" t="s">
        <v>28</v>
      </c>
      <c r="B285" s="9">
        <v>18.508966303040559</v>
      </c>
    </row>
  </sheetData>
  <autoFilter ref="A280:B280" xr:uid="{A4151A03-2F5F-473C-8981-901BB532FBCB}">
    <sortState xmlns:xlrd2="http://schemas.microsoft.com/office/spreadsheetml/2017/richdata2" ref="A281:B285">
      <sortCondition descending="1" ref="B280"/>
    </sortState>
  </autoFilter>
  <mergeCells count="2">
    <mergeCell ref="A30:C30"/>
    <mergeCell ref="A58:C58"/>
  </mergeCells>
  <pageMargins left="0.7" right="0.7" top="0.75" bottom="0.75" header="0.3" footer="0.3"/>
  <pageSetup paperSize="9" orientation="portrait" r:id="rId21"/>
  <drawing r:id="rId22"/>
  <tableParts count="3">
    <tablePart r:id="rId23"/>
    <tablePart r:id="rId24"/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E95B-CD09-4377-B777-A737EAEBC42A}">
  <dimension ref="A1:M139"/>
  <sheetViews>
    <sheetView topLeftCell="A3" zoomScale="80" zoomScaleNormal="80" workbookViewId="0">
      <selection activeCell="D21" sqref="D21"/>
    </sheetView>
  </sheetViews>
  <sheetFormatPr defaultRowHeight="15" x14ac:dyDescent="0.25"/>
  <cols>
    <col min="1" max="1" width="5.85546875" bestFit="1" customWidth="1"/>
    <col min="2" max="2" width="25.5703125" style="89" bestFit="1" customWidth="1"/>
    <col min="3" max="3" width="23.7109375" bestFit="1" customWidth="1"/>
    <col min="4" max="4" width="12.42578125" customWidth="1"/>
    <col min="5" max="5" width="18.5703125" customWidth="1"/>
    <col min="6" max="6" width="12.42578125" customWidth="1"/>
    <col min="7" max="7" width="20.5703125" customWidth="1"/>
    <col min="8" max="8" width="24.140625" bestFit="1" customWidth="1"/>
    <col min="9" max="9" width="18.42578125" customWidth="1"/>
    <col min="10" max="10" width="17" style="89" customWidth="1"/>
    <col min="11" max="11" width="18.28515625" customWidth="1"/>
    <col min="12" max="12" width="23.140625" customWidth="1"/>
    <col min="13" max="13" width="33.42578125" customWidth="1"/>
    <col min="14" max="14" width="27.85546875" customWidth="1"/>
  </cols>
  <sheetData>
    <row r="1" spans="1:13" s="89" customFormat="1" ht="17.25" x14ac:dyDescent="0.3">
      <c r="A1" s="201" t="s">
        <v>253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</row>
    <row r="2" spans="1:13" s="89" customFormat="1" ht="18" thickBot="1" x14ac:dyDescent="0.35">
      <c r="A2" s="128"/>
      <c r="B2" s="128"/>
      <c r="C2" s="128"/>
      <c r="D2" s="128"/>
      <c r="E2" s="128" t="s">
        <v>3</v>
      </c>
      <c r="F2" s="128" t="s">
        <v>343</v>
      </c>
      <c r="G2" s="128" t="s">
        <v>0</v>
      </c>
      <c r="H2" s="128" t="s">
        <v>344</v>
      </c>
      <c r="I2" s="128" t="s">
        <v>354</v>
      </c>
      <c r="J2" s="128" t="s">
        <v>355</v>
      </c>
      <c r="K2" s="128" t="s">
        <v>433</v>
      </c>
      <c r="L2" s="128" t="s">
        <v>345</v>
      </c>
      <c r="M2" s="128" t="s">
        <v>434</v>
      </c>
    </row>
    <row r="3" spans="1:13" ht="18.75" thickTop="1" thickBot="1" x14ac:dyDescent="0.35">
      <c r="A3" s="128" t="s">
        <v>63</v>
      </c>
      <c r="B3" s="128" t="s">
        <v>426</v>
      </c>
      <c r="C3" s="128" t="s">
        <v>79</v>
      </c>
      <c r="D3" s="128" t="s">
        <v>199</v>
      </c>
      <c r="E3" s="128" t="s">
        <v>121</v>
      </c>
      <c r="F3" s="128" t="s">
        <v>25</v>
      </c>
      <c r="G3" s="128" t="s">
        <v>246</v>
      </c>
      <c r="H3" s="128" t="s">
        <v>252</v>
      </c>
      <c r="I3" s="128" t="s">
        <v>353</v>
      </c>
      <c r="J3" s="128" t="s">
        <v>356</v>
      </c>
      <c r="K3" s="128" t="s">
        <v>346</v>
      </c>
      <c r="L3" s="128" t="s">
        <v>357</v>
      </c>
      <c r="M3" s="128" t="s">
        <v>435</v>
      </c>
    </row>
    <row r="4" spans="1:13" ht="15.75" thickTop="1" x14ac:dyDescent="0.25">
      <c r="A4" s="89" t="s">
        <v>30</v>
      </c>
      <c r="B4" s="89" t="s">
        <v>427</v>
      </c>
      <c r="C4" s="89" t="s">
        <v>474</v>
      </c>
      <c r="D4" s="89" t="s">
        <v>71</v>
      </c>
      <c r="E4" s="35">
        <f>VLOOKUP(C4,Vehicle_Kilometres_Public_Transport[#All],MATCH(A4,Vehicle_Kilometres_Public_Transport[#Headers],0),FALSE)</f>
        <v>15950000</v>
      </c>
      <c r="F4" s="9">
        <f>VLOOKUP(C4,Occupancy_of_Public_Transport[#All],MATCH(A4,Occupancy_of_Public_Transport[#Headers],0),FALSE)</f>
        <v>152.75616742928392</v>
      </c>
      <c r="G4" s="35">
        <f>VLOOKUP(C4,Passenger_Kilometres_Public_Transport[#All],MATCH(A4, Passenger_Kilometres_Public_Transport[#Headers],0),FALSE)</f>
        <v>2436460870.4970784</v>
      </c>
      <c r="H4" s="89">
        <f>VLOOKUP(D4,Carbon_Intensity_Irish_Rail[#All],MATCH(A4, Carbon_Intensity_Irish_Rail[#Headers],0),FALSE)</f>
        <v>50.473784122340767</v>
      </c>
      <c r="I4" s="35">
        <f>G4*H4</f>
        <v>122977400000</v>
      </c>
      <c r="J4" s="35">
        <f>I4/(1000000000000)</f>
        <v>0.1229774</v>
      </c>
      <c r="K4" s="28">
        <f>VLOOKUP(D4,Energy_Intensity_by_fuel_type_Irish_Rail[#All],MATCH(A4, Energy_Intensity_by_fuel_type_Irish_Rail[#Headers],0),FALSE)*100</f>
        <v>19.126102357840384</v>
      </c>
      <c r="L4" s="35">
        <f>(K4/100)*G4</f>
        <v>466000000.00000012</v>
      </c>
      <c r="M4" s="13">
        <f>L4/1000</f>
        <v>466000.00000000012</v>
      </c>
    </row>
    <row r="5" spans="1:13" x14ac:dyDescent="0.25">
      <c r="A5" s="89" t="s">
        <v>30</v>
      </c>
      <c r="B5" s="89" t="s">
        <v>427</v>
      </c>
      <c r="C5" s="175" t="s">
        <v>474</v>
      </c>
      <c r="D5" s="89" t="s">
        <v>72</v>
      </c>
      <c r="E5" s="35">
        <f>VLOOKUP(C5,Vehicle_Kilometres_Public_Transport[#All],MATCH(A5,Vehicle_Kilometres_Public_Transport[#Headers],0),FALSE)</f>
        <v>15950000</v>
      </c>
      <c r="F5" s="9">
        <f>VLOOKUP(C5,Occupancy_of_Public_Transport[#All],MATCH(A5,Occupancy_of_Public_Transport[#Headers],0),FALSE)</f>
        <v>152.75616742928392</v>
      </c>
      <c r="G5" s="35">
        <f>VLOOKUP(C5,Passenger_Kilometres_Public_Transport[#All],MATCH(A5, Passenger_Kilometres_Public_Transport[#Headers],0),FALSE)</f>
        <v>2436460870.4970784</v>
      </c>
      <c r="H5" s="89">
        <f>VLOOKUP(D5,Carbon_Intensity_Irish_Rail[#All],MATCH(A5, Carbon_Intensity_Irish_Rail[#Headers],0),FALSE)</f>
        <v>1.75048163163395</v>
      </c>
      <c r="I5" s="35">
        <f t="shared" ref="I5:I60" si="0">G5*H5</f>
        <v>4264980000</v>
      </c>
      <c r="J5" s="35">
        <f t="shared" ref="J5:J68" si="1">I5/(1000000000000)</f>
        <v>4.2649799999999998E-3</v>
      </c>
      <c r="K5" s="28">
        <f>VLOOKUP(D5,Energy_Intensity_by_fuel_type_Irish_Rail[#All],MATCH(A5, Energy_Intensity_by_fuel_type_Irish_Rail[#Headers],0),FALSE)*100</f>
        <v>0.76340236878933709</v>
      </c>
      <c r="L5" s="35">
        <f t="shared" ref="L5:L16" si="2">(K5/100)*G5</f>
        <v>18600000</v>
      </c>
      <c r="M5" s="13">
        <f t="shared" ref="M5:M68" si="3">L5/1000</f>
        <v>18600</v>
      </c>
    </row>
    <row r="6" spans="1:13" x14ac:dyDescent="0.25">
      <c r="A6" s="89" t="s">
        <v>30</v>
      </c>
      <c r="B6" s="89" t="s">
        <v>427</v>
      </c>
      <c r="C6" s="175" t="s">
        <v>474</v>
      </c>
      <c r="D6" s="89" t="s">
        <v>73</v>
      </c>
      <c r="E6" s="35">
        <f>VLOOKUP(C6,Vehicle_Kilometres_Public_Transport[#All],MATCH(A6,Vehicle_Kilometres_Public_Transport[#Headers],0),FALSE)</f>
        <v>15950000</v>
      </c>
      <c r="F6" s="9">
        <f>VLOOKUP(C6,Occupancy_of_Public_Transport[#All],MATCH(A6,Occupancy_of_Public_Transport[#Headers],0),FALSE)</f>
        <v>152.75616742928392</v>
      </c>
      <c r="G6" s="35">
        <f>VLOOKUP(C6,Passenger_Kilometres_Public_Transport[#All],MATCH(A6, Passenger_Kilometres_Public_Transport[#Headers],0),FALSE)</f>
        <v>2436460870.4970784</v>
      </c>
      <c r="H6" s="89">
        <f>VLOOKUP(D6,Carbon_Intensity_Irish_Rail[#All],MATCH(A6, Carbon_Intensity_Irish_Rail[#Headers],0),FALSE)</f>
        <v>17.133778139225019</v>
      </c>
      <c r="I6" s="35">
        <f t="shared" si="0"/>
        <v>41745780000</v>
      </c>
      <c r="J6" s="35">
        <f t="shared" si="1"/>
        <v>4.1745780000000003E-2</v>
      </c>
      <c r="K6" s="28">
        <f>VLOOKUP(D6,Energy_Intensity_by_fuel_type_Irish_Rail[#All],MATCH(A6, Energy_Intensity_by_fuel_type_Irish_Rail[#Headers],0),FALSE)*100</f>
        <v>2.6965341736268522</v>
      </c>
      <c r="L6" s="35">
        <f t="shared" si="2"/>
        <v>65700000</v>
      </c>
      <c r="M6" s="13">
        <f t="shared" si="3"/>
        <v>65700</v>
      </c>
    </row>
    <row r="7" spans="1:13" x14ac:dyDescent="0.25">
      <c r="A7" s="89" t="s">
        <v>30</v>
      </c>
      <c r="B7" s="89" t="s">
        <v>427</v>
      </c>
      <c r="C7" s="89" t="s">
        <v>475</v>
      </c>
      <c r="D7" s="89" t="s">
        <v>73</v>
      </c>
      <c r="E7" s="35">
        <f>VLOOKUP(C7,Vehicle_Kilometres_Public_Transport[#All],MATCH(A7,Vehicle_Kilometres_Public_Transport[#Headers],0),FALSE)</f>
        <v>2900000</v>
      </c>
      <c r="F7" s="9">
        <f>VLOOKUP(C7,Occupancy_of_Public_Transport[#All],MATCH(A7,Occupancy_of_Public_Transport[#Headers],0),FALSE)</f>
        <v>110.00202169312544</v>
      </c>
      <c r="G7" s="35">
        <f>VLOOKUP(C7,Passenger_Kilometres_Public_Transport[#All],MATCH(A7, Passenger_Kilometres_Public_Transport[#Headers],0),FALSE)</f>
        <v>319005862.9100638</v>
      </c>
      <c r="H7" s="89">
        <f>VLOOKUP(D7,Carbon_Intensity_Luas[#All],MATCH(A7, Carbon_Intensity_Luas[#Headers],0),FALSE)</f>
        <v>40.632983612763176</v>
      </c>
      <c r="I7" s="35">
        <f t="shared" si="0"/>
        <v>12962159999.999998</v>
      </c>
      <c r="J7" s="35">
        <f t="shared" si="1"/>
        <v>1.2962159999999999E-2</v>
      </c>
      <c r="K7" s="28">
        <f>VLOOKUP(D7,Energy_Intensity_by_fuel_type_Irish_Rail[#All],MATCH(A7, Energy_Intensity_by_fuel_type_Irish_Rail[#Headers],0),FALSE)*100</f>
        <v>2.6965341736268522</v>
      </c>
      <c r="L7" s="35">
        <f>(K7/100)*G7</f>
        <v>8602102.1092430986</v>
      </c>
      <c r="M7" s="13">
        <f>L7/1000</f>
        <v>8602.1021092430983</v>
      </c>
    </row>
    <row r="8" spans="1:13" x14ac:dyDescent="0.25">
      <c r="A8" s="89" t="s">
        <v>30</v>
      </c>
      <c r="B8" s="89" t="s">
        <v>427</v>
      </c>
      <c r="C8" s="89" t="s">
        <v>473</v>
      </c>
      <c r="D8" s="89" t="s">
        <v>71</v>
      </c>
      <c r="E8" s="35">
        <f>VLOOKUP(C8,Vehicle_Kilometres_Public_Transport[#All],MATCH(A8,Vehicle_Kilometres_Public_Transport[#Headers],0),FALSE)</f>
        <v>172452000</v>
      </c>
      <c r="F8" s="9">
        <f>VLOOKUP(C8,Occupancy_of_Public_Transport[#All],MATCH(A8,Occupancy_of_Public_Transport[#Headers],0),FALSE)</f>
        <v>6.6727449788540394</v>
      </c>
      <c r="G8" s="35">
        <f>VLOOKUP(C8,Passenger_Kilometres_Public_Transport[#All],MATCH(A8, Passenger_Kilometres_Public_Transport[#Headers],0),FALSE)</f>
        <v>1150728217.0933368</v>
      </c>
      <c r="H8" s="89">
        <f>VLOOKUP(D8,Carbon_Intensity_Bus_Éireann[#All],MATCH(A8, Carbon_Intensity_Bus_Éireann[#Headers],0),FALSE)</f>
        <v>68.219011347692231</v>
      </c>
      <c r="I8" s="35">
        <f t="shared" si="0"/>
        <v>78501541300</v>
      </c>
      <c r="J8" s="35">
        <f t="shared" si="1"/>
        <v>7.8501541300000005E-2</v>
      </c>
      <c r="K8" s="28">
        <f>VLOOKUP(D8,Energy_Intensity_by_fuel_type_Irish_Rail[#All],MATCH(A8, Energy_Intensity_by_fuel_type_Irish_Rail[#Headers],0),FALSE)*100</f>
        <v>19.126102357840384</v>
      </c>
      <c r="L8" s="35">
        <f t="shared" si="2"/>
        <v>220089456.66182333</v>
      </c>
      <c r="M8" s="13">
        <f t="shared" si="3"/>
        <v>220089.45666182332</v>
      </c>
    </row>
    <row r="9" spans="1:13" x14ac:dyDescent="0.25">
      <c r="A9" s="89" t="s">
        <v>30</v>
      </c>
      <c r="B9" s="89" t="s">
        <v>427</v>
      </c>
      <c r="C9" s="175" t="s">
        <v>473</v>
      </c>
      <c r="D9" s="89" t="s">
        <v>72</v>
      </c>
      <c r="E9" s="35">
        <f>VLOOKUP(C9,Vehicle_Kilometres_Public_Transport[#All],MATCH(A9,Vehicle_Kilometres_Public_Transport[#Headers],0),FALSE)</f>
        <v>172452000</v>
      </c>
      <c r="F9" s="9">
        <f>VLOOKUP(C9,Occupancy_of_Public_Transport[#All],MATCH(A9,Occupancy_of_Public_Transport[#Headers],0),FALSE)</f>
        <v>6.6727449788540394</v>
      </c>
      <c r="G9" s="35">
        <f>VLOOKUP(C9,Passenger_Kilometres_Public_Transport[#All],MATCH(A9, Passenger_Kilometres_Public_Transport[#Headers],0),FALSE)</f>
        <v>1150728217.0933368</v>
      </c>
      <c r="H9" s="89">
        <f>VLOOKUP(D9,Carbon_Intensity_Bus_Éireann[#All],MATCH(A9, Carbon_Intensity_Bus_Éireann[#Headers],0),FALSE)</f>
        <v>0.72492651836340405</v>
      </c>
      <c r="I9" s="35">
        <f t="shared" si="0"/>
        <v>834193400</v>
      </c>
      <c r="J9" s="35">
        <f t="shared" si="1"/>
        <v>8.3419340000000003E-4</v>
      </c>
      <c r="K9" s="28">
        <f>VLOOKUP(D9,Energy_Intensity_by_fuel_type_Irish_Rail[#All],MATCH(A9, Energy_Intensity_by_fuel_type_Irish_Rail[#Headers],0),FALSE)*100</f>
        <v>0.76340236878933709</v>
      </c>
      <c r="L9" s="35">
        <f t="shared" si="2"/>
        <v>8784686.4676178396</v>
      </c>
      <c r="M9" s="13">
        <f t="shared" si="3"/>
        <v>8784.6864676178393</v>
      </c>
    </row>
    <row r="10" spans="1:13" x14ac:dyDescent="0.25">
      <c r="A10" s="89" t="s">
        <v>30</v>
      </c>
      <c r="B10" s="89" t="s">
        <v>427</v>
      </c>
      <c r="C10" s="175" t="s">
        <v>473</v>
      </c>
      <c r="D10" s="89" t="s">
        <v>73</v>
      </c>
      <c r="E10" s="35">
        <f>VLOOKUP(C10,Vehicle_Kilometres_Public_Transport[#All],MATCH(A10,Vehicle_Kilometres_Public_Transport[#Headers],0),FALSE)</f>
        <v>172452000</v>
      </c>
      <c r="F10" s="9">
        <f>VLOOKUP(C10,Occupancy_of_Public_Transport[#All],MATCH(A10,Occupancy_of_Public_Transport[#Headers],0),FALSE)</f>
        <v>6.6727449788540394</v>
      </c>
      <c r="G10" s="35">
        <f>VLOOKUP(C10,Passenger_Kilometres_Public_Transport[#All],MATCH(A10, Passenger_Kilometres_Public_Transport[#Headers],0),FALSE)</f>
        <v>1150728217.0933368</v>
      </c>
      <c r="H10" s="89">
        <f>VLOOKUP(D10,Carbon_Intensity_Bus_Éireann[#All],MATCH(A10, Carbon_Intensity_Bus_Éireann[#Headers],0),FALSE)</f>
        <v>3.7442789148625883</v>
      </c>
      <c r="I10" s="35">
        <f t="shared" si="0"/>
        <v>4308647400</v>
      </c>
      <c r="J10" s="35">
        <f t="shared" si="1"/>
        <v>4.3086473999999998E-3</v>
      </c>
      <c r="K10" s="28">
        <f>VLOOKUP(D10,Energy_Intensity_by_fuel_type_Irish_Rail[#All],MATCH(A10, Energy_Intensity_by_fuel_type_Irish_Rail[#Headers],0),FALSE)*100</f>
        <v>2.6965341736268522</v>
      </c>
      <c r="L10" s="35">
        <f t="shared" si="2"/>
        <v>31029779.61948882</v>
      </c>
      <c r="M10" s="13">
        <f t="shared" si="3"/>
        <v>31029.779619488821</v>
      </c>
    </row>
    <row r="11" spans="1:13" x14ac:dyDescent="0.25">
      <c r="A11" s="89" t="s">
        <v>30</v>
      </c>
      <c r="B11" s="89" t="s">
        <v>427</v>
      </c>
      <c r="C11" s="89" t="s">
        <v>472</v>
      </c>
      <c r="D11" s="89" t="s">
        <v>71</v>
      </c>
      <c r="E11" s="35">
        <f>VLOOKUP(C11,Vehicle_Kilometres_Public_Transport[#All],MATCH(A11,Vehicle_Kilometres_Public_Transport[#Headers],0),FALSE)</f>
        <v>61800000</v>
      </c>
      <c r="F11" s="9">
        <f>VLOOKUP(C11,Occupancy_of_Public_Transport[#All],MATCH(A11,Occupancy_of_Public_Transport[#Headers],0),FALSE)</f>
        <v>26.812385848776703</v>
      </c>
      <c r="G11" s="35">
        <f>VLOOKUP(C11,Passenger_Kilometres_Public_Transport[#All],MATCH(A11, Passenger_Kilometres_Public_Transport[#Headers],0),FALSE)</f>
        <v>1657005445.4544003</v>
      </c>
      <c r="H11" s="89">
        <f>VLOOKUP(D11,Carbon_Intensity_Dublin_Bus[#All],MATCH(A11, Carbon_Intensity_Dublin_Bus[#Headers],0),FALSE)</f>
        <v>50.682170858509153</v>
      </c>
      <c r="I11" s="35">
        <f t="shared" si="0"/>
        <v>83980633099.999985</v>
      </c>
      <c r="J11" s="35">
        <f t="shared" si="1"/>
        <v>8.3980633099999979E-2</v>
      </c>
      <c r="K11" s="28">
        <f>VLOOKUP(D11,Energy_Intensity_by_fuel_type_Irish_Rail[#All],MATCH(A11, Energy_Intensity_by_fuel_type_Irish_Rail[#Headers],0),FALSE)*100</f>
        <v>19.126102357840384</v>
      </c>
      <c r="L11" s="35">
        <f t="shared" si="2"/>
        <v>316920557.57259762</v>
      </c>
      <c r="M11" s="13">
        <f t="shared" si="3"/>
        <v>316920.55757259764</v>
      </c>
    </row>
    <row r="12" spans="1:13" x14ac:dyDescent="0.25">
      <c r="A12" s="89" t="s">
        <v>30</v>
      </c>
      <c r="B12" s="89" t="s">
        <v>427</v>
      </c>
      <c r="C12" s="175" t="s">
        <v>472</v>
      </c>
      <c r="D12" s="89" t="s">
        <v>72</v>
      </c>
      <c r="E12" s="35">
        <f>VLOOKUP(C12,Vehicle_Kilometres_Public_Transport[#All],MATCH(A12,Vehicle_Kilometres_Public_Transport[#Headers],0),FALSE)</f>
        <v>61800000</v>
      </c>
      <c r="F12" s="9">
        <f>VLOOKUP(C12,Occupancy_of_Public_Transport[#All],MATCH(A12,Occupancy_of_Public_Transport[#Headers],0),FALSE)</f>
        <v>26.812385848776703</v>
      </c>
      <c r="G12" s="35">
        <f>VLOOKUP(C12,Passenger_Kilometres_Public_Transport[#All],MATCH(A12, Passenger_Kilometres_Public_Transport[#Headers],0),FALSE)</f>
        <v>1657005445.4544003</v>
      </c>
      <c r="H12" s="89">
        <f>VLOOKUP(D12,Carbon_Intensity_Dublin_Bus[#All],MATCH(A12, Carbon_Intensity_Dublin_Bus[#Headers],0),FALSE)</f>
        <v>1.6398286483934044</v>
      </c>
      <c r="I12" s="35">
        <f t="shared" si="0"/>
        <v>2717205000</v>
      </c>
      <c r="J12" s="35">
        <f t="shared" si="1"/>
        <v>2.7172049999999999E-3</v>
      </c>
      <c r="K12" s="28">
        <f>VLOOKUP(D12,Energy_Intensity_by_fuel_type_Irish_Rail[#All],MATCH(A12, Energy_Intensity_by_fuel_type_Irish_Rail[#Headers],0),FALSE)*100</f>
        <v>0.76340236878933709</v>
      </c>
      <c r="L12" s="35">
        <f t="shared" si="2"/>
        <v>12649618.821567198</v>
      </c>
      <c r="M12" s="13">
        <f t="shared" si="3"/>
        <v>12649.618821567199</v>
      </c>
    </row>
    <row r="13" spans="1:13" x14ac:dyDescent="0.25">
      <c r="A13" s="89" t="s">
        <v>30</v>
      </c>
      <c r="B13" s="89" t="s">
        <v>427</v>
      </c>
      <c r="C13" s="175" t="s">
        <v>472</v>
      </c>
      <c r="D13" s="89" t="s">
        <v>73</v>
      </c>
      <c r="E13" s="35">
        <f>VLOOKUP(C13,Vehicle_Kilometres_Public_Transport[#All],MATCH(A13,Vehicle_Kilometres_Public_Transport[#Headers],0),FALSE)</f>
        <v>61800000</v>
      </c>
      <c r="F13" s="9">
        <f>VLOOKUP(C13,Occupancy_of_Public_Transport[#All],MATCH(A13,Occupancy_of_Public_Transport[#Headers],0),FALSE)</f>
        <v>26.812385848776703</v>
      </c>
      <c r="G13" s="35">
        <f>VLOOKUP(C13,Passenger_Kilometres_Public_Transport[#All],MATCH(A13, Passenger_Kilometres_Public_Transport[#Headers],0),FALSE)</f>
        <v>1657005445.4544003</v>
      </c>
      <c r="H13" s="89">
        <f>VLOOKUP(D13,Carbon_Intensity_Dublin_Bus[#All],MATCH(A13, Carbon_Intensity_Dublin_Bus[#Headers],0),FALSE)</f>
        <v>2.4925084050447421</v>
      </c>
      <c r="I13" s="35">
        <f t="shared" si="0"/>
        <v>4130099999.9999995</v>
      </c>
      <c r="J13" s="35">
        <f t="shared" si="1"/>
        <v>4.1300999999999994E-3</v>
      </c>
      <c r="K13" s="28">
        <f>VLOOKUP(D13,Energy_Intensity_by_fuel_type_Irish_Rail[#All],MATCH(A13, Energy_Intensity_by_fuel_type_Irish_Rail[#Headers],0),FALSE)*100</f>
        <v>2.6965341736268522</v>
      </c>
      <c r="L13" s="35">
        <f t="shared" si="2"/>
        <v>44681718.095535755</v>
      </c>
      <c r="M13" s="13">
        <f t="shared" si="3"/>
        <v>44681.718095535754</v>
      </c>
    </row>
    <row r="14" spans="1:13" x14ac:dyDescent="0.25">
      <c r="A14" s="89" t="s">
        <v>30</v>
      </c>
      <c r="B14" s="89" t="s">
        <v>428</v>
      </c>
      <c r="C14" s="82" t="s">
        <v>413</v>
      </c>
      <c r="D14" s="89" t="s">
        <v>71</v>
      </c>
      <c r="E14" s="35">
        <f>VLOOKUP(D14,Total_vehicle_activity[#All],MATCH(A14,Total_vehicle_activity[#Headers],0),FALSE)</f>
        <v>10959399339</v>
      </c>
      <c r="F14" s="9">
        <f>Private_Vehicle_Occupancy_from_TIMES[]</f>
        <v>1.49</v>
      </c>
      <c r="G14" s="35">
        <f>E14*F14</f>
        <v>16329505015.110001</v>
      </c>
      <c r="H14" s="89">
        <f>VLOOKUP(D14,Carbon_Intensity_private_vehicles_by_fuel_type_[#All],MATCH(A14, Carbon_Intensity_private_vehicles_by_fuel_type_[#Headers],0),FALSE)</f>
        <v>120.85393473053892</v>
      </c>
      <c r="I14" s="35">
        <f t="shared" si="0"/>
        <v>1973484933278.1121</v>
      </c>
      <c r="J14" s="35">
        <f t="shared" si="1"/>
        <v>1.9734849332781121</v>
      </c>
      <c r="K14" s="28">
        <f>VLOOKUP(D14,Energy_intensity_private_vehicles_kwh_per_pkm[#All],MATCH(A14,Energy_intensity_private_vehicles_kwh_per_pkm[#Headers],0),FALSE)*100</f>
        <v>45.795352304107212</v>
      </c>
      <c r="L14" s="35">
        <f t="shared" si="2"/>
        <v>7478154351.1864805</v>
      </c>
      <c r="M14" s="13">
        <f t="shared" si="3"/>
        <v>7478154.3511864804</v>
      </c>
    </row>
    <row r="15" spans="1:13" x14ac:dyDescent="0.25">
      <c r="A15" s="89" t="s">
        <v>30</v>
      </c>
      <c r="B15" s="89" t="s">
        <v>428</v>
      </c>
      <c r="C15" s="89" t="s">
        <v>414</v>
      </c>
      <c r="D15" s="89" t="s">
        <v>75</v>
      </c>
      <c r="E15" s="35">
        <f>VLOOKUP(D15,Total_vehicle_activity[#All],MATCH(A15,Total_vehicle_activity[#Headers],0),FALSE)</f>
        <v>20132966506</v>
      </c>
      <c r="F15" s="9">
        <f>Private_Vehicle_Occupancy_from_TIMES[]</f>
        <v>1.49</v>
      </c>
      <c r="G15" s="35">
        <f t="shared" ref="G15:G18" si="4">E15*F15</f>
        <v>29998120093.939999</v>
      </c>
      <c r="H15" s="89">
        <f>VLOOKUP(D15,Carbon_Intensity_private_vehicles_by_fuel_type_[#All],MATCH(A15, Carbon_Intensity_private_vehicles_by_fuel_type_[#Headers],0),FALSE)</f>
        <v>125.10660465842953</v>
      </c>
      <c r="I15" s="35">
        <f t="shared" si="0"/>
        <v>3752962951088.6426</v>
      </c>
      <c r="J15" s="35">
        <f t="shared" si="1"/>
        <v>3.7529629510886426</v>
      </c>
      <c r="K15" s="28">
        <f>VLOOKUP(D15,Energy_intensity_private_vehicles_kwh_per_pkm[#All],MATCH(A15,Energy_intensity_private_vehicles_kwh_per_pkm[#Headers],0),FALSE)*100</f>
        <v>49.66518644637933</v>
      </c>
      <c r="L15" s="35">
        <f t="shared" si="2"/>
        <v>14898622275.064081</v>
      </c>
      <c r="M15" s="13">
        <f t="shared" si="3"/>
        <v>14898622.275064081</v>
      </c>
    </row>
    <row r="16" spans="1:13" x14ac:dyDescent="0.25">
      <c r="A16" s="89" t="s">
        <v>30</v>
      </c>
      <c r="B16" s="89" t="s">
        <v>428</v>
      </c>
      <c r="C16" s="89" t="s">
        <v>415</v>
      </c>
      <c r="D16" s="89" t="s">
        <v>18</v>
      </c>
      <c r="E16" s="35">
        <f>VLOOKUP(D16,Total_vehicle_activity[#All],MATCH(A16,Total_vehicle_activity[#Headers],0),FALSE)</f>
        <v>90235482</v>
      </c>
      <c r="F16" s="9">
        <f>Private_Vehicle_Occupancy_from_TIMES[]</f>
        <v>1.49</v>
      </c>
      <c r="G16" s="35">
        <f t="shared" si="4"/>
        <v>134450868.18000001</v>
      </c>
      <c r="H16" s="89">
        <f>VLOOKUP(D16,Carbon_Intensity_private_vehicles_by_fuel_type_[#All],MATCH(A16, Carbon_Intensity_private_vehicles_by_fuel_type_[#Headers],0),FALSE)</f>
        <v>40.605035114210004</v>
      </c>
      <c r="I16" s="35">
        <f t="shared" si="0"/>
        <v>5459382223.5849209</v>
      </c>
      <c r="J16" s="35">
        <f t="shared" si="1"/>
        <v>5.459382223584921E-3</v>
      </c>
      <c r="K16" s="28">
        <f>VLOOKUP(D16,Energy_intensity_private_vehicles_kwh_per_pkm[#All],MATCH(A16,Energy_intensity_private_vehicles_kwh_per_pkm[#Headers],0),FALSE)*100</f>
        <v>8.7152797353441525</v>
      </c>
      <c r="L16" s="35">
        <f t="shared" si="2"/>
        <v>11717769.26848582</v>
      </c>
      <c r="M16" s="13">
        <f t="shared" si="3"/>
        <v>11717.769268485819</v>
      </c>
    </row>
    <row r="17" spans="1:13" x14ac:dyDescent="0.25">
      <c r="A17" s="89" t="s">
        <v>30</v>
      </c>
      <c r="B17" s="89" t="s">
        <v>428</v>
      </c>
      <c r="C17" s="89" t="s">
        <v>416</v>
      </c>
      <c r="D17" s="89" t="s">
        <v>19</v>
      </c>
      <c r="E17" s="35">
        <f>VLOOKUP(D17,Total_vehicle_activity[#All],MATCH(A17,Total_vehicle_activity[#Headers],0),FALSE)</f>
        <v>0</v>
      </c>
      <c r="F17" s="9">
        <f>Private_Vehicle_Occupancy_from_TIMES[]</f>
        <v>1.49</v>
      </c>
      <c r="G17" s="35">
        <f t="shared" si="4"/>
        <v>0</v>
      </c>
      <c r="H17" s="89">
        <f>VLOOKUP(D17,Carbon_Intensity_private_vehicles_by_fuel_type_[#All],MATCH(A17, Carbon_Intensity_private_vehicles_by_fuel_type_[#Headers],0),FALSE)</f>
        <v>47.018244727103053</v>
      </c>
      <c r="I17" s="35">
        <f t="shared" si="0"/>
        <v>0</v>
      </c>
      <c r="J17" s="35">
        <f t="shared" si="1"/>
        <v>0</v>
      </c>
      <c r="K17" s="28">
        <f>VLOOKUP(D17,Energy_intensity_private_vehicles_kwh_per_pkm[#All],MATCH(A17,Energy_intensity_private_vehicles_kwh_per_pkm[#Headers],0),FALSE)*100</f>
        <v>8.6870070274787903</v>
      </c>
      <c r="L17" s="35">
        <f t="shared" ref="L17:L68" si="5">(K17*G17)/100</f>
        <v>0</v>
      </c>
      <c r="M17" s="13">
        <f t="shared" si="3"/>
        <v>0</v>
      </c>
    </row>
    <row r="18" spans="1:13" x14ac:dyDescent="0.25">
      <c r="A18" s="89" t="s">
        <v>30</v>
      </c>
      <c r="B18" s="89" t="s">
        <v>428</v>
      </c>
      <c r="C18" s="89" t="s">
        <v>417</v>
      </c>
      <c r="D18" s="89" t="s">
        <v>352</v>
      </c>
      <c r="E18" s="35">
        <f>VLOOKUP(D18,Total_vehicle_activity[#All],MATCH(A18,Total_vehicle_activity[#Headers],0),FALSE)</f>
        <v>606092</v>
      </c>
      <c r="F18" s="9">
        <f>Private_Vehicle_Occupancy_from_TIMES[]</f>
        <v>1.49</v>
      </c>
      <c r="G18" s="35">
        <f t="shared" si="4"/>
        <v>903077.08</v>
      </c>
      <c r="H18" s="89">
        <f>VLOOKUP(D18,Carbon_Intensity_private_vehicles_by_fuel_type_[#All],MATCH(A18, Carbon_Intensity_private_vehicles_by_fuel_type_[#Headers],0),FALSE)</f>
        <v>64.819328859060406</v>
      </c>
      <c r="I18" s="35">
        <f t="shared" si="0"/>
        <v>58536850.233599998</v>
      </c>
      <c r="J18" s="35">
        <f t="shared" si="1"/>
        <v>5.85368502336E-5</v>
      </c>
      <c r="K18" s="28">
        <f>VLOOKUP(D18,Energy_intensity_private_vehicles_kwh_per_pkm[#All],MATCH(A18,Energy_intensity_private_vehicles_kwh_per_pkm[#Headers],0),FALSE)*100</f>
        <v>10.201342281879194</v>
      </c>
      <c r="L18" s="35">
        <f t="shared" si="5"/>
        <v>92125.983999999982</v>
      </c>
      <c r="M18" s="13">
        <f t="shared" si="3"/>
        <v>92.125983999999988</v>
      </c>
    </row>
    <row r="19" spans="1:13" x14ac:dyDescent="0.25">
      <c r="A19" s="89" t="s">
        <v>31</v>
      </c>
      <c r="B19" s="89" t="s">
        <v>427</v>
      </c>
      <c r="C19" s="175" t="s">
        <v>474</v>
      </c>
      <c r="D19" s="89" t="s">
        <v>71</v>
      </c>
      <c r="E19" s="35">
        <f>VLOOKUP(C19,Vehicle_Kilometres_Public_Transport[#All],MATCH(A19,Vehicle_Kilometres_Public_Transport[#Headers],0),FALSE)</f>
        <v>15960000</v>
      </c>
      <c r="F19" s="9">
        <f>VLOOKUP(C19,Occupancy_of_Public_Transport[#All],MATCH(A19,Occupancy_of_Public_Transport[#Headers],0),FALSE)</f>
        <v>146.31341340955171</v>
      </c>
      <c r="G19" s="35">
        <f>VLOOKUP(C19,Passenger_Kilometres_Public_Transport[#All],MATCH(A19, Passenger_Kilometres_Public_Transport[#Headers],0),FALSE)</f>
        <v>2335162078.0164452</v>
      </c>
      <c r="H19" s="89">
        <f>VLOOKUP(D19,Carbon_Intensity_Irish_Rail[#All],MATCH(A19, Carbon_Intensity_Irish_Rail[#Headers],0),FALSE)</f>
        <v>52.923251522213896</v>
      </c>
      <c r="I19" s="35">
        <f t="shared" si="0"/>
        <v>123584370000</v>
      </c>
      <c r="J19" s="35">
        <f t="shared" si="1"/>
        <v>0.12358437</v>
      </c>
      <c r="K19" s="28">
        <f>VLOOKUP(D19,Energy_Intensity_by_fuel_type_Irish_Rail[#All],MATCH(A19, Energy_Intensity_by_fuel_type_Irish_Rail[#Headers],0),FALSE)*100</f>
        <v>20.054282501786243</v>
      </c>
      <c r="L19" s="35">
        <f t="shared" si="5"/>
        <v>468300000</v>
      </c>
      <c r="M19" s="13">
        <f t="shared" si="3"/>
        <v>468300</v>
      </c>
    </row>
    <row r="20" spans="1:13" x14ac:dyDescent="0.25">
      <c r="A20" s="89" t="s">
        <v>31</v>
      </c>
      <c r="B20" s="89" t="s">
        <v>427</v>
      </c>
      <c r="C20" s="175" t="s">
        <v>474</v>
      </c>
      <c r="D20" s="89" t="s">
        <v>72</v>
      </c>
      <c r="E20" s="35">
        <f>VLOOKUP(C20,Vehicle_Kilometres_Public_Transport[#All],MATCH(A20,Vehicle_Kilometres_Public_Transport[#Headers],0),FALSE)</f>
        <v>15960000</v>
      </c>
      <c r="F20" s="9">
        <f>VLOOKUP(C20,Occupancy_of_Public_Transport[#All],MATCH(A20,Occupancy_of_Public_Transport[#Headers],0),FALSE)</f>
        <v>146.31341340955171</v>
      </c>
      <c r="G20" s="35">
        <f>VLOOKUP(C20,Passenger_Kilometres_Public_Transport[#All],MATCH(A20, Passenger_Kilometres_Public_Transport[#Headers],0),FALSE)</f>
        <v>2335162078.0164452</v>
      </c>
      <c r="H20" s="89">
        <f>VLOOKUP(D20,Carbon_Intensity_Irish_Rail[#All],MATCH(A20, Carbon_Intensity_Irish_Rail[#Headers],0),FALSE)</f>
        <v>1.0605002639061185</v>
      </c>
      <c r="I20" s="35">
        <f t="shared" si="0"/>
        <v>2476440000</v>
      </c>
      <c r="J20" s="35">
        <f t="shared" si="1"/>
        <v>2.4764399999999999E-3</v>
      </c>
      <c r="K20" s="28">
        <f>VLOOKUP(D20,Energy_Intensity_by_fuel_type_Irish_Rail[#All],MATCH(A20, Energy_Intensity_by_fuel_type_Irish_Rail[#Headers],0),FALSE)*100</f>
        <v>0.46249466371832465</v>
      </c>
      <c r="L20" s="35">
        <f t="shared" si="5"/>
        <v>10800000</v>
      </c>
      <c r="M20" s="13">
        <f t="shared" si="3"/>
        <v>10800</v>
      </c>
    </row>
    <row r="21" spans="1:13" x14ac:dyDescent="0.25">
      <c r="A21" s="89" t="s">
        <v>31</v>
      </c>
      <c r="B21" s="89" t="s">
        <v>427</v>
      </c>
      <c r="C21" s="175" t="s">
        <v>474</v>
      </c>
      <c r="D21" s="89" t="s">
        <v>73</v>
      </c>
      <c r="E21" s="35">
        <f>VLOOKUP(C21,Vehicle_Kilometres_Public_Transport[#All],MATCH(A21,Vehicle_Kilometres_Public_Transport[#Headers],0),FALSE)</f>
        <v>15960000</v>
      </c>
      <c r="F21" s="9">
        <f>VLOOKUP(C21,Occupancy_of_Public_Transport[#All],MATCH(A21,Occupancy_of_Public_Transport[#Headers],0),FALSE)</f>
        <v>146.31341340955171</v>
      </c>
      <c r="G21" s="35">
        <f>VLOOKUP(C21,Passenger_Kilometres_Public_Transport[#All],MATCH(A21, Passenger_Kilometres_Public_Transport[#Headers],0),FALSE)</f>
        <v>2335162078.0164452</v>
      </c>
      <c r="H21" s="89">
        <f>VLOOKUP(D21,Carbon_Intensity_Irish_Rail[#All],MATCH(A21, Carbon_Intensity_Irish_Rail[#Headers],0),FALSE)</f>
        <v>14.747156235618467</v>
      </c>
      <c r="I21" s="35">
        <f t="shared" si="0"/>
        <v>34437000000</v>
      </c>
      <c r="J21" s="35">
        <f t="shared" si="1"/>
        <v>3.4437000000000002E-2</v>
      </c>
      <c r="K21" s="28">
        <f>VLOOKUP(D21,Energy_Intensity_by_fuel_type_Irish_Rail[#All],MATCH(A21, Energy_Intensity_by_fuel_type_Irish_Rail[#Headers],0),FALSE)*100</f>
        <v>2.7835326983047319</v>
      </c>
      <c r="L21" s="35">
        <f t="shared" si="5"/>
        <v>65000000.000000007</v>
      </c>
      <c r="M21" s="13">
        <f t="shared" si="3"/>
        <v>65000.000000000007</v>
      </c>
    </row>
    <row r="22" spans="1:13" x14ac:dyDescent="0.25">
      <c r="A22" s="89" t="s">
        <v>31</v>
      </c>
      <c r="B22" s="89" t="s">
        <v>427</v>
      </c>
      <c r="C22" s="175" t="s">
        <v>475</v>
      </c>
      <c r="D22" s="89" t="s">
        <v>73</v>
      </c>
      <c r="E22" s="35">
        <f>VLOOKUP(C22,Vehicle_Kilometres_Public_Transport[#All],MATCH(A22,Vehicle_Kilometres_Public_Transport[#Headers],0),FALSE)</f>
        <v>3690000</v>
      </c>
      <c r="F22" s="9">
        <f>VLOOKUP(C22,Occupancy_of_Public_Transport[#All],MATCH(A22,Occupancy_of_Public_Transport[#Headers],0),FALSE)</f>
        <v>113.90370064788534</v>
      </c>
      <c r="G22" s="35">
        <f>VLOOKUP(C22,Passenger_Kilometres_Public_Transport[#All],MATCH(A22, Passenger_Kilometres_Public_Transport[#Headers],0),FALSE)</f>
        <v>420304655.39069694</v>
      </c>
      <c r="H22" s="89">
        <f>VLOOKUP(D22,Carbon_Intensity_Luas[#All],MATCH(A22, Carbon_Intensity_Luas[#Headers],0),FALSE)</f>
        <v>25.714490337856063</v>
      </c>
      <c r="I22" s="35">
        <f t="shared" si="0"/>
        <v>10807919999.999998</v>
      </c>
      <c r="J22" s="35">
        <f t="shared" si="1"/>
        <v>1.0807919999999999E-2</v>
      </c>
      <c r="K22" s="28">
        <f>VLOOKUP(D22,Energy_Intensity_by_fuel_type_Irish_Rail[#All],MATCH(A22, Energy_Intensity_by_fuel_type_Irish_Rail[#Headers],0),FALSE)*100</f>
        <v>2.7835326983047319</v>
      </c>
      <c r="L22" s="35">
        <f t="shared" si="5"/>
        <v>11699317.515297072</v>
      </c>
      <c r="M22" s="13">
        <f t="shared" si="3"/>
        <v>11699.317515297073</v>
      </c>
    </row>
    <row r="23" spans="1:13" x14ac:dyDescent="0.25">
      <c r="A23" s="89" t="s">
        <v>31</v>
      </c>
      <c r="B23" s="89" t="s">
        <v>427</v>
      </c>
      <c r="C23" s="175" t="s">
        <v>473</v>
      </c>
      <c r="D23" s="89" t="s">
        <v>71</v>
      </c>
      <c r="E23" s="35">
        <f>VLOOKUP(C23,Vehicle_Kilometres_Public_Transport[#All],MATCH(A23,Vehicle_Kilometres_Public_Transport[#Headers],0),FALSE)</f>
        <v>172452000</v>
      </c>
      <c r="F23" s="9">
        <f>VLOOKUP(C23,Occupancy_of_Public_Transport[#All],MATCH(A23,Occupancy_of_Public_Transport[#Headers],0),FALSE)</f>
        <v>5.1493242273339748</v>
      </c>
      <c r="G23" s="35">
        <f>VLOOKUP(C23,Passenger_Kilometres_Public_Transport[#All],MATCH(A23, Passenger_Kilometres_Public_Transport[#Headers],0),FALSE)</f>
        <v>888011261.65219867</v>
      </c>
      <c r="H23" s="89">
        <f>VLOOKUP(D23,Carbon_Intensity_Bus_Éireann[#All],MATCH(A23, Carbon_Intensity_Bus_Éireann[#Headers],0),FALSE)</f>
        <v>86.093905676101173</v>
      </c>
      <c r="I23" s="35">
        <f t="shared" si="0"/>
        <v>76452357799.999985</v>
      </c>
      <c r="J23" s="35">
        <f t="shared" si="1"/>
        <v>7.6452357799999981E-2</v>
      </c>
      <c r="K23" s="28">
        <f>VLOOKUP(D23,Energy_Intensity_by_fuel_type_Irish_Rail[#All],MATCH(A23, Energy_Intensity_by_fuel_type_Irish_Rail[#Headers],0),FALSE)*100</f>
        <v>20.054282501786243</v>
      </c>
      <c r="L23" s="35">
        <f t="shared" si="5"/>
        <v>178084287.05940816</v>
      </c>
      <c r="M23" s="13">
        <f t="shared" si="3"/>
        <v>178084.28705940815</v>
      </c>
    </row>
    <row r="24" spans="1:13" x14ac:dyDescent="0.25">
      <c r="A24" s="89" t="s">
        <v>31</v>
      </c>
      <c r="B24" s="89" t="s">
        <v>427</v>
      </c>
      <c r="C24" s="175" t="s">
        <v>473</v>
      </c>
      <c r="D24" s="89" t="s">
        <v>72</v>
      </c>
      <c r="E24" s="35">
        <f>VLOOKUP(C24,Vehicle_Kilometres_Public_Transport[#All],MATCH(A24,Vehicle_Kilometres_Public_Transport[#Headers],0),FALSE)</f>
        <v>172452000</v>
      </c>
      <c r="F24" s="9">
        <f>VLOOKUP(C24,Occupancy_of_Public_Transport[#All],MATCH(A24,Occupancy_of_Public_Transport[#Headers],0),FALSE)</f>
        <v>5.1493242273339748</v>
      </c>
      <c r="G24" s="35">
        <f>VLOOKUP(C24,Passenger_Kilometres_Public_Transport[#All],MATCH(A24, Passenger_Kilometres_Public_Transport[#Headers],0),FALSE)</f>
        <v>888011261.65219867</v>
      </c>
      <c r="H24" s="89">
        <f>VLOOKUP(D24,Carbon_Intensity_Bus_Éireann[#All],MATCH(A24, Carbon_Intensity_Bus_Éireann[#Headers],0),FALSE)</f>
        <v>0.88413653509216861</v>
      </c>
      <c r="I24" s="35">
        <f t="shared" si="0"/>
        <v>785123200.00000012</v>
      </c>
      <c r="J24" s="35">
        <f t="shared" si="1"/>
        <v>7.8512320000000016E-4</v>
      </c>
      <c r="K24" s="28">
        <f>VLOOKUP(D24,Energy_Intensity_by_fuel_type_Irish_Rail[#All],MATCH(A24, Energy_Intensity_by_fuel_type_Irish_Rail[#Headers],0),FALSE)*100</f>
        <v>0.46249466371832465</v>
      </c>
      <c r="L24" s="35">
        <f t="shared" si="5"/>
        <v>4107004.6983591886</v>
      </c>
      <c r="M24" s="13">
        <f t="shared" si="3"/>
        <v>4107.0046983591883</v>
      </c>
    </row>
    <row r="25" spans="1:13" x14ac:dyDescent="0.25">
      <c r="A25" s="89" t="s">
        <v>31</v>
      </c>
      <c r="B25" s="89" t="s">
        <v>427</v>
      </c>
      <c r="C25" s="175" t="s">
        <v>473</v>
      </c>
      <c r="D25" s="89" t="s">
        <v>73</v>
      </c>
      <c r="E25" s="35">
        <f>VLOOKUP(C25,Vehicle_Kilometres_Public_Transport[#All],MATCH(A25,Vehicle_Kilometres_Public_Transport[#Headers],0),FALSE)</f>
        <v>172452000</v>
      </c>
      <c r="F25" s="9">
        <f>VLOOKUP(C25,Occupancy_of_Public_Transport[#All],MATCH(A25,Occupancy_of_Public_Transport[#Headers],0),FALSE)</f>
        <v>5.1493242273339748</v>
      </c>
      <c r="G25" s="35">
        <f>VLOOKUP(C25,Passenger_Kilometres_Public_Transport[#All],MATCH(A25, Passenger_Kilometres_Public_Transport[#Headers],0),FALSE)</f>
        <v>888011261.65219867</v>
      </c>
      <c r="H25" s="89">
        <f>VLOOKUP(D25,Carbon_Intensity_Bus_Éireann[#All],MATCH(A25, Carbon_Intensity_Bus_Éireann[#Headers],0),FALSE)</f>
        <v>3.8815710440280604</v>
      </c>
      <c r="I25" s="35">
        <f t="shared" si="0"/>
        <v>3446878800</v>
      </c>
      <c r="J25" s="35">
        <f t="shared" si="1"/>
        <v>3.4468787999999998E-3</v>
      </c>
      <c r="K25" s="28">
        <f>VLOOKUP(D25,Energy_Intensity_by_fuel_type_Irish_Rail[#All],MATCH(A25, Energy_Intensity_by_fuel_type_Irish_Rail[#Headers],0),FALSE)*100</f>
        <v>2.7835326983047319</v>
      </c>
      <c r="L25" s="35">
        <f t="shared" si="5"/>
        <v>24718083.832717337</v>
      </c>
      <c r="M25" s="13">
        <f t="shared" si="3"/>
        <v>24718.083832717337</v>
      </c>
    </row>
    <row r="26" spans="1:13" x14ac:dyDescent="0.25">
      <c r="A26" s="89" t="s">
        <v>31</v>
      </c>
      <c r="B26" s="89" t="s">
        <v>427</v>
      </c>
      <c r="C26" s="175" t="s">
        <v>472</v>
      </c>
      <c r="D26" s="89" t="s">
        <v>71</v>
      </c>
      <c r="E26" s="35">
        <f>VLOOKUP(C26,Vehicle_Kilometres_Public_Transport[#All],MATCH(A26,Vehicle_Kilometres_Public_Transport[#Headers],0),FALSE)</f>
        <v>60086140</v>
      </c>
      <c r="F26" s="9">
        <f>VLOOKUP(C26,Occupancy_of_Public_Transport[#All],MATCH(A26,Occupancy_of_Public_Transport[#Headers],0),FALSE)</f>
        <v>20.801606473131102</v>
      </c>
      <c r="G26" s="35">
        <f>VLOOKUP(C26,Passenger_Kilometres_Public_Transport[#All],MATCH(A26, Passenger_Kilometres_Public_Transport[#Headers],0),FALSE)</f>
        <v>1249888238.7694616</v>
      </c>
      <c r="H26" s="89">
        <f>VLOOKUP(D26,Carbon_Intensity_Dublin_Bus[#All],MATCH(A26, Carbon_Intensity_Dublin_Bus[#Headers],0),FALSE)</f>
        <v>64.537342778275658</v>
      </c>
      <c r="I26" s="35">
        <f t="shared" si="0"/>
        <v>80664465700</v>
      </c>
      <c r="J26" s="35">
        <f t="shared" si="1"/>
        <v>8.0664465699999993E-2</v>
      </c>
      <c r="K26" s="28">
        <f>VLOOKUP(D26,Energy_Intensity_by_fuel_type_Irish_Rail[#All],MATCH(A26, Energy_Intensity_by_fuel_type_Irish_Rail[#Headers],0),FALSE)*100</f>
        <v>20.054282501786243</v>
      </c>
      <c r="L26" s="35">
        <f t="shared" si="5"/>
        <v>250656118.35942841</v>
      </c>
      <c r="M26" s="13">
        <f t="shared" si="3"/>
        <v>250656.11835942839</v>
      </c>
    </row>
    <row r="27" spans="1:13" x14ac:dyDescent="0.25">
      <c r="A27" s="89" t="s">
        <v>31</v>
      </c>
      <c r="B27" s="89" t="s">
        <v>427</v>
      </c>
      <c r="C27" s="175" t="s">
        <v>472</v>
      </c>
      <c r="D27" s="89" t="s">
        <v>72</v>
      </c>
      <c r="E27" s="35">
        <f>VLOOKUP(C27,Vehicle_Kilometres_Public_Transport[#All],MATCH(A27,Vehicle_Kilometres_Public_Transport[#Headers],0),FALSE)</f>
        <v>60086140</v>
      </c>
      <c r="F27" s="9">
        <f>VLOOKUP(C27,Occupancy_of_Public_Transport[#All],MATCH(A27,Occupancy_of_Public_Transport[#Headers],0),FALSE)</f>
        <v>20.801606473131102</v>
      </c>
      <c r="G27" s="35">
        <f>VLOOKUP(C27,Passenger_Kilometres_Public_Transport[#All],MATCH(A27, Passenger_Kilometres_Public_Transport[#Headers],0),FALSE)</f>
        <v>1249888238.7694616</v>
      </c>
      <c r="H27" s="89">
        <f>VLOOKUP(D27,Carbon_Intensity_Dublin_Bus[#All],MATCH(A27, Carbon_Intensity_Dublin_Bus[#Headers],0),FALSE)</f>
        <v>1.6127652357018492</v>
      </c>
      <c r="I27" s="35">
        <f t="shared" si="0"/>
        <v>2015776300</v>
      </c>
      <c r="J27" s="35">
        <f t="shared" si="1"/>
        <v>2.0157763E-3</v>
      </c>
      <c r="K27" s="28">
        <f>VLOOKUP(D27,Energy_Intensity_by_fuel_type_Irish_Rail[#All],MATCH(A27, Energy_Intensity_by_fuel_type_Irish_Rail[#Headers],0),FALSE)*100</f>
        <v>0.46249466371832465</v>
      </c>
      <c r="L27" s="35">
        <f t="shared" si="5"/>
        <v>5780666.4067517128</v>
      </c>
      <c r="M27" s="13">
        <f t="shared" si="3"/>
        <v>5780.6664067517131</v>
      </c>
    </row>
    <row r="28" spans="1:13" x14ac:dyDescent="0.25">
      <c r="A28" s="89" t="s">
        <v>31</v>
      </c>
      <c r="B28" s="89" t="s">
        <v>427</v>
      </c>
      <c r="C28" s="175" t="s">
        <v>472</v>
      </c>
      <c r="D28" s="89" t="s">
        <v>73</v>
      </c>
      <c r="E28" s="35">
        <f>VLOOKUP(C28,Vehicle_Kilometres_Public_Transport[#All],MATCH(A28,Vehicle_Kilometres_Public_Transport[#Headers],0),FALSE)</f>
        <v>60086140</v>
      </c>
      <c r="F28" s="9">
        <f>VLOOKUP(C28,Occupancy_of_Public_Transport[#All],MATCH(A28,Occupancy_of_Public_Transport[#Headers],0),FALSE)</f>
        <v>20.801606473131102</v>
      </c>
      <c r="G28" s="35">
        <f>VLOOKUP(C28,Passenger_Kilometres_Public_Transport[#All],MATCH(A28, Passenger_Kilometres_Public_Transport[#Headers],0),FALSE)</f>
        <v>1249888238.7694616</v>
      </c>
      <c r="H28" s="89">
        <f>VLOOKUP(D28,Carbon_Intensity_Dublin_Bus[#All],MATCH(A28, Carbon_Intensity_Dublin_Bus[#Headers],0),FALSE)</f>
        <v>2.7221438641183648</v>
      </c>
      <c r="I28" s="35">
        <f t="shared" si="0"/>
        <v>3402375599.9999995</v>
      </c>
      <c r="J28" s="35">
        <f t="shared" si="1"/>
        <v>3.4023755999999994E-3</v>
      </c>
      <c r="K28" s="28">
        <f>VLOOKUP(D28,Energy_Intensity_by_fuel_type_Irish_Rail[#All],MATCH(A28, Energy_Intensity_by_fuel_type_Irish_Rail[#Headers],0),FALSE)*100</f>
        <v>2.7835326983047319</v>
      </c>
      <c r="L28" s="35">
        <f t="shared" si="5"/>
        <v>34791047.818413086</v>
      </c>
      <c r="M28" s="13">
        <f t="shared" si="3"/>
        <v>34791.047818413084</v>
      </c>
    </row>
    <row r="29" spans="1:13" x14ac:dyDescent="0.25">
      <c r="A29" s="89" t="s">
        <v>31</v>
      </c>
      <c r="B29" s="89" t="s">
        <v>428</v>
      </c>
      <c r="C29" s="82" t="s">
        <v>413</v>
      </c>
      <c r="D29" s="89" t="s">
        <v>71</v>
      </c>
      <c r="E29" s="35">
        <f>VLOOKUP(D29,Total_vehicle_activity[#All],MATCH(A29,Total_vehicle_activity[#Headers],0),FALSE)</f>
        <v>12526350906</v>
      </c>
      <c r="F29" s="9">
        <f>Private_Vehicle_Occupancy_from_TIMES[]</f>
        <v>1.49</v>
      </c>
      <c r="G29" s="35">
        <f t="shared" ref="G29:G33" si="6">E29*F29</f>
        <v>18664262849.939999</v>
      </c>
      <c r="H29" s="89">
        <f>VLOOKUP(D29,Carbon_Intensity_private_vehicles_by_fuel_type_[#All],MATCH(A29, Carbon_Intensity_private_vehicles_by_fuel_type_[#Headers],0),FALSE)</f>
        <v>122.39199063795034</v>
      </c>
      <c r="I29" s="35">
        <f t="shared" si="0"/>
        <v>2284356283994.1006</v>
      </c>
      <c r="J29" s="35">
        <f t="shared" si="1"/>
        <v>2.2843562839941005</v>
      </c>
      <c r="K29" s="28">
        <f>VLOOKUP(D29,Energy_intensity_private_vehicles_kwh_per_pkm[#All],MATCH(A29,Energy_intensity_private_vehicles_kwh_per_pkm[#Headers],0),FALSE)*100</f>
        <v>46.378170003012634</v>
      </c>
      <c r="L29" s="35">
        <f t="shared" si="5"/>
        <v>8656143554.3543034</v>
      </c>
      <c r="M29" s="13">
        <f t="shared" si="3"/>
        <v>8656143.5543543026</v>
      </c>
    </row>
    <row r="30" spans="1:13" x14ac:dyDescent="0.25">
      <c r="A30" s="89" t="s">
        <v>31</v>
      </c>
      <c r="B30" s="89" t="s">
        <v>428</v>
      </c>
      <c r="C30" s="89" t="s">
        <v>414</v>
      </c>
      <c r="D30" s="89" t="s">
        <v>75</v>
      </c>
      <c r="E30" s="35">
        <f>VLOOKUP(D30,Total_vehicle_activity[#All],MATCH(A30,Total_vehicle_activity[#Headers],0),FALSE)</f>
        <v>18807795150</v>
      </c>
      <c r="F30" s="9">
        <f>Private_Vehicle_Occupancy_from_TIMES[]</f>
        <v>1.49</v>
      </c>
      <c r="G30" s="35">
        <f t="shared" si="6"/>
        <v>28023614773.5</v>
      </c>
      <c r="H30" s="89">
        <f>VLOOKUP(D30,Carbon_Intensity_private_vehicles_by_fuel_type_[#All],MATCH(A30, Carbon_Intensity_private_vehicles_by_fuel_type_[#Headers],0),FALSE)</f>
        <v>124.96902487063288</v>
      </c>
      <c r="I30" s="35">
        <f t="shared" si="0"/>
        <v>3502083811594.5566</v>
      </c>
      <c r="J30" s="35">
        <f t="shared" si="1"/>
        <v>3.5020838115945567</v>
      </c>
      <c r="K30" s="28">
        <f>VLOOKUP(D30,Energy_intensity_private_vehicles_kwh_per_pkm[#All],MATCH(A30,Energy_intensity_private_vehicles_kwh_per_pkm[#Headers],0),FALSE)*100</f>
        <v>49.610569619147626</v>
      </c>
      <c r="L30" s="35">
        <f t="shared" si="5"/>
        <v>13902674917.008957</v>
      </c>
      <c r="M30" s="13">
        <f t="shared" si="3"/>
        <v>13902674.917008957</v>
      </c>
    </row>
    <row r="31" spans="1:13" x14ac:dyDescent="0.25">
      <c r="A31" s="89" t="s">
        <v>31</v>
      </c>
      <c r="B31" s="89" t="s">
        <v>428</v>
      </c>
      <c r="C31" s="89" t="s">
        <v>415</v>
      </c>
      <c r="D31" s="89" t="s">
        <v>18</v>
      </c>
      <c r="E31" s="35">
        <f>VLOOKUP(D31,Total_vehicle_activity[#All],MATCH(A31,Total_vehicle_activity[#Headers],0),FALSE)</f>
        <v>101220024</v>
      </c>
      <c r="F31" s="9">
        <f>Private_Vehicle_Occupancy_from_TIMES[]</f>
        <v>1.49</v>
      </c>
      <c r="G31" s="35">
        <f t="shared" si="6"/>
        <v>150817835.75999999</v>
      </c>
      <c r="H31" s="89">
        <f>VLOOKUP(D31,Carbon_Intensity_private_vehicles_by_fuel_type_[#All],MATCH(A31, Carbon_Intensity_private_vehicles_by_fuel_type_[#Headers],0),FALSE)</f>
        <v>35.49510644710535</v>
      </c>
      <c r="I31" s="35">
        <f t="shared" si="0"/>
        <v>5353295134.4232512</v>
      </c>
      <c r="J31" s="35">
        <f t="shared" si="1"/>
        <v>5.3532951344232513E-3</v>
      </c>
      <c r="K31" s="28">
        <f>VLOOKUP(D31,Energy_intensity_private_vehicles_kwh_per_pkm[#All],MATCH(A31,Energy_intensity_private_vehicles_kwh_per_pkm[#Headers],0),FALSE)*100</f>
        <v>8.2871066386620882</v>
      </c>
      <c r="L31" s="35">
        <f t="shared" si="5"/>
        <v>12498434.879553445</v>
      </c>
      <c r="M31" s="13">
        <f t="shared" si="3"/>
        <v>12498.434879553444</v>
      </c>
    </row>
    <row r="32" spans="1:13" x14ac:dyDescent="0.25">
      <c r="A32" s="89" t="s">
        <v>31</v>
      </c>
      <c r="B32" s="89" t="s">
        <v>428</v>
      </c>
      <c r="C32" s="89" t="s">
        <v>416</v>
      </c>
      <c r="D32" s="89" t="s">
        <v>19</v>
      </c>
      <c r="E32" s="35">
        <f>VLOOKUP(D32,Total_vehicle_activity[#All],MATCH(A32,Total_vehicle_activity[#Headers],0),FALSE)</f>
        <v>0</v>
      </c>
      <c r="F32" s="9">
        <f>Private_Vehicle_Occupancy_from_TIMES[]</f>
        <v>1.49</v>
      </c>
      <c r="G32" s="35">
        <f t="shared" si="6"/>
        <v>0</v>
      </c>
      <c r="H32" s="89">
        <f>VLOOKUP(D32,Carbon_Intensity_private_vehicles_by_fuel_type_[#All],MATCH(A32, Carbon_Intensity_private_vehicles_by_fuel_type_[#Headers],0),FALSE)</f>
        <v>40.893284566123846</v>
      </c>
      <c r="I32" s="35">
        <f t="shared" si="0"/>
        <v>0</v>
      </c>
      <c r="J32" s="35">
        <f t="shared" si="1"/>
        <v>0</v>
      </c>
      <c r="K32" s="28">
        <f>VLOOKUP(D32,Energy_intensity_private_vehicles_kwh_per_pkm[#All],MATCH(A32,Energy_intensity_private_vehicles_kwh_per_pkm[#Headers],0),FALSE)*100</f>
        <v>8.6870070274787903</v>
      </c>
      <c r="L32" s="35">
        <f t="shared" si="5"/>
        <v>0</v>
      </c>
      <c r="M32" s="13">
        <f t="shared" si="3"/>
        <v>0</v>
      </c>
    </row>
    <row r="33" spans="1:13" x14ac:dyDescent="0.25">
      <c r="A33" s="89" t="s">
        <v>31</v>
      </c>
      <c r="B33" s="89" t="s">
        <v>428</v>
      </c>
      <c r="C33" s="89" t="s">
        <v>417</v>
      </c>
      <c r="D33" s="89" t="s">
        <v>352</v>
      </c>
      <c r="E33" s="35">
        <f>VLOOKUP(D33,Total_vehicle_activity[#All],MATCH(A33,Total_vehicle_activity[#Headers],0),FALSE)</f>
        <v>1370622</v>
      </c>
      <c r="F33" s="9">
        <f>Private_Vehicle_Occupancy_from_TIMES[]</f>
        <v>1.49</v>
      </c>
      <c r="G33" s="35">
        <f t="shared" si="6"/>
        <v>2042226.78</v>
      </c>
      <c r="H33" s="89">
        <f>VLOOKUP(D33,Carbon_Intensity_private_vehicles_by_fuel_type_[#All],MATCH(A33, Carbon_Intensity_private_vehicles_by_fuel_type_[#Headers],0),FALSE)</f>
        <v>54.046711409395968</v>
      </c>
      <c r="I33" s="35">
        <f t="shared" si="0"/>
        <v>110375641.41119999</v>
      </c>
      <c r="J33" s="35">
        <f t="shared" si="1"/>
        <v>1.1037564141119999E-4</v>
      </c>
      <c r="K33" s="28">
        <f>VLOOKUP(D33,Energy_intensity_private_vehicles_kwh_per_pkm[#All],MATCH(A33,Energy_intensity_private_vehicles_kwh_per_pkm[#Headers],0),FALSE)*100</f>
        <v>10.201342281879194</v>
      </c>
      <c r="L33" s="35">
        <f t="shared" si="5"/>
        <v>208334.54399999999</v>
      </c>
      <c r="M33" s="13">
        <f t="shared" si="3"/>
        <v>208.33454399999999</v>
      </c>
    </row>
    <row r="34" spans="1:13" x14ac:dyDescent="0.25">
      <c r="A34" s="89" t="s">
        <v>32</v>
      </c>
      <c r="B34" s="89" t="s">
        <v>427</v>
      </c>
      <c r="C34" s="175" t="s">
        <v>474</v>
      </c>
      <c r="D34" s="89" t="s">
        <v>71</v>
      </c>
      <c r="E34" s="35">
        <f>VLOOKUP(C34,Vehicle_Kilometres_Public_Transport[#All],MATCH(A34,Vehicle_Kilometres_Public_Transport[#Headers],0),FALSE)</f>
        <v>15960000</v>
      </c>
      <c r="F34" s="9">
        <f>VLOOKUP(C34,Occupancy_of_Public_Transport[#All],MATCH(A34,Occupancy_of_Public_Transport[#Headers],0),FALSE)</f>
        <v>144.83799309799255</v>
      </c>
      <c r="G34" s="35">
        <f>VLOOKUP(C34,Passenger_Kilometres_Public_Transport[#All],MATCH(A34, Passenger_Kilometres_Public_Transport[#Headers],0),FALSE)</f>
        <v>2311614369.8439612</v>
      </c>
      <c r="H34" s="89">
        <f>VLOOKUP(D34,Carbon_Intensity_Irish_Rail[#All],MATCH(A34, Carbon_Intensity_Irish_Rail[#Headers],0),FALSE)</f>
        <v>51.989666428709903</v>
      </c>
      <c r="I34" s="35">
        <f t="shared" si="0"/>
        <v>120180059999.99998</v>
      </c>
      <c r="J34" s="35">
        <f t="shared" si="1"/>
        <v>0.12018005999999999</v>
      </c>
      <c r="K34" s="28">
        <f>VLOOKUP(D34,Energy_Intensity_by_fuel_type_Irish_Rail[#All],MATCH(A34, Energy_Intensity_by_fuel_type_Irish_Rail[#Headers],0),FALSE)*100</f>
        <v>19.700517782762375</v>
      </c>
      <c r="L34" s="35">
        <f t="shared" si="5"/>
        <v>455400000</v>
      </c>
      <c r="M34" s="13">
        <f t="shared" si="3"/>
        <v>455400</v>
      </c>
    </row>
    <row r="35" spans="1:13" x14ac:dyDescent="0.25">
      <c r="A35" s="89" t="s">
        <v>32</v>
      </c>
      <c r="B35" s="89" t="s">
        <v>427</v>
      </c>
      <c r="C35" s="175" t="s">
        <v>474</v>
      </c>
      <c r="D35" s="89" t="s">
        <v>72</v>
      </c>
      <c r="E35" s="35">
        <f>VLOOKUP(C35,Vehicle_Kilometres_Public_Transport[#All],MATCH(A35,Vehicle_Kilometres_Public_Transport[#Headers],0),FALSE)</f>
        <v>15960000</v>
      </c>
      <c r="F35" s="9">
        <f>VLOOKUP(C35,Occupancy_of_Public_Transport[#All],MATCH(A35,Occupancy_of_Public_Transport[#Headers],0),FALSE)</f>
        <v>144.83799309799255</v>
      </c>
      <c r="G35" s="35">
        <f>VLOOKUP(C35,Passenger_Kilometres_Public_Transport[#All],MATCH(A35, Passenger_Kilometres_Public_Transport[#Headers],0),FALSE)</f>
        <v>2311614369.8439612</v>
      </c>
      <c r="H35" s="89">
        <f>VLOOKUP(D35,Carbon_Intensity_Irish_Rail[#All],MATCH(A35, Carbon_Intensity_Irish_Rail[#Headers],0),FALSE)</f>
        <v>1.0018669334350652</v>
      </c>
      <c r="I35" s="35">
        <f t="shared" si="0"/>
        <v>2315930000</v>
      </c>
      <c r="J35" s="35">
        <f t="shared" si="1"/>
        <v>2.3159299999999999E-3</v>
      </c>
      <c r="K35" s="28">
        <f>VLOOKUP(D35,Energy_Intensity_by_fuel_type_Irish_Rail[#All],MATCH(A35, Energy_Intensity_by_fuel_type_Irish_Rail[#Headers],0),FALSE)*100</f>
        <v>0.43692408784782605</v>
      </c>
      <c r="L35" s="35">
        <f t="shared" si="5"/>
        <v>10100000</v>
      </c>
      <c r="M35" s="13">
        <f t="shared" si="3"/>
        <v>10100</v>
      </c>
    </row>
    <row r="36" spans="1:13" x14ac:dyDescent="0.25">
      <c r="A36" s="89" t="s">
        <v>32</v>
      </c>
      <c r="B36" s="89" t="s">
        <v>427</v>
      </c>
      <c r="C36" s="175" t="s">
        <v>474</v>
      </c>
      <c r="D36" s="89" t="s">
        <v>73</v>
      </c>
      <c r="E36" s="35">
        <f>VLOOKUP(C36,Vehicle_Kilometres_Public_Transport[#All],MATCH(A36,Vehicle_Kilometres_Public_Transport[#Headers],0),FALSE)</f>
        <v>15960000</v>
      </c>
      <c r="F36" s="9">
        <f>VLOOKUP(C36,Occupancy_of_Public_Transport[#All],MATCH(A36,Occupancy_of_Public_Transport[#Headers],0),FALSE)</f>
        <v>144.83799309799255</v>
      </c>
      <c r="G36" s="35">
        <f>VLOOKUP(C36,Passenger_Kilometres_Public_Transport[#All],MATCH(A36, Passenger_Kilometres_Public_Transport[#Headers],0),FALSE)</f>
        <v>2311614369.8439612</v>
      </c>
      <c r="H36" s="89">
        <f>VLOOKUP(D36,Carbon_Intensity_Irish_Rail[#All],MATCH(A36, Carbon_Intensity_Irish_Rail[#Headers],0),FALSE)</f>
        <v>12.96743106940602</v>
      </c>
      <c r="I36" s="35">
        <f t="shared" si="0"/>
        <v>29975700000</v>
      </c>
      <c r="J36" s="35">
        <f t="shared" si="1"/>
        <v>2.9975700000000001E-2</v>
      </c>
      <c r="K36" s="28">
        <f>VLOOKUP(D36,Energy_Intensity_by_fuel_type_Irish_Rail[#All],MATCH(A36, Energy_Intensity_by_fuel_type_Irish_Rail[#Headers],0),FALSE)*100</f>
        <v>2.6518263945615583</v>
      </c>
      <c r="L36" s="35">
        <f t="shared" si="5"/>
        <v>61300000</v>
      </c>
      <c r="M36" s="13">
        <f t="shared" si="3"/>
        <v>61300</v>
      </c>
    </row>
    <row r="37" spans="1:13" x14ac:dyDescent="0.25">
      <c r="A37" s="89" t="s">
        <v>32</v>
      </c>
      <c r="B37" s="89" t="s">
        <v>427</v>
      </c>
      <c r="C37" s="175" t="s">
        <v>475</v>
      </c>
      <c r="D37" s="89" t="s">
        <v>73</v>
      </c>
      <c r="E37" s="35">
        <f>VLOOKUP(C37,Vehicle_Kilometres_Public_Transport[#All],MATCH(A37,Vehicle_Kilometres_Public_Transport[#Headers],0),FALSE)</f>
        <v>3840000</v>
      </c>
      <c r="F37" s="9">
        <f>VLOOKUP(C37,Occupancy_of_Public_Transport[#All],MATCH(A37,Occupancy_of_Public_Transport[#Headers],0),FALSE)</f>
        <v>115.58655301124502</v>
      </c>
      <c r="G37" s="35">
        <f>VLOOKUP(C37,Passenger_Kilometres_Public_Transport[#All],MATCH(A37, Passenger_Kilometres_Public_Transport[#Headers],0),FALSE)</f>
        <v>443852363.56318086</v>
      </c>
      <c r="H37" s="89">
        <f>VLOOKUP(D37,Carbon_Intensity_Luas[#All],MATCH(A37, Carbon_Intensity_Luas[#Headers],0),FALSE)</f>
        <v>24.237789146004257</v>
      </c>
      <c r="I37" s="35">
        <f t="shared" si="0"/>
        <v>10758000000</v>
      </c>
      <c r="J37" s="35">
        <f t="shared" si="1"/>
        <v>1.0758E-2</v>
      </c>
      <c r="K37" s="28">
        <f>VLOOKUP(D37,Energy_Intensity_by_fuel_type_Irish_Rail[#All],MATCH(A37, Energy_Intensity_by_fuel_type_Irish_Rail[#Headers],0),FALSE)*100</f>
        <v>2.6518263945615583</v>
      </c>
      <c r="L37" s="35">
        <f t="shared" si="5"/>
        <v>11770194.129853759</v>
      </c>
      <c r="M37" s="13">
        <f t="shared" si="3"/>
        <v>11770.194129853759</v>
      </c>
    </row>
    <row r="38" spans="1:13" x14ac:dyDescent="0.25">
      <c r="A38" s="89" t="s">
        <v>32</v>
      </c>
      <c r="B38" s="89" t="s">
        <v>427</v>
      </c>
      <c r="C38" s="175" t="s">
        <v>473</v>
      </c>
      <c r="D38" s="89" t="s">
        <v>71</v>
      </c>
      <c r="E38" s="35">
        <f>VLOOKUP(C38,Vehicle_Kilometres_Public_Transport[#All],MATCH(A38,Vehicle_Kilometres_Public_Transport[#Headers],0),FALSE)</f>
        <v>172452000</v>
      </c>
      <c r="F38" s="9">
        <f>VLOOKUP(C38,Occupancy_of_Public_Transport[#All],MATCH(A38,Occupancy_of_Public_Transport[#Headers],0),FALSE)</f>
        <v>5.3520304264211696</v>
      </c>
      <c r="G38" s="35">
        <f>VLOOKUP(C38,Passenger_Kilometres_Public_Transport[#All],MATCH(A38, Passenger_Kilometres_Public_Transport[#Headers],0),FALSE)</f>
        <v>922968351.09718359</v>
      </c>
      <c r="H38" s="89">
        <f>VLOOKUP(D38,Carbon_Intensity_Bus_Éireann[#All],MATCH(A38, Carbon_Intensity_Bus_Éireann[#Headers],0),FALSE)</f>
        <v>83.424423934437286</v>
      </c>
      <c r="I38" s="35">
        <f t="shared" si="0"/>
        <v>76998103000</v>
      </c>
      <c r="J38" s="35">
        <f t="shared" si="1"/>
        <v>7.6998102999999998E-2</v>
      </c>
      <c r="K38" s="28">
        <f>VLOOKUP(D38,Energy_Intensity_by_fuel_type_Irish_Rail[#All],MATCH(A38, Energy_Intensity_by_fuel_type_Irish_Rail[#Headers],0),FALSE)*100</f>
        <v>19.700517782762375</v>
      </c>
      <c r="L38" s="35">
        <f t="shared" si="5"/>
        <v>181829544.13716933</v>
      </c>
      <c r="M38" s="13">
        <f t="shared" si="3"/>
        <v>181829.54413716935</v>
      </c>
    </row>
    <row r="39" spans="1:13" x14ac:dyDescent="0.25">
      <c r="A39" s="89" t="s">
        <v>32</v>
      </c>
      <c r="B39" s="89" t="s">
        <v>427</v>
      </c>
      <c r="C39" s="175" t="s">
        <v>473</v>
      </c>
      <c r="D39" s="89" t="s">
        <v>72</v>
      </c>
      <c r="E39" s="35">
        <f>VLOOKUP(C39,Vehicle_Kilometres_Public_Transport[#All],MATCH(A39,Vehicle_Kilometres_Public_Transport[#Headers],0),FALSE)</f>
        <v>172452000</v>
      </c>
      <c r="F39" s="9">
        <f>VLOOKUP(C39,Occupancy_of_Public_Transport[#All],MATCH(A39,Occupancy_of_Public_Transport[#Headers],0),FALSE)</f>
        <v>5.3520304264211696</v>
      </c>
      <c r="G39" s="35">
        <f>VLOOKUP(C39,Passenger_Kilometres_Public_Transport[#All],MATCH(A39, Passenger_Kilometres_Public_Transport[#Headers],0),FALSE)</f>
        <v>922968351.09718359</v>
      </c>
      <c r="H39" s="89">
        <f>VLOOKUP(D39,Carbon_Intensity_Bus_Éireann[#All],MATCH(A39, Carbon_Intensity_Bus_Éireann[#Headers],0),FALSE)</f>
        <v>1.0046814702775888</v>
      </c>
      <c r="I39" s="35">
        <f t="shared" si="0"/>
        <v>927289200.00000024</v>
      </c>
      <c r="J39" s="35">
        <f t="shared" si="1"/>
        <v>9.2728920000000026E-4</v>
      </c>
      <c r="K39" s="28">
        <f>VLOOKUP(D39,Energy_Intensity_by_fuel_type_Irish_Rail[#All],MATCH(A39, Energy_Intensity_by_fuel_type_Irish_Rail[#Headers],0),FALSE)*100</f>
        <v>0.43692408784782605</v>
      </c>
      <c r="L39" s="35">
        <f t="shared" si="5"/>
        <v>4032671.04915549</v>
      </c>
      <c r="M39" s="13">
        <f t="shared" si="3"/>
        <v>4032.67104915549</v>
      </c>
    </row>
    <row r="40" spans="1:13" x14ac:dyDescent="0.25">
      <c r="A40" s="89" t="s">
        <v>32</v>
      </c>
      <c r="B40" s="89" t="s">
        <v>427</v>
      </c>
      <c r="C40" s="175" t="s">
        <v>473</v>
      </c>
      <c r="D40" s="89" t="s">
        <v>73</v>
      </c>
      <c r="E40" s="35">
        <f>VLOOKUP(C40,Vehicle_Kilometres_Public_Transport[#All],MATCH(A40,Vehicle_Kilometres_Public_Transport[#Headers],0),FALSE)</f>
        <v>172452000</v>
      </c>
      <c r="F40" s="9">
        <f>VLOOKUP(C40,Occupancy_of_Public_Transport[#All],MATCH(A40,Occupancy_of_Public_Transport[#Headers],0),FALSE)</f>
        <v>5.3520304264211696</v>
      </c>
      <c r="G40" s="35">
        <f>VLOOKUP(C40,Passenger_Kilometres_Public_Transport[#All],MATCH(A40, Passenger_Kilometres_Public_Transport[#Headers],0),FALSE)</f>
        <v>922968351.09718359</v>
      </c>
      <c r="H40" s="89">
        <f>VLOOKUP(D40,Carbon_Intensity_Bus_Éireann[#All],MATCH(A40, Carbon_Intensity_Bus_Éireann[#Headers],0),FALSE)</f>
        <v>3.0686729362205134</v>
      </c>
      <c r="I40" s="35">
        <f t="shared" si="0"/>
        <v>2832288000</v>
      </c>
      <c r="J40" s="35">
        <f t="shared" si="1"/>
        <v>2.8322880000000001E-3</v>
      </c>
      <c r="K40" s="28">
        <f>VLOOKUP(D40,Energy_Intensity_by_fuel_type_Irish_Rail[#All],MATCH(A40, Energy_Intensity_by_fuel_type_Irish_Rail[#Headers],0),FALSE)*100</f>
        <v>2.6518263945615583</v>
      </c>
      <c r="L40" s="35">
        <f t="shared" si="5"/>
        <v>24475518.347844709</v>
      </c>
      <c r="M40" s="13">
        <f t="shared" si="3"/>
        <v>24475.518347844707</v>
      </c>
    </row>
    <row r="41" spans="1:13" x14ac:dyDescent="0.25">
      <c r="A41" s="89" t="s">
        <v>32</v>
      </c>
      <c r="B41" s="89" t="s">
        <v>427</v>
      </c>
      <c r="C41" s="175" t="s">
        <v>472</v>
      </c>
      <c r="D41" s="89" t="s">
        <v>71</v>
      </c>
      <c r="E41" s="35">
        <f>VLOOKUP(C41,Vehicle_Kilometres_Public_Transport[#All],MATCH(A41,Vehicle_Kilometres_Public_Transport[#Headers],0),FALSE)</f>
        <v>57372160</v>
      </c>
      <c r="F41" s="9">
        <f>VLOOKUP(C41,Occupancy_of_Public_Transport[#All],MATCH(A41,Occupancy_of_Public_Transport[#Headers],0),FALSE)</f>
        <v>21.176318781173251</v>
      </c>
      <c r="G41" s="35">
        <f>VLOOKUP(C41,Passenger_Kilometres_Public_Transport[#All],MATCH(A41, Passenger_Kilometres_Public_Transport[#Headers],0),FALSE)</f>
        <v>1214931149.3244767</v>
      </c>
      <c r="H41" s="89">
        <f>VLOOKUP(D41,Carbon_Intensity_Dublin_Bus[#All],MATCH(A41, Carbon_Intensity_Dublin_Bus[#Headers],0),FALSE)</f>
        <v>61.855366324079135</v>
      </c>
      <c r="I41" s="35">
        <f t="shared" si="0"/>
        <v>75150011300</v>
      </c>
      <c r="J41" s="35">
        <f t="shared" si="1"/>
        <v>7.51500113E-2</v>
      </c>
      <c r="K41" s="28">
        <f>VLOOKUP(D41,Energy_Intensity_by_fuel_type_Irish_Rail[#All],MATCH(A41, Energy_Intensity_by_fuel_type_Irish_Rail[#Headers],0),FALSE)*100</f>
        <v>19.700517782762375</v>
      </c>
      <c r="L41" s="35">
        <f t="shared" si="5"/>
        <v>239347727.12098786</v>
      </c>
      <c r="M41" s="13">
        <f t="shared" si="3"/>
        <v>239347.72712098787</v>
      </c>
    </row>
    <row r="42" spans="1:13" x14ac:dyDescent="0.25">
      <c r="A42" s="89" t="s">
        <v>32</v>
      </c>
      <c r="B42" s="89" t="s">
        <v>427</v>
      </c>
      <c r="C42" s="175" t="s">
        <v>472</v>
      </c>
      <c r="D42" s="89" t="s">
        <v>72</v>
      </c>
      <c r="E42" s="35">
        <f>VLOOKUP(C42,Vehicle_Kilometres_Public_Transport[#All],MATCH(A42,Vehicle_Kilometres_Public_Transport[#Headers],0),FALSE)</f>
        <v>57372160</v>
      </c>
      <c r="F42" s="9">
        <f>VLOOKUP(C42,Occupancy_of_Public_Transport[#All],MATCH(A42,Occupancy_of_Public_Transport[#Headers],0),FALSE)</f>
        <v>21.176318781173251</v>
      </c>
      <c r="G42" s="35">
        <f>VLOOKUP(C42,Passenger_Kilometres_Public_Transport[#All],MATCH(A42, Passenger_Kilometres_Public_Transport[#Headers],0),FALSE)</f>
        <v>1214931149.3244767</v>
      </c>
      <c r="H42" s="89">
        <f>VLOOKUP(D42,Carbon_Intensity_Dublin_Bus[#All],MATCH(A42, Carbon_Intensity_Dublin_Bus[#Headers],0),FALSE)</f>
        <v>1.6797412768079116</v>
      </c>
      <c r="I42" s="35">
        <f t="shared" si="0"/>
        <v>2040770000</v>
      </c>
      <c r="J42" s="35">
        <f t="shared" si="1"/>
        <v>2.0407699999999999E-3</v>
      </c>
      <c r="K42" s="28">
        <f>VLOOKUP(D42,Energy_Intensity_by_fuel_type_Irish_Rail[#All],MATCH(A42, Energy_Intensity_by_fuel_type_Irish_Rail[#Headers],0),FALSE)*100</f>
        <v>0.43692408784782605</v>
      </c>
      <c r="L42" s="35">
        <f t="shared" si="5"/>
        <v>5308326.842165079</v>
      </c>
      <c r="M42" s="13">
        <f t="shared" si="3"/>
        <v>5308.3268421650791</v>
      </c>
    </row>
    <row r="43" spans="1:13" x14ac:dyDescent="0.25">
      <c r="A43" s="89" t="s">
        <v>32</v>
      </c>
      <c r="B43" s="89" t="s">
        <v>427</v>
      </c>
      <c r="C43" s="175" t="s">
        <v>472</v>
      </c>
      <c r="D43" s="89" t="s">
        <v>73</v>
      </c>
      <c r="E43" s="35">
        <f>VLOOKUP(C43,Vehicle_Kilometres_Public_Transport[#All],MATCH(A43,Vehicle_Kilometres_Public_Transport[#Headers],0),FALSE)</f>
        <v>57372160</v>
      </c>
      <c r="F43" s="9">
        <f>VLOOKUP(C43,Occupancy_of_Public_Transport[#All],MATCH(A43,Occupancy_of_Public_Transport[#Headers],0),FALSE)</f>
        <v>21.176318781173251</v>
      </c>
      <c r="G43" s="35">
        <f>VLOOKUP(C43,Passenger_Kilometres_Public_Transport[#All],MATCH(A43, Passenger_Kilometres_Public_Transport[#Headers],0),FALSE)</f>
        <v>1214931149.3244767</v>
      </c>
      <c r="H43" s="89">
        <f>VLOOKUP(D43,Carbon_Intensity_Dublin_Bus[#All],MATCH(A43, Carbon_Intensity_Dublin_Bus[#Headers],0),FALSE)</f>
        <v>2.3288183874231647</v>
      </c>
      <c r="I43" s="35">
        <f t="shared" si="0"/>
        <v>2829354000</v>
      </c>
      <c r="J43" s="35">
        <f t="shared" si="1"/>
        <v>2.8293540000000001E-3</v>
      </c>
      <c r="K43" s="28">
        <f>VLOOKUP(D43,Energy_Intensity_by_fuel_type_Irish_Rail[#All],MATCH(A43, Energy_Intensity_by_fuel_type_Irish_Rail[#Headers],0),FALSE)*100</f>
        <v>2.6518263945615583</v>
      </c>
      <c r="L43" s="35">
        <f t="shared" si="5"/>
        <v>32217864.893536571</v>
      </c>
      <c r="M43" s="13">
        <f t="shared" si="3"/>
        <v>32217.864893536571</v>
      </c>
    </row>
    <row r="44" spans="1:13" x14ac:dyDescent="0.25">
      <c r="A44" s="89" t="s">
        <v>32</v>
      </c>
      <c r="B44" s="89" t="s">
        <v>428</v>
      </c>
      <c r="C44" s="82" t="s">
        <v>413</v>
      </c>
      <c r="D44" s="89" t="s">
        <v>71</v>
      </c>
      <c r="E44" s="35">
        <f>VLOOKUP(D44,Total_vehicle_activity[#All],MATCH(A44,Total_vehicle_activity[#Headers],0),FALSE)</f>
        <v>13541022168</v>
      </c>
      <c r="F44" s="9">
        <f>Private_Vehicle_Occupancy_from_TIMES[]</f>
        <v>1.49</v>
      </c>
      <c r="G44" s="35">
        <f t="shared" ref="G44:G48" si="7">E44*F44</f>
        <v>20176123030.32</v>
      </c>
      <c r="H44" s="89">
        <f>VLOOKUP(D44,Carbon_Intensity_private_vehicles_by_fuel_type_[#All],MATCH(A44, Carbon_Intensity_private_vehicles_by_fuel_type_[#Headers],0),FALSE)</f>
        <v>122.69272369370873</v>
      </c>
      <c r="I44" s="35">
        <f t="shared" si="0"/>
        <v>2475463488169.3252</v>
      </c>
      <c r="J44" s="35">
        <f t="shared" si="1"/>
        <v>2.4754634881693254</v>
      </c>
      <c r="K44" s="28">
        <f>VLOOKUP(D44,Energy_intensity_private_vehicles_kwh_per_pkm[#All],MATCH(A44,Energy_intensity_private_vehicles_kwh_per_pkm[#Headers],0),FALSE)*100</f>
        <v>46.492127204891524</v>
      </c>
      <c r="L44" s="35">
        <f t="shared" si="5"/>
        <v>9380308784.2717876</v>
      </c>
      <c r="M44" s="13">
        <f t="shared" si="3"/>
        <v>9380308.7842717879</v>
      </c>
    </row>
    <row r="45" spans="1:13" x14ac:dyDescent="0.25">
      <c r="A45" s="89" t="s">
        <v>32</v>
      </c>
      <c r="B45" s="89" t="s">
        <v>428</v>
      </c>
      <c r="C45" s="89" t="s">
        <v>414</v>
      </c>
      <c r="D45" s="89" t="s">
        <v>75</v>
      </c>
      <c r="E45" s="35">
        <f>VLOOKUP(D45,Total_vehicle_activity[#All],MATCH(A45,Total_vehicle_activity[#Headers],0),FALSE)</f>
        <v>15857327208</v>
      </c>
      <c r="F45" s="9">
        <f>Private_Vehicle_Occupancy_from_TIMES[]</f>
        <v>1.49</v>
      </c>
      <c r="G45" s="35">
        <f t="shared" si="7"/>
        <v>23627417539.919998</v>
      </c>
      <c r="H45" s="89">
        <f>VLOOKUP(D45,Carbon_Intensity_private_vehicles_by_fuel_type_[#All],MATCH(A45, Carbon_Intensity_private_vehicles_by_fuel_type_[#Headers],0),FALSE)</f>
        <v>124.8128556115047</v>
      </c>
      <c r="I45" s="35">
        <f t="shared" si="0"/>
        <v>2949005453882.7686</v>
      </c>
      <c r="J45" s="35">
        <f t="shared" si="1"/>
        <v>2.9490054538827684</v>
      </c>
      <c r="K45" s="28">
        <f>VLOOKUP(D45,Energy_intensity_private_vehicles_kwh_per_pkm[#All],MATCH(A45,Energy_intensity_private_vehicles_kwh_per_pkm[#Headers],0),FALSE)*100</f>
        <v>49.548573089124531</v>
      </c>
      <c r="L45" s="35">
        <f t="shared" si="5"/>
        <v>11707048248.83989</v>
      </c>
      <c r="M45" s="13">
        <f t="shared" si="3"/>
        <v>11707048.248839889</v>
      </c>
    </row>
    <row r="46" spans="1:13" x14ac:dyDescent="0.25">
      <c r="A46" s="89" t="s">
        <v>32</v>
      </c>
      <c r="B46" s="89" t="s">
        <v>428</v>
      </c>
      <c r="C46" s="89" t="s">
        <v>415</v>
      </c>
      <c r="D46" s="89" t="s">
        <v>18</v>
      </c>
      <c r="E46" s="35">
        <f>VLOOKUP(D46,Total_vehicle_activity[#All],MATCH(A46,Total_vehicle_activity[#Headers],0),FALSE)</f>
        <v>132652109</v>
      </c>
      <c r="F46" s="9">
        <f>Private_Vehicle_Occupancy_from_TIMES[]</f>
        <v>1.49</v>
      </c>
      <c r="G46" s="35">
        <f t="shared" si="7"/>
        <v>197651642.41</v>
      </c>
      <c r="H46" s="89">
        <f>VLOOKUP(D46,Carbon_Intensity_private_vehicles_by_fuel_type_[#All],MATCH(A46, Carbon_Intensity_private_vehicles_by_fuel_type_[#Headers],0),FALSE)</f>
        <v>33.832675268658178</v>
      </c>
      <c r="I46" s="35">
        <f t="shared" si="0"/>
        <v>6687083833.9744768</v>
      </c>
      <c r="J46" s="35">
        <f t="shared" si="1"/>
        <v>6.6870838339744771E-3</v>
      </c>
      <c r="K46" s="28">
        <f>VLOOKUP(D46,Energy_intensity_private_vehicles_kwh_per_pkm[#All],MATCH(A46,Energy_intensity_private_vehicles_kwh_per_pkm[#Headers],0),FALSE)*100</f>
        <v>8.2215858561603525</v>
      </c>
      <c r="L46" s="35">
        <f t="shared" si="5"/>
        <v>16250099.476849196</v>
      </c>
      <c r="M46" s="13">
        <f t="shared" si="3"/>
        <v>16250.099476849196</v>
      </c>
    </row>
    <row r="47" spans="1:13" x14ac:dyDescent="0.25">
      <c r="A47" s="89" t="s">
        <v>32</v>
      </c>
      <c r="B47" s="89" t="s">
        <v>428</v>
      </c>
      <c r="C47" s="89" t="s">
        <v>416</v>
      </c>
      <c r="D47" s="89" t="s">
        <v>19</v>
      </c>
      <c r="E47" s="35">
        <f>VLOOKUP(D47,Total_vehicle_activity[#All],MATCH(A47,Total_vehicle_activity[#Headers],0),FALSE)</f>
        <v>0</v>
      </c>
      <c r="F47" s="9">
        <f>Private_Vehicle_Occupancy_from_TIMES[]</f>
        <v>1.49</v>
      </c>
      <c r="G47" s="35">
        <f t="shared" si="7"/>
        <v>0</v>
      </c>
      <c r="H47" s="89">
        <f>VLOOKUP(D47,Carbon_Intensity_private_vehicles_by_fuel_type_[#All],MATCH(A47, Carbon_Intensity_private_vehicles_by_fuel_type_[#Headers],0),FALSE)</f>
        <v>38.5314400990476</v>
      </c>
      <c r="I47" s="35">
        <f t="shared" si="0"/>
        <v>0</v>
      </c>
      <c r="J47" s="35">
        <f t="shared" si="1"/>
        <v>0</v>
      </c>
      <c r="K47" s="28">
        <f>VLOOKUP(D47,Energy_intensity_private_vehicles_kwh_per_pkm[#All],MATCH(A47,Energy_intensity_private_vehicles_kwh_per_pkm[#Headers],0),FALSE)*100</f>
        <v>8.6870070274787903</v>
      </c>
      <c r="L47" s="35">
        <f t="shared" si="5"/>
        <v>0</v>
      </c>
      <c r="M47" s="13">
        <f t="shared" si="3"/>
        <v>0</v>
      </c>
    </row>
    <row r="48" spans="1:13" x14ac:dyDescent="0.25">
      <c r="A48" s="89" t="s">
        <v>32</v>
      </c>
      <c r="B48" s="89" t="s">
        <v>428</v>
      </c>
      <c r="C48" s="89" t="s">
        <v>417</v>
      </c>
      <c r="D48" s="89" t="s">
        <v>352</v>
      </c>
      <c r="E48" s="35">
        <f>VLOOKUP(D48,Total_vehicle_activity[#All],MATCH(A48,Total_vehicle_activity[#Headers],0),FALSE)</f>
        <v>4054688</v>
      </c>
      <c r="F48" s="9">
        <f>Private_Vehicle_Occupancy_from_TIMES[]</f>
        <v>1.49</v>
      </c>
      <c r="G48" s="35">
        <f t="shared" si="7"/>
        <v>6041485.1200000001</v>
      </c>
      <c r="H48" s="89">
        <f>VLOOKUP(D48,Carbon_Intensity_private_vehicles_by_fuel_type_[#All],MATCH(A48, Carbon_Intensity_private_vehicles_by_fuel_type_[#Headers],0),FALSE)</f>
        <v>49.884563758389262</v>
      </c>
      <c r="I48" s="35">
        <f t="shared" si="0"/>
        <v>301376849.66400003</v>
      </c>
      <c r="J48" s="35">
        <f t="shared" si="1"/>
        <v>3.0137684966400003E-4</v>
      </c>
      <c r="K48" s="28">
        <f>VLOOKUP(D48,Energy_intensity_private_vehicles_kwh_per_pkm[#All],MATCH(A48,Energy_intensity_private_vehicles_kwh_per_pkm[#Headers],0),FALSE)*100</f>
        <v>10.201342281879194</v>
      </c>
      <c r="L48" s="35">
        <f t="shared" si="5"/>
        <v>616312.576</v>
      </c>
      <c r="M48" s="13">
        <f t="shared" si="3"/>
        <v>616.31257600000004</v>
      </c>
    </row>
    <row r="49" spans="1:13" x14ac:dyDescent="0.25">
      <c r="A49" s="89" t="s">
        <v>33</v>
      </c>
      <c r="B49" s="89" t="s">
        <v>427</v>
      </c>
      <c r="C49" s="175" t="s">
        <v>474</v>
      </c>
      <c r="D49" s="89" t="s">
        <v>71</v>
      </c>
      <c r="E49" s="35">
        <f>VLOOKUP(C49,Vehicle_Kilometres_Public_Transport[#All],MATCH(A49,Vehicle_Kilometres_Public_Transport[#Headers],0),FALSE)</f>
        <v>15970000</v>
      </c>
      <c r="F49" s="9">
        <f>VLOOKUP(C49,Occupancy_of_Public_Transport[#All],MATCH(A49,Occupancy_of_Public_Transport[#Headers],0),FALSE)</f>
        <v>145.71693222096798</v>
      </c>
      <c r="G49" s="35">
        <f>VLOOKUP(C49,Passenger_Kilometres_Public_Transport[#All],MATCH(A49, Passenger_Kilometres_Public_Transport[#Headers],0),FALSE)</f>
        <v>2327099407.5688586</v>
      </c>
      <c r="H49" s="89">
        <f>VLOOKUP(D49,Carbon_Intensity_Irish_Rail[#All],MATCH(A49, Carbon_Intensity_Irish_Rail[#Headers],0),FALSE)</f>
        <v>51.144742512027058</v>
      </c>
      <c r="I49" s="35">
        <f t="shared" si="0"/>
        <v>119018899999.99998</v>
      </c>
      <c r="J49" s="35">
        <f t="shared" si="1"/>
        <v>0.11901889999999998</v>
      </c>
      <c r="K49" s="28">
        <f>VLOOKUP(D49,Energy_Intensity_by_fuel_type_Irish_Rail[#All],MATCH(A49, Energy_Intensity_by_fuel_type_Irish_Rail[#Headers],0),FALSE)*100</f>
        <v>19.380349568786308</v>
      </c>
      <c r="L49" s="35">
        <f t="shared" si="5"/>
        <v>451000000</v>
      </c>
      <c r="M49" s="13">
        <f t="shared" si="3"/>
        <v>451000</v>
      </c>
    </row>
    <row r="50" spans="1:13" x14ac:dyDescent="0.25">
      <c r="A50" s="89" t="s">
        <v>33</v>
      </c>
      <c r="B50" s="89" t="s">
        <v>427</v>
      </c>
      <c r="C50" s="175" t="s">
        <v>474</v>
      </c>
      <c r="D50" s="89" t="s">
        <v>72</v>
      </c>
      <c r="E50" s="35">
        <f>VLOOKUP(C50,Vehicle_Kilometres_Public_Transport[#All],MATCH(A50,Vehicle_Kilometres_Public_Transport[#Headers],0),FALSE)</f>
        <v>15970000</v>
      </c>
      <c r="F50" s="9">
        <f>VLOOKUP(C50,Occupancy_of_Public_Transport[#All],MATCH(A50,Occupancy_of_Public_Transport[#Headers],0),FALSE)</f>
        <v>145.71693222096798</v>
      </c>
      <c r="G50" s="35">
        <f>VLOOKUP(C50,Passenger_Kilometres_Public_Transport[#All],MATCH(A50, Passenger_Kilometres_Public_Transport[#Headers],0),FALSE)</f>
        <v>2327099407.5688586</v>
      </c>
      <c r="H50" s="89">
        <f>VLOOKUP(D50,Carbon_Intensity_Irish_Rail[#All],MATCH(A50, Carbon_Intensity_Irish_Rail[#Headers],0),FALSE)</f>
        <v>1.0543210969071595</v>
      </c>
      <c r="I50" s="35">
        <f t="shared" si="0"/>
        <v>2453510000</v>
      </c>
      <c r="J50" s="35">
        <f t="shared" si="1"/>
        <v>2.4535099999999999E-3</v>
      </c>
      <c r="K50" s="28">
        <f>VLOOKUP(D50,Energy_Intensity_by_fuel_type_Irish_Rail[#All],MATCH(A50, Energy_Intensity_by_fuel_type_Irish_Rail[#Headers],0),FALSE)*100</f>
        <v>0.45979986781821169</v>
      </c>
      <c r="L50" s="35">
        <f t="shared" si="5"/>
        <v>10699999.999999998</v>
      </c>
      <c r="M50" s="13">
        <f t="shared" si="3"/>
        <v>10699.999999999998</v>
      </c>
    </row>
    <row r="51" spans="1:13" x14ac:dyDescent="0.25">
      <c r="A51" s="89" t="s">
        <v>33</v>
      </c>
      <c r="B51" s="89" t="s">
        <v>427</v>
      </c>
      <c r="C51" s="175" t="s">
        <v>474</v>
      </c>
      <c r="D51" s="89" t="s">
        <v>73</v>
      </c>
      <c r="E51" s="35">
        <f>VLOOKUP(C51,Vehicle_Kilometres_Public_Transport[#All],MATCH(A51,Vehicle_Kilometres_Public_Transport[#Headers],0),FALSE)</f>
        <v>15970000</v>
      </c>
      <c r="F51" s="9">
        <f>VLOOKUP(C51,Occupancy_of_Public_Transport[#All],MATCH(A51,Occupancy_of_Public_Transport[#Headers],0),FALSE)</f>
        <v>145.71693222096798</v>
      </c>
      <c r="G51" s="35">
        <f>VLOOKUP(C51,Passenger_Kilometres_Public_Transport[#All],MATCH(A51, Passenger_Kilometres_Public_Transport[#Headers],0),FALSE)</f>
        <v>2327099407.5688586</v>
      </c>
      <c r="H51" s="89">
        <f>VLOOKUP(D51,Carbon_Intensity_Irish_Rail[#All],MATCH(A51, Carbon_Intensity_Irish_Rail[#Headers],0),FALSE)</f>
        <v>13.437328847360263</v>
      </c>
      <c r="I51" s="35">
        <f t="shared" si="0"/>
        <v>31270000000</v>
      </c>
      <c r="J51" s="35">
        <f t="shared" si="1"/>
        <v>3.1269999999999999E-2</v>
      </c>
      <c r="K51" s="28">
        <f>VLOOKUP(D51,Energy_Intensity_by_fuel_type_Irish_Rail[#All],MATCH(A51, Energy_Intensity_by_fuel_type_Irish_Rail[#Headers],0),FALSE)*100</f>
        <v>2.5353450655396723</v>
      </c>
      <c r="L51" s="35">
        <f t="shared" si="5"/>
        <v>59000000.000000007</v>
      </c>
      <c r="M51" s="13">
        <f t="shared" si="3"/>
        <v>59000.000000000007</v>
      </c>
    </row>
    <row r="52" spans="1:13" x14ac:dyDescent="0.25">
      <c r="A52" s="89" t="s">
        <v>33</v>
      </c>
      <c r="B52" s="89" t="s">
        <v>427</v>
      </c>
      <c r="C52" s="175" t="s">
        <v>475</v>
      </c>
      <c r="D52" s="89" t="s">
        <v>73</v>
      </c>
      <c r="E52" s="35">
        <f>VLOOKUP(C52,Vehicle_Kilometres_Public_Transport[#All],MATCH(A52,Vehicle_Kilometres_Public_Transport[#Headers],0),FALSE)</f>
        <v>3540000</v>
      </c>
      <c r="F52" s="9">
        <f>VLOOKUP(C52,Occupancy_of_Public_Transport[#All],MATCH(A52,Occupancy_of_Public_Transport[#Headers],0),FALSE)</f>
        <v>121.00771916335691</v>
      </c>
      <c r="G52" s="35">
        <f>VLOOKUP(C52,Passenger_Kilometres_Public_Transport[#All],MATCH(A52, Passenger_Kilometres_Public_Transport[#Headers],0),FALSE)</f>
        <v>428367325.83828348</v>
      </c>
      <c r="H52" s="89">
        <f>VLOOKUP(D52,Carbon_Intensity_Luas[#All],MATCH(A52, Carbon_Intensity_Luas[#Headers],0),FALSE)</f>
        <v>25.487471479376428</v>
      </c>
      <c r="I52" s="35">
        <f t="shared" si="0"/>
        <v>10918000000</v>
      </c>
      <c r="J52" s="35">
        <f t="shared" si="1"/>
        <v>1.0918000000000001E-2</v>
      </c>
      <c r="K52" s="28">
        <f>VLOOKUP(D52,Energy_Intensity_by_fuel_type_Irish_Rail[#All],MATCH(A52, Energy_Intensity_by_fuel_type_Irish_Rail[#Headers],0),FALSE)*100</f>
        <v>2.5353450655396723</v>
      </c>
      <c r="L52" s="35">
        <f t="shared" si="5"/>
        <v>10860589.858025169</v>
      </c>
      <c r="M52" s="13">
        <f t="shared" si="3"/>
        <v>10860.589858025169</v>
      </c>
    </row>
    <row r="53" spans="1:13" x14ac:dyDescent="0.25">
      <c r="A53" s="89" t="s">
        <v>33</v>
      </c>
      <c r="B53" s="89" t="s">
        <v>427</v>
      </c>
      <c r="C53" s="175" t="s">
        <v>473</v>
      </c>
      <c r="D53" s="89" t="s">
        <v>71</v>
      </c>
      <c r="E53" s="35">
        <f>VLOOKUP(C53,Vehicle_Kilometres_Public_Transport[#All],MATCH(A53,Vehicle_Kilometres_Public_Transport[#Headers],0),FALSE)</f>
        <v>169432000</v>
      </c>
      <c r="F53" s="9">
        <f>VLOOKUP(C53,Occupancy_of_Public_Transport[#All],MATCH(A53,Occupancy_of_Public_Transport[#Headers],0),FALSE)</f>
        <v>6.9853345908100248</v>
      </c>
      <c r="G53" s="35">
        <f>VLOOKUP(C53,Passenger_Kilometres_Public_Transport[#All],MATCH(A53, Passenger_Kilometres_Public_Transport[#Headers],0),FALSE)</f>
        <v>1183539210.3901241</v>
      </c>
      <c r="H53" s="89">
        <f>VLOOKUP(D53,Carbon_Intensity_Bus_Éireann[#All],MATCH(A53, Carbon_Intensity_Bus_Éireann[#Headers],0),FALSE)</f>
        <v>63.916313152873663</v>
      </c>
      <c r="I53" s="35">
        <f t="shared" si="0"/>
        <v>75647462800</v>
      </c>
      <c r="J53" s="35">
        <f t="shared" si="1"/>
        <v>7.5647462799999995E-2</v>
      </c>
      <c r="K53" s="28">
        <f>VLOOKUP(D53,Energy_Intensity_by_fuel_type_Irish_Rail[#All],MATCH(A53, Energy_Intensity_by_fuel_type_Irish_Rail[#Headers],0),FALSE)*100</f>
        <v>19.380349568786308</v>
      </c>
      <c r="L53" s="35">
        <f t="shared" si="5"/>
        <v>229374036.25725928</v>
      </c>
      <c r="M53" s="13">
        <f t="shared" si="3"/>
        <v>229374.03625725929</v>
      </c>
    </row>
    <row r="54" spans="1:13" x14ac:dyDescent="0.25">
      <c r="A54" s="89" t="s">
        <v>33</v>
      </c>
      <c r="B54" s="89" t="s">
        <v>427</v>
      </c>
      <c r="C54" s="175" t="s">
        <v>473</v>
      </c>
      <c r="D54" s="89" t="s">
        <v>72</v>
      </c>
      <c r="E54" s="35">
        <f>VLOOKUP(C54,Vehicle_Kilometres_Public_Transport[#All],MATCH(A54,Vehicle_Kilometres_Public_Transport[#Headers],0),FALSE)</f>
        <v>169432000</v>
      </c>
      <c r="F54" s="9">
        <f>VLOOKUP(C54,Occupancy_of_Public_Transport[#All],MATCH(A54,Occupancy_of_Public_Transport[#Headers],0),FALSE)</f>
        <v>6.9853345908100248</v>
      </c>
      <c r="G54" s="35">
        <f>VLOOKUP(C54,Passenger_Kilometres_Public_Transport[#All],MATCH(A54, Passenger_Kilometres_Public_Transport[#Headers],0),FALSE)</f>
        <v>1183539210.3901241</v>
      </c>
      <c r="H54" s="89">
        <f>VLOOKUP(D54,Carbon_Intensity_Bus_Éireann[#All],MATCH(A54, Carbon_Intensity_Bus_Éireann[#Headers],0),FALSE)</f>
        <v>1.0733248115888532</v>
      </c>
      <c r="I54" s="35">
        <f t="shared" si="0"/>
        <v>1270322000</v>
      </c>
      <c r="J54" s="35">
        <f t="shared" si="1"/>
        <v>1.2703219999999999E-3</v>
      </c>
      <c r="K54" s="28">
        <f>VLOOKUP(D54,Energy_Intensity_by_fuel_type_Irish_Rail[#All],MATCH(A54, Energy_Intensity_by_fuel_type_Irish_Rail[#Headers],0),FALSE)*100</f>
        <v>0.45979986781821169</v>
      </c>
      <c r="L54" s="35">
        <f t="shared" si="5"/>
        <v>5441911.724950497</v>
      </c>
      <c r="M54" s="13">
        <f t="shared" si="3"/>
        <v>5441.911724950497</v>
      </c>
    </row>
    <row r="55" spans="1:13" x14ac:dyDescent="0.25">
      <c r="A55" s="89" t="s">
        <v>33</v>
      </c>
      <c r="B55" s="89" t="s">
        <v>427</v>
      </c>
      <c r="C55" s="175" t="s">
        <v>473</v>
      </c>
      <c r="D55" s="89" t="s">
        <v>73</v>
      </c>
      <c r="E55" s="35">
        <f>VLOOKUP(C55,Vehicle_Kilometres_Public_Transport[#All],MATCH(A55,Vehicle_Kilometres_Public_Transport[#Headers],0),FALSE)</f>
        <v>169432000</v>
      </c>
      <c r="F55" s="9">
        <f>VLOOKUP(C55,Occupancy_of_Public_Transport[#All],MATCH(A55,Occupancy_of_Public_Transport[#Headers],0),FALSE)</f>
        <v>6.9853345908100248</v>
      </c>
      <c r="G55" s="35">
        <f>VLOOKUP(C55,Passenger_Kilometres_Public_Transport[#All],MATCH(A55, Passenger_Kilometres_Public_Transport[#Headers],0),FALSE)</f>
        <v>1183539210.3901241</v>
      </c>
      <c r="H55" s="89">
        <f>VLOOKUP(D55,Carbon_Intensity_Bus_Éireann[#All],MATCH(A55, Carbon_Intensity_Bus_Éireann[#Headers],0),FALSE)</f>
        <v>2.4934028159719892</v>
      </c>
      <c r="I55" s="35">
        <f t="shared" si="0"/>
        <v>2951040000</v>
      </c>
      <c r="J55" s="35">
        <f t="shared" si="1"/>
        <v>2.9510399999999998E-3</v>
      </c>
      <c r="K55" s="28">
        <f>VLOOKUP(D55,Energy_Intensity_by_fuel_type_Irish_Rail[#All],MATCH(A55, Energy_Intensity_by_fuel_type_Irish_Rail[#Headers],0),FALSE)*100</f>
        <v>2.5353450655396723</v>
      </c>
      <c r="L55" s="35">
        <f t="shared" si="5"/>
        <v>30006802.969353214</v>
      </c>
      <c r="M55" s="13">
        <f t="shared" si="3"/>
        <v>30006.802969353215</v>
      </c>
    </row>
    <row r="56" spans="1:13" x14ac:dyDescent="0.25">
      <c r="A56" s="89" t="s">
        <v>33</v>
      </c>
      <c r="B56" s="89" t="s">
        <v>427</v>
      </c>
      <c r="C56" s="175" t="s">
        <v>472</v>
      </c>
      <c r="D56" s="89" t="s">
        <v>71</v>
      </c>
      <c r="E56" s="35">
        <f>VLOOKUP(C56,Vehicle_Kilometres_Public_Transport[#All],MATCH(A56,Vehicle_Kilometres_Public_Transport[#Headers],0),FALSE)</f>
        <v>56000000</v>
      </c>
      <c r="F56" s="9">
        <f>VLOOKUP(C56,Occupancy_of_Public_Transport[#All],MATCH(A56,Occupancy_of_Public_Transport[#Headers],0),FALSE)</f>
        <v>27.436462574030021</v>
      </c>
      <c r="G56" s="35">
        <f>VLOOKUP(C56,Passenger_Kilometres_Public_Transport[#All],MATCH(A56, Passenger_Kilometres_Public_Transport[#Headers],0),FALSE)</f>
        <v>1536441904.1456811</v>
      </c>
      <c r="H56" s="89">
        <f>VLOOKUP(D56,Carbon_Intensity_Dublin_Bus[#All],MATCH(A56, Carbon_Intensity_Dublin_Bus[#Headers],0),FALSE)</f>
        <v>47.815541415377957</v>
      </c>
      <c r="I56" s="35">
        <f t="shared" si="0"/>
        <v>73465801499.999985</v>
      </c>
      <c r="J56" s="35">
        <f t="shared" si="1"/>
        <v>7.3465801499999983E-2</v>
      </c>
      <c r="K56" s="28">
        <f>VLOOKUP(D56,Energy_Intensity_by_fuel_type_Irish_Rail[#All],MATCH(A56, Energy_Intensity_by_fuel_type_Irish_Rail[#Headers],0),FALSE)*100</f>
        <v>19.380349568786308</v>
      </c>
      <c r="L56" s="35">
        <f t="shared" si="5"/>
        <v>297767811.94474965</v>
      </c>
      <c r="M56" s="13">
        <f t="shared" si="3"/>
        <v>297767.81194474967</v>
      </c>
    </row>
    <row r="57" spans="1:13" x14ac:dyDescent="0.25">
      <c r="A57" s="89" t="s">
        <v>33</v>
      </c>
      <c r="B57" s="89" t="s">
        <v>427</v>
      </c>
      <c r="C57" s="175" t="s">
        <v>472</v>
      </c>
      <c r="D57" s="89" t="s">
        <v>72</v>
      </c>
      <c r="E57" s="35">
        <f>VLOOKUP(C57,Vehicle_Kilometres_Public_Transport[#All],MATCH(A57,Vehicle_Kilometres_Public_Transport[#Headers],0),FALSE)</f>
        <v>56000000</v>
      </c>
      <c r="F57" s="9">
        <f>VLOOKUP(C57,Occupancy_of_Public_Transport[#All],MATCH(A57,Occupancy_of_Public_Transport[#Headers],0),FALSE)</f>
        <v>27.436462574030021</v>
      </c>
      <c r="G57" s="35">
        <f>VLOOKUP(C57,Passenger_Kilometres_Public_Transport[#All],MATCH(A57, Passenger_Kilometres_Public_Transport[#Headers],0),FALSE)</f>
        <v>1536441904.1456811</v>
      </c>
      <c r="H57" s="89">
        <f>VLOOKUP(D57,Carbon_Intensity_Dublin_Bus[#All],MATCH(A57, Carbon_Intensity_Dublin_Bus[#Headers],0),FALSE)</f>
        <v>1.3773444308502452</v>
      </c>
      <c r="I57" s="35">
        <f t="shared" si="0"/>
        <v>2116209700.0000002</v>
      </c>
      <c r="J57" s="35">
        <f t="shared" si="1"/>
        <v>2.1162097000000002E-3</v>
      </c>
      <c r="K57" s="28">
        <f>VLOOKUP(D57,Energy_Intensity_by_fuel_type_Irish_Rail[#All],MATCH(A57, Energy_Intensity_by_fuel_type_Irish_Rail[#Headers],0),FALSE)*100</f>
        <v>0.45979986781821169</v>
      </c>
      <c r="L57" s="35">
        <f t="shared" si="5"/>
        <v>7064557.8443654571</v>
      </c>
      <c r="M57" s="13">
        <f t="shared" si="3"/>
        <v>7064.5578443654567</v>
      </c>
    </row>
    <row r="58" spans="1:13" x14ac:dyDescent="0.25">
      <c r="A58" s="89" t="s">
        <v>33</v>
      </c>
      <c r="B58" s="89" t="s">
        <v>427</v>
      </c>
      <c r="C58" s="175" t="s">
        <v>472</v>
      </c>
      <c r="D58" s="89" t="s">
        <v>73</v>
      </c>
      <c r="E58" s="35">
        <f>VLOOKUP(C58,Vehicle_Kilometres_Public_Transport[#All],MATCH(A58,Vehicle_Kilometres_Public_Transport[#Headers],0),FALSE)</f>
        <v>56000000</v>
      </c>
      <c r="F58" s="9">
        <f>VLOOKUP(C58,Occupancy_of_Public_Transport[#All],MATCH(A58,Occupancy_of_Public_Transport[#Headers],0),FALSE)</f>
        <v>27.436462574030021</v>
      </c>
      <c r="G58" s="35">
        <f>VLOOKUP(C58,Passenger_Kilometres_Public_Transport[#All],MATCH(A58, Passenger_Kilometres_Public_Transport[#Headers],0),FALSE)</f>
        <v>1536441904.1456811</v>
      </c>
      <c r="H58" s="89">
        <f>VLOOKUP(D58,Carbon_Intensity_Dublin_Bus[#All],MATCH(A58, Carbon_Intensity_Dublin_Bus[#Headers],0),FALSE)</f>
        <v>1.8730939271017992</v>
      </c>
      <c r="I58" s="35">
        <f t="shared" si="0"/>
        <v>2877900000</v>
      </c>
      <c r="J58" s="35">
        <f t="shared" si="1"/>
        <v>2.8779000000000001E-3</v>
      </c>
      <c r="K58" s="28">
        <f>VLOOKUP(D58,Energy_Intensity_by_fuel_type_Irish_Rail[#All],MATCH(A58, Energy_Intensity_by_fuel_type_Irish_Rail[#Headers],0),FALSE)*100</f>
        <v>2.5353450655396723</v>
      </c>
      <c r="L58" s="35">
        <f t="shared" si="5"/>
        <v>38954104.001641303</v>
      </c>
      <c r="M58" s="13">
        <f t="shared" si="3"/>
        <v>38954.104001641303</v>
      </c>
    </row>
    <row r="59" spans="1:13" x14ac:dyDescent="0.25">
      <c r="A59" s="89" t="s">
        <v>33</v>
      </c>
      <c r="B59" s="89" t="s">
        <v>428</v>
      </c>
      <c r="C59" s="82" t="s">
        <v>413</v>
      </c>
      <c r="D59" s="89" t="s">
        <v>71</v>
      </c>
      <c r="E59" s="35">
        <f>VLOOKUP(D59,Total_vehicle_activity[#All],MATCH(A59,Total_vehicle_activity[#Headers],0),FALSE)</f>
        <v>14752242235</v>
      </c>
      <c r="F59" s="9">
        <f>Private_Vehicle_Occupancy_from_TIMES[]</f>
        <v>1.49</v>
      </c>
      <c r="G59" s="35">
        <f t="shared" ref="G59:G63" si="8">E59*F59</f>
        <v>21980840930.150002</v>
      </c>
      <c r="H59" s="89">
        <f>VLOOKUP(D59,Carbon_Intensity_private_vehicles_by_fuel_type_[#All],MATCH(A59, Carbon_Intensity_private_vehicles_by_fuel_type_[#Headers],0),FALSE)</f>
        <v>121.88746457728054</v>
      </c>
      <c r="I59" s="35">
        <f t="shared" si="0"/>
        <v>2679188970252.4966</v>
      </c>
      <c r="J59" s="35">
        <f t="shared" si="1"/>
        <v>2.6791889702524965</v>
      </c>
      <c r="K59" s="28">
        <f>VLOOKUP(D59,Energy_intensity_private_vehicles_kwh_per_pkm[#All],MATCH(A59,Energy_intensity_private_vehicles_kwh_per_pkm[#Headers],0),FALSE)*100</f>
        <v>46.186989229738742</v>
      </c>
      <c r="L59" s="35">
        <f t="shared" si="5"/>
        <v>10152288633.014385</v>
      </c>
      <c r="M59" s="13">
        <f t="shared" si="3"/>
        <v>10152288.633014385</v>
      </c>
    </row>
    <row r="60" spans="1:13" x14ac:dyDescent="0.25">
      <c r="A60" s="89" t="s">
        <v>33</v>
      </c>
      <c r="B60" s="89" t="s">
        <v>428</v>
      </c>
      <c r="C60" s="89" t="s">
        <v>414</v>
      </c>
      <c r="D60" s="89" t="s">
        <v>75</v>
      </c>
      <c r="E60" s="35">
        <f>VLOOKUP(D60,Total_vehicle_activity[#All],MATCH(A60,Total_vehicle_activity[#Headers],0),FALSE)</f>
        <v>16948237773</v>
      </c>
      <c r="F60" s="9">
        <f>Private_Vehicle_Occupancy_from_TIMES[]</f>
        <v>1.49</v>
      </c>
      <c r="G60" s="35">
        <f t="shared" si="8"/>
        <v>25252874281.77</v>
      </c>
      <c r="H60" s="89">
        <f>VLOOKUP(D60,Carbon_Intensity_private_vehicles_by_fuel_type_[#All],MATCH(A60, Carbon_Intensity_private_vehicles_by_fuel_type_[#Headers],0),FALSE)</f>
        <v>124.47143524167987</v>
      </c>
      <c r="I60" s="35">
        <f t="shared" si="0"/>
        <v>3143261505829.6177</v>
      </c>
      <c r="J60" s="35">
        <f t="shared" si="1"/>
        <v>3.1432615058296176</v>
      </c>
      <c r="K60" s="28">
        <f>VLOOKUP(D60,Energy_intensity_private_vehicles_kwh_per_pkm[#All],MATCH(A60,Energy_intensity_private_vehicles_kwh_per_pkm[#Headers],0),FALSE)*100</f>
        <v>49.413035030440597</v>
      </c>
      <c r="L60" s="35">
        <f t="shared" si="5"/>
        <v>12478211615.044134</v>
      </c>
      <c r="M60" s="13">
        <f t="shared" si="3"/>
        <v>12478211.615044134</v>
      </c>
    </row>
    <row r="61" spans="1:13" x14ac:dyDescent="0.25">
      <c r="A61" s="89" t="s">
        <v>33</v>
      </c>
      <c r="B61" s="89" t="s">
        <v>428</v>
      </c>
      <c r="C61" s="89" t="s">
        <v>415</v>
      </c>
      <c r="D61" s="89" t="s">
        <v>18</v>
      </c>
      <c r="E61" s="35">
        <f>VLOOKUP(D61,Total_vehicle_activity[#All],MATCH(A61,Total_vehicle_activity[#Headers],0),FALSE)</f>
        <v>116713683</v>
      </c>
      <c r="F61" s="9">
        <f>Private_Vehicle_Occupancy_from_TIMES[]</f>
        <v>1.49</v>
      </c>
      <c r="G61" s="35">
        <f t="shared" si="8"/>
        <v>173903387.66999999</v>
      </c>
      <c r="H61" s="89">
        <f>VLOOKUP(D61,Carbon_Intensity_private_vehicles_by_fuel_type_[#All],MATCH(A61, Carbon_Intensity_private_vehicles_by_fuel_type_[#Headers],0),FALSE)</f>
        <v>35.596139828196918</v>
      </c>
      <c r="I61" s="35">
        <f t="shared" ref="I61:I116" si="9">G61*H61</f>
        <v>6190289304.0984554</v>
      </c>
      <c r="J61" s="35">
        <f t="shared" si="1"/>
        <v>6.1902893040984555E-3</v>
      </c>
      <c r="K61" s="28">
        <f>VLOOKUP(D61,Energy_intensity_private_vehicles_kwh_per_pkm[#All],MATCH(A61,Energy_intensity_private_vehicles_kwh_per_pkm[#Headers],0),FALSE)*100</f>
        <v>8.0605402150429377</v>
      </c>
      <c r="L61" s="35">
        <f t="shared" si="5"/>
        <v>14017552.49846237</v>
      </c>
      <c r="M61" s="13">
        <f t="shared" si="3"/>
        <v>14017.55249846237</v>
      </c>
    </row>
    <row r="62" spans="1:13" x14ac:dyDescent="0.25">
      <c r="A62" s="89" t="s">
        <v>33</v>
      </c>
      <c r="B62" s="89" t="s">
        <v>428</v>
      </c>
      <c r="C62" s="89" t="s">
        <v>416</v>
      </c>
      <c r="D62" s="89" t="s">
        <v>19</v>
      </c>
      <c r="E62" s="35">
        <f>VLOOKUP(D62,Total_vehicle_activity[#All],MATCH(A62,Total_vehicle_activity[#Headers],0),FALSE)</f>
        <v>0</v>
      </c>
      <c r="F62" s="9">
        <f>Private_Vehicle_Occupancy_from_TIMES[]</f>
        <v>1.49</v>
      </c>
      <c r="G62" s="35">
        <f t="shared" si="8"/>
        <v>0</v>
      </c>
      <c r="H62" s="89">
        <f>VLOOKUP(D62,Carbon_Intensity_private_vehicles_by_fuel_type_[#All],MATCH(A62, Carbon_Intensity_private_vehicles_by_fuel_type_[#Headers],0),FALSE)</f>
        <v>41.447302670973215</v>
      </c>
      <c r="I62" s="35">
        <f t="shared" si="9"/>
        <v>0</v>
      </c>
      <c r="J62" s="35">
        <f t="shared" si="1"/>
        <v>0</v>
      </c>
      <c r="K62" s="28">
        <f>VLOOKUP(D62,Energy_intensity_private_vehicles_kwh_per_pkm[#All],MATCH(A62,Energy_intensity_private_vehicles_kwh_per_pkm[#Headers],0),FALSE)*100</f>
        <v>8.6870070274787903</v>
      </c>
      <c r="L62" s="35">
        <f t="shared" si="5"/>
        <v>0</v>
      </c>
      <c r="M62" s="13">
        <f t="shared" si="3"/>
        <v>0</v>
      </c>
    </row>
    <row r="63" spans="1:13" x14ac:dyDescent="0.25">
      <c r="A63" s="89" t="s">
        <v>33</v>
      </c>
      <c r="B63" s="89" t="s">
        <v>428</v>
      </c>
      <c r="C63" s="89" t="s">
        <v>417</v>
      </c>
      <c r="D63" s="89" t="s">
        <v>352</v>
      </c>
      <c r="E63" s="35">
        <f>VLOOKUP(D63,Total_vehicle_activity[#All],MATCH(A63,Total_vehicle_activity[#Headers],0),FALSE)</f>
        <v>4105503</v>
      </c>
      <c r="F63" s="9">
        <f>Private_Vehicle_Occupancy_from_TIMES[]</f>
        <v>1.49</v>
      </c>
      <c r="G63" s="35">
        <f t="shared" si="8"/>
        <v>6117199.4699999997</v>
      </c>
      <c r="H63" s="89">
        <f>VLOOKUP(D63,Carbon_Intensity_private_vehicles_by_fuel_type_[#All],MATCH(A63, Carbon_Intensity_private_vehicles_by_fuel_type_[#Headers],0),FALSE)</f>
        <v>54.067114093959731</v>
      </c>
      <c r="I63" s="35">
        <f t="shared" si="9"/>
        <v>330739321.68000001</v>
      </c>
      <c r="J63" s="35">
        <f t="shared" si="1"/>
        <v>3.3073932168E-4</v>
      </c>
      <c r="K63" s="28">
        <f>VLOOKUP(D63,Energy_intensity_private_vehicles_kwh_per_pkm[#All],MATCH(A63,Energy_intensity_private_vehicles_kwh_per_pkm[#Headers],0),FALSE)*100</f>
        <v>10.201342281879194</v>
      </c>
      <c r="L63" s="35">
        <f t="shared" si="5"/>
        <v>624036.45599999989</v>
      </c>
      <c r="M63" s="13">
        <f t="shared" si="3"/>
        <v>624.03645599999993</v>
      </c>
    </row>
    <row r="64" spans="1:13" x14ac:dyDescent="0.25">
      <c r="A64" s="89" t="s">
        <v>34</v>
      </c>
      <c r="B64" s="89" t="s">
        <v>427</v>
      </c>
      <c r="C64" s="175" t="s">
        <v>474</v>
      </c>
      <c r="D64" s="89" t="s">
        <v>71</v>
      </c>
      <c r="E64" s="35">
        <f>VLOOKUP(C64,Vehicle_Kilometres_Public_Transport[#All],MATCH(A64,Vehicle_Kilometres_Public_Transport[#Headers],0),FALSE)</f>
        <v>15965000</v>
      </c>
      <c r="F64" s="9">
        <f>VLOOKUP(C64,Occupancy_of_Public_Transport[#All],MATCH(A64,Occupancy_of_Public_Transport[#Headers],0),FALSE)</f>
        <v>144.05021623343919</v>
      </c>
      <c r="G64" s="35">
        <f>VLOOKUP(C64,Passenger_Kilometres_Public_Transport[#All],MATCH(A64, Passenger_Kilometres_Public_Transport[#Headers],0),FALSE)</f>
        <v>2299761702.1668568</v>
      </c>
      <c r="H64" s="89">
        <f>VLOOKUP(D64,Carbon_Intensity_Irish_Rail[#All],MATCH(A64, Carbon_Intensity_Irish_Rail[#Headers],0),FALSE)</f>
        <v>47.61019800305202</v>
      </c>
      <c r="I64" s="35">
        <f t="shared" si="9"/>
        <v>109492110000</v>
      </c>
      <c r="J64" s="35">
        <f t="shared" si="1"/>
        <v>0.10949211</v>
      </c>
      <c r="K64" s="28">
        <f>VLOOKUP(D64,Energy_Intensity_by_fuel_type_Irish_Rail[#All],MATCH(A64, Energy_Intensity_by_fuel_type_Irish_Rail[#Headers],0),FALSE)*100</f>
        <v>18.040999622225094</v>
      </c>
      <c r="L64" s="35">
        <f t="shared" si="5"/>
        <v>414900000</v>
      </c>
      <c r="M64" s="13">
        <f t="shared" si="3"/>
        <v>414900</v>
      </c>
    </row>
    <row r="65" spans="1:13" x14ac:dyDescent="0.25">
      <c r="A65" s="89" t="s">
        <v>34</v>
      </c>
      <c r="B65" s="89" t="s">
        <v>427</v>
      </c>
      <c r="C65" s="175" t="s">
        <v>474</v>
      </c>
      <c r="D65" s="89" t="s">
        <v>72</v>
      </c>
      <c r="E65" s="35">
        <f>VLOOKUP(C65,Vehicle_Kilometres_Public_Transport[#All],MATCH(A65,Vehicle_Kilometres_Public_Transport[#Headers],0),FALSE)</f>
        <v>15965000</v>
      </c>
      <c r="F65" s="9">
        <f>VLOOKUP(C65,Occupancy_of_Public_Transport[#All],MATCH(A65,Occupancy_of_Public_Transport[#Headers],0),FALSE)</f>
        <v>144.05021623343919</v>
      </c>
      <c r="G65" s="35">
        <f>VLOOKUP(C65,Passenger_Kilometres_Public_Transport[#All],MATCH(A65, Passenger_Kilometres_Public_Transport[#Headers],0),FALSE)</f>
        <v>2299761702.1668568</v>
      </c>
      <c r="H65" s="89">
        <f>VLOOKUP(D65,Carbon_Intensity_Irish_Rail[#All],MATCH(A65, Carbon_Intensity_Irish_Rail[#Headers],0),FALSE)</f>
        <v>0.8375302528888936</v>
      </c>
      <c r="I65" s="35">
        <f t="shared" si="9"/>
        <v>1926120000</v>
      </c>
      <c r="J65" s="35">
        <f t="shared" si="1"/>
        <v>1.9261199999999999E-3</v>
      </c>
      <c r="K65" s="28">
        <f>VLOOKUP(D65,Energy_Intensity_by_fuel_type_Irish_Rail[#All],MATCH(A65, Energy_Intensity_by_fuel_type_Irish_Rail[#Headers],0),FALSE)*100</f>
        <v>0.36525523457867143</v>
      </c>
      <c r="L65" s="35">
        <f t="shared" si="5"/>
        <v>8400000</v>
      </c>
      <c r="M65" s="13">
        <f t="shared" si="3"/>
        <v>8400</v>
      </c>
    </row>
    <row r="66" spans="1:13" x14ac:dyDescent="0.25">
      <c r="A66" s="89" t="s">
        <v>34</v>
      </c>
      <c r="B66" s="89" t="s">
        <v>427</v>
      </c>
      <c r="C66" s="175" t="s">
        <v>474</v>
      </c>
      <c r="D66" s="89" t="s">
        <v>73</v>
      </c>
      <c r="E66" s="35">
        <f>VLOOKUP(C66,Vehicle_Kilometres_Public_Transport[#All],MATCH(A66,Vehicle_Kilometres_Public_Transport[#Headers],0),FALSE)</f>
        <v>15965000</v>
      </c>
      <c r="F66" s="9">
        <f>VLOOKUP(C66,Occupancy_of_Public_Transport[#All],MATCH(A66,Occupancy_of_Public_Transport[#Headers],0),FALSE)</f>
        <v>144.05021623343919</v>
      </c>
      <c r="G66" s="35">
        <f>VLOOKUP(C66,Passenger_Kilometres_Public_Transport[#All],MATCH(A66, Passenger_Kilometres_Public_Transport[#Headers],0),FALSE)</f>
        <v>2299761702.1668568</v>
      </c>
      <c r="H66" s="89">
        <f>VLOOKUP(D66,Carbon_Intensity_Irish_Rail[#All],MATCH(A66, Carbon_Intensity_Irish_Rail[#Headers],0),FALSE)</f>
        <v>11.498373929387846</v>
      </c>
      <c r="I66" s="35">
        <f t="shared" si="9"/>
        <v>26443520000</v>
      </c>
      <c r="J66" s="35">
        <f t="shared" si="1"/>
        <v>2.6443520000000002E-2</v>
      </c>
      <c r="K66" s="28">
        <f>VLOOKUP(D66,Energy_Intensity_by_fuel_type_Irish_Rail[#All],MATCH(A66, Energy_Intensity_by_fuel_type_Irish_Rail[#Headers],0),FALSE)*100</f>
        <v>2.4611245568039055</v>
      </c>
      <c r="L66" s="35">
        <f t="shared" si="5"/>
        <v>56600000.000000007</v>
      </c>
      <c r="M66" s="13">
        <f t="shared" si="3"/>
        <v>56600.000000000007</v>
      </c>
    </row>
    <row r="67" spans="1:13" x14ac:dyDescent="0.25">
      <c r="A67" s="89" t="s">
        <v>34</v>
      </c>
      <c r="B67" s="89" t="s">
        <v>427</v>
      </c>
      <c r="C67" s="175" t="s">
        <v>475</v>
      </c>
      <c r="D67" s="89" t="s">
        <v>73</v>
      </c>
      <c r="E67" s="35">
        <f>VLOOKUP(C67,Vehicle_Kilometres_Public_Transport[#All],MATCH(A67,Vehicle_Kilometres_Public_Transport[#Headers],0),FALSE)</f>
        <v>3667000</v>
      </c>
      <c r="F67" s="9">
        <f>VLOOKUP(C67,Occupancy_of_Public_Transport[#All],MATCH(A67,Occupancy_of_Public_Transport[#Headers],0),FALSE)</f>
        <v>124.27189289345112</v>
      </c>
      <c r="G67" s="35">
        <f>VLOOKUP(C67,Passenger_Kilometres_Public_Transport[#All],MATCH(A67, Passenger_Kilometres_Public_Transport[#Headers],0),FALSE)</f>
        <v>455705031.24028528</v>
      </c>
      <c r="H67" s="89">
        <f>VLOOKUP(D67,Carbon_Intensity_Luas[#All],MATCH(A67, Carbon_Intensity_Luas[#Headers],0),FALSE)</f>
        <v>20.299446716273671</v>
      </c>
      <c r="I67" s="35">
        <f t="shared" si="9"/>
        <v>9250560000</v>
      </c>
      <c r="J67" s="35">
        <f t="shared" si="1"/>
        <v>9.2505599999999997E-3</v>
      </c>
      <c r="K67" s="28">
        <f>VLOOKUP(D67,Energy_Intensity_by_fuel_type_Irish_Rail[#All],MATCH(A67, Energy_Intensity_by_fuel_type_Irish_Rail[#Headers],0),FALSE)*100</f>
        <v>2.4611245568039055</v>
      </c>
      <c r="L67" s="35">
        <f t="shared" si="5"/>
        <v>11215468.43044557</v>
      </c>
      <c r="M67" s="13">
        <f t="shared" si="3"/>
        <v>11215.468430445571</v>
      </c>
    </row>
    <row r="68" spans="1:13" x14ac:dyDescent="0.25">
      <c r="A68" s="89" t="s">
        <v>34</v>
      </c>
      <c r="B68" s="89" t="s">
        <v>427</v>
      </c>
      <c r="C68" s="175" t="s">
        <v>473</v>
      </c>
      <c r="D68" s="89" t="s">
        <v>71</v>
      </c>
      <c r="E68" s="35">
        <f>VLOOKUP(C68,Vehicle_Kilometres_Public_Transport[#All],MATCH(A68,Vehicle_Kilometres_Public_Transport[#Headers],0),FALSE)</f>
        <v>163579000</v>
      </c>
      <c r="F68" s="9">
        <f>VLOOKUP(C68,Occupancy_of_Public_Transport[#All],MATCH(A68,Occupancy_of_Public_Transport[#Headers],0),FALSE)</f>
        <v>7.9106874099897801</v>
      </c>
      <c r="G68" s="35">
        <f>VLOOKUP(C68,Passenger_Kilometres_Public_Transport[#All],MATCH(A68, Passenger_Kilometres_Public_Transport[#Headers],0),FALSE)</f>
        <v>1294022335.8387182</v>
      </c>
      <c r="H68" s="89">
        <f>VLOOKUP(D68,Carbon_Intensity_Bus_Éireann[#All],MATCH(A68, Carbon_Intensity_Bus_Éireann[#Headers],0),FALSE)</f>
        <v>58.448762285836402</v>
      </c>
      <c r="I68" s="35">
        <f t="shared" si="9"/>
        <v>75634003900</v>
      </c>
      <c r="J68" s="35">
        <f t="shared" si="1"/>
        <v>7.5634003899999996E-2</v>
      </c>
      <c r="K68" s="28">
        <f>VLOOKUP(D68,Energy_Intensity_by_fuel_type_Irish_Rail[#All],MATCH(A68, Energy_Intensity_by_fuel_type_Irish_Rail[#Headers],0),FALSE)*100</f>
        <v>18.040999622225094</v>
      </c>
      <c r="L68" s="35">
        <f t="shared" si="5"/>
        <v>233454564.72017148</v>
      </c>
      <c r="M68" s="13">
        <f t="shared" si="3"/>
        <v>233454.56472017147</v>
      </c>
    </row>
    <row r="69" spans="1:13" x14ac:dyDescent="0.25">
      <c r="A69" s="89" t="s">
        <v>34</v>
      </c>
      <c r="B69" s="89" t="s">
        <v>427</v>
      </c>
      <c r="C69" s="175" t="s">
        <v>473</v>
      </c>
      <c r="D69" s="89" t="s">
        <v>72</v>
      </c>
      <c r="E69" s="35">
        <f>VLOOKUP(C69,Vehicle_Kilometres_Public_Transport[#All],MATCH(A69,Vehicle_Kilometres_Public_Transport[#Headers],0),FALSE)</f>
        <v>163579000</v>
      </c>
      <c r="F69" s="9">
        <f>VLOOKUP(C69,Occupancy_of_Public_Transport[#All],MATCH(A69,Occupancy_of_Public_Transport[#Headers],0),FALSE)</f>
        <v>7.9106874099897801</v>
      </c>
      <c r="G69" s="35">
        <f>VLOOKUP(C69,Passenger_Kilometres_Public_Transport[#All],MATCH(A69, Passenger_Kilometres_Public_Transport[#Headers],0),FALSE)</f>
        <v>1294022335.8387182</v>
      </c>
      <c r="H69" s="89">
        <f>VLOOKUP(D69,Carbon_Intensity_Bus_Éireann[#All],MATCH(A69, Carbon_Intensity_Bus_Éireann[#Headers],0),FALSE)</f>
        <v>0.86916312713490929</v>
      </c>
      <c r="I69" s="35">
        <f t="shared" si="9"/>
        <v>1124716500</v>
      </c>
      <c r="J69" s="35">
        <f t="shared" ref="J69:J132" si="10">I69/(1000000000000)</f>
        <v>1.1247165E-3</v>
      </c>
      <c r="K69" s="28">
        <f>VLOOKUP(D69,Energy_Intensity_by_fuel_type_Irish_Rail[#All],MATCH(A69, Energy_Intensity_by_fuel_type_Irish_Rail[#Headers],0),FALSE)*100</f>
        <v>0.36525523457867143</v>
      </c>
      <c r="L69" s="35">
        <f t="shared" ref="L69:L132" si="11">(K69*G69)/100</f>
        <v>4726484.3182681138</v>
      </c>
      <c r="M69" s="13">
        <f t="shared" ref="M69:M132" si="12">L69/1000</f>
        <v>4726.4843182681134</v>
      </c>
    </row>
    <row r="70" spans="1:13" x14ac:dyDescent="0.25">
      <c r="A70" s="89" t="s">
        <v>34</v>
      </c>
      <c r="B70" s="89" t="s">
        <v>427</v>
      </c>
      <c r="C70" s="175" t="s">
        <v>473</v>
      </c>
      <c r="D70" s="89" t="s">
        <v>73</v>
      </c>
      <c r="E70" s="35">
        <f>VLOOKUP(C70,Vehicle_Kilometres_Public_Transport[#All],MATCH(A70,Vehicle_Kilometres_Public_Transport[#Headers],0),FALSE)</f>
        <v>163579000</v>
      </c>
      <c r="F70" s="9">
        <f>VLOOKUP(C70,Occupancy_of_Public_Transport[#All],MATCH(A70,Occupancy_of_Public_Transport[#Headers],0),FALSE)</f>
        <v>7.9106874099897801</v>
      </c>
      <c r="G70" s="35">
        <f>VLOOKUP(C70,Passenger_Kilometres_Public_Transport[#All],MATCH(A70, Passenger_Kilometres_Public_Transport[#Headers],0),FALSE)</f>
        <v>1294022335.8387182</v>
      </c>
      <c r="H70" s="89">
        <f>VLOOKUP(D70,Carbon_Intensity_Bus_Éireann[#All],MATCH(A70, Carbon_Intensity_Bus_Éireann[#Headers],0),FALSE)</f>
        <v>2.0987532632037125</v>
      </c>
      <c r="I70" s="35">
        <f t="shared" si="9"/>
        <v>2715833600</v>
      </c>
      <c r="J70" s="35">
        <f t="shared" si="10"/>
        <v>2.7158336000000002E-3</v>
      </c>
      <c r="K70" s="28">
        <f>VLOOKUP(D70,Energy_Intensity_by_fuel_type_Irish_Rail[#All],MATCH(A70, Energy_Intensity_by_fuel_type_Irish_Rail[#Headers],0),FALSE)*100</f>
        <v>2.4611245568039055</v>
      </c>
      <c r="L70" s="35">
        <f t="shared" si="11"/>
        <v>31847501.4778542</v>
      </c>
      <c r="M70" s="13">
        <f t="shared" si="12"/>
        <v>31847.501477854199</v>
      </c>
    </row>
    <row r="71" spans="1:13" x14ac:dyDescent="0.25">
      <c r="A71" s="89" t="s">
        <v>34</v>
      </c>
      <c r="B71" s="89" t="s">
        <v>427</v>
      </c>
      <c r="C71" s="175" t="s">
        <v>472</v>
      </c>
      <c r="D71" s="89" t="s">
        <v>71</v>
      </c>
      <c r="E71" s="35">
        <f>VLOOKUP(C71,Vehicle_Kilometres_Public_Transport[#All],MATCH(A71,Vehicle_Kilometres_Public_Transport[#Headers],0),FALSE)</f>
        <v>57000000</v>
      </c>
      <c r="F71" s="9">
        <f>VLOOKUP(C71,Occupancy_of_Public_Transport[#All],MATCH(A71,Occupancy_of_Public_Transport[#Headers],0),FALSE)</f>
        <v>30.976642582870053</v>
      </c>
      <c r="G71" s="35">
        <f>VLOOKUP(C71,Passenger_Kilometres_Public_Transport[#All],MATCH(A71, Passenger_Kilometres_Public_Transport[#Headers],0),FALSE)</f>
        <v>1765668627.223593</v>
      </c>
      <c r="H71" s="89">
        <f>VLOOKUP(D71,Carbon_Intensity_Dublin_Bus[#All],MATCH(A71, Carbon_Intensity_Dublin_Bus[#Headers],0),FALSE)</f>
        <v>41.836000119769785</v>
      </c>
      <c r="I71" s="35">
        <f t="shared" si="9"/>
        <v>73868512899.999985</v>
      </c>
      <c r="J71" s="35">
        <f t="shared" si="10"/>
        <v>7.3868512899999988E-2</v>
      </c>
      <c r="K71" s="28">
        <f>VLOOKUP(D71,Energy_Intensity_by_fuel_type_Irish_Rail[#All],MATCH(A71, Energy_Intensity_by_fuel_type_Irish_Rail[#Headers],0),FALSE)*100</f>
        <v>18.040999622225094</v>
      </c>
      <c r="L71" s="35">
        <f t="shared" si="11"/>
        <v>318544270.36715543</v>
      </c>
      <c r="M71" s="13">
        <f t="shared" si="12"/>
        <v>318544.27036715543</v>
      </c>
    </row>
    <row r="72" spans="1:13" x14ac:dyDescent="0.25">
      <c r="A72" s="89" t="s">
        <v>34</v>
      </c>
      <c r="B72" s="89" t="s">
        <v>427</v>
      </c>
      <c r="C72" s="175" t="s">
        <v>472</v>
      </c>
      <c r="D72" s="89" t="s">
        <v>72</v>
      </c>
      <c r="E72" s="35">
        <f>VLOOKUP(C72,Vehicle_Kilometres_Public_Transport[#All],MATCH(A72,Vehicle_Kilometres_Public_Transport[#Headers],0),FALSE)</f>
        <v>57000000</v>
      </c>
      <c r="F72" s="9">
        <f>VLOOKUP(C72,Occupancy_of_Public_Transport[#All],MATCH(A72,Occupancy_of_Public_Transport[#Headers],0),FALSE)</f>
        <v>30.976642582870053</v>
      </c>
      <c r="G72" s="35">
        <f>VLOOKUP(C72,Passenger_Kilometres_Public_Transport[#All],MATCH(A72, Passenger_Kilometres_Public_Transport[#Headers],0),FALSE)</f>
        <v>1765668627.223593</v>
      </c>
      <c r="H72" s="89">
        <f>VLOOKUP(D72,Carbon_Intensity_Dublin_Bus[#All],MATCH(A72, Carbon_Intensity_Dublin_Bus[#Headers],0),FALSE)</f>
        <v>1.1120409966662195</v>
      </c>
      <c r="I72" s="35">
        <f t="shared" si="9"/>
        <v>1963495900</v>
      </c>
      <c r="J72" s="35">
        <f t="shared" si="10"/>
        <v>1.9634958999999999E-3</v>
      </c>
      <c r="K72" s="28">
        <f>VLOOKUP(D72,Energy_Intensity_by_fuel_type_Irish_Rail[#All],MATCH(A72, Energy_Intensity_by_fuel_type_Irish_Rail[#Headers],0),FALSE)*100</f>
        <v>0.36525523457867143</v>
      </c>
      <c r="L72" s="35">
        <f t="shared" si="11"/>
        <v>6449197.0862475419</v>
      </c>
      <c r="M72" s="13">
        <f t="shared" si="12"/>
        <v>6449.1970862475418</v>
      </c>
    </row>
    <row r="73" spans="1:13" x14ac:dyDescent="0.25">
      <c r="A73" s="89" t="s">
        <v>34</v>
      </c>
      <c r="B73" s="89" t="s">
        <v>427</v>
      </c>
      <c r="C73" s="175" t="s">
        <v>472</v>
      </c>
      <c r="D73" s="89" t="s">
        <v>73</v>
      </c>
      <c r="E73" s="35">
        <f>VLOOKUP(C73,Vehicle_Kilometres_Public_Transport[#All],MATCH(A73,Vehicle_Kilometres_Public_Transport[#Headers],0),FALSE)</f>
        <v>57000000</v>
      </c>
      <c r="F73" s="9">
        <f>VLOOKUP(C73,Occupancy_of_Public_Transport[#All],MATCH(A73,Occupancy_of_Public_Transport[#Headers],0),FALSE)</f>
        <v>30.976642582870053</v>
      </c>
      <c r="G73" s="35">
        <f>VLOOKUP(C73,Passenger_Kilometres_Public_Transport[#All],MATCH(A73, Passenger_Kilometres_Public_Transport[#Headers],0),FALSE)</f>
        <v>1765668627.223593</v>
      </c>
      <c r="H73" s="89">
        <f>VLOOKUP(D73,Carbon_Intensity_Dublin_Bus[#All],MATCH(A73, Carbon_Intensity_Dublin_Bus[#Headers],0),FALSE)</f>
        <v>1.3865161119442513</v>
      </c>
      <c r="I73" s="35">
        <f t="shared" si="9"/>
        <v>2448127999.9999995</v>
      </c>
      <c r="J73" s="35">
        <f t="shared" si="10"/>
        <v>2.4481279999999995E-3</v>
      </c>
      <c r="K73" s="28">
        <f>VLOOKUP(D73,Energy_Intensity_by_fuel_type_Irish_Rail[#All],MATCH(A73, Energy_Intensity_by_fuel_type_Irish_Rail[#Headers],0),FALSE)*100</f>
        <v>2.4611245568039055</v>
      </c>
      <c r="L73" s="35">
        <f t="shared" si="11"/>
        <v>43455304.176382259</v>
      </c>
      <c r="M73" s="13">
        <f t="shared" si="12"/>
        <v>43455.304176382262</v>
      </c>
    </row>
    <row r="74" spans="1:13" x14ac:dyDescent="0.25">
      <c r="A74" s="89" t="s">
        <v>34</v>
      </c>
      <c r="B74" s="89" t="s">
        <v>428</v>
      </c>
      <c r="C74" s="82" t="s">
        <v>413</v>
      </c>
      <c r="D74" s="89" t="s">
        <v>71</v>
      </c>
      <c r="E74" s="35">
        <f>VLOOKUP(D74,Total_vehicle_activity[#All],MATCH(A74,Total_vehicle_activity[#Headers],0),FALSE)</f>
        <v>16684732301</v>
      </c>
      <c r="F74" s="9">
        <f>Private_Vehicle_Occupancy_from_TIMES[]</f>
        <v>1.49</v>
      </c>
      <c r="G74" s="35">
        <f t="shared" ref="G74:G78" si="13">E74*F74</f>
        <v>24860251128.490002</v>
      </c>
      <c r="H74" s="89">
        <f>VLOOKUP(D74,Carbon_Intensity_private_vehicles_by_fuel_type_[#All],MATCH(A74, Carbon_Intensity_private_vehicles_by_fuel_type_[#Headers],0),FALSE)</f>
        <v>124.62883418383154</v>
      </c>
      <c r="I74" s="35">
        <f t="shared" si="9"/>
        <v>3098304115660.9912</v>
      </c>
      <c r="J74" s="35">
        <f t="shared" si="10"/>
        <v>3.0983041156609912</v>
      </c>
      <c r="K74" s="28">
        <f>VLOOKUP(D74,Energy_intensity_private_vehicles_kwh_per_pkm[#All],MATCH(A74,Energy_intensity_private_vehicles_kwh_per_pkm[#Headers],0),FALSE)*100</f>
        <v>47.225780289439776</v>
      </c>
      <c r="L74" s="35">
        <f t="shared" si="11"/>
        <v>11740447577.34366</v>
      </c>
      <c r="M74" s="13">
        <f t="shared" si="12"/>
        <v>11740447.577343659</v>
      </c>
    </row>
    <row r="75" spans="1:13" x14ac:dyDescent="0.25">
      <c r="A75" s="89" t="s">
        <v>34</v>
      </c>
      <c r="B75" s="89" t="s">
        <v>428</v>
      </c>
      <c r="C75" s="89" t="s">
        <v>414</v>
      </c>
      <c r="D75" s="89" t="s">
        <v>75</v>
      </c>
      <c r="E75" s="35">
        <f>VLOOKUP(D75,Total_vehicle_activity[#All],MATCH(A75,Total_vehicle_activity[#Headers],0),FALSE)</f>
        <v>15497223549</v>
      </c>
      <c r="F75" s="9">
        <f>Private_Vehicle_Occupancy_from_TIMES[]</f>
        <v>1.49</v>
      </c>
      <c r="G75" s="35">
        <f t="shared" si="13"/>
        <v>23090863088.009998</v>
      </c>
      <c r="H75" s="89">
        <f>VLOOKUP(D75,Carbon_Intensity_private_vehicles_by_fuel_type_[#All],MATCH(A75, Carbon_Intensity_private_vehicles_by_fuel_type_[#Headers],0),FALSE)</f>
        <v>124.21712594344631</v>
      </c>
      <c r="I75" s="35">
        <f t="shared" si="9"/>
        <v>2868280648346.2134</v>
      </c>
      <c r="J75" s="35">
        <f t="shared" si="10"/>
        <v>2.8682806483462135</v>
      </c>
      <c r="K75" s="28">
        <f>VLOOKUP(D75,Energy_intensity_private_vehicles_kwh_per_pkm[#All],MATCH(A75,Energy_intensity_private_vehicles_kwh_per_pkm[#Headers],0),FALSE)*100</f>
        <v>49.312078580169235</v>
      </c>
      <c r="L75" s="35">
        <f t="shared" si="11"/>
        <v>11386584550.798782</v>
      </c>
      <c r="M75" s="13">
        <f t="shared" si="12"/>
        <v>11386584.550798783</v>
      </c>
    </row>
    <row r="76" spans="1:13" x14ac:dyDescent="0.25">
      <c r="A76" s="89" t="s">
        <v>34</v>
      </c>
      <c r="B76" s="89" t="s">
        <v>428</v>
      </c>
      <c r="C76" s="89" t="s">
        <v>415</v>
      </c>
      <c r="D76" s="89" t="s">
        <v>18</v>
      </c>
      <c r="E76" s="35">
        <f>VLOOKUP(D76,Total_vehicle_activity[#All],MATCH(A76,Total_vehicle_activity[#Headers],0),FALSE)</f>
        <v>133293917</v>
      </c>
      <c r="F76" s="9">
        <f>Private_Vehicle_Occupancy_from_TIMES[]</f>
        <v>1.49</v>
      </c>
      <c r="G76" s="35">
        <f t="shared" si="13"/>
        <v>198607936.33000001</v>
      </c>
      <c r="H76" s="89">
        <f>VLOOKUP(D76,Carbon_Intensity_private_vehicles_by_fuel_type_[#All],MATCH(A76, Carbon_Intensity_private_vehicles_by_fuel_type_[#Headers],0),FALSE)</f>
        <v>32.400166054997037</v>
      </c>
      <c r="I76" s="35">
        <f t="shared" si="9"/>
        <v>6434930116.9322796</v>
      </c>
      <c r="J76" s="35">
        <f t="shared" si="10"/>
        <v>6.43493011693228E-3</v>
      </c>
      <c r="K76" s="28">
        <f>VLOOKUP(D76,Energy_intensity_private_vehicles_kwh_per_pkm[#All],MATCH(A76,Energy_intensity_private_vehicles_kwh_per_pkm[#Headers],0),FALSE)*100</f>
        <v>7.7160696654079333</v>
      </c>
      <c r="L76" s="35">
        <f t="shared" si="11"/>
        <v>15324726.728251833</v>
      </c>
      <c r="M76" s="13">
        <f t="shared" si="12"/>
        <v>15324.726728251833</v>
      </c>
    </row>
    <row r="77" spans="1:13" x14ac:dyDescent="0.25">
      <c r="A77" s="89" t="s">
        <v>34</v>
      </c>
      <c r="B77" s="89" t="s">
        <v>428</v>
      </c>
      <c r="C77" s="89" t="s">
        <v>416</v>
      </c>
      <c r="D77" s="89" t="s">
        <v>19</v>
      </c>
      <c r="E77" s="35">
        <f>VLOOKUP(D77,Total_vehicle_activity[#All],MATCH(A77,Total_vehicle_activity[#Headers],0),FALSE)</f>
        <v>0</v>
      </c>
      <c r="F77" s="9">
        <f>Private_Vehicle_Occupancy_from_TIMES[]</f>
        <v>1.49</v>
      </c>
      <c r="G77" s="35">
        <f t="shared" si="13"/>
        <v>0</v>
      </c>
      <c r="H77" s="89">
        <f>VLOOKUP(D77,Carbon_Intensity_private_vehicles_by_fuel_type_[#All],MATCH(A77, Carbon_Intensity_private_vehicles_by_fuel_type_[#Headers],0),FALSE)</f>
        <v>38.009769269744481</v>
      </c>
      <c r="I77" s="35">
        <f t="shared" si="9"/>
        <v>0</v>
      </c>
      <c r="J77" s="35">
        <f t="shared" si="10"/>
        <v>0</v>
      </c>
      <c r="K77" s="28">
        <f>VLOOKUP(D77,Energy_intensity_private_vehicles_kwh_per_pkm[#All],MATCH(A77,Energy_intensity_private_vehicles_kwh_per_pkm[#Headers],0),FALSE)*100</f>
        <v>8.6870070274787903</v>
      </c>
      <c r="L77" s="35">
        <f t="shared" si="11"/>
        <v>0</v>
      </c>
      <c r="M77" s="13">
        <f t="shared" si="12"/>
        <v>0</v>
      </c>
    </row>
    <row r="78" spans="1:13" x14ac:dyDescent="0.25">
      <c r="A78" s="89" t="s">
        <v>34</v>
      </c>
      <c r="B78" s="89" t="s">
        <v>428</v>
      </c>
      <c r="C78" s="89" t="s">
        <v>417</v>
      </c>
      <c r="D78" s="89" t="s">
        <v>352</v>
      </c>
      <c r="E78" s="35">
        <f>VLOOKUP(D78,Total_vehicle_activity[#All],MATCH(A78,Total_vehicle_activity[#Headers],0),FALSE)</f>
        <v>7825666</v>
      </c>
      <c r="F78" s="9">
        <f>Private_Vehicle_Occupancy_from_TIMES[]</f>
        <v>1.49</v>
      </c>
      <c r="G78" s="35">
        <f t="shared" si="13"/>
        <v>11660242.34</v>
      </c>
      <c r="H78" s="89">
        <f>VLOOKUP(D78,Carbon_Intensity_private_vehicles_by_fuel_type_[#All],MATCH(A78, Carbon_Intensity_private_vehicles_by_fuel_type_[#Headers],0),FALSE)</f>
        <v>47.660671140939591</v>
      </c>
      <c r="I78" s="35">
        <f t="shared" si="9"/>
        <v>555734975.59039998</v>
      </c>
      <c r="J78" s="35">
        <f t="shared" si="10"/>
        <v>5.5573497559040003E-4</v>
      </c>
      <c r="K78" s="28">
        <f>VLOOKUP(D78,Energy_intensity_private_vehicles_kwh_per_pkm[#All],MATCH(A78,Energy_intensity_private_vehicles_kwh_per_pkm[#Headers],0),FALSE)*100</f>
        <v>10.201342281879194</v>
      </c>
      <c r="L78" s="35">
        <f t="shared" si="11"/>
        <v>1189501.2319999998</v>
      </c>
      <c r="M78" s="13">
        <f t="shared" si="12"/>
        <v>1189.5012319999998</v>
      </c>
    </row>
    <row r="79" spans="1:13" x14ac:dyDescent="0.25">
      <c r="A79" s="89" t="s">
        <v>35</v>
      </c>
      <c r="B79" s="89" t="s">
        <v>427</v>
      </c>
      <c r="C79" s="175" t="s">
        <v>474</v>
      </c>
      <c r="D79" s="89" t="s">
        <v>71</v>
      </c>
      <c r="E79" s="35">
        <f>VLOOKUP(C79,Vehicle_Kilometres_Public_Transport[#All],MATCH(A79,Vehicle_Kilometres_Public_Transport[#Headers],0),FALSE)</f>
        <v>15965000</v>
      </c>
      <c r="F79" s="9">
        <f>VLOOKUP(C79,Occupancy_of_Public_Transport[#All],MATCH(A79,Occupancy_of_Public_Transport[#Headers],0),FALSE)</f>
        <v>143.80201686214838</v>
      </c>
      <c r="G79" s="35">
        <f>VLOOKUP(C79,Passenger_Kilometres_Public_Transport[#All],MATCH(A79, Passenger_Kilometres_Public_Transport[#Headers],0),FALSE)</f>
        <v>2295799199.2041988</v>
      </c>
      <c r="H79" s="89">
        <f>VLOOKUP(D79,Carbon_Intensity_Irish_Rail[#All],MATCH(A79, Carbon_Intensity_Irish_Rail[#Headers],0),FALSE)</f>
        <v>47.094637038586804</v>
      </c>
      <c r="I79" s="35">
        <f t="shared" si="9"/>
        <v>108119829999.99998</v>
      </c>
      <c r="J79" s="35">
        <f t="shared" si="10"/>
        <v>0.10811982999999999</v>
      </c>
      <c r="K79" s="28">
        <f>VLOOKUP(D79,Energy_Intensity_by_fuel_type_Irish_Rail[#All],MATCH(A79, Energy_Intensity_by_fuel_type_Irish_Rail[#Headers],0),FALSE)*100</f>
        <v>17.845637377259116</v>
      </c>
      <c r="L79" s="35">
        <f t="shared" si="11"/>
        <v>409700000</v>
      </c>
      <c r="M79" s="13">
        <f t="shared" si="12"/>
        <v>409700</v>
      </c>
    </row>
    <row r="80" spans="1:13" x14ac:dyDescent="0.25">
      <c r="A80" s="89" t="s">
        <v>35</v>
      </c>
      <c r="B80" s="89" t="s">
        <v>427</v>
      </c>
      <c r="C80" s="175" t="s">
        <v>474</v>
      </c>
      <c r="D80" s="89" t="s">
        <v>72</v>
      </c>
      <c r="E80" s="35">
        <f>VLOOKUP(C80,Vehicle_Kilometres_Public_Transport[#All],MATCH(A80,Vehicle_Kilometres_Public_Transport[#Headers],0),FALSE)</f>
        <v>15965000</v>
      </c>
      <c r="F80" s="9">
        <f>VLOOKUP(C80,Occupancy_of_Public_Transport[#All],MATCH(A80,Occupancy_of_Public_Transport[#Headers],0),FALSE)</f>
        <v>143.80201686214838</v>
      </c>
      <c r="G80" s="35">
        <f>VLOOKUP(C80,Passenger_Kilometres_Public_Transport[#All],MATCH(A80, Passenger_Kilometres_Public_Transport[#Headers],0),FALSE)</f>
        <v>2295799199.2041988</v>
      </c>
      <c r="H80" s="89">
        <f>VLOOKUP(D80,Carbon_Intensity_Irish_Rail[#All],MATCH(A80, Carbon_Intensity_Irish_Rail[#Headers],0),FALSE)</f>
        <v>0.79902458396007148</v>
      </c>
      <c r="I80" s="35">
        <f t="shared" si="9"/>
        <v>1834400000.0000002</v>
      </c>
      <c r="J80" s="35">
        <f t="shared" si="10"/>
        <v>1.8344000000000001E-3</v>
      </c>
      <c r="K80" s="28">
        <f>VLOOKUP(D80,Energy_Intensity_by_fuel_type_Irish_Rail[#All],MATCH(A80, Energy_Intensity_by_fuel_type_Irish_Rail[#Headers],0),FALSE)*100</f>
        <v>0.34846253116444459</v>
      </c>
      <c r="L80" s="35">
        <f t="shared" si="11"/>
        <v>8000000.0000000009</v>
      </c>
      <c r="M80" s="13">
        <f t="shared" si="12"/>
        <v>8000.0000000000009</v>
      </c>
    </row>
    <row r="81" spans="1:13" x14ac:dyDescent="0.25">
      <c r="A81" s="89" t="s">
        <v>35</v>
      </c>
      <c r="B81" s="89" t="s">
        <v>427</v>
      </c>
      <c r="C81" s="175" t="s">
        <v>474</v>
      </c>
      <c r="D81" s="89" t="s">
        <v>73</v>
      </c>
      <c r="E81" s="35">
        <f>VLOOKUP(C81,Vehicle_Kilometres_Public_Transport[#All],MATCH(A81,Vehicle_Kilometres_Public_Transport[#Headers],0),FALSE)</f>
        <v>15965000</v>
      </c>
      <c r="F81" s="9">
        <f>VLOOKUP(C81,Occupancy_of_Public_Transport[#All],MATCH(A81,Occupancy_of_Public_Transport[#Headers],0),FALSE)</f>
        <v>143.80201686214838</v>
      </c>
      <c r="G81" s="35">
        <f>VLOOKUP(C81,Passenger_Kilometres_Public_Transport[#All],MATCH(A81, Passenger_Kilometres_Public_Transport[#Headers],0),FALSE)</f>
        <v>2295799199.2041988</v>
      </c>
      <c r="H81" s="89">
        <f>VLOOKUP(D81,Carbon_Intensity_Irish_Rail[#All],MATCH(A81, Carbon_Intensity_Irish_Rail[#Headers],0),FALSE)</f>
        <v>11.35744498431669</v>
      </c>
      <c r="I81" s="35">
        <f t="shared" si="9"/>
        <v>26074413100</v>
      </c>
      <c r="J81" s="35">
        <f t="shared" si="10"/>
        <v>2.6074413099999999E-2</v>
      </c>
      <c r="K81" s="28">
        <f>VLOOKUP(D81,Energy_Intensity_by_fuel_type_Irish_Rail[#All],MATCH(A81, Energy_Intensity_by_fuel_type_Irish_Rail[#Headers],0),FALSE)*100</f>
        <v>2.4966904779768497</v>
      </c>
      <c r="L81" s="35">
        <f t="shared" si="11"/>
        <v>57319000</v>
      </c>
      <c r="M81" s="13">
        <f t="shared" si="12"/>
        <v>57319</v>
      </c>
    </row>
    <row r="82" spans="1:13" x14ac:dyDescent="0.25">
      <c r="A82" s="89" t="s">
        <v>35</v>
      </c>
      <c r="B82" s="89" t="s">
        <v>427</v>
      </c>
      <c r="C82" s="175" t="s">
        <v>475</v>
      </c>
      <c r="D82" s="89" t="s">
        <v>73</v>
      </c>
      <c r="E82" s="35">
        <f>VLOOKUP(C82,Vehicle_Kilometres_Public_Transport[#All],MATCH(A82,Vehicle_Kilometres_Public_Transport[#Headers],0),FALSE)</f>
        <v>3664000</v>
      </c>
      <c r="F82" s="9">
        <f>VLOOKUP(C82,Occupancy_of_Public_Transport[#All],MATCH(A82,Occupancy_of_Public_Transport[#Headers],0),FALSE)</f>
        <v>125.4551130466549</v>
      </c>
      <c r="G82" s="35">
        <f>VLOOKUP(C82,Passenger_Kilometres_Public_Transport[#All],MATCH(A82, Passenger_Kilometres_Public_Transport[#Headers],0),FALSE)</f>
        <v>459667534.20294356</v>
      </c>
      <c r="H82" s="89">
        <f>VLOOKUP(D82,Carbon_Intensity_Luas[#All],MATCH(A82, Carbon_Intensity_Luas[#Headers],0),FALSE)</f>
        <v>20.782194279969286</v>
      </c>
      <c r="I82" s="35">
        <f t="shared" si="9"/>
        <v>9552900000</v>
      </c>
      <c r="J82" s="35">
        <f t="shared" si="10"/>
        <v>9.5528999999999996E-3</v>
      </c>
      <c r="K82" s="28">
        <f>VLOOKUP(D82,Energy_Intensity_by_fuel_type_Irish_Rail[#All],MATCH(A82, Energy_Intensity_by_fuel_type_Irish_Rail[#Headers],0),FALSE)*100</f>
        <v>2.4966904779768497</v>
      </c>
      <c r="L82" s="35">
        <f t="shared" si="11"/>
        <v>11476475.556795871</v>
      </c>
      <c r="M82" s="13">
        <f t="shared" si="12"/>
        <v>11476.475556795871</v>
      </c>
    </row>
    <row r="83" spans="1:13" x14ac:dyDescent="0.25">
      <c r="A83" s="89" t="s">
        <v>35</v>
      </c>
      <c r="B83" s="89" t="s">
        <v>427</v>
      </c>
      <c r="C83" s="175" t="s">
        <v>473</v>
      </c>
      <c r="D83" s="89" t="s">
        <v>71</v>
      </c>
      <c r="E83" s="35">
        <f>VLOOKUP(C83,Vehicle_Kilometres_Public_Transport[#All],MATCH(A83,Vehicle_Kilometres_Public_Transport[#Headers],0),FALSE)</f>
        <v>163013000</v>
      </c>
      <c r="F83" s="9">
        <f>VLOOKUP(C83,Occupancy_of_Public_Transport[#All],MATCH(A83,Occupancy_of_Public_Transport[#Headers],0),FALSE)</f>
        <v>7.8667650673985143</v>
      </c>
      <c r="G83" s="35">
        <f>VLOOKUP(C83,Passenger_Kilometres_Public_Transport[#All],MATCH(A83, Passenger_Kilometres_Public_Transport[#Headers],0),FALSE)</f>
        <v>1282384973.931834</v>
      </c>
      <c r="H83" s="89">
        <f>VLOOKUP(D83,Carbon_Intensity_Bus_Éireann[#All],MATCH(A83, Carbon_Intensity_Bus_Éireann[#Headers],0),FALSE)</f>
        <v>58.954888927152005</v>
      </c>
      <c r="I83" s="35">
        <f t="shared" si="9"/>
        <v>75602863699.999985</v>
      </c>
      <c r="J83" s="35">
        <f t="shared" si="10"/>
        <v>7.5602863699999981E-2</v>
      </c>
      <c r="K83" s="28">
        <f>VLOOKUP(D83,Energy_Intensity_by_fuel_type_Irish_Rail[#All],MATCH(A83, Energy_Intensity_by_fuel_type_Irish_Rail[#Headers],0),FALSE)*100</f>
        <v>17.845637377259116</v>
      </c>
      <c r="L83" s="35">
        <f t="shared" si="11"/>
        <v>228849772.22833392</v>
      </c>
      <c r="M83" s="13">
        <f t="shared" si="12"/>
        <v>228849.77222833392</v>
      </c>
    </row>
    <row r="84" spans="1:13" x14ac:dyDescent="0.25">
      <c r="A84" s="89" t="s">
        <v>35</v>
      </c>
      <c r="B84" s="89" t="s">
        <v>427</v>
      </c>
      <c r="C84" s="175" t="s">
        <v>473</v>
      </c>
      <c r="D84" s="89" t="s">
        <v>72</v>
      </c>
      <c r="E84" s="35">
        <f>VLOOKUP(C84,Vehicle_Kilometres_Public_Transport[#All],MATCH(A84,Vehicle_Kilometres_Public_Transport[#Headers],0),FALSE)</f>
        <v>163013000</v>
      </c>
      <c r="F84" s="9">
        <f>VLOOKUP(C84,Occupancy_of_Public_Transport[#All],MATCH(A84,Occupancy_of_Public_Transport[#Headers],0),FALSE)</f>
        <v>7.8667650673985143</v>
      </c>
      <c r="G84" s="35">
        <f>VLOOKUP(C84,Passenger_Kilometres_Public_Transport[#All],MATCH(A84, Passenger_Kilometres_Public_Transport[#Headers],0),FALSE)</f>
        <v>1282384973.931834</v>
      </c>
      <c r="H84" s="89">
        <f>VLOOKUP(D84,Carbon_Intensity_Bus_Éireann[#All],MATCH(A84, Carbon_Intensity_Bus_Éireann[#Headers],0),FALSE)</f>
        <v>0.93623586084206534</v>
      </c>
      <c r="I84" s="35">
        <f t="shared" si="9"/>
        <v>1200614800</v>
      </c>
      <c r="J84" s="35">
        <f t="shared" si="10"/>
        <v>1.2006148000000001E-3</v>
      </c>
      <c r="K84" s="28">
        <f>VLOOKUP(D84,Energy_Intensity_by_fuel_type_Irish_Rail[#All],MATCH(A84, Energy_Intensity_by_fuel_type_Irish_Rail[#Headers],0),FALSE)*100</f>
        <v>0.34846253116444459</v>
      </c>
      <c r="L84" s="35">
        <f t="shared" si="11"/>
        <v>4468631.1394353714</v>
      </c>
      <c r="M84" s="13">
        <f t="shared" si="12"/>
        <v>4468.6311394353716</v>
      </c>
    </row>
    <row r="85" spans="1:13" x14ac:dyDescent="0.25">
      <c r="A85" s="89" t="s">
        <v>35</v>
      </c>
      <c r="B85" s="89" t="s">
        <v>427</v>
      </c>
      <c r="C85" s="175" t="s">
        <v>473</v>
      </c>
      <c r="D85" s="89" t="s">
        <v>73</v>
      </c>
      <c r="E85" s="35">
        <f>VLOOKUP(C85,Vehicle_Kilometres_Public_Transport[#All],MATCH(A85,Vehicle_Kilometres_Public_Transport[#Headers],0),FALSE)</f>
        <v>163013000</v>
      </c>
      <c r="F85" s="9">
        <f>VLOOKUP(C85,Occupancy_of_Public_Transport[#All],MATCH(A85,Occupancy_of_Public_Transport[#Headers],0),FALSE)</f>
        <v>7.8667650673985143</v>
      </c>
      <c r="G85" s="35">
        <f>VLOOKUP(C85,Passenger_Kilometres_Public_Transport[#All],MATCH(A85, Passenger_Kilometres_Public_Transport[#Headers],0),FALSE)</f>
        <v>1282384973.931834</v>
      </c>
      <c r="H85" s="89">
        <f>VLOOKUP(D85,Carbon_Intensity_Bus_Éireann[#All],MATCH(A85, Carbon_Intensity_Bus_Éireann[#Headers],0),FALSE)</f>
        <v>2.0975165450924718</v>
      </c>
      <c r="I85" s="35">
        <f t="shared" si="9"/>
        <v>2689823700</v>
      </c>
      <c r="J85" s="35">
        <f t="shared" si="10"/>
        <v>2.6898236999999998E-3</v>
      </c>
      <c r="K85" s="28">
        <f>VLOOKUP(D85,Energy_Intensity_by_fuel_type_Irish_Rail[#All],MATCH(A85, Energy_Intensity_by_fuel_type_Irish_Rail[#Headers],0),FALSE)*100</f>
        <v>2.4966904779768497</v>
      </c>
      <c r="L85" s="35">
        <f t="shared" si="11"/>
        <v>32017183.535162006</v>
      </c>
      <c r="M85" s="13">
        <f t="shared" si="12"/>
        <v>32017.183535162007</v>
      </c>
    </row>
    <row r="86" spans="1:13" x14ac:dyDescent="0.25">
      <c r="A86" s="89" t="s">
        <v>35</v>
      </c>
      <c r="B86" s="89" t="s">
        <v>427</v>
      </c>
      <c r="C86" s="175" t="s">
        <v>472</v>
      </c>
      <c r="D86" s="89" t="s">
        <v>71</v>
      </c>
      <c r="E86" s="35">
        <f>VLOOKUP(C86,Vehicle_Kilometres_Public_Transport[#All],MATCH(A86,Vehicle_Kilometres_Public_Transport[#Headers],0),FALSE)</f>
        <v>57000000</v>
      </c>
      <c r="F86" s="9">
        <f>VLOOKUP(C86,Occupancy_of_Public_Transport[#All],MATCH(A86,Occupancy_of_Public_Transport[#Headers],0),FALSE)</f>
        <v>31.180806826850482</v>
      </c>
      <c r="G86" s="35">
        <f>VLOOKUP(C86,Passenger_Kilometres_Public_Transport[#All],MATCH(A86, Passenger_Kilometres_Public_Transport[#Headers],0),FALSE)</f>
        <v>1777305989.1304774</v>
      </c>
      <c r="H86" s="89">
        <f>VLOOKUP(D86,Carbon_Intensity_Dublin_Bus[#All],MATCH(A86, Carbon_Intensity_Dublin_Bus[#Headers],0),FALSE)</f>
        <v>41.70104852696749</v>
      </c>
      <c r="I86" s="35">
        <f t="shared" si="9"/>
        <v>74115523300</v>
      </c>
      <c r="J86" s="35">
        <f t="shared" si="10"/>
        <v>7.41155233E-2</v>
      </c>
      <c r="K86" s="28">
        <f>VLOOKUP(D86,Energy_Intensity_by_fuel_type_Irish_Rail[#All],MATCH(A86, Energy_Intensity_by_fuel_type_Irish_Rail[#Headers],0),FALSE)*100</f>
        <v>17.845637377259116</v>
      </c>
      <c r="L86" s="35">
        <f t="shared" si="11"/>
        <v>317171581.90453333</v>
      </c>
      <c r="M86" s="13">
        <f t="shared" si="12"/>
        <v>317171.58190453332</v>
      </c>
    </row>
    <row r="87" spans="1:13" x14ac:dyDescent="0.25">
      <c r="A87" s="89" t="s">
        <v>35</v>
      </c>
      <c r="B87" s="89" t="s">
        <v>427</v>
      </c>
      <c r="C87" s="175" t="s">
        <v>472</v>
      </c>
      <c r="D87" s="89" t="s">
        <v>72</v>
      </c>
      <c r="E87" s="35">
        <f>VLOOKUP(C87,Vehicle_Kilometres_Public_Transport[#All],MATCH(A87,Vehicle_Kilometres_Public_Transport[#Headers],0),FALSE)</f>
        <v>57000000</v>
      </c>
      <c r="F87" s="9">
        <f>VLOOKUP(C87,Occupancy_of_Public_Transport[#All],MATCH(A87,Occupancy_of_Public_Transport[#Headers],0),FALSE)</f>
        <v>31.180806826850482</v>
      </c>
      <c r="G87" s="35">
        <f>VLOOKUP(C87,Passenger_Kilometres_Public_Transport[#All],MATCH(A87, Passenger_Kilometres_Public_Transport[#Headers],0),FALSE)</f>
        <v>1777305989.1304774</v>
      </c>
      <c r="H87" s="89">
        <f>VLOOKUP(D87,Carbon_Intensity_Dublin_Bus[#All],MATCH(A87, Carbon_Intensity_Dublin_Bus[#Headers],0),FALSE)</f>
        <v>1.3556947507833512</v>
      </c>
      <c r="I87" s="35">
        <f t="shared" si="9"/>
        <v>2409484400</v>
      </c>
      <c r="J87" s="35">
        <f t="shared" si="10"/>
        <v>2.4094844000000001E-3</v>
      </c>
      <c r="K87" s="28">
        <f>VLOOKUP(D87,Energy_Intensity_by_fuel_type_Irish_Rail[#All],MATCH(A87, Energy_Intensity_by_fuel_type_Irish_Rail[#Headers],0),FALSE)*100</f>
        <v>0.34846253116444459</v>
      </c>
      <c r="L87" s="35">
        <f t="shared" si="11"/>
        <v>6193245.4362613298</v>
      </c>
      <c r="M87" s="13">
        <f t="shared" si="12"/>
        <v>6193.2454362613298</v>
      </c>
    </row>
    <row r="88" spans="1:13" x14ac:dyDescent="0.25">
      <c r="A88" s="89" t="s">
        <v>35</v>
      </c>
      <c r="B88" s="89" t="s">
        <v>427</v>
      </c>
      <c r="C88" s="175" t="s">
        <v>472</v>
      </c>
      <c r="D88" s="89" t="s">
        <v>73</v>
      </c>
      <c r="E88" s="35">
        <f>VLOOKUP(C88,Vehicle_Kilometres_Public_Transport[#All],MATCH(A88,Vehicle_Kilometres_Public_Transport[#Headers],0),FALSE)</f>
        <v>57000000</v>
      </c>
      <c r="F88" s="9">
        <f>VLOOKUP(C88,Occupancy_of_Public_Transport[#All],MATCH(A88,Occupancy_of_Public_Transport[#Headers],0),FALSE)</f>
        <v>31.180806826850482</v>
      </c>
      <c r="G88" s="35">
        <f>VLOOKUP(C88,Passenger_Kilometres_Public_Transport[#All],MATCH(A88, Passenger_Kilometres_Public_Transport[#Headers],0),FALSE)</f>
        <v>1777305989.1304774</v>
      </c>
      <c r="H88" s="89">
        <f>VLOOKUP(D88,Carbon_Intensity_Dublin_Bus[#All],MATCH(A88, Carbon_Intensity_Dublin_Bus[#Headers],0),FALSE)</f>
        <v>1.3368225362040205</v>
      </c>
      <c r="I88" s="35">
        <f t="shared" si="9"/>
        <v>2375942700</v>
      </c>
      <c r="J88" s="35">
        <f t="shared" si="10"/>
        <v>2.3759427E-3</v>
      </c>
      <c r="K88" s="28">
        <f>VLOOKUP(D88,Energy_Intensity_by_fuel_type_Irish_Rail[#All],MATCH(A88, Energy_Intensity_by_fuel_type_Irish_Rail[#Headers],0),FALSE)*100</f>
        <v>2.4966904779768497</v>
      </c>
      <c r="L88" s="35">
        <f t="shared" si="11"/>
        <v>44373829.395132892</v>
      </c>
      <c r="M88" s="13">
        <f t="shared" si="12"/>
        <v>44373.829395132889</v>
      </c>
    </row>
    <row r="89" spans="1:13" x14ac:dyDescent="0.25">
      <c r="A89" s="89" t="s">
        <v>35</v>
      </c>
      <c r="B89" s="89" t="s">
        <v>428</v>
      </c>
      <c r="C89" s="82" t="s">
        <v>413</v>
      </c>
      <c r="D89" s="89" t="s">
        <v>71</v>
      </c>
      <c r="E89" s="35">
        <f>VLOOKUP(D89,Total_vehicle_activity[#All],MATCH(A89,Total_vehicle_activity[#Headers],0),FALSE)</f>
        <v>19198399205</v>
      </c>
      <c r="F89" s="9">
        <f>Private_Vehicle_Occupancy_from_TIMES[]</f>
        <v>1.49</v>
      </c>
      <c r="G89" s="35">
        <f t="shared" ref="G89:G93" si="14">E89*F89</f>
        <v>28605614815.450001</v>
      </c>
      <c r="H89" s="89">
        <f>VLOOKUP(D89,Carbon_Intensity_private_vehicles_by_fuel_type_[#All],MATCH(A89, Carbon_Intensity_private_vehicles_by_fuel_type_[#Headers],0),FALSE)</f>
        <v>125.18880280260738</v>
      </c>
      <c r="I89" s="35">
        <f t="shared" si="9"/>
        <v>3581102672178.7144</v>
      </c>
      <c r="J89" s="35">
        <f t="shared" si="10"/>
        <v>3.5811026721787145</v>
      </c>
      <c r="K89" s="28">
        <f>VLOOKUP(D89,Energy_intensity_private_vehicles_kwh_per_pkm[#All],MATCH(A89,Energy_intensity_private_vehicles_kwh_per_pkm[#Headers],0),FALSE)*100</f>
        <v>47.437969989620079</v>
      </c>
      <c r="L89" s="35">
        <f t="shared" si="11"/>
        <v>13569922971.499487</v>
      </c>
      <c r="M89" s="13">
        <f t="shared" si="12"/>
        <v>13569922.971499488</v>
      </c>
    </row>
    <row r="90" spans="1:13" x14ac:dyDescent="0.25">
      <c r="A90" s="89" t="s">
        <v>35</v>
      </c>
      <c r="B90" s="89" t="s">
        <v>428</v>
      </c>
      <c r="C90" s="89" t="s">
        <v>414</v>
      </c>
      <c r="D90" s="89" t="s">
        <v>75</v>
      </c>
      <c r="E90" s="35">
        <f>VLOOKUP(D90,Total_vehicle_activity[#All],MATCH(A90,Total_vehicle_activity[#Headers],0),FALSE)</f>
        <v>15142086282</v>
      </c>
      <c r="F90" s="9">
        <f>Private_Vehicle_Occupancy_from_TIMES[]</f>
        <v>1.49</v>
      </c>
      <c r="G90" s="35">
        <f t="shared" si="14"/>
        <v>22561708560.18</v>
      </c>
      <c r="H90" s="89">
        <f>VLOOKUP(D90,Carbon_Intensity_private_vehicles_by_fuel_type_[#All],MATCH(A90, Carbon_Intensity_private_vehicles_by_fuel_type_[#Headers],0),FALSE)</f>
        <v>123.92482689257048</v>
      </c>
      <c r="I90" s="35">
        <f t="shared" si="9"/>
        <v>2795955827720.9321</v>
      </c>
      <c r="J90" s="35">
        <f t="shared" si="10"/>
        <v>2.795955827720932</v>
      </c>
      <c r="K90" s="28">
        <f>VLOOKUP(D90,Energy_intensity_private_vehicles_kwh_per_pkm[#All],MATCH(A90,Energy_intensity_private_vehicles_kwh_per_pkm[#Headers],0),FALSE)*100</f>
        <v>49.196040846594073</v>
      </c>
      <c r="L90" s="35">
        <f t="shared" si="11"/>
        <v>11099467358.955664</v>
      </c>
      <c r="M90" s="13">
        <f t="shared" si="12"/>
        <v>11099467.358955665</v>
      </c>
    </row>
    <row r="91" spans="1:13" x14ac:dyDescent="0.25">
      <c r="A91" s="89" t="s">
        <v>35</v>
      </c>
      <c r="B91" s="89" t="s">
        <v>428</v>
      </c>
      <c r="C91" s="89" t="s">
        <v>415</v>
      </c>
      <c r="D91" s="89" t="s">
        <v>18</v>
      </c>
      <c r="E91" s="35">
        <f>VLOOKUP(D91,Total_vehicle_activity[#All],MATCH(A91,Total_vehicle_activity[#Headers],0),FALSE)</f>
        <v>162705393</v>
      </c>
      <c r="F91" s="9">
        <f>Private_Vehicle_Occupancy_from_TIMES[]</f>
        <v>1.49</v>
      </c>
      <c r="G91" s="35">
        <f t="shared" si="14"/>
        <v>242431035.56999999</v>
      </c>
      <c r="H91" s="89">
        <f>VLOOKUP(D91,Carbon_Intensity_private_vehicles_by_fuel_type_[#All],MATCH(A91, Carbon_Intensity_private_vehicles_by_fuel_type_[#Headers],0),FALSE)</f>
        <v>30.543916912019906</v>
      </c>
      <c r="I91" s="35">
        <f t="shared" si="9"/>
        <v>7404793407.3450222</v>
      </c>
      <c r="J91" s="35">
        <f t="shared" si="10"/>
        <v>7.4047934073450221E-3</v>
      </c>
      <c r="K91" s="28">
        <f>VLOOKUP(D91,Energy_intensity_private_vehicles_kwh_per_pkm[#All],MATCH(A91,Energy_intensity_private_vehicles_kwh_per_pkm[#Headers],0),FALSE)*100</f>
        <v>7.3005279624219339</v>
      </c>
      <c r="L91" s="35">
        <f t="shared" si="11"/>
        <v>17698745.541376915</v>
      </c>
      <c r="M91" s="13">
        <f t="shared" si="12"/>
        <v>17698.745541376913</v>
      </c>
    </row>
    <row r="92" spans="1:13" x14ac:dyDescent="0.25">
      <c r="A92" s="89" t="s">
        <v>35</v>
      </c>
      <c r="B92" s="89" t="s">
        <v>428</v>
      </c>
      <c r="C92" s="89" t="s">
        <v>416</v>
      </c>
      <c r="D92" s="89" t="s">
        <v>19</v>
      </c>
      <c r="E92" s="35">
        <f>VLOOKUP(D92,Total_vehicle_activity[#All],MATCH(A92,Total_vehicle_activity[#Headers],0),FALSE)</f>
        <v>12039</v>
      </c>
      <c r="F92" s="9">
        <f>Private_Vehicle_Occupancy_from_TIMES[]</f>
        <v>1.49</v>
      </c>
      <c r="G92" s="35">
        <f t="shared" si="14"/>
        <v>17938.11</v>
      </c>
      <c r="H92" s="89">
        <f>VLOOKUP(D92,Carbon_Intensity_private_vehicles_by_fuel_type_[#All],MATCH(A92, Carbon_Intensity_private_vehicles_by_fuel_type_[#Headers],0),FALSE)</f>
        <v>37.392354332869573</v>
      </c>
      <c r="I92" s="35">
        <f t="shared" si="9"/>
        <v>670748.16518199106</v>
      </c>
      <c r="J92" s="35">
        <f t="shared" si="10"/>
        <v>6.7074816518199107E-7</v>
      </c>
      <c r="K92" s="28">
        <f>VLOOKUP(D92,Energy_intensity_private_vehicles_kwh_per_pkm[#All],MATCH(A92,Energy_intensity_private_vehicles_kwh_per_pkm[#Headers],0),FALSE)*100</f>
        <v>8.6870070274787903</v>
      </c>
      <c r="L92" s="35">
        <f t="shared" si="11"/>
        <v>1558.2848762968756</v>
      </c>
      <c r="M92" s="13">
        <f t="shared" si="12"/>
        <v>1.5582848762968755</v>
      </c>
    </row>
    <row r="93" spans="1:13" x14ac:dyDescent="0.25">
      <c r="A93" s="89" t="s">
        <v>35</v>
      </c>
      <c r="B93" s="89" t="s">
        <v>428</v>
      </c>
      <c r="C93" s="89" t="s">
        <v>417</v>
      </c>
      <c r="D93" s="89" t="s">
        <v>352</v>
      </c>
      <c r="E93" s="35">
        <f>VLOOKUP(D93,Total_vehicle_activity[#All],MATCH(A93,Total_vehicle_activity[#Headers],0),FALSE)</f>
        <v>16281443</v>
      </c>
      <c r="F93" s="9">
        <f>Private_Vehicle_Occupancy_from_TIMES[]</f>
        <v>1.49</v>
      </c>
      <c r="G93" s="35">
        <f t="shared" si="14"/>
        <v>24259350.07</v>
      </c>
      <c r="H93" s="89">
        <f>VLOOKUP(D93,Carbon_Intensity_private_vehicles_by_fuel_type_[#All],MATCH(A93, Carbon_Intensity_private_vehicles_by_fuel_type_[#Headers],0),FALSE)</f>
        <v>46.405906040268448</v>
      </c>
      <c r="I93" s="35">
        <f t="shared" si="9"/>
        <v>1125777119.9463999</v>
      </c>
      <c r="J93" s="35">
        <f t="shared" si="10"/>
        <v>1.1257771199463999E-3</v>
      </c>
      <c r="K93" s="28">
        <f>VLOOKUP(D93,Energy_intensity_private_vehicles_kwh_per_pkm[#All],MATCH(A93,Energy_intensity_private_vehicles_kwh_per_pkm[#Headers],0),FALSE)*100</f>
        <v>10.201342281879194</v>
      </c>
      <c r="L93" s="35">
        <f t="shared" si="11"/>
        <v>2474779.3360000001</v>
      </c>
      <c r="M93" s="13">
        <f t="shared" si="12"/>
        <v>2474.7793360000001</v>
      </c>
    </row>
    <row r="94" spans="1:13" x14ac:dyDescent="0.25">
      <c r="A94" s="89" t="s">
        <v>36</v>
      </c>
      <c r="B94" s="89" t="s">
        <v>427</v>
      </c>
      <c r="C94" s="175" t="s">
        <v>474</v>
      </c>
      <c r="D94" s="89" t="s">
        <v>71</v>
      </c>
      <c r="E94" s="35">
        <f>VLOOKUP(C94,Vehicle_Kilometres_Public_Transport[#All],MATCH(A94,Vehicle_Kilometres_Public_Transport[#Headers],0),FALSE)</f>
        <v>15960000</v>
      </c>
      <c r="F94" s="9">
        <f>VLOOKUP(C94,Occupancy_of_Public_Transport[#All],MATCH(A94,Occupancy_of_Public_Transport[#Headers],0),FALSE)</f>
        <v>147.07685861733168</v>
      </c>
      <c r="G94" s="35">
        <f>VLOOKUP(C94,Passenger_Kilometres_Public_Transport[#All],MATCH(A94, Passenger_Kilometres_Public_Transport[#Headers],0),FALSE)</f>
        <v>2347346663.5326138</v>
      </c>
      <c r="H94" s="89">
        <f>VLOOKUP(D94,Carbon_Intensity_Irish_Rail[#All],MATCH(A94, Carbon_Intensity_Irish_Rail[#Headers],0),FALSE)</f>
        <v>48.230243005360435</v>
      </c>
      <c r="I94" s="35">
        <f t="shared" si="9"/>
        <v>113213100000</v>
      </c>
      <c r="J94" s="35">
        <f t="shared" si="10"/>
        <v>0.1132131</v>
      </c>
      <c r="K94" s="28">
        <f>VLOOKUP(D94,Energy_Intensity_by_fuel_type_Irish_Rail[#All],MATCH(A94, Energy_Intensity_by_fuel_type_Irish_Rail[#Headers],0),FALSE)*100</f>
        <v>18.275954151330215</v>
      </c>
      <c r="L94" s="35">
        <f t="shared" si="11"/>
        <v>429000000</v>
      </c>
      <c r="M94" s="13">
        <f t="shared" si="12"/>
        <v>429000</v>
      </c>
    </row>
    <row r="95" spans="1:13" x14ac:dyDescent="0.25">
      <c r="A95" s="89" t="s">
        <v>36</v>
      </c>
      <c r="B95" s="89" t="s">
        <v>427</v>
      </c>
      <c r="C95" s="175" t="s">
        <v>474</v>
      </c>
      <c r="D95" s="89" t="s">
        <v>72</v>
      </c>
      <c r="E95" s="35">
        <f>VLOOKUP(C95,Vehicle_Kilometres_Public_Transport[#All],MATCH(A95,Vehicle_Kilometres_Public_Transport[#Headers],0),FALSE)</f>
        <v>15960000</v>
      </c>
      <c r="F95" s="9">
        <f>VLOOKUP(C95,Occupancy_of_Public_Transport[#All],MATCH(A95,Occupancy_of_Public_Transport[#Headers],0),FALSE)</f>
        <v>147.07685861733168</v>
      </c>
      <c r="G95" s="35">
        <f>VLOOKUP(C95,Passenger_Kilometres_Public_Transport[#All],MATCH(A95, Passenger_Kilometres_Public_Transport[#Headers],0),FALSE)</f>
        <v>2347346663.5326138</v>
      </c>
      <c r="H95" s="89">
        <f>VLOOKUP(D95,Carbon_Intensity_Irish_Rail[#All],MATCH(A95, Carbon_Intensity_Irish_Rail[#Headers],0),FALSE)</f>
        <v>0.84985742881189186</v>
      </c>
      <c r="I95" s="35">
        <f t="shared" si="9"/>
        <v>1994910000.0000002</v>
      </c>
      <c r="J95" s="35">
        <f t="shared" si="10"/>
        <v>1.9949100000000003E-3</v>
      </c>
      <c r="K95" s="28">
        <f>VLOOKUP(D95,Energy_Intensity_by_fuel_type_Irish_Rail[#All],MATCH(A95, Energy_Intensity_by_fuel_type_Irish_Rail[#Headers],0),FALSE)*100</f>
        <v>0.37063123803396941</v>
      </c>
      <c r="L95" s="35">
        <f t="shared" si="11"/>
        <v>8700000.0000000019</v>
      </c>
      <c r="M95" s="13">
        <f t="shared" si="12"/>
        <v>8700.0000000000018</v>
      </c>
    </row>
    <row r="96" spans="1:13" x14ac:dyDescent="0.25">
      <c r="A96" s="89" t="s">
        <v>36</v>
      </c>
      <c r="B96" s="89" t="s">
        <v>427</v>
      </c>
      <c r="C96" s="175" t="s">
        <v>474</v>
      </c>
      <c r="D96" s="89" t="s">
        <v>73</v>
      </c>
      <c r="E96" s="35">
        <f>VLOOKUP(C96,Vehicle_Kilometres_Public_Transport[#All],MATCH(A96,Vehicle_Kilometres_Public_Transport[#Headers],0),FALSE)</f>
        <v>15960000</v>
      </c>
      <c r="F96" s="9">
        <f>VLOOKUP(C96,Occupancy_of_Public_Transport[#All],MATCH(A96,Occupancy_of_Public_Transport[#Headers],0),FALSE)</f>
        <v>147.07685861733168</v>
      </c>
      <c r="G96" s="35">
        <f>VLOOKUP(C96,Passenger_Kilometres_Public_Transport[#All],MATCH(A96, Passenger_Kilometres_Public_Transport[#Headers],0),FALSE)</f>
        <v>2347346663.5326138</v>
      </c>
      <c r="H96" s="89">
        <f>VLOOKUP(D96,Carbon_Intensity_Irish_Rail[#All],MATCH(A96, Carbon_Intensity_Irish_Rail[#Headers],0),FALSE)</f>
        <v>12.149982251483385</v>
      </c>
      <c r="I96" s="35">
        <f t="shared" si="9"/>
        <v>28520220299.999996</v>
      </c>
      <c r="J96" s="35">
        <f t="shared" si="10"/>
        <v>2.8520220299999996E-2</v>
      </c>
      <c r="K96" s="28">
        <f>VLOOKUP(D96,Energy_Intensity_by_fuel_type_Irish_Rail[#All],MATCH(A96, Energy_Intensity_by_fuel_type_Irish_Rail[#Headers],0),FALSE)*100</f>
        <v>2.6134614436402206</v>
      </c>
      <c r="L96" s="35">
        <f t="shared" si="11"/>
        <v>61347000</v>
      </c>
      <c r="M96" s="13">
        <f t="shared" si="12"/>
        <v>61347</v>
      </c>
    </row>
    <row r="97" spans="1:13" x14ac:dyDescent="0.25">
      <c r="A97" s="89" t="s">
        <v>36</v>
      </c>
      <c r="B97" s="89" t="s">
        <v>427</v>
      </c>
      <c r="C97" s="175" t="s">
        <v>475</v>
      </c>
      <c r="D97" s="89" t="s">
        <v>73</v>
      </c>
      <c r="E97" s="35">
        <f>VLOOKUP(C97,Vehicle_Kilometres_Public_Transport[#All],MATCH(A97,Vehicle_Kilometres_Public_Transport[#Headers],0),FALSE)</f>
        <v>3490000</v>
      </c>
      <c r="F97" s="9">
        <f>VLOOKUP(C97,Occupancy_of_Public_Transport[#All],MATCH(A97,Occupancy_of_Public_Transport[#Headers],0),FALSE)</f>
        <v>116.93984810158405</v>
      </c>
      <c r="G97" s="35">
        <f>VLOOKUP(C97,Passenger_Kilometres_Public_Transport[#All],MATCH(A97, Passenger_Kilometres_Public_Transport[#Headers],0),FALSE)</f>
        <v>408120069.87452835</v>
      </c>
      <c r="H97" s="89">
        <f>VLOOKUP(D97,Carbon_Intensity_Luas[#All],MATCH(A97, Carbon_Intensity_Luas[#Headers],0),FALSE)</f>
        <v>23.921636598272382</v>
      </c>
      <c r="I97" s="35">
        <f t="shared" si="9"/>
        <v>9762900000</v>
      </c>
      <c r="J97" s="35">
        <f t="shared" si="10"/>
        <v>9.7628999999999997E-3</v>
      </c>
      <c r="K97" s="28">
        <f>VLOOKUP(D97,Energy_Intensity_by_fuel_type_Irish_Rail[#All],MATCH(A97, Energy_Intensity_by_fuel_type_Irish_Rail[#Headers],0),FALSE)*100</f>
        <v>2.6134614436402206</v>
      </c>
      <c r="L97" s="35">
        <f t="shared" si="11"/>
        <v>10666060.669928325</v>
      </c>
      <c r="M97" s="13">
        <f t="shared" si="12"/>
        <v>10666.060669928325</v>
      </c>
    </row>
    <row r="98" spans="1:13" x14ac:dyDescent="0.25">
      <c r="A98" s="89" t="s">
        <v>36</v>
      </c>
      <c r="B98" s="89" t="s">
        <v>427</v>
      </c>
      <c r="C98" s="175" t="s">
        <v>473</v>
      </c>
      <c r="D98" s="89" t="s">
        <v>71</v>
      </c>
      <c r="E98" s="35">
        <f>VLOOKUP(C98,Vehicle_Kilometres_Public_Transport[#All],MATCH(A98,Vehicle_Kilometres_Public_Transport[#Headers],0),FALSE)</f>
        <v>170602000</v>
      </c>
      <c r="F98" s="9">
        <f>VLOOKUP(C98,Occupancy_of_Public_Transport[#All],MATCH(A98,Occupancy_of_Public_Transport[#Headers],0),FALSE)</f>
        <v>5.188060242389148</v>
      </c>
      <c r="G98" s="35">
        <f>VLOOKUP(C98,Passenger_Kilometres_Public_Transport[#All],MATCH(A98, Passenger_Kilometres_Public_Transport[#Headers],0),FALSE)</f>
        <v>885093453.47207344</v>
      </c>
      <c r="H98" s="89">
        <f>VLOOKUP(D98,Carbon_Intensity_Bus_Éireann[#All],MATCH(A98, Carbon_Intensity_Bus_Éireann[#Headers],0),FALSE)</f>
        <v>87.104341126428309</v>
      </c>
      <c r="I98" s="35">
        <f t="shared" si="9"/>
        <v>77095482099.999985</v>
      </c>
      <c r="J98" s="35">
        <f t="shared" si="10"/>
        <v>7.7095482099999987E-2</v>
      </c>
      <c r="K98" s="28">
        <f>VLOOKUP(D98,Energy_Intensity_by_fuel_type_Irish_Rail[#All],MATCH(A98, Energy_Intensity_by_fuel_type_Irish_Rail[#Headers],0),FALSE)*100</f>
        <v>18.275954151330215</v>
      </c>
      <c r="L98" s="35">
        <f t="shared" si="11"/>
        <v>161759273.75298136</v>
      </c>
      <c r="M98" s="13">
        <f t="shared" si="12"/>
        <v>161759.27375298136</v>
      </c>
    </row>
    <row r="99" spans="1:13" x14ac:dyDescent="0.25">
      <c r="A99" s="89" t="s">
        <v>36</v>
      </c>
      <c r="B99" s="89" t="s">
        <v>427</v>
      </c>
      <c r="C99" s="175" t="s">
        <v>473</v>
      </c>
      <c r="D99" s="89" t="s">
        <v>72</v>
      </c>
      <c r="E99" s="35">
        <f>VLOOKUP(C99,Vehicle_Kilometres_Public_Transport[#All],MATCH(A99,Vehicle_Kilometres_Public_Transport[#Headers],0),FALSE)</f>
        <v>170602000</v>
      </c>
      <c r="F99" s="9">
        <f>VLOOKUP(C99,Occupancy_of_Public_Transport[#All],MATCH(A99,Occupancy_of_Public_Transport[#Headers],0),FALSE)</f>
        <v>5.188060242389148</v>
      </c>
      <c r="G99" s="35">
        <f>VLOOKUP(C99,Passenger_Kilometres_Public_Transport[#All],MATCH(A99, Passenger_Kilometres_Public_Transport[#Headers],0),FALSE)</f>
        <v>885093453.47207344</v>
      </c>
      <c r="H99" s="89">
        <f>VLOOKUP(D99,Carbon_Intensity_Bus_Éireann[#All],MATCH(A99, Carbon_Intensity_Bus_Éireann[#Headers],0),FALSE)</f>
        <v>1.3388669810530804</v>
      </c>
      <c r="I99" s="35">
        <f t="shared" si="9"/>
        <v>1185022400</v>
      </c>
      <c r="J99" s="35">
        <f t="shared" si="10"/>
        <v>1.1850223999999999E-3</v>
      </c>
      <c r="K99" s="28">
        <f>VLOOKUP(D99,Energy_Intensity_by_fuel_type_Irish_Rail[#All],MATCH(A99, Energy_Intensity_by_fuel_type_Irish_Rail[#Headers],0),FALSE)*100</f>
        <v>0.37063123803396941</v>
      </c>
      <c r="L99" s="35">
        <f t="shared" si="11"/>
        <v>3280432.8243611609</v>
      </c>
      <c r="M99" s="13">
        <f t="shared" si="12"/>
        <v>3280.4328243611608</v>
      </c>
    </row>
    <row r="100" spans="1:13" x14ac:dyDescent="0.25">
      <c r="A100" s="89" t="s">
        <v>36</v>
      </c>
      <c r="B100" s="89" t="s">
        <v>427</v>
      </c>
      <c r="C100" s="175" t="s">
        <v>473</v>
      </c>
      <c r="D100" s="89" t="s">
        <v>73</v>
      </c>
      <c r="E100" s="35">
        <f>VLOOKUP(C100,Vehicle_Kilometres_Public_Transport[#All],MATCH(A100,Vehicle_Kilometres_Public_Transport[#Headers],0),FALSE)</f>
        <v>170602000</v>
      </c>
      <c r="F100" s="9">
        <f>VLOOKUP(C100,Occupancy_of_Public_Transport[#All],MATCH(A100,Occupancy_of_Public_Transport[#Headers],0),FALSE)</f>
        <v>5.188060242389148</v>
      </c>
      <c r="G100" s="35">
        <f>VLOOKUP(C100,Passenger_Kilometres_Public_Transport[#All],MATCH(A100, Passenger_Kilometres_Public_Transport[#Headers],0),FALSE)</f>
        <v>885093453.47207344</v>
      </c>
      <c r="H100" s="89">
        <f>VLOOKUP(D100,Carbon_Intensity_Bus_Éireann[#All],MATCH(A100, Carbon_Intensity_Bus_Éireann[#Headers],0),FALSE)</f>
        <v>2.9613892066626852</v>
      </c>
      <c r="I100" s="35">
        <f t="shared" si="9"/>
        <v>2621106200</v>
      </c>
      <c r="J100" s="35">
        <f t="shared" si="10"/>
        <v>2.6211061999999999E-3</v>
      </c>
      <c r="K100" s="28">
        <f>VLOOKUP(D100,Energy_Intensity_by_fuel_type_Irish_Rail[#All],MATCH(A100, Energy_Intensity_by_fuel_type_Irish_Rail[#Headers],0),FALSE)*100</f>
        <v>2.6134614436402206</v>
      </c>
      <c r="L100" s="35">
        <f t="shared" si="11"/>
        <v>23131576.146676335</v>
      </c>
      <c r="M100" s="13">
        <f t="shared" si="12"/>
        <v>23131.576146676336</v>
      </c>
    </row>
    <row r="101" spans="1:13" x14ac:dyDescent="0.25">
      <c r="A101" s="89" t="s">
        <v>36</v>
      </c>
      <c r="B101" s="89" t="s">
        <v>427</v>
      </c>
      <c r="C101" s="175" t="s">
        <v>472</v>
      </c>
      <c r="D101" s="89" t="s">
        <v>71</v>
      </c>
      <c r="E101" s="35">
        <f>VLOOKUP(C101,Vehicle_Kilometres_Public_Transport[#All],MATCH(A101,Vehicle_Kilometres_Public_Transport[#Headers],0),FALSE)</f>
        <v>57300000</v>
      </c>
      <c r="F101" s="9">
        <f>VLOOKUP(C101,Occupancy_of_Public_Transport[#All],MATCH(A101,Occupancy_of_Public_Transport[#Headers],0),FALSE)</f>
        <v>20.246679681926519</v>
      </c>
      <c r="G101" s="35">
        <f>VLOOKUP(C101,Passenger_Kilometres_Public_Transport[#All],MATCH(A101, Passenger_Kilometres_Public_Transport[#Headers],0),FALSE)</f>
        <v>1160134745.7743895</v>
      </c>
      <c r="H101" s="89">
        <f>VLOOKUP(D101,Carbon_Intensity_Dublin_Bus[#All],MATCH(A101, Carbon_Intensity_Dublin_Bus[#Headers],0),FALSE)</f>
        <v>63.329781103106328</v>
      </c>
      <c r="I101" s="35">
        <f t="shared" si="9"/>
        <v>73471079500</v>
      </c>
      <c r="J101" s="35">
        <f t="shared" si="10"/>
        <v>7.3471079499999994E-2</v>
      </c>
      <c r="K101" s="28">
        <f>VLOOKUP(D101,Energy_Intensity_by_fuel_type_Irish_Rail[#All],MATCH(A101, Energy_Intensity_by_fuel_type_Irish_Rail[#Headers],0),FALSE)*100</f>
        <v>18.275954151330215</v>
      </c>
      <c r="L101" s="35">
        <f t="shared" si="11"/>
        <v>212025694.23137879</v>
      </c>
      <c r="M101" s="13">
        <f t="shared" si="12"/>
        <v>212025.69423137879</v>
      </c>
    </row>
    <row r="102" spans="1:13" x14ac:dyDescent="0.25">
      <c r="A102" s="89" t="s">
        <v>36</v>
      </c>
      <c r="B102" s="89" t="s">
        <v>427</v>
      </c>
      <c r="C102" s="175" t="s">
        <v>472</v>
      </c>
      <c r="D102" s="89" t="s">
        <v>72</v>
      </c>
      <c r="E102" s="35">
        <f>VLOOKUP(C102,Vehicle_Kilometres_Public_Transport[#All],MATCH(A102,Vehicle_Kilometres_Public_Transport[#Headers],0),FALSE)</f>
        <v>57300000</v>
      </c>
      <c r="F102" s="9">
        <f>VLOOKUP(C102,Occupancy_of_Public_Transport[#All],MATCH(A102,Occupancy_of_Public_Transport[#Headers],0),FALSE)</f>
        <v>20.246679681926519</v>
      </c>
      <c r="G102" s="35">
        <f>VLOOKUP(C102,Passenger_Kilometres_Public_Transport[#All],MATCH(A102, Passenger_Kilometres_Public_Transport[#Headers],0),FALSE)</f>
        <v>1160134745.7743895</v>
      </c>
      <c r="H102" s="89">
        <f>VLOOKUP(D102,Carbon_Intensity_Dublin_Bus[#All],MATCH(A102, Carbon_Intensity_Dublin_Bus[#Headers],0),FALSE)</f>
        <v>2.2707945862284475</v>
      </c>
      <c r="I102" s="35">
        <f t="shared" si="9"/>
        <v>2634427700</v>
      </c>
      <c r="J102" s="35">
        <f t="shared" si="10"/>
        <v>2.6344277000000002E-3</v>
      </c>
      <c r="K102" s="28">
        <f>VLOOKUP(D102,Energy_Intensity_by_fuel_type_Irish_Rail[#All],MATCH(A102, Energy_Intensity_by_fuel_type_Irish_Rail[#Headers],0),FALSE)*100</f>
        <v>0.37063123803396941</v>
      </c>
      <c r="L102" s="35">
        <f t="shared" si="11"/>
        <v>4299821.7711258633</v>
      </c>
      <c r="M102" s="13">
        <f t="shared" si="12"/>
        <v>4299.8217711258631</v>
      </c>
    </row>
    <row r="103" spans="1:13" x14ac:dyDescent="0.25">
      <c r="A103" s="89" t="s">
        <v>36</v>
      </c>
      <c r="B103" s="89" t="s">
        <v>427</v>
      </c>
      <c r="C103" s="175" t="s">
        <v>472</v>
      </c>
      <c r="D103" s="89" t="s">
        <v>73</v>
      </c>
      <c r="E103" s="35">
        <f>VLOOKUP(C103,Vehicle_Kilometres_Public_Transport[#All],MATCH(A103,Vehicle_Kilometres_Public_Transport[#Headers],0),FALSE)</f>
        <v>57300000</v>
      </c>
      <c r="F103" s="9">
        <f>VLOOKUP(C103,Occupancy_of_Public_Transport[#All],MATCH(A103,Occupancy_of_Public_Transport[#Headers],0),FALSE)</f>
        <v>20.246679681926519</v>
      </c>
      <c r="G103" s="35">
        <f>VLOOKUP(C103,Passenger_Kilometres_Public_Transport[#All],MATCH(A103, Passenger_Kilometres_Public_Transport[#Headers],0),FALSE)</f>
        <v>1160134745.7743895</v>
      </c>
      <c r="H103" s="89">
        <f>VLOOKUP(D103,Carbon_Intensity_Dublin_Bus[#All],MATCH(A103, Carbon_Intensity_Dublin_Bus[#Headers],0),FALSE)</f>
        <v>1.8489650515278557</v>
      </c>
      <c r="I103" s="35">
        <f t="shared" si="9"/>
        <v>2145048600</v>
      </c>
      <c r="J103" s="35">
        <f t="shared" si="10"/>
        <v>2.1450485999999999E-3</v>
      </c>
      <c r="K103" s="28">
        <f>VLOOKUP(D103,Energy_Intensity_by_fuel_type_Irish_Rail[#All],MATCH(A103, Energy_Intensity_by_fuel_type_Irish_Rail[#Headers],0),FALSE)*100</f>
        <v>2.6134614436402206</v>
      </c>
      <c r="L103" s="35">
        <f t="shared" si="11"/>
        <v>30319674.275087163</v>
      </c>
      <c r="M103" s="13">
        <f t="shared" si="12"/>
        <v>30319.674275087164</v>
      </c>
    </row>
    <row r="104" spans="1:13" x14ac:dyDescent="0.25">
      <c r="A104" s="89" t="s">
        <v>36</v>
      </c>
      <c r="B104" s="89" t="s">
        <v>428</v>
      </c>
      <c r="C104" s="82" t="s">
        <v>413</v>
      </c>
      <c r="D104" s="89" t="s">
        <v>71</v>
      </c>
      <c r="E104" s="35">
        <f>VLOOKUP(D104,Total_vehicle_activity[#All],MATCH(A104,Total_vehicle_activity[#Headers],0),FALSE)</f>
        <v>21618978317</v>
      </c>
      <c r="F104" s="9">
        <f>Private_Vehicle_Occupancy_from_TIMES[]</f>
        <v>1.49</v>
      </c>
      <c r="G104" s="35">
        <f t="shared" ref="G104:G108" si="15">E104*F104</f>
        <v>32212277692.329998</v>
      </c>
      <c r="H104" s="89">
        <f>VLOOKUP(D104,Carbon_Intensity_private_vehicles_by_fuel_type_[#All],MATCH(A104, Carbon_Intensity_private_vehicles_by_fuel_type_[#Headers],0),FALSE)</f>
        <v>123.90473187717517</v>
      </c>
      <c r="I104" s="35">
        <f t="shared" si="9"/>
        <v>3991253630621.2593</v>
      </c>
      <c r="J104" s="35">
        <f t="shared" si="10"/>
        <v>3.9912536306212592</v>
      </c>
      <c r="K104" s="28">
        <f>VLOOKUP(D104,Energy_intensity_private_vehicles_kwh_per_pkm[#All],MATCH(A104,Energy_intensity_private_vehicles_kwh_per_pkm[#Headers],0),FALSE)*100</f>
        <v>46.951395178922006</v>
      </c>
      <c r="L104" s="35">
        <f t="shared" si="11"/>
        <v>15124113795.457596</v>
      </c>
      <c r="M104" s="13">
        <f t="shared" si="12"/>
        <v>15124113.795457596</v>
      </c>
    </row>
    <row r="105" spans="1:13" x14ac:dyDescent="0.25">
      <c r="A105" s="89" t="s">
        <v>36</v>
      </c>
      <c r="B105" s="89" t="s">
        <v>428</v>
      </c>
      <c r="C105" s="89" t="s">
        <v>414</v>
      </c>
      <c r="D105" s="89" t="s">
        <v>75</v>
      </c>
      <c r="E105" s="35">
        <f>VLOOKUP(D105,Total_vehicle_activity[#All],MATCH(A105,Total_vehicle_activity[#Headers],0),FALSE)</f>
        <v>14318726283</v>
      </c>
      <c r="F105" s="9">
        <f>Private_Vehicle_Occupancy_from_TIMES[]</f>
        <v>1.49</v>
      </c>
      <c r="G105" s="35">
        <f t="shared" si="15"/>
        <v>21334902161.669998</v>
      </c>
      <c r="H105" s="89">
        <f>VLOOKUP(D105,Carbon_Intensity_private_vehicles_by_fuel_type_[#All],MATCH(A105, Carbon_Intensity_private_vehicles_by_fuel_type_[#Headers],0),FALSE)</f>
        <v>122.33232964196444</v>
      </c>
      <c r="I105" s="35">
        <f t="shared" si="9"/>
        <v>2609948284120.4736</v>
      </c>
      <c r="J105" s="35">
        <f t="shared" si="10"/>
        <v>2.6099482841204735</v>
      </c>
      <c r="K105" s="28">
        <f>VLOOKUP(D105,Energy_intensity_private_vehicles_kwh_per_pkm[#All],MATCH(A105,Energy_intensity_private_vehicles_kwh_per_pkm[#Headers],0),FALSE)*100</f>
        <v>48.563846622455117</v>
      </c>
      <c r="L105" s="35">
        <f t="shared" si="11"/>
        <v>10361049162.844278</v>
      </c>
      <c r="M105" s="13">
        <f t="shared" si="12"/>
        <v>10361049.162844278</v>
      </c>
    </row>
    <row r="106" spans="1:13" x14ac:dyDescent="0.25">
      <c r="A106" s="89" t="s">
        <v>36</v>
      </c>
      <c r="B106" s="89" t="s">
        <v>428</v>
      </c>
      <c r="C106" s="89" t="s">
        <v>415</v>
      </c>
      <c r="D106" s="89" t="s">
        <v>18</v>
      </c>
      <c r="E106" s="35">
        <f>VLOOKUP(D106,Total_vehicle_activity[#All],MATCH(A106,Total_vehicle_activity[#Headers],0),FALSE)</f>
        <v>202000218</v>
      </c>
      <c r="F106" s="9">
        <f>Private_Vehicle_Occupancy_from_TIMES[]</f>
        <v>1.49</v>
      </c>
      <c r="G106" s="35">
        <f t="shared" si="15"/>
        <v>300980324.81999999</v>
      </c>
      <c r="H106" s="89">
        <f>VLOOKUP(D106,Carbon_Intensity_private_vehicles_by_fuel_type_[#All],MATCH(A106, Carbon_Intensity_private_vehicles_by_fuel_type_[#Headers],0),FALSE)</f>
        <v>31.665763212865645</v>
      </c>
      <c r="I106" s="35">
        <f t="shared" si="9"/>
        <v>9530771697.4815083</v>
      </c>
      <c r="J106" s="35">
        <f t="shared" si="10"/>
        <v>9.5307716974815087E-3</v>
      </c>
      <c r="K106" s="28">
        <f>VLOOKUP(D106,Energy_intensity_private_vehicles_kwh_per_pkm[#All],MATCH(A106,Energy_intensity_private_vehicles_kwh_per_pkm[#Headers],0),FALSE)*100</f>
        <v>7.4683297454729649</v>
      </c>
      <c r="L106" s="35">
        <f t="shared" si="11"/>
        <v>22478203.126553208</v>
      </c>
      <c r="M106" s="13">
        <f t="shared" si="12"/>
        <v>22478.203126553206</v>
      </c>
    </row>
    <row r="107" spans="1:13" x14ac:dyDescent="0.25">
      <c r="A107" s="89" t="s">
        <v>36</v>
      </c>
      <c r="B107" s="89" t="s">
        <v>428</v>
      </c>
      <c r="C107" s="89" t="s">
        <v>416</v>
      </c>
      <c r="D107" s="89" t="s">
        <v>19</v>
      </c>
      <c r="E107" s="35">
        <f>VLOOKUP(D107,Total_vehicle_activity[#All],MATCH(A107,Total_vehicle_activity[#Headers],0),FALSE)</f>
        <v>6601685</v>
      </c>
      <c r="F107" s="9">
        <f>Private_Vehicle_Occupancy_from_TIMES[]</f>
        <v>1.49</v>
      </c>
      <c r="G107" s="35">
        <f t="shared" si="15"/>
        <v>9836510.6500000004</v>
      </c>
      <c r="H107" s="89">
        <f>VLOOKUP(D107,Carbon_Intensity_private_vehicles_by_fuel_type_[#All],MATCH(A107, Carbon_Intensity_private_vehicles_by_fuel_type_[#Headers],0),FALSE)</f>
        <v>38.072156931546218</v>
      </c>
      <c r="I107" s="35">
        <f t="shared" si="9"/>
        <v>374497177.12562573</v>
      </c>
      <c r="J107" s="35">
        <f t="shared" si="10"/>
        <v>3.7449717712562575E-4</v>
      </c>
      <c r="K107" s="28">
        <f>VLOOKUP(D107,Energy_intensity_private_vehicles_kwh_per_pkm[#All],MATCH(A107,Energy_intensity_private_vehicles_kwh_per_pkm[#Headers],0),FALSE)*100</f>
        <v>8.6870070274787903</v>
      </c>
      <c r="L107" s="35">
        <f t="shared" si="11"/>
        <v>854498.37142419966</v>
      </c>
      <c r="M107" s="13">
        <f t="shared" si="12"/>
        <v>854.49837142419972</v>
      </c>
    </row>
    <row r="108" spans="1:13" x14ac:dyDescent="0.25">
      <c r="A108" s="89" t="s">
        <v>36</v>
      </c>
      <c r="B108" s="89" t="s">
        <v>428</v>
      </c>
      <c r="C108" s="89" t="s">
        <v>417</v>
      </c>
      <c r="D108" s="89" t="s">
        <v>352</v>
      </c>
      <c r="E108" s="35">
        <f>VLOOKUP(D108,Total_vehicle_activity[#All],MATCH(A108,Total_vehicle_activity[#Headers],0),FALSE)</f>
        <v>24853198</v>
      </c>
      <c r="F108" s="9">
        <f>Private_Vehicle_Occupancy_from_TIMES[]</f>
        <v>1.49</v>
      </c>
      <c r="G108" s="35">
        <f t="shared" si="15"/>
        <v>37031265.020000003</v>
      </c>
      <c r="H108" s="89">
        <f>VLOOKUP(D108,Carbon_Intensity_private_vehicles_by_fuel_type_[#All],MATCH(A108, Carbon_Intensity_private_vehicles_by_fuel_type_[#Headers],0),FALSE)</f>
        <v>47.426040268456376</v>
      </c>
      <c r="I108" s="35">
        <f t="shared" si="9"/>
        <v>1756246266.0304</v>
      </c>
      <c r="J108" s="35">
        <f t="shared" si="10"/>
        <v>1.7562462660304001E-3</v>
      </c>
      <c r="K108" s="28">
        <f>VLOOKUP(D108,Energy_intensity_private_vehicles_kwh_per_pkm[#All],MATCH(A108,Energy_intensity_private_vehicles_kwh_per_pkm[#Headers],0),FALSE)*100</f>
        <v>10.201342281879194</v>
      </c>
      <c r="L108" s="35">
        <f t="shared" si="11"/>
        <v>3777686.0960000004</v>
      </c>
      <c r="M108" s="13">
        <f t="shared" si="12"/>
        <v>3777.6860960000004</v>
      </c>
    </row>
    <row r="109" spans="1:13" x14ac:dyDescent="0.25">
      <c r="A109" s="89" t="s">
        <v>37</v>
      </c>
      <c r="B109" s="89" t="s">
        <v>427</v>
      </c>
      <c r="C109" s="175" t="s">
        <v>474</v>
      </c>
      <c r="D109" s="89" t="s">
        <v>71</v>
      </c>
      <c r="E109" s="35">
        <f>VLOOKUP(C109,Vehicle_Kilometres_Public_Transport[#All],MATCH(A109,Vehicle_Kilometres_Public_Transport[#Headers],0),FALSE)</f>
        <v>15010000</v>
      </c>
      <c r="F109" s="9">
        <f>VLOOKUP(C109,Occupancy_of_Public_Transport[#All],MATCH(A109,Occupancy_of_Public_Transport[#Headers],0),FALSE)</f>
        <v>152.75997651535548</v>
      </c>
      <c r="G109" s="35">
        <f>VLOOKUP(C109,Passenger_Kilometres_Public_Transport[#All],MATCH(A109, Passenger_Kilometres_Public_Transport[#Headers],0),FALSE)</f>
        <v>2292927247.4954858</v>
      </c>
      <c r="H109" s="89">
        <f>VLOOKUP(D109,Carbon_Intensity_Irish_Rail[#All],MATCH(A109, Carbon_Intensity_Irish_Rail[#Headers],0),FALSE)</f>
        <v>50.410757744823542</v>
      </c>
      <c r="I109" s="35">
        <f t="shared" si="9"/>
        <v>115588199999.99998</v>
      </c>
      <c r="J109" s="35">
        <f t="shared" si="10"/>
        <v>0.11558819999999999</v>
      </c>
      <c r="K109" s="28">
        <f>VLOOKUP(D109,Energy_Intensity_by_fuel_type_Irish_Rail[#All],MATCH(A109, Energy_Intensity_by_fuel_type_Irish_Rail[#Headers],0),FALSE)*100</f>
        <v>19.102219683525405</v>
      </c>
      <c r="L109" s="35">
        <f t="shared" si="11"/>
        <v>438000000</v>
      </c>
      <c r="M109" s="13">
        <f t="shared" si="12"/>
        <v>438000</v>
      </c>
    </row>
    <row r="110" spans="1:13" x14ac:dyDescent="0.25">
      <c r="A110" s="89" t="s">
        <v>37</v>
      </c>
      <c r="B110" s="89" t="s">
        <v>427</v>
      </c>
      <c r="C110" s="175" t="s">
        <v>474</v>
      </c>
      <c r="D110" s="89" t="s">
        <v>72</v>
      </c>
      <c r="E110" s="35">
        <f>VLOOKUP(C110,Vehicle_Kilometres_Public_Transport[#All],MATCH(A110,Vehicle_Kilometres_Public_Transport[#Headers],0),FALSE)</f>
        <v>15010000</v>
      </c>
      <c r="F110" s="9">
        <f>VLOOKUP(C110,Occupancy_of_Public_Transport[#All],MATCH(A110,Occupancy_of_Public_Transport[#Headers],0),FALSE)</f>
        <v>152.75997651535548</v>
      </c>
      <c r="G110" s="35">
        <f>VLOOKUP(C110,Passenger_Kilometres_Public_Transport[#All],MATCH(A110, Passenger_Kilometres_Public_Transport[#Headers],0),FALSE)</f>
        <v>2292927247.4954858</v>
      </c>
      <c r="H110" s="89">
        <f>VLOOKUP(D110,Carbon_Intensity_Irish_Rail[#All],MATCH(A110, Carbon_Intensity_Irish_Rail[#Headers],0),FALSE)</f>
        <v>0.86002728702096887</v>
      </c>
      <c r="I110" s="35">
        <f t="shared" si="9"/>
        <v>1971980000.0000002</v>
      </c>
      <c r="J110" s="35">
        <f t="shared" si="10"/>
        <v>1.9719800000000003E-3</v>
      </c>
      <c r="K110" s="28">
        <f>VLOOKUP(D110,Energy_Intensity_by_fuel_type_Irish_Rail[#All],MATCH(A110, Energy_Intensity_by_fuel_type_Irish_Rail[#Headers],0),FALSE)*100</f>
        <v>0.3750664138774395</v>
      </c>
      <c r="L110" s="35">
        <f t="shared" si="11"/>
        <v>8600000</v>
      </c>
      <c r="M110" s="13">
        <f t="shared" si="12"/>
        <v>8600</v>
      </c>
    </row>
    <row r="111" spans="1:13" x14ac:dyDescent="0.25">
      <c r="A111" s="89" t="s">
        <v>37</v>
      </c>
      <c r="B111" s="89" t="s">
        <v>427</v>
      </c>
      <c r="C111" s="175" t="s">
        <v>474</v>
      </c>
      <c r="D111" s="89" t="s">
        <v>73</v>
      </c>
      <c r="E111" s="35">
        <f>VLOOKUP(C111,Vehicle_Kilometres_Public_Transport[#All],MATCH(A111,Vehicle_Kilometres_Public_Transport[#Headers],0),FALSE)</f>
        <v>15010000</v>
      </c>
      <c r="F111" s="9">
        <f>VLOOKUP(C111,Occupancy_of_Public_Transport[#All],MATCH(A111,Occupancy_of_Public_Transport[#Headers],0),FALSE)</f>
        <v>152.75997651535548</v>
      </c>
      <c r="G111" s="35">
        <f>VLOOKUP(C111,Passenger_Kilometres_Public_Transport[#All],MATCH(A111, Passenger_Kilometres_Public_Transport[#Headers],0),FALSE)</f>
        <v>2292927247.4954858</v>
      </c>
      <c r="H111" s="89">
        <f>VLOOKUP(D111,Carbon_Intensity_Irish_Rail[#All],MATCH(A111, Carbon_Intensity_Irish_Rail[#Headers],0),FALSE)</f>
        <v>13.275635166030241</v>
      </c>
      <c r="I111" s="35">
        <f t="shared" si="9"/>
        <v>30440065599.999996</v>
      </c>
      <c r="J111" s="35">
        <f t="shared" si="10"/>
        <v>3.0440065599999996E-2</v>
      </c>
      <c r="K111" s="28">
        <f>VLOOKUP(D111,Energy_Intensity_by_fuel_type_Irish_Rail[#All],MATCH(A111, Energy_Intensity_by_fuel_type_Irish_Rail[#Headers],0),FALSE)*100</f>
        <v>2.7634544475500089</v>
      </c>
      <c r="L111" s="35">
        <f t="shared" si="11"/>
        <v>63364000</v>
      </c>
      <c r="M111" s="13">
        <f t="shared" si="12"/>
        <v>63364</v>
      </c>
    </row>
    <row r="112" spans="1:13" x14ac:dyDescent="0.25">
      <c r="A112" s="89" t="s">
        <v>37</v>
      </c>
      <c r="B112" s="89" t="s">
        <v>427</v>
      </c>
      <c r="C112" s="175" t="s">
        <v>475</v>
      </c>
      <c r="D112" s="89" t="s">
        <v>73</v>
      </c>
      <c r="E112" s="35">
        <f>VLOOKUP(C112,Vehicle_Kilometres_Public_Transport[#All],MATCH(A112,Vehicle_Kilometres_Public_Transport[#Headers],0),FALSE)</f>
        <v>3660000</v>
      </c>
      <c r="F112" s="9">
        <f>VLOOKUP(C112,Occupancy_of_Public_Transport[#All],MATCH(A112,Occupancy_of_Public_Transport[#Headers],0),FALSE)</f>
        <v>126.37690871903175</v>
      </c>
      <c r="G112" s="35">
        <f>VLOOKUP(C112,Passenger_Kilometres_Public_Transport[#All],MATCH(A112, Passenger_Kilometres_Public_Transport[#Headers],0),FALSE)</f>
        <v>462539485.9116562</v>
      </c>
      <c r="H112" s="89">
        <f>VLOOKUP(D112,Carbon_Intensity_Luas[#All],MATCH(A112, Carbon_Intensity_Luas[#Headers],0),FALSE)</f>
        <v>21.810894652844528</v>
      </c>
      <c r="I112" s="35">
        <f t="shared" si="9"/>
        <v>10088400000</v>
      </c>
      <c r="J112" s="35">
        <f t="shared" si="10"/>
        <v>1.0088400000000001E-2</v>
      </c>
      <c r="K112" s="28">
        <f>VLOOKUP(D112,Energy_Intensity_by_fuel_type_Irish_Rail[#All],MATCH(A112, Energy_Intensity_by_fuel_type_Irish_Rail[#Headers],0),FALSE)*100</f>
        <v>2.7634544475500089</v>
      </c>
      <c r="L112" s="35">
        <f t="shared" si="11"/>
        <v>12782067.99510061</v>
      </c>
      <c r="M112" s="13">
        <f t="shared" si="12"/>
        <v>12782.06799510061</v>
      </c>
    </row>
    <row r="113" spans="1:13" x14ac:dyDescent="0.25">
      <c r="A113" s="89" t="s">
        <v>37</v>
      </c>
      <c r="B113" s="89" t="s">
        <v>427</v>
      </c>
      <c r="C113" s="175" t="s">
        <v>473</v>
      </c>
      <c r="D113" s="89" t="s">
        <v>71</v>
      </c>
      <c r="E113" s="35">
        <f>VLOOKUP(C113,Vehicle_Kilometres_Public_Transport[#All],MATCH(A113,Vehicle_Kilometres_Public_Transport[#Headers],0),FALSE)</f>
        <v>181752000</v>
      </c>
      <c r="F113" s="9">
        <f>VLOOKUP(C113,Occupancy_of_Public_Transport[#All],MATCH(A113,Occupancy_of_Public_Transport[#Headers],0),FALSE)</f>
        <v>4.6761296124051848</v>
      </c>
      <c r="G113" s="35">
        <f>VLOOKUP(C113,Passenger_Kilometres_Public_Transport[#All],MATCH(A113, Passenger_Kilometres_Public_Transport[#Headers],0),FALSE)</f>
        <v>849895909.31386709</v>
      </c>
      <c r="H113" s="89">
        <f>VLOOKUP(D113,Carbon_Intensity_Bus_Éireann[#All],MATCH(A113, Carbon_Intensity_Bus_Éireann[#Headers],0),FALSE)</f>
        <v>83.975812352854561</v>
      </c>
      <c r="I113" s="35">
        <f t="shared" si="9"/>
        <v>71370699400</v>
      </c>
      <c r="J113" s="35">
        <f t="shared" si="10"/>
        <v>7.1370699400000001E-2</v>
      </c>
      <c r="K113" s="28">
        <f>VLOOKUP(D113,Energy_Intensity_by_fuel_type_Irish_Rail[#All],MATCH(A113, Energy_Intensity_by_fuel_type_Irish_Rail[#Headers],0),FALSE)*100</f>
        <v>19.102219683525405</v>
      </c>
      <c r="L113" s="35">
        <f t="shared" si="11"/>
        <v>162348983.67843074</v>
      </c>
      <c r="M113" s="13">
        <f t="shared" si="12"/>
        <v>162348.98367843073</v>
      </c>
    </row>
    <row r="114" spans="1:13" x14ac:dyDescent="0.25">
      <c r="A114" s="89" t="s">
        <v>37</v>
      </c>
      <c r="B114" s="89" t="s">
        <v>427</v>
      </c>
      <c r="C114" s="175" t="s">
        <v>473</v>
      </c>
      <c r="D114" s="89" t="s">
        <v>72</v>
      </c>
      <c r="E114" s="35">
        <f>VLOOKUP(C114,Vehicle_Kilometres_Public_Transport[#All],MATCH(A114,Vehicle_Kilometres_Public_Transport[#Headers],0),FALSE)</f>
        <v>181752000</v>
      </c>
      <c r="F114" s="9">
        <f>VLOOKUP(C114,Occupancy_of_Public_Transport[#All],MATCH(A114,Occupancy_of_Public_Transport[#Headers],0),FALSE)</f>
        <v>4.6761296124051848</v>
      </c>
      <c r="G114" s="35">
        <f>VLOOKUP(C114,Passenger_Kilometres_Public_Transport[#All],MATCH(A114, Passenger_Kilometres_Public_Transport[#Headers],0),FALSE)</f>
        <v>849895909.31386709</v>
      </c>
      <c r="H114" s="89">
        <f>VLOOKUP(D114,Carbon_Intensity_Bus_Éireann[#All],MATCH(A114, Carbon_Intensity_Bus_Éireann[#Headers],0),FALSE)</f>
        <v>1.2486239648532043</v>
      </c>
      <c r="I114" s="35">
        <f t="shared" si="9"/>
        <v>1061200400</v>
      </c>
      <c r="J114" s="35">
        <f t="shared" si="10"/>
        <v>1.0612003999999999E-3</v>
      </c>
      <c r="K114" s="28">
        <f>VLOOKUP(D114,Energy_Intensity_by_fuel_type_Irish_Rail[#All],MATCH(A114, Energy_Intensity_by_fuel_type_Irish_Rail[#Headers],0),FALSE)*100</f>
        <v>0.3750664138774395</v>
      </c>
      <c r="L114" s="35">
        <f t="shared" si="11"/>
        <v>3187674.1087545766</v>
      </c>
      <c r="M114" s="13">
        <f t="shared" si="12"/>
        <v>3187.6741087545765</v>
      </c>
    </row>
    <row r="115" spans="1:13" x14ac:dyDescent="0.25">
      <c r="A115" s="89" t="s">
        <v>37</v>
      </c>
      <c r="B115" s="89" t="s">
        <v>427</v>
      </c>
      <c r="C115" s="175" t="s">
        <v>473</v>
      </c>
      <c r="D115" s="89" t="s">
        <v>73</v>
      </c>
      <c r="E115" s="35">
        <f>VLOOKUP(C115,Vehicle_Kilometres_Public_Transport[#All],MATCH(A115,Vehicle_Kilometres_Public_Transport[#Headers],0),FALSE)</f>
        <v>181752000</v>
      </c>
      <c r="F115" s="9">
        <f>VLOOKUP(C115,Occupancy_of_Public_Transport[#All],MATCH(A115,Occupancy_of_Public_Transport[#Headers],0),FALSE)</f>
        <v>4.6761296124051848</v>
      </c>
      <c r="G115" s="35">
        <f>VLOOKUP(C115,Passenger_Kilometres_Public_Transport[#All],MATCH(A115, Passenger_Kilometres_Public_Transport[#Headers],0),FALSE)</f>
        <v>849895909.31386709</v>
      </c>
      <c r="H115" s="89">
        <f>VLOOKUP(D115,Carbon_Intensity_Bus_Éireann[#All],MATCH(A115, Carbon_Intensity_Bus_Éireann[#Headers],0),FALSE)</f>
        <v>2.7685733914163784</v>
      </c>
      <c r="I115" s="35">
        <f t="shared" si="9"/>
        <v>2352999200</v>
      </c>
      <c r="J115" s="35">
        <f t="shared" si="10"/>
        <v>2.3529991999999998E-3</v>
      </c>
      <c r="K115" s="28">
        <f>VLOOKUP(D115,Energy_Intensity_by_fuel_type_Irish_Rail[#All],MATCH(A115, Energy_Intensity_by_fuel_type_Irish_Rail[#Headers],0),FALSE)*100</f>
        <v>2.7634544475500089</v>
      </c>
      <c r="L115" s="35">
        <f t="shared" si="11"/>
        <v>23486486.305479649</v>
      </c>
      <c r="M115" s="13">
        <f t="shared" si="12"/>
        <v>23486.486305479648</v>
      </c>
    </row>
    <row r="116" spans="1:13" x14ac:dyDescent="0.25">
      <c r="A116" s="89" t="s">
        <v>37</v>
      </c>
      <c r="B116" s="89" t="s">
        <v>427</v>
      </c>
      <c r="C116" s="175" t="s">
        <v>472</v>
      </c>
      <c r="D116" s="89" t="s">
        <v>71</v>
      </c>
      <c r="E116" s="35">
        <f>VLOOKUP(C116,Vehicle_Kilometres_Public_Transport[#All],MATCH(A116,Vehicle_Kilometres_Public_Transport[#Headers],0),FALSE)</f>
        <v>58400000</v>
      </c>
      <c r="F116" s="9">
        <f>VLOOKUP(C116,Occupancy_of_Public_Transport[#All],MATCH(A116,Occupancy_of_Public_Transport[#Headers],0),FALSE)</f>
        <v>20.468018663229376</v>
      </c>
      <c r="G116" s="35">
        <f>VLOOKUP(C116,Passenger_Kilometres_Public_Transport[#All],MATCH(A116, Passenger_Kilometres_Public_Transport[#Headers],0),FALSE)</f>
        <v>1195332289.9325955</v>
      </c>
      <c r="H116" s="89">
        <f>VLOOKUP(D116,Carbon_Intensity_Dublin_Bus[#All],MATCH(A116, Carbon_Intensity_Dublin_Bus[#Headers],0),FALSE)</f>
        <v>61.975195536780319</v>
      </c>
      <c r="I116" s="35">
        <f t="shared" si="9"/>
        <v>74080952399.999985</v>
      </c>
      <c r="J116" s="35">
        <f t="shared" si="10"/>
        <v>7.4080952399999983E-2</v>
      </c>
      <c r="K116" s="28">
        <f>VLOOKUP(D116,Energy_Intensity_by_fuel_type_Irish_Rail[#All],MATCH(A116, Energy_Intensity_by_fuel_type_Irish_Rail[#Headers],0),FALSE)*100</f>
        <v>19.102219683525405</v>
      </c>
      <c r="L116" s="35">
        <f t="shared" si="11"/>
        <v>228334999.97103924</v>
      </c>
      <c r="M116" s="13">
        <f t="shared" si="12"/>
        <v>228334.99997103924</v>
      </c>
    </row>
    <row r="117" spans="1:13" x14ac:dyDescent="0.25">
      <c r="A117" s="89" t="s">
        <v>37</v>
      </c>
      <c r="B117" s="89" t="s">
        <v>427</v>
      </c>
      <c r="C117" s="175" t="s">
        <v>472</v>
      </c>
      <c r="D117" s="89" t="s">
        <v>72</v>
      </c>
      <c r="E117" s="35">
        <f>VLOOKUP(C117,Vehicle_Kilometres_Public_Transport[#All],MATCH(A117,Vehicle_Kilometres_Public_Transport[#Headers],0),FALSE)</f>
        <v>58400000</v>
      </c>
      <c r="F117" s="9">
        <f>VLOOKUP(C117,Occupancy_of_Public_Transport[#All],MATCH(A117,Occupancy_of_Public_Transport[#Headers],0),FALSE)</f>
        <v>20.468018663229376</v>
      </c>
      <c r="G117" s="35">
        <f>VLOOKUP(C117,Passenger_Kilometres_Public_Transport[#All],MATCH(A117, Passenger_Kilometres_Public_Transport[#Headers],0),FALSE)</f>
        <v>1195332289.9325955</v>
      </c>
      <c r="H117" s="89">
        <f>VLOOKUP(D117,Carbon_Intensity_Dublin_Bus[#All],MATCH(A117, Carbon_Intensity_Dublin_Bus[#Headers],0),FALSE)</f>
        <v>1.9177195490379191</v>
      </c>
      <c r="I117" s="35">
        <f t="shared" ref="I117:I138" si="16">G117*H117</f>
        <v>2292312100</v>
      </c>
      <c r="J117" s="35">
        <f t="shared" si="10"/>
        <v>2.2923120999999999E-3</v>
      </c>
      <c r="K117" s="28">
        <f>VLOOKUP(D117,Energy_Intensity_by_fuel_type_Irish_Rail[#All],MATCH(A117, Energy_Intensity_by_fuel_type_Irish_Rail[#Headers],0),FALSE)*100</f>
        <v>0.3750664138774395</v>
      </c>
      <c r="L117" s="35">
        <f t="shared" si="11"/>
        <v>4483289.9537692638</v>
      </c>
      <c r="M117" s="13">
        <f t="shared" si="12"/>
        <v>4483.2899537692638</v>
      </c>
    </row>
    <row r="118" spans="1:13" x14ac:dyDescent="0.25">
      <c r="A118" s="89" t="s">
        <v>37</v>
      </c>
      <c r="B118" s="89" t="s">
        <v>427</v>
      </c>
      <c r="C118" s="175" t="s">
        <v>472</v>
      </c>
      <c r="D118" s="89" t="s">
        <v>73</v>
      </c>
      <c r="E118" s="35">
        <f>VLOOKUP(C118,Vehicle_Kilometres_Public_Transport[#All],MATCH(A118,Vehicle_Kilometres_Public_Transport[#Headers],0),FALSE)</f>
        <v>58400000</v>
      </c>
      <c r="F118" s="9">
        <f>VLOOKUP(C118,Occupancy_of_Public_Transport[#All],MATCH(A118,Occupancy_of_Public_Transport[#Headers],0),FALSE)</f>
        <v>20.468018663229376</v>
      </c>
      <c r="G118" s="35">
        <f>VLOOKUP(C118,Passenger_Kilometres_Public_Transport[#All],MATCH(A118, Passenger_Kilometres_Public_Transport[#Headers],0),FALSE)</f>
        <v>1195332289.9325955</v>
      </c>
      <c r="H118" s="89">
        <f>VLOOKUP(D118,Carbon_Intensity_Dublin_Bus[#All],MATCH(A118, Carbon_Intensity_Dublin_Bus[#Headers],0),FALSE)</f>
        <v>1.8153670057071443</v>
      </c>
      <c r="I118" s="35">
        <f t="shared" si="16"/>
        <v>2169966800</v>
      </c>
      <c r="J118" s="35">
        <f t="shared" si="10"/>
        <v>2.1699668E-3</v>
      </c>
      <c r="K118" s="28">
        <f>VLOOKUP(D118,Energy_Intensity_by_fuel_type_Irish_Rail[#All],MATCH(A118, Energy_Intensity_by_fuel_type_Irish_Rail[#Headers],0),FALSE)*100</f>
        <v>2.7634544475500089</v>
      </c>
      <c r="L118" s="35">
        <f t="shared" si="11"/>
        <v>33032463.329143677</v>
      </c>
      <c r="M118" s="13">
        <f t="shared" si="12"/>
        <v>33032.463329143677</v>
      </c>
    </row>
    <row r="119" spans="1:13" x14ac:dyDescent="0.25">
      <c r="A119" s="89" t="s">
        <v>37</v>
      </c>
      <c r="B119" s="89" t="s">
        <v>428</v>
      </c>
      <c r="C119" s="82" t="s">
        <v>413</v>
      </c>
      <c r="D119" s="89" t="s">
        <v>71</v>
      </c>
      <c r="E119" s="35">
        <f>VLOOKUP(D119,Total_vehicle_activity[#All],MATCH(A119,Total_vehicle_activity[#Headers],0),FALSE)</f>
        <v>23766498565</v>
      </c>
      <c r="F119" s="9">
        <f>Private_Vehicle_Occupancy_from_TIMES[]</f>
        <v>1.49</v>
      </c>
      <c r="G119" s="35">
        <f t="shared" ref="G119:G123" si="17">E119*F119</f>
        <v>35412082861.849998</v>
      </c>
      <c r="H119" s="89">
        <f>VLOOKUP(D119,Carbon_Intensity_private_vehicles_by_fuel_type_[#All],MATCH(A119, Carbon_Intensity_private_vehicles_by_fuel_type_[#Headers],0),FALSE)</f>
        <v>122.39013937994162</v>
      </c>
      <c r="I119" s="35">
        <f t="shared" si="16"/>
        <v>4334089757195.8633</v>
      </c>
      <c r="J119" s="35">
        <f t="shared" si="10"/>
        <v>4.334089757195863</v>
      </c>
      <c r="K119" s="28">
        <f>VLOOKUP(D119,Energy_intensity_private_vehicles_kwh_per_pkm[#All],MATCH(A119,Energy_intensity_private_vehicles_kwh_per_pkm[#Headers],0),FALSE)*100</f>
        <v>46.377468503198799</v>
      </c>
      <c r="L119" s="35">
        <f t="shared" si="11"/>
        <v>16423227575.581142</v>
      </c>
      <c r="M119" s="13">
        <f t="shared" si="12"/>
        <v>16423227.575581143</v>
      </c>
    </row>
    <row r="120" spans="1:13" x14ac:dyDescent="0.25">
      <c r="A120" s="89" t="s">
        <v>37</v>
      </c>
      <c r="B120" s="89" t="s">
        <v>428</v>
      </c>
      <c r="C120" s="89" t="s">
        <v>414</v>
      </c>
      <c r="D120" s="89" t="s">
        <v>75</v>
      </c>
      <c r="E120" s="35">
        <f>VLOOKUP(D120,Total_vehicle_activity[#All],MATCH(A120,Total_vehicle_activity[#Headers],0),FALSE)</f>
        <v>13271978988</v>
      </c>
      <c r="F120" s="9">
        <f>Private_Vehicle_Occupancy_from_TIMES[]</f>
        <v>1.49</v>
      </c>
      <c r="G120" s="35">
        <f t="shared" si="17"/>
        <v>19775248692.119999</v>
      </c>
      <c r="H120" s="89">
        <f>VLOOKUP(D120,Carbon_Intensity_private_vehicles_by_fuel_type_[#All],MATCH(A120, Carbon_Intensity_private_vehicles_by_fuel_type_[#Headers],0),FALSE)</f>
        <v>121.60262138145234</v>
      </c>
      <c r="I120" s="35">
        <f t="shared" si="16"/>
        <v>2404722079431.9287</v>
      </c>
      <c r="J120" s="35">
        <f t="shared" si="10"/>
        <v>2.4047220794319286</v>
      </c>
      <c r="K120" s="28">
        <f>VLOOKUP(D120,Energy_intensity_private_vehicles_kwh_per_pkm[#All],MATCH(A120,Energy_intensity_private_vehicles_kwh_per_pkm[#Headers],0),FALSE)*100</f>
        <v>48.274164899345905</v>
      </c>
      <c r="L120" s="35">
        <f t="shared" si="11"/>
        <v>9546336162.8897514</v>
      </c>
      <c r="M120" s="13">
        <f t="shared" si="12"/>
        <v>9546336.1628897507</v>
      </c>
    </row>
    <row r="121" spans="1:13" x14ac:dyDescent="0.25">
      <c r="A121" s="89" t="s">
        <v>37</v>
      </c>
      <c r="B121" s="89" t="s">
        <v>428</v>
      </c>
      <c r="C121" s="89" t="s">
        <v>415</v>
      </c>
      <c r="D121" s="89" t="s">
        <v>18</v>
      </c>
      <c r="E121" s="35">
        <f>VLOOKUP(D121,Total_vehicle_activity[#All],MATCH(A121,Total_vehicle_activity[#Headers],0),FALSE)</f>
        <v>298864147</v>
      </c>
      <c r="F121" s="9">
        <f>Private_Vehicle_Occupancy_from_TIMES[]</f>
        <v>1.49</v>
      </c>
      <c r="G121" s="35">
        <f t="shared" si="17"/>
        <v>445307579.02999997</v>
      </c>
      <c r="H121" s="89">
        <f>VLOOKUP(D121,Carbon_Intensity_private_vehicles_by_fuel_type_[#All],MATCH(A121, Carbon_Intensity_private_vehicles_by_fuel_type_[#Headers],0),FALSE)</f>
        <v>32.298246434342154</v>
      </c>
      <c r="I121" s="35">
        <f t="shared" si="16"/>
        <v>14382653926.591234</v>
      </c>
      <c r="J121" s="35">
        <f t="shared" si="10"/>
        <v>1.4382653926591235E-2</v>
      </c>
      <c r="K121" s="28">
        <f>VLOOKUP(D121,Energy_intensity_private_vehicles_kwh_per_pkm[#All],MATCH(A121,Energy_intensity_private_vehicles_kwh_per_pkm[#Headers],0),FALSE)*100</f>
        <v>7.4683297454729649</v>
      </c>
      <c r="L121" s="35">
        <f t="shared" si="11"/>
        <v>33257038.383543018</v>
      </c>
      <c r="M121" s="13">
        <f t="shared" si="12"/>
        <v>33257.038383543018</v>
      </c>
    </row>
    <row r="122" spans="1:13" x14ac:dyDescent="0.25">
      <c r="A122" s="89" t="s">
        <v>37</v>
      </c>
      <c r="B122" s="89" t="s">
        <v>428</v>
      </c>
      <c r="C122" s="89" t="s">
        <v>416</v>
      </c>
      <c r="D122" s="89" t="s">
        <v>19</v>
      </c>
      <c r="E122" s="35">
        <f>VLOOKUP(D122,Total_vehicle_activity[#All],MATCH(A122,Total_vehicle_activity[#Headers],0),FALSE)</f>
        <v>12692006</v>
      </c>
      <c r="F122" s="9">
        <f>Private_Vehicle_Occupancy_from_TIMES[]</f>
        <v>1.49</v>
      </c>
      <c r="G122" s="35">
        <f t="shared" si="17"/>
        <v>18911088.940000001</v>
      </c>
      <c r="H122" s="89">
        <f>VLOOKUP(D122,Carbon_Intensity_private_vehicles_by_fuel_type_[#All],MATCH(A122, Carbon_Intensity_private_vehicles_by_fuel_type_[#Headers],0),FALSE)</f>
        <v>39.020881763760983</v>
      </c>
      <c r="I122" s="35">
        <f t="shared" si="16"/>
        <v>737927365.5517081</v>
      </c>
      <c r="J122" s="35">
        <f t="shared" si="10"/>
        <v>7.3792736555170814E-4</v>
      </c>
      <c r="K122" s="28">
        <f>VLOOKUP(D122,Energy_intensity_private_vehicles_kwh_per_pkm[#All],MATCH(A122,Energy_intensity_private_vehicles_kwh_per_pkm[#Headers],0),FALSE)*100</f>
        <v>8.6870070274787903</v>
      </c>
      <c r="L122" s="35">
        <f t="shared" si="11"/>
        <v>1642807.6251905644</v>
      </c>
      <c r="M122" s="13">
        <f t="shared" si="12"/>
        <v>1642.8076251905645</v>
      </c>
    </row>
    <row r="123" spans="1:13" x14ac:dyDescent="0.25">
      <c r="A123" s="89" t="s">
        <v>37</v>
      </c>
      <c r="B123" s="89" t="s">
        <v>428</v>
      </c>
      <c r="C123" s="89" t="s">
        <v>417</v>
      </c>
      <c r="D123" s="89" t="s">
        <v>352</v>
      </c>
      <c r="E123" s="35">
        <f>VLOOKUP(D123,Total_vehicle_activity[#All],MATCH(A123,Total_vehicle_activity[#Headers],0),FALSE)</f>
        <v>39747301</v>
      </c>
      <c r="F123" s="9">
        <f>Private_Vehicle_Occupancy_from_TIMES[]</f>
        <v>1.49</v>
      </c>
      <c r="G123" s="35">
        <f t="shared" si="17"/>
        <v>59223478.490000002</v>
      </c>
      <c r="H123" s="89">
        <f>VLOOKUP(D123,Carbon_Intensity_private_vehicles_by_fuel_type_[#All],MATCH(A123, Carbon_Intensity_private_vehicles_by_fuel_type_[#Headers],0),FALSE)</f>
        <v>49.007248322147646</v>
      </c>
      <c r="I123" s="35">
        <f t="shared" si="16"/>
        <v>2902379716.8607998</v>
      </c>
      <c r="J123" s="35">
        <f t="shared" si="10"/>
        <v>2.9023797168608E-3</v>
      </c>
      <c r="K123" s="28">
        <f>VLOOKUP(D123,Energy_intensity_private_vehicles_kwh_per_pkm[#All],MATCH(A123,Energy_intensity_private_vehicles_kwh_per_pkm[#Headers],0),FALSE)*100</f>
        <v>10.201342281879194</v>
      </c>
      <c r="L123" s="35">
        <f t="shared" si="11"/>
        <v>6041589.7520000003</v>
      </c>
      <c r="M123" s="13">
        <f t="shared" si="12"/>
        <v>6041.5897520000008</v>
      </c>
    </row>
    <row r="124" spans="1:13" x14ac:dyDescent="0.25">
      <c r="A124" s="89" t="s">
        <v>38</v>
      </c>
      <c r="B124" s="89" t="s">
        <v>427</v>
      </c>
      <c r="C124" s="175" t="s">
        <v>474</v>
      </c>
      <c r="D124" s="89" t="s">
        <v>71</v>
      </c>
      <c r="E124" s="35">
        <f>VLOOKUP(C124,Vehicle_Kilometres_Public_Transport[#All],MATCH(A124,Vehicle_Kilometres_Public_Transport[#Headers],0),FALSE)</f>
        <v>16200000</v>
      </c>
      <c r="F124" s="9">
        <f>VLOOKUP(C124,Occupancy_of_Public_Transport[#All],MATCH(A124,Occupancy_of_Public_Transport[#Headers],0),FALSE)</f>
        <v>139.51276648367187</v>
      </c>
      <c r="G124" s="35">
        <f>VLOOKUP(C124,Passenger_Kilometres_Public_Transport[#All],MATCH(A124, Passenger_Kilometres_Public_Transport[#Headers],0),FALSE)</f>
        <v>2260106817.0354843</v>
      </c>
      <c r="H124" s="89">
        <f>VLOOKUP(D124,Carbon_Intensity_Irish_Rail[#All],MATCH(A124, Carbon_Intensity_Irish_Rail[#Headers],0),FALSE)</f>
        <v>52.01853696198738</v>
      </c>
      <c r="I124" s="35">
        <f t="shared" si="16"/>
        <v>117567449999.99998</v>
      </c>
      <c r="J124" s="35">
        <f t="shared" si="10"/>
        <v>0.11756744999999999</v>
      </c>
      <c r="K124" s="28">
        <f>VLOOKUP(D124,Energy_Intensity_by_fuel_type_Irish_Rail[#All],MATCH(A124, Energy_Intensity_by_fuel_type_Irish_Rail[#Headers],0),FALSE)*100</f>
        <v>19.711457734743227</v>
      </c>
      <c r="L124" s="35">
        <f t="shared" si="11"/>
        <v>445499999.99999994</v>
      </c>
      <c r="M124" s="13">
        <f t="shared" si="12"/>
        <v>445499.99999999994</v>
      </c>
    </row>
    <row r="125" spans="1:13" x14ac:dyDescent="0.25">
      <c r="A125" s="89" t="s">
        <v>38</v>
      </c>
      <c r="B125" s="89" t="s">
        <v>427</v>
      </c>
      <c r="C125" s="175" t="s">
        <v>474</v>
      </c>
      <c r="D125" s="89" t="s">
        <v>72</v>
      </c>
      <c r="E125" s="35">
        <f>VLOOKUP(C125,Vehicle_Kilometres_Public_Transport[#All],MATCH(A125,Vehicle_Kilometres_Public_Transport[#Headers],0),FALSE)</f>
        <v>16200000</v>
      </c>
      <c r="F125" s="9">
        <f>VLOOKUP(C125,Occupancy_of_Public_Transport[#All],MATCH(A125,Occupancy_of_Public_Transport[#Headers],0),FALSE)</f>
        <v>139.51276648367187</v>
      </c>
      <c r="G125" s="35">
        <f>VLOOKUP(C125,Passenger_Kilometres_Public_Transport[#All],MATCH(A125, Passenger_Kilometres_Public_Transport[#Headers],0),FALSE)</f>
        <v>2260106817.0354843</v>
      </c>
      <c r="H125" s="89">
        <f>VLOOKUP(D125,Carbon_Intensity_Irish_Rail[#All],MATCH(A125, Carbon_Intensity_Irish_Rail[#Headers],0),FALSE)</f>
        <v>0.91309843607608543</v>
      </c>
      <c r="I125" s="35">
        <f t="shared" si="16"/>
        <v>2063700000</v>
      </c>
      <c r="J125" s="35">
        <f t="shared" si="10"/>
        <v>2.0636999999999999E-3</v>
      </c>
      <c r="K125" s="28">
        <f>VLOOKUP(D125,Energy_Intensity_by_fuel_type_Irish_Rail[#All],MATCH(A125, Energy_Intensity_by_fuel_type_Irish_Rail[#Headers],0),FALSE)*100</f>
        <v>0.39821126736855011</v>
      </c>
      <c r="L125" s="35">
        <f t="shared" si="11"/>
        <v>9000000</v>
      </c>
      <c r="M125" s="13">
        <f t="shared" si="12"/>
        <v>9000</v>
      </c>
    </row>
    <row r="126" spans="1:13" x14ac:dyDescent="0.25">
      <c r="A126" s="89" t="s">
        <v>38</v>
      </c>
      <c r="B126" s="89" t="s">
        <v>427</v>
      </c>
      <c r="C126" s="175" t="s">
        <v>474</v>
      </c>
      <c r="D126" s="89" t="s">
        <v>73</v>
      </c>
      <c r="E126" s="35">
        <f>VLOOKUP(C126,Vehicle_Kilometres_Public_Transport[#All],MATCH(A126,Vehicle_Kilometres_Public_Transport[#Headers],0),FALSE)</f>
        <v>16200000</v>
      </c>
      <c r="F126" s="9">
        <f>VLOOKUP(C126,Occupancy_of_Public_Transport[#All],MATCH(A126,Occupancy_of_Public_Transport[#Headers],0),FALSE)</f>
        <v>139.51276648367187</v>
      </c>
      <c r="G126" s="35">
        <f>VLOOKUP(C126,Passenger_Kilometres_Public_Transport[#All],MATCH(A126, Passenger_Kilometres_Public_Transport[#Headers],0),FALSE)</f>
        <v>2260106817.0354843</v>
      </c>
      <c r="H126" s="89">
        <f>VLOOKUP(D126,Carbon_Intensity_Irish_Rail[#All],MATCH(A126, Carbon_Intensity_Irish_Rail[#Headers],0),FALSE)</f>
        <v>12.208768095391653</v>
      </c>
      <c r="I126" s="35">
        <f t="shared" si="16"/>
        <v>27593120000</v>
      </c>
      <c r="J126" s="35">
        <f t="shared" si="10"/>
        <v>2.7593119999999999E-2</v>
      </c>
      <c r="K126" s="28">
        <f>VLOOKUP(D126,Energy_Intensity_by_fuel_type_Irish_Rail[#All],MATCH(A126, Energy_Intensity_by_fuel_type_Irish_Rail[#Headers],0),FALSE)*100</f>
        <v>2.7963280108547073</v>
      </c>
      <c r="L126" s="35">
        <f t="shared" si="11"/>
        <v>63200000</v>
      </c>
      <c r="M126" s="13">
        <f t="shared" si="12"/>
        <v>63200</v>
      </c>
    </row>
    <row r="127" spans="1:13" x14ac:dyDescent="0.25">
      <c r="A127" s="89" t="s">
        <v>38</v>
      </c>
      <c r="B127" s="89" t="s">
        <v>427</v>
      </c>
      <c r="C127" s="175" t="s">
        <v>475</v>
      </c>
      <c r="D127" s="89" t="s">
        <v>73</v>
      </c>
      <c r="E127" s="35">
        <f>VLOOKUP(C127,Vehicle_Kilometres_Public_Transport[#All],MATCH(A127,Vehicle_Kilometres_Public_Transport[#Headers],0),FALSE)</f>
        <v>4070000</v>
      </c>
      <c r="F127" s="9">
        <f>VLOOKUP(C127,Occupancy_of_Public_Transport[#All],MATCH(A127,Occupancy_of_Public_Transport[#Headers],0),FALSE)</f>
        <v>121.71005316256945</v>
      </c>
      <c r="G127" s="35">
        <f>VLOOKUP(C127,Passenger_Kilometres_Public_Transport[#All],MATCH(A127, Passenger_Kilometres_Public_Transport[#Headers],0),FALSE)</f>
        <v>495359916.37165767</v>
      </c>
      <c r="H127" s="89">
        <f>VLOOKUP(D127,Carbon_Intensity_Luas[#All],MATCH(A127, Carbon_Intensity_Luas[#Headers],0),FALSE)</f>
        <v>18.508966303040559</v>
      </c>
      <c r="I127" s="35">
        <f t="shared" si="16"/>
        <v>9168600000.0000019</v>
      </c>
      <c r="J127" s="35">
        <f t="shared" si="10"/>
        <v>9.1686000000000024E-3</v>
      </c>
      <c r="K127" s="28">
        <f>VLOOKUP(D127,Energy_Intensity_by_fuel_type_Irish_Rail[#All],MATCH(A127, Energy_Intensity_by_fuel_type_Irish_Rail[#Headers],0),FALSE)*100</f>
        <v>2.7963280108547073</v>
      </c>
      <c r="L127" s="35">
        <f t="shared" si="11"/>
        <v>13851888.096047115</v>
      </c>
      <c r="M127" s="13">
        <f t="shared" si="12"/>
        <v>13851.888096047114</v>
      </c>
    </row>
    <row r="128" spans="1:13" x14ac:dyDescent="0.25">
      <c r="A128" s="89" t="s">
        <v>38</v>
      </c>
      <c r="B128" s="89" t="s">
        <v>427</v>
      </c>
      <c r="C128" s="175" t="s">
        <v>473</v>
      </c>
      <c r="D128" s="89" t="s">
        <v>71</v>
      </c>
      <c r="E128" s="35">
        <f>VLOOKUP(C128,Vehicle_Kilometres_Public_Transport[#All],MATCH(A128,Vehicle_Kilometres_Public_Transport[#Headers],0),FALSE)</f>
        <v>194179000</v>
      </c>
      <c r="F128" s="9">
        <f>VLOOKUP(C128,Occupancy_of_Public_Transport[#All],MATCH(A128,Occupancy_of_Public_Transport[#Headers],0),FALSE)</f>
        <v>8.6520989286054881</v>
      </c>
      <c r="G128" s="35">
        <f>VLOOKUP(C128,Passenger_Kilometres_Public_Transport[#All],MATCH(A128, Passenger_Kilometres_Public_Transport[#Headers],0),FALSE)</f>
        <v>1680055917.8576851</v>
      </c>
      <c r="H128" s="89">
        <f>VLOOKUP(D128,Carbon_Intensity_Bus_Éireann[#All],MATCH(A128, Carbon_Intensity_Bus_Éireann[#Headers],0),FALSE)</f>
        <v>45.485263965168343</v>
      </c>
      <c r="I128" s="35">
        <f t="shared" si="16"/>
        <v>76417786899.999985</v>
      </c>
      <c r="J128" s="35">
        <f t="shared" si="10"/>
        <v>7.6417786899999979E-2</v>
      </c>
      <c r="K128" s="28">
        <f>VLOOKUP(D128,Energy_Intensity_by_fuel_type_Irish_Rail[#All],MATCH(A128, Energy_Intensity_by_fuel_type_Irish_Rail[#Headers],0),FALSE)*100</f>
        <v>19.711457734743227</v>
      </c>
      <c r="L128" s="35">
        <f t="shared" si="11"/>
        <v>331163512.16856998</v>
      </c>
      <c r="M128" s="13">
        <f t="shared" si="12"/>
        <v>331163.51216856996</v>
      </c>
    </row>
    <row r="129" spans="1:13" x14ac:dyDescent="0.25">
      <c r="A129" s="89" t="s">
        <v>38</v>
      </c>
      <c r="B129" s="89" t="s">
        <v>427</v>
      </c>
      <c r="C129" s="175" t="s">
        <v>473</v>
      </c>
      <c r="D129" s="89" t="s">
        <v>72</v>
      </c>
      <c r="E129" s="35">
        <f>VLOOKUP(C129,Vehicle_Kilometres_Public_Transport[#All],MATCH(A129,Vehicle_Kilometres_Public_Transport[#Headers],0),FALSE)</f>
        <v>194179000</v>
      </c>
      <c r="F129" s="9">
        <f>VLOOKUP(C129,Occupancy_of_Public_Transport[#All],MATCH(A129,Occupancy_of_Public_Transport[#Headers],0),FALSE)</f>
        <v>8.6520989286054881</v>
      </c>
      <c r="G129" s="35">
        <f>VLOOKUP(C129,Passenger_Kilometres_Public_Transport[#All],MATCH(A129, Passenger_Kilometres_Public_Transport[#Headers],0),FALSE)</f>
        <v>1680055917.8576851</v>
      </c>
      <c r="H129" s="89">
        <f>VLOOKUP(D129,Carbon_Intensity_Bus_Éireann[#All],MATCH(A129, Carbon_Intensity_Bus_Éireann[#Headers],0),FALSE)</f>
        <v>0.98895982112230141</v>
      </c>
      <c r="I129" s="35">
        <f t="shared" si="16"/>
        <v>1661507800.0000002</v>
      </c>
      <c r="J129" s="35">
        <f t="shared" si="10"/>
        <v>1.6615078000000003E-3</v>
      </c>
      <c r="K129" s="28">
        <f>VLOOKUP(D129,Energy_Intensity_by_fuel_type_Irish_Rail[#All],MATCH(A129, Energy_Intensity_by_fuel_type_Irish_Rail[#Headers],0),FALSE)*100</f>
        <v>0.39821126736855011</v>
      </c>
      <c r="L129" s="35">
        <f t="shared" si="11"/>
        <v>6690171.9630014142</v>
      </c>
      <c r="M129" s="13">
        <f t="shared" si="12"/>
        <v>6690.171963001414</v>
      </c>
    </row>
    <row r="130" spans="1:13" x14ac:dyDescent="0.25">
      <c r="A130" s="89" t="s">
        <v>38</v>
      </c>
      <c r="B130" s="89" t="s">
        <v>427</v>
      </c>
      <c r="C130" s="175" t="s">
        <v>473</v>
      </c>
      <c r="D130" s="89" t="s">
        <v>73</v>
      </c>
      <c r="E130" s="35">
        <f>VLOOKUP(C130,Vehicle_Kilometres_Public_Transport[#All],MATCH(A130,Vehicle_Kilometres_Public_Transport[#Headers],0),FALSE)</f>
        <v>194179000</v>
      </c>
      <c r="F130" s="9">
        <f>VLOOKUP(C130,Occupancy_of_Public_Transport[#All],MATCH(A130,Occupancy_of_Public_Transport[#Headers],0),FALSE)</f>
        <v>8.6520989286054881</v>
      </c>
      <c r="G130" s="35">
        <f>VLOOKUP(C130,Passenger_Kilometres_Public_Transport[#All],MATCH(A130, Passenger_Kilometres_Public_Transport[#Headers],0),FALSE)</f>
        <v>1680055917.8576851</v>
      </c>
      <c r="H130" s="89">
        <f>VLOOKUP(D130,Carbon_Intensity_Bus_Éireann[#All],MATCH(A130, Carbon_Intensity_Bus_Éireann[#Headers],0),FALSE)</f>
        <v>1.331585678917566</v>
      </c>
      <c r="I130" s="35">
        <f t="shared" si="16"/>
        <v>2237138400</v>
      </c>
      <c r="J130" s="35">
        <f t="shared" si="10"/>
        <v>2.2371384000000002E-3</v>
      </c>
      <c r="K130" s="28">
        <f>VLOOKUP(D130,Energy_Intensity_by_fuel_type_Irish_Rail[#All],MATCH(A130, Energy_Intensity_by_fuel_type_Irish_Rail[#Headers],0),FALSE)*100</f>
        <v>2.7963280108547073</v>
      </c>
      <c r="L130" s="35">
        <f t="shared" si="11"/>
        <v>46979874.229076602</v>
      </c>
      <c r="M130" s="13">
        <f t="shared" si="12"/>
        <v>46979.874229076602</v>
      </c>
    </row>
    <row r="131" spans="1:13" x14ac:dyDescent="0.25">
      <c r="A131" s="89" t="s">
        <v>38</v>
      </c>
      <c r="B131" s="89" t="s">
        <v>427</v>
      </c>
      <c r="C131" s="175" t="s">
        <v>472</v>
      </c>
      <c r="D131" s="89" t="s">
        <v>71</v>
      </c>
      <c r="E131" s="35">
        <f>VLOOKUP(C131,Vehicle_Kilometres_Public_Transport[#All],MATCH(A131,Vehicle_Kilometres_Public_Transport[#Headers],0),FALSE)</f>
        <v>57100000</v>
      </c>
      <c r="F131" s="9">
        <f>VLOOKUP(C131,Occupancy_of_Public_Transport[#All],MATCH(A131,Occupancy_of_Public_Transport[#Headers],0),FALSE)</f>
        <v>34.372764084025889</v>
      </c>
      <c r="G131" s="35">
        <f>VLOOKUP(C131,Passenger_Kilometres_Public_Transport[#All],MATCH(A131, Passenger_Kilometres_Public_Transport[#Headers],0),FALSE)</f>
        <v>1962684829.1978781</v>
      </c>
      <c r="H131" s="89">
        <f>VLOOKUP(D131,Carbon_Intensity_Dublin_Bus[#All],MATCH(A131, Carbon_Intensity_Dublin_Bus[#Headers],0),FALSE)</f>
        <v>35.980065545653808</v>
      </c>
      <c r="I131" s="35">
        <f t="shared" si="16"/>
        <v>70617528800</v>
      </c>
      <c r="J131" s="35">
        <f t="shared" si="10"/>
        <v>7.0617528799999996E-2</v>
      </c>
      <c r="K131" s="28">
        <f>VLOOKUP(D131,Energy_Intensity_by_fuel_type_Irish_Rail[#All],MATCH(A131, Energy_Intensity_by_fuel_type_Irish_Rail[#Headers],0),FALSE)*100</f>
        <v>19.711457734743227</v>
      </c>
      <c r="L131" s="35">
        <f t="shared" si="11"/>
        <v>386873790.57355708</v>
      </c>
      <c r="M131" s="13">
        <f t="shared" si="12"/>
        <v>386873.79057355708</v>
      </c>
    </row>
    <row r="132" spans="1:13" x14ac:dyDescent="0.25">
      <c r="A132" s="89" t="s">
        <v>38</v>
      </c>
      <c r="B132" s="89" t="s">
        <v>427</v>
      </c>
      <c r="C132" s="175" t="s">
        <v>472</v>
      </c>
      <c r="D132" s="89" t="s">
        <v>72</v>
      </c>
      <c r="E132" s="35">
        <f>VLOOKUP(C132,Vehicle_Kilometres_Public_Transport[#All],MATCH(A132,Vehicle_Kilometres_Public_Transport[#Headers],0),FALSE)</f>
        <v>57100000</v>
      </c>
      <c r="F132" s="9">
        <f>VLOOKUP(C132,Occupancy_of_Public_Transport[#All],MATCH(A132,Occupancy_of_Public_Transport[#Headers],0),FALSE)</f>
        <v>34.372764084025889</v>
      </c>
      <c r="G132" s="35">
        <f>VLOOKUP(C132,Passenger_Kilometres_Public_Transport[#All],MATCH(A132, Passenger_Kilometres_Public_Transport[#Headers],0),FALSE)</f>
        <v>1962684829.1978781</v>
      </c>
      <c r="H132" s="89">
        <f>VLOOKUP(D132,Carbon_Intensity_Dublin_Bus[#All],MATCH(A132, Carbon_Intensity_Dublin_Bus[#Headers],0),FALSE)</f>
        <v>1.2980954772250575</v>
      </c>
      <c r="I132" s="35">
        <f t="shared" si="16"/>
        <v>2547752300</v>
      </c>
      <c r="J132" s="35">
        <f t="shared" si="10"/>
        <v>2.5477523E-3</v>
      </c>
      <c r="K132" s="28">
        <f>VLOOKUP(D132,Energy_Intensity_by_fuel_type_Irish_Rail[#All],MATCH(A132, Energy_Intensity_by_fuel_type_Irish_Rail[#Headers],0),FALSE)*100</f>
        <v>0.39821126736855011</v>
      </c>
      <c r="L132" s="35">
        <f t="shared" si="11"/>
        <v>7815632.1327991327</v>
      </c>
      <c r="M132" s="13">
        <f t="shared" si="12"/>
        <v>7815.6321327991327</v>
      </c>
    </row>
    <row r="133" spans="1:13" x14ac:dyDescent="0.25">
      <c r="A133" s="89" t="s">
        <v>38</v>
      </c>
      <c r="B133" s="89" t="s">
        <v>427</v>
      </c>
      <c r="C133" s="175" t="s">
        <v>472</v>
      </c>
      <c r="D133" s="89" t="s">
        <v>73</v>
      </c>
      <c r="E133" s="35">
        <f>VLOOKUP(C133,Vehicle_Kilometres_Public_Transport[#All],MATCH(A133,Vehicle_Kilometres_Public_Transport[#Headers],0),FALSE)</f>
        <v>57100000</v>
      </c>
      <c r="F133" s="9">
        <f>VLOOKUP(C133,Occupancy_of_Public_Transport[#All],MATCH(A133,Occupancy_of_Public_Transport[#Headers],0),FALSE)</f>
        <v>34.372764084025889</v>
      </c>
      <c r="G133" s="35">
        <f>VLOOKUP(C133,Passenger_Kilometres_Public_Transport[#All],MATCH(A133, Passenger_Kilometres_Public_Transport[#Headers],0),FALSE)</f>
        <v>1962684829.1978781</v>
      </c>
      <c r="H133" s="89">
        <f>VLOOKUP(D133,Carbon_Intensity_Dublin_Bus[#All],MATCH(A133, Carbon_Intensity_Dublin_Bus[#Headers],0),FALSE)</f>
        <v>0.99146137528116174</v>
      </c>
      <c r="I133" s="35">
        <f t="shared" si="16"/>
        <v>1945926200.0000002</v>
      </c>
      <c r="J133" s="35">
        <f t="shared" ref="J133:J137" si="18">I133/(1000000000000)</f>
        <v>1.9459262000000002E-3</v>
      </c>
      <c r="K133" s="28">
        <f>VLOOKUP(D133,Energy_Intensity_by_fuel_type_Irish_Rail[#All],MATCH(A133, Energy_Intensity_by_fuel_type_Irish_Rail[#Headers],0),FALSE)*100</f>
        <v>2.7963280108547073</v>
      </c>
      <c r="L133" s="35">
        <f t="shared" ref="L133:L138" si="19">(K133*G133)/100</f>
        <v>54883105.643656127</v>
      </c>
      <c r="M133" s="13">
        <f t="shared" ref="M133:M138" si="20">L133/1000</f>
        <v>54883.105643656127</v>
      </c>
    </row>
    <row r="134" spans="1:13" x14ac:dyDescent="0.25">
      <c r="A134" s="89" t="s">
        <v>38</v>
      </c>
      <c r="B134" s="89" t="s">
        <v>428</v>
      </c>
      <c r="C134" s="82" t="s">
        <v>413</v>
      </c>
      <c r="D134" s="89" t="s">
        <v>71</v>
      </c>
      <c r="E134" s="35">
        <f>VLOOKUP(D134,Total_vehicle_activity[#All],MATCH(A134,Total_vehicle_activity[#Headers],0),FALSE)</f>
        <v>23972319492</v>
      </c>
      <c r="F134" s="9">
        <f>Private_Vehicle_Occupancy_from_TIMES[]</f>
        <v>1.49</v>
      </c>
      <c r="G134" s="35">
        <f t="shared" ref="G134:G138" si="21">E134*F134</f>
        <v>35718756043.080002</v>
      </c>
      <c r="H134" s="89">
        <f>VLOOKUP(D134,Carbon_Intensity_private_vehicles_by_fuel_type_[#All],MATCH(A134, Carbon_Intensity_private_vehicles_by_fuel_type_[#Headers],0),FALSE)</f>
        <v>120.42919485982483</v>
      </c>
      <c r="I134" s="35">
        <f t="shared" si="16"/>
        <v>4301581031662.6274</v>
      </c>
      <c r="J134" s="35">
        <f t="shared" si="18"/>
        <v>4.3015810316626277</v>
      </c>
      <c r="K134" s="28">
        <f>VLOOKUP(D134,Energy_intensity_private_vehicles_kwh_per_pkm[#All],MATCH(A134,Energy_intensity_private_vehicles_kwh_per_pkm[#Headers],0),FALSE)*100</f>
        <v>45.634405024564167</v>
      </c>
      <c r="L134" s="35">
        <f t="shared" si="19"/>
        <v>16300041802.435118</v>
      </c>
      <c r="M134" s="13">
        <f t="shared" si="20"/>
        <v>16300041.802435117</v>
      </c>
    </row>
    <row r="135" spans="1:13" x14ac:dyDescent="0.25">
      <c r="A135" s="89" t="s">
        <v>38</v>
      </c>
      <c r="B135" s="89" t="s">
        <v>428</v>
      </c>
      <c r="C135" s="89" t="s">
        <v>414</v>
      </c>
      <c r="D135" s="89" t="s">
        <v>75</v>
      </c>
      <c r="E135" s="35">
        <f>VLOOKUP(D135,Total_vehicle_activity[#All],MATCH(A135,Total_vehicle_activity[#Headers],0),FALSE)</f>
        <v>11710674441</v>
      </c>
      <c r="F135" s="9">
        <f>Private_Vehicle_Occupancy_from_TIMES[]</f>
        <v>1.49</v>
      </c>
      <c r="G135" s="35">
        <f t="shared" si="21"/>
        <v>17448904917.09</v>
      </c>
      <c r="H135" s="89">
        <f>VLOOKUP(D135,Carbon_Intensity_private_vehicles_by_fuel_type_[#All],MATCH(A135, Carbon_Intensity_private_vehicles_by_fuel_type_[#Headers],0),FALSE)</f>
        <v>120.6687305107329</v>
      </c>
      <c r="I135" s="35">
        <f t="shared" si="16"/>
        <v>2105537205147.7354</v>
      </c>
      <c r="J135" s="35">
        <f t="shared" si="18"/>
        <v>2.1055372051477352</v>
      </c>
      <c r="K135" s="28">
        <f>VLOOKUP(D135,Energy_intensity_private_vehicles_kwh_per_pkm[#All],MATCH(A135,Energy_intensity_private_vehicles_kwh_per_pkm[#Headers],0),FALSE)*100</f>
        <v>47.903426165435846</v>
      </c>
      <c r="L135" s="35">
        <f t="shared" si="19"/>
        <v>8358623283.6353121</v>
      </c>
      <c r="M135" s="13">
        <f t="shared" si="20"/>
        <v>8358623.2836353118</v>
      </c>
    </row>
    <row r="136" spans="1:13" x14ac:dyDescent="0.25">
      <c r="A136" s="89" t="s">
        <v>38</v>
      </c>
      <c r="B136" s="89" t="s">
        <v>428</v>
      </c>
      <c r="C136" s="89" t="s">
        <v>415</v>
      </c>
      <c r="D136" s="89" t="s">
        <v>18</v>
      </c>
      <c r="E136" s="35">
        <f>VLOOKUP(D136,Total_vehicle_activity[#All],MATCH(A136,Total_vehicle_activity[#Headers],0),FALSE)</f>
        <v>412781948</v>
      </c>
      <c r="F136" s="9">
        <f>Private_Vehicle_Occupancy_from_TIMES[]</f>
        <v>1.49</v>
      </c>
      <c r="G136" s="35">
        <f t="shared" si="21"/>
        <v>615045102.51999998</v>
      </c>
      <c r="H136" s="89">
        <f>VLOOKUP(D136,Carbon_Intensity_private_vehicles_by_fuel_type_[#All],MATCH(A136, Carbon_Intensity_private_vehicles_by_fuel_type_[#Headers],0),FALSE)</f>
        <v>30.510971266556925</v>
      </c>
      <c r="I136" s="35">
        <f t="shared" si="16"/>
        <v>18765623450.624279</v>
      </c>
      <c r="J136" s="35">
        <f t="shared" si="18"/>
        <v>1.876562345062428E-2</v>
      </c>
      <c r="K136" s="28">
        <f>VLOOKUP(D136,Energy_intensity_private_vehicles_kwh_per_pkm[#All],MATCH(A136,Energy_intensity_private_vehicles_kwh_per_pkm[#Headers],0),FALSE)*100</f>
        <v>7.4683297454729676</v>
      </c>
      <c r="L136" s="35">
        <f t="shared" si="19"/>
        <v>45933596.339575864</v>
      </c>
      <c r="M136" s="13">
        <f t="shared" si="20"/>
        <v>45933.596339575866</v>
      </c>
    </row>
    <row r="137" spans="1:13" x14ac:dyDescent="0.25">
      <c r="A137" s="89" t="s">
        <v>38</v>
      </c>
      <c r="B137" s="89" t="s">
        <v>428</v>
      </c>
      <c r="C137" s="89" t="s">
        <v>416</v>
      </c>
      <c r="D137" s="89" t="s">
        <v>19</v>
      </c>
      <c r="E137" s="35">
        <f>VLOOKUP(D137,Total_vehicle_activity[#All],MATCH(A137,Total_vehicle_activity[#Headers],0),FALSE)</f>
        <v>37824250</v>
      </c>
      <c r="F137" s="9">
        <f>Private_Vehicle_Occupancy_from_TIMES[]</f>
        <v>1.49</v>
      </c>
      <c r="G137" s="35">
        <f t="shared" si="21"/>
        <v>56358132.5</v>
      </c>
      <c r="H137" s="89">
        <f>VLOOKUP(D137,Carbon_Intensity_private_vehicles_by_fuel_type_[#All],MATCH(A137, Carbon_Intensity_private_vehicles_by_fuel_type_[#Headers],0),FALSE)</f>
        <v>36.339969012083131</v>
      </c>
      <c r="I137" s="35">
        <f t="shared" si="16"/>
        <v>2048052788.6288753</v>
      </c>
      <c r="J137" s="35">
        <f t="shared" si="18"/>
        <v>2.0480527886288752E-3</v>
      </c>
      <c r="K137" s="28">
        <f>VLOOKUP(D137,Energy_intensity_private_vehicles_kwh_per_pkm[#All],MATCH(A137,Energy_intensity_private_vehicles_kwh_per_pkm[#Headers],0),FALSE)*100</f>
        <v>8.6870070274787903</v>
      </c>
      <c r="L137" s="35">
        <f t="shared" si="19"/>
        <v>4895834.9308308084</v>
      </c>
      <c r="M137" s="13">
        <f t="shared" si="20"/>
        <v>4895.8349308308079</v>
      </c>
    </row>
    <row r="138" spans="1:13" x14ac:dyDescent="0.25">
      <c r="A138" s="89" t="s">
        <v>38</v>
      </c>
      <c r="B138" s="89" t="s">
        <v>428</v>
      </c>
      <c r="C138" s="89" t="s">
        <v>417</v>
      </c>
      <c r="D138" s="89" t="s">
        <v>352</v>
      </c>
      <c r="E138" s="35">
        <f>VLOOKUP(D138,Total_vehicle_activity[#All],MATCH(A138,Total_vehicle_activity[#Headers],0),FALSE)</f>
        <v>61724141</v>
      </c>
      <c r="F138" s="9">
        <f>Private_Vehicle_Occupancy_from_TIMES[]</f>
        <v>1.49</v>
      </c>
      <c r="G138" s="35">
        <f t="shared" si="21"/>
        <v>91968970.090000004</v>
      </c>
      <c r="H138" s="89">
        <f>VLOOKUP(D138,Carbon_Intensity_private_vehicles_by_fuel_type_[#All],MATCH(A138, Carbon_Intensity_private_vehicles_by_fuel_type_[#Headers],0),FALSE)</f>
        <v>44.539060402684569</v>
      </c>
      <c r="I138" s="35">
        <f t="shared" si="16"/>
        <v>4096211514.0112009</v>
      </c>
      <c r="J138" s="35">
        <f>I138/(1000000000000)</f>
        <v>4.0962115140112006E-3</v>
      </c>
      <c r="K138" s="28">
        <f>VLOOKUP(D138,Energy_intensity_private_vehicles_kwh_per_pkm[#All],MATCH(A138,Energy_intensity_private_vehicles_kwh_per_pkm[#Headers],0),FALSE)*100</f>
        <v>10.201342281879194</v>
      </c>
      <c r="L138" s="35">
        <f t="shared" si="19"/>
        <v>9382069.432</v>
      </c>
      <c r="M138" s="13">
        <f t="shared" si="20"/>
        <v>9382.0694320000002</v>
      </c>
    </row>
    <row r="139" spans="1:13" x14ac:dyDescent="0.25">
      <c r="K139" s="89"/>
    </row>
  </sheetData>
  <autoFilter ref="C2:M3" xr:uid="{D6226A68-49A7-458A-902E-A5071DAA3FD5}"/>
  <mergeCells count="1">
    <mergeCell ref="A1:M1"/>
  </mergeCells>
  <phoneticPr fontId="2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2EFC-D7B8-41A2-A99D-B871C7236F96}">
  <dimension ref="A1:AX284"/>
  <sheetViews>
    <sheetView topLeftCell="A97" workbookViewId="0">
      <selection activeCell="B266" sqref="B266"/>
    </sheetView>
  </sheetViews>
  <sheetFormatPr defaultRowHeight="15" x14ac:dyDescent="0.25"/>
  <cols>
    <col min="1" max="1" width="80.5703125" bestFit="1" customWidth="1"/>
    <col min="2" max="2" width="14.7109375" customWidth="1"/>
    <col min="3" max="3" width="14.28515625" customWidth="1"/>
    <col min="4" max="4" width="16" customWidth="1"/>
    <col min="5" max="5" width="13.28515625" customWidth="1"/>
    <col min="6" max="7" width="13.7109375" customWidth="1"/>
  </cols>
  <sheetData>
    <row r="1" spans="1:7" s="31" customFormat="1" x14ac:dyDescent="0.25">
      <c r="A1" s="29" t="s">
        <v>124</v>
      </c>
      <c r="B1" s="39" t="s">
        <v>128</v>
      </c>
      <c r="C1" s="39" t="s">
        <v>32</v>
      </c>
      <c r="D1" s="40" t="s">
        <v>33</v>
      </c>
      <c r="E1" s="40" t="s">
        <v>34</v>
      </c>
      <c r="F1" s="40" t="s">
        <v>36</v>
      </c>
      <c r="G1" s="40" t="s">
        <v>39</v>
      </c>
    </row>
    <row r="2" spans="1:7" x14ac:dyDescent="0.25">
      <c r="A2" s="29" t="s">
        <v>12</v>
      </c>
      <c r="B2" s="6">
        <v>22</v>
      </c>
      <c r="C2" s="6">
        <v>22.3</v>
      </c>
      <c r="D2" s="25">
        <v>21.1</v>
      </c>
      <c r="E2" s="25">
        <v>18.8</v>
      </c>
      <c r="F2" s="25">
        <v>25.5</v>
      </c>
      <c r="G2" s="25">
        <v>28.6</v>
      </c>
    </row>
    <row r="3" spans="1:7" x14ac:dyDescent="0.25">
      <c r="A3" s="29" t="s">
        <v>181</v>
      </c>
      <c r="B3" s="6">
        <v>19</v>
      </c>
      <c r="C3" s="6">
        <v>18.2</v>
      </c>
      <c r="D3" s="7">
        <v>18.899999999999999</v>
      </c>
      <c r="E3" s="7">
        <v>20</v>
      </c>
      <c r="F3" s="25">
        <v>13.4</v>
      </c>
      <c r="G3" s="25">
        <v>15</v>
      </c>
    </row>
    <row r="4" spans="1:7" x14ac:dyDescent="0.25">
      <c r="A4" s="29" t="s">
        <v>180</v>
      </c>
      <c r="B4" s="6">
        <v>11</v>
      </c>
      <c r="C4" s="6">
        <v>11.7</v>
      </c>
      <c r="D4" s="7">
        <v>11.7</v>
      </c>
      <c r="E4" s="7">
        <v>13</v>
      </c>
      <c r="F4" s="25">
        <v>11.9</v>
      </c>
      <c r="G4" s="25">
        <v>12.5</v>
      </c>
    </row>
    <row r="5" spans="1:7" x14ac:dyDescent="0.25">
      <c r="A5" s="29" t="s">
        <v>182</v>
      </c>
      <c r="B5" s="6">
        <v>6</v>
      </c>
      <c r="C5" s="6">
        <v>6</v>
      </c>
      <c r="D5" s="7">
        <v>6.6</v>
      </c>
      <c r="E5" s="7">
        <v>6.4</v>
      </c>
      <c r="F5" s="25">
        <v>5.9</v>
      </c>
      <c r="G5" s="25">
        <v>7</v>
      </c>
    </row>
    <row r="6" spans="1:7" x14ac:dyDescent="0.25">
      <c r="A6" s="29" t="s">
        <v>1</v>
      </c>
      <c r="B6" s="6">
        <v>41</v>
      </c>
      <c r="C6" s="6">
        <v>41.9</v>
      </c>
      <c r="D6" s="7">
        <v>41.7</v>
      </c>
      <c r="E6" s="7">
        <v>41.9</v>
      </c>
      <c r="F6" s="25">
        <v>43.3</v>
      </c>
      <c r="G6" s="25">
        <v>36.799999999999997</v>
      </c>
    </row>
    <row r="7" spans="1:7" s="31" customFormat="1" ht="15" customHeight="1" x14ac:dyDescent="0.25">
      <c r="A7" s="29" t="s">
        <v>86</v>
      </c>
      <c r="B7" s="36" t="s">
        <v>122</v>
      </c>
      <c r="C7" s="36" t="s">
        <v>140</v>
      </c>
      <c r="D7" s="36" t="s">
        <v>126</v>
      </c>
      <c r="E7" s="36" t="s">
        <v>21</v>
      </c>
      <c r="F7" s="36" t="s">
        <v>130</v>
      </c>
      <c r="G7" s="36" t="s">
        <v>91</v>
      </c>
    </row>
    <row r="8" spans="1:7" ht="14.25" customHeight="1" x14ac:dyDescent="0.25">
      <c r="A8" s="29" t="s">
        <v>123</v>
      </c>
      <c r="B8" s="37" t="s">
        <v>87</v>
      </c>
      <c r="C8" s="37" t="s">
        <v>125</v>
      </c>
      <c r="D8" s="37" t="s">
        <v>125</v>
      </c>
      <c r="E8" s="37" t="s">
        <v>127</v>
      </c>
      <c r="F8" s="37" t="s">
        <v>129</v>
      </c>
      <c r="G8" s="37" t="s">
        <v>131</v>
      </c>
    </row>
    <row r="9" spans="1:7" ht="17.25" customHeight="1" x14ac:dyDescent="0.25"/>
    <row r="10" spans="1:7" x14ac:dyDescent="0.25">
      <c r="A10" s="16" t="s">
        <v>134</v>
      </c>
      <c r="B10" s="80" t="s">
        <v>128</v>
      </c>
      <c r="C10" s="80" t="s">
        <v>32</v>
      </c>
      <c r="D10" s="81" t="s">
        <v>33</v>
      </c>
      <c r="E10" s="81" t="s">
        <v>34</v>
      </c>
      <c r="F10" s="81" t="s">
        <v>36</v>
      </c>
      <c r="G10" s="80" t="s">
        <v>39</v>
      </c>
    </row>
    <row r="11" spans="1:7" x14ac:dyDescent="0.25">
      <c r="A11" s="29" t="s">
        <v>5</v>
      </c>
      <c r="B11" s="6">
        <v>40</v>
      </c>
      <c r="C11" s="6">
        <v>51.9</v>
      </c>
      <c r="D11" s="7">
        <v>46.3</v>
      </c>
      <c r="E11" s="7">
        <v>49.1</v>
      </c>
      <c r="F11" s="25">
        <v>50.3</v>
      </c>
      <c r="G11" s="25">
        <v>51.4</v>
      </c>
    </row>
    <row r="12" spans="1:7" x14ac:dyDescent="0.25">
      <c r="A12" s="29" t="s">
        <v>6</v>
      </c>
      <c r="B12" s="6">
        <v>5</v>
      </c>
      <c r="C12" s="6">
        <v>3.2</v>
      </c>
      <c r="D12" s="7">
        <v>3.1</v>
      </c>
      <c r="E12" s="7">
        <v>2.2000000000000002</v>
      </c>
      <c r="F12" s="25">
        <v>2.2999999999999998</v>
      </c>
      <c r="G12" s="25">
        <v>5.4</v>
      </c>
    </row>
    <row r="13" spans="1:7" x14ac:dyDescent="0.25">
      <c r="A13" s="29" t="s">
        <v>7</v>
      </c>
      <c r="B13" s="6">
        <v>51</v>
      </c>
      <c r="C13" s="6">
        <v>40.700000000000003</v>
      </c>
      <c r="D13" s="7">
        <v>46.4</v>
      </c>
      <c r="E13" s="7">
        <v>44.1</v>
      </c>
      <c r="F13" s="25">
        <v>43.1</v>
      </c>
      <c r="G13" s="25">
        <v>36.1</v>
      </c>
    </row>
    <row r="14" spans="1:7" x14ac:dyDescent="0.25">
      <c r="A14" s="29" t="s">
        <v>8</v>
      </c>
      <c r="B14" s="41">
        <v>1</v>
      </c>
      <c r="C14" s="41">
        <v>0.9</v>
      </c>
      <c r="D14" s="41">
        <v>0.7</v>
      </c>
      <c r="E14" s="41">
        <v>1</v>
      </c>
      <c r="F14" s="41">
        <v>0.9</v>
      </c>
      <c r="G14" s="41">
        <v>1.7</v>
      </c>
    </row>
    <row r="15" spans="1:7" x14ac:dyDescent="0.25">
      <c r="A15" s="29" t="s">
        <v>9</v>
      </c>
      <c r="B15" s="41">
        <v>1</v>
      </c>
      <c r="C15" s="41">
        <v>1</v>
      </c>
      <c r="D15" s="41">
        <v>1.3</v>
      </c>
      <c r="E15" s="41">
        <v>1.6</v>
      </c>
      <c r="F15" s="41">
        <v>1.6</v>
      </c>
      <c r="G15" s="41">
        <v>2</v>
      </c>
    </row>
    <row r="16" spans="1:7" x14ac:dyDescent="0.25">
      <c r="A16" s="29" t="s">
        <v>186</v>
      </c>
      <c r="B16" s="6">
        <v>0</v>
      </c>
      <c r="C16" s="6">
        <v>0.1</v>
      </c>
      <c r="D16" s="25">
        <v>0.2</v>
      </c>
      <c r="E16" s="25">
        <v>0</v>
      </c>
      <c r="F16" s="25">
        <v>0.1</v>
      </c>
      <c r="G16" s="25">
        <v>0.2</v>
      </c>
    </row>
    <row r="17" spans="1:31" x14ac:dyDescent="0.25">
      <c r="A17" s="69" t="s">
        <v>11</v>
      </c>
      <c r="B17" s="6">
        <v>0</v>
      </c>
      <c r="C17" s="6">
        <v>0.5</v>
      </c>
      <c r="D17" s="7">
        <v>0.6</v>
      </c>
      <c r="E17" s="7">
        <v>0.7</v>
      </c>
      <c r="F17" s="25">
        <v>0.5</v>
      </c>
      <c r="G17" s="25">
        <v>0.8</v>
      </c>
    </row>
    <row r="18" spans="1:31" x14ac:dyDescent="0.25">
      <c r="A18" s="43" t="s">
        <v>51</v>
      </c>
      <c r="B18" s="6">
        <v>2</v>
      </c>
      <c r="C18" s="6">
        <v>1.5</v>
      </c>
      <c r="D18" s="7">
        <v>1.4</v>
      </c>
      <c r="E18" s="7">
        <v>1.3</v>
      </c>
      <c r="F18" s="25">
        <v>1.2</v>
      </c>
      <c r="G18" s="25">
        <v>2.4</v>
      </c>
      <c r="H18" s="50"/>
      <c r="I18" s="50"/>
    </row>
    <row r="19" spans="1:31" s="31" customFormat="1" ht="15" customHeight="1" x14ac:dyDescent="0.25">
      <c r="A19" s="29" t="s">
        <v>15</v>
      </c>
      <c r="B19" s="36" t="s">
        <v>139</v>
      </c>
      <c r="C19" s="36" t="s">
        <v>141</v>
      </c>
      <c r="D19" s="36" t="s">
        <v>141</v>
      </c>
      <c r="E19" s="36" t="s">
        <v>143</v>
      </c>
      <c r="F19" s="36" t="s">
        <v>146</v>
      </c>
      <c r="G19" s="36" t="s">
        <v>147</v>
      </c>
    </row>
    <row r="20" spans="1:31" ht="15" customHeight="1" x14ac:dyDescent="0.25">
      <c r="A20" s="29" t="s">
        <v>123</v>
      </c>
      <c r="B20" s="6" t="s">
        <v>87</v>
      </c>
      <c r="C20" s="6" t="s">
        <v>142</v>
      </c>
      <c r="D20" s="6" t="s">
        <v>142</v>
      </c>
      <c r="E20" s="6" t="s">
        <v>144</v>
      </c>
      <c r="F20" s="6" t="s">
        <v>145</v>
      </c>
      <c r="G20" s="6" t="s">
        <v>148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spans="1:31" x14ac:dyDescent="0.25">
      <c r="A21" s="31"/>
      <c r="B21" s="31"/>
      <c r="C21" s="31"/>
      <c r="D21" s="3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1:31" s="31" customFormat="1" x14ac:dyDescent="0.25">
      <c r="A22" s="29" t="s">
        <v>135</v>
      </c>
      <c r="B22" s="80" t="s">
        <v>128</v>
      </c>
      <c r="C22" s="80" t="s">
        <v>32</v>
      </c>
      <c r="D22" s="81" t="s">
        <v>33</v>
      </c>
      <c r="E22" s="81" t="s">
        <v>34</v>
      </c>
      <c r="F22" s="81" t="s">
        <v>36</v>
      </c>
      <c r="G22" s="80" t="s">
        <v>39</v>
      </c>
    </row>
    <row r="23" spans="1:31" x14ac:dyDescent="0.25">
      <c r="A23" s="29" t="s">
        <v>5</v>
      </c>
      <c r="B23" s="7">
        <v>63.366336633663366</v>
      </c>
      <c r="C23" s="7">
        <v>69.5</v>
      </c>
      <c r="D23" s="7">
        <v>67.400000000000006</v>
      </c>
      <c r="E23" s="7">
        <v>65.599999999999994</v>
      </c>
      <c r="F23" s="25">
        <v>66.099999999999994</v>
      </c>
      <c r="G23" s="25">
        <v>66.099999999999994</v>
      </c>
    </row>
    <row r="24" spans="1:31" x14ac:dyDescent="0.25">
      <c r="A24" s="29" t="s">
        <v>6</v>
      </c>
      <c r="B24" s="7">
        <v>8.9108910891089117</v>
      </c>
      <c r="C24" s="7">
        <v>4.5</v>
      </c>
      <c r="D24" s="7">
        <v>4.2</v>
      </c>
      <c r="E24" s="7">
        <v>3.3</v>
      </c>
      <c r="F24" s="25">
        <v>4.3</v>
      </c>
      <c r="G24" s="25">
        <v>6.5</v>
      </c>
    </row>
    <row r="25" spans="1:31" x14ac:dyDescent="0.25">
      <c r="A25" s="29" t="s">
        <v>7</v>
      </c>
      <c r="B25" s="7">
        <v>17.821782178217823</v>
      </c>
      <c r="C25" s="7">
        <v>16.7</v>
      </c>
      <c r="D25" s="7">
        <v>19.600000000000001</v>
      </c>
      <c r="E25" s="7">
        <v>21.4</v>
      </c>
      <c r="F25" s="25">
        <v>17.3</v>
      </c>
      <c r="G25" s="25">
        <v>12.6</v>
      </c>
    </row>
    <row r="26" spans="1:31" x14ac:dyDescent="0.25">
      <c r="A26" s="29" t="s">
        <v>8</v>
      </c>
      <c r="B26" s="42">
        <v>3.9603960396039604</v>
      </c>
      <c r="C26" s="42">
        <v>3.6</v>
      </c>
      <c r="D26" s="42">
        <v>3.9</v>
      </c>
      <c r="E26" s="42">
        <v>4.0999999999999996</v>
      </c>
      <c r="F26" s="42">
        <v>5.4</v>
      </c>
      <c r="G26" s="42">
        <v>8.1</v>
      </c>
    </row>
    <row r="27" spans="1:31" x14ac:dyDescent="0.25">
      <c r="A27" s="29" t="s">
        <v>9</v>
      </c>
      <c r="B27" s="42">
        <v>1.9801980198019802</v>
      </c>
      <c r="C27" s="42">
        <v>2.2999999999999998</v>
      </c>
      <c r="D27" s="42">
        <v>1.9</v>
      </c>
      <c r="E27" s="42">
        <v>2.7</v>
      </c>
      <c r="F27" s="42">
        <v>3.4</v>
      </c>
      <c r="G27" s="42">
        <v>2.2999999999999998</v>
      </c>
    </row>
    <row r="28" spans="1:31" x14ac:dyDescent="0.25">
      <c r="A28" s="29" t="s">
        <v>186</v>
      </c>
      <c r="B28" s="7">
        <v>0</v>
      </c>
      <c r="C28" s="7">
        <v>0.5</v>
      </c>
      <c r="D28" s="25">
        <v>0.7</v>
      </c>
      <c r="E28" s="25">
        <v>0.5</v>
      </c>
      <c r="F28" s="25">
        <v>0.9</v>
      </c>
      <c r="G28" s="25">
        <v>1.2</v>
      </c>
    </row>
    <row r="29" spans="1:31" x14ac:dyDescent="0.25">
      <c r="A29" s="69" t="s">
        <v>11</v>
      </c>
      <c r="B29" s="7">
        <v>0</v>
      </c>
      <c r="C29" s="7">
        <v>1.2</v>
      </c>
      <c r="D29" s="7">
        <v>1.1000000000000001</v>
      </c>
      <c r="E29" s="7">
        <v>1</v>
      </c>
      <c r="F29" s="25">
        <v>1</v>
      </c>
      <c r="G29" s="25">
        <v>1.7</v>
      </c>
    </row>
    <row r="30" spans="1:31" x14ac:dyDescent="0.25">
      <c r="A30" s="43" t="s">
        <v>51</v>
      </c>
      <c r="B30" s="7">
        <v>3.9603960396039604</v>
      </c>
      <c r="C30" s="7">
        <v>1.5</v>
      </c>
      <c r="D30" s="7">
        <v>1.3</v>
      </c>
      <c r="E30" s="7">
        <v>1.3</v>
      </c>
      <c r="F30" s="25">
        <v>1.6</v>
      </c>
      <c r="G30" s="25">
        <v>1.6</v>
      </c>
    </row>
    <row r="31" spans="1:31" s="31" customFormat="1" ht="15" customHeight="1" x14ac:dyDescent="0.25">
      <c r="A31" s="29" t="s">
        <v>15</v>
      </c>
      <c r="B31" s="36" t="s">
        <v>139</v>
      </c>
      <c r="C31" s="36" t="s">
        <v>141</v>
      </c>
      <c r="D31" s="36" t="s">
        <v>141</v>
      </c>
      <c r="E31" s="36" t="s">
        <v>143</v>
      </c>
      <c r="F31" s="36" t="s">
        <v>146</v>
      </c>
      <c r="G31" s="36" t="s">
        <v>147</v>
      </c>
    </row>
    <row r="32" spans="1:31" x14ac:dyDescent="0.25">
      <c r="A32" s="29" t="s">
        <v>123</v>
      </c>
      <c r="B32" s="6" t="s">
        <v>87</v>
      </c>
      <c r="C32" s="6" t="s">
        <v>142</v>
      </c>
      <c r="D32" s="6" t="s">
        <v>142</v>
      </c>
      <c r="E32" s="6" t="s">
        <v>144</v>
      </c>
      <c r="F32" s="6" t="s">
        <v>145</v>
      </c>
      <c r="G32" s="6" t="s">
        <v>148</v>
      </c>
    </row>
    <row r="33" spans="1:7" x14ac:dyDescent="0.25">
      <c r="B33" s="31"/>
      <c r="C33" s="31"/>
      <c r="D33" s="31"/>
      <c r="E33" s="31"/>
      <c r="F33" s="31"/>
      <c r="G33" s="31"/>
    </row>
    <row r="34" spans="1:7" x14ac:dyDescent="0.25">
      <c r="A34" s="29" t="s">
        <v>132</v>
      </c>
      <c r="B34" s="80" t="s">
        <v>128</v>
      </c>
      <c r="C34" s="80" t="s">
        <v>32</v>
      </c>
      <c r="D34" s="81" t="s">
        <v>33</v>
      </c>
      <c r="E34" s="81" t="s">
        <v>34</v>
      </c>
      <c r="F34" s="81" t="s">
        <v>36</v>
      </c>
      <c r="G34" s="80" t="s">
        <v>39</v>
      </c>
    </row>
    <row r="35" spans="1:7" x14ac:dyDescent="0.25">
      <c r="A35" s="29" t="s">
        <v>5</v>
      </c>
      <c r="B35" s="7">
        <v>71.717171717171723</v>
      </c>
      <c r="C35" s="7">
        <v>72.599999999999994</v>
      </c>
      <c r="D35" s="7">
        <v>73.099999999999994</v>
      </c>
      <c r="E35" s="7">
        <v>70.599999999999994</v>
      </c>
      <c r="F35" s="25">
        <v>71.900000000000006</v>
      </c>
      <c r="G35" s="25">
        <v>70.641282565130254</v>
      </c>
    </row>
    <row r="36" spans="1:7" x14ac:dyDescent="0.25">
      <c r="A36" s="29" t="s">
        <v>6</v>
      </c>
      <c r="B36" s="7">
        <v>9.0909090909090917</v>
      </c>
      <c r="C36" s="7">
        <v>5.7</v>
      </c>
      <c r="D36" s="7">
        <v>5.2</v>
      </c>
      <c r="E36" s="7">
        <v>4.9000000000000004</v>
      </c>
      <c r="F36" s="25">
        <v>4.4000000000000004</v>
      </c>
      <c r="G36" s="25">
        <v>8.5170340681362724</v>
      </c>
    </row>
    <row r="37" spans="1:7" x14ac:dyDescent="0.25">
      <c r="A37" s="29" t="s">
        <v>7</v>
      </c>
      <c r="B37" s="7">
        <v>8.0808080808080813</v>
      </c>
      <c r="C37" s="7">
        <v>8.1999999999999993</v>
      </c>
      <c r="D37" s="7">
        <v>10.3</v>
      </c>
      <c r="E37" s="7">
        <v>11.4</v>
      </c>
      <c r="F37" s="25">
        <v>6.3</v>
      </c>
      <c r="G37" s="25">
        <v>5.5110220440881763</v>
      </c>
    </row>
    <row r="38" spans="1:7" x14ac:dyDescent="0.25">
      <c r="A38" s="29" t="s">
        <v>8</v>
      </c>
      <c r="B38" s="42">
        <v>6.0606060606060606</v>
      </c>
      <c r="C38" s="42">
        <v>6.8</v>
      </c>
      <c r="D38" s="42">
        <v>5.5</v>
      </c>
      <c r="E38" s="42">
        <v>6.1</v>
      </c>
      <c r="F38" s="42">
        <v>8.3000000000000007</v>
      </c>
      <c r="G38" s="42">
        <v>6.7134268537074151</v>
      </c>
    </row>
    <row r="39" spans="1:7" x14ac:dyDescent="0.25">
      <c r="A39" s="29" t="s">
        <v>9</v>
      </c>
      <c r="B39" s="42">
        <v>2.0202020202020203</v>
      </c>
      <c r="C39" s="42">
        <v>1.7</v>
      </c>
      <c r="D39" s="42">
        <v>2</v>
      </c>
      <c r="E39" s="42">
        <v>2.5</v>
      </c>
      <c r="F39" s="42">
        <v>3.6</v>
      </c>
      <c r="G39" s="42">
        <v>1.6032064128256514</v>
      </c>
    </row>
    <row r="40" spans="1:7" x14ac:dyDescent="0.25">
      <c r="A40" s="29" t="s">
        <v>186</v>
      </c>
      <c r="B40" s="7">
        <v>0</v>
      </c>
      <c r="C40" s="7">
        <v>1.4</v>
      </c>
      <c r="D40" s="25">
        <v>1.3</v>
      </c>
      <c r="E40" s="25">
        <v>0.8</v>
      </c>
      <c r="F40" s="25">
        <v>1.5</v>
      </c>
      <c r="G40" s="25">
        <v>2.1042084168336674</v>
      </c>
    </row>
    <row r="41" spans="1:7" x14ac:dyDescent="0.25">
      <c r="A41" s="69" t="s">
        <v>11</v>
      </c>
      <c r="B41" s="7">
        <v>0</v>
      </c>
      <c r="C41" s="7">
        <v>1.2</v>
      </c>
      <c r="D41" s="7">
        <v>1.2</v>
      </c>
      <c r="E41" s="7">
        <v>1.5</v>
      </c>
      <c r="F41" s="25">
        <v>1.6</v>
      </c>
      <c r="G41" s="25">
        <v>1.4028056112224447</v>
      </c>
    </row>
    <row r="42" spans="1:7" x14ac:dyDescent="0.25">
      <c r="A42" s="43" t="s">
        <v>51</v>
      </c>
      <c r="B42" s="7">
        <v>3.0303030303030303</v>
      </c>
      <c r="C42" s="7">
        <v>2.2999999999999998</v>
      </c>
      <c r="D42" s="7">
        <v>1.4</v>
      </c>
      <c r="E42" s="7">
        <v>2.2000000000000002</v>
      </c>
      <c r="F42" s="25">
        <v>2.2999999999999998</v>
      </c>
      <c r="G42" s="25">
        <v>3.5070140280561124</v>
      </c>
    </row>
    <row r="43" spans="1:7" s="31" customFormat="1" ht="15" customHeight="1" x14ac:dyDescent="0.25">
      <c r="A43" s="29" t="s">
        <v>15</v>
      </c>
      <c r="B43" s="36" t="s">
        <v>139</v>
      </c>
      <c r="C43" s="36" t="s">
        <v>141</v>
      </c>
      <c r="D43" s="36" t="s">
        <v>141</v>
      </c>
      <c r="E43" s="36" t="s">
        <v>143</v>
      </c>
      <c r="F43" s="36" t="s">
        <v>146</v>
      </c>
      <c r="G43" s="36" t="s">
        <v>147</v>
      </c>
    </row>
    <row r="44" spans="1:7" s="31" customFormat="1" x14ac:dyDescent="0.25">
      <c r="A44" s="29" t="s">
        <v>123</v>
      </c>
      <c r="B44" s="6" t="s">
        <v>87</v>
      </c>
      <c r="C44" s="6" t="s">
        <v>142</v>
      </c>
      <c r="D44" s="6" t="s">
        <v>142</v>
      </c>
      <c r="E44" s="6" t="s">
        <v>144</v>
      </c>
      <c r="F44" s="6" t="s">
        <v>145</v>
      </c>
      <c r="G44" s="6" t="s">
        <v>148</v>
      </c>
    </row>
    <row r="45" spans="1:7" s="31" customFormat="1" x14ac:dyDescent="0.25">
      <c r="A45" s="29"/>
      <c r="B45" s="7"/>
      <c r="C45" s="7"/>
      <c r="D45" s="7"/>
      <c r="E45" s="7"/>
      <c r="F45" s="25"/>
      <c r="G45" s="25"/>
    </row>
    <row r="46" spans="1:7" x14ac:dyDescent="0.25">
      <c r="A46" s="29" t="s">
        <v>133</v>
      </c>
      <c r="B46" s="80" t="s">
        <v>128</v>
      </c>
      <c r="C46" s="80" t="s">
        <v>32</v>
      </c>
      <c r="D46" s="81" t="s">
        <v>33</v>
      </c>
      <c r="E46" s="81" t="s">
        <v>34</v>
      </c>
      <c r="F46" s="81" t="s">
        <v>36</v>
      </c>
      <c r="G46" s="80" t="s">
        <v>39</v>
      </c>
    </row>
    <row r="47" spans="1:7" x14ac:dyDescent="0.25">
      <c r="A47" s="29" t="s">
        <v>5</v>
      </c>
      <c r="B47" s="7">
        <v>71.717171717171723</v>
      </c>
      <c r="C47" s="7">
        <v>73.099999999999994</v>
      </c>
      <c r="D47" s="7">
        <v>73.900000000000006</v>
      </c>
      <c r="E47" s="7">
        <v>75.400000000000006</v>
      </c>
      <c r="F47" s="25">
        <v>75.599999999999994</v>
      </c>
      <c r="G47" s="25">
        <v>70.599999999999994</v>
      </c>
    </row>
    <row r="48" spans="1:7" x14ac:dyDescent="0.25">
      <c r="A48" s="29" t="s">
        <v>6</v>
      </c>
      <c r="B48" s="7">
        <v>10.1010101010101</v>
      </c>
      <c r="C48" s="7">
        <v>5.8</v>
      </c>
      <c r="D48" s="7">
        <v>6.1</v>
      </c>
      <c r="E48" s="7">
        <v>4.5</v>
      </c>
      <c r="F48" s="25">
        <v>3</v>
      </c>
      <c r="G48" s="25">
        <v>7</v>
      </c>
    </row>
    <row r="49" spans="1:7" x14ac:dyDescent="0.25">
      <c r="A49" s="29" t="s">
        <v>7</v>
      </c>
      <c r="B49" s="7">
        <v>4.0404040404040407</v>
      </c>
      <c r="C49" s="7">
        <v>6</v>
      </c>
      <c r="D49" s="7">
        <v>6.4</v>
      </c>
      <c r="E49" s="7">
        <v>5.8</v>
      </c>
      <c r="F49" s="25">
        <v>2.7</v>
      </c>
      <c r="G49" s="25">
        <v>4.9000000000000004</v>
      </c>
    </row>
    <row r="50" spans="1:7" x14ac:dyDescent="0.25">
      <c r="A50" s="29" t="s">
        <v>8</v>
      </c>
      <c r="B50" s="42">
        <v>6.0606060606060606</v>
      </c>
      <c r="C50" s="42">
        <v>7.7</v>
      </c>
      <c r="D50" s="42">
        <v>6</v>
      </c>
      <c r="E50" s="42">
        <v>6.3</v>
      </c>
      <c r="F50" s="42">
        <v>9.4</v>
      </c>
      <c r="G50" s="42">
        <v>7.8</v>
      </c>
    </row>
    <row r="51" spans="1:7" x14ac:dyDescent="0.25">
      <c r="A51" s="29" t="s">
        <v>9</v>
      </c>
      <c r="B51" s="42">
        <v>2.0202020202020203</v>
      </c>
      <c r="C51" s="42">
        <v>1.4</v>
      </c>
      <c r="D51" s="42">
        <v>2.2999999999999998</v>
      </c>
      <c r="E51" s="42">
        <v>2.4</v>
      </c>
      <c r="F51" s="42">
        <v>2.4</v>
      </c>
      <c r="G51" s="42">
        <v>2.2999999999999998</v>
      </c>
    </row>
    <row r="52" spans="1:7" x14ac:dyDescent="0.25">
      <c r="A52" s="29" t="s">
        <v>186</v>
      </c>
      <c r="B52" s="7">
        <v>0</v>
      </c>
      <c r="C52" s="7">
        <v>1.5</v>
      </c>
      <c r="D52" s="25">
        <v>1.5</v>
      </c>
      <c r="E52" s="25">
        <v>1.8</v>
      </c>
      <c r="F52" s="25">
        <v>2.2999999999999998</v>
      </c>
      <c r="G52" s="25">
        <v>3.3</v>
      </c>
    </row>
    <row r="53" spans="1:7" x14ac:dyDescent="0.25">
      <c r="A53" s="69" t="s">
        <v>11</v>
      </c>
      <c r="B53" s="7">
        <v>0</v>
      </c>
      <c r="C53" s="7">
        <v>1.8</v>
      </c>
      <c r="D53" s="7">
        <v>1.7</v>
      </c>
      <c r="E53" s="7">
        <v>1.1000000000000001</v>
      </c>
      <c r="F53" s="25">
        <v>0.7</v>
      </c>
      <c r="G53" s="25">
        <v>1.4</v>
      </c>
    </row>
    <row r="54" spans="1:7" x14ac:dyDescent="0.25">
      <c r="A54" s="43" t="s">
        <v>51</v>
      </c>
      <c r="B54" s="7">
        <v>6.0606060606060606</v>
      </c>
      <c r="C54" s="7">
        <v>2.6</v>
      </c>
      <c r="D54" s="7">
        <v>2.2000000000000002</v>
      </c>
      <c r="E54" s="7">
        <v>2.7</v>
      </c>
      <c r="F54" s="25">
        <v>4</v>
      </c>
      <c r="G54" s="25">
        <v>2.7</v>
      </c>
    </row>
    <row r="55" spans="1:7" ht="15" customHeight="1" x14ac:dyDescent="0.25">
      <c r="A55" s="29" t="s">
        <v>15</v>
      </c>
      <c r="B55" s="36" t="s">
        <v>139</v>
      </c>
      <c r="C55" s="36" t="s">
        <v>141</v>
      </c>
      <c r="D55" s="36" t="s">
        <v>141</v>
      </c>
      <c r="E55" s="36" t="s">
        <v>143</v>
      </c>
      <c r="F55" s="36" t="s">
        <v>146</v>
      </c>
      <c r="G55" s="36" t="s">
        <v>147</v>
      </c>
    </row>
    <row r="56" spans="1:7" s="31" customFormat="1" x14ac:dyDescent="0.25">
      <c r="A56" s="29" t="s">
        <v>123</v>
      </c>
      <c r="B56" s="6" t="s">
        <v>87</v>
      </c>
      <c r="C56" s="6" t="s">
        <v>142</v>
      </c>
      <c r="D56" s="6" t="s">
        <v>142</v>
      </c>
      <c r="E56" s="6" t="s">
        <v>144</v>
      </c>
      <c r="F56" s="6" t="s">
        <v>145</v>
      </c>
      <c r="G56" s="6" t="s">
        <v>148</v>
      </c>
    </row>
    <row r="57" spans="1:7" s="31" customFormat="1" x14ac:dyDescent="0.25">
      <c r="B57"/>
      <c r="C57"/>
      <c r="D57"/>
      <c r="E57"/>
      <c r="F57"/>
      <c r="G57"/>
    </row>
    <row r="58" spans="1:7" s="31" customFormat="1" x14ac:dyDescent="0.25">
      <c r="A58" s="44" t="s">
        <v>136</v>
      </c>
      <c r="B58" s="80" t="s">
        <v>128</v>
      </c>
      <c r="C58" s="80" t="s">
        <v>32</v>
      </c>
      <c r="D58" s="81" t="s">
        <v>33</v>
      </c>
      <c r="E58" s="81" t="s">
        <v>34</v>
      </c>
      <c r="F58" s="81" t="s">
        <v>36</v>
      </c>
      <c r="G58" s="80" t="s">
        <v>39</v>
      </c>
    </row>
    <row r="59" spans="1:7" x14ac:dyDescent="0.25">
      <c r="A59" s="45" t="s">
        <v>5</v>
      </c>
      <c r="B59" s="7">
        <v>74</v>
      </c>
      <c r="C59" s="7">
        <v>79.7</v>
      </c>
      <c r="D59" s="7">
        <v>79.3</v>
      </c>
      <c r="E59" s="7">
        <v>78.3</v>
      </c>
      <c r="F59" s="25">
        <v>80.2</v>
      </c>
      <c r="G59" s="25">
        <v>71.900000000000006</v>
      </c>
    </row>
    <row r="60" spans="1:7" x14ac:dyDescent="0.25">
      <c r="A60" s="46" t="s">
        <v>6</v>
      </c>
      <c r="B60" s="7">
        <v>11</v>
      </c>
      <c r="C60" s="7">
        <v>8.4</v>
      </c>
      <c r="D60" s="7">
        <v>8</v>
      </c>
      <c r="E60" s="7">
        <v>7.9</v>
      </c>
      <c r="F60" s="25">
        <v>6.9</v>
      </c>
      <c r="G60" s="25">
        <v>12.7</v>
      </c>
    </row>
    <row r="61" spans="1:7" x14ac:dyDescent="0.25">
      <c r="A61" s="45" t="s">
        <v>7</v>
      </c>
      <c r="B61" s="7">
        <v>0</v>
      </c>
      <c r="C61" s="7">
        <v>0.4</v>
      </c>
      <c r="D61" s="7">
        <v>0.7</v>
      </c>
      <c r="E61" s="7">
        <v>0.9</v>
      </c>
      <c r="F61" s="25">
        <v>0.8</v>
      </c>
      <c r="G61" s="25">
        <v>0.7</v>
      </c>
    </row>
    <row r="62" spans="1:7" x14ac:dyDescent="0.25">
      <c r="A62" s="46" t="s">
        <v>8</v>
      </c>
      <c r="B62" s="42">
        <v>5</v>
      </c>
      <c r="C62" s="42">
        <v>4.2</v>
      </c>
      <c r="D62" s="42">
        <v>4.4000000000000004</v>
      </c>
      <c r="E62" s="42">
        <v>5.2</v>
      </c>
      <c r="F62" s="42">
        <v>3.9</v>
      </c>
      <c r="G62" s="42">
        <v>4.7</v>
      </c>
    </row>
    <row r="63" spans="1:7" x14ac:dyDescent="0.25">
      <c r="A63" s="45" t="s">
        <v>9</v>
      </c>
      <c r="B63" s="42">
        <v>1</v>
      </c>
      <c r="C63" s="42">
        <v>0.6</v>
      </c>
      <c r="D63" s="42">
        <v>0.6</v>
      </c>
      <c r="E63" s="42">
        <v>0.7</v>
      </c>
      <c r="F63" s="42">
        <v>0.7</v>
      </c>
      <c r="G63" s="42">
        <v>0.7</v>
      </c>
    </row>
    <row r="64" spans="1:7" x14ac:dyDescent="0.25">
      <c r="A64" s="29" t="s">
        <v>186</v>
      </c>
      <c r="B64" s="7">
        <v>3</v>
      </c>
      <c r="C64" s="7">
        <v>2.2999999999999998</v>
      </c>
      <c r="D64" s="25">
        <v>2.4</v>
      </c>
      <c r="E64" s="25">
        <v>2.6</v>
      </c>
      <c r="F64" s="25">
        <v>1.9</v>
      </c>
      <c r="G64" s="25">
        <v>2.9</v>
      </c>
    </row>
    <row r="65" spans="1:9" x14ac:dyDescent="0.25">
      <c r="A65" s="69" t="s">
        <v>11</v>
      </c>
      <c r="B65" s="7">
        <v>0</v>
      </c>
      <c r="C65" s="7">
        <v>0.5</v>
      </c>
      <c r="D65" s="7">
        <v>0.7</v>
      </c>
      <c r="E65" s="7">
        <v>0.7</v>
      </c>
      <c r="F65" s="25">
        <v>0.6</v>
      </c>
      <c r="G65" s="25">
        <v>0.5</v>
      </c>
    </row>
    <row r="66" spans="1:9" x14ac:dyDescent="0.25">
      <c r="A66" s="43" t="s">
        <v>51</v>
      </c>
      <c r="B66" s="7">
        <v>7</v>
      </c>
      <c r="C66" s="7">
        <v>3.8</v>
      </c>
      <c r="D66" s="7">
        <v>3.9</v>
      </c>
      <c r="E66" s="7">
        <v>3.7</v>
      </c>
      <c r="F66" s="25">
        <v>4.9000000000000004</v>
      </c>
      <c r="G66" s="25">
        <v>6</v>
      </c>
    </row>
    <row r="67" spans="1:9" ht="15" customHeight="1" x14ac:dyDescent="0.25">
      <c r="A67" s="29" t="s">
        <v>15</v>
      </c>
      <c r="B67" s="36" t="s">
        <v>139</v>
      </c>
      <c r="C67" s="36" t="s">
        <v>141</v>
      </c>
      <c r="D67" s="36" t="s">
        <v>141</v>
      </c>
      <c r="E67" s="36" t="s">
        <v>143</v>
      </c>
      <c r="F67" s="36" t="s">
        <v>146</v>
      </c>
      <c r="G67" s="36" t="s">
        <v>147</v>
      </c>
    </row>
    <row r="68" spans="1:9" x14ac:dyDescent="0.25">
      <c r="A68" s="29" t="s">
        <v>123</v>
      </c>
      <c r="B68" s="6" t="s">
        <v>87</v>
      </c>
      <c r="C68" s="6" t="s">
        <v>142</v>
      </c>
      <c r="D68" s="6" t="s">
        <v>142</v>
      </c>
      <c r="E68" s="6" t="s">
        <v>144</v>
      </c>
      <c r="F68" s="6" t="s">
        <v>145</v>
      </c>
      <c r="G68" s="6" t="s">
        <v>148</v>
      </c>
    </row>
    <row r="69" spans="1:9" s="31" customFormat="1" x14ac:dyDescent="0.25">
      <c r="A69" s="29"/>
    </row>
    <row r="70" spans="1:9" s="31" customFormat="1" x14ac:dyDescent="0.25">
      <c r="A70" s="29" t="s">
        <v>151</v>
      </c>
      <c r="B70" s="80" t="s">
        <v>128</v>
      </c>
      <c r="C70" s="80" t="s">
        <v>32</v>
      </c>
      <c r="D70" s="81" t="s">
        <v>33</v>
      </c>
      <c r="E70" s="81" t="s">
        <v>34</v>
      </c>
      <c r="F70" s="81" t="s">
        <v>36</v>
      </c>
      <c r="G70" s="80" t="s">
        <v>39</v>
      </c>
    </row>
    <row r="71" spans="1:9" x14ac:dyDescent="0.25">
      <c r="A71" s="29" t="s">
        <v>137</v>
      </c>
      <c r="B71" s="51">
        <v>4521000</v>
      </c>
      <c r="C71" s="51">
        <v>4589000</v>
      </c>
      <c r="D71" s="51">
        <v>4610000</v>
      </c>
      <c r="E71" s="51">
        <v>4638000</v>
      </c>
      <c r="F71" s="51">
        <v>4726000</v>
      </c>
      <c r="G71" s="51">
        <v>4904000</v>
      </c>
      <c r="I71" s="31"/>
    </row>
    <row r="72" spans="1:9" s="31" customFormat="1" ht="15" customHeight="1" x14ac:dyDescent="0.25">
      <c r="A72" s="29" t="s">
        <v>15</v>
      </c>
      <c r="B72" s="36" t="s">
        <v>150</v>
      </c>
      <c r="C72" s="36" t="s">
        <v>150</v>
      </c>
      <c r="D72" s="36" t="s">
        <v>150</v>
      </c>
      <c r="E72" s="36" t="s">
        <v>150</v>
      </c>
      <c r="F72" s="36" t="s">
        <v>150</v>
      </c>
      <c r="G72" s="36" t="s">
        <v>150</v>
      </c>
    </row>
    <row r="73" spans="1:9" s="31" customFormat="1" x14ac:dyDescent="0.25">
      <c r="A73" s="29" t="s">
        <v>123</v>
      </c>
      <c r="B73" s="6" t="s">
        <v>149</v>
      </c>
      <c r="C73" s="6" t="s">
        <v>149</v>
      </c>
      <c r="D73" s="6" t="s">
        <v>149</v>
      </c>
      <c r="E73" s="6" t="s">
        <v>149</v>
      </c>
      <c r="F73" s="6" t="s">
        <v>149</v>
      </c>
      <c r="G73" s="6" t="s">
        <v>149</v>
      </c>
    </row>
    <row r="74" spans="1:9" s="11" customFormat="1" x14ac:dyDescent="0.25">
      <c r="A74" s="48"/>
      <c r="B74" s="17"/>
      <c r="C74" s="17"/>
      <c r="D74" s="17"/>
      <c r="E74" s="17"/>
      <c r="F74" s="17"/>
      <c r="G74" s="17"/>
    </row>
    <row r="75" spans="1:9" s="11" customFormat="1" x14ac:dyDescent="0.25">
      <c r="A75" s="55" t="s">
        <v>160</v>
      </c>
      <c r="B75" s="80" t="s">
        <v>128</v>
      </c>
      <c r="C75" s="80" t="s">
        <v>32</v>
      </c>
      <c r="D75" s="81" t="s">
        <v>33</v>
      </c>
      <c r="E75" s="81" t="s">
        <v>34</v>
      </c>
      <c r="F75" s="81" t="s">
        <v>36</v>
      </c>
      <c r="G75" s="80" t="s">
        <v>39</v>
      </c>
    </row>
    <row r="76" spans="1:9" x14ac:dyDescent="0.25">
      <c r="A76" s="46" t="s">
        <v>138</v>
      </c>
      <c r="B76" s="54">
        <v>7221</v>
      </c>
      <c r="C76" s="54">
        <v>14759</v>
      </c>
      <c r="D76" s="54">
        <v>14759</v>
      </c>
      <c r="E76" s="54">
        <v>10382</v>
      </c>
      <c r="F76" s="54">
        <v>11027</v>
      </c>
      <c r="G76" s="54">
        <v>8400</v>
      </c>
    </row>
    <row r="77" spans="1:9" s="31" customFormat="1" ht="15" customHeight="1" x14ac:dyDescent="0.25">
      <c r="A77" s="46" t="s">
        <v>15</v>
      </c>
      <c r="B77" s="43" t="s">
        <v>152</v>
      </c>
      <c r="C77" s="43" t="s">
        <v>154</v>
      </c>
      <c r="D77" s="43" t="s">
        <v>154</v>
      </c>
      <c r="E77" s="43" t="s">
        <v>156</v>
      </c>
      <c r="F77" s="43" t="s">
        <v>157</v>
      </c>
      <c r="G77" s="43" t="s">
        <v>159</v>
      </c>
    </row>
    <row r="78" spans="1:9" s="31" customFormat="1" ht="15" customHeight="1" x14ac:dyDescent="0.25">
      <c r="A78" s="56" t="s">
        <v>123</v>
      </c>
      <c r="B78" s="47" t="s">
        <v>87</v>
      </c>
      <c r="C78" s="47" t="s">
        <v>153</v>
      </c>
      <c r="D78" s="47" t="s">
        <v>153</v>
      </c>
      <c r="E78" s="47" t="s">
        <v>155</v>
      </c>
      <c r="F78" s="47" t="s">
        <v>2</v>
      </c>
      <c r="G78" s="47" t="s">
        <v>158</v>
      </c>
    </row>
    <row r="79" spans="1:9" s="31" customFormat="1" ht="15" customHeight="1" x14ac:dyDescent="0.25">
      <c r="A79" s="56"/>
      <c r="B79" s="57"/>
      <c r="C79" s="57"/>
      <c r="D79" s="57"/>
      <c r="E79" s="57"/>
      <c r="F79" s="47"/>
      <c r="G79" s="57"/>
    </row>
    <row r="80" spans="1:9" s="31" customFormat="1" ht="15" customHeight="1" x14ac:dyDescent="0.25">
      <c r="A80" s="61" t="s">
        <v>174</v>
      </c>
      <c r="B80" s="80" t="s">
        <v>128</v>
      </c>
      <c r="C80" s="80" t="s">
        <v>32</v>
      </c>
      <c r="D80" s="81" t="s">
        <v>33</v>
      </c>
      <c r="E80" s="81" t="s">
        <v>34</v>
      </c>
      <c r="F80" s="81" t="s">
        <v>36</v>
      </c>
      <c r="G80" s="80" t="s">
        <v>39</v>
      </c>
    </row>
    <row r="81" spans="1:7" s="31" customFormat="1" ht="15" customHeight="1" x14ac:dyDescent="0.25">
      <c r="A81" s="46" t="s">
        <v>162</v>
      </c>
      <c r="B81" s="58">
        <f>17/7</f>
        <v>2.4285714285714284</v>
      </c>
      <c r="C81" s="58">
        <f>27818/Number_of_respondants[2012]</f>
        <v>1.8848160444474558</v>
      </c>
      <c r="D81" s="58">
        <f>27818/Number_of_respondants[2013]</f>
        <v>1.8848160444474558</v>
      </c>
      <c r="E81" s="58">
        <f>18031/Number_of_respondants[2014]</f>
        <v>1.7367559237141206</v>
      </c>
      <c r="F81" s="59">
        <f>19630/Number_of_respondants[2016]</f>
        <v>1.7801759318037544</v>
      </c>
      <c r="G81" s="60">
        <v>3</v>
      </c>
    </row>
    <row r="82" spans="1:7" s="31" customFormat="1" ht="15" customHeight="1" x14ac:dyDescent="0.25">
      <c r="A82" s="46" t="s">
        <v>15</v>
      </c>
      <c r="B82" s="43" t="s">
        <v>161</v>
      </c>
      <c r="C82" s="57" t="s">
        <v>154</v>
      </c>
      <c r="D82" s="57" t="s">
        <v>154</v>
      </c>
      <c r="E82" s="43" t="s">
        <v>156</v>
      </c>
      <c r="F82" s="43" t="s">
        <v>157</v>
      </c>
      <c r="G82" s="43" t="s">
        <v>163</v>
      </c>
    </row>
    <row r="83" spans="1:7" s="31" customFormat="1" ht="15" customHeight="1" x14ac:dyDescent="0.25">
      <c r="A83" s="56" t="s">
        <v>123</v>
      </c>
      <c r="B83" s="66" t="s">
        <v>87</v>
      </c>
      <c r="C83" s="57" t="s">
        <v>153</v>
      </c>
      <c r="D83" s="57" t="s">
        <v>153</v>
      </c>
      <c r="E83" s="57" t="s">
        <v>155</v>
      </c>
      <c r="F83" s="47" t="s">
        <v>2</v>
      </c>
      <c r="G83" s="57" t="s">
        <v>164</v>
      </c>
    </row>
    <row r="84" spans="1:7" s="31" customFormat="1" ht="15" customHeight="1" x14ac:dyDescent="0.25">
      <c r="A84" s="56"/>
      <c r="B84" s="57"/>
      <c r="C84" s="57"/>
      <c r="D84" s="57"/>
      <c r="E84" s="57"/>
      <c r="F84" s="47"/>
      <c r="G84" s="57"/>
    </row>
    <row r="85" spans="1:7" s="31" customFormat="1" ht="15" customHeight="1" x14ac:dyDescent="0.25">
      <c r="A85" s="172" t="s">
        <v>176</v>
      </c>
      <c r="B85" s="80" t="s">
        <v>128</v>
      </c>
      <c r="C85" s="80" t="s">
        <v>32</v>
      </c>
      <c r="D85" s="81" t="s">
        <v>33</v>
      </c>
      <c r="E85" s="81" t="s">
        <v>34</v>
      </c>
      <c r="F85" s="81" t="s">
        <v>36</v>
      </c>
      <c r="G85" s="80" t="s">
        <v>39</v>
      </c>
    </row>
    <row r="86" spans="1:7" s="31" customFormat="1" ht="15" customHeight="1" x14ac:dyDescent="0.25">
      <c r="A86" s="46"/>
      <c r="B86" s="65">
        <v>365</v>
      </c>
      <c r="C86" s="65">
        <v>366</v>
      </c>
      <c r="D86" s="65">
        <v>365</v>
      </c>
      <c r="E86" s="65">
        <v>365</v>
      </c>
      <c r="F86" s="65">
        <v>366</v>
      </c>
      <c r="G86" s="65">
        <v>365</v>
      </c>
    </row>
    <row r="87" spans="1:7" s="31" customFormat="1" ht="15" customHeight="1" x14ac:dyDescent="0.25">
      <c r="A87" s="57"/>
      <c r="B87" s="57"/>
      <c r="C87" s="57"/>
      <c r="D87" s="57"/>
      <c r="E87" s="57"/>
      <c r="F87" s="57"/>
      <c r="G87" s="57"/>
    </row>
    <row r="88" spans="1:7" s="31" customFormat="1" ht="15" customHeight="1" x14ac:dyDescent="0.25">
      <c r="A88" s="57"/>
      <c r="B88" s="57"/>
      <c r="C88" s="57"/>
      <c r="D88" s="57"/>
      <c r="E88" s="57"/>
      <c r="F88" s="57"/>
      <c r="G88" s="57"/>
    </row>
    <row r="89" spans="1:7" s="31" customFormat="1" ht="15" customHeight="1" x14ac:dyDescent="0.25">
      <c r="A89" s="61" t="s">
        <v>175</v>
      </c>
      <c r="B89" s="80" t="s">
        <v>128</v>
      </c>
      <c r="C89" s="80" t="s">
        <v>32</v>
      </c>
      <c r="D89" s="81" t="s">
        <v>33</v>
      </c>
      <c r="E89" s="81" t="s">
        <v>34</v>
      </c>
      <c r="F89" s="81" t="s">
        <v>36</v>
      </c>
      <c r="G89" s="80" t="s">
        <v>39</v>
      </c>
    </row>
    <row r="90" spans="1:7" s="31" customFormat="1" ht="15" customHeight="1" x14ac:dyDescent="0.25">
      <c r="A90" s="46" t="s">
        <v>187</v>
      </c>
      <c r="B90" s="65">
        <f>Population[2009]*Total_Journeys_per_person_per_day[2009]*Number_of_days_per_year[2009]</f>
        <v>4007543571.4285707</v>
      </c>
      <c r="C90" s="65">
        <f>Population[2012]*Total_Journeys_per_person_per_day[2012]*Number_of_days_per_year[2012]</f>
        <v>3165688023.0367908</v>
      </c>
      <c r="D90" s="65">
        <f>Population[2013]*Total_Journeys_per_person_per_day[2013]*Number_of_days_per_year[2013]</f>
        <v>3171485717.1895118</v>
      </c>
      <c r="E90" s="65">
        <f>Population[2014]*Total_Journeys_per_person_per_day[2014]*Number_of_days_per_year[2014]</f>
        <v>2940102000.5779233</v>
      </c>
      <c r="F90" s="65">
        <f>Population[2016]*Total_Journeys_per_person_per_day[2016]*Number_of_days_per_year[2016]</f>
        <v>3079198792.0558629</v>
      </c>
      <c r="G90" s="65">
        <f>Population[2019]*Total_Journeys_per_person_per_day[2019]*Number_of_days_per_year[2019]</f>
        <v>5369880000</v>
      </c>
    </row>
    <row r="91" spans="1:7" s="31" customFormat="1" ht="15" customHeight="1" x14ac:dyDescent="0.25">
      <c r="A91" s="56"/>
      <c r="B91" s="57"/>
      <c r="C91" s="57"/>
      <c r="D91" s="57"/>
      <c r="E91" s="57"/>
      <c r="F91" s="47"/>
      <c r="G91" s="57"/>
    </row>
    <row r="92" spans="1:7" s="31" customFormat="1" ht="15" customHeight="1" x14ac:dyDescent="0.25">
      <c r="A92" s="57"/>
      <c r="B92" s="57"/>
      <c r="C92" s="57"/>
      <c r="D92" s="57"/>
      <c r="E92" s="57"/>
      <c r="F92" s="57"/>
      <c r="G92" s="57"/>
    </row>
    <row r="93" spans="1:7" s="31" customFormat="1" x14ac:dyDescent="0.25">
      <c r="A93" s="62" t="s">
        <v>166</v>
      </c>
      <c r="B93" s="80" t="s">
        <v>128</v>
      </c>
      <c r="C93" s="80" t="s">
        <v>32</v>
      </c>
      <c r="D93" s="81" t="s">
        <v>33</v>
      </c>
      <c r="E93" s="81" t="s">
        <v>34</v>
      </c>
      <c r="F93" s="81" t="s">
        <v>36</v>
      </c>
      <c r="G93" s="80" t="s">
        <v>39</v>
      </c>
    </row>
    <row r="94" spans="1:7" s="31" customFormat="1" x14ac:dyDescent="0.25">
      <c r="A94" s="63" t="s">
        <v>121</v>
      </c>
      <c r="B94" s="64">
        <f>Private_Vehicle_Kilometres_Car_Stock[2009]</f>
        <v>32873713915</v>
      </c>
      <c r="C94" s="64">
        <f>Private_Vehicle_Kilometres_Car_Stock[2012]</f>
        <v>29535056173</v>
      </c>
      <c r="D94" s="64">
        <f>Private_Vehicle_Kilometres_Car_Stock[2013]</f>
        <v>31821299194</v>
      </c>
      <c r="E94" s="64">
        <f>Private_Vehicle_Kilometres_Car_Stock[2014]</f>
        <v>32323075433</v>
      </c>
      <c r="F94" s="64">
        <f>Private_Vehicle_Kilometres_Car_Stock[2016]</f>
        <v>36171159701</v>
      </c>
      <c r="G94" s="64">
        <f>Private_Vehicle_Kilometres_Car_Stock[2019]</f>
        <v>36195324272</v>
      </c>
    </row>
    <row r="95" spans="1:7" s="31" customFormat="1" ht="15" customHeight="1" x14ac:dyDescent="0.25">
      <c r="A95" s="43" t="s">
        <v>15</v>
      </c>
      <c r="B95" s="43" t="s">
        <v>88</v>
      </c>
      <c r="C95" s="43" t="s">
        <v>88</v>
      </c>
      <c r="D95" s="43" t="s">
        <v>88</v>
      </c>
      <c r="E95" s="43" t="s">
        <v>88</v>
      </c>
      <c r="F95" s="43" t="s">
        <v>88</v>
      </c>
      <c r="G95" s="43" t="s">
        <v>88</v>
      </c>
    </row>
    <row r="96" spans="1:7" s="31" customFormat="1" x14ac:dyDescent="0.25">
      <c r="A96" s="43" t="s">
        <v>123</v>
      </c>
    </row>
    <row r="97" spans="1:7" s="31" customFormat="1" x14ac:dyDescent="0.25"/>
    <row r="98" spans="1:7" s="31" customFormat="1" x14ac:dyDescent="0.25">
      <c r="A98" s="62" t="s">
        <v>165</v>
      </c>
      <c r="B98" s="80" t="s">
        <v>128</v>
      </c>
      <c r="C98" s="80" t="s">
        <v>32</v>
      </c>
      <c r="D98" s="81" t="s">
        <v>33</v>
      </c>
      <c r="E98" s="81" t="s">
        <v>34</v>
      </c>
      <c r="F98" s="81" t="s">
        <v>36</v>
      </c>
      <c r="G98" s="80" t="s">
        <v>39</v>
      </c>
    </row>
    <row r="99" spans="1:7" x14ac:dyDescent="0.25">
      <c r="A99" s="29" t="s">
        <v>13</v>
      </c>
      <c r="B99" s="19">
        <v>14</v>
      </c>
      <c r="C99" s="20">
        <v>14.3</v>
      </c>
      <c r="D99" s="24">
        <v>15.4</v>
      </c>
      <c r="E99" s="24">
        <v>15.6</v>
      </c>
      <c r="F99" s="25">
        <v>16.3</v>
      </c>
      <c r="G99" s="30">
        <v>13.6</v>
      </c>
    </row>
    <row r="100" spans="1:7" x14ac:dyDescent="0.25">
      <c r="A100" s="29" t="s">
        <v>14</v>
      </c>
      <c r="B100" s="19">
        <v>18</v>
      </c>
      <c r="C100" s="20">
        <v>24.5</v>
      </c>
      <c r="D100" s="24">
        <v>25.1</v>
      </c>
      <c r="E100" s="24">
        <v>26.4</v>
      </c>
      <c r="F100" s="25">
        <v>26.1</v>
      </c>
      <c r="G100" s="30">
        <v>20.5</v>
      </c>
    </row>
    <row r="101" spans="1:7" x14ac:dyDescent="0.25">
      <c r="A101" s="29" t="s">
        <v>7</v>
      </c>
      <c r="B101" s="19">
        <v>2</v>
      </c>
      <c r="C101" s="20">
        <v>1.8</v>
      </c>
      <c r="D101" s="24">
        <v>1.9</v>
      </c>
      <c r="E101" s="24">
        <v>2.2999999999999998</v>
      </c>
      <c r="F101" s="25">
        <v>2</v>
      </c>
      <c r="G101" s="30">
        <v>2.7</v>
      </c>
    </row>
    <row r="102" spans="1:7" x14ac:dyDescent="0.25">
      <c r="A102" s="29" t="s">
        <v>8</v>
      </c>
      <c r="B102" s="19">
        <v>14</v>
      </c>
      <c r="C102" s="20">
        <v>14.8</v>
      </c>
      <c r="D102" s="24">
        <v>18.100000000000001</v>
      </c>
      <c r="E102" s="24">
        <v>17.2</v>
      </c>
      <c r="F102" s="25">
        <v>13.4</v>
      </c>
      <c r="G102" s="30">
        <v>16.3</v>
      </c>
    </row>
    <row r="103" spans="1:7" x14ac:dyDescent="0.25">
      <c r="A103" s="29" t="s">
        <v>9</v>
      </c>
      <c r="B103" s="19">
        <v>5</v>
      </c>
      <c r="C103" s="20">
        <v>6.9</v>
      </c>
      <c r="D103" s="24">
        <v>5.7</v>
      </c>
      <c r="E103" s="24">
        <v>6.6</v>
      </c>
      <c r="F103" s="25">
        <v>6.5</v>
      </c>
      <c r="G103" s="30">
        <v>5.7</v>
      </c>
    </row>
    <row r="104" spans="1:7" x14ac:dyDescent="0.25">
      <c r="A104" s="29" t="s">
        <v>186</v>
      </c>
      <c r="B104" s="19">
        <v>26</v>
      </c>
      <c r="C104" s="20">
        <v>29.3</v>
      </c>
      <c r="D104" s="24">
        <v>28</v>
      </c>
      <c r="E104" s="24">
        <v>32.6</v>
      </c>
      <c r="F104" s="25">
        <v>30.4</v>
      </c>
      <c r="G104" s="30">
        <v>32.299999999999997</v>
      </c>
    </row>
    <row r="105" spans="1:7" x14ac:dyDescent="0.25">
      <c r="A105" s="69" t="s">
        <v>11</v>
      </c>
      <c r="B105" s="19"/>
      <c r="C105" s="20">
        <v>10.199999999999999</v>
      </c>
      <c r="D105" s="30">
        <v>6.8</v>
      </c>
      <c r="E105" s="30">
        <v>7</v>
      </c>
      <c r="F105" s="25">
        <v>8.6</v>
      </c>
      <c r="G105" s="30">
        <v>10.5</v>
      </c>
    </row>
    <row r="106" spans="1:7" x14ac:dyDescent="0.25">
      <c r="A106" s="43" t="s">
        <v>51</v>
      </c>
      <c r="B106" s="19">
        <v>22</v>
      </c>
      <c r="C106" s="20">
        <v>25.4</v>
      </c>
      <c r="D106" s="24">
        <v>27.8</v>
      </c>
      <c r="E106" s="24">
        <v>27.6</v>
      </c>
      <c r="F106" s="25">
        <v>24.4</v>
      </c>
      <c r="G106" s="30">
        <v>13.7</v>
      </c>
    </row>
    <row r="107" spans="1:7" s="31" customFormat="1" ht="15" customHeight="1" x14ac:dyDescent="0.25">
      <c r="A107" s="29" t="s">
        <v>15</v>
      </c>
      <c r="B107" s="29" t="s">
        <v>173</v>
      </c>
      <c r="C107" s="29" t="s">
        <v>169</v>
      </c>
      <c r="D107" s="29" t="s">
        <v>170</v>
      </c>
      <c r="E107" s="29" t="s">
        <v>171</v>
      </c>
      <c r="F107" s="29" t="s">
        <v>167</v>
      </c>
      <c r="G107" s="29" t="s">
        <v>172</v>
      </c>
    </row>
    <row r="108" spans="1:7" s="31" customFormat="1" ht="15" customHeight="1" x14ac:dyDescent="0.25">
      <c r="A108" s="29" t="s">
        <v>123</v>
      </c>
      <c r="B108" s="29" t="s">
        <v>87</v>
      </c>
      <c r="C108" s="29" t="s">
        <v>168</v>
      </c>
      <c r="D108" s="29" t="s">
        <v>168</v>
      </c>
      <c r="E108" s="29" t="s">
        <v>168</v>
      </c>
      <c r="F108" s="29" t="s">
        <v>168</v>
      </c>
      <c r="G108" s="29"/>
    </row>
    <row r="110" spans="1:7" x14ac:dyDescent="0.25">
      <c r="A110" t="s">
        <v>185</v>
      </c>
      <c r="B110" s="80" t="s">
        <v>128</v>
      </c>
      <c r="C110" s="80" t="s">
        <v>32</v>
      </c>
      <c r="D110" s="81" t="s">
        <v>33</v>
      </c>
      <c r="E110" s="81" t="s">
        <v>34</v>
      </c>
      <c r="F110" s="81" t="s">
        <v>36</v>
      </c>
      <c r="G110" s="80" t="s">
        <v>39</v>
      </c>
    </row>
    <row r="111" spans="1:7" x14ac:dyDescent="0.25">
      <c r="A111" s="29" t="s">
        <v>13</v>
      </c>
      <c r="B111" s="153">
        <f t="shared" ref="B111:B118" si="0">B99/$B$99</f>
        <v>1</v>
      </c>
      <c r="C111" s="154">
        <f t="shared" ref="C111:C118" si="1">C99/$C$99</f>
        <v>1</v>
      </c>
      <c r="D111" s="155">
        <f t="shared" ref="D111:D118" si="2">D99/$D$99</f>
        <v>1</v>
      </c>
      <c r="E111" s="155">
        <f t="shared" ref="E111:E118" si="3">E99/$E$99</f>
        <v>1</v>
      </c>
      <c r="F111" s="156">
        <f t="shared" ref="F111:F118" si="4">F99/$F$99</f>
        <v>1</v>
      </c>
      <c r="G111" s="157">
        <f t="shared" ref="G111:G118" si="5">G99/$G$99</f>
        <v>1</v>
      </c>
    </row>
    <row r="112" spans="1:7" x14ac:dyDescent="0.25">
      <c r="A112" s="29" t="s">
        <v>14</v>
      </c>
      <c r="B112" s="153">
        <f t="shared" si="0"/>
        <v>1.2857142857142858</v>
      </c>
      <c r="C112" s="154">
        <f t="shared" si="1"/>
        <v>1.7132867132867131</v>
      </c>
      <c r="D112" s="155">
        <f t="shared" si="2"/>
        <v>1.6298701298701299</v>
      </c>
      <c r="E112" s="155">
        <f t="shared" si="3"/>
        <v>1.6923076923076923</v>
      </c>
      <c r="F112" s="156">
        <f t="shared" si="4"/>
        <v>1.6012269938650308</v>
      </c>
      <c r="G112" s="157">
        <f t="shared" si="5"/>
        <v>1.5073529411764706</v>
      </c>
    </row>
    <row r="113" spans="1:7" x14ac:dyDescent="0.25">
      <c r="A113" s="29" t="s">
        <v>7</v>
      </c>
      <c r="B113" s="153">
        <f t="shared" si="0"/>
        <v>0.14285714285714285</v>
      </c>
      <c r="C113" s="154">
        <f t="shared" si="1"/>
        <v>0.12587412587412586</v>
      </c>
      <c r="D113" s="155">
        <f t="shared" si="2"/>
        <v>0.12337662337662336</v>
      </c>
      <c r="E113" s="155">
        <f t="shared" si="3"/>
        <v>0.14743589743589744</v>
      </c>
      <c r="F113" s="156">
        <f t="shared" si="4"/>
        <v>0.12269938650306748</v>
      </c>
      <c r="G113" s="157">
        <f t="shared" si="5"/>
        <v>0.1985294117647059</v>
      </c>
    </row>
    <row r="114" spans="1:7" x14ac:dyDescent="0.25">
      <c r="A114" s="29" t="s">
        <v>8</v>
      </c>
      <c r="B114" s="153">
        <f t="shared" si="0"/>
        <v>1</v>
      </c>
      <c r="C114" s="154">
        <f t="shared" si="1"/>
        <v>1.034965034965035</v>
      </c>
      <c r="D114" s="155">
        <f t="shared" si="2"/>
        <v>1.1753246753246753</v>
      </c>
      <c r="E114" s="155">
        <f t="shared" si="3"/>
        <v>1.1025641025641026</v>
      </c>
      <c r="F114" s="156">
        <f t="shared" si="4"/>
        <v>0.82208588957055218</v>
      </c>
      <c r="G114" s="157">
        <f t="shared" si="5"/>
        <v>1.1985294117647061</v>
      </c>
    </row>
    <row r="115" spans="1:7" x14ac:dyDescent="0.25">
      <c r="A115" s="29" t="s">
        <v>9</v>
      </c>
      <c r="B115" s="153">
        <f t="shared" si="0"/>
        <v>0.35714285714285715</v>
      </c>
      <c r="C115" s="154">
        <f t="shared" si="1"/>
        <v>0.4825174825174825</v>
      </c>
      <c r="D115" s="155">
        <f t="shared" si="2"/>
        <v>0.37012987012987014</v>
      </c>
      <c r="E115" s="155">
        <f t="shared" si="3"/>
        <v>0.42307692307692307</v>
      </c>
      <c r="F115" s="156">
        <f t="shared" si="4"/>
        <v>0.3987730061349693</v>
      </c>
      <c r="G115" s="157">
        <f t="shared" si="5"/>
        <v>0.41911764705882354</v>
      </c>
    </row>
    <row r="116" spans="1:7" x14ac:dyDescent="0.25">
      <c r="A116" s="29" t="s">
        <v>186</v>
      </c>
      <c r="B116" s="153">
        <f t="shared" si="0"/>
        <v>1.8571428571428572</v>
      </c>
      <c r="C116" s="154">
        <f t="shared" si="1"/>
        <v>2.0489510489510487</v>
      </c>
      <c r="D116" s="155">
        <f t="shared" si="2"/>
        <v>1.8181818181818181</v>
      </c>
      <c r="E116" s="155">
        <f t="shared" si="3"/>
        <v>2.0897435897435899</v>
      </c>
      <c r="F116" s="156">
        <f t="shared" si="4"/>
        <v>1.8650306748466257</v>
      </c>
      <c r="G116" s="157">
        <f t="shared" si="5"/>
        <v>2.375</v>
      </c>
    </row>
    <row r="117" spans="1:7" x14ac:dyDescent="0.25">
      <c r="A117" s="69" t="s">
        <v>11</v>
      </c>
      <c r="B117" s="153">
        <f t="shared" si="0"/>
        <v>0</v>
      </c>
      <c r="C117" s="154">
        <f t="shared" si="1"/>
        <v>0.71328671328671323</v>
      </c>
      <c r="D117" s="157">
        <f t="shared" si="2"/>
        <v>0.44155844155844154</v>
      </c>
      <c r="E117" s="157">
        <f t="shared" si="3"/>
        <v>0.44871794871794873</v>
      </c>
      <c r="F117" s="156">
        <f t="shared" si="4"/>
        <v>0.52760736196319014</v>
      </c>
      <c r="G117" s="157">
        <f t="shared" si="5"/>
        <v>0.7720588235294118</v>
      </c>
    </row>
    <row r="118" spans="1:7" x14ac:dyDescent="0.25">
      <c r="A118" s="43" t="s">
        <v>51</v>
      </c>
      <c r="B118" s="153">
        <f t="shared" si="0"/>
        <v>1.5714285714285714</v>
      </c>
      <c r="C118" s="154">
        <f t="shared" si="1"/>
        <v>1.776223776223776</v>
      </c>
      <c r="D118" s="155">
        <f t="shared" si="2"/>
        <v>1.8051948051948052</v>
      </c>
      <c r="E118" s="155">
        <f t="shared" si="3"/>
        <v>1.7692307692307694</v>
      </c>
      <c r="F118" s="156">
        <f t="shared" si="4"/>
        <v>1.4969325153374231</v>
      </c>
      <c r="G118" s="157">
        <f t="shared" si="5"/>
        <v>1.0073529411764706</v>
      </c>
    </row>
    <row r="119" spans="1:7" x14ac:dyDescent="0.25">
      <c r="A119" s="74"/>
      <c r="B119" s="28"/>
      <c r="C119" s="28"/>
      <c r="D119" s="28"/>
      <c r="E119" s="28"/>
      <c r="F119" s="28"/>
      <c r="G119" s="28"/>
    </row>
    <row r="121" spans="1:7" x14ac:dyDescent="0.25">
      <c r="A121" s="16" t="s">
        <v>206</v>
      </c>
      <c r="B121" s="80" t="s">
        <v>128</v>
      </c>
      <c r="C121" s="80" t="s">
        <v>32</v>
      </c>
      <c r="D121" s="81" t="s">
        <v>33</v>
      </c>
      <c r="E121" s="81" t="s">
        <v>34</v>
      </c>
      <c r="F121" s="81" t="s">
        <v>36</v>
      </c>
      <c r="G121" s="80" t="s">
        <v>39</v>
      </c>
    </row>
    <row r="122" spans="1:7" x14ac:dyDescent="0.25">
      <c r="A122" s="29" t="s">
        <v>42</v>
      </c>
      <c r="B122" s="15">
        <v>13</v>
      </c>
      <c r="C122" s="23">
        <v>13.6</v>
      </c>
      <c r="D122" s="23">
        <v>16.399999999999999</v>
      </c>
      <c r="E122" s="23">
        <v>15.2</v>
      </c>
      <c r="F122" s="23">
        <v>17.399999999999999</v>
      </c>
      <c r="G122" s="23">
        <v>14.2</v>
      </c>
    </row>
    <row r="123" spans="1:7" x14ac:dyDescent="0.25">
      <c r="A123" s="29" t="s">
        <v>43</v>
      </c>
      <c r="B123" s="16">
        <v>2</v>
      </c>
      <c r="C123" s="23">
        <v>7.1</v>
      </c>
      <c r="D123" s="23">
        <v>6.6</v>
      </c>
      <c r="E123" s="23">
        <v>5.0999999999999996</v>
      </c>
      <c r="F123" s="23">
        <v>6.4</v>
      </c>
      <c r="G123" s="23">
        <v>2.4</v>
      </c>
    </row>
    <row r="124" spans="1:7" x14ac:dyDescent="0.25">
      <c r="A124" s="29" t="s">
        <v>44</v>
      </c>
      <c r="B124" s="16">
        <v>28</v>
      </c>
      <c r="C124" s="23">
        <v>27.6</v>
      </c>
      <c r="D124" s="23">
        <v>30.3</v>
      </c>
      <c r="E124" s="23">
        <v>31.4</v>
      </c>
      <c r="F124" s="23">
        <v>29.2</v>
      </c>
      <c r="G124" s="23">
        <v>26.5</v>
      </c>
    </row>
    <row r="125" spans="1:7" x14ac:dyDescent="0.25">
      <c r="A125" s="29" t="s">
        <v>45</v>
      </c>
      <c r="B125" s="16">
        <v>4</v>
      </c>
      <c r="C125" s="23">
        <v>4.0999999999999996</v>
      </c>
      <c r="D125" s="23">
        <v>3.4</v>
      </c>
      <c r="E125" s="23">
        <v>2.7</v>
      </c>
      <c r="F125" s="23">
        <v>3.9</v>
      </c>
      <c r="G125" s="23">
        <v>4.5</v>
      </c>
    </row>
    <row r="126" spans="1:7" x14ac:dyDescent="0.25">
      <c r="A126" s="29" t="s">
        <v>46</v>
      </c>
      <c r="B126" s="16">
        <v>9.5</v>
      </c>
      <c r="C126" s="23">
        <v>8.6</v>
      </c>
      <c r="D126" s="23">
        <v>7.5</v>
      </c>
      <c r="E126" s="23">
        <v>9.3000000000000007</v>
      </c>
      <c r="F126" s="23">
        <v>6.6</v>
      </c>
      <c r="G126" s="23">
        <v>7.9</v>
      </c>
    </row>
    <row r="127" spans="1:7" x14ac:dyDescent="0.25">
      <c r="A127" s="29" t="s">
        <v>47</v>
      </c>
      <c r="B127" s="16">
        <v>7.5</v>
      </c>
      <c r="C127" s="23">
        <v>6.2</v>
      </c>
      <c r="D127" s="23">
        <v>8.3000000000000007</v>
      </c>
      <c r="E127" s="23">
        <v>8.1</v>
      </c>
      <c r="F127" s="23">
        <v>8.6</v>
      </c>
      <c r="G127" s="23">
        <v>6.9</v>
      </c>
    </row>
    <row r="128" spans="1:7" x14ac:dyDescent="0.25">
      <c r="A128" s="29" t="s">
        <v>48</v>
      </c>
      <c r="B128" s="16">
        <v>10</v>
      </c>
      <c r="C128" s="23">
        <v>6</v>
      </c>
      <c r="D128" s="23">
        <v>5.3</v>
      </c>
      <c r="E128" s="23">
        <v>4.4000000000000004</v>
      </c>
      <c r="F128" s="23">
        <v>5.3</v>
      </c>
      <c r="G128" s="23">
        <v>3.6</v>
      </c>
    </row>
    <row r="129" spans="1:23" x14ac:dyDescent="0.25">
      <c r="A129" s="29" t="s">
        <v>49</v>
      </c>
      <c r="B129" s="16">
        <v>17</v>
      </c>
      <c r="C129" s="23">
        <v>22.6</v>
      </c>
      <c r="D129" s="23">
        <v>17.399999999999999</v>
      </c>
      <c r="E129" s="23">
        <v>18.8</v>
      </c>
      <c r="F129" s="23">
        <v>18.5</v>
      </c>
      <c r="G129" s="23">
        <v>29.5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spans="1:23" s="31" customFormat="1" x14ac:dyDescent="0.25">
      <c r="A130" s="29" t="s">
        <v>50</v>
      </c>
      <c r="B130" s="16">
        <v>9</v>
      </c>
      <c r="C130" s="23">
        <v>4.3</v>
      </c>
      <c r="D130" s="23">
        <v>5</v>
      </c>
      <c r="E130" s="23">
        <v>4.9000000000000004</v>
      </c>
      <c r="F130" s="23">
        <v>4.2</v>
      </c>
      <c r="G130" s="23">
        <v>4.4000000000000004</v>
      </c>
    </row>
    <row r="131" spans="1:23" ht="15" customHeight="1" x14ac:dyDescent="0.25">
      <c r="A131" s="29" t="s">
        <v>15</v>
      </c>
      <c r="B131" s="36" t="s">
        <v>211</v>
      </c>
      <c r="C131" s="36" t="s">
        <v>215</v>
      </c>
      <c r="D131" s="36" t="s">
        <v>212</v>
      </c>
      <c r="E131" s="36" t="s">
        <v>213</v>
      </c>
      <c r="F131" s="36" t="s">
        <v>214</v>
      </c>
      <c r="G131" s="36" t="s">
        <v>216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spans="1:23" x14ac:dyDescent="0.25">
      <c r="A132" s="29" t="s">
        <v>123</v>
      </c>
      <c r="B132" s="6" t="s">
        <v>87</v>
      </c>
      <c r="C132" s="6" t="s">
        <v>142</v>
      </c>
      <c r="D132" s="6" t="s">
        <v>145</v>
      </c>
      <c r="E132" s="6" t="s">
        <v>145</v>
      </c>
      <c r="F132" s="6" t="s">
        <v>145</v>
      </c>
      <c r="G132" s="6" t="s">
        <v>217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spans="1:23" x14ac:dyDescent="0.25">
      <c r="A133" s="31"/>
      <c r="B133" s="31"/>
      <c r="C133" s="31"/>
      <c r="D133" s="31"/>
      <c r="E133" s="49"/>
      <c r="F133" s="49"/>
      <c r="G133" s="49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spans="1:23" x14ac:dyDescent="0.25">
      <c r="A134" s="29" t="s">
        <v>207</v>
      </c>
      <c r="B134" s="80" t="s">
        <v>128</v>
      </c>
      <c r="C134" s="80" t="s">
        <v>32</v>
      </c>
      <c r="D134" s="81" t="s">
        <v>33</v>
      </c>
      <c r="E134" s="81" t="s">
        <v>34</v>
      </c>
      <c r="F134" s="81" t="s">
        <v>36</v>
      </c>
      <c r="G134" s="80" t="s">
        <v>39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spans="1:23" x14ac:dyDescent="0.25">
      <c r="A135" s="29" t="str">
        <f t="shared" ref="A135:A143" si="6">A122</f>
        <v>Work</v>
      </c>
      <c r="B135" s="7">
        <v>17</v>
      </c>
      <c r="C135" s="7">
        <v>16.8</v>
      </c>
      <c r="D135" s="7">
        <v>19.100000000000001</v>
      </c>
      <c r="E135" s="7">
        <v>20.3</v>
      </c>
      <c r="F135" s="25">
        <v>24.4</v>
      </c>
      <c r="G135" s="25">
        <v>17.399999999999999</v>
      </c>
    </row>
    <row r="136" spans="1:23" x14ac:dyDescent="0.25">
      <c r="A136" s="29" t="str">
        <f t="shared" si="6"/>
        <v>Education</v>
      </c>
      <c r="B136" s="7">
        <v>2</v>
      </c>
      <c r="C136" s="7">
        <v>4.4000000000000004</v>
      </c>
      <c r="D136" s="7">
        <v>4.8</v>
      </c>
      <c r="E136" s="7">
        <v>6.3</v>
      </c>
      <c r="F136" s="25">
        <v>4</v>
      </c>
      <c r="G136" s="25">
        <v>2.9</v>
      </c>
    </row>
    <row r="137" spans="1:23" x14ac:dyDescent="0.25">
      <c r="A137" s="29" t="str">
        <f t="shared" si="6"/>
        <v>Shopping</v>
      </c>
      <c r="B137" s="7">
        <v>22.5</v>
      </c>
      <c r="C137" s="7">
        <v>24.7</v>
      </c>
      <c r="D137" s="7">
        <v>25.4</v>
      </c>
      <c r="E137" s="7">
        <v>29.3</v>
      </c>
      <c r="F137" s="25">
        <v>22.8</v>
      </c>
      <c r="G137" s="25">
        <v>25.6</v>
      </c>
    </row>
    <row r="138" spans="1:23" x14ac:dyDescent="0.25">
      <c r="A138" s="29" t="str">
        <f t="shared" si="6"/>
        <v>To eat or drink</v>
      </c>
      <c r="B138" s="42">
        <v>2.5</v>
      </c>
      <c r="C138" s="42">
        <v>2.2000000000000002</v>
      </c>
      <c r="D138" s="42">
        <v>1.9</v>
      </c>
      <c r="E138" s="42">
        <v>2</v>
      </c>
      <c r="F138" s="42">
        <v>2.2999999999999998</v>
      </c>
      <c r="G138" s="42">
        <v>3.5</v>
      </c>
    </row>
    <row r="139" spans="1:23" x14ac:dyDescent="0.25">
      <c r="A139" s="29" t="str">
        <f t="shared" si="6"/>
        <v>Visit family / friends</v>
      </c>
      <c r="B139" s="42">
        <v>7</v>
      </c>
      <c r="C139" s="42">
        <v>7.8</v>
      </c>
      <c r="D139" s="42">
        <v>8</v>
      </c>
      <c r="E139" s="42">
        <v>7.1</v>
      </c>
      <c r="F139" s="42">
        <v>7.2</v>
      </c>
      <c r="G139" s="42">
        <v>9.1999999999999993</v>
      </c>
    </row>
    <row r="140" spans="1:23" x14ac:dyDescent="0.25">
      <c r="A140" s="29" t="str">
        <f t="shared" si="6"/>
        <v>Entertainment / leisure / sports</v>
      </c>
      <c r="B140" s="7">
        <v>10</v>
      </c>
      <c r="C140" s="7">
        <v>10.6</v>
      </c>
      <c r="D140" s="25">
        <v>10.7</v>
      </c>
      <c r="E140" s="25">
        <v>9.3000000000000007</v>
      </c>
      <c r="F140" s="25">
        <v>10.9</v>
      </c>
      <c r="G140" s="25">
        <v>11.1</v>
      </c>
    </row>
    <row r="141" spans="1:23" x14ac:dyDescent="0.25">
      <c r="A141" s="29" t="str">
        <f t="shared" si="6"/>
        <v>Personal business</v>
      </c>
      <c r="B141" s="7">
        <v>10</v>
      </c>
      <c r="C141" s="7">
        <v>5.3</v>
      </c>
      <c r="D141" s="7">
        <v>5.4</v>
      </c>
      <c r="E141" s="7">
        <v>3.9</v>
      </c>
      <c r="F141" s="25">
        <v>5.2</v>
      </c>
      <c r="G141" s="25">
        <v>4.9000000000000004</v>
      </c>
    </row>
    <row r="142" spans="1:23" x14ac:dyDescent="0.25">
      <c r="A142" s="29" t="str">
        <f t="shared" si="6"/>
        <v>Companion / escort journey</v>
      </c>
      <c r="B142" s="7">
        <v>17</v>
      </c>
      <c r="C142" s="7">
        <v>23.3</v>
      </c>
      <c r="D142" s="7">
        <v>20</v>
      </c>
      <c r="E142" s="7">
        <v>16.899999999999999</v>
      </c>
      <c r="F142" s="25">
        <v>18.899999999999999</v>
      </c>
      <c r="G142" s="25">
        <v>22.1</v>
      </c>
    </row>
    <row r="143" spans="1:23" s="31" customFormat="1" x14ac:dyDescent="0.25">
      <c r="A143" s="29" t="str">
        <f t="shared" si="6"/>
        <v>Other</v>
      </c>
      <c r="B143" s="7">
        <v>8</v>
      </c>
      <c r="C143" s="7">
        <v>4.8</v>
      </c>
      <c r="D143" s="7">
        <v>4.7</v>
      </c>
      <c r="E143" s="7">
        <v>4.9000000000000004</v>
      </c>
      <c r="F143" s="25">
        <v>4.2</v>
      </c>
      <c r="G143" s="25">
        <v>3.4</v>
      </c>
    </row>
    <row r="144" spans="1:23" s="31" customFormat="1" ht="15" customHeight="1" x14ac:dyDescent="0.25">
      <c r="A144" s="29" t="s">
        <v>15</v>
      </c>
      <c r="B144" s="36" t="s">
        <v>211</v>
      </c>
      <c r="C144" s="36" t="s">
        <v>215</v>
      </c>
      <c r="D144" s="36" t="s">
        <v>212</v>
      </c>
      <c r="E144" s="36" t="s">
        <v>213</v>
      </c>
      <c r="F144" s="36" t="s">
        <v>214</v>
      </c>
      <c r="G144" s="36" t="s">
        <v>216</v>
      </c>
    </row>
    <row r="145" spans="1:7" x14ac:dyDescent="0.25">
      <c r="A145" s="29" t="s">
        <v>123</v>
      </c>
      <c r="B145" s="6" t="s">
        <v>87</v>
      </c>
      <c r="C145" s="6" t="s">
        <v>142</v>
      </c>
      <c r="D145" s="6" t="s">
        <v>145</v>
      </c>
      <c r="E145" s="6" t="s">
        <v>145</v>
      </c>
      <c r="F145" s="6" t="s">
        <v>145</v>
      </c>
      <c r="G145" s="6" t="s">
        <v>217</v>
      </c>
    </row>
    <row r="146" spans="1:7" x14ac:dyDescent="0.25">
      <c r="A146" s="31"/>
      <c r="B146" s="31"/>
      <c r="C146" s="31"/>
      <c r="D146" s="31"/>
      <c r="E146" s="31"/>
      <c r="F146" s="31"/>
      <c r="G146" s="31"/>
    </row>
    <row r="147" spans="1:7" x14ac:dyDescent="0.25">
      <c r="A147" s="29" t="s">
        <v>208</v>
      </c>
      <c r="B147" s="80" t="s">
        <v>128</v>
      </c>
      <c r="C147" s="80" t="s">
        <v>32</v>
      </c>
      <c r="D147" s="81" t="s">
        <v>33</v>
      </c>
      <c r="E147" s="81" t="s">
        <v>34</v>
      </c>
      <c r="F147" s="81" t="s">
        <v>36</v>
      </c>
      <c r="G147" s="80" t="s">
        <v>39</v>
      </c>
    </row>
    <row r="148" spans="1:7" x14ac:dyDescent="0.25">
      <c r="A148" s="29" t="str">
        <f t="shared" ref="A148:A156" si="7">A135</f>
        <v>Work</v>
      </c>
      <c r="B148" s="7">
        <v>23</v>
      </c>
      <c r="C148" s="7">
        <v>18.899999999999999</v>
      </c>
      <c r="D148" s="7">
        <v>22.5</v>
      </c>
      <c r="E148" s="7">
        <v>21.8</v>
      </c>
      <c r="F148" s="25">
        <v>27.3</v>
      </c>
      <c r="G148" s="25">
        <v>22.1</v>
      </c>
    </row>
    <row r="149" spans="1:7" x14ac:dyDescent="0.25">
      <c r="A149" s="29" t="str">
        <f t="shared" si="7"/>
        <v>Education</v>
      </c>
      <c r="B149" s="7">
        <v>2</v>
      </c>
      <c r="C149" s="7">
        <v>3.9</v>
      </c>
      <c r="D149" s="7">
        <v>4.0999999999999996</v>
      </c>
      <c r="E149" s="7">
        <v>5</v>
      </c>
      <c r="F149" s="25">
        <v>4.0999999999999996</v>
      </c>
      <c r="G149" s="25">
        <v>3.8</v>
      </c>
    </row>
    <row r="150" spans="1:7" x14ac:dyDescent="0.25">
      <c r="A150" s="29" t="str">
        <f t="shared" si="7"/>
        <v>Shopping</v>
      </c>
      <c r="B150" s="7">
        <v>20.5</v>
      </c>
      <c r="C150" s="7">
        <v>20.5</v>
      </c>
      <c r="D150" s="7">
        <v>22.1</v>
      </c>
      <c r="E150" s="7">
        <v>23.9</v>
      </c>
      <c r="F150" s="25">
        <v>21.7</v>
      </c>
      <c r="G150" s="25">
        <v>16.899999999999999</v>
      </c>
    </row>
    <row r="151" spans="1:7" x14ac:dyDescent="0.25">
      <c r="A151" s="29" t="str">
        <f t="shared" si="7"/>
        <v>To eat or drink</v>
      </c>
      <c r="B151" s="42">
        <v>2.5</v>
      </c>
      <c r="C151" s="42">
        <v>2.2999999999999998</v>
      </c>
      <c r="D151" s="42">
        <v>1.8</v>
      </c>
      <c r="E151" s="42">
        <v>2.2000000000000002</v>
      </c>
      <c r="F151" s="42">
        <v>2.8</v>
      </c>
      <c r="G151" s="42">
        <v>5.4</v>
      </c>
    </row>
    <row r="152" spans="1:7" x14ac:dyDescent="0.25">
      <c r="A152" s="29" t="str">
        <f t="shared" si="7"/>
        <v>Visit family / friends</v>
      </c>
      <c r="B152" s="42">
        <v>7</v>
      </c>
      <c r="C152" s="42">
        <v>9.4</v>
      </c>
      <c r="D152" s="42">
        <v>8.3000000000000007</v>
      </c>
      <c r="E152" s="42">
        <v>9.8000000000000007</v>
      </c>
      <c r="F152" s="42">
        <v>7.7</v>
      </c>
      <c r="G152" s="42">
        <v>10.199999999999999</v>
      </c>
    </row>
    <row r="153" spans="1:7" x14ac:dyDescent="0.25">
      <c r="A153" s="29" t="str">
        <f t="shared" si="7"/>
        <v>Entertainment / leisure / sports</v>
      </c>
      <c r="B153" s="7">
        <v>9</v>
      </c>
      <c r="C153" s="7">
        <v>12.5</v>
      </c>
      <c r="D153" s="25">
        <v>12.7</v>
      </c>
      <c r="E153" s="25">
        <v>13.1</v>
      </c>
      <c r="F153" s="25">
        <v>9.3000000000000007</v>
      </c>
      <c r="G153" s="25">
        <v>12.4</v>
      </c>
    </row>
    <row r="154" spans="1:7" x14ac:dyDescent="0.25">
      <c r="A154" s="29" t="str">
        <f t="shared" si="7"/>
        <v>Personal business</v>
      </c>
      <c r="B154" s="7">
        <v>8</v>
      </c>
      <c r="C154" s="7">
        <v>4.4000000000000004</v>
      </c>
      <c r="D154" s="7">
        <v>6</v>
      </c>
      <c r="E154" s="7">
        <v>5.5</v>
      </c>
      <c r="F154" s="25">
        <v>4.5</v>
      </c>
      <c r="G154" s="25">
        <v>6.4</v>
      </c>
    </row>
    <row r="155" spans="1:7" x14ac:dyDescent="0.25">
      <c r="A155" s="29" t="str">
        <f t="shared" si="7"/>
        <v>Companion / escort journey</v>
      </c>
      <c r="B155" s="7">
        <v>16</v>
      </c>
      <c r="C155" s="7">
        <v>23.2</v>
      </c>
      <c r="D155" s="7">
        <v>18</v>
      </c>
      <c r="E155" s="7">
        <v>13.9</v>
      </c>
      <c r="F155" s="25">
        <v>17.7</v>
      </c>
      <c r="G155" s="25">
        <v>19.5</v>
      </c>
    </row>
    <row r="156" spans="1:7" s="31" customFormat="1" x14ac:dyDescent="0.25">
      <c r="A156" s="29" t="str">
        <f t="shared" si="7"/>
        <v>Other</v>
      </c>
      <c r="B156" s="7">
        <v>12</v>
      </c>
      <c r="C156" s="7">
        <v>5</v>
      </c>
      <c r="D156" s="7">
        <v>4.4000000000000004</v>
      </c>
      <c r="E156" s="7">
        <v>4.8</v>
      </c>
      <c r="F156" s="25">
        <v>4.9000000000000004</v>
      </c>
      <c r="G156" s="25">
        <v>3.2</v>
      </c>
    </row>
    <row r="157" spans="1:7" s="31" customFormat="1" ht="15" customHeight="1" x14ac:dyDescent="0.25">
      <c r="A157" s="29" t="s">
        <v>15</v>
      </c>
      <c r="B157" s="36" t="s">
        <v>211</v>
      </c>
      <c r="C157" s="36" t="s">
        <v>215</v>
      </c>
      <c r="D157" s="36" t="s">
        <v>212</v>
      </c>
      <c r="E157" s="36" t="s">
        <v>213</v>
      </c>
      <c r="F157" s="36" t="s">
        <v>214</v>
      </c>
      <c r="G157" s="36" t="s">
        <v>216</v>
      </c>
    </row>
    <row r="158" spans="1:7" x14ac:dyDescent="0.25">
      <c r="A158" s="29" t="s">
        <v>123</v>
      </c>
      <c r="B158" s="6" t="s">
        <v>87</v>
      </c>
      <c r="C158" s="6" t="s">
        <v>142</v>
      </c>
      <c r="D158" s="6" t="s">
        <v>145</v>
      </c>
      <c r="E158" s="6" t="s">
        <v>145</v>
      </c>
      <c r="F158" s="6" t="s">
        <v>145</v>
      </c>
      <c r="G158" s="6" t="s">
        <v>217</v>
      </c>
    </row>
    <row r="159" spans="1:7" x14ac:dyDescent="0.25">
      <c r="A159" s="29"/>
      <c r="B159" s="7"/>
      <c r="C159" s="7"/>
      <c r="D159" s="7"/>
      <c r="E159" s="7"/>
      <c r="F159" s="25"/>
      <c r="G159" s="25"/>
    </row>
    <row r="160" spans="1:7" x14ac:dyDescent="0.25">
      <c r="A160" s="29" t="s">
        <v>209</v>
      </c>
      <c r="B160" s="80" t="s">
        <v>128</v>
      </c>
      <c r="C160" s="80" t="s">
        <v>32</v>
      </c>
      <c r="D160" s="81" t="s">
        <v>33</v>
      </c>
      <c r="E160" s="81" t="s">
        <v>34</v>
      </c>
      <c r="F160" s="81" t="s">
        <v>36</v>
      </c>
      <c r="G160" s="80" t="s">
        <v>39</v>
      </c>
    </row>
    <row r="161" spans="1:7" x14ac:dyDescent="0.25">
      <c r="A161" s="29" t="str">
        <f t="shared" ref="A161:A169" si="8">A148</f>
        <v>Work</v>
      </c>
      <c r="B161" s="7">
        <v>24</v>
      </c>
      <c r="C161" s="7">
        <v>24.5</v>
      </c>
      <c r="D161" s="7">
        <v>23.4</v>
      </c>
      <c r="E161" s="7">
        <v>22.6</v>
      </c>
      <c r="F161" s="25">
        <v>33.299999999999997</v>
      </c>
      <c r="G161" s="25">
        <v>22.3</v>
      </c>
    </row>
    <row r="162" spans="1:7" x14ac:dyDescent="0.25">
      <c r="A162" s="29" t="str">
        <f t="shared" si="8"/>
        <v>Education</v>
      </c>
      <c r="B162" s="7">
        <v>2</v>
      </c>
      <c r="C162" s="7">
        <v>3.9</v>
      </c>
      <c r="D162" s="7">
        <v>3.3</v>
      </c>
      <c r="E162" s="7">
        <v>4.9000000000000004</v>
      </c>
      <c r="F162" s="25">
        <v>3.2</v>
      </c>
      <c r="G162" s="25">
        <v>3.5</v>
      </c>
    </row>
    <row r="163" spans="1:7" x14ac:dyDescent="0.25">
      <c r="A163" s="29" t="str">
        <f t="shared" si="8"/>
        <v>Shopping</v>
      </c>
      <c r="B163" s="7">
        <v>19</v>
      </c>
      <c r="C163" s="7">
        <v>16.8</v>
      </c>
      <c r="D163" s="7">
        <v>21.2</v>
      </c>
      <c r="E163" s="7">
        <v>20.9</v>
      </c>
      <c r="F163" s="25">
        <v>19.899999999999999</v>
      </c>
      <c r="G163" s="25">
        <v>21.9</v>
      </c>
    </row>
    <row r="164" spans="1:7" x14ac:dyDescent="0.25">
      <c r="A164" s="29" t="str">
        <f t="shared" si="8"/>
        <v>To eat or drink</v>
      </c>
      <c r="B164" s="42">
        <v>3</v>
      </c>
      <c r="C164" s="42">
        <v>2.5</v>
      </c>
      <c r="D164" s="42">
        <v>1.9</v>
      </c>
      <c r="E164" s="42">
        <v>1.1000000000000001</v>
      </c>
      <c r="F164" s="42">
        <v>2.1</v>
      </c>
      <c r="G164" s="42">
        <v>2.8</v>
      </c>
    </row>
    <row r="165" spans="1:7" x14ac:dyDescent="0.25">
      <c r="A165" s="29" t="str">
        <f t="shared" si="8"/>
        <v>Visit family / friends</v>
      </c>
      <c r="B165" s="42">
        <v>10</v>
      </c>
      <c r="C165" s="42">
        <v>11.2</v>
      </c>
      <c r="D165" s="42">
        <v>12.1</v>
      </c>
      <c r="E165" s="42">
        <v>11.6</v>
      </c>
      <c r="F165" s="42">
        <v>6.5</v>
      </c>
      <c r="G165" s="42">
        <v>8.9</v>
      </c>
    </row>
    <row r="166" spans="1:7" x14ac:dyDescent="0.25">
      <c r="A166" s="29" t="str">
        <f t="shared" si="8"/>
        <v>Entertainment / leisure / sports</v>
      </c>
      <c r="B166" s="7">
        <v>9</v>
      </c>
      <c r="C166" s="7">
        <v>10.4</v>
      </c>
      <c r="D166" s="25">
        <v>11.6</v>
      </c>
      <c r="E166" s="25">
        <v>10.3</v>
      </c>
      <c r="F166" s="25">
        <v>9.1999999999999993</v>
      </c>
      <c r="G166" s="25">
        <v>13.1</v>
      </c>
    </row>
    <row r="167" spans="1:7" x14ac:dyDescent="0.25">
      <c r="A167" s="29" t="str">
        <f t="shared" si="8"/>
        <v>Personal business</v>
      </c>
      <c r="B167" s="7">
        <v>10</v>
      </c>
      <c r="C167" s="7">
        <v>5.2</v>
      </c>
      <c r="D167" s="7">
        <v>7</v>
      </c>
      <c r="E167" s="7">
        <v>4.9000000000000004</v>
      </c>
      <c r="F167" s="25">
        <v>4</v>
      </c>
      <c r="G167" s="25">
        <v>5.7</v>
      </c>
    </row>
    <row r="168" spans="1:7" x14ac:dyDescent="0.25">
      <c r="A168" s="29" t="str">
        <f t="shared" si="8"/>
        <v>Companion / escort journey</v>
      </c>
      <c r="B168" s="7">
        <v>15</v>
      </c>
      <c r="C168" s="7">
        <v>21</v>
      </c>
      <c r="D168" s="7">
        <v>15.4</v>
      </c>
      <c r="E168" s="7">
        <v>17.100000000000001</v>
      </c>
      <c r="F168" s="25">
        <v>19</v>
      </c>
      <c r="G168" s="25">
        <v>18.8</v>
      </c>
    </row>
    <row r="169" spans="1:7" s="31" customFormat="1" x14ac:dyDescent="0.25">
      <c r="A169" s="29" t="str">
        <f t="shared" si="8"/>
        <v>Other</v>
      </c>
      <c r="B169" s="7">
        <v>8</v>
      </c>
      <c r="C169" s="7">
        <v>4.5999999999999996</v>
      </c>
      <c r="D169" s="7">
        <v>4.0999999999999996</v>
      </c>
      <c r="E169" s="7">
        <v>6.7</v>
      </c>
      <c r="F169" s="25">
        <v>2.8</v>
      </c>
      <c r="G169" s="25">
        <v>3.1</v>
      </c>
    </row>
    <row r="170" spans="1:7" s="31" customFormat="1" ht="15" customHeight="1" x14ac:dyDescent="0.25">
      <c r="A170" s="29" t="s">
        <v>15</v>
      </c>
      <c r="B170" s="36" t="s">
        <v>211</v>
      </c>
      <c r="C170" s="36" t="s">
        <v>215</v>
      </c>
      <c r="D170" s="36" t="s">
        <v>212</v>
      </c>
      <c r="E170" s="36" t="s">
        <v>213</v>
      </c>
      <c r="F170" s="36" t="s">
        <v>214</v>
      </c>
      <c r="G170" s="36" t="s">
        <v>216</v>
      </c>
    </row>
    <row r="171" spans="1:7" x14ac:dyDescent="0.25">
      <c r="A171" s="29" t="s">
        <v>123</v>
      </c>
      <c r="B171" s="6" t="s">
        <v>87</v>
      </c>
      <c r="C171" s="6" t="s">
        <v>142</v>
      </c>
      <c r="D171" s="6" t="s">
        <v>145</v>
      </c>
      <c r="E171" s="6" t="s">
        <v>145</v>
      </c>
      <c r="F171" s="6" t="s">
        <v>145</v>
      </c>
      <c r="G171" s="6" t="s">
        <v>217</v>
      </c>
    </row>
    <row r="172" spans="1:7" x14ac:dyDescent="0.25">
      <c r="A172" s="31"/>
      <c r="B172" s="31"/>
      <c r="C172" s="31"/>
      <c r="D172" s="31"/>
      <c r="E172" s="31"/>
      <c r="F172" s="31"/>
      <c r="G172" s="31"/>
    </row>
    <row r="173" spans="1:7" x14ac:dyDescent="0.25">
      <c r="A173" s="44" t="s">
        <v>210</v>
      </c>
      <c r="B173" s="80" t="s">
        <v>128</v>
      </c>
      <c r="C173" s="80" t="s">
        <v>32</v>
      </c>
      <c r="D173" s="81" t="s">
        <v>33</v>
      </c>
      <c r="E173" s="81" t="s">
        <v>34</v>
      </c>
      <c r="F173" s="81" t="s">
        <v>36</v>
      </c>
      <c r="G173" s="80" t="s">
        <v>39</v>
      </c>
    </row>
    <row r="174" spans="1:7" x14ac:dyDescent="0.25">
      <c r="A174" s="29" t="str">
        <f t="shared" ref="A174:A182" si="9">A161</f>
        <v>Work</v>
      </c>
      <c r="B174" s="29">
        <v>37</v>
      </c>
      <c r="C174" s="29">
        <v>32</v>
      </c>
      <c r="D174" s="29">
        <v>21.8</v>
      </c>
      <c r="E174" s="29">
        <v>33.4</v>
      </c>
      <c r="F174" s="29">
        <v>38.1</v>
      </c>
      <c r="G174" s="29">
        <v>31.4</v>
      </c>
    </row>
    <row r="175" spans="1:7" x14ac:dyDescent="0.25">
      <c r="A175" s="29" t="str">
        <f t="shared" si="9"/>
        <v>Education</v>
      </c>
      <c r="B175" s="29">
        <v>4</v>
      </c>
      <c r="C175" s="29">
        <v>4.0999999999999996</v>
      </c>
      <c r="D175" s="29">
        <v>5</v>
      </c>
      <c r="E175" s="29">
        <v>3.2</v>
      </c>
      <c r="F175" s="29">
        <v>2.5</v>
      </c>
      <c r="G175" s="29">
        <v>2.5</v>
      </c>
    </row>
    <row r="176" spans="1:7" x14ac:dyDescent="0.25">
      <c r="A176" s="29" t="str">
        <f t="shared" si="9"/>
        <v>Shopping</v>
      </c>
      <c r="B176" s="29">
        <v>16</v>
      </c>
      <c r="C176" s="29">
        <v>17.399999999999999</v>
      </c>
      <c r="D176" s="29">
        <v>23.9</v>
      </c>
      <c r="E176" s="29">
        <v>18.3</v>
      </c>
      <c r="F176" s="29">
        <v>17.600000000000001</v>
      </c>
      <c r="G176" s="29">
        <v>18.2</v>
      </c>
    </row>
    <row r="177" spans="1:20" x14ac:dyDescent="0.25">
      <c r="A177" s="29" t="str">
        <f t="shared" si="9"/>
        <v>To eat or drink</v>
      </c>
      <c r="B177" s="29">
        <v>1</v>
      </c>
      <c r="C177" s="29">
        <v>1.3</v>
      </c>
      <c r="D177" s="29">
        <v>2.2000000000000002</v>
      </c>
      <c r="E177" s="29">
        <v>1.2</v>
      </c>
      <c r="F177" s="29">
        <v>1.5</v>
      </c>
      <c r="G177" s="29">
        <v>2.4</v>
      </c>
    </row>
    <row r="178" spans="1:20" x14ac:dyDescent="0.25">
      <c r="A178" s="29" t="str">
        <f t="shared" si="9"/>
        <v>Visit family / friends</v>
      </c>
      <c r="B178" s="29">
        <v>12</v>
      </c>
      <c r="C178" s="29">
        <v>13.1</v>
      </c>
      <c r="D178" s="29">
        <v>9.8000000000000007</v>
      </c>
      <c r="E178" s="29">
        <v>13.5</v>
      </c>
      <c r="F178" s="29">
        <v>10.7</v>
      </c>
      <c r="G178" s="29">
        <v>12.4</v>
      </c>
    </row>
    <row r="179" spans="1:20" x14ac:dyDescent="0.25">
      <c r="A179" s="29" t="str">
        <f t="shared" si="9"/>
        <v>Entertainment / leisure / sports</v>
      </c>
      <c r="B179" s="29">
        <v>6</v>
      </c>
      <c r="C179" s="29">
        <v>8.9</v>
      </c>
      <c r="D179" s="29">
        <v>13.1</v>
      </c>
      <c r="E179" s="29">
        <v>9.9</v>
      </c>
      <c r="F179" s="29">
        <v>9</v>
      </c>
      <c r="G179" s="29">
        <v>8.6</v>
      </c>
    </row>
    <row r="180" spans="1:20" x14ac:dyDescent="0.25">
      <c r="A180" s="29" t="str">
        <f t="shared" si="9"/>
        <v>Personal business</v>
      </c>
      <c r="B180" s="29">
        <v>8</v>
      </c>
      <c r="C180" s="29">
        <v>6.4</v>
      </c>
      <c r="D180" s="29">
        <v>5.5</v>
      </c>
      <c r="E180" s="29">
        <v>6</v>
      </c>
      <c r="F180" s="29">
        <v>6.7</v>
      </c>
      <c r="G180" s="29">
        <v>6.2</v>
      </c>
    </row>
    <row r="181" spans="1:20" x14ac:dyDescent="0.25">
      <c r="A181" s="29" t="str">
        <f t="shared" si="9"/>
        <v>Companion / escort journey</v>
      </c>
      <c r="B181" s="29">
        <v>7</v>
      </c>
      <c r="C181" s="29">
        <v>13.6</v>
      </c>
      <c r="D181" s="29">
        <v>13.9</v>
      </c>
      <c r="E181" s="29">
        <v>9.3000000000000007</v>
      </c>
      <c r="F181" s="29">
        <v>10.7</v>
      </c>
      <c r="G181" s="29">
        <v>14.6</v>
      </c>
    </row>
    <row r="182" spans="1:20" s="31" customFormat="1" x14ac:dyDescent="0.25">
      <c r="A182" s="29" t="str">
        <f t="shared" si="9"/>
        <v>Other</v>
      </c>
      <c r="B182" s="29">
        <v>9</v>
      </c>
      <c r="C182" s="29">
        <v>3.3</v>
      </c>
      <c r="D182" s="29">
        <v>4.8</v>
      </c>
      <c r="E182" s="29">
        <v>5.2</v>
      </c>
      <c r="F182" s="29">
        <v>3.3</v>
      </c>
      <c r="G182" s="29">
        <v>3.7</v>
      </c>
    </row>
    <row r="183" spans="1:20" s="31" customFormat="1" ht="15" customHeight="1" x14ac:dyDescent="0.25">
      <c r="A183" s="29" t="s">
        <v>15</v>
      </c>
      <c r="B183" s="36" t="s">
        <v>211</v>
      </c>
      <c r="C183" s="36" t="s">
        <v>215</v>
      </c>
      <c r="D183" s="36" t="s">
        <v>212</v>
      </c>
      <c r="E183" s="36" t="s">
        <v>213</v>
      </c>
      <c r="F183" s="36" t="s">
        <v>214</v>
      </c>
      <c r="G183" s="36" t="s">
        <v>216</v>
      </c>
    </row>
    <row r="184" spans="1:20" x14ac:dyDescent="0.25">
      <c r="A184" s="29" t="s">
        <v>123</v>
      </c>
      <c r="B184" s="6" t="s">
        <v>87</v>
      </c>
      <c r="C184" s="6" t="s">
        <v>142</v>
      </c>
      <c r="D184" s="6" t="s">
        <v>145</v>
      </c>
      <c r="E184" s="6" t="s">
        <v>145</v>
      </c>
      <c r="F184" s="6" t="s">
        <v>145</v>
      </c>
      <c r="G184" s="6" t="s">
        <v>217</v>
      </c>
    </row>
    <row r="186" spans="1:20" x14ac:dyDescent="0.25">
      <c r="A186" s="12"/>
      <c r="B186" s="12"/>
      <c r="C186" s="12"/>
      <c r="D186" s="12"/>
      <c r="E186" s="12"/>
      <c r="F186" s="12"/>
      <c r="G186" s="12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</row>
    <row r="187" spans="1:20" x14ac:dyDescent="0.25">
      <c r="A187" s="18" t="s">
        <v>218</v>
      </c>
      <c r="B187" s="80" t="s">
        <v>128</v>
      </c>
      <c r="C187" s="80" t="s">
        <v>32</v>
      </c>
      <c r="D187" s="81" t="s">
        <v>33</v>
      </c>
      <c r="E187" s="81" t="s">
        <v>34</v>
      </c>
      <c r="F187" s="81" t="s">
        <v>36</v>
      </c>
      <c r="G187" s="80" t="s">
        <v>39</v>
      </c>
    </row>
    <row r="188" spans="1:20" x14ac:dyDescent="0.25">
      <c r="A188" s="29" t="s">
        <v>42</v>
      </c>
      <c r="B188" s="29">
        <v>18</v>
      </c>
      <c r="C188" s="29"/>
      <c r="D188" s="29"/>
      <c r="E188" s="29"/>
      <c r="F188" s="29"/>
      <c r="G188" s="29"/>
    </row>
    <row r="189" spans="1:20" x14ac:dyDescent="0.25">
      <c r="A189" s="29" t="s">
        <v>43</v>
      </c>
      <c r="B189" s="29">
        <v>16</v>
      </c>
      <c r="C189" s="29"/>
      <c r="D189" s="29"/>
      <c r="E189" s="29"/>
      <c r="F189" s="29"/>
      <c r="G189" s="29"/>
    </row>
    <row r="190" spans="1:20" x14ac:dyDescent="0.25">
      <c r="A190" s="29" t="s">
        <v>44</v>
      </c>
      <c r="B190" s="29">
        <v>8</v>
      </c>
      <c r="C190" s="29"/>
      <c r="D190" s="29"/>
      <c r="E190" s="29"/>
      <c r="F190" s="29"/>
      <c r="G190" s="29"/>
    </row>
    <row r="191" spans="1:20" x14ac:dyDescent="0.25">
      <c r="A191" s="29" t="s">
        <v>45</v>
      </c>
      <c r="B191" s="29">
        <v>8</v>
      </c>
      <c r="C191" s="29"/>
      <c r="D191" s="29"/>
      <c r="E191" s="29"/>
      <c r="F191" s="29"/>
      <c r="G191" s="29"/>
    </row>
    <row r="192" spans="1:20" x14ac:dyDescent="0.25">
      <c r="A192" s="29" t="s">
        <v>46</v>
      </c>
      <c r="B192" s="29">
        <v>17</v>
      </c>
      <c r="C192" s="29"/>
      <c r="D192" s="29"/>
      <c r="E192" s="29"/>
      <c r="F192" s="29"/>
      <c r="G192" s="29"/>
      <c r="H192" s="30"/>
      <c r="I192" s="19"/>
      <c r="J192" s="31"/>
    </row>
    <row r="193" spans="1:13" x14ac:dyDescent="0.25">
      <c r="A193" s="29" t="s">
        <v>47</v>
      </c>
      <c r="B193" s="29">
        <v>17</v>
      </c>
      <c r="C193" s="29"/>
      <c r="D193" s="29"/>
      <c r="E193" s="29"/>
      <c r="F193" s="29"/>
      <c r="G193" s="29"/>
      <c r="H193" s="21"/>
      <c r="I193" s="19"/>
      <c r="J193" s="31"/>
    </row>
    <row r="194" spans="1:13" x14ac:dyDescent="0.25">
      <c r="A194" s="29" t="s">
        <v>48</v>
      </c>
      <c r="B194" s="29">
        <v>12</v>
      </c>
      <c r="C194" s="29"/>
      <c r="D194" s="29"/>
      <c r="E194" s="29"/>
      <c r="F194" s="29"/>
      <c r="G194" s="29"/>
      <c r="H194" s="31"/>
      <c r="I194" s="31"/>
      <c r="J194" s="31"/>
    </row>
    <row r="195" spans="1:13" x14ac:dyDescent="0.25">
      <c r="A195" s="29" t="s">
        <v>49</v>
      </c>
      <c r="B195" s="29">
        <v>22</v>
      </c>
      <c r="C195" s="29"/>
      <c r="D195" s="29"/>
      <c r="E195" s="29"/>
      <c r="F195" s="29"/>
      <c r="G195" s="29"/>
    </row>
    <row r="196" spans="1:13" x14ac:dyDescent="0.25">
      <c r="A196" s="29" t="s">
        <v>50</v>
      </c>
      <c r="B196" s="29">
        <v>14</v>
      </c>
      <c r="C196" s="29"/>
      <c r="D196" s="29"/>
      <c r="E196" s="29"/>
      <c r="F196" s="29"/>
      <c r="G196" s="29"/>
    </row>
    <row r="197" spans="1:13" ht="15" customHeight="1" x14ac:dyDescent="0.25">
      <c r="A197" s="67" t="s">
        <v>15</v>
      </c>
      <c r="B197" s="36" t="s">
        <v>219</v>
      </c>
      <c r="C197" s="67"/>
      <c r="D197" s="67"/>
      <c r="E197" s="67"/>
      <c r="F197" s="67"/>
      <c r="G197" s="67"/>
    </row>
    <row r="198" spans="1:13" x14ac:dyDescent="0.25">
      <c r="A198" s="67" t="s">
        <v>123</v>
      </c>
      <c r="B198" s="6" t="s">
        <v>87</v>
      </c>
      <c r="C198" s="67"/>
      <c r="D198" s="67"/>
      <c r="E198" s="67"/>
      <c r="F198" s="67"/>
    </row>
    <row r="199" spans="1:13" s="89" customFormat="1" x14ac:dyDescent="0.25">
      <c r="A199" s="67"/>
      <c r="B199" s="6"/>
      <c r="C199" s="67"/>
      <c r="D199" s="67"/>
      <c r="E199" s="67"/>
      <c r="F199" s="67"/>
    </row>
    <row r="200" spans="1:13" s="89" customFormat="1" x14ac:dyDescent="0.25">
      <c r="A200" s="89" t="s">
        <v>222</v>
      </c>
      <c r="B200" s="34" t="s">
        <v>128</v>
      </c>
      <c r="C200" s="34" t="s">
        <v>32</v>
      </c>
      <c r="D200" s="34" t="s">
        <v>33</v>
      </c>
      <c r="E200" s="34" t="s">
        <v>34</v>
      </c>
      <c r="F200" s="34" t="s">
        <v>36</v>
      </c>
      <c r="G200" s="34" t="s">
        <v>39</v>
      </c>
      <c r="H200" s="34"/>
      <c r="I200" s="34"/>
      <c r="J200" s="34"/>
      <c r="K200" s="34"/>
      <c r="L200" s="34"/>
      <c r="M200" s="34"/>
    </row>
    <row r="201" spans="1:13" s="89" customFormat="1" x14ac:dyDescent="0.25">
      <c r="A201" s="89" t="s">
        <v>42</v>
      </c>
      <c r="B201" s="89">
        <f t="shared" ref="B201:B209" si="10">D249</f>
        <v>24.349999999999998</v>
      </c>
      <c r="C201" s="89">
        <f t="shared" ref="C201:C209" si="11">D249</f>
        <v>24.349999999999998</v>
      </c>
      <c r="D201" s="89">
        <f t="shared" ref="D201:D209" si="12">D249</f>
        <v>24.349999999999998</v>
      </c>
      <c r="E201" s="89">
        <f t="shared" ref="E201:E209" si="13">P249</f>
        <v>25.243932949712288</v>
      </c>
      <c r="F201" s="89">
        <f t="shared" ref="F201:F209" si="14">AB249</f>
        <v>28.750000000000004</v>
      </c>
      <c r="G201" s="89">
        <f t="shared" ref="G201:G209" si="15">AN249</f>
        <v>21.325000000000003</v>
      </c>
      <c r="H201" s="28"/>
      <c r="I201" s="28"/>
    </row>
    <row r="202" spans="1:13" s="89" customFormat="1" x14ac:dyDescent="0.25">
      <c r="A202" s="89" t="s">
        <v>43</v>
      </c>
      <c r="B202" s="89">
        <f t="shared" si="10"/>
        <v>3.55</v>
      </c>
      <c r="C202" s="89">
        <f t="shared" si="11"/>
        <v>3.55</v>
      </c>
      <c r="D202" s="89">
        <f t="shared" si="12"/>
        <v>3.55</v>
      </c>
      <c r="E202" s="89">
        <f t="shared" si="13"/>
        <v>3.152364273204904</v>
      </c>
      <c r="F202" s="89">
        <f t="shared" si="14"/>
        <v>2.6</v>
      </c>
      <c r="G202" s="89">
        <f t="shared" si="15"/>
        <v>2.0749999999999997</v>
      </c>
      <c r="H202" s="28"/>
      <c r="I202" s="28"/>
    </row>
    <row r="203" spans="1:13" s="89" customFormat="1" x14ac:dyDescent="0.25">
      <c r="A203" s="89" t="s">
        <v>44</v>
      </c>
      <c r="B203" s="89">
        <f t="shared" si="10"/>
        <v>23.275000000000002</v>
      </c>
      <c r="C203" s="89">
        <f t="shared" si="11"/>
        <v>23.275000000000002</v>
      </c>
      <c r="D203" s="89">
        <f t="shared" si="12"/>
        <v>23.275000000000002</v>
      </c>
      <c r="E203" s="89">
        <f t="shared" si="13"/>
        <v>24.16812609457093</v>
      </c>
      <c r="F203" s="89">
        <f t="shared" si="14"/>
        <v>22.35</v>
      </c>
      <c r="G203" s="89">
        <f t="shared" si="15"/>
        <v>21.225000000000001</v>
      </c>
      <c r="H203" s="28"/>
      <c r="I203" s="28"/>
    </row>
    <row r="204" spans="1:13" s="89" customFormat="1" x14ac:dyDescent="0.25">
      <c r="A204" s="89" t="s">
        <v>45</v>
      </c>
      <c r="B204" s="89">
        <f t="shared" si="10"/>
        <v>1.35</v>
      </c>
      <c r="C204" s="89">
        <f t="shared" si="11"/>
        <v>1.35</v>
      </c>
      <c r="D204" s="89">
        <f t="shared" si="12"/>
        <v>1.35</v>
      </c>
      <c r="E204" s="89">
        <f t="shared" si="13"/>
        <v>1.3009757317988493</v>
      </c>
      <c r="F204" s="89">
        <f t="shared" si="14"/>
        <v>1.7</v>
      </c>
      <c r="G204" s="89">
        <f t="shared" si="15"/>
        <v>3.125</v>
      </c>
      <c r="H204" s="28"/>
      <c r="I204" s="28"/>
    </row>
    <row r="205" spans="1:13" s="89" customFormat="1" x14ac:dyDescent="0.25">
      <c r="A205" s="89" t="s">
        <v>56</v>
      </c>
      <c r="B205" s="89">
        <f t="shared" si="10"/>
        <v>11.25</v>
      </c>
      <c r="C205" s="89">
        <f t="shared" si="11"/>
        <v>11.25</v>
      </c>
      <c r="D205" s="89">
        <f t="shared" si="12"/>
        <v>11.25</v>
      </c>
      <c r="E205" s="89">
        <f t="shared" si="13"/>
        <v>11.508631473605202</v>
      </c>
      <c r="F205" s="89">
        <f t="shared" si="14"/>
        <v>9.4250000000000007</v>
      </c>
      <c r="G205" s="89">
        <f t="shared" si="15"/>
        <v>11.175000000000001</v>
      </c>
      <c r="H205" s="28"/>
      <c r="I205" s="28"/>
    </row>
    <row r="206" spans="1:13" s="89" customFormat="1" x14ac:dyDescent="0.25">
      <c r="A206" s="89" t="s">
        <v>57</v>
      </c>
      <c r="B206" s="89">
        <f t="shared" si="10"/>
        <v>7.875</v>
      </c>
      <c r="C206" s="89">
        <f t="shared" si="11"/>
        <v>7.875</v>
      </c>
      <c r="D206" s="89">
        <f t="shared" si="12"/>
        <v>7.875</v>
      </c>
      <c r="E206" s="89">
        <f t="shared" si="13"/>
        <v>8.3812859644733546</v>
      </c>
      <c r="F206" s="89">
        <f t="shared" si="14"/>
        <v>7.5000000000000009</v>
      </c>
      <c r="G206" s="89">
        <f t="shared" si="15"/>
        <v>9.65</v>
      </c>
      <c r="H206" s="28"/>
      <c r="I206" s="28"/>
    </row>
    <row r="207" spans="1:13" s="89" customFormat="1" x14ac:dyDescent="0.25">
      <c r="A207" s="89" t="s">
        <v>48</v>
      </c>
      <c r="B207" s="89">
        <f t="shared" si="10"/>
        <v>6.7250000000000005</v>
      </c>
      <c r="C207" s="89">
        <f t="shared" si="11"/>
        <v>6.7250000000000005</v>
      </c>
      <c r="D207" s="89">
        <f t="shared" si="12"/>
        <v>6.7250000000000005</v>
      </c>
      <c r="E207" s="89">
        <f t="shared" si="13"/>
        <v>5.4791093319989992</v>
      </c>
      <c r="F207" s="89">
        <f t="shared" si="14"/>
        <v>5.9249999999999998</v>
      </c>
      <c r="G207" s="89">
        <f t="shared" si="15"/>
        <v>5.8999999999999995</v>
      </c>
      <c r="H207" s="28"/>
      <c r="I207" s="28"/>
    </row>
    <row r="208" spans="1:13" s="89" customFormat="1" x14ac:dyDescent="0.25">
      <c r="A208" s="89" t="s">
        <v>58</v>
      </c>
      <c r="B208" s="89">
        <f t="shared" si="10"/>
        <v>18.149999999999999</v>
      </c>
      <c r="C208" s="89">
        <f t="shared" si="11"/>
        <v>18.149999999999999</v>
      </c>
      <c r="D208" s="89">
        <f t="shared" si="12"/>
        <v>18.149999999999999</v>
      </c>
      <c r="E208" s="89">
        <f t="shared" si="13"/>
        <v>16.062046534901178</v>
      </c>
      <c r="F208" s="89">
        <f t="shared" si="14"/>
        <v>18.3</v>
      </c>
      <c r="G208" s="89">
        <f t="shared" si="15"/>
        <v>22.625</v>
      </c>
      <c r="H208" s="28"/>
      <c r="I208" s="28"/>
    </row>
    <row r="209" spans="1:7" s="89" customFormat="1" x14ac:dyDescent="0.25">
      <c r="A209" s="89" t="s">
        <v>50</v>
      </c>
      <c r="B209" s="89">
        <f t="shared" si="10"/>
        <v>3.4750000000000001</v>
      </c>
      <c r="C209" s="89">
        <f t="shared" si="11"/>
        <v>3.4750000000000001</v>
      </c>
      <c r="D209" s="89">
        <f t="shared" si="12"/>
        <v>3.4750000000000001</v>
      </c>
      <c r="E209" s="89">
        <f t="shared" si="13"/>
        <v>4.7035276457343009</v>
      </c>
      <c r="F209" s="89">
        <f t="shared" si="14"/>
        <v>3.45</v>
      </c>
      <c r="G209" s="89">
        <f t="shared" si="15"/>
        <v>2.9</v>
      </c>
    </row>
    <row r="210" spans="1:7" s="89" customFormat="1" x14ac:dyDescent="0.25"/>
    <row r="211" spans="1:7" s="89" customFormat="1" x14ac:dyDescent="0.25">
      <c r="A211" s="68" t="s">
        <v>223</v>
      </c>
      <c r="B211" s="89" t="s">
        <v>128</v>
      </c>
      <c r="C211" s="89" t="s">
        <v>32</v>
      </c>
      <c r="D211" s="89" t="s">
        <v>33</v>
      </c>
      <c r="E211" s="96" t="s">
        <v>34</v>
      </c>
      <c r="F211" s="96" t="s">
        <v>36</v>
      </c>
      <c r="G211" s="96" t="s">
        <v>39</v>
      </c>
    </row>
    <row r="212" spans="1:7" s="89" customFormat="1" x14ac:dyDescent="0.25">
      <c r="A212" s="89" t="str">
        <f>A201</f>
        <v>Work</v>
      </c>
      <c r="B212" s="89">
        <f>G249</f>
        <v>28.824999999999996</v>
      </c>
      <c r="C212" s="89">
        <f>G249</f>
        <v>28.824999999999996</v>
      </c>
      <c r="D212" s="89">
        <f>G249</f>
        <v>28.824999999999996</v>
      </c>
      <c r="E212" s="89">
        <f>S249</f>
        <v>25.25</v>
      </c>
      <c r="F212" s="89">
        <f>AE249</f>
        <v>32.174999999999997</v>
      </c>
      <c r="G212" s="89">
        <f>AQ249</f>
        <v>35.425000000000004</v>
      </c>
    </row>
    <row r="213" spans="1:7" s="89" customFormat="1" x14ac:dyDescent="0.25">
      <c r="A213" s="89" t="str">
        <f t="shared" ref="A213:A219" si="16">A202</f>
        <v>Education</v>
      </c>
      <c r="B213" s="89">
        <f t="shared" ref="B213:B220" si="17">G250</f>
        <v>12.437499999999998</v>
      </c>
      <c r="C213" s="89">
        <f t="shared" ref="C213:C220" si="18">G250</f>
        <v>12.437499999999998</v>
      </c>
      <c r="D213" s="89">
        <f t="shared" ref="D213:D220" si="19">G250</f>
        <v>12.437499999999998</v>
      </c>
      <c r="E213" s="89">
        <f t="shared" ref="E213:E220" si="20">S250</f>
        <v>11.775000000000002</v>
      </c>
      <c r="F213" s="89">
        <f t="shared" ref="F213:F220" si="21">AE250</f>
        <v>15.85</v>
      </c>
      <c r="G213" s="89">
        <f t="shared" ref="G213:G220" si="22">AQ250</f>
        <v>10.475</v>
      </c>
    </row>
    <row r="214" spans="1:7" s="89" customFormat="1" x14ac:dyDescent="0.25">
      <c r="A214" s="89" t="str">
        <f t="shared" si="16"/>
        <v>Shopping</v>
      </c>
      <c r="B214" s="89">
        <f t="shared" si="17"/>
        <v>18.625</v>
      </c>
      <c r="C214" s="89">
        <f t="shared" si="18"/>
        <v>18.625</v>
      </c>
      <c r="D214" s="89">
        <f t="shared" si="19"/>
        <v>18.625</v>
      </c>
      <c r="E214" s="89">
        <f t="shared" si="20"/>
        <v>25.125000000000004</v>
      </c>
      <c r="F214" s="89">
        <f t="shared" si="21"/>
        <v>19.150000000000002</v>
      </c>
      <c r="G214" s="89">
        <f t="shared" si="22"/>
        <v>27.475000000000001</v>
      </c>
    </row>
    <row r="215" spans="1:7" s="89" customFormat="1" x14ac:dyDescent="0.25">
      <c r="A215" s="89" t="str">
        <f t="shared" si="16"/>
        <v>To eat or drink</v>
      </c>
      <c r="B215" s="89">
        <f t="shared" si="17"/>
        <v>1.7</v>
      </c>
      <c r="C215" s="89">
        <f t="shared" si="18"/>
        <v>1.7</v>
      </c>
      <c r="D215" s="89">
        <f t="shared" si="19"/>
        <v>1.7</v>
      </c>
      <c r="E215" s="89">
        <f t="shared" si="20"/>
        <v>2.3250000000000002</v>
      </c>
      <c r="F215" s="89">
        <f t="shared" si="21"/>
        <v>3.4</v>
      </c>
      <c r="G215" s="89">
        <f t="shared" si="22"/>
        <v>2.9499999999999997</v>
      </c>
    </row>
    <row r="216" spans="1:7" s="89" customFormat="1" x14ac:dyDescent="0.25">
      <c r="A216" s="89" t="str">
        <f t="shared" si="16"/>
        <v>Visit family/friends</v>
      </c>
      <c r="B216" s="89">
        <f t="shared" si="17"/>
        <v>10.375000000000002</v>
      </c>
      <c r="C216" s="89">
        <f t="shared" si="18"/>
        <v>10.375000000000002</v>
      </c>
      <c r="D216" s="89">
        <f t="shared" si="19"/>
        <v>10.375000000000002</v>
      </c>
      <c r="E216" s="89">
        <f t="shared" si="20"/>
        <v>11.150000000000002</v>
      </c>
      <c r="F216" s="89">
        <f t="shared" si="21"/>
        <v>7.0750000000000002</v>
      </c>
      <c r="G216" s="89">
        <f t="shared" si="22"/>
        <v>7.1</v>
      </c>
    </row>
    <row r="217" spans="1:7" s="89" customFormat="1" x14ac:dyDescent="0.25">
      <c r="A217" s="89" t="str">
        <f t="shared" si="16"/>
        <v>Entertainment/leisure/sports</v>
      </c>
      <c r="B217" s="89">
        <f t="shared" si="17"/>
        <v>7.0250000000000004</v>
      </c>
      <c r="C217" s="89">
        <f t="shared" si="18"/>
        <v>7.0250000000000004</v>
      </c>
      <c r="D217" s="89">
        <f t="shared" si="19"/>
        <v>7.0250000000000004</v>
      </c>
      <c r="E217" s="89">
        <f t="shared" si="20"/>
        <v>7.5249999999999995</v>
      </c>
      <c r="F217" s="89">
        <f t="shared" si="21"/>
        <v>9.375</v>
      </c>
      <c r="G217" s="89">
        <f t="shared" si="22"/>
        <v>5.1749999999999998</v>
      </c>
    </row>
    <row r="218" spans="1:7" s="89" customFormat="1" x14ac:dyDescent="0.25">
      <c r="A218" s="89" t="str">
        <f t="shared" si="16"/>
        <v>Personal business</v>
      </c>
      <c r="B218" s="89">
        <f t="shared" si="17"/>
        <v>9.6374999999999993</v>
      </c>
      <c r="C218" s="89">
        <f t="shared" si="18"/>
        <v>9.6374999999999993</v>
      </c>
      <c r="D218" s="89">
        <f t="shared" si="19"/>
        <v>9.6374999999999993</v>
      </c>
      <c r="E218" s="89">
        <f t="shared" si="20"/>
        <v>8.0749999999999993</v>
      </c>
      <c r="F218" s="89">
        <f t="shared" si="21"/>
        <v>4.5749999999999993</v>
      </c>
      <c r="G218" s="89">
        <f t="shared" si="22"/>
        <v>4.3</v>
      </c>
    </row>
    <row r="219" spans="1:7" s="89" customFormat="1" x14ac:dyDescent="0.25">
      <c r="A219" s="89" t="str">
        <f t="shared" si="16"/>
        <v>Companion/escort journey</v>
      </c>
      <c r="B219" s="89">
        <f t="shared" si="17"/>
        <v>2.25</v>
      </c>
      <c r="C219" s="89">
        <f t="shared" si="18"/>
        <v>2.25</v>
      </c>
      <c r="D219" s="89">
        <f t="shared" si="19"/>
        <v>2.25</v>
      </c>
      <c r="E219" s="89">
        <f t="shared" si="20"/>
        <v>3.0250000000000004</v>
      </c>
      <c r="F219" s="89">
        <f t="shared" si="21"/>
        <v>2.9</v>
      </c>
      <c r="G219" s="89">
        <f t="shared" si="22"/>
        <v>3.7749999999999999</v>
      </c>
    </row>
    <row r="220" spans="1:7" s="89" customFormat="1" x14ac:dyDescent="0.25">
      <c r="A220" s="89" t="str">
        <f>A209</f>
        <v>Other</v>
      </c>
      <c r="B220" s="89">
        <f t="shared" si="17"/>
        <v>9.1250000000000018</v>
      </c>
      <c r="C220" s="89">
        <f t="shared" si="18"/>
        <v>9.1250000000000018</v>
      </c>
      <c r="D220" s="89">
        <f t="shared" si="19"/>
        <v>9.1250000000000018</v>
      </c>
      <c r="E220" s="89">
        <f t="shared" si="20"/>
        <v>5.7500000000000009</v>
      </c>
      <c r="F220" s="89">
        <f t="shared" si="21"/>
        <v>5.3999999999999995</v>
      </c>
      <c r="G220" s="89">
        <f t="shared" si="22"/>
        <v>3.25</v>
      </c>
    </row>
    <row r="221" spans="1:7" s="89" customFormat="1" x14ac:dyDescent="0.25"/>
    <row r="222" spans="1:7" s="89" customFormat="1" x14ac:dyDescent="0.25">
      <c r="A222" s="89" t="s">
        <v>224</v>
      </c>
      <c r="B222" s="89" t="s">
        <v>128</v>
      </c>
      <c r="C222" s="89" t="s">
        <v>32</v>
      </c>
      <c r="D222" s="89" t="s">
        <v>33</v>
      </c>
      <c r="E222" s="89" t="s">
        <v>34</v>
      </c>
      <c r="F222" s="89" t="s">
        <v>36</v>
      </c>
      <c r="G222" s="89" t="s">
        <v>39</v>
      </c>
    </row>
    <row r="223" spans="1:7" s="89" customFormat="1" x14ac:dyDescent="0.25">
      <c r="A223" s="85" t="str">
        <f>A212</f>
        <v>Work</v>
      </c>
      <c r="B223" s="89">
        <f>$J249</f>
        <v>17.649999999999999</v>
      </c>
      <c r="C223" s="89">
        <f>$J249</f>
        <v>17.649999999999999</v>
      </c>
      <c r="D223" s="89">
        <f>$J249</f>
        <v>17.649999999999999</v>
      </c>
      <c r="E223" s="89">
        <f>V249</f>
        <v>15.625</v>
      </c>
      <c r="F223" s="89">
        <f>AH249</f>
        <v>18.524999999999999</v>
      </c>
      <c r="G223" s="89">
        <f>AT249</f>
        <v>20.975000000000001</v>
      </c>
    </row>
    <row r="224" spans="1:7" s="89" customFormat="1" x14ac:dyDescent="0.25">
      <c r="A224" s="82" t="str">
        <f t="shared" ref="A224:A230" si="23">A213</f>
        <v>Education</v>
      </c>
      <c r="B224" s="89">
        <f t="shared" ref="B224:B231" si="24">$J250</f>
        <v>8.5249999999999986</v>
      </c>
      <c r="C224" s="89">
        <f t="shared" ref="C224:D231" si="25">$J250</f>
        <v>8.5249999999999986</v>
      </c>
      <c r="D224" s="89">
        <f t="shared" si="25"/>
        <v>8.5249999999999986</v>
      </c>
      <c r="E224" s="89">
        <f t="shared" ref="E224:E231" si="26">V250</f>
        <v>10.225000000000001</v>
      </c>
      <c r="F224" s="89">
        <f t="shared" ref="F224:F231" si="27">AH250</f>
        <v>10.1</v>
      </c>
      <c r="G224" s="89">
        <f t="shared" ref="G224:G231" si="28">AT250</f>
        <v>3.6749999999999998</v>
      </c>
    </row>
    <row r="225" spans="1:7" s="89" customFormat="1" x14ac:dyDescent="0.25">
      <c r="A225" s="85" t="str">
        <f t="shared" si="23"/>
        <v>Shopping</v>
      </c>
      <c r="B225" s="89">
        <f t="shared" si="24"/>
        <v>23.774999999999999</v>
      </c>
      <c r="C225" s="89">
        <f t="shared" si="25"/>
        <v>23.774999999999999</v>
      </c>
      <c r="D225" s="89">
        <f t="shared" si="25"/>
        <v>23.774999999999999</v>
      </c>
      <c r="E225" s="89">
        <f t="shared" si="26"/>
        <v>24.750000000000004</v>
      </c>
      <c r="F225" s="89">
        <f t="shared" si="27"/>
        <v>24.650000000000002</v>
      </c>
      <c r="G225" s="89">
        <f t="shared" si="28"/>
        <v>24.875</v>
      </c>
    </row>
    <row r="226" spans="1:7" s="89" customFormat="1" x14ac:dyDescent="0.25">
      <c r="A226" s="82" t="str">
        <f t="shared" si="23"/>
        <v>To eat or drink</v>
      </c>
      <c r="B226" s="89">
        <f t="shared" si="24"/>
        <v>3.6750000000000003</v>
      </c>
      <c r="C226" s="89">
        <f t="shared" si="25"/>
        <v>3.6750000000000003</v>
      </c>
      <c r="D226" s="89">
        <f t="shared" si="25"/>
        <v>3.6750000000000003</v>
      </c>
      <c r="E226" s="89">
        <f t="shared" si="26"/>
        <v>3.5000000000000004</v>
      </c>
      <c r="F226" s="89">
        <f t="shared" si="27"/>
        <v>3.95</v>
      </c>
      <c r="G226" s="89">
        <f t="shared" si="28"/>
        <v>5.8249999999999993</v>
      </c>
    </row>
    <row r="227" spans="1:7" s="89" customFormat="1" x14ac:dyDescent="0.25">
      <c r="A227" s="85" t="str">
        <f t="shared" si="23"/>
        <v>Visit family/friends</v>
      </c>
      <c r="B227" s="89">
        <f t="shared" si="24"/>
        <v>7.4500000000000011</v>
      </c>
      <c r="C227" s="89">
        <f t="shared" si="25"/>
        <v>7.4500000000000011</v>
      </c>
      <c r="D227" s="89">
        <f t="shared" si="25"/>
        <v>7.4500000000000011</v>
      </c>
      <c r="E227" s="89">
        <f t="shared" si="26"/>
        <v>9.25</v>
      </c>
      <c r="F227" s="89">
        <f t="shared" si="27"/>
        <v>6.8250000000000002</v>
      </c>
      <c r="G227" s="89">
        <f t="shared" si="28"/>
        <v>8.0499999999999989</v>
      </c>
    </row>
    <row r="228" spans="1:7" s="89" customFormat="1" x14ac:dyDescent="0.25">
      <c r="A228" s="82" t="str">
        <f t="shared" si="23"/>
        <v>Entertainment/leisure/sports</v>
      </c>
      <c r="B228" s="89">
        <f t="shared" si="24"/>
        <v>19.524999999999999</v>
      </c>
      <c r="C228" s="89">
        <f t="shared" si="25"/>
        <v>19.524999999999999</v>
      </c>
      <c r="D228" s="89">
        <f t="shared" si="25"/>
        <v>19.524999999999999</v>
      </c>
      <c r="E228" s="89">
        <f t="shared" si="26"/>
        <v>17.100000000000001</v>
      </c>
      <c r="F228" s="89">
        <f t="shared" si="27"/>
        <v>18.5</v>
      </c>
      <c r="G228" s="89">
        <f t="shared" si="28"/>
        <v>10.050000000000001</v>
      </c>
    </row>
    <row r="229" spans="1:7" s="89" customFormat="1" x14ac:dyDescent="0.25">
      <c r="A229" s="85" t="str">
        <f t="shared" si="23"/>
        <v>Personal business</v>
      </c>
      <c r="B229" s="89">
        <f t="shared" si="24"/>
        <v>4.4499999999999993</v>
      </c>
      <c r="C229" s="89">
        <f t="shared" si="25"/>
        <v>4.4499999999999993</v>
      </c>
      <c r="D229" s="89">
        <f t="shared" si="25"/>
        <v>4.4499999999999993</v>
      </c>
      <c r="E229" s="89">
        <f t="shared" si="26"/>
        <v>3.625</v>
      </c>
      <c r="F229" s="89">
        <f t="shared" si="27"/>
        <v>4.2249999999999996</v>
      </c>
      <c r="G229" s="89">
        <f t="shared" si="28"/>
        <v>4.5</v>
      </c>
    </row>
    <row r="230" spans="1:7" s="89" customFormat="1" x14ac:dyDescent="0.25">
      <c r="A230" s="82" t="str">
        <f t="shared" si="23"/>
        <v>Companion/escort journey</v>
      </c>
      <c r="B230" s="89">
        <f t="shared" si="24"/>
        <v>8.5500000000000007</v>
      </c>
      <c r="C230" s="89">
        <f t="shared" si="25"/>
        <v>8.5500000000000007</v>
      </c>
      <c r="D230" s="89">
        <f t="shared" si="25"/>
        <v>8.5500000000000007</v>
      </c>
      <c r="E230" s="89">
        <f t="shared" si="26"/>
        <v>9.125</v>
      </c>
      <c r="F230" s="89">
        <f t="shared" si="27"/>
        <v>7.55</v>
      </c>
      <c r="G230" s="89">
        <f t="shared" si="28"/>
        <v>15.25</v>
      </c>
    </row>
    <row r="231" spans="1:7" s="89" customFormat="1" x14ac:dyDescent="0.25">
      <c r="A231" s="85" t="str">
        <f>A220</f>
        <v>Other</v>
      </c>
      <c r="B231" s="89">
        <f t="shared" si="24"/>
        <v>6.4</v>
      </c>
      <c r="C231" s="89">
        <f t="shared" si="25"/>
        <v>6.4</v>
      </c>
      <c r="D231" s="89">
        <f t="shared" si="25"/>
        <v>6.4</v>
      </c>
      <c r="E231" s="89">
        <f t="shared" si="26"/>
        <v>6.8249999999999993</v>
      </c>
      <c r="F231" s="89">
        <f t="shared" si="27"/>
        <v>5.6749999999999998</v>
      </c>
      <c r="G231" s="89">
        <f t="shared" si="28"/>
        <v>6.7249999999999996</v>
      </c>
    </row>
    <row r="232" spans="1:7" s="89" customFormat="1" x14ac:dyDescent="0.25"/>
    <row r="233" spans="1:7" s="89" customFormat="1" x14ac:dyDescent="0.25">
      <c r="A233" s="89" t="s">
        <v>225</v>
      </c>
      <c r="B233" s="89" t="s">
        <v>128</v>
      </c>
      <c r="C233" s="89" t="s">
        <v>32</v>
      </c>
      <c r="D233" s="89" t="s">
        <v>33</v>
      </c>
      <c r="E233" s="89" t="s">
        <v>34</v>
      </c>
      <c r="F233" s="89" t="s">
        <v>36</v>
      </c>
      <c r="G233" s="89" t="s">
        <v>39</v>
      </c>
    </row>
    <row r="234" spans="1:7" s="89" customFormat="1" x14ac:dyDescent="0.25">
      <c r="A234" s="85" t="str">
        <f>A223</f>
        <v>Work</v>
      </c>
      <c r="B234" s="89">
        <f>$M249</f>
        <v>52.125</v>
      </c>
      <c r="C234" s="89">
        <f t="shared" ref="C234:D234" si="29">$M249</f>
        <v>52.125</v>
      </c>
      <c r="D234" s="89">
        <f t="shared" si="29"/>
        <v>52.125</v>
      </c>
      <c r="E234" s="89">
        <f>Y249</f>
        <v>50.875000000000007</v>
      </c>
      <c r="F234" s="89">
        <f>AK249</f>
        <v>57.8</v>
      </c>
      <c r="G234" s="89">
        <f>AW249</f>
        <v>48.249999999999993</v>
      </c>
    </row>
    <row r="235" spans="1:7" s="89" customFormat="1" x14ac:dyDescent="0.25">
      <c r="A235" s="82" t="str">
        <f t="shared" ref="A235:A241" si="30">A224</f>
        <v>Education</v>
      </c>
      <c r="B235" s="89">
        <f t="shared" ref="B235:D242" si="31">$M250</f>
        <v>1.7250000000000001</v>
      </c>
      <c r="C235" s="89">
        <f t="shared" si="31"/>
        <v>1.7250000000000001</v>
      </c>
      <c r="D235" s="89">
        <f t="shared" si="31"/>
        <v>1.7250000000000001</v>
      </c>
      <c r="E235" s="89">
        <f t="shared" ref="E235:E242" si="32">Y250</f>
        <v>0.375</v>
      </c>
      <c r="F235" s="89">
        <f t="shared" ref="F235:F242" si="33">AK250</f>
        <v>1.325</v>
      </c>
      <c r="G235" s="89">
        <f t="shared" ref="G235:G242" si="34">AW250</f>
        <v>0</v>
      </c>
    </row>
    <row r="236" spans="1:7" s="89" customFormat="1" x14ac:dyDescent="0.25">
      <c r="A236" s="85" t="str">
        <f t="shared" si="30"/>
        <v>Shopping</v>
      </c>
      <c r="B236" s="89">
        <f t="shared" si="31"/>
        <v>9.5499999999999989</v>
      </c>
      <c r="C236" s="89">
        <f t="shared" si="31"/>
        <v>9.5499999999999989</v>
      </c>
      <c r="D236" s="89">
        <f t="shared" si="31"/>
        <v>9.5499999999999989</v>
      </c>
      <c r="E236" s="89">
        <f t="shared" si="32"/>
        <v>11.475000000000001</v>
      </c>
      <c r="F236" s="89">
        <f t="shared" si="33"/>
        <v>10.200000000000001</v>
      </c>
      <c r="G236" s="89">
        <f t="shared" si="34"/>
        <v>10.549999999999999</v>
      </c>
    </row>
    <row r="237" spans="1:7" s="89" customFormat="1" x14ac:dyDescent="0.25">
      <c r="A237" s="82" t="str">
        <f t="shared" si="30"/>
        <v>To eat or drink</v>
      </c>
      <c r="B237" s="89">
        <f t="shared" si="31"/>
        <v>3.375</v>
      </c>
      <c r="C237" s="89">
        <f t="shared" si="31"/>
        <v>3.375</v>
      </c>
      <c r="D237" s="89">
        <f t="shared" si="31"/>
        <v>3.375</v>
      </c>
      <c r="E237" s="89">
        <f t="shared" si="32"/>
        <v>3.8250000000000002</v>
      </c>
      <c r="F237" s="89">
        <f t="shared" si="33"/>
        <v>3.4499999999999997</v>
      </c>
      <c r="G237" s="89">
        <f t="shared" si="34"/>
        <v>3.625</v>
      </c>
    </row>
    <row r="238" spans="1:7" s="89" customFormat="1" x14ac:dyDescent="0.25">
      <c r="A238" s="85" t="str">
        <f t="shared" si="30"/>
        <v>Visit family/friends</v>
      </c>
      <c r="B238" s="89">
        <f t="shared" si="31"/>
        <v>6.65</v>
      </c>
      <c r="C238" s="89">
        <f t="shared" si="31"/>
        <v>6.65</v>
      </c>
      <c r="D238" s="89">
        <f t="shared" si="31"/>
        <v>6.65</v>
      </c>
      <c r="E238" s="89">
        <f t="shared" si="32"/>
        <v>7.3250000000000002</v>
      </c>
      <c r="F238" s="89">
        <f t="shared" si="33"/>
        <v>2.3749999999999996</v>
      </c>
      <c r="G238" s="89">
        <f t="shared" si="34"/>
        <v>10.5</v>
      </c>
    </row>
    <row r="239" spans="1:7" s="89" customFormat="1" x14ac:dyDescent="0.25">
      <c r="A239" s="82" t="str">
        <f t="shared" si="30"/>
        <v>Entertainment/leisure/sports</v>
      </c>
      <c r="B239" s="89">
        <f t="shared" si="31"/>
        <v>6.8500000000000005</v>
      </c>
      <c r="C239" s="89">
        <f t="shared" si="31"/>
        <v>6.8500000000000005</v>
      </c>
      <c r="D239" s="89">
        <f t="shared" si="31"/>
        <v>6.8500000000000005</v>
      </c>
      <c r="E239" s="89">
        <f t="shared" si="32"/>
        <v>10.125</v>
      </c>
      <c r="F239" s="89">
        <f t="shared" si="33"/>
        <v>7.25</v>
      </c>
      <c r="G239" s="89">
        <f t="shared" si="34"/>
        <v>4.5500000000000007</v>
      </c>
    </row>
    <row r="240" spans="1:7" s="89" customFormat="1" x14ac:dyDescent="0.25">
      <c r="A240" s="85" t="str">
        <f t="shared" si="30"/>
        <v>Personal business</v>
      </c>
      <c r="B240" s="89">
        <f t="shared" si="31"/>
        <v>8.8250000000000011</v>
      </c>
      <c r="C240" s="89">
        <f t="shared" si="31"/>
        <v>8.8250000000000011</v>
      </c>
      <c r="D240" s="89">
        <f t="shared" si="31"/>
        <v>8.8250000000000011</v>
      </c>
      <c r="E240" s="89">
        <f t="shared" si="32"/>
        <v>5.9249999999999998</v>
      </c>
      <c r="F240" s="89">
        <f t="shared" si="33"/>
        <v>7.4999999999999991</v>
      </c>
      <c r="G240" s="89">
        <f t="shared" si="34"/>
        <v>1.75</v>
      </c>
    </row>
    <row r="241" spans="1:50" s="89" customFormat="1" x14ac:dyDescent="0.25">
      <c r="A241" s="82" t="str">
        <f t="shared" si="30"/>
        <v>Companion/escort journey</v>
      </c>
      <c r="B241" s="89">
        <f t="shared" si="31"/>
        <v>4.8249999999999993</v>
      </c>
      <c r="C241" s="89">
        <f t="shared" si="31"/>
        <v>4.8249999999999993</v>
      </c>
      <c r="D241" s="89">
        <f t="shared" si="31"/>
        <v>4.8249999999999993</v>
      </c>
      <c r="E241" s="89">
        <f t="shared" si="32"/>
        <v>4.95</v>
      </c>
      <c r="F241" s="89">
        <f t="shared" si="33"/>
        <v>4.2249999999999996</v>
      </c>
      <c r="G241" s="89">
        <f t="shared" si="34"/>
        <v>10.075000000000001</v>
      </c>
    </row>
    <row r="242" spans="1:50" s="89" customFormat="1" x14ac:dyDescent="0.25">
      <c r="A242" s="85" t="str">
        <f>A231</f>
        <v>Other</v>
      </c>
      <c r="B242" s="89">
        <f t="shared" si="31"/>
        <v>6.0750000000000002</v>
      </c>
      <c r="C242" s="89">
        <f t="shared" si="31"/>
        <v>6.0750000000000002</v>
      </c>
      <c r="D242" s="89">
        <f t="shared" si="31"/>
        <v>6.0750000000000002</v>
      </c>
      <c r="E242" s="89">
        <f t="shared" si="32"/>
        <v>5.2499999999999991</v>
      </c>
      <c r="F242" s="89">
        <f t="shared" si="33"/>
        <v>5.875</v>
      </c>
      <c r="G242" s="89">
        <f t="shared" si="34"/>
        <v>10.700000000000001</v>
      </c>
    </row>
    <row r="243" spans="1:50" s="89" customFormat="1" x14ac:dyDescent="0.25"/>
    <row r="245" spans="1:50" s="92" customFormat="1" ht="15" customHeight="1" x14ac:dyDescent="0.25">
      <c r="A245" s="204" t="s">
        <v>221</v>
      </c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  <c r="AK245" s="205"/>
      <c r="AL245" s="205"/>
      <c r="AM245" s="205"/>
      <c r="AN245" s="205"/>
      <c r="AO245" s="205"/>
      <c r="AP245" s="205"/>
      <c r="AQ245" s="205"/>
      <c r="AR245" s="205"/>
      <c r="AS245" s="205"/>
      <c r="AT245" s="205"/>
      <c r="AU245" s="205"/>
      <c r="AV245" s="205"/>
      <c r="AW245" s="206"/>
    </row>
    <row r="246" spans="1:50" s="93" customFormat="1" x14ac:dyDescent="0.25">
      <c r="A246" s="91"/>
      <c r="B246" s="202">
        <v>2013</v>
      </c>
      <c r="C246" s="202"/>
      <c r="D246" s="202"/>
      <c r="E246" s="202"/>
      <c r="F246" s="202"/>
      <c r="G246" s="202"/>
      <c r="H246" s="202"/>
      <c r="I246" s="202"/>
      <c r="J246" s="202"/>
      <c r="K246" s="202"/>
      <c r="L246" s="202"/>
      <c r="M246" s="202"/>
      <c r="N246" s="202">
        <v>2014</v>
      </c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>
        <v>2016</v>
      </c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>
        <v>2019</v>
      </c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</row>
    <row r="247" spans="1:50" s="92" customFormat="1" ht="15" customHeight="1" x14ac:dyDescent="0.25">
      <c r="A247" s="91"/>
      <c r="B247" s="202" t="s">
        <v>59</v>
      </c>
      <c r="C247" s="202"/>
      <c r="D247" s="202"/>
      <c r="E247" s="202" t="s">
        <v>52</v>
      </c>
      <c r="F247" s="202"/>
      <c r="G247" s="202"/>
      <c r="H247" s="202" t="s">
        <v>60</v>
      </c>
      <c r="I247" s="202"/>
      <c r="J247" s="202"/>
      <c r="K247" s="202" t="s">
        <v>51</v>
      </c>
      <c r="L247" s="202"/>
      <c r="M247" s="202"/>
      <c r="N247" s="202" t="s">
        <v>59</v>
      </c>
      <c r="O247" s="202"/>
      <c r="P247" s="202"/>
      <c r="Q247" s="202" t="s">
        <v>52</v>
      </c>
      <c r="R247" s="202"/>
      <c r="S247" s="202"/>
      <c r="T247" s="202" t="s">
        <v>220</v>
      </c>
      <c r="U247" s="202"/>
      <c r="V247" s="202"/>
      <c r="W247" s="202" t="s">
        <v>51</v>
      </c>
      <c r="X247" s="202"/>
      <c r="Y247" s="202"/>
      <c r="Z247" s="203" t="s">
        <v>59</v>
      </c>
      <c r="AA247" s="203"/>
      <c r="AB247" s="203"/>
      <c r="AC247" s="203" t="s">
        <v>52</v>
      </c>
      <c r="AD247" s="203"/>
      <c r="AE247" s="203"/>
      <c r="AF247" s="203" t="s">
        <v>220</v>
      </c>
      <c r="AG247" s="203"/>
      <c r="AH247" s="203"/>
      <c r="AI247" s="203" t="s">
        <v>51</v>
      </c>
      <c r="AJ247" s="203"/>
      <c r="AK247" s="203"/>
      <c r="AL247" s="203" t="s">
        <v>59</v>
      </c>
      <c r="AM247" s="203"/>
      <c r="AN247" s="203"/>
      <c r="AO247" s="203" t="s">
        <v>52</v>
      </c>
      <c r="AP247" s="203"/>
      <c r="AQ247" s="203"/>
      <c r="AR247" s="203" t="s">
        <v>60</v>
      </c>
      <c r="AS247" s="203"/>
      <c r="AT247" s="203"/>
      <c r="AU247" s="203" t="s">
        <v>51</v>
      </c>
      <c r="AV247" s="203"/>
      <c r="AW247" s="203"/>
      <c r="AX247" s="94"/>
    </row>
    <row r="248" spans="1:50" s="92" customFormat="1" ht="15" customHeight="1" x14ac:dyDescent="0.25">
      <c r="A248" s="91"/>
      <c r="B248" s="91" t="s">
        <v>53</v>
      </c>
      <c r="C248" s="91" t="s">
        <v>61</v>
      </c>
      <c r="D248" s="91" t="str">
        <f>G248</f>
        <v>Average</v>
      </c>
      <c r="E248" s="91" t="s">
        <v>53</v>
      </c>
      <c r="F248" s="91" t="s">
        <v>61</v>
      </c>
      <c r="G248" s="91" t="s">
        <v>92</v>
      </c>
      <c r="H248" s="91" t="s">
        <v>53</v>
      </c>
      <c r="I248" s="91" t="s">
        <v>61</v>
      </c>
      <c r="J248" s="91" t="s">
        <v>92</v>
      </c>
      <c r="K248" s="91" t="s">
        <v>53</v>
      </c>
      <c r="L248" s="91" t="s">
        <v>61</v>
      </c>
      <c r="M248" s="91" t="str">
        <f>G248</f>
        <v>Average</v>
      </c>
      <c r="N248" s="91" t="s">
        <v>53</v>
      </c>
      <c r="O248" s="91" t="s">
        <v>61</v>
      </c>
      <c r="P248" s="91" t="s">
        <v>92</v>
      </c>
      <c r="Q248" s="91" t="s">
        <v>53</v>
      </c>
      <c r="R248" s="91" t="s">
        <v>61</v>
      </c>
      <c r="S248" s="91" t="s">
        <v>92</v>
      </c>
      <c r="T248" s="91" t="s">
        <v>53</v>
      </c>
      <c r="U248" s="91" t="s">
        <v>61</v>
      </c>
      <c r="V248" s="91" t="s">
        <v>92</v>
      </c>
      <c r="W248" s="91" t="s">
        <v>53</v>
      </c>
      <c r="X248" s="91" t="s">
        <v>61</v>
      </c>
      <c r="Y248" s="91" t="s">
        <v>92</v>
      </c>
      <c r="Z248" s="91" t="s">
        <v>53</v>
      </c>
      <c r="AA248" s="91" t="s">
        <v>61</v>
      </c>
      <c r="AB248" s="91" t="s">
        <v>92</v>
      </c>
      <c r="AC248" s="91" t="s">
        <v>53</v>
      </c>
      <c r="AD248" s="91" t="s">
        <v>61</v>
      </c>
      <c r="AE248" s="91" t="s">
        <v>92</v>
      </c>
      <c r="AF248" s="91" t="s">
        <v>53</v>
      </c>
      <c r="AG248" s="91" t="s">
        <v>61</v>
      </c>
      <c r="AH248" s="91" t="s">
        <v>92</v>
      </c>
      <c r="AI248" s="91" t="s">
        <v>53</v>
      </c>
      <c r="AJ248" s="91" t="s">
        <v>61</v>
      </c>
      <c r="AK248" s="91" t="s">
        <v>92</v>
      </c>
      <c r="AL248" s="91" t="s">
        <v>53</v>
      </c>
      <c r="AM248" s="91" t="s">
        <v>54</v>
      </c>
      <c r="AN248" s="91" t="s">
        <v>92</v>
      </c>
      <c r="AO248" s="91" t="s">
        <v>53</v>
      </c>
      <c r="AP248" s="91" t="s">
        <v>54</v>
      </c>
      <c r="AQ248" s="91" t="s">
        <v>92</v>
      </c>
      <c r="AR248" s="91" t="s">
        <v>53</v>
      </c>
      <c r="AS248" s="91" t="s">
        <v>54</v>
      </c>
      <c r="AT248" s="91" t="s">
        <v>92</v>
      </c>
      <c r="AU248" s="91" t="s">
        <v>53</v>
      </c>
      <c r="AV248" s="91" t="s">
        <v>54</v>
      </c>
      <c r="AW248" s="91" t="s">
        <v>92</v>
      </c>
    </row>
    <row r="249" spans="1:50" s="92" customFormat="1" x14ac:dyDescent="0.25">
      <c r="A249" s="91" t="s">
        <v>42</v>
      </c>
      <c r="B249" s="95">
        <v>22.7</v>
      </c>
      <c r="C249" s="95">
        <v>24.9</v>
      </c>
      <c r="D249" s="95">
        <f>B249*0.25+C249*0.75</f>
        <v>24.349999999999998</v>
      </c>
      <c r="E249" s="95">
        <v>39.1</v>
      </c>
      <c r="F249" s="95">
        <v>25.4</v>
      </c>
      <c r="G249" s="95">
        <f>E249*0.25+F249*(0.75)</f>
        <v>28.824999999999996</v>
      </c>
      <c r="H249" s="95">
        <v>23.5</v>
      </c>
      <c r="I249" s="95">
        <v>15.7</v>
      </c>
      <c r="J249" s="95">
        <f>H249*0.25+I249*0.75</f>
        <v>17.649999999999999</v>
      </c>
      <c r="K249" s="95">
        <v>41.25</v>
      </c>
      <c r="L249" s="95">
        <v>55.75</v>
      </c>
      <c r="M249" s="95">
        <f>K249*0.25+L249*0.75</f>
        <v>52.125</v>
      </c>
      <c r="N249" s="95">
        <f>22.6/0.99925</f>
        <v>22.616962722041531</v>
      </c>
      <c r="O249" s="95">
        <f>26.1/0.99925</f>
        <v>26.119589692269205</v>
      </c>
      <c r="P249" s="95">
        <f>N249*0.25+O249*0.75</f>
        <v>25.243932949712288</v>
      </c>
      <c r="Q249" s="95">
        <v>39.799999999999997</v>
      </c>
      <c r="R249" s="95">
        <v>20.399999999999999</v>
      </c>
      <c r="S249" s="95">
        <f>Q249*0.25+R249*0.75</f>
        <v>25.25</v>
      </c>
      <c r="T249" s="95">
        <v>20.8</v>
      </c>
      <c r="U249" s="95">
        <v>13.9</v>
      </c>
      <c r="V249" s="95">
        <f>T249*0.25+U249*0.75</f>
        <v>15.625</v>
      </c>
      <c r="W249" s="95">
        <v>45.4</v>
      </c>
      <c r="X249" s="95">
        <v>52.7</v>
      </c>
      <c r="Y249" s="95">
        <f>W249*0.25+X249*0.75</f>
        <v>50.875000000000007</v>
      </c>
      <c r="Z249" s="95">
        <v>29.2</v>
      </c>
      <c r="AA249" s="95">
        <v>28.6</v>
      </c>
      <c r="AB249" s="95">
        <f>Z249*0.25+AA249*0.75</f>
        <v>28.750000000000004</v>
      </c>
      <c r="AC249" s="95">
        <v>44.7</v>
      </c>
      <c r="AD249" s="95">
        <v>28</v>
      </c>
      <c r="AE249" s="95">
        <f>AC249*0.25+AD249*0.75</f>
        <v>32.174999999999997</v>
      </c>
      <c r="AF249" s="95">
        <v>27.6</v>
      </c>
      <c r="AG249" s="95">
        <v>15.5</v>
      </c>
      <c r="AH249" s="95">
        <f>AF249*0.25+AG249*0.75</f>
        <v>18.524999999999999</v>
      </c>
      <c r="AI249" s="95">
        <v>41</v>
      </c>
      <c r="AJ249" s="95">
        <v>63.4</v>
      </c>
      <c r="AK249" s="95">
        <f>AI249*0.25+AJ249*0.75</f>
        <v>57.8</v>
      </c>
      <c r="AL249" s="95">
        <v>23.5</v>
      </c>
      <c r="AM249" s="95">
        <v>20.6</v>
      </c>
      <c r="AN249" s="95">
        <f>AL249*0.25+AM249*0.75</f>
        <v>21.325000000000003</v>
      </c>
      <c r="AO249" s="95">
        <v>39.4</v>
      </c>
      <c r="AP249" s="95">
        <v>34.1</v>
      </c>
      <c r="AQ249" s="95">
        <f>AO249*0.25+AP249*0.75</f>
        <v>35.425000000000004</v>
      </c>
      <c r="AR249" s="95">
        <v>22.4</v>
      </c>
      <c r="AS249" s="95">
        <v>20.5</v>
      </c>
      <c r="AT249" s="95">
        <f>AR249*0.25+AS249*0.75</f>
        <v>20.975000000000001</v>
      </c>
      <c r="AU249" s="95">
        <v>57.1</v>
      </c>
      <c r="AV249" s="95">
        <v>45.3</v>
      </c>
      <c r="AW249" s="95">
        <f>AU249*0.25+AV249*0.75</f>
        <v>48.249999999999993</v>
      </c>
    </row>
    <row r="250" spans="1:50" s="92" customFormat="1" x14ac:dyDescent="0.25">
      <c r="A250" s="91" t="s">
        <v>43</v>
      </c>
      <c r="B250" s="95">
        <v>2.8</v>
      </c>
      <c r="C250" s="95">
        <v>3.8</v>
      </c>
      <c r="D250" s="95">
        <f t="shared" ref="D250:D257" si="35">B250*0.25+C250*0.75</f>
        <v>3.55</v>
      </c>
      <c r="E250" s="95">
        <v>11.65</v>
      </c>
      <c r="F250" s="95">
        <v>12.7</v>
      </c>
      <c r="G250" s="95">
        <f t="shared" ref="G250:G256" si="36">E250*0.25+F250*(0.75)</f>
        <v>12.437499999999998</v>
      </c>
      <c r="H250" s="95">
        <v>6.5</v>
      </c>
      <c r="I250" s="95">
        <v>9.1999999999999993</v>
      </c>
      <c r="J250" s="95">
        <f t="shared" ref="J250:J257" si="37">H250*0.25+I250*0.75</f>
        <v>8.5249999999999986</v>
      </c>
      <c r="K250" s="95">
        <v>3.6</v>
      </c>
      <c r="L250" s="95">
        <v>1.1000000000000001</v>
      </c>
      <c r="M250" s="95">
        <f t="shared" ref="M250:M257" si="38">K250*0.25+L250*0.75</f>
        <v>1.7250000000000001</v>
      </c>
      <c r="N250" s="95">
        <f>3/0.99925</f>
        <v>3.0022516887665751</v>
      </c>
      <c r="O250" s="95">
        <f>3.2/0.99925</f>
        <v>3.2024018013510136</v>
      </c>
      <c r="P250" s="95">
        <f t="shared" ref="P250:P257" si="39">N250*0.25+O250*0.75</f>
        <v>3.152364273204904</v>
      </c>
      <c r="Q250" s="95">
        <v>8.6999999999999993</v>
      </c>
      <c r="R250" s="95">
        <v>12.8</v>
      </c>
      <c r="S250" s="95">
        <f t="shared" ref="S250:S257" si="40">Q250*0.25+R250*0.75</f>
        <v>11.775000000000002</v>
      </c>
      <c r="T250" s="95">
        <v>6.7</v>
      </c>
      <c r="U250" s="95">
        <v>11.4</v>
      </c>
      <c r="V250" s="95">
        <f t="shared" ref="V250:V257" si="41">T250*0.25+U250*0.75</f>
        <v>10.225000000000001</v>
      </c>
      <c r="W250" s="95">
        <v>0</v>
      </c>
      <c r="X250" s="95">
        <v>0.5</v>
      </c>
      <c r="Y250" s="95">
        <f t="shared" ref="Y250:Y257" si="42">W250*0.25+X250*0.75</f>
        <v>0.375</v>
      </c>
      <c r="Z250" s="95">
        <v>2.6</v>
      </c>
      <c r="AA250" s="95">
        <v>2.6</v>
      </c>
      <c r="AB250" s="95">
        <f t="shared" ref="AB250:AB257" si="43">Z250*0.25+AA250*0.75</f>
        <v>2.6</v>
      </c>
      <c r="AC250" s="95">
        <v>6.7</v>
      </c>
      <c r="AD250" s="95">
        <v>18.899999999999999</v>
      </c>
      <c r="AE250" s="95">
        <f t="shared" ref="AE250:AE257" si="44">AC250*0.25+AD250*0.75</f>
        <v>15.85</v>
      </c>
      <c r="AF250" s="95">
        <v>5.6</v>
      </c>
      <c r="AG250" s="95">
        <v>11.6</v>
      </c>
      <c r="AH250" s="95">
        <f t="shared" ref="AH250:AH257" si="45">AF250*0.25+AG250*0.75</f>
        <v>10.1</v>
      </c>
      <c r="AI250" s="95">
        <v>3.8</v>
      </c>
      <c r="AJ250" s="95">
        <v>0.5</v>
      </c>
      <c r="AK250" s="95">
        <f t="shared" ref="AK250:AK257" si="46">AI250*0.25+AJ250*0.75</f>
        <v>1.325</v>
      </c>
      <c r="AL250" s="95">
        <v>2.6</v>
      </c>
      <c r="AM250" s="95">
        <v>1.9</v>
      </c>
      <c r="AN250" s="95">
        <f t="shared" ref="AN250:AN257" si="47">AL250*0.25+AM250*0.75</f>
        <v>2.0749999999999997</v>
      </c>
      <c r="AO250" s="95">
        <v>10.1</v>
      </c>
      <c r="AP250" s="95">
        <v>10.6</v>
      </c>
      <c r="AQ250" s="95">
        <f t="shared" ref="AQ250:AQ257" si="48">AO250*0.25+AP250*0.75</f>
        <v>10.475</v>
      </c>
      <c r="AR250" s="95">
        <v>3.3</v>
      </c>
      <c r="AS250" s="95">
        <v>3.8</v>
      </c>
      <c r="AT250" s="95">
        <f t="shared" ref="AT250:AT257" si="49">AR250*0.25+AS250*0.75</f>
        <v>3.6749999999999998</v>
      </c>
      <c r="AU250" s="95" t="s">
        <v>41</v>
      </c>
      <c r="AV250" s="95" t="s">
        <v>41</v>
      </c>
      <c r="AW250" s="95">
        <v>0</v>
      </c>
    </row>
    <row r="251" spans="1:50" s="92" customFormat="1" x14ac:dyDescent="0.25">
      <c r="A251" s="91" t="s">
        <v>44</v>
      </c>
      <c r="B251" s="95">
        <v>23.8</v>
      </c>
      <c r="C251" s="95">
        <v>23.1</v>
      </c>
      <c r="D251" s="95">
        <f t="shared" si="35"/>
        <v>23.275000000000002</v>
      </c>
      <c r="E251" s="95">
        <v>16.600000000000001</v>
      </c>
      <c r="F251" s="95">
        <v>19.3</v>
      </c>
      <c r="G251" s="95">
        <f t="shared" si="36"/>
        <v>18.625</v>
      </c>
      <c r="H251" s="95">
        <v>27</v>
      </c>
      <c r="I251" s="95">
        <v>22.7</v>
      </c>
      <c r="J251" s="95">
        <f t="shared" si="37"/>
        <v>23.774999999999999</v>
      </c>
      <c r="K251" s="95">
        <v>7.9</v>
      </c>
      <c r="L251" s="95">
        <v>10.1</v>
      </c>
      <c r="M251" s="95">
        <f t="shared" si="38"/>
        <v>9.5499999999999989</v>
      </c>
      <c r="N251" s="95">
        <f>23.7/0.99925</f>
        <v>23.717788341255943</v>
      </c>
      <c r="O251" s="95">
        <f>24.3/0.99925</f>
        <v>24.318238679009259</v>
      </c>
      <c r="P251" s="95">
        <f t="shared" si="39"/>
        <v>24.16812609457093</v>
      </c>
      <c r="Q251" s="95">
        <v>22.2</v>
      </c>
      <c r="R251" s="95">
        <v>26.1</v>
      </c>
      <c r="S251" s="95">
        <f t="shared" si="40"/>
        <v>25.125000000000004</v>
      </c>
      <c r="T251" s="95">
        <v>28.2</v>
      </c>
      <c r="U251" s="95">
        <v>23.6</v>
      </c>
      <c r="V251" s="95">
        <f t="shared" si="41"/>
        <v>24.750000000000004</v>
      </c>
      <c r="W251" s="95">
        <v>11.7</v>
      </c>
      <c r="X251" s="95">
        <v>11.4</v>
      </c>
      <c r="Y251" s="95">
        <f t="shared" si="42"/>
        <v>11.475000000000001</v>
      </c>
      <c r="Z251" s="95">
        <v>21.9</v>
      </c>
      <c r="AA251" s="95">
        <v>22.5</v>
      </c>
      <c r="AB251" s="95">
        <f t="shared" si="43"/>
        <v>22.35</v>
      </c>
      <c r="AC251" s="95">
        <v>19.3</v>
      </c>
      <c r="AD251" s="95">
        <v>19.100000000000001</v>
      </c>
      <c r="AE251" s="95">
        <f t="shared" si="44"/>
        <v>19.150000000000002</v>
      </c>
      <c r="AF251" s="95">
        <v>21.8</v>
      </c>
      <c r="AG251" s="95">
        <v>25.6</v>
      </c>
      <c r="AH251" s="95">
        <f t="shared" si="45"/>
        <v>24.650000000000002</v>
      </c>
      <c r="AI251" s="95">
        <v>9.6</v>
      </c>
      <c r="AJ251" s="95">
        <v>10.4</v>
      </c>
      <c r="AK251" s="95">
        <f t="shared" si="46"/>
        <v>10.200000000000001</v>
      </c>
      <c r="AL251" s="95">
        <v>20.100000000000001</v>
      </c>
      <c r="AM251" s="95">
        <v>21.6</v>
      </c>
      <c r="AN251" s="95">
        <f t="shared" si="47"/>
        <v>21.225000000000001</v>
      </c>
      <c r="AO251" s="95">
        <v>16</v>
      </c>
      <c r="AP251" s="95">
        <v>31.3</v>
      </c>
      <c r="AQ251" s="95">
        <f t="shared" si="48"/>
        <v>27.475000000000001</v>
      </c>
      <c r="AR251" s="95">
        <v>26.6</v>
      </c>
      <c r="AS251" s="95">
        <v>24.3</v>
      </c>
      <c r="AT251" s="95">
        <f t="shared" si="49"/>
        <v>24.875</v>
      </c>
      <c r="AU251" s="95">
        <v>2.9</v>
      </c>
      <c r="AV251" s="95">
        <v>13.1</v>
      </c>
      <c r="AW251" s="95">
        <f t="shared" ref="AW251:AW257" si="50">AU251*0.25+AV251*0.75</f>
        <v>10.549999999999999</v>
      </c>
    </row>
    <row r="252" spans="1:50" s="92" customFormat="1" x14ac:dyDescent="0.25">
      <c r="A252" s="91" t="s">
        <v>45</v>
      </c>
      <c r="B252" s="95">
        <v>2.4</v>
      </c>
      <c r="C252" s="95">
        <v>1</v>
      </c>
      <c r="D252" s="95">
        <f t="shared" si="35"/>
        <v>1.35</v>
      </c>
      <c r="E252" s="95">
        <v>4.0999999999999996</v>
      </c>
      <c r="F252" s="95">
        <v>0.9</v>
      </c>
      <c r="G252" s="95">
        <f t="shared" si="36"/>
        <v>1.7</v>
      </c>
      <c r="H252" s="95">
        <v>3.6</v>
      </c>
      <c r="I252" s="95">
        <v>3.7</v>
      </c>
      <c r="J252" s="95">
        <f t="shared" si="37"/>
        <v>3.6750000000000003</v>
      </c>
      <c r="K252" s="95">
        <v>8.4</v>
      </c>
      <c r="L252" s="95">
        <v>1.7</v>
      </c>
      <c r="M252" s="95">
        <f t="shared" si="38"/>
        <v>3.375</v>
      </c>
      <c r="N252" s="95">
        <f>1.6/0.99925</f>
        <v>1.6012009006755068</v>
      </c>
      <c r="O252" s="95">
        <f>1.2/0.99925</f>
        <v>1.20090067550663</v>
      </c>
      <c r="P252" s="95">
        <f t="shared" si="39"/>
        <v>1.3009757317988493</v>
      </c>
      <c r="Q252" s="95">
        <v>1.8</v>
      </c>
      <c r="R252" s="95">
        <v>2.5</v>
      </c>
      <c r="S252" s="95">
        <f t="shared" si="40"/>
        <v>2.3250000000000002</v>
      </c>
      <c r="T252" s="95">
        <v>2.9</v>
      </c>
      <c r="U252" s="95">
        <v>3.7</v>
      </c>
      <c r="V252" s="95">
        <f t="shared" si="41"/>
        <v>3.5000000000000004</v>
      </c>
      <c r="W252" s="95">
        <v>4.8</v>
      </c>
      <c r="X252" s="95">
        <v>3.5</v>
      </c>
      <c r="Y252" s="95">
        <f t="shared" si="42"/>
        <v>3.8250000000000002</v>
      </c>
      <c r="Z252" s="95">
        <v>2.2999999999999998</v>
      </c>
      <c r="AA252" s="95">
        <v>1.5</v>
      </c>
      <c r="AB252" s="95">
        <f t="shared" si="43"/>
        <v>1.7</v>
      </c>
      <c r="AC252" s="95">
        <v>3.1</v>
      </c>
      <c r="AD252" s="95">
        <v>3.5</v>
      </c>
      <c r="AE252" s="95">
        <f t="shared" si="44"/>
        <v>3.4</v>
      </c>
      <c r="AF252" s="95">
        <v>7.7</v>
      </c>
      <c r="AG252" s="95">
        <v>2.7</v>
      </c>
      <c r="AH252" s="95">
        <f t="shared" si="45"/>
        <v>3.95</v>
      </c>
      <c r="AI252" s="95">
        <v>6.6</v>
      </c>
      <c r="AJ252" s="95">
        <v>2.4</v>
      </c>
      <c r="AK252" s="95">
        <f t="shared" si="46"/>
        <v>3.4499999999999997</v>
      </c>
      <c r="AL252" s="95">
        <v>3.8</v>
      </c>
      <c r="AM252" s="95">
        <v>2.9</v>
      </c>
      <c r="AN252" s="95">
        <f t="shared" si="47"/>
        <v>3.125</v>
      </c>
      <c r="AO252" s="95">
        <v>4.5999999999999996</v>
      </c>
      <c r="AP252" s="95">
        <v>2.4</v>
      </c>
      <c r="AQ252" s="95">
        <f t="shared" si="48"/>
        <v>2.9499999999999997</v>
      </c>
      <c r="AR252" s="95">
        <v>2.9</v>
      </c>
      <c r="AS252" s="95">
        <v>6.8</v>
      </c>
      <c r="AT252" s="95">
        <f t="shared" si="49"/>
        <v>5.8249999999999993</v>
      </c>
      <c r="AU252" s="95">
        <v>7.3</v>
      </c>
      <c r="AV252" s="95">
        <v>2.4</v>
      </c>
      <c r="AW252" s="95">
        <f t="shared" si="50"/>
        <v>3.625</v>
      </c>
    </row>
    <row r="253" spans="1:50" s="92" customFormat="1" x14ac:dyDescent="0.25">
      <c r="A253" s="91" t="s">
        <v>56</v>
      </c>
      <c r="B253" s="95">
        <v>12.3</v>
      </c>
      <c r="C253" s="95">
        <v>10.9</v>
      </c>
      <c r="D253" s="95">
        <f t="shared" si="35"/>
        <v>11.25</v>
      </c>
      <c r="E253" s="95">
        <v>7.6</v>
      </c>
      <c r="F253" s="95">
        <v>11.3</v>
      </c>
      <c r="G253" s="95">
        <f t="shared" si="36"/>
        <v>10.375000000000002</v>
      </c>
      <c r="H253" s="95">
        <v>4.5999999999999996</v>
      </c>
      <c r="I253" s="95">
        <v>8.4</v>
      </c>
      <c r="J253" s="95">
        <f t="shared" si="37"/>
        <v>7.4500000000000011</v>
      </c>
      <c r="K253" s="95">
        <v>7.1</v>
      </c>
      <c r="L253" s="95">
        <v>6.5</v>
      </c>
      <c r="M253" s="95">
        <f t="shared" si="38"/>
        <v>6.65</v>
      </c>
      <c r="N253" s="95">
        <f>14.2/0.99925</f>
        <v>14.21065799349512</v>
      </c>
      <c r="O253" s="95">
        <f>10.6/0.99925</f>
        <v>10.607955966975231</v>
      </c>
      <c r="P253" s="95">
        <f t="shared" si="39"/>
        <v>11.508631473605202</v>
      </c>
      <c r="Q253" s="95">
        <v>7.7</v>
      </c>
      <c r="R253" s="95">
        <v>12.3</v>
      </c>
      <c r="S253" s="95">
        <f t="shared" si="40"/>
        <v>11.150000000000002</v>
      </c>
      <c r="T253" s="95">
        <v>6.7</v>
      </c>
      <c r="U253" s="95">
        <v>10.1</v>
      </c>
      <c r="V253" s="95">
        <f t="shared" si="41"/>
        <v>9.25</v>
      </c>
      <c r="W253" s="95">
        <v>8.3000000000000007</v>
      </c>
      <c r="X253" s="95">
        <v>7</v>
      </c>
      <c r="Y253" s="95">
        <f t="shared" si="42"/>
        <v>7.3250000000000002</v>
      </c>
      <c r="Z253" s="95">
        <v>11.3</v>
      </c>
      <c r="AA253" s="95">
        <v>8.8000000000000007</v>
      </c>
      <c r="AB253" s="95">
        <f t="shared" si="43"/>
        <v>9.4250000000000007</v>
      </c>
      <c r="AC253" s="95">
        <v>8.8000000000000007</v>
      </c>
      <c r="AD253" s="95">
        <v>6.5</v>
      </c>
      <c r="AE253" s="95">
        <f t="shared" si="44"/>
        <v>7.0750000000000002</v>
      </c>
      <c r="AF253" s="95">
        <v>4.2</v>
      </c>
      <c r="AG253" s="95">
        <v>7.7</v>
      </c>
      <c r="AH253" s="95">
        <f t="shared" si="45"/>
        <v>6.8250000000000002</v>
      </c>
      <c r="AI253" s="95">
        <v>1.1000000000000001</v>
      </c>
      <c r="AJ253" s="95">
        <v>2.8</v>
      </c>
      <c r="AK253" s="95">
        <f t="shared" si="46"/>
        <v>2.3749999999999996</v>
      </c>
      <c r="AL253" s="95">
        <v>9.3000000000000007</v>
      </c>
      <c r="AM253" s="95">
        <v>11.8</v>
      </c>
      <c r="AN253" s="95">
        <f t="shared" si="47"/>
        <v>11.175000000000001</v>
      </c>
      <c r="AO253" s="95">
        <v>7.4</v>
      </c>
      <c r="AP253" s="95">
        <v>7</v>
      </c>
      <c r="AQ253" s="95">
        <f t="shared" si="48"/>
        <v>7.1</v>
      </c>
      <c r="AR253" s="95">
        <v>6.1</v>
      </c>
      <c r="AS253" s="95">
        <v>8.6999999999999993</v>
      </c>
      <c r="AT253" s="95">
        <f t="shared" si="49"/>
        <v>8.0499999999999989</v>
      </c>
      <c r="AU253" s="95">
        <v>5.7</v>
      </c>
      <c r="AV253" s="95">
        <v>12.1</v>
      </c>
      <c r="AW253" s="95">
        <f t="shared" si="50"/>
        <v>10.5</v>
      </c>
    </row>
    <row r="254" spans="1:50" s="92" customFormat="1" x14ac:dyDescent="0.25">
      <c r="A254" s="91" t="s">
        <v>57</v>
      </c>
      <c r="B254" s="95">
        <v>9.6</v>
      </c>
      <c r="C254" s="95">
        <v>7.3</v>
      </c>
      <c r="D254" s="95">
        <f t="shared" si="35"/>
        <v>7.875</v>
      </c>
      <c r="E254" s="95">
        <v>10.1</v>
      </c>
      <c r="F254" s="95">
        <v>6</v>
      </c>
      <c r="G254" s="95">
        <f t="shared" si="36"/>
        <v>7.0250000000000004</v>
      </c>
      <c r="H254" s="95">
        <v>15.4</v>
      </c>
      <c r="I254" s="95">
        <v>20.9</v>
      </c>
      <c r="J254" s="95">
        <f t="shared" si="37"/>
        <v>19.524999999999999</v>
      </c>
      <c r="K254" s="95">
        <v>13.3</v>
      </c>
      <c r="L254" s="95">
        <v>4.7</v>
      </c>
      <c r="M254" s="95">
        <f t="shared" si="38"/>
        <v>6.8500000000000005</v>
      </c>
      <c r="N254" s="95">
        <f>10.1/0.99925</f>
        <v>10.107580685514135</v>
      </c>
      <c r="O254" s="95">
        <f>7.8/0.99925</f>
        <v>7.8058543907930948</v>
      </c>
      <c r="P254" s="95">
        <f t="shared" si="39"/>
        <v>8.3812859644733546</v>
      </c>
      <c r="Q254" s="95">
        <v>7.3</v>
      </c>
      <c r="R254" s="95">
        <v>7.6</v>
      </c>
      <c r="S254" s="95">
        <f t="shared" si="40"/>
        <v>7.5249999999999995</v>
      </c>
      <c r="T254" s="95">
        <v>17.100000000000001</v>
      </c>
      <c r="U254" s="95">
        <v>17.100000000000001</v>
      </c>
      <c r="V254" s="95">
        <f t="shared" si="41"/>
        <v>17.100000000000001</v>
      </c>
      <c r="W254" s="95">
        <v>19.5</v>
      </c>
      <c r="X254" s="95">
        <v>7</v>
      </c>
      <c r="Y254" s="95">
        <f t="shared" si="42"/>
        <v>10.125</v>
      </c>
      <c r="Z254" s="95">
        <v>7.8</v>
      </c>
      <c r="AA254" s="95">
        <v>7.4</v>
      </c>
      <c r="AB254" s="95">
        <f t="shared" si="43"/>
        <v>7.5000000000000009</v>
      </c>
      <c r="AC254" s="95">
        <v>7.5</v>
      </c>
      <c r="AD254" s="95">
        <v>10</v>
      </c>
      <c r="AE254" s="95">
        <f t="shared" si="44"/>
        <v>9.375</v>
      </c>
      <c r="AF254" s="95">
        <v>16.399999999999999</v>
      </c>
      <c r="AG254" s="95">
        <v>19.2</v>
      </c>
      <c r="AH254" s="95">
        <f t="shared" si="45"/>
        <v>18.5</v>
      </c>
      <c r="AI254" s="95">
        <v>14.6</v>
      </c>
      <c r="AJ254" s="95">
        <v>4.8</v>
      </c>
      <c r="AK254" s="95">
        <f t="shared" si="46"/>
        <v>7.25</v>
      </c>
      <c r="AL254" s="95">
        <v>11.6</v>
      </c>
      <c r="AM254" s="95">
        <v>9</v>
      </c>
      <c r="AN254" s="95">
        <f t="shared" si="47"/>
        <v>9.65</v>
      </c>
      <c r="AO254" s="95">
        <v>6.9</v>
      </c>
      <c r="AP254" s="95">
        <v>4.5999999999999996</v>
      </c>
      <c r="AQ254" s="95">
        <f t="shared" si="48"/>
        <v>5.1749999999999998</v>
      </c>
      <c r="AR254" s="95">
        <v>12.3</v>
      </c>
      <c r="AS254" s="95">
        <v>9.3000000000000007</v>
      </c>
      <c r="AT254" s="95">
        <f t="shared" si="49"/>
        <v>10.050000000000001</v>
      </c>
      <c r="AU254" s="95">
        <v>15.8</v>
      </c>
      <c r="AV254" s="95">
        <v>0.8</v>
      </c>
      <c r="AW254" s="95">
        <f t="shared" si="50"/>
        <v>4.5500000000000007</v>
      </c>
    </row>
    <row r="255" spans="1:50" s="92" customFormat="1" x14ac:dyDescent="0.25">
      <c r="A255" s="91" t="s">
        <v>48</v>
      </c>
      <c r="B255" s="95">
        <v>6.2</v>
      </c>
      <c r="C255" s="95">
        <v>6.9</v>
      </c>
      <c r="D255" s="95">
        <f t="shared" si="35"/>
        <v>6.7250000000000005</v>
      </c>
      <c r="E255" s="95">
        <v>5.25</v>
      </c>
      <c r="F255" s="95">
        <v>11.1</v>
      </c>
      <c r="G255" s="95">
        <f t="shared" si="36"/>
        <v>9.6374999999999993</v>
      </c>
      <c r="H255" s="95">
        <v>4.9000000000000004</v>
      </c>
      <c r="I255" s="95">
        <v>4.3</v>
      </c>
      <c r="J255" s="95">
        <f t="shared" si="37"/>
        <v>4.4499999999999993</v>
      </c>
      <c r="K255" s="95">
        <v>5.6</v>
      </c>
      <c r="L255" s="95">
        <v>9.9</v>
      </c>
      <c r="M255" s="95">
        <f t="shared" si="38"/>
        <v>8.8250000000000011</v>
      </c>
      <c r="N255" s="95">
        <f>4.2/0.99925</f>
        <v>4.2031523642732056</v>
      </c>
      <c r="O255" s="95">
        <f>5.9/0.99925</f>
        <v>5.904428321240931</v>
      </c>
      <c r="P255" s="95">
        <f t="shared" si="39"/>
        <v>5.4791093319989992</v>
      </c>
      <c r="Q255" s="95">
        <v>4.7</v>
      </c>
      <c r="R255" s="95">
        <v>9.1999999999999993</v>
      </c>
      <c r="S255" s="95">
        <f t="shared" si="40"/>
        <v>8.0749999999999993</v>
      </c>
      <c r="T255" s="95">
        <v>2.5</v>
      </c>
      <c r="U255" s="95">
        <v>4</v>
      </c>
      <c r="V255" s="95">
        <f t="shared" si="41"/>
        <v>3.625</v>
      </c>
      <c r="W255" s="95">
        <v>1.2</v>
      </c>
      <c r="X255" s="95">
        <v>7.5</v>
      </c>
      <c r="Y255" s="95">
        <f t="shared" si="42"/>
        <v>5.9249999999999998</v>
      </c>
      <c r="Z255" s="95">
        <v>4.8</v>
      </c>
      <c r="AA255" s="95">
        <v>6.3</v>
      </c>
      <c r="AB255" s="95">
        <f t="shared" si="43"/>
        <v>5.9249999999999998</v>
      </c>
      <c r="AC255" s="95">
        <v>5.4</v>
      </c>
      <c r="AD255" s="95">
        <v>4.3</v>
      </c>
      <c r="AE255" s="95">
        <f t="shared" si="44"/>
        <v>4.5749999999999993</v>
      </c>
      <c r="AF255" s="95">
        <v>4.5999999999999996</v>
      </c>
      <c r="AG255" s="95">
        <v>4.0999999999999996</v>
      </c>
      <c r="AH255" s="95">
        <f t="shared" si="45"/>
        <v>4.2249999999999996</v>
      </c>
      <c r="AI255" s="95">
        <v>4.2</v>
      </c>
      <c r="AJ255" s="95">
        <v>8.6</v>
      </c>
      <c r="AK255" s="95">
        <f t="shared" si="46"/>
        <v>7.4999999999999991</v>
      </c>
      <c r="AL255" s="95">
        <v>5.3</v>
      </c>
      <c r="AM255" s="95">
        <v>6.1</v>
      </c>
      <c r="AN255" s="95">
        <f t="shared" si="47"/>
        <v>5.8999999999999995</v>
      </c>
      <c r="AO255" s="95">
        <v>5.5</v>
      </c>
      <c r="AP255" s="95">
        <v>3.9</v>
      </c>
      <c r="AQ255" s="95">
        <f t="shared" si="48"/>
        <v>4.3</v>
      </c>
      <c r="AR255" s="95">
        <v>2.1</v>
      </c>
      <c r="AS255" s="95">
        <v>5.3</v>
      </c>
      <c r="AT255" s="95">
        <f t="shared" si="49"/>
        <v>4.5</v>
      </c>
      <c r="AU255" s="95">
        <v>1</v>
      </c>
      <c r="AV255" s="95">
        <v>2</v>
      </c>
      <c r="AW255" s="95">
        <f t="shared" si="50"/>
        <v>1.75</v>
      </c>
    </row>
    <row r="256" spans="1:50" s="92" customFormat="1" x14ac:dyDescent="0.25">
      <c r="A256" s="91" t="s">
        <v>58</v>
      </c>
      <c r="B256" s="95">
        <v>17.100000000000001</v>
      </c>
      <c r="C256" s="95">
        <v>18.5</v>
      </c>
      <c r="D256" s="95">
        <f t="shared" si="35"/>
        <v>18.149999999999999</v>
      </c>
      <c r="E256" s="95">
        <v>3.3</v>
      </c>
      <c r="F256" s="95">
        <v>1.9</v>
      </c>
      <c r="G256" s="95">
        <f t="shared" si="36"/>
        <v>2.25</v>
      </c>
      <c r="H256" s="95">
        <v>7.5</v>
      </c>
      <c r="I256" s="95">
        <v>8.9</v>
      </c>
      <c r="J256" s="95">
        <f t="shared" si="37"/>
        <v>8.5500000000000007</v>
      </c>
      <c r="K256" s="95">
        <v>5.5</v>
      </c>
      <c r="L256" s="95">
        <v>4.5999999999999996</v>
      </c>
      <c r="M256" s="95">
        <f t="shared" si="38"/>
        <v>4.8249999999999993</v>
      </c>
      <c r="N256" s="95">
        <f>16.2/0.99925</f>
        <v>16.212159119339503</v>
      </c>
      <c r="O256" s="95">
        <f>16/0.99925</f>
        <v>16.012009006755068</v>
      </c>
      <c r="P256" s="95">
        <f t="shared" si="39"/>
        <v>16.062046534901178</v>
      </c>
      <c r="Q256" s="95">
        <v>2.5</v>
      </c>
      <c r="R256" s="95">
        <v>3.2</v>
      </c>
      <c r="S256" s="95">
        <f t="shared" si="40"/>
        <v>3.0250000000000004</v>
      </c>
      <c r="T256" s="95">
        <v>9.1999999999999993</v>
      </c>
      <c r="U256" s="95">
        <v>9.1</v>
      </c>
      <c r="V256" s="95">
        <f t="shared" si="41"/>
        <v>9.125</v>
      </c>
      <c r="W256" s="95">
        <v>7.8</v>
      </c>
      <c r="X256" s="95">
        <v>4</v>
      </c>
      <c r="Y256" s="95">
        <f t="shared" si="42"/>
        <v>4.95</v>
      </c>
      <c r="Z256" s="95">
        <v>16.8</v>
      </c>
      <c r="AA256" s="95">
        <v>18.8</v>
      </c>
      <c r="AB256" s="95">
        <f t="shared" si="43"/>
        <v>18.3</v>
      </c>
      <c r="AC256" s="95">
        <v>2.6</v>
      </c>
      <c r="AD256" s="95">
        <v>3</v>
      </c>
      <c r="AE256" s="95">
        <f t="shared" si="44"/>
        <v>2.9</v>
      </c>
      <c r="AF256" s="95">
        <v>6.8</v>
      </c>
      <c r="AG256" s="95">
        <v>7.8</v>
      </c>
      <c r="AH256" s="95">
        <f t="shared" si="45"/>
        <v>7.55</v>
      </c>
      <c r="AI256" s="95">
        <v>5.5</v>
      </c>
      <c r="AJ256" s="95">
        <v>3.8</v>
      </c>
      <c r="AK256" s="95">
        <f t="shared" si="46"/>
        <v>4.2249999999999996</v>
      </c>
      <c r="AL256" s="95">
        <v>22.4</v>
      </c>
      <c r="AM256" s="95">
        <v>22.7</v>
      </c>
      <c r="AN256" s="95">
        <f t="shared" si="47"/>
        <v>22.625</v>
      </c>
      <c r="AO256" s="95">
        <v>7.6</v>
      </c>
      <c r="AP256" s="95">
        <v>2.5</v>
      </c>
      <c r="AQ256" s="95">
        <f t="shared" si="48"/>
        <v>3.7749999999999999</v>
      </c>
      <c r="AR256" s="95">
        <v>18.7</v>
      </c>
      <c r="AS256" s="95">
        <v>14.1</v>
      </c>
      <c r="AT256" s="95">
        <f t="shared" si="49"/>
        <v>15.25</v>
      </c>
      <c r="AU256" s="95">
        <v>3.1</v>
      </c>
      <c r="AV256" s="95">
        <v>12.4</v>
      </c>
      <c r="AW256" s="95">
        <f t="shared" si="50"/>
        <v>10.075000000000001</v>
      </c>
    </row>
    <row r="257" spans="1:50" s="92" customFormat="1" x14ac:dyDescent="0.25">
      <c r="A257" s="91" t="s">
        <v>50</v>
      </c>
      <c r="B257" s="95">
        <v>3.1</v>
      </c>
      <c r="C257" s="95">
        <v>3.6</v>
      </c>
      <c r="D257" s="95">
        <f t="shared" si="35"/>
        <v>3.4750000000000001</v>
      </c>
      <c r="E257" s="95">
        <v>2.6</v>
      </c>
      <c r="F257" s="95">
        <v>11.3</v>
      </c>
      <c r="G257" s="95">
        <f>E257*0.25+F257*(0.75)</f>
        <v>9.1250000000000018</v>
      </c>
      <c r="H257" s="95">
        <v>7</v>
      </c>
      <c r="I257" s="95">
        <v>6.2</v>
      </c>
      <c r="J257" s="95">
        <f t="shared" si="37"/>
        <v>6.4</v>
      </c>
      <c r="K257" s="95">
        <v>7.2</v>
      </c>
      <c r="L257" s="95">
        <v>5.7</v>
      </c>
      <c r="M257" s="95">
        <f t="shared" si="38"/>
        <v>6.0750000000000002</v>
      </c>
      <c r="N257" s="95">
        <f>4.4/0.99925</f>
        <v>4.4033024768576441</v>
      </c>
      <c r="O257" s="95">
        <f>4.8/0.99925</f>
        <v>4.8036027020265202</v>
      </c>
      <c r="P257" s="95">
        <f t="shared" si="39"/>
        <v>4.7035276457343009</v>
      </c>
      <c r="Q257" s="95">
        <v>5.3</v>
      </c>
      <c r="R257" s="95">
        <v>5.9</v>
      </c>
      <c r="S257" s="95">
        <f t="shared" si="40"/>
        <v>5.7500000000000009</v>
      </c>
      <c r="T257" s="95">
        <v>6</v>
      </c>
      <c r="U257" s="95">
        <v>7.1</v>
      </c>
      <c r="V257" s="95">
        <f t="shared" si="41"/>
        <v>6.8249999999999993</v>
      </c>
      <c r="W257" s="95">
        <v>1.2</v>
      </c>
      <c r="X257" s="95">
        <v>6.6</v>
      </c>
      <c r="Y257" s="95">
        <f t="shared" si="42"/>
        <v>5.2499999999999991</v>
      </c>
      <c r="Z257" s="95">
        <v>3.3</v>
      </c>
      <c r="AA257" s="95">
        <v>3.5</v>
      </c>
      <c r="AB257" s="95">
        <f t="shared" si="43"/>
        <v>3.45</v>
      </c>
      <c r="AC257" s="95">
        <v>1.8</v>
      </c>
      <c r="AD257" s="95">
        <v>6.6</v>
      </c>
      <c r="AE257" s="95">
        <f t="shared" si="44"/>
        <v>5.3999999999999995</v>
      </c>
      <c r="AF257" s="95">
        <v>5.3</v>
      </c>
      <c r="AG257" s="95">
        <v>5.8</v>
      </c>
      <c r="AH257" s="95">
        <f t="shared" si="45"/>
        <v>5.6749999999999998</v>
      </c>
      <c r="AI257" s="95">
        <v>13.6</v>
      </c>
      <c r="AJ257" s="95">
        <v>3.3</v>
      </c>
      <c r="AK257" s="95">
        <f t="shared" si="46"/>
        <v>5.875</v>
      </c>
      <c r="AL257" s="95">
        <v>1.4</v>
      </c>
      <c r="AM257" s="95">
        <v>3.4</v>
      </c>
      <c r="AN257" s="95">
        <f t="shared" si="47"/>
        <v>2.9</v>
      </c>
      <c r="AO257" s="95">
        <v>2.5</v>
      </c>
      <c r="AP257" s="95">
        <v>3.5</v>
      </c>
      <c r="AQ257" s="95">
        <f t="shared" si="48"/>
        <v>3.25</v>
      </c>
      <c r="AR257" s="95">
        <v>5.6</v>
      </c>
      <c r="AS257" s="95">
        <v>7.1</v>
      </c>
      <c r="AT257" s="95">
        <f t="shared" si="49"/>
        <v>6.7249999999999996</v>
      </c>
      <c r="AU257" s="95">
        <v>7.1</v>
      </c>
      <c r="AV257" s="95">
        <v>11.9</v>
      </c>
      <c r="AW257" s="95">
        <f t="shared" si="50"/>
        <v>10.700000000000001</v>
      </c>
    </row>
    <row r="258" spans="1:50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K258" s="90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</row>
    <row r="259" spans="1:50" x14ac:dyDescent="0.25">
      <c r="A259" t="s">
        <v>452</v>
      </c>
      <c r="B259" s="89" t="s">
        <v>128</v>
      </c>
      <c r="C259" s="89" t="s">
        <v>32</v>
      </c>
      <c r="D259" t="s">
        <v>33</v>
      </c>
      <c r="E259" s="89" t="s">
        <v>34</v>
      </c>
      <c r="F259" s="89" t="s">
        <v>36</v>
      </c>
      <c r="G259" s="89" t="s">
        <v>39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</row>
    <row r="260" spans="1:50" x14ac:dyDescent="0.25">
      <c r="A260" s="91" t="s">
        <v>42</v>
      </c>
      <c r="B260" s="31">
        <v>25</v>
      </c>
      <c r="C260" s="177">
        <v>23</v>
      </c>
      <c r="D260" s="176">
        <v>24.8</v>
      </c>
      <c r="E260" s="7">
        <v>25</v>
      </c>
      <c r="F260" s="7">
        <v>29.3</v>
      </c>
      <c r="G260" s="174">
        <v>23.6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</row>
    <row r="261" spans="1:50" x14ac:dyDescent="0.25">
      <c r="A261" s="91" t="s">
        <v>43</v>
      </c>
      <c r="B261">
        <v>3</v>
      </c>
      <c r="C261" s="177">
        <v>4.8</v>
      </c>
      <c r="D261" s="176">
        <v>4.5999999999999996</v>
      </c>
      <c r="E261" s="7">
        <v>4.5</v>
      </c>
      <c r="F261" s="7">
        <v>4</v>
      </c>
      <c r="G261" s="174">
        <v>2.7</v>
      </c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</row>
    <row r="262" spans="1:50" x14ac:dyDescent="0.25">
      <c r="A262" s="91" t="s">
        <v>44</v>
      </c>
      <c r="B262">
        <v>21</v>
      </c>
      <c r="C262" s="177">
        <v>21.4</v>
      </c>
      <c r="D262" s="176">
        <v>22.7</v>
      </c>
      <c r="E262" s="7">
        <v>24</v>
      </c>
      <c r="F262" s="7">
        <v>21.9</v>
      </c>
      <c r="G262" s="174">
        <v>21.3</v>
      </c>
      <c r="AA262" s="31"/>
      <c r="AB262" s="31"/>
      <c r="AW262" s="90"/>
      <c r="AX262" s="90"/>
    </row>
    <row r="263" spans="1:50" x14ac:dyDescent="0.25">
      <c r="A263" s="91" t="s">
        <v>45</v>
      </c>
      <c r="B263" s="31">
        <v>2</v>
      </c>
      <c r="C263" s="177">
        <v>2.2999999999999998</v>
      </c>
      <c r="D263" s="178">
        <v>1.9</v>
      </c>
      <c r="E263" s="7">
        <v>1.8</v>
      </c>
      <c r="F263" s="7">
        <v>2.4</v>
      </c>
      <c r="G263" s="174">
        <v>3.5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W263" s="90"/>
      <c r="AX263" s="90"/>
    </row>
    <row r="264" spans="1:50" x14ac:dyDescent="0.25">
      <c r="A264" s="91" t="s">
        <v>56</v>
      </c>
      <c r="B264" s="31">
        <v>10</v>
      </c>
      <c r="C264" s="177">
        <v>10.5</v>
      </c>
      <c r="D264" s="176">
        <v>10.199999999999999</v>
      </c>
      <c r="E264" s="7">
        <v>10.8</v>
      </c>
      <c r="F264" s="7">
        <v>8.6</v>
      </c>
      <c r="G264" s="174">
        <v>10.4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</row>
    <row r="265" spans="1:50" x14ac:dyDescent="0.25">
      <c r="A265" s="91" t="s">
        <v>57</v>
      </c>
      <c r="B265" s="31">
        <v>7</v>
      </c>
      <c r="C265" s="177">
        <v>9.1</v>
      </c>
      <c r="D265" s="176">
        <v>9.8000000000000007</v>
      </c>
      <c r="E265" s="7">
        <v>9.9</v>
      </c>
      <c r="F265" s="7">
        <v>9.1999999999999993</v>
      </c>
      <c r="G265" s="174">
        <v>9.3000000000000007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</row>
    <row r="266" spans="1:50" x14ac:dyDescent="0.25">
      <c r="A266" s="91" t="s">
        <v>48</v>
      </c>
      <c r="B266" s="31">
        <v>9</v>
      </c>
      <c r="C266" s="177">
        <v>5.8</v>
      </c>
      <c r="D266" s="176">
        <v>6.4</v>
      </c>
      <c r="E266" s="7">
        <v>5.2</v>
      </c>
      <c r="F266" s="7">
        <v>5.7</v>
      </c>
      <c r="G266" s="174">
        <v>5.4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</row>
    <row r="267" spans="1:50" x14ac:dyDescent="0.25">
      <c r="A267" s="91" t="s">
        <v>58</v>
      </c>
      <c r="B267" s="31">
        <v>9</v>
      </c>
      <c r="C267" s="177">
        <v>19</v>
      </c>
      <c r="D267" s="176">
        <v>15.2</v>
      </c>
      <c r="E267" s="7">
        <v>13.8</v>
      </c>
      <c r="F267" s="7">
        <v>15.2</v>
      </c>
      <c r="G267" s="174">
        <v>20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</row>
    <row r="268" spans="1:50" x14ac:dyDescent="0.25">
      <c r="A268" s="91" t="s">
        <v>50</v>
      </c>
      <c r="B268" s="31">
        <v>10</v>
      </c>
      <c r="C268" s="177">
        <v>4.0999999999999996</v>
      </c>
      <c r="D268" s="176">
        <v>4.2</v>
      </c>
      <c r="E268" s="7">
        <v>5.0999999999999996</v>
      </c>
      <c r="F268" s="7">
        <v>3.8</v>
      </c>
      <c r="G268" s="174">
        <v>3.7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</row>
    <row r="269" spans="1:50" x14ac:dyDescent="0.25">
      <c r="A269" s="173" t="s">
        <v>123</v>
      </c>
      <c r="B269" s="175" t="s">
        <v>87</v>
      </c>
      <c r="C269" s="175" t="s">
        <v>125</v>
      </c>
      <c r="D269" s="175" t="s">
        <v>125</v>
      </c>
      <c r="E269" s="89" t="s">
        <v>217</v>
      </c>
      <c r="F269" s="89" t="s">
        <v>217</v>
      </c>
      <c r="G269" s="89" t="s">
        <v>217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</row>
    <row r="270" spans="1:50" x14ac:dyDescent="0.25">
      <c r="A270" s="173" t="s">
        <v>15</v>
      </c>
      <c r="B270" s="31" t="s">
        <v>458</v>
      </c>
      <c r="C270" s="31" t="s">
        <v>456</v>
      </c>
      <c r="D270" s="175" t="s">
        <v>457</v>
      </c>
      <c r="E270" s="89" t="s">
        <v>453</v>
      </c>
      <c r="F270" s="89" t="s">
        <v>454</v>
      </c>
      <c r="G270" s="89" t="s">
        <v>455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</row>
    <row r="271" spans="1:50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</row>
    <row r="272" spans="1:50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</row>
    <row r="273" spans="1:28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</row>
    <row r="274" spans="1:28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</row>
    <row r="275" spans="1:28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</row>
    <row r="276" spans="1:28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</row>
    <row r="277" spans="1:28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10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</row>
    <row r="278" spans="1:28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</row>
    <row r="279" spans="1:28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</row>
    <row r="280" spans="1:28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4" spans="1:28" ht="7.5" customHeight="1" x14ac:dyDescent="0.25"/>
  </sheetData>
  <mergeCells count="21">
    <mergeCell ref="Z246:AK246"/>
    <mergeCell ref="A245:AW245"/>
    <mergeCell ref="W247:Y247"/>
    <mergeCell ref="N246:Y246"/>
    <mergeCell ref="Z247:AB247"/>
    <mergeCell ref="AC247:AE247"/>
    <mergeCell ref="AF247:AH247"/>
    <mergeCell ref="AI247:AK247"/>
    <mergeCell ref="AL246:AW246"/>
    <mergeCell ref="AL247:AN247"/>
    <mergeCell ref="AO247:AQ247"/>
    <mergeCell ref="AR247:AT247"/>
    <mergeCell ref="B246:M246"/>
    <mergeCell ref="B247:D247"/>
    <mergeCell ref="E247:G247"/>
    <mergeCell ref="H247:J247"/>
    <mergeCell ref="K247:M247"/>
    <mergeCell ref="N247:P247"/>
    <mergeCell ref="Q247:S247"/>
    <mergeCell ref="AU247:AW247"/>
    <mergeCell ref="T247:V247"/>
  </mergeCells>
  <phoneticPr fontId="26" type="noConversion"/>
  <hyperlinks>
    <hyperlink ref="B83" r:id="rId1" xr:uid="{C9146A17-985E-4F44-8354-64FF84E84609}"/>
  </hyperlinks>
  <pageMargins left="0.7" right="0.7" top="0.75" bottom="0.75" header="0.3" footer="0.3"/>
  <pageSetup paperSize="9" orientation="portrait" r:id="rId2"/>
  <drawing r:id="rId3"/>
  <tableParts count="25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8F177-1094-41F5-89C7-798E199B4FFA}">
  <dimension ref="A1:AW11"/>
  <sheetViews>
    <sheetView workbookViewId="0">
      <selection activeCell="N29" sqref="N29"/>
    </sheetView>
  </sheetViews>
  <sheetFormatPr defaultRowHeight="15" x14ac:dyDescent="0.25"/>
  <cols>
    <col min="1" max="1" width="35.85546875" bestFit="1" customWidth="1"/>
    <col min="2" max="2" width="14.28515625" bestFit="1" customWidth="1"/>
    <col min="3" max="12" width="6" bestFit="1" customWidth="1"/>
    <col min="14" max="14" width="37.28515625" customWidth="1"/>
  </cols>
  <sheetData>
    <row r="1" spans="1:49" x14ac:dyDescent="0.25">
      <c r="A1" s="68" t="s">
        <v>437</v>
      </c>
      <c r="B1" s="52" t="s">
        <v>128</v>
      </c>
      <c r="C1" s="52" t="s">
        <v>30</v>
      </c>
      <c r="D1" s="52" t="s">
        <v>31</v>
      </c>
      <c r="E1" s="52" t="s">
        <v>32</v>
      </c>
      <c r="F1" s="52" t="s">
        <v>33</v>
      </c>
      <c r="G1" s="52" t="s">
        <v>34</v>
      </c>
      <c r="H1" s="52" t="s">
        <v>35</v>
      </c>
      <c r="I1" s="52" t="s">
        <v>36</v>
      </c>
      <c r="J1" s="52" t="s">
        <v>37</v>
      </c>
      <c r="K1" s="52" t="s">
        <v>38</v>
      </c>
      <c r="L1" s="53" t="s">
        <v>39</v>
      </c>
      <c r="N1" s="175" t="s">
        <v>438</v>
      </c>
      <c r="O1" s="175" t="s">
        <v>128</v>
      </c>
      <c r="P1" s="175" t="s">
        <v>30</v>
      </c>
      <c r="Q1" s="175" t="s">
        <v>31</v>
      </c>
      <c r="R1" s="175" t="s">
        <v>32</v>
      </c>
      <c r="S1" s="175" t="s">
        <v>33</v>
      </c>
      <c r="T1" s="175" t="s">
        <v>34</v>
      </c>
      <c r="U1" s="175" t="s">
        <v>35</v>
      </c>
      <c r="V1" s="175" t="s">
        <v>36</v>
      </c>
      <c r="W1" s="175" t="s">
        <v>37</v>
      </c>
      <c r="X1" s="175" t="s">
        <v>38</v>
      </c>
      <c r="Y1" s="175" t="s">
        <v>39</v>
      </c>
      <c r="AA1" s="175" t="s">
        <v>439</v>
      </c>
      <c r="AB1" s="175" t="s">
        <v>128</v>
      </c>
      <c r="AC1" s="175" t="s">
        <v>30</v>
      </c>
      <c r="AD1" s="175" t="s">
        <v>31</v>
      </c>
      <c r="AE1" s="175" t="s">
        <v>32</v>
      </c>
      <c r="AF1" s="175" t="s">
        <v>33</v>
      </c>
      <c r="AG1" s="175" t="s">
        <v>34</v>
      </c>
      <c r="AH1" s="175" t="s">
        <v>35</v>
      </c>
      <c r="AI1" s="175" t="s">
        <v>36</v>
      </c>
      <c r="AJ1" s="175" t="s">
        <v>37</v>
      </c>
      <c r="AK1" s="175" t="s">
        <v>38</v>
      </c>
      <c r="AL1" s="175" t="s">
        <v>39</v>
      </c>
      <c r="AN1" s="26" t="s">
        <v>420</v>
      </c>
      <c r="AO1" s="175" t="s">
        <v>84</v>
      </c>
      <c r="AP1" s="175"/>
      <c r="AQ1" s="175"/>
      <c r="AR1" s="175"/>
      <c r="AS1" s="175"/>
      <c r="AT1" s="175"/>
      <c r="AU1" s="175"/>
      <c r="AV1" s="175"/>
      <c r="AW1" s="175"/>
    </row>
    <row r="2" spans="1:49" x14ac:dyDescent="0.25">
      <c r="A2" s="68" t="str">
        <f>'PKM display'!A46</f>
        <v>Bus</v>
      </c>
      <c r="B2" s="158">
        <f>'PKM display'!B46/1000000000</f>
        <v>2.8077336625477369</v>
      </c>
      <c r="C2" s="158">
        <f>'PKM display'!C46/1000000000</f>
        <v>2.5844556085057118</v>
      </c>
      <c r="D2" s="158">
        <f>'PKM display'!D46/1000000000</f>
        <v>2.3611775544636862</v>
      </c>
      <c r="E2" s="158">
        <f>'PKM display'!E46/1000000000</f>
        <v>2.1378995004216601</v>
      </c>
      <c r="F2" s="158">
        <f>'PKM display'!F46/1000000000</f>
        <v>2.719981114535805</v>
      </c>
      <c r="G2" s="158">
        <f>'PKM display'!G46/1000000000</f>
        <v>3.059690963062311</v>
      </c>
      <c r="H2" s="158">
        <f>'PKM display'!H46/1000000000</f>
        <v>2.5524595811543871</v>
      </c>
      <c r="I2" s="158">
        <f>'PKM display'!I46/1000000000</f>
        <v>2.0452281992464627</v>
      </c>
      <c r="J2" s="158">
        <f>'PKM display'!J46/1000000000</f>
        <v>2.5777323818494962</v>
      </c>
      <c r="K2" s="158">
        <f>'PKM display'!K46/1000000000</f>
        <v>3.1102365644525301</v>
      </c>
      <c r="L2" s="158">
        <f>'PKM display'!L46/1000000000</f>
        <v>3.6427407470555635</v>
      </c>
      <c r="N2" s="137" t="str">
        <f>'PKM display'!A83</f>
        <v>Companion / escort journey</v>
      </c>
      <c r="O2" s="179">
        <f>'PKM display'!B83/1000000000</f>
        <v>4.9124429023135709</v>
      </c>
      <c r="P2" s="179">
        <f>'PKM display'!C83/1000000000</f>
        <v>5.789435937020218</v>
      </c>
      <c r="Q2" s="179">
        <f>'PKM display'!D83/1000000000</f>
        <v>6.666428971726865</v>
      </c>
      <c r="R2" s="179">
        <f>'PKM display'!E83/1000000000</f>
        <v>7.5434220064335111</v>
      </c>
      <c r="S2" s="179">
        <f>'PKM display'!F83/1000000000</f>
        <v>8.0487564545379762</v>
      </c>
      <c r="T2" s="179">
        <f>'PKM display'!G83/1000000000</f>
        <v>5.7562820829487888</v>
      </c>
      <c r="U2" s="179">
        <f>'PKM display'!H83/1000000000</f>
        <v>6.4350628075474985</v>
      </c>
      <c r="V2" s="179">
        <f>'PKM display'!I83/1000000000</f>
        <v>7.1138435321462081</v>
      </c>
      <c r="W2" s="179">
        <f>'PKM display'!J83/1000000000</f>
        <v>8.1666566709801387</v>
      </c>
      <c r="X2" s="179">
        <f>'PKM display'!K83/1000000000</f>
        <v>9.2194698098140684</v>
      </c>
      <c r="Y2" s="179">
        <f>'PKM display'!L83/1000000000</f>
        <v>10.272282948647998</v>
      </c>
      <c r="AA2" s="137" t="str">
        <f>'PKM display'!A112</f>
        <v>&lt;2 kilometres</v>
      </c>
      <c r="AB2" s="13">
        <f>'PKM display'!B112/1000000000</f>
        <v>1.2816627005765799</v>
      </c>
      <c r="AC2" s="13">
        <f>'PKM display'!C112/1000000000</f>
        <v>1.2047386148640085</v>
      </c>
      <c r="AD2" s="13">
        <f>'PKM display'!D112/1000000000</f>
        <v>1.1278145291514368</v>
      </c>
      <c r="AE2" s="13">
        <f>'PKM display'!E112/1000000000</f>
        <v>1.0508904434388655</v>
      </c>
      <c r="AF2" s="13">
        <f>'PKM display'!F112/1000000000</f>
        <v>1.0669862142295119</v>
      </c>
      <c r="AG2" s="13">
        <f>'PKM display'!G112/1000000000</f>
        <v>1.0202061207969859</v>
      </c>
      <c r="AH2" s="13">
        <f>'PKM display'!H112/1000000000</f>
        <v>1.0494756469601449</v>
      </c>
      <c r="AI2" s="13">
        <f>'PKM display'!I112/1000000000</f>
        <v>1.078745173123304</v>
      </c>
      <c r="AJ2" s="13">
        <f>'PKM display'!J112/1000000000</f>
        <v>1.2289161724477173</v>
      </c>
      <c r="AK2" s="13">
        <f>'PKM display'!K112/1000000000</f>
        <v>1.3790871717721309</v>
      </c>
      <c r="AL2" s="13">
        <f>'PKM display'!L112/1000000000</f>
        <v>1.5292581710965445</v>
      </c>
      <c r="AN2" s="175" t="s">
        <v>81</v>
      </c>
      <c r="AO2" s="175" t="s">
        <v>463</v>
      </c>
      <c r="AP2" s="175" t="s">
        <v>464</v>
      </c>
      <c r="AQ2" s="175" t="s">
        <v>465</v>
      </c>
      <c r="AR2" s="175" t="s">
        <v>466</v>
      </c>
      <c r="AS2" s="175" t="s">
        <v>467</v>
      </c>
      <c r="AT2" s="175" t="s">
        <v>468</v>
      </c>
      <c r="AU2" s="175" t="s">
        <v>469</v>
      </c>
      <c r="AV2" s="175" t="s">
        <v>470</v>
      </c>
      <c r="AW2" s="175" t="s">
        <v>471</v>
      </c>
    </row>
    <row r="3" spans="1:49" x14ac:dyDescent="0.25">
      <c r="A3" s="68" t="str">
        <f>'PKM display'!A47</f>
        <v>Cycle</v>
      </c>
      <c r="B3" s="158">
        <f>'PKM display'!B47/1000000000</f>
        <v>0.2239831678660924</v>
      </c>
      <c r="C3" s="158">
        <f>'PKM display'!C47/1000000000</f>
        <v>0.20555065302885583</v>
      </c>
      <c r="D3" s="158">
        <f>'PKM display'!D47/1000000000</f>
        <v>0.18711813819161924</v>
      </c>
      <c r="E3" s="158">
        <f>'PKM display'!E47/1000000000</f>
        <v>0.16868562335438264</v>
      </c>
      <c r="F3" s="158">
        <f>'PKM display'!F47/1000000000</f>
        <v>0.14551474773957029</v>
      </c>
      <c r="G3" s="158">
        <f>'PKM display'!G47/1000000000</f>
        <v>0.19972840791332669</v>
      </c>
      <c r="H3" s="158">
        <f>'PKM display'!H47/1000000000</f>
        <v>0.20666534508277473</v>
      </c>
      <c r="I3" s="158">
        <f>'PKM display'!I47/1000000000</f>
        <v>0.21360228225222277</v>
      </c>
      <c r="J3" s="158">
        <f>'PKM display'!J47/1000000000</f>
        <v>0.22009506018671254</v>
      </c>
      <c r="K3" s="158">
        <f>'PKM display'!K47/1000000000</f>
        <v>0.22658783812120228</v>
      </c>
      <c r="L3" s="158">
        <f>'PKM display'!L47/1000000000</f>
        <v>0.23308061605569208</v>
      </c>
      <c r="N3" s="137" t="str">
        <f>'PKM display'!A84</f>
        <v>Education</v>
      </c>
      <c r="O3" s="179">
        <f>'PKM display'!B84/1000000000</f>
        <v>2.2948316602199998</v>
      </c>
      <c r="P3" s="179">
        <f>'PKM display'!C84/1000000000</f>
        <v>2.2436088425541123</v>
      </c>
      <c r="Q3" s="179">
        <f>'PKM display'!D84/1000000000</f>
        <v>2.1923860248882252</v>
      </c>
      <c r="R3" s="179">
        <f>'PKM display'!E84/1000000000</f>
        <v>2.1411632072223381</v>
      </c>
      <c r="S3" s="179">
        <f>'PKM display'!F84/1000000000</f>
        <v>2.7775887768574337</v>
      </c>
      <c r="T3" s="179">
        <f>'PKM display'!G84/1000000000</f>
        <v>1.9728366673669924</v>
      </c>
      <c r="U3" s="179">
        <f>'PKM display'!H84/1000000000</f>
        <v>1.81485213509579</v>
      </c>
      <c r="V3" s="179">
        <f>'PKM display'!I84/1000000000</f>
        <v>1.6568676028245874</v>
      </c>
      <c r="W3" s="179">
        <f>'PKM display'!J84/1000000000</f>
        <v>1.6778202517230583</v>
      </c>
      <c r="X3" s="179">
        <f>'PKM display'!K84/1000000000</f>
        <v>1.6987729006215291</v>
      </c>
      <c r="Y3" s="179">
        <f>'PKM display'!L84/1000000000</f>
        <v>1.7197255495199999</v>
      </c>
      <c r="AA3" s="137" t="str">
        <f>'PKM display'!A113</f>
        <v>2-4 kilometres</v>
      </c>
      <c r="AB3" s="13">
        <f>'PKM display'!B113/1000000000</f>
        <v>3.8449881017297409</v>
      </c>
      <c r="AC3" s="13">
        <f>'PKM display'!C113/1000000000</f>
        <v>3.6142158445920272</v>
      </c>
      <c r="AD3" s="13">
        <f>'PKM display'!D113/1000000000</f>
        <v>3.3834435874543134</v>
      </c>
      <c r="AE3" s="13">
        <f>'PKM display'!E113/1000000000</f>
        <v>3.1526713303165987</v>
      </c>
      <c r="AF3" s="13">
        <f>'PKM display'!F113/1000000000</f>
        <v>3.2009586426885361</v>
      </c>
      <c r="AG3" s="13">
        <f>'PKM display'!G113/1000000000</f>
        <v>3.0606183623909557</v>
      </c>
      <c r="AH3" s="13">
        <f>'PKM display'!H113/1000000000</f>
        <v>3.1484269408804346</v>
      </c>
      <c r="AI3" s="13">
        <f>'PKM display'!I113/1000000000</f>
        <v>3.236235519369913</v>
      </c>
      <c r="AJ3" s="13">
        <f>'PKM display'!J113/1000000000</f>
        <v>3.2362355223699133</v>
      </c>
      <c r="AK3" s="13">
        <f>'PKM display'!K113/1000000000</f>
        <v>3.6867485203431531</v>
      </c>
      <c r="AL3" s="13">
        <f>'PKM display'!L113/1000000000</f>
        <v>4.5877745132896326</v>
      </c>
      <c r="AN3" s="27" t="s">
        <v>30</v>
      </c>
      <c r="AO3" s="28">
        <v>8.3644382100000012E-2</v>
      </c>
      <c r="AP3" s="28">
        <v>9.0827938099999977E-2</v>
      </c>
      <c r="AQ3" s="28">
        <v>0.16898816</v>
      </c>
      <c r="AR3" s="28">
        <v>1.2962159999999999E-2</v>
      </c>
      <c r="AS3" s="28">
        <v>1.9734849332781121</v>
      </c>
      <c r="AT3" s="28">
        <v>5.85368502336E-5</v>
      </c>
      <c r="AU3" s="28">
        <v>5.459382223584921E-3</v>
      </c>
      <c r="AV3" s="28">
        <v>3.7529629510886426</v>
      </c>
      <c r="AW3" s="28">
        <v>0</v>
      </c>
    </row>
    <row r="4" spans="1:49" x14ac:dyDescent="0.25">
      <c r="A4" s="68" t="str">
        <f>'PKM display'!A48</f>
        <v>Lorry/Motorcycle/Other</v>
      </c>
      <c r="B4" s="158">
        <f>'PKM display'!B48/1000000000</f>
        <v>5.875413924046442</v>
      </c>
      <c r="C4" s="158">
        <f>'PKM display'!C48/1000000000</f>
        <v>4.9317641189216515</v>
      </c>
      <c r="D4" s="158">
        <f>'PKM display'!D48/1000000000</f>
        <v>3.9881143137968613</v>
      </c>
      <c r="E4" s="158">
        <f>'PKM display'!E48/1000000000</f>
        <v>3.0444645086720699</v>
      </c>
      <c r="F4" s="158">
        <f>'PKM display'!F48/1000000000</f>
        <v>3.4434590919606372</v>
      </c>
      <c r="G4" s="158">
        <f>'PKM display'!G48/1000000000</f>
        <v>3.334832249626408</v>
      </c>
      <c r="H4" s="158">
        <f>'PKM display'!H48/1000000000</f>
        <v>3.7735156108395072</v>
      </c>
      <c r="I4" s="158">
        <f>'PKM display'!I48/1000000000</f>
        <v>4.2121989720526063</v>
      </c>
      <c r="J4" s="158">
        <f>'PKM display'!J48/1000000000</f>
        <v>3.9200614694901867</v>
      </c>
      <c r="K4" s="158">
        <f>'PKM display'!K48/1000000000</f>
        <v>3.6279239669277672</v>
      </c>
      <c r="L4" s="158">
        <f>'PKM display'!L48/1000000000</f>
        <v>3.3357864643653485</v>
      </c>
      <c r="N4" s="137" t="str">
        <f>'PKM display'!A85</f>
        <v>Entertainment / leisure / sports</v>
      </c>
      <c r="O4" s="179">
        <f>'PKM display'!B85/1000000000</f>
        <v>3.8750621960442855</v>
      </c>
      <c r="P4" s="179">
        <f>'PKM display'!C85/1000000000</f>
        <v>4.1505117940063387</v>
      </c>
      <c r="Q4" s="179">
        <f>'PKM display'!D85/1000000000</f>
        <v>4.425961391968392</v>
      </c>
      <c r="R4" s="179">
        <f>'PKM display'!E85/1000000000</f>
        <v>4.7014109899304453</v>
      </c>
      <c r="S4" s="179">
        <f>'PKM display'!F85/1000000000</f>
        <v>7.262984713167099</v>
      </c>
      <c r="T4" s="179">
        <f>'PKM display'!G85/1000000000</f>
        <v>5.7719801695604742</v>
      </c>
      <c r="U4" s="179">
        <f>'PKM display'!H85/1000000000</f>
        <v>5.7252296862500991</v>
      </c>
      <c r="V4" s="179">
        <f>'PKM display'!I85/1000000000</f>
        <v>5.6784792029397249</v>
      </c>
      <c r="W4" s="179">
        <f>'PKM display'!J85/1000000000</f>
        <v>5.761495852055817</v>
      </c>
      <c r="X4" s="179">
        <f>'PKM display'!K85/1000000000</f>
        <v>5.8445125011719083</v>
      </c>
      <c r="Y4" s="179">
        <f>'PKM display'!L85/1000000000</f>
        <v>5.9275291502879988</v>
      </c>
      <c r="AA4" s="137" t="str">
        <f>'PKM display'!A114</f>
        <v>4-6 kilometres</v>
      </c>
      <c r="AB4" s="13">
        <f>'PKM display'!B114/1000000000</f>
        <v>6.4083135028829012</v>
      </c>
      <c r="AC4" s="13">
        <f>'PKM display'!C114/1000000000</f>
        <v>6.0236930743200423</v>
      </c>
      <c r="AD4" s="13">
        <f>'PKM display'!D114/1000000000</f>
        <v>5.6390726457571843</v>
      </c>
      <c r="AE4" s="13">
        <f>'PKM display'!E114/1000000000</f>
        <v>5.2544522171943262</v>
      </c>
      <c r="AF4" s="13">
        <f>'PKM display'!F114/1000000000</f>
        <v>5.3349310711475608</v>
      </c>
      <c r="AG4" s="13">
        <f>'PKM display'!G114/1000000000</f>
        <v>5.1010306039849294</v>
      </c>
      <c r="AH4" s="13">
        <f>'PKM display'!H114/1000000000</f>
        <v>5.2473782348007276</v>
      </c>
      <c r="AI4" s="13">
        <f>'PKM display'!I114/1000000000</f>
        <v>5.3937258656165268</v>
      </c>
      <c r="AJ4" s="13">
        <f>'PKM display'!J114/1000000000</f>
        <v>5.3937258672831936</v>
      </c>
      <c r="AK4" s="13">
        <f>'PKM display'!K114/1000000000</f>
        <v>6.144580863905257</v>
      </c>
      <c r="AL4" s="13">
        <f>'PKM display'!L114/1000000000</f>
        <v>7.646290855482718</v>
      </c>
      <c r="AN4" s="27" t="s">
        <v>31</v>
      </c>
      <c r="AO4" s="28">
        <v>8.068435979999998E-2</v>
      </c>
      <c r="AP4" s="28">
        <v>8.608261759999998E-2</v>
      </c>
      <c r="AQ4" s="28">
        <v>0.16049780999999999</v>
      </c>
      <c r="AR4" s="28">
        <v>1.0807919999999999E-2</v>
      </c>
      <c r="AS4" s="28">
        <v>2.2843562839941005</v>
      </c>
      <c r="AT4" s="28">
        <v>1.1037564141119999E-4</v>
      </c>
      <c r="AU4" s="28">
        <v>5.3532951344232513E-3</v>
      </c>
      <c r="AV4" s="28">
        <v>3.5020838115945567</v>
      </c>
      <c r="AW4" s="28">
        <v>0</v>
      </c>
    </row>
    <row r="5" spans="1:49" x14ac:dyDescent="0.25">
      <c r="A5" s="68" t="str">
        <f>'PKM display'!A49</f>
        <v>Private car - Driver</v>
      </c>
      <c r="B5" s="158">
        <f>'PKM display'!B49/1000000000</f>
        <v>41.186265414625694</v>
      </c>
      <c r="C5" s="158">
        <f>'PKM display'!C49/1000000000</f>
        <v>39.940480043855345</v>
      </c>
      <c r="D5" s="158">
        <f>'PKM display'!D49/1000000000</f>
        <v>38.694694673084996</v>
      </c>
      <c r="E5" s="158">
        <f>'PKM display'!E49/1000000000</f>
        <v>37.448909302314654</v>
      </c>
      <c r="F5" s="158">
        <f>'PKM display'!F49/1000000000</f>
        <v>40.89785860880702</v>
      </c>
      <c r="G5" s="158">
        <f>'PKM display'!G49/1000000000</f>
        <v>41.379942945201343</v>
      </c>
      <c r="H5" s="158">
        <f>'PKM display'!H49/1000000000</f>
        <v>44.463509562758944</v>
      </c>
      <c r="I5" s="158">
        <f>'PKM display'!I49/1000000000</f>
        <v>47.547076180316537</v>
      </c>
      <c r="J5" s="158">
        <f>'PKM display'!J49/1000000000</f>
        <v>46.07485989491844</v>
      </c>
      <c r="K5" s="158">
        <f>'PKM display'!K49/1000000000</f>
        <v>44.602643609520349</v>
      </c>
      <c r="L5" s="158">
        <f>'PKM display'!L49/1000000000</f>
        <v>43.130427324122259</v>
      </c>
      <c r="N5" s="137" t="str">
        <f>'PKM display'!A86</f>
        <v>Other</v>
      </c>
      <c r="O5" s="179">
        <f>'PKM display'!B86/1000000000</f>
        <v>5.5072184739235697</v>
      </c>
      <c r="P5" s="179">
        <f>'PKM display'!C86/1000000000</f>
        <v>4.2678226289624943</v>
      </c>
      <c r="Q5" s="179">
        <f>'PKM display'!D86/1000000000</f>
        <v>3.0284267840014181</v>
      </c>
      <c r="R5" s="179">
        <f>'PKM display'!E86/1000000000</f>
        <v>1.7890309390403429</v>
      </c>
      <c r="S5" s="179">
        <f>'PKM display'!F86/1000000000</f>
        <v>2.6814638991065647</v>
      </c>
      <c r="T5" s="179">
        <f>'PKM display'!G86/1000000000</f>
        <v>3.0128066069094146</v>
      </c>
      <c r="U5" s="179">
        <f>'PKM display'!H86/1000000000</f>
        <v>2.56282923568358</v>
      </c>
      <c r="V5" s="179">
        <f>'PKM display'!I86/1000000000</f>
        <v>2.112851864457745</v>
      </c>
      <c r="W5" s="179">
        <f>'PKM display'!J86/1000000000</f>
        <v>2.2087609358304969</v>
      </c>
      <c r="X5" s="179">
        <f>'PKM display'!K86/1000000000</f>
        <v>2.3046700072032484</v>
      </c>
      <c r="Y5" s="179">
        <f>'PKM display'!L86/1000000000</f>
        <v>2.4005790785760004</v>
      </c>
      <c r="AA5" s="137" t="str">
        <f>'PKM display'!A115</f>
        <v>6-8 kilometres</v>
      </c>
      <c r="AB5" s="13">
        <f>'PKM display'!B115/1000000000</f>
        <v>8.9716389040360607</v>
      </c>
      <c r="AC5" s="13">
        <f>'PKM display'!C115/1000000000</f>
        <v>8.4331703040480583</v>
      </c>
      <c r="AD5" s="13">
        <f>'PKM display'!D115/1000000000</f>
        <v>7.8947017040600569</v>
      </c>
      <c r="AE5" s="13">
        <f>'PKM display'!E115/1000000000</f>
        <v>7.3562331040720554</v>
      </c>
      <c r="AF5" s="13">
        <f>'PKM display'!F115/1000000000</f>
        <v>7.4689034996065784</v>
      </c>
      <c r="AG5" s="13">
        <f>'PKM display'!G115/1000000000</f>
        <v>7.1414428455789034</v>
      </c>
      <c r="AH5" s="13">
        <f>'PKM display'!H115/1000000000</f>
        <v>7.346329528721018</v>
      </c>
      <c r="AI5" s="13">
        <f>'PKM display'!I115/1000000000</f>
        <v>7.5512162118631325</v>
      </c>
      <c r="AJ5" s="13">
        <f>'PKM display'!J115/1000000000</f>
        <v>7.5512162132631317</v>
      </c>
      <c r="AK5" s="13">
        <f>'PKM display'!K115/1000000000</f>
        <v>8.6024132085340241</v>
      </c>
      <c r="AL5" s="13">
        <f>'PKM display'!L115/1000000000</f>
        <v>10.704807197675809</v>
      </c>
      <c r="AN5" s="27" t="s">
        <v>32</v>
      </c>
      <c r="AO5" s="28">
        <v>8.0757680200000001E-2</v>
      </c>
      <c r="AP5" s="28">
        <v>8.0020135300000003E-2</v>
      </c>
      <c r="AQ5" s="28">
        <v>0.15247168999999999</v>
      </c>
      <c r="AR5" s="28">
        <v>1.0758E-2</v>
      </c>
      <c r="AS5" s="28">
        <v>2.4754634881693254</v>
      </c>
      <c r="AT5" s="28">
        <v>3.0137684966400003E-4</v>
      </c>
      <c r="AU5" s="28">
        <v>6.6870838339744771E-3</v>
      </c>
      <c r="AV5" s="28">
        <v>2.9490054538827684</v>
      </c>
      <c r="AW5" s="28">
        <v>0</v>
      </c>
    </row>
    <row r="6" spans="1:49" x14ac:dyDescent="0.25">
      <c r="A6" s="68" t="str">
        <f>'PKM display'!A50</f>
        <v>Private car - Passenger</v>
      </c>
      <c r="B6" s="158">
        <f>'PKM display'!B50/1000000000</f>
        <v>7.7892545597352898</v>
      </c>
      <c r="C6" s="158">
        <f>'PKM display'!C50/1000000000</f>
        <v>7.3747745197272785</v>
      </c>
      <c r="D6" s="158">
        <f>'PKM display'!D50/1000000000</f>
        <v>6.9602944797192681</v>
      </c>
      <c r="E6" s="158">
        <f>'PKM display'!E50/1000000000</f>
        <v>6.5458144397112568</v>
      </c>
      <c r="F6" s="158">
        <f>'PKM display'!F50/1000000000</f>
        <v>6.5332182813236024</v>
      </c>
      <c r="G6" s="158">
        <f>'PKM display'!G50/1000000000</f>
        <v>6.7993675875175654</v>
      </c>
      <c r="H6" s="158">
        <f>'PKM display'!H50/1000000000</f>
        <v>6.5863951484300163</v>
      </c>
      <c r="I6" s="158">
        <f>'PKM display'!I50/1000000000</f>
        <v>6.3734227093424671</v>
      </c>
      <c r="J6" s="158">
        <f>'PKM display'!J50/1000000000</f>
        <v>7.8464368763303121</v>
      </c>
      <c r="K6" s="158">
        <f>'PKM display'!K50/1000000000</f>
        <v>9.3194510433181552</v>
      </c>
      <c r="L6" s="158">
        <f>'PKM display'!L50/1000000000</f>
        <v>10.792465210306</v>
      </c>
      <c r="N6" s="137" t="str">
        <f>'PKM display'!A87</f>
        <v>Personal business</v>
      </c>
      <c r="O6" s="179">
        <f>'PKM display'!B87/1000000000</f>
        <v>4.9687769422971417</v>
      </c>
      <c r="P6" s="179">
        <f>'PKM display'!C87/1000000000</f>
        <v>4.3912687022282437</v>
      </c>
      <c r="Q6" s="179">
        <f>'PKM display'!D87/1000000000</f>
        <v>3.8137604621593462</v>
      </c>
      <c r="R6" s="179">
        <f>'PKM display'!E87/1000000000</f>
        <v>3.2362522220904482</v>
      </c>
      <c r="S6" s="179">
        <f>'PKM display'!F87/1000000000</f>
        <v>3.1214119220722361</v>
      </c>
      <c r="T6" s="179">
        <f>'PKM display'!G87/1000000000</f>
        <v>3.4004249505024071</v>
      </c>
      <c r="U6" s="179">
        <f>'PKM display'!H87/1000000000</f>
        <v>3.7511892564140301</v>
      </c>
      <c r="V6" s="179">
        <f>'PKM display'!I87/1000000000</f>
        <v>4.1019535623256527</v>
      </c>
      <c r="W6" s="179">
        <f>'PKM display'!J87/1000000000</f>
        <v>4.0658060487291019</v>
      </c>
      <c r="X6" s="179">
        <f>'PKM display'!K87/1000000000</f>
        <v>4.0296585351325511</v>
      </c>
      <c r="Y6" s="179">
        <f>'PKM display'!L87/1000000000</f>
        <v>3.9935110215359999</v>
      </c>
      <c r="AA6" s="137" t="str">
        <f>'PKM display'!A116</f>
        <v>8+ kilometres</v>
      </c>
      <c r="AB6" s="13">
        <f>'PKM display'!B116/1000000000</f>
        <v>40.289066992624804</v>
      </c>
      <c r="AC6" s="13">
        <f>'PKM display'!C116/1000000000</f>
        <v>38.510250044675423</v>
      </c>
      <c r="AD6" s="13">
        <f>'PKM display'!D116/1000000000</f>
        <v>36.731433096726043</v>
      </c>
      <c r="AE6" s="13">
        <f>'PKM display'!E116/1000000000</f>
        <v>34.95261614877667</v>
      </c>
      <c r="AF6" s="13">
        <f>'PKM display'!F116/1000000000</f>
        <v>39.142389269009662</v>
      </c>
      <c r="AG6" s="13">
        <f>'PKM display'!G116/1000000000</f>
        <v>41.542793238853278</v>
      </c>
      <c r="AH6" s="13">
        <f>'PKM display'!H116/1000000000</f>
        <v>43.543707224059602</v>
      </c>
      <c r="AI6" s="13">
        <f>'PKM display'!I116/1000000000</f>
        <v>45.544621209265912</v>
      </c>
      <c r="AJ6" s="13">
        <f>'PKM display'!J116/1000000000</f>
        <v>45.544621207892526</v>
      </c>
      <c r="AK6" s="13">
        <f>'PKM display'!K116/1000000000</f>
        <v>44.100916708487837</v>
      </c>
      <c r="AL6" s="13">
        <f>'PKM display'!L116/1000000000</f>
        <v>41.213507711051854</v>
      </c>
      <c r="AN6" s="27" t="s">
        <v>33</v>
      </c>
      <c r="AO6" s="28">
        <v>7.9868824800000002E-2</v>
      </c>
      <c r="AP6" s="28">
        <v>7.8459911199999982E-2</v>
      </c>
      <c r="AQ6" s="28">
        <v>0.15274241</v>
      </c>
      <c r="AR6" s="28">
        <v>1.0918000000000001E-2</v>
      </c>
      <c r="AS6" s="28">
        <v>2.6791889702524965</v>
      </c>
      <c r="AT6" s="28">
        <v>3.3073932168E-4</v>
      </c>
      <c r="AU6" s="28">
        <v>6.1902893040984555E-3</v>
      </c>
      <c r="AV6" s="28">
        <v>3.1432615058296176</v>
      </c>
      <c r="AW6" s="28">
        <v>0</v>
      </c>
    </row>
    <row r="7" spans="1:49" x14ac:dyDescent="0.25">
      <c r="A7" s="68" t="str">
        <f>'PKM display'!A51</f>
        <v>Rail/Dart/Luas</v>
      </c>
      <c r="B7" s="158">
        <f>'PKM display'!B51/1000000000</f>
        <v>2.7554667334071423</v>
      </c>
      <c r="C7" s="158">
        <f>'PKM display'!C51/1000000000</f>
        <v>2.5362436297317186</v>
      </c>
      <c r="D7" s="158">
        <f>'PKM display'!D51/1000000000</f>
        <v>2.3170205260562948</v>
      </c>
      <c r="E7" s="158">
        <f>'PKM display'!E51/1000000000</f>
        <v>2.0977974223808711</v>
      </c>
      <c r="F7" s="158">
        <f>'PKM display'!F51/1000000000</f>
        <v>2.141662556533364</v>
      </c>
      <c r="G7" s="158">
        <f>'PKM display'!G51/1000000000</f>
        <v>2.7096595491139546</v>
      </c>
      <c r="H7" s="158">
        <f>'PKM display'!H51/1000000000</f>
        <v>2.3921213380469011</v>
      </c>
      <c r="I7" s="158">
        <f>'PKM display'!I51/1000000000</f>
        <v>2.074583126979848</v>
      </c>
      <c r="J7" s="158">
        <f>'PKM display'!J51/1000000000</f>
        <v>2.6990587001352186</v>
      </c>
      <c r="K7" s="158">
        <f>'PKM display'!K51/1000000000</f>
        <v>3.3235342732905893</v>
      </c>
      <c r="L7" s="158">
        <f>'PKM display'!L51/1000000000</f>
        <v>3.9480098464459599</v>
      </c>
      <c r="N7" s="137" t="str">
        <f>'PKM display'!A88</f>
        <v>Shopping</v>
      </c>
      <c r="O7" s="179">
        <f>'PKM display'!B88/1000000000</f>
        <v>10.147549167737141</v>
      </c>
      <c r="P7" s="179">
        <f>'PKM display'!C88/1000000000</f>
        <v>9.8482405095595258</v>
      </c>
      <c r="Q7" s="179">
        <f>'PKM display'!D88/1000000000</f>
        <v>9.5489318513819121</v>
      </c>
      <c r="R7" s="179">
        <f>'PKM display'!E88/1000000000</f>
        <v>9.2496231932043003</v>
      </c>
      <c r="S7" s="179">
        <f>'PKM display'!F88/1000000000</f>
        <v>13.438610800787188</v>
      </c>
      <c r="T7" s="179">
        <f>'PKM display'!G88/1000000000</f>
        <v>10.992314145931013</v>
      </c>
      <c r="U7" s="179">
        <f>'PKM display'!H88/1000000000</f>
        <v>11.150569750818331</v>
      </c>
      <c r="V7" s="179">
        <f>'PKM display'!I88/1000000000</f>
        <v>11.308825355705649</v>
      </c>
      <c r="W7" s="179">
        <f>'PKM display'!J88/1000000000</f>
        <v>11.642965475875766</v>
      </c>
      <c r="X7" s="179">
        <f>'PKM display'!K88/1000000000</f>
        <v>11.977105596045881</v>
      </c>
      <c r="Y7" s="179">
        <f>'PKM display'!L88/1000000000</f>
        <v>12.311245716216</v>
      </c>
      <c r="AA7" s="151"/>
      <c r="AB7" s="150">
        <f>SUM(Table90929326[2009])</f>
        <v>60.795670201850086</v>
      </c>
      <c r="AC7" s="150">
        <f>SUM(Table90929326[2010])</f>
        <v>57.786067882499559</v>
      </c>
      <c r="AD7" s="150">
        <f>SUM(Table90929326[2011])</f>
        <v>54.776465563149031</v>
      </c>
      <c r="AE7" s="150">
        <f>SUM(Table90929326[2012])</f>
        <v>51.766863243798518</v>
      </c>
      <c r="AF7" s="150">
        <f>SUM(Table90929326[2013])</f>
        <v>56.214168696681853</v>
      </c>
      <c r="AG7" s="150">
        <f>SUM(Table90929326[2014])</f>
        <v>57.866091171605049</v>
      </c>
      <c r="AH7" s="150">
        <f>SUM(Table90929326[2015])</f>
        <v>60.335317575421925</v>
      </c>
      <c r="AI7" s="150">
        <f>SUM(Table90929326[2016])</f>
        <v>62.804543979238787</v>
      </c>
      <c r="AJ7" s="150">
        <f>SUM(Table90929326[2017])</f>
        <v>62.95471498325648</v>
      </c>
      <c r="AK7" s="150">
        <f>SUM(Table90929326[2018])</f>
        <v>63.913746473042401</v>
      </c>
      <c r="AL7" s="150">
        <f>SUM(Table90929326[2019])</f>
        <v>65.681638448596559</v>
      </c>
      <c r="AN7" s="27" t="s">
        <v>34</v>
      </c>
      <c r="AO7" s="28">
        <v>7.9474553999999989E-2</v>
      </c>
      <c r="AP7" s="28">
        <v>7.8280136799999983E-2</v>
      </c>
      <c r="AQ7" s="28">
        <v>0.13786175000000001</v>
      </c>
      <c r="AR7" s="28">
        <v>9.2505599999999997E-3</v>
      </c>
      <c r="AS7" s="28">
        <v>3.0983041156609912</v>
      </c>
      <c r="AT7" s="28">
        <v>5.5573497559040003E-4</v>
      </c>
      <c r="AU7" s="28">
        <v>6.43493011693228E-3</v>
      </c>
      <c r="AV7" s="28">
        <v>2.8682806483462135</v>
      </c>
      <c r="AW7" s="28">
        <v>0</v>
      </c>
    </row>
    <row r="8" spans="1:49" x14ac:dyDescent="0.25">
      <c r="A8" s="68" t="str">
        <f>'PKM display'!A52</f>
        <v>Taxi/hackney</v>
      </c>
      <c r="B8" s="158">
        <f>'PKM display'!B52/1000000000</f>
        <v>0</v>
      </c>
      <c r="C8" s="158">
        <f>'PKM display'!C52/1000000000</f>
        <v>6.6810417845929324E-2</v>
      </c>
      <c r="D8" s="158">
        <f>'PKM display'!D52/1000000000</f>
        <v>0.13362083569185865</v>
      </c>
      <c r="E8" s="158">
        <f>'PKM display'!E52/1000000000</f>
        <v>0.20043125353778798</v>
      </c>
      <c r="F8" s="158">
        <f>'PKM display'!F52/1000000000</f>
        <v>0.17530746132720459</v>
      </c>
      <c r="G8" s="158">
        <f>'PKM display'!G52/1000000000</f>
        <v>0.17988555924640934</v>
      </c>
      <c r="H8" s="158">
        <f>'PKM display'!H52/1000000000</f>
        <v>0.19127250186110706</v>
      </c>
      <c r="I8" s="158">
        <f>'PKM display'!I52/1000000000</f>
        <v>0.20265944447580478</v>
      </c>
      <c r="J8" s="158">
        <f>'PKM display'!J52/1000000000</f>
        <v>0.23578656052003827</v>
      </c>
      <c r="K8" s="158">
        <f>'PKM display'!K52/1000000000</f>
        <v>0.26891367656427173</v>
      </c>
      <c r="L8" s="158">
        <f>'PKM display'!L52/1000000000</f>
        <v>0.30204079260850525</v>
      </c>
      <c r="N8" s="137" t="str">
        <f>'PKM display'!A89</f>
        <v>To eat or drink</v>
      </c>
      <c r="O8" s="179">
        <f>'PKM display'!B89/1000000000</f>
        <v>0.73641418405499992</v>
      </c>
      <c r="P8" s="179">
        <f>'PKM display'!C89/1000000000</f>
        <v>0.73839638078963266</v>
      </c>
      <c r="Q8" s="179">
        <f>'PKM display'!D89/1000000000</f>
        <v>0.74037857752426539</v>
      </c>
      <c r="R8" s="179">
        <f>'PKM display'!E89/1000000000</f>
        <v>0.74236077425889802</v>
      </c>
      <c r="S8" s="179">
        <f>'PKM display'!F89/1000000000</f>
        <v>1.2281359607301898</v>
      </c>
      <c r="T8" s="179">
        <f>'PKM display'!G89/1000000000</f>
        <v>0.73426871788953207</v>
      </c>
      <c r="U8" s="179">
        <f>'PKM display'!H89/1000000000</f>
        <v>0.86807042731170292</v>
      </c>
      <c r="V8" s="179">
        <f>'PKM display'!I89/1000000000</f>
        <v>1.0018721367338737</v>
      </c>
      <c r="W8" s="179">
        <f>'PKM display'!J89/1000000000</f>
        <v>1.2499245477265826</v>
      </c>
      <c r="X8" s="179">
        <f>'PKM display'!K89/1000000000</f>
        <v>1.4979769587192913</v>
      </c>
      <c r="Y8" s="179">
        <f>'PKM display'!L89/1000000000</f>
        <v>1.746029369712</v>
      </c>
      <c r="AN8" s="27" t="s">
        <v>35</v>
      </c>
      <c r="AO8" s="28">
        <v>7.9493302199999977E-2</v>
      </c>
      <c r="AP8" s="28">
        <v>7.8900950399999989E-2</v>
      </c>
      <c r="AQ8" s="28">
        <v>0.13602864309999999</v>
      </c>
      <c r="AR8" s="28">
        <v>9.5528999999999996E-3</v>
      </c>
      <c r="AS8" s="28">
        <v>3.5811026721787145</v>
      </c>
      <c r="AT8" s="28">
        <v>1.1257771199463999E-3</v>
      </c>
      <c r="AU8" s="28">
        <v>7.4047934073450221E-3</v>
      </c>
      <c r="AV8" s="28">
        <v>2.795955827720932</v>
      </c>
      <c r="AW8" s="28">
        <v>6.7074816518199107E-7</v>
      </c>
    </row>
    <row r="9" spans="1:49" x14ac:dyDescent="0.25">
      <c r="A9" s="68" t="str">
        <f>'PKM display'!A53</f>
        <v>Walk</v>
      </c>
      <c r="B9" s="158">
        <f>'PKM display'!B53/1000000000</f>
        <v>0.15755273962167438</v>
      </c>
      <c r="C9" s="158">
        <f>'PKM display'!C53/1000000000</f>
        <v>0.14598889088306299</v>
      </c>
      <c r="D9" s="158">
        <f>'PKM display'!D53/1000000000</f>
        <v>0.13442504214445158</v>
      </c>
      <c r="E9" s="158">
        <f>'PKM display'!E53/1000000000</f>
        <v>0.12286119340584016</v>
      </c>
      <c r="F9" s="158">
        <f>'PKM display'!F53/1000000000</f>
        <v>0.1571668344546322</v>
      </c>
      <c r="G9" s="158">
        <f>'PKM display'!G53/1000000000</f>
        <v>0.19871575857007573</v>
      </c>
      <c r="H9" s="158">
        <f>'PKM display'!H53/1000000000</f>
        <v>0.16940564695680005</v>
      </c>
      <c r="I9" s="158">
        <f>'PKM display'!I53/1000000000</f>
        <v>0.1400955353435244</v>
      </c>
      <c r="J9" s="158">
        <f>'PKM display'!J53/1000000000</f>
        <v>0.19453349312747892</v>
      </c>
      <c r="K9" s="158">
        <f>'PKM display'!K53/1000000000</f>
        <v>0.24897145091143347</v>
      </c>
      <c r="L9" s="158">
        <f>'PKM display'!L53/1000000000</f>
        <v>0.30340940869538796</v>
      </c>
      <c r="N9" s="137" t="str">
        <f>'PKM display'!A90</f>
        <v>Visit family / friends</v>
      </c>
      <c r="O9" s="179">
        <f>'PKM display'!B90/1000000000</f>
        <v>7.0275642861599996</v>
      </c>
      <c r="P9" s="179">
        <f>'PKM display'!C90/1000000000</f>
        <v>6.8717804068804904</v>
      </c>
      <c r="Q9" s="179">
        <f>'PKM display'!D90/1000000000</f>
        <v>6.7159965276009803</v>
      </c>
      <c r="R9" s="179">
        <f>'PKM display'!E90/1000000000</f>
        <v>6.560212648321472</v>
      </c>
      <c r="S9" s="179">
        <f>'PKM display'!F90/1000000000</f>
        <v>5.4697976695738353</v>
      </c>
      <c r="T9" s="179">
        <f>'PKM display'!G90/1000000000</f>
        <v>7.5764554239867739</v>
      </c>
      <c r="U9" s="179">
        <f>'PKM display'!H90/1000000000</f>
        <v>7.054928833517641</v>
      </c>
      <c r="V9" s="179">
        <f>'PKM display'!I90/1000000000</f>
        <v>6.5334022430485099</v>
      </c>
      <c r="W9" s="179">
        <f>'PKM display'!J90/1000000000</f>
        <v>6.9656789243096737</v>
      </c>
      <c r="X9" s="179">
        <f>'PKM display'!K90/1000000000</f>
        <v>7.3979556055708366</v>
      </c>
      <c r="Y9" s="179">
        <f>'PKM display'!L90/1000000000</f>
        <v>7.8302322868319996</v>
      </c>
      <c r="AN9" s="27" t="s">
        <v>36</v>
      </c>
      <c r="AO9" s="28">
        <v>8.0901610699999987E-2</v>
      </c>
      <c r="AP9" s="28">
        <v>7.8250555799999996E-2</v>
      </c>
      <c r="AQ9" s="28">
        <v>0.14372823029999998</v>
      </c>
      <c r="AR9" s="28">
        <v>9.7628999999999997E-3</v>
      </c>
      <c r="AS9" s="28">
        <v>3.9912536306212592</v>
      </c>
      <c r="AT9" s="28">
        <v>1.7562462660304001E-3</v>
      </c>
      <c r="AU9" s="28">
        <v>9.5307716974815087E-3</v>
      </c>
      <c r="AV9" s="28">
        <v>2.6099482841204735</v>
      </c>
      <c r="AW9" s="28">
        <v>3.7449717712562575E-4</v>
      </c>
    </row>
    <row r="10" spans="1:49" x14ac:dyDescent="0.25">
      <c r="A10" s="183" t="s">
        <v>4</v>
      </c>
      <c r="B10" s="184">
        <f>'PKM display'!B54/1000000000</f>
        <v>60.795670201850072</v>
      </c>
      <c r="C10" s="184">
        <f>'PKM display'!C54/1000000000</f>
        <v>57.786067882499559</v>
      </c>
      <c r="D10" s="184">
        <f>'PKM display'!D54/1000000000</f>
        <v>54.776465563149038</v>
      </c>
      <c r="E10" s="184">
        <f>'PKM display'!E54/1000000000</f>
        <v>51.766863243798525</v>
      </c>
      <c r="F10" s="184">
        <f>'PKM display'!F54/1000000000</f>
        <v>56.214168696681838</v>
      </c>
      <c r="G10" s="184">
        <f>'PKM display'!G54/1000000000</f>
        <v>57.861823020251379</v>
      </c>
      <c r="H10" s="184">
        <f>'PKM display'!H54/1000000000</f>
        <v>60.335344735130434</v>
      </c>
      <c r="I10" s="184">
        <f>'PKM display'!I54/1000000000</f>
        <v>62.808866450009475</v>
      </c>
      <c r="J10" s="184">
        <f>'PKM display'!J54/1000000000</f>
        <v>63.768564436557881</v>
      </c>
      <c r="K10" s="184">
        <f>'PKM display'!K54/1000000000</f>
        <v>64.728262423106287</v>
      </c>
      <c r="L10" s="184">
        <f>'PKM display'!L54/1000000000</f>
        <v>65.687960409654721</v>
      </c>
      <c r="N10" s="137" t="str">
        <f>'PKM display'!A91</f>
        <v>Work</v>
      </c>
      <c r="O10" s="179">
        <f>'PKM display'!B91/1000000000</f>
        <v>21.336198042177855</v>
      </c>
      <c r="P10" s="179">
        <f>'PKM display'!C91/1000000000</f>
        <v>19.497622298836827</v>
      </c>
      <c r="Q10" s="179">
        <f>'PKM display'!D91/1000000000</f>
        <v>17.659046555495795</v>
      </c>
      <c r="R10" s="179">
        <f>'PKM display'!E91/1000000000</f>
        <v>15.820470812154761</v>
      </c>
      <c r="S10" s="179">
        <f>'PKM display'!F91/1000000000</f>
        <v>12.212433391061648</v>
      </c>
      <c r="T10" s="179">
        <f>'PKM display'!G91/1000000000</f>
        <v>18.622699272893982</v>
      </c>
      <c r="U10" s="179">
        <f>'PKM display'!H91/1000000000</f>
        <v>20.975130679834464</v>
      </c>
      <c r="V10" s="179">
        <f>'PKM display'!I91/1000000000</f>
        <v>23.32756208677495</v>
      </c>
      <c r="W10" s="179">
        <f>'PKM display'!J91/1000000000</f>
        <v>22.040086448913968</v>
      </c>
      <c r="X10" s="179">
        <f>'PKM display'!K91/1000000000</f>
        <v>20.752610811052982</v>
      </c>
      <c r="Y10" s="179">
        <f>'PKM display'!L91/1000000000</f>
        <v>19.465135173191996</v>
      </c>
      <c r="AN10" s="27" t="s">
        <v>37</v>
      </c>
      <c r="AO10" s="28">
        <v>7.4784899000000002E-2</v>
      </c>
      <c r="AP10" s="28">
        <v>7.8543231299999988E-2</v>
      </c>
      <c r="AQ10" s="28">
        <v>0.14800024559999997</v>
      </c>
      <c r="AR10" s="28">
        <v>1.0088400000000001E-2</v>
      </c>
      <c r="AS10" s="28">
        <v>4.334089757195863</v>
      </c>
      <c r="AT10" s="28">
        <v>2.9023797168608E-3</v>
      </c>
      <c r="AU10" s="28">
        <v>1.4382653926591235E-2</v>
      </c>
      <c r="AV10" s="28">
        <v>2.4047220794319286</v>
      </c>
      <c r="AW10" s="28">
        <v>7.3792736555170814E-4</v>
      </c>
    </row>
    <row r="11" spans="1:49" x14ac:dyDescent="0.25">
      <c r="N11" s="149"/>
      <c r="O11" s="185">
        <f>SUM(Table909224[2009])</f>
        <v>60.806057854928561</v>
      </c>
      <c r="P11" s="185">
        <f>SUM(Table909224[2010])</f>
        <v>57.798687500837886</v>
      </c>
      <c r="Q11" s="185">
        <f>SUM(Table909224[2011])</f>
        <v>54.791317146747204</v>
      </c>
      <c r="R11" s="185">
        <f>SUM(Table909224[2012])</f>
        <v>51.783946792656522</v>
      </c>
      <c r="S11" s="185">
        <f>SUM(Table909224[2013])</f>
        <v>56.24118358789417</v>
      </c>
      <c r="T11" s="185">
        <f>SUM(Table909224[2014])</f>
        <v>57.840068037989383</v>
      </c>
      <c r="U11" s="185">
        <f>SUM(Table909224[2015])</f>
        <v>60.337862812473141</v>
      </c>
      <c r="V11" s="185">
        <f>SUM(Table909224[2016])</f>
        <v>62.835657586956899</v>
      </c>
      <c r="W11" s="185">
        <f>SUM(Table909224[2017])</f>
        <v>63.779195156144603</v>
      </c>
      <c r="X11" s="185">
        <f>SUM(Table909224[2018])</f>
        <v>64.722732725332293</v>
      </c>
      <c r="Y11" s="185">
        <f>SUM(Table909224[2019])</f>
        <v>65.66627029451999</v>
      </c>
      <c r="AN11" s="27" t="s">
        <v>38</v>
      </c>
      <c r="AO11" s="28">
        <v>8.0316433099999987E-2</v>
      </c>
      <c r="AP11" s="28">
        <v>7.5111207299999996E-2</v>
      </c>
      <c r="AQ11" s="28">
        <v>0.14722426999999999</v>
      </c>
      <c r="AR11" s="28">
        <v>9.1686000000000024E-3</v>
      </c>
      <c r="AS11" s="28">
        <v>4.3015810316626277</v>
      </c>
      <c r="AT11" s="28">
        <v>4.0962115140112006E-3</v>
      </c>
      <c r="AU11" s="28">
        <v>1.876562345062428E-2</v>
      </c>
      <c r="AV11" s="28">
        <v>2.1055372051477352</v>
      </c>
      <c r="AW11" s="28">
        <v>2.0480527886288752E-3</v>
      </c>
    </row>
  </sheetData>
  <pageMargins left="0.7" right="0.7" top="0.75" bottom="0.75" header="0.3" footer="0.3"/>
  <drawing r:id="rId2"/>
  <legacyDrawing r:id="rId3"/>
  <tableParts count="2">
    <tablePart r:id="rId4"/>
    <tablePart r:id="rId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9709F-52DC-4545-9352-898BBFD1EB87}">
  <dimension ref="A1:L126"/>
  <sheetViews>
    <sheetView tabSelected="1" workbookViewId="0">
      <selection activeCell="A112" sqref="A112"/>
    </sheetView>
  </sheetViews>
  <sheetFormatPr defaultRowHeight="15" x14ac:dyDescent="0.25"/>
  <cols>
    <col min="1" max="1" width="49" bestFit="1" customWidth="1"/>
    <col min="2" max="2" width="7.140625" customWidth="1"/>
    <col min="3" max="3" width="12" bestFit="1" customWidth="1"/>
    <col min="4" max="4" width="11" customWidth="1"/>
    <col min="5" max="20" width="12" bestFit="1" customWidth="1"/>
    <col min="21" max="21" width="14.7109375" bestFit="1" customWidth="1"/>
    <col min="22" max="22" width="13.140625" bestFit="1" customWidth="1"/>
    <col min="23" max="30" width="12" bestFit="1" customWidth="1"/>
    <col min="31" max="31" width="16.28515625" bestFit="1" customWidth="1"/>
    <col min="32" max="32" width="12" bestFit="1" customWidth="1"/>
  </cols>
  <sheetData>
    <row r="1" spans="1:12" x14ac:dyDescent="0.25">
      <c r="A1" s="186" t="s">
        <v>333</v>
      </c>
      <c r="B1" s="175" t="s">
        <v>128</v>
      </c>
      <c r="C1" s="175" t="s">
        <v>30</v>
      </c>
      <c r="D1" s="175" t="s">
        <v>31</v>
      </c>
      <c r="E1" s="175" t="s">
        <v>32</v>
      </c>
      <c r="F1" s="175" t="s">
        <v>33</v>
      </c>
      <c r="G1" s="175" t="s">
        <v>34</v>
      </c>
      <c r="H1" s="175" t="s">
        <v>35</v>
      </c>
      <c r="I1" s="175" t="s">
        <v>36</v>
      </c>
      <c r="J1" s="175" t="s">
        <v>37</v>
      </c>
      <c r="K1" s="175" t="s">
        <v>38</v>
      </c>
      <c r="L1" s="175" t="s">
        <v>39</v>
      </c>
    </row>
    <row r="2" spans="1:12" x14ac:dyDescent="0.25">
      <c r="A2" s="116" t="s">
        <v>71</v>
      </c>
      <c r="B2" s="175"/>
      <c r="C2" s="125">
        <v>0.19205066638313437</v>
      </c>
      <c r="D2" s="125">
        <v>0.24455226516966905</v>
      </c>
      <c r="E2" s="125">
        <v>0.23438941388434686</v>
      </c>
      <c r="F2" s="125">
        <v>0.18118810691693052</v>
      </c>
      <c r="G2" s="125">
        <v>0.15852974656979837</v>
      </c>
      <c r="H2" s="125">
        <v>0.15801837259176768</v>
      </c>
      <c r="I2" s="125">
        <v>0.23997643464610205</v>
      </c>
      <c r="J2" s="125">
        <v>0.23484348441371855</v>
      </c>
      <c r="K2" s="125">
        <v>0.13633977091949151</v>
      </c>
      <c r="L2" s="125"/>
    </row>
    <row r="3" spans="1:12" x14ac:dyDescent="0.25">
      <c r="A3" s="116" t="s">
        <v>73</v>
      </c>
      <c r="B3" s="175"/>
      <c r="C3" s="125">
        <v>3.9227390699476585E-3</v>
      </c>
      <c r="D3" s="125">
        <v>5.1380593886718859E-3</v>
      </c>
      <c r="E3" s="125">
        <v>4.7624097902314207E-3</v>
      </c>
      <c r="F3" s="125">
        <v>3.5341394850977345E-3</v>
      </c>
      <c r="G3" s="125">
        <v>2.9677142807025929E-3</v>
      </c>
      <c r="H3" s="125">
        <v>2.9387173800923729E-3</v>
      </c>
      <c r="I3" s="125">
        <v>3.9771242235488403E-3</v>
      </c>
      <c r="J3" s="125">
        <v>3.7788655406060458E-3</v>
      </c>
      <c r="K3" s="125">
        <v>2.2708689310150291E-3</v>
      </c>
      <c r="L3" s="125">
        <v>0</v>
      </c>
    </row>
    <row r="4" spans="1:12" x14ac:dyDescent="0.25">
      <c r="A4" s="116" t="s">
        <v>72</v>
      </c>
      <c r="B4" s="175"/>
      <c r="C4" s="125">
        <v>7.1514550736738085E-3</v>
      </c>
      <c r="D4" s="125">
        <v>7.0334288517306985E-3</v>
      </c>
      <c r="E4" s="125">
        <v>7.3255179974178438E-3</v>
      </c>
      <c r="F4" s="125">
        <v>6.0067354158318586E-3</v>
      </c>
      <c r="G4" s="125">
        <v>4.8497208751252484E-3</v>
      </c>
      <c r="H4" s="125">
        <v>5.9123190178078985E-3</v>
      </c>
      <c r="I4" s="125">
        <v>9.903159992274084E-3</v>
      </c>
      <c r="J4" s="125">
        <v>8.3633648017353637E-3</v>
      </c>
      <c r="K4" s="125">
        <v>5.661122883667935E-3</v>
      </c>
      <c r="L4" s="175"/>
    </row>
    <row r="5" spans="1:12" x14ac:dyDescent="0.25">
      <c r="A5" s="119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</row>
    <row r="6" spans="1:12" x14ac:dyDescent="0.25">
      <c r="A6" s="115" t="s">
        <v>334</v>
      </c>
      <c r="B6" s="175" t="s">
        <v>128</v>
      </c>
      <c r="C6" s="175" t="s">
        <v>30</v>
      </c>
      <c r="D6" s="175" t="s">
        <v>31</v>
      </c>
      <c r="E6" s="175" t="s">
        <v>32</v>
      </c>
      <c r="F6" s="175" t="s">
        <v>33</v>
      </c>
      <c r="G6" s="175" t="s">
        <v>34</v>
      </c>
      <c r="H6" s="175" t="s">
        <v>35</v>
      </c>
      <c r="I6" s="175" t="s">
        <v>36</v>
      </c>
      <c r="J6" s="175" t="s">
        <v>37</v>
      </c>
      <c r="K6" s="175" t="s">
        <v>38</v>
      </c>
      <c r="L6" s="175" t="s">
        <v>39</v>
      </c>
    </row>
    <row r="7" spans="1:12" x14ac:dyDescent="0.25">
      <c r="A7" s="116" t="s">
        <v>71</v>
      </c>
      <c r="B7" s="175"/>
      <c r="C7" s="123">
        <v>0.25850326391698458</v>
      </c>
      <c r="D7" s="123">
        <v>0.32623685364191429</v>
      </c>
      <c r="E7" s="123">
        <v>0.31612134874739406</v>
      </c>
      <c r="F7" s="123">
        <v>0.24219898883241253</v>
      </c>
      <c r="G7" s="123">
        <v>0.22148072105280942</v>
      </c>
      <c r="H7" s="123">
        <v>0.22339859388841232</v>
      </c>
      <c r="I7" s="123">
        <v>0.33006571097547677</v>
      </c>
      <c r="J7" s="123">
        <v>0.31821073267470468</v>
      </c>
      <c r="K7" s="123">
        <v>0.1723579536383795</v>
      </c>
      <c r="L7" s="175"/>
    </row>
    <row r="8" spans="1:12" x14ac:dyDescent="0.25">
      <c r="A8" s="116" t="s">
        <v>73</v>
      </c>
      <c r="B8" s="175"/>
      <c r="C8" s="122">
        <v>5.8927902342816941E-3</v>
      </c>
      <c r="D8" s="122">
        <v>7.3264836618121189E-3</v>
      </c>
      <c r="E8" s="122">
        <v>6.2754047775470624E-3</v>
      </c>
      <c r="F8" s="122">
        <v>4.7045336150414894E-3</v>
      </c>
      <c r="G8" s="122">
        <v>4.4921944845969872E-3</v>
      </c>
      <c r="H8" s="122">
        <v>4.6109398661078743E-3</v>
      </c>
      <c r="I8" s="122">
        <v>6.3699488205263182E-3</v>
      </c>
      <c r="J8" s="122">
        <v>5.7630586832147761E-3</v>
      </c>
      <c r="K8" s="122">
        <v>3.0498984858395922E-3</v>
      </c>
      <c r="L8" s="175"/>
    </row>
    <row r="9" spans="1:12" x14ac:dyDescent="0.25">
      <c r="A9" s="116" t="s">
        <v>72</v>
      </c>
      <c r="B9" s="175"/>
      <c r="C9" s="122">
        <v>3.1614763120950897E-3</v>
      </c>
      <c r="D9" s="122">
        <v>3.8558069563548562E-3</v>
      </c>
      <c r="E9" s="122">
        <v>4.3815153522790608E-3</v>
      </c>
      <c r="F9" s="122">
        <v>4.6808757592187228E-3</v>
      </c>
      <c r="G9" s="122">
        <v>3.7905064419315711E-3</v>
      </c>
      <c r="H9" s="122">
        <v>4.083017273624358E-3</v>
      </c>
      <c r="I9" s="122">
        <v>5.838931448116356E-3</v>
      </c>
      <c r="J9" s="122">
        <v>5.4453727206855828E-3</v>
      </c>
      <c r="K9" s="122">
        <v>4.3129516839175812E-3</v>
      </c>
      <c r="L9" s="175"/>
    </row>
    <row r="10" spans="1:12" x14ac:dyDescent="0.25">
      <c r="A10" s="119"/>
      <c r="B10" s="175"/>
      <c r="C10" s="175"/>
      <c r="D10" s="175"/>
      <c r="E10" s="175"/>
      <c r="F10" s="175"/>
      <c r="G10" s="175"/>
      <c r="H10" s="175"/>
      <c r="I10" s="175"/>
      <c r="J10" s="175"/>
      <c r="K10" s="175"/>
      <c r="L10" s="175"/>
    </row>
    <row r="11" spans="1:12" x14ac:dyDescent="0.25">
      <c r="A11" s="115" t="s">
        <v>335</v>
      </c>
      <c r="B11" s="175" t="s">
        <v>128</v>
      </c>
      <c r="C11" s="175" t="s">
        <v>30</v>
      </c>
      <c r="D11" s="175" t="s">
        <v>31</v>
      </c>
      <c r="E11" s="175" t="s">
        <v>32</v>
      </c>
      <c r="F11" s="175" t="s">
        <v>33</v>
      </c>
      <c r="G11" s="175" t="s">
        <v>34</v>
      </c>
      <c r="H11" s="175" t="s">
        <v>35</v>
      </c>
      <c r="I11" s="175" t="s">
        <v>36</v>
      </c>
      <c r="J11" s="175" t="s">
        <v>37</v>
      </c>
      <c r="K11" s="175" t="s">
        <v>38</v>
      </c>
      <c r="L11" s="175" t="s">
        <v>39</v>
      </c>
    </row>
    <row r="12" spans="1:12" x14ac:dyDescent="0.25">
      <c r="A12" s="116" t="s">
        <v>71</v>
      </c>
      <c r="B12" s="175"/>
      <c r="C12" s="175">
        <v>0.19126102357840383</v>
      </c>
      <c r="D12" s="175">
        <v>0.20054282501786244</v>
      </c>
      <c r="E12" s="175">
        <v>0.19700517782762375</v>
      </c>
      <c r="F12" s="175">
        <v>0.19380349568786306</v>
      </c>
      <c r="G12" s="175">
        <v>0.18040999622225093</v>
      </c>
      <c r="H12" s="175">
        <v>0.17845637377259116</v>
      </c>
      <c r="I12" s="175">
        <v>0.18275954151330215</v>
      </c>
      <c r="J12" s="175">
        <v>0.19102219683525407</v>
      </c>
      <c r="K12" s="175">
        <v>0.19711457734743229</v>
      </c>
      <c r="L12" s="175"/>
    </row>
    <row r="13" spans="1:12" x14ac:dyDescent="0.25">
      <c r="A13" s="116" t="s">
        <v>73</v>
      </c>
      <c r="B13" s="175"/>
      <c r="C13" s="175">
        <v>2.6965341736268522E-2</v>
      </c>
      <c r="D13" s="175">
        <v>2.7835326983047318E-2</v>
      </c>
      <c r="E13" s="175">
        <v>2.6518263945615583E-2</v>
      </c>
      <c r="F13" s="175">
        <v>2.5353450655396723E-2</v>
      </c>
      <c r="G13" s="175">
        <v>2.4611245568039054E-2</v>
      </c>
      <c r="H13" s="175">
        <v>2.4966904779768498E-2</v>
      </c>
      <c r="I13" s="175">
        <v>2.6134614436402206E-2</v>
      </c>
      <c r="J13" s="175">
        <v>2.7634544475500088E-2</v>
      </c>
      <c r="K13" s="175">
        <v>2.7963280108547074E-2</v>
      </c>
      <c r="L13" s="175"/>
    </row>
    <row r="14" spans="1:12" x14ac:dyDescent="0.25">
      <c r="A14" s="116" t="s">
        <v>72</v>
      </c>
      <c r="B14" s="175"/>
      <c r="C14" s="175">
        <v>7.6340236878933709E-3</v>
      </c>
      <c r="D14" s="175">
        <v>4.6249466371832467E-3</v>
      </c>
      <c r="E14" s="175">
        <v>4.3692408784782606E-3</v>
      </c>
      <c r="F14" s="175">
        <v>4.5979986781821171E-3</v>
      </c>
      <c r="G14" s="175">
        <v>3.6525523457867142E-3</v>
      </c>
      <c r="H14" s="175">
        <v>3.4846253116444458E-3</v>
      </c>
      <c r="I14" s="175">
        <v>3.706312380339694E-3</v>
      </c>
      <c r="J14" s="175">
        <v>3.7506641387743951E-3</v>
      </c>
      <c r="K14" s="175">
        <v>3.9821126736855009E-3</v>
      </c>
      <c r="L14" s="175"/>
    </row>
    <row r="15" spans="1:12" x14ac:dyDescent="0.25">
      <c r="A15" s="119"/>
      <c r="B15" s="175"/>
      <c r="C15" s="175"/>
      <c r="D15" s="175"/>
      <c r="E15" s="175"/>
      <c r="F15" s="175"/>
      <c r="G15" s="175"/>
      <c r="H15" s="175"/>
      <c r="I15" s="175"/>
      <c r="J15" s="175"/>
      <c r="K15" s="175"/>
      <c r="L15" s="175"/>
    </row>
    <row r="16" spans="1:12" x14ac:dyDescent="0.25">
      <c r="A16" s="115" t="s">
        <v>336</v>
      </c>
      <c r="B16" s="175" t="s">
        <v>128</v>
      </c>
      <c r="C16" s="175" t="s">
        <v>30</v>
      </c>
      <c r="D16" s="175" t="s">
        <v>31</v>
      </c>
      <c r="E16" s="175" t="s">
        <v>32</v>
      </c>
      <c r="F16" s="175" t="s">
        <v>33</v>
      </c>
      <c r="G16" s="175" t="s">
        <v>34</v>
      </c>
      <c r="H16" s="175" t="s">
        <v>35</v>
      </c>
      <c r="I16" s="175" t="s">
        <v>36</v>
      </c>
      <c r="J16" s="175" t="s">
        <v>37</v>
      </c>
      <c r="K16" s="175" t="s">
        <v>38</v>
      </c>
      <c r="L16" s="175" t="s">
        <v>39</v>
      </c>
    </row>
    <row r="17" spans="1:12" x14ac:dyDescent="0.25">
      <c r="A17" s="116" t="s">
        <v>73</v>
      </c>
      <c r="B17" s="175"/>
      <c r="C17" s="124">
        <v>6.3948667945802923E-2</v>
      </c>
      <c r="D17" s="124">
        <v>4.8536221853257955E-2</v>
      </c>
      <c r="E17" s="124">
        <v>4.9566030973423839E-2</v>
      </c>
      <c r="F17" s="124">
        <v>4.8089568829012129E-2</v>
      </c>
      <c r="G17" s="124">
        <v>4.344915821120221E-2</v>
      </c>
      <c r="H17" s="124">
        <v>4.5685192965419404E-2</v>
      </c>
      <c r="I17" s="124">
        <v>5.1455445468428444E-2</v>
      </c>
      <c r="J17" s="124">
        <v>4.5401529252382451E-2</v>
      </c>
      <c r="K17" s="124">
        <v>4.2393418009712684E-2</v>
      </c>
      <c r="L17" s="175"/>
    </row>
    <row r="18" spans="1:12" s="175" customFormat="1" x14ac:dyDescent="0.25">
      <c r="A18" s="116"/>
      <c r="C18" s="124"/>
      <c r="D18" s="124"/>
      <c r="E18" s="124"/>
      <c r="F18" s="124"/>
      <c r="G18" s="124"/>
      <c r="H18" s="124"/>
      <c r="I18" s="124"/>
      <c r="J18" s="124"/>
      <c r="K18" s="124"/>
    </row>
    <row r="19" spans="1:12" x14ac:dyDescent="0.25">
      <c r="A19" s="116" t="s">
        <v>476</v>
      </c>
      <c r="B19" t="s">
        <v>63</v>
      </c>
      <c r="C19" t="s">
        <v>199</v>
      </c>
      <c r="D19" t="s">
        <v>477</v>
      </c>
    </row>
    <row r="20" spans="1:12" x14ac:dyDescent="0.25">
      <c r="A20" t="s">
        <v>472</v>
      </c>
      <c r="B20" s="120">
        <v>2010</v>
      </c>
      <c r="C20" s="116" t="s">
        <v>71</v>
      </c>
      <c r="D20" s="125">
        <v>0.19205066638313437</v>
      </c>
    </row>
    <row r="21" spans="1:12" x14ac:dyDescent="0.25">
      <c r="A21" s="175" t="s">
        <v>472</v>
      </c>
      <c r="B21" s="120" t="s">
        <v>31</v>
      </c>
      <c r="C21" s="116" t="s">
        <v>71</v>
      </c>
      <c r="D21" s="125">
        <v>0.24455226516966905</v>
      </c>
    </row>
    <row r="22" spans="1:12" x14ac:dyDescent="0.25">
      <c r="A22" s="175" t="s">
        <v>472</v>
      </c>
      <c r="B22" s="120" t="s">
        <v>32</v>
      </c>
      <c r="C22" s="116" t="s">
        <v>71</v>
      </c>
      <c r="D22" s="125">
        <v>0.23438941388434686</v>
      </c>
    </row>
    <row r="23" spans="1:12" x14ac:dyDescent="0.25">
      <c r="A23" s="175" t="s">
        <v>472</v>
      </c>
      <c r="B23" s="120" t="s">
        <v>33</v>
      </c>
      <c r="C23" s="116" t="s">
        <v>71</v>
      </c>
      <c r="D23" s="125">
        <v>0.18118810691693052</v>
      </c>
    </row>
    <row r="24" spans="1:12" x14ac:dyDescent="0.25">
      <c r="A24" s="175" t="s">
        <v>472</v>
      </c>
      <c r="B24" s="120" t="s">
        <v>34</v>
      </c>
      <c r="C24" s="116" t="s">
        <v>71</v>
      </c>
      <c r="D24" s="125">
        <v>0.15852974656979837</v>
      </c>
    </row>
    <row r="25" spans="1:12" x14ac:dyDescent="0.25">
      <c r="A25" s="175" t="s">
        <v>472</v>
      </c>
      <c r="B25" s="120" t="s">
        <v>35</v>
      </c>
      <c r="C25" s="116" t="s">
        <v>71</v>
      </c>
      <c r="D25" s="125">
        <v>0.15801837259176768</v>
      </c>
    </row>
    <row r="26" spans="1:12" x14ac:dyDescent="0.25">
      <c r="A26" s="175" t="s">
        <v>472</v>
      </c>
      <c r="B26" s="120" t="s">
        <v>36</v>
      </c>
      <c r="C26" s="116" t="s">
        <v>71</v>
      </c>
      <c r="D26" s="125">
        <v>0.23997643464610205</v>
      </c>
    </row>
    <row r="27" spans="1:12" x14ac:dyDescent="0.25">
      <c r="A27" s="175" t="s">
        <v>472</v>
      </c>
      <c r="B27" s="120" t="s">
        <v>37</v>
      </c>
      <c r="C27" s="116" t="s">
        <v>71</v>
      </c>
      <c r="D27" s="125">
        <v>0.23484348441371855</v>
      </c>
    </row>
    <row r="28" spans="1:12" x14ac:dyDescent="0.25">
      <c r="A28" s="175" t="s">
        <v>472</v>
      </c>
      <c r="B28" s="120" t="s">
        <v>38</v>
      </c>
      <c r="C28" s="116" t="s">
        <v>71</v>
      </c>
      <c r="D28" s="125">
        <v>0.13633977091949151</v>
      </c>
    </row>
    <row r="29" spans="1:12" x14ac:dyDescent="0.25">
      <c r="A29" s="175" t="s">
        <v>472</v>
      </c>
      <c r="B29" s="120">
        <v>2010</v>
      </c>
      <c r="C29" s="116" t="s">
        <v>73</v>
      </c>
      <c r="D29" s="125">
        <v>3.9227390699476585E-3</v>
      </c>
    </row>
    <row r="30" spans="1:12" x14ac:dyDescent="0.25">
      <c r="A30" s="175" t="s">
        <v>472</v>
      </c>
      <c r="B30" s="120" t="s">
        <v>31</v>
      </c>
      <c r="C30" s="116" t="s">
        <v>73</v>
      </c>
      <c r="D30" s="125">
        <v>5.1380593886718859E-3</v>
      </c>
    </row>
    <row r="31" spans="1:12" x14ac:dyDescent="0.25">
      <c r="A31" s="175" t="s">
        <v>472</v>
      </c>
      <c r="B31" s="120" t="s">
        <v>32</v>
      </c>
      <c r="C31" s="116" t="s">
        <v>73</v>
      </c>
      <c r="D31" s="125">
        <v>4.7624097902314207E-3</v>
      </c>
    </row>
    <row r="32" spans="1:12" x14ac:dyDescent="0.25">
      <c r="A32" s="175" t="s">
        <v>472</v>
      </c>
      <c r="B32" s="120" t="s">
        <v>33</v>
      </c>
      <c r="C32" s="116" t="s">
        <v>73</v>
      </c>
      <c r="D32" s="125">
        <v>3.5341394850977345E-3</v>
      </c>
    </row>
    <row r="33" spans="1:4" x14ac:dyDescent="0.25">
      <c r="A33" s="175" t="s">
        <v>472</v>
      </c>
      <c r="B33" s="120" t="s">
        <v>34</v>
      </c>
      <c r="C33" s="116" t="s">
        <v>73</v>
      </c>
      <c r="D33" s="125">
        <v>2.9677142807025929E-3</v>
      </c>
    </row>
    <row r="34" spans="1:4" x14ac:dyDescent="0.25">
      <c r="A34" s="175" t="s">
        <v>472</v>
      </c>
      <c r="B34" s="120" t="s">
        <v>35</v>
      </c>
      <c r="C34" s="116" t="s">
        <v>73</v>
      </c>
      <c r="D34" s="125">
        <v>2.9387173800923729E-3</v>
      </c>
    </row>
    <row r="35" spans="1:4" x14ac:dyDescent="0.25">
      <c r="A35" s="175" t="s">
        <v>472</v>
      </c>
      <c r="B35" s="120" t="s">
        <v>36</v>
      </c>
      <c r="C35" s="116" t="s">
        <v>73</v>
      </c>
      <c r="D35" s="125">
        <v>3.9771242235488403E-3</v>
      </c>
    </row>
    <row r="36" spans="1:4" x14ac:dyDescent="0.25">
      <c r="A36" s="175" t="s">
        <v>472</v>
      </c>
      <c r="B36" s="120" t="s">
        <v>37</v>
      </c>
      <c r="C36" s="116" t="s">
        <v>73</v>
      </c>
      <c r="D36" s="125">
        <v>3.7788655406060458E-3</v>
      </c>
    </row>
    <row r="37" spans="1:4" x14ac:dyDescent="0.25">
      <c r="A37" s="175" t="s">
        <v>472</v>
      </c>
      <c r="B37" s="120" t="s">
        <v>38</v>
      </c>
      <c r="C37" s="116" t="s">
        <v>73</v>
      </c>
      <c r="D37" s="125">
        <v>2.2708689310150291E-3</v>
      </c>
    </row>
    <row r="38" spans="1:4" x14ac:dyDescent="0.25">
      <c r="A38" s="175" t="s">
        <v>472</v>
      </c>
      <c r="B38" s="120">
        <v>2010</v>
      </c>
      <c r="C38" s="116" t="s">
        <v>72</v>
      </c>
      <c r="D38" s="125">
        <v>7.1514550736738085E-3</v>
      </c>
    </row>
    <row r="39" spans="1:4" x14ac:dyDescent="0.25">
      <c r="A39" s="175" t="s">
        <v>472</v>
      </c>
      <c r="B39" s="120" t="s">
        <v>31</v>
      </c>
      <c r="C39" s="116" t="s">
        <v>72</v>
      </c>
      <c r="D39" s="125">
        <v>7.0334288517306985E-3</v>
      </c>
    </row>
    <row r="40" spans="1:4" x14ac:dyDescent="0.25">
      <c r="A40" s="175" t="s">
        <v>472</v>
      </c>
      <c r="B40" s="120" t="s">
        <v>32</v>
      </c>
      <c r="C40" s="116" t="s">
        <v>72</v>
      </c>
      <c r="D40" s="125">
        <v>7.3255179974178438E-3</v>
      </c>
    </row>
    <row r="41" spans="1:4" x14ac:dyDescent="0.25">
      <c r="A41" s="175" t="s">
        <v>472</v>
      </c>
      <c r="B41" s="120" t="s">
        <v>33</v>
      </c>
      <c r="C41" s="116" t="s">
        <v>72</v>
      </c>
      <c r="D41" s="125">
        <v>6.0067354158318586E-3</v>
      </c>
    </row>
    <row r="42" spans="1:4" x14ac:dyDescent="0.25">
      <c r="A42" s="175" t="s">
        <v>472</v>
      </c>
      <c r="B42" s="120" t="s">
        <v>34</v>
      </c>
      <c r="C42" s="116" t="s">
        <v>72</v>
      </c>
      <c r="D42" s="125">
        <v>4.8497208751252484E-3</v>
      </c>
    </row>
    <row r="43" spans="1:4" x14ac:dyDescent="0.25">
      <c r="A43" s="175" t="s">
        <v>472</v>
      </c>
      <c r="B43" s="120" t="s">
        <v>35</v>
      </c>
      <c r="C43" s="116" t="s">
        <v>72</v>
      </c>
      <c r="D43" s="125">
        <v>5.9123190178078985E-3</v>
      </c>
    </row>
    <row r="44" spans="1:4" x14ac:dyDescent="0.25">
      <c r="A44" s="175" t="s">
        <v>472</v>
      </c>
      <c r="B44" s="120" t="s">
        <v>36</v>
      </c>
      <c r="C44" s="116" t="s">
        <v>72</v>
      </c>
      <c r="D44" s="125">
        <v>9.903159992274084E-3</v>
      </c>
    </row>
    <row r="45" spans="1:4" x14ac:dyDescent="0.25">
      <c r="A45" s="175" t="s">
        <v>472</v>
      </c>
      <c r="B45" s="120" t="s">
        <v>37</v>
      </c>
      <c r="C45" s="116" t="s">
        <v>72</v>
      </c>
      <c r="D45" s="125">
        <v>8.3633648017353637E-3</v>
      </c>
    </row>
    <row r="46" spans="1:4" x14ac:dyDescent="0.25">
      <c r="A46" s="175" t="s">
        <v>472</v>
      </c>
      <c r="B46" s="120" t="s">
        <v>38</v>
      </c>
      <c r="C46" s="116" t="s">
        <v>72</v>
      </c>
      <c r="D46" s="125">
        <v>5.661122883667935E-3</v>
      </c>
    </row>
    <row r="47" spans="1:4" x14ac:dyDescent="0.25">
      <c r="A47" s="175" t="s">
        <v>473</v>
      </c>
      <c r="B47" s="120">
        <v>2010</v>
      </c>
      <c r="C47" s="116" t="s">
        <v>71</v>
      </c>
      <c r="D47" s="123">
        <v>0.25850326391698458</v>
      </c>
    </row>
    <row r="48" spans="1:4" x14ac:dyDescent="0.25">
      <c r="A48" s="175" t="s">
        <v>473</v>
      </c>
      <c r="B48" s="120" t="s">
        <v>31</v>
      </c>
      <c r="C48" s="116" t="s">
        <v>71</v>
      </c>
      <c r="D48" s="123">
        <v>0.32623685364191429</v>
      </c>
    </row>
    <row r="49" spans="1:4" x14ac:dyDescent="0.25">
      <c r="A49" s="175" t="s">
        <v>473</v>
      </c>
      <c r="B49" s="120" t="s">
        <v>32</v>
      </c>
      <c r="C49" s="116" t="s">
        <v>71</v>
      </c>
      <c r="D49" s="123">
        <v>0.31612134874739406</v>
      </c>
    </row>
    <row r="50" spans="1:4" x14ac:dyDescent="0.25">
      <c r="A50" s="175" t="s">
        <v>473</v>
      </c>
      <c r="B50" s="120" t="s">
        <v>33</v>
      </c>
      <c r="C50" s="116" t="s">
        <v>71</v>
      </c>
      <c r="D50" s="123">
        <v>0.24219898883241253</v>
      </c>
    </row>
    <row r="51" spans="1:4" x14ac:dyDescent="0.25">
      <c r="A51" s="175" t="s">
        <v>473</v>
      </c>
      <c r="B51" s="120" t="s">
        <v>34</v>
      </c>
      <c r="C51" s="116" t="s">
        <v>71</v>
      </c>
      <c r="D51" s="123">
        <v>0.22148072105280942</v>
      </c>
    </row>
    <row r="52" spans="1:4" x14ac:dyDescent="0.25">
      <c r="A52" s="175" t="s">
        <v>473</v>
      </c>
      <c r="B52" s="120" t="s">
        <v>35</v>
      </c>
      <c r="C52" s="116" t="s">
        <v>71</v>
      </c>
      <c r="D52" s="123">
        <v>0.22339859388841232</v>
      </c>
    </row>
    <row r="53" spans="1:4" x14ac:dyDescent="0.25">
      <c r="A53" s="175" t="s">
        <v>473</v>
      </c>
      <c r="B53" s="120" t="s">
        <v>36</v>
      </c>
      <c r="C53" s="116" t="s">
        <v>71</v>
      </c>
      <c r="D53" s="123">
        <v>0.33006571097547677</v>
      </c>
    </row>
    <row r="54" spans="1:4" x14ac:dyDescent="0.25">
      <c r="A54" s="175" t="s">
        <v>473</v>
      </c>
      <c r="B54" s="120" t="s">
        <v>37</v>
      </c>
      <c r="C54" s="116" t="s">
        <v>71</v>
      </c>
      <c r="D54" s="123">
        <v>0.31821073267470468</v>
      </c>
    </row>
    <row r="55" spans="1:4" x14ac:dyDescent="0.25">
      <c r="A55" s="175" t="s">
        <v>473</v>
      </c>
      <c r="B55" s="120" t="s">
        <v>38</v>
      </c>
      <c r="C55" s="116" t="s">
        <v>71</v>
      </c>
      <c r="D55" s="123">
        <v>0.1723579536383795</v>
      </c>
    </row>
    <row r="56" spans="1:4" x14ac:dyDescent="0.25">
      <c r="A56" s="175" t="s">
        <v>473</v>
      </c>
      <c r="B56" s="120">
        <v>2010</v>
      </c>
      <c r="C56" s="116" t="s">
        <v>73</v>
      </c>
      <c r="D56" s="122">
        <v>5.8927902342816941E-3</v>
      </c>
    </row>
    <row r="57" spans="1:4" x14ac:dyDescent="0.25">
      <c r="A57" s="175" t="s">
        <v>473</v>
      </c>
      <c r="B57" s="120" t="s">
        <v>31</v>
      </c>
      <c r="C57" s="116" t="s">
        <v>73</v>
      </c>
      <c r="D57" s="122">
        <v>7.3264836618121189E-3</v>
      </c>
    </row>
    <row r="58" spans="1:4" x14ac:dyDescent="0.25">
      <c r="A58" s="175" t="s">
        <v>473</v>
      </c>
      <c r="B58" s="120" t="s">
        <v>32</v>
      </c>
      <c r="C58" s="116" t="s">
        <v>73</v>
      </c>
      <c r="D58" s="122">
        <v>6.2754047775470624E-3</v>
      </c>
    </row>
    <row r="59" spans="1:4" x14ac:dyDescent="0.25">
      <c r="A59" s="175" t="s">
        <v>473</v>
      </c>
      <c r="B59" s="120" t="s">
        <v>33</v>
      </c>
      <c r="C59" s="116" t="s">
        <v>73</v>
      </c>
      <c r="D59" s="122">
        <v>4.7045336150414894E-3</v>
      </c>
    </row>
    <row r="60" spans="1:4" x14ac:dyDescent="0.25">
      <c r="A60" s="175" t="s">
        <v>473</v>
      </c>
      <c r="B60" s="120" t="s">
        <v>34</v>
      </c>
      <c r="C60" s="116" t="s">
        <v>73</v>
      </c>
      <c r="D60" s="122">
        <v>4.4921944845969872E-3</v>
      </c>
    </row>
    <row r="61" spans="1:4" x14ac:dyDescent="0.25">
      <c r="A61" s="175" t="s">
        <v>473</v>
      </c>
      <c r="B61" s="120" t="s">
        <v>35</v>
      </c>
      <c r="C61" s="116" t="s">
        <v>73</v>
      </c>
      <c r="D61" s="122">
        <v>4.6109398661078743E-3</v>
      </c>
    </row>
    <row r="62" spans="1:4" x14ac:dyDescent="0.25">
      <c r="A62" s="175" t="s">
        <v>473</v>
      </c>
      <c r="B62" s="120" t="s">
        <v>36</v>
      </c>
      <c r="C62" s="116" t="s">
        <v>73</v>
      </c>
      <c r="D62" s="122">
        <v>6.3699488205263182E-3</v>
      </c>
    </row>
    <row r="63" spans="1:4" x14ac:dyDescent="0.25">
      <c r="A63" s="175" t="s">
        <v>473</v>
      </c>
      <c r="B63" s="120" t="s">
        <v>37</v>
      </c>
      <c r="C63" s="116" t="s">
        <v>73</v>
      </c>
      <c r="D63" s="122">
        <v>5.7630586832147761E-3</v>
      </c>
    </row>
    <row r="64" spans="1:4" x14ac:dyDescent="0.25">
      <c r="A64" s="175" t="s">
        <v>473</v>
      </c>
      <c r="B64" s="120" t="s">
        <v>38</v>
      </c>
      <c r="C64" s="116" t="s">
        <v>73</v>
      </c>
      <c r="D64" s="122">
        <v>3.0498984858395922E-3</v>
      </c>
    </row>
    <row r="65" spans="1:4" x14ac:dyDescent="0.25">
      <c r="A65" s="175" t="s">
        <v>473</v>
      </c>
      <c r="B65" s="120">
        <v>2010</v>
      </c>
      <c r="C65" s="116" t="s">
        <v>72</v>
      </c>
      <c r="D65" s="122">
        <v>3.1614763120950897E-3</v>
      </c>
    </row>
    <row r="66" spans="1:4" x14ac:dyDescent="0.25">
      <c r="A66" s="175" t="s">
        <v>473</v>
      </c>
      <c r="B66" s="120" t="s">
        <v>31</v>
      </c>
      <c r="C66" s="116" t="s">
        <v>72</v>
      </c>
      <c r="D66" s="122">
        <v>3.8558069563548562E-3</v>
      </c>
    </row>
    <row r="67" spans="1:4" x14ac:dyDescent="0.25">
      <c r="A67" s="175" t="s">
        <v>473</v>
      </c>
      <c r="B67" s="120" t="s">
        <v>32</v>
      </c>
      <c r="C67" s="116" t="s">
        <v>72</v>
      </c>
      <c r="D67" s="122">
        <v>4.3815153522790608E-3</v>
      </c>
    </row>
    <row r="68" spans="1:4" x14ac:dyDescent="0.25">
      <c r="A68" s="175" t="s">
        <v>473</v>
      </c>
      <c r="B68" s="120" t="s">
        <v>33</v>
      </c>
      <c r="C68" s="116" t="s">
        <v>72</v>
      </c>
      <c r="D68" s="122">
        <v>4.6808757592187228E-3</v>
      </c>
    </row>
    <row r="69" spans="1:4" x14ac:dyDescent="0.25">
      <c r="A69" s="175" t="s">
        <v>473</v>
      </c>
      <c r="B69" s="120" t="s">
        <v>34</v>
      </c>
      <c r="C69" s="116" t="s">
        <v>72</v>
      </c>
      <c r="D69" s="122">
        <v>3.7905064419315711E-3</v>
      </c>
    </row>
    <row r="70" spans="1:4" x14ac:dyDescent="0.25">
      <c r="A70" s="175" t="s">
        <v>473</v>
      </c>
      <c r="B70" s="120" t="s">
        <v>35</v>
      </c>
      <c r="C70" s="116" t="s">
        <v>72</v>
      </c>
      <c r="D70" s="122">
        <v>4.083017273624358E-3</v>
      </c>
    </row>
    <row r="71" spans="1:4" x14ac:dyDescent="0.25">
      <c r="A71" s="175" t="s">
        <v>473</v>
      </c>
      <c r="B71" s="120" t="s">
        <v>36</v>
      </c>
      <c r="C71" s="116" t="s">
        <v>72</v>
      </c>
      <c r="D71" s="122">
        <v>5.838931448116356E-3</v>
      </c>
    </row>
    <row r="72" spans="1:4" x14ac:dyDescent="0.25">
      <c r="A72" s="175" t="s">
        <v>473</v>
      </c>
      <c r="B72" s="120" t="s">
        <v>37</v>
      </c>
      <c r="C72" s="116" t="s">
        <v>72</v>
      </c>
      <c r="D72" s="122">
        <v>5.4453727206855828E-3</v>
      </c>
    </row>
    <row r="73" spans="1:4" x14ac:dyDescent="0.25">
      <c r="A73" s="175" t="s">
        <v>473</v>
      </c>
      <c r="B73" s="120" t="s">
        <v>38</v>
      </c>
      <c r="C73" s="116" t="s">
        <v>72</v>
      </c>
      <c r="D73" s="122">
        <v>4.3129516839175812E-3</v>
      </c>
    </row>
    <row r="74" spans="1:4" x14ac:dyDescent="0.25">
      <c r="A74" t="s">
        <v>474</v>
      </c>
      <c r="B74" s="120">
        <v>2010</v>
      </c>
      <c r="C74" s="116" t="s">
        <v>71</v>
      </c>
      <c r="D74" s="175">
        <v>0.19126102357840383</v>
      </c>
    </row>
    <row r="75" spans="1:4" x14ac:dyDescent="0.25">
      <c r="A75" s="175" t="s">
        <v>474</v>
      </c>
      <c r="B75" s="120" t="s">
        <v>31</v>
      </c>
      <c r="C75" s="116" t="s">
        <v>71</v>
      </c>
      <c r="D75" s="175">
        <v>0.20054282501786244</v>
      </c>
    </row>
    <row r="76" spans="1:4" x14ac:dyDescent="0.25">
      <c r="A76" s="175" t="s">
        <v>474</v>
      </c>
      <c r="B76" s="120" t="s">
        <v>32</v>
      </c>
      <c r="C76" s="116" t="s">
        <v>71</v>
      </c>
      <c r="D76" s="175">
        <v>0.19700517782762375</v>
      </c>
    </row>
    <row r="77" spans="1:4" x14ac:dyDescent="0.25">
      <c r="A77" s="175" t="s">
        <v>474</v>
      </c>
      <c r="B77" s="120" t="s">
        <v>33</v>
      </c>
      <c r="C77" s="116" t="s">
        <v>71</v>
      </c>
      <c r="D77" s="175">
        <v>0.19380349568786306</v>
      </c>
    </row>
    <row r="78" spans="1:4" x14ac:dyDescent="0.25">
      <c r="A78" s="175" t="s">
        <v>474</v>
      </c>
      <c r="B78" s="120" t="s">
        <v>34</v>
      </c>
      <c r="C78" s="116" t="s">
        <v>71</v>
      </c>
      <c r="D78" s="175">
        <v>0.18040999622225093</v>
      </c>
    </row>
    <row r="79" spans="1:4" x14ac:dyDescent="0.25">
      <c r="A79" s="175" t="s">
        <v>474</v>
      </c>
      <c r="B79" s="120" t="s">
        <v>35</v>
      </c>
      <c r="C79" s="116" t="s">
        <v>71</v>
      </c>
      <c r="D79" s="175">
        <v>0.17845637377259116</v>
      </c>
    </row>
    <row r="80" spans="1:4" x14ac:dyDescent="0.25">
      <c r="A80" s="175" t="s">
        <v>474</v>
      </c>
      <c r="B80" s="120" t="s">
        <v>36</v>
      </c>
      <c r="C80" s="116" t="s">
        <v>71</v>
      </c>
      <c r="D80" s="175">
        <v>0.18275954151330215</v>
      </c>
    </row>
    <row r="81" spans="1:4" x14ac:dyDescent="0.25">
      <c r="A81" s="175" t="s">
        <v>474</v>
      </c>
      <c r="B81" s="120" t="s">
        <v>37</v>
      </c>
      <c r="C81" s="116" t="s">
        <v>71</v>
      </c>
      <c r="D81" s="175">
        <v>0.19102219683525407</v>
      </c>
    </row>
    <row r="82" spans="1:4" x14ac:dyDescent="0.25">
      <c r="A82" s="175" t="s">
        <v>474</v>
      </c>
      <c r="B82" s="120" t="s">
        <v>38</v>
      </c>
      <c r="C82" s="116" t="s">
        <v>71</v>
      </c>
      <c r="D82" s="175">
        <v>0.19711457734743229</v>
      </c>
    </row>
    <row r="83" spans="1:4" x14ac:dyDescent="0.25">
      <c r="A83" s="175" t="s">
        <v>474</v>
      </c>
      <c r="B83" s="120">
        <v>2010</v>
      </c>
      <c r="C83" s="116" t="s">
        <v>73</v>
      </c>
      <c r="D83" s="175">
        <v>2.6965341736268522E-2</v>
      </c>
    </row>
    <row r="84" spans="1:4" x14ac:dyDescent="0.25">
      <c r="A84" s="175" t="s">
        <v>474</v>
      </c>
      <c r="B84" s="120" t="s">
        <v>31</v>
      </c>
      <c r="C84" s="116" t="s">
        <v>73</v>
      </c>
      <c r="D84" s="175">
        <v>2.7835326983047318E-2</v>
      </c>
    </row>
    <row r="85" spans="1:4" x14ac:dyDescent="0.25">
      <c r="A85" s="175" t="s">
        <v>474</v>
      </c>
      <c r="B85" s="120" t="s">
        <v>32</v>
      </c>
      <c r="C85" s="116" t="s">
        <v>73</v>
      </c>
      <c r="D85" s="175">
        <v>2.6518263945615583E-2</v>
      </c>
    </row>
    <row r="86" spans="1:4" x14ac:dyDescent="0.25">
      <c r="A86" s="175" t="s">
        <v>474</v>
      </c>
      <c r="B86" s="120" t="s">
        <v>33</v>
      </c>
      <c r="C86" s="116" t="s">
        <v>73</v>
      </c>
      <c r="D86" s="175">
        <v>2.5353450655396723E-2</v>
      </c>
    </row>
    <row r="87" spans="1:4" x14ac:dyDescent="0.25">
      <c r="A87" s="175" t="s">
        <v>474</v>
      </c>
      <c r="B87" s="120" t="s">
        <v>34</v>
      </c>
      <c r="C87" s="116" t="s">
        <v>73</v>
      </c>
      <c r="D87" s="175">
        <v>2.4611245568039054E-2</v>
      </c>
    </row>
    <row r="88" spans="1:4" x14ac:dyDescent="0.25">
      <c r="A88" s="175" t="s">
        <v>474</v>
      </c>
      <c r="B88" s="120" t="s">
        <v>35</v>
      </c>
      <c r="C88" s="116" t="s">
        <v>73</v>
      </c>
      <c r="D88" s="175">
        <v>2.4966904779768498E-2</v>
      </c>
    </row>
    <row r="89" spans="1:4" x14ac:dyDescent="0.25">
      <c r="A89" s="175" t="s">
        <v>474</v>
      </c>
      <c r="B89" s="120" t="s">
        <v>36</v>
      </c>
      <c r="C89" s="116" t="s">
        <v>73</v>
      </c>
      <c r="D89" s="175">
        <v>2.6134614436402206E-2</v>
      </c>
    </row>
    <row r="90" spans="1:4" x14ac:dyDescent="0.25">
      <c r="A90" s="175" t="s">
        <v>474</v>
      </c>
      <c r="B90" s="120" t="s">
        <v>37</v>
      </c>
      <c r="C90" s="116" t="s">
        <v>73</v>
      </c>
      <c r="D90" s="175">
        <v>2.7634544475500088E-2</v>
      </c>
    </row>
    <row r="91" spans="1:4" x14ac:dyDescent="0.25">
      <c r="A91" s="175" t="s">
        <v>474</v>
      </c>
      <c r="B91" s="120" t="s">
        <v>38</v>
      </c>
      <c r="C91" s="116" t="s">
        <v>73</v>
      </c>
      <c r="D91" s="175">
        <v>2.7963280108547074E-2</v>
      </c>
    </row>
    <row r="92" spans="1:4" x14ac:dyDescent="0.25">
      <c r="A92" s="175" t="s">
        <v>474</v>
      </c>
      <c r="B92" s="120">
        <v>2010</v>
      </c>
      <c r="C92" s="116" t="s">
        <v>72</v>
      </c>
      <c r="D92" s="175">
        <v>7.6340236878933709E-3</v>
      </c>
    </row>
    <row r="93" spans="1:4" x14ac:dyDescent="0.25">
      <c r="A93" s="175" t="s">
        <v>474</v>
      </c>
      <c r="B93" s="120" t="s">
        <v>31</v>
      </c>
      <c r="C93" s="116" t="s">
        <v>72</v>
      </c>
      <c r="D93" s="175">
        <v>4.6249466371832467E-3</v>
      </c>
    </row>
    <row r="94" spans="1:4" x14ac:dyDescent="0.25">
      <c r="A94" s="175" t="s">
        <v>474</v>
      </c>
      <c r="B94" s="120" t="s">
        <v>32</v>
      </c>
      <c r="C94" s="116" t="s">
        <v>72</v>
      </c>
      <c r="D94" s="175">
        <v>4.3692408784782606E-3</v>
      </c>
    </row>
    <row r="95" spans="1:4" x14ac:dyDescent="0.25">
      <c r="A95" s="175" t="s">
        <v>474</v>
      </c>
      <c r="B95" s="120" t="s">
        <v>33</v>
      </c>
      <c r="C95" s="116" t="s">
        <v>72</v>
      </c>
      <c r="D95" s="175">
        <v>4.5979986781821171E-3</v>
      </c>
    </row>
    <row r="96" spans="1:4" x14ac:dyDescent="0.25">
      <c r="A96" s="175" t="s">
        <v>474</v>
      </c>
      <c r="B96" s="120" t="s">
        <v>34</v>
      </c>
      <c r="C96" s="116" t="s">
        <v>72</v>
      </c>
      <c r="D96" s="175">
        <v>3.6525523457867142E-3</v>
      </c>
    </row>
    <row r="97" spans="1:4" x14ac:dyDescent="0.25">
      <c r="A97" s="175" t="s">
        <v>474</v>
      </c>
      <c r="B97" s="120" t="s">
        <v>35</v>
      </c>
      <c r="C97" s="116" t="s">
        <v>72</v>
      </c>
      <c r="D97" s="175">
        <v>3.4846253116444458E-3</v>
      </c>
    </row>
    <row r="98" spans="1:4" x14ac:dyDescent="0.25">
      <c r="A98" s="175" t="s">
        <v>474</v>
      </c>
      <c r="B98" s="120" t="s">
        <v>36</v>
      </c>
      <c r="C98" s="116" t="s">
        <v>72</v>
      </c>
      <c r="D98" s="175">
        <v>3.706312380339694E-3</v>
      </c>
    </row>
    <row r="99" spans="1:4" x14ac:dyDescent="0.25">
      <c r="A99" s="175" t="s">
        <v>474</v>
      </c>
      <c r="B99" s="120" t="s">
        <v>37</v>
      </c>
      <c r="C99" s="116" t="s">
        <v>72</v>
      </c>
      <c r="D99" s="175">
        <v>3.7506641387743951E-3</v>
      </c>
    </row>
    <row r="100" spans="1:4" x14ac:dyDescent="0.25">
      <c r="A100" s="175" t="s">
        <v>474</v>
      </c>
      <c r="B100" s="120" t="s">
        <v>38</v>
      </c>
      <c r="C100" s="116" t="s">
        <v>72</v>
      </c>
      <c r="D100" s="175">
        <v>3.9821126736855009E-3</v>
      </c>
    </row>
    <row r="101" spans="1:4" x14ac:dyDescent="0.25">
      <c r="A101" s="175" t="s">
        <v>475</v>
      </c>
      <c r="B101" s="120">
        <v>2010</v>
      </c>
      <c r="C101" s="116" t="s">
        <v>73</v>
      </c>
      <c r="D101" s="124">
        <v>6.3948667945802923E-2</v>
      </c>
    </row>
    <row r="102" spans="1:4" x14ac:dyDescent="0.25">
      <c r="A102" s="175" t="s">
        <v>475</v>
      </c>
      <c r="B102" s="120" t="s">
        <v>31</v>
      </c>
      <c r="C102" s="116" t="s">
        <v>73</v>
      </c>
      <c r="D102" s="124">
        <v>4.8536221853257955E-2</v>
      </c>
    </row>
    <row r="103" spans="1:4" x14ac:dyDescent="0.25">
      <c r="A103" s="175" t="s">
        <v>475</v>
      </c>
      <c r="B103" s="120" t="s">
        <v>32</v>
      </c>
      <c r="C103" s="116" t="s">
        <v>73</v>
      </c>
      <c r="D103" s="124">
        <v>4.9566030973423839E-2</v>
      </c>
    </row>
    <row r="104" spans="1:4" x14ac:dyDescent="0.25">
      <c r="A104" s="175" t="s">
        <v>475</v>
      </c>
      <c r="B104" s="120" t="s">
        <v>33</v>
      </c>
      <c r="C104" s="116" t="s">
        <v>73</v>
      </c>
      <c r="D104" s="124">
        <v>4.8089568829012129E-2</v>
      </c>
    </row>
    <row r="105" spans="1:4" x14ac:dyDescent="0.25">
      <c r="A105" s="175" t="s">
        <v>475</v>
      </c>
      <c r="B105" s="120" t="s">
        <v>34</v>
      </c>
      <c r="C105" s="116" t="s">
        <v>73</v>
      </c>
      <c r="D105" s="124">
        <v>4.344915821120221E-2</v>
      </c>
    </row>
    <row r="106" spans="1:4" x14ac:dyDescent="0.25">
      <c r="A106" s="175" t="s">
        <v>475</v>
      </c>
      <c r="B106" s="120" t="s">
        <v>35</v>
      </c>
      <c r="C106" s="116" t="s">
        <v>73</v>
      </c>
      <c r="D106" s="124">
        <v>4.5685192965419404E-2</v>
      </c>
    </row>
    <row r="107" spans="1:4" x14ac:dyDescent="0.25">
      <c r="A107" s="175" t="s">
        <v>475</v>
      </c>
      <c r="B107" s="120" t="s">
        <v>36</v>
      </c>
      <c r="C107" s="116" t="s">
        <v>73</v>
      </c>
      <c r="D107" s="124">
        <v>5.1455445468428444E-2</v>
      </c>
    </row>
    <row r="108" spans="1:4" x14ac:dyDescent="0.25">
      <c r="A108" s="175" t="s">
        <v>475</v>
      </c>
      <c r="B108" s="120" t="s">
        <v>37</v>
      </c>
      <c r="C108" s="116" t="s">
        <v>73</v>
      </c>
      <c r="D108" s="124">
        <v>4.5401529252382451E-2</v>
      </c>
    </row>
    <row r="109" spans="1:4" x14ac:dyDescent="0.25">
      <c r="A109" s="175" t="s">
        <v>475</v>
      </c>
      <c r="B109" s="120" t="s">
        <v>38</v>
      </c>
      <c r="C109" s="116" t="s">
        <v>73</v>
      </c>
      <c r="D109" s="124">
        <v>4.2393418009712684E-2</v>
      </c>
    </row>
    <row r="112" spans="1:4" x14ac:dyDescent="0.25">
      <c r="A112" s="26" t="s">
        <v>478</v>
      </c>
      <c r="B112" s="26" t="s">
        <v>84</v>
      </c>
    </row>
    <row r="113" spans="1:10" x14ac:dyDescent="0.25">
      <c r="A113" s="26" t="s">
        <v>81</v>
      </c>
      <c r="B113" s="175">
        <v>2010</v>
      </c>
      <c r="C113" s="175" t="s">
        <v>31</v>
      </c>
      <c r="D113" s="175" t="s">
        <v>32</v>
      </c>
      <c r="E113" s="175" t="s">
        <v>33</v>
      </c>
      <c r="F113" s="175" t="s">
        <v>34</v>
      </c>
      <c r="G113" s="175" t="s">
        <v>35</v>
      </c>
      <c r="H113" s="175" t="s">
        <v>36</v>
      </c>
      <c r="I113" s="175" t="s">
        <v>37</v>
      </c>
      <c r="J113" s="175" t="s">
        <v>38</v>
      </c>
    </row>
    <row r="114" spans="1:10" x14ac:dyDescent="0.25">
      <c r="A114" s="27" t="s">
        <v>71</v>
      </c>
      <c r="B114" s="10">
        <v>0.64181495387852272</v>
      </c>
      <c r="C114" s="10">
        <v>0.77133194382944581</v>
      </c>
      <c r="D114" s="10">
        <v>0.74751594045936465</v>
      </c>
      <c r="E114" s="10">
        <v>0.61719059143720612</v>
      </c>
      <c r="F114" s="10">
        <v>0.56042046384485877</v>
      </c>
      <c r="G114" s="10">
        <v>0.55987334025277113</v>
      </c>
      <c r="H114" s="10">
        <v>0.75280168713488105</v>
      </c>
      <c r="I114" s="10">
        <v>0.74407641392367729</v>
      </c>
      <c r="J114" s="10">
        <v>0.50581230190530335</v>
      </c>
    </row>
    <row r="115" spans="1:10" x14ac:dyDescent="0.25">
      <c r="A115" s="110" t="s">
        <v>473</v>
      </c>
      <c r="B115" s="10">
        <v>0.25850326391698458</v>
      </c>
      <c r="C115" s="10">
        <v>0.32623685364191429</v>
      </c>
      <c r="D115" s="10">
        <v>0.31612134874739406</v>
      </c>
      <c r="E115" s="10">
        <v>0.24219898883241253</v>
      </c>
      <c r="F115" s="10">
        <v>0.22148072105280942</v>
      </c>
      <c r="G115" s="10">
        <v>0.22339859388841232</v>
      </c>
      <c r="H115" s="10">
        <v>0.33006571097547677</v>
      </c>
      <c r="I115" s="10">
        <v>0.31821073267470468</v>
      </c>
      <c r="J115" s="10">
        <v>0.1723579536383795</v>
      </c>
    </row>
    <row r="116" spans="1:10" x14ac:dyDescent="0.25">
      <c r="A116" s="110" t="s">
        <v>472</v>
      </c>
      <c r="B116" s="10">
        <v>0.19205066638313437</v>
      </c>
      <c r="C116" s="10">
        <v>0.24455226516966905</v>
      </c>
      <c r="D116" s="10">
        <v>0.23438941388434686</v>
      </c>
      <c r="E116" s="10">
        <v>0.18118810691693052</v>
      </c>
      <c r="F116" s="10">
        <v>0.15852974656979837</v>
      </c>
      <c r="G116" s="10">
        <v>0.15801837259176768</v>
      </c>
      <c r="H116" s="10">
        <v>0.23997643464610205</v>
      </c>
      <c r="I116" s="10">
        <v>0.23484348441371855</v>
      </c>
      <c r="J116" s="10">
        <v>0.13633977091949151</v>
      </c>
    </row>
    <row r="117" spans="1:10" x14ac:dyDescent="0.25">
      <c r="A117" s="110" t="s">
        <v>474</v>
      </c>
      <c r="B117" s="10">
        <v>0.19126102357840383</v>
      </c>
      <c r="C117" s="10">
        <v>0.20054282501786244</v>
      </c>
      <c r="D117" s="10">
        <v>0.19700517782762375</v>
      </c>
      <c r="E117" s="10">
        <v>0.19380349568786306</v>
      </c>
      <c r="F117" s="10">
        <v>0.18040999622225093</v>
      </c>
      <c r="G117" s="10">
        <v>0.17845637377259116</v>
      </c>
      <c r="H117" s="10">
        <v>0.18275954151330215</v>
      </c>
      <c r="I117" s="10">
        <v>0.19102219683525407</v>
      </c>
      <c r="J117" s="10">
        <v>0.19711457734743229</v>
      </c>
    </row>
    <row r="118" spans="1:10" x14ac:dyDescent="0.25">
      <c r="A118" s="27" t="s">
        <v>73</v>
      </c>
      <c r="B118" s="10">
        <v>0.1007295389863008</v>
      </c>
      <c r="C118" s="10">
        <v>8.8836091886789273E-2</v>
      </c>
      <c r="D118" s="10">
        <v>8.7122109486817909E-2</v>
      </c>
      <c r="E118" s="10">
        <v>8.1681692584548077E-2</v>
      </c>
      <c r="F118" s="10">
        <v>7.5520312544540835E-2</v>
      </c>
      <c r="G118" s="10">
        <v>7.820175499138815E-2</v>
      </c>
      <c r="H118" s="10">
        <v>8.7937132948905816E-2</v>
      </c>
      <c r="I118" s="10">
        <v>8.2577997951703369E-2</v>
      </c>
      <c r="J118" s="10">
        <v>7.5677465535114369E-2</v>
      </c>
    </row>
    <row r="119" spans="1:10" x14ac:dyDescent="0.25">
      <c r="A119" s="110" t="s">
        <v>473</v>
      </c>
      <c r="B119" s="10">
        <v>5.8927902342816941E-3</v>
      </c>
      <c r="C119" s="10">
        <v>7.3264836618121189E-3</v>
      </c>
      <c r="D119" s="10">
        <v>6.2754047775470624E-3</v>
      </c>
      <c r="E119" s="10">
        <v>4.7045336150414894E-3</v>
      </c>
      <c r="F119" s="10">
        <v>4.4921944845969872E-3</v>
      </c>
      <c r="G119" s="10">
        <v>4.6109398661078743E-3</v>
      </c>
      <c r="H119" s="10">
        <v>6.3699488205263182E-3</v>
      </c>
      <c r="I119" s="10">
        <v>5.7630586832147761E-3</v>
      </c>
      <c r="J119" s="10">
        <v>3.0498984858395922E-3</v>
      </c>
    </row>
    <row r="120" spans="1:10" x14ac:dyDescent="0.25">
      <c r="A120" s="110" t="s">
        <v>472</v>
      </c>
      <c r="B120" s="10">
        <v>3.9227390699476585E-3</v>
      </c>
      <c r="C120" s="10">
        <v>5.1380593886718859E-3</v>
      </c>
      <c r="D120" s="10">
        <v>4.7624097902314207E-3</v>
      </c>
      <c r="E120" s="10">
        <v>3.5341394850977345E-3</v>
      </c>
      <c r="F120" s="10">
        <v>2.9677142807025929E-3</v>
      </c>
      <c r="G120" s="10">
        <v>2.9387173800923729E-3</v>
      </c>
      <c r="H120" s="10">
        <v>3.9771242235488403E-3</v>
      </c>
      <c r="I120" s="10">
        <v>3.7788655406060458E-3</v>
      </c>
      <c r="J120" s="10">
        <v>2.2708689310150291E-3</v>
      </c>
    </row>
    <row r="121" spans="1:10" x14ac:dyDescent="0.25">
      <c r="A121" s="110" t="s">
        <v>474</v>
      </c>
      <c r="B121" s="10">
        <v>2.6965341736268522E-2</v>
      </c>
      <c r="C121" s="10">
        <v>2.7835326983047318E-2</v>
      </c>
      <c r="D121" s="10">
        <v>2.6518263945615583E-2</v>
      </c>
      <c r="E121" s="10">
        <v>2.5353450655396723E-2</v>
      </c>
      <c r="F121" s="10">
        <v>2.4611245568039054E-2</v>
      </c>
      <c r="G121" s="10">
        <v>2.4966904779768498E-2</v>
      </c>
      <c r="H121" s="10">
        <v>2.6134614436402206E-2</v>
      </c>
      <c r="I121" s="10">
        <v>2.7634544475500088E-2</v>
      </c>
      <c r="J121" s="10">
        <v>2.7963280108547074E-2</v>
      </c>
    </row>
    <row r="122" spans="1:10" x14ac:dyDescent="0.25">
      <c r="A122" s="110" t="s">
        <v>475</v>
      </c>
      <c r="B122" s="10">
        <v>6.3948667945802923E-2</v>
      </c>
      <c r="C122" s="10">
        <v>4.8536221853257955E-2</v>
      </c>
      <c r="D122" s="10">
        <v>4.9566030973423839E-2</v>
      </c>
      <c r="E122" s="10">
        <v>4.8089568829012129E-2</v>
      </c>
      <c r="F122" s="10">
        <v>4.344915821120221E-2</v>
      </c>
      <c r="G122" s="10">
        <v>4.5685192965419404E-2</v>
      </c>
      <c r="H122" s="10">
        <v>5.1455445468428444E-2</v>
      </c>
      <c r="I122" s="10">
        <v>4.5401529252382451E-2</v>
      </c>
      <c r="J122" s="10">
        <v>4.2393418009712684E-2</v>
      </c>
    </row>
    <row r="123" spans="1:10" x14ac:dyDescent="0.25">
      <c r="A123" s="27" t="s">
        <v>72</v>
      </c>
      <c r="B123" s="10">
        <v>1.7946955073662271E-2</v>
      </c>
      <c r="C123" s="10">
        <v>1.5514182445268801E-2</v>
      </c>
      <c r="D123" s="10">
        <v>1.6076274228175168E-2</v>
      </c>
      <c r="E123" s="10">
        <v>1.5285609853232698E-2</v>
      </c>
      <c r="F123" s="10">
        <v>1.2292779662843534E-2</v>
      </c>
      <c r="G123" s="10">
        <v>1.3479961603076704E-2</v>
      </c>
      <c r="H123" s="10">
        <v>1.9448403820730133E-2</v>
      </c>
      <c r="I123" s="10">
        <v>1.755940166119534E-2</v>
      </c>
      <c r="J123" s="10">
        <v>1.3956187241271017E-2</v>
      </c>
    </row>
    <row r="124" spans="1:10" x14ac:dyDescent="0.25">
      <c r="A124" s="110" t="s">
        <v>473</v>
      </c>
      <c r="B124" s="10">
        <v>3.1614763120950897E-3</v>
      </c>
      <c r="C124" s="10">
        <v>3.8558069563548562E-3</v>
      </c>
      <c r="D124" s="10">
        <v>4.3815153522790608E-3</v>
      </c>
      <c r="E124" s="10">
        <v>4.6808757592187228E-3</v>
      </c>
      <c r="F124" s="10">
        <v>3.7905064419315711E-3</v>
      </c>
      <c r="G124" s="10">
        <v>4.083017273624358E-3</v>
      </c>
      <c r="H124" s="10">
        <v>5.838931448116356E-3</v>
      </c>
      <c r="I124" s="10">
        <v>5.4453727206855828E-3</v>
      </c>
      <c r="J124" s="10">
        <v>4.3129516839175812E-3</v>
      </c>
    </row>
    <row r="125" spans="1:10" x14ac:dyDescent="0.25">
      <c r="A125" s="110" t="s">
        <v>472</v>
      </c>
      <c r="B125" s="10">
        <v>7.1514550736738085E-3</v>
      </c>
      <c r="C125" s="10">
        <v>7.0334288517306985E-3</v>
      </c>
      <c r="D125" s="10">
        <v>7.3255179974178438E-3</v>
      </c>
      <c r="E125" s="10">
        <v>6.0067354158318586E-3</v>
      </c>
      <c r="F125" s="10">
        <v>4.8497208751252484E-3</v>
      </c>
      <c r="G125" s="10">
        <v>5.9123190178078985E-3</v>
      </c>
      <c r="H125" s="10">
        <v>9.903159992274084E-3</v>
      </c>
      <c r="I125" s="10">
        <v>8.3633648017353637E-3</v>
      </c>
      <c r="J125" s="10">
        <v>5.661122883667935E-3</v>
      </c>
    </row>
    <row r="126" spans="1:10" x14ac:dyDescent="0.25">
      <c r="A126" s="110" t="s">
        <v>474</v>
      </c>
      <c r="B126" s="10">
        <v>7.6340236878933709E-3</v>
      </c>
      <c r="C126" s="10">
        <v>4.6249466371832467E-3</v>
      </c>
      <c r="D126" s="10">
        <v>4.3692408784782606E-3</v>
      </c>
      <c r="E126" s="10">
        <v>4.5979986781821171E-3</v>
      </c>
      <c r="F126" s="10">
        <v>3.6525523457867142E-3</v>
      </c>
      <c r="G126" s="10">
        <v>3.4846253116444458E-3</v>
      </c>
      <c r="H126" s="10">
        <v>3.706312380339694E-3</v>
      </c>
      <c r="I126" s="10">
        <v>3.7506641387743951E-3</v>
      </c>
      <c r="J126" s="10">
        <v>3.9821126736855009E-3</v>
      </c>
    </row>
  </sheetData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94B7-8945-4961-917B-67A07D672DDD}">
  <dimension ref="A1:K40"/>
  <sheetViews>
    <sheetView zoomScale="60" zoomScaleNormal="60" workbookViewId="0">
      <selection activeCell="A22" sqref="A22"/>
    </sheetView>
  </sheetViews>
  <sheetFormatPr defaultRowHeight="15" x14ac:dyDescent="0.25"/>
  <cols>
    <col min="1" max="1" width="32" bestFit="1" customWidth="1"/>
    <col min="2" max="2" width="24" bestFit="1" customWidth="1"/>
    <col min="3" max="5" width="18" bestFit="1" customWidth="1"/>
    <col min="6" max="6" width="16.5703125" bestFit="1" customWidth="1"/>
    <col min="7" max="11" width="18" bestFit="1" customWidth="1"/>
  </cols>
  <sheetData>
    <row r="1" spans="1:11" s="89" customFormat="1" x14ac:dyDescent="0.25">
      <c r="A1" s="190" t="s">
        <v>441</v>
      </c>
      <c r="B1" s="190"/>
      <c r="C1" s="190"/>
      <c r="D1" s="190"/>
      <c r="E1" s="190"/>
      <c r="F1" s="190"/>
    </row>
    <row r="2" spans="1:11" x14ac:dyDescent="0.25">
      <c r="A2" s="89" t="s">
        <v>199</v>
      </c>
      <c r="B2" s="89" t="s">
        <v>128</v>
      </c>
      <c r="C2" s="89" t="s">
        <v>30</v>
      </c>
      <c r="D2" s="89" t="s">
        <v>31</v>
      </c>
      <c r="E2" s="89" t="s">
        <v>32</v>
      </c>
      <c r="F2" s="89" t="s">
        <v>33</v>
      </c>
      <c r="G2" s="89" t="s">
        <v>34</v>
      </c>
      <c r="H2" s="89" t="s">
        <v>35</v>
      </c>
      <c r="I2" s="89" t="s">
        <v>36</v>
      </c>
      <c r="J2" s="89" t="s">
        <v>37</v>
      </c>
      <c r="K2" s="89" t="s">
        <v>38</v>
      </c>
    </row>
    <row r="3" spans="1:11" x14ac:dyDescent="0.25">
      <c r="A3" s="89" t="s">
        <v>75</v>
      </c>
      <c r="B3" s="35">
        <f>'PKM calculation Assumptions'!K64/'PKM calculation Assumptions'!$A$72</f>
        <v>22624.2664</v>
      </c>
      <c r="C3" s="35">
        <f>'PKM calculation Assumptions'!L64/'PKM calculation Assumptions'!$A$72</f>
        <v>20132.966506000001</v>
      </c>
      <c r="D3" s="35">
        <f>'PKM calculation Assumptions'!M64/'PKM calculation Assumptions'!$A$72</f>
        <v>18807.795150000002</v>
      </c>
      <c r="E3" s="35">
        <f>'PKM calculation Assumptions'!N64/'PKM calculation Assumptions'!$A$72</f>
        <v>15857.327208000001</v>
      </c>
      <c r="F3" s="35">
        <f>'PKM calculation Assumptions'!O64/'PKM calculation Assumptions'!$A$72</f>
        <v>16948.237773000001</v>
      </c>
      <c r="G3" s="35">
        <f>'PKM calculation Assumptions'!P64/'PKM calculation Assumptions'!$A$72</f>
        <v>15497.223549</v>
      </c>
      <c r="H3" s="35">
        <f>'PKM calculation Assumptions'!Q64/'PKM calculation Assumptions'!$A$72</f>
        <v>15142.086282</v>
      </c>
      <c r="I3" s="35">
        <f>'PKM calculation Assumptions'!R64/'PKM calculation Assumptions'!$A$72</f>
        <v>14318.726283</v>
      </c>
      <c r="J3" s="35">
        <f>'PKM calculation Assumptions'!S64/'PKM calculation Assumptions'!$A$72</f>
        <v>13271.978988000001</v>
      </c>
      <c r="K3" s="35">
        <f>'PKM calculation Assumptions'!T64/'PKM calculation Assumptions'!$A$72</f>
        <v>11710.674440999999</v>
      </c>
    </row>
    <row r="4" spans="1:11" x14ac:dyDescent="0.25">
      <c r="A4" s="89" t="s">
        <v>71</v>
      </c>
      <c r="B4" s="35">
        <f>'PKM calculation Assumptions'!K65/'PKM calculation Assumptions'!$A$72</f>
        <v>10175.367199</v>
      </c>
      <c r="C4" s="35">
        <f>'PKM calculation Assumptions'!L65/'PKM calculation Assumptions'!$A$72</f>
        <v>10959.399339</v>
      </c>
      <c r="D4" s="35">
        <f>'PKM calculation Assumptions'!M65/'PKM calculation Assumptions'!$A$72</f>
        <v>12526.350906</v>
      </c>
      <c r="E4" s="35">
        <f>'PKM calculation Assumptions'!N65/'PKM calculation Assumptions'!$A$72</f>
        <v>13541.022168</v>
      </c>
      <c r="F4" s="35">
        <f>'PKM calculation Assumptions'!O65/'PKM calculation Assumptions'!$A$72</f>
        <v>14752.242235</v>
      </c>
      <c r="G4" s="35">
        <f>'PKM calculation Assumptions'!P65/'PKM calculation Assumptions'!$A$72</f>
        <v>16684.732301</v>
      </c>
      <c r="H4" s="35">
        <f>'PKM calculation Assumptions'!Q65/'PKM calculation Assumptions'!$A$72</f>
        <v>19198.399205000002</v>
      </c>
      <c r="I4" s="35">
        <f>'PKM calculation Assumptions'!R65/'PKM calculation Assumptions'!$A$72</f>
        <v>21618.978317000001</v>
      </c>
      <c r="J4" s="35">
        <f>'PKM calculation Assumptions'!S65/'PKM calculation Assumptions'!$A$72</f>
        <v>23766.498565000002</v>
      </c>
      <c r="K4" s="35">
        <f>'PKM calculation Assumptions'!T65/'PKM calculation Assumptions'!$A$72</f>
        <v>23972.319491999999</v>
      </c>
    </row>
    <row r="5" spans="1:11" x14ac:dyDescent="0.25">
      <c r="A5" s="89" t="s">
        <v>350</v>
      </c>
      <c r="B5" s="35">
        <f>'PKM calculation Assumptions'!K66/'PKM calculation Assumptions'!$A$72</f>
        <v>73.842761999999993</v>
      </c>
      <c r="C5" s="35">
        <f>'PKM calculation Assumptions'!L66/'PKM calculation Assumptions'!$A$72</f>
        <v>90.235482000000005</v>
      </c>
      <c r="D5" s="35">
        <f>'PKM calculation Assumptions'!M66/'PKM calculation Assumptions'!$A$72</f>
        <v>101.220024</v>
      </c>
      <c r="E5" s="35">
        <f>'PKM calculation Assumptions'!N66/'PKM calculation Assumptions'!$A$72</f>
        <v>132.652109</v>
      </c>
      <c r="F5" s="35">
        <f>'PKM calculation Assumptions'!O66/'PKM calculation Assumptions'!$A$72</f>
        <v>116.713683</v>
      </c>
      <c r="G5" s="35">
        <f>'PKM calculation Assumptions'!P66/'PKM calculation Assumptions'!$A$72</f>
        <v>133.29391699999999</v>
      </c>
      <c r="H5" s="35">
        <f>'PKM calculation Assumptions'!Q66/'PKM calculation Assumptions'!$A$72</f>
        <v>162.70539299999999</v>
      </c>
      <c r="I5" s="35">
        <f>'PKM calculation Assumptions'!R66/'PKM calculation Assumptions'!$A$72</f>
        <v>202.00021799999999</v>
      </c>
      <c r="J5" s="35">
        <f>'PKM calculation Assumptions'!S66/'PKM calculation Assumptions'!$A$72</f>
        <v>298.864147</v>
      </c>
      <c r="K5" s="35">
        <f>'PKM calculation Assumptions'!T66/'PKM calculation Assumptions'!$A$72</f>
        <v>412.781948</v>
      </c>
    </row>
    <row r="6" spans="1:11" x14ac:dyDescent="0.25">
      <c r="A6" s="89" t="s">
        <v>351</v>
      </c>
      <c r="B6" s="35">
        <f>'PKM calculation Assumptions'!K67/'PKM calculation Assumptions'!$A$72</f>
        <v>0</v>
      </c>
      <c r="C6" s="35">
        <f>'PKM calculation Assumptions'!L67/'PKM calculation Assumptions'!$A$72</f>
        <v>0</v>
      </c>
      <c r="D6" s="35">
        <f>'PKM calculation Assumptions'!M67/'PKM calculation Assumptions'!$A$72</f>
        <v>0</v>
      </c>
      <c r="E6" s="35">
        <f>'PKM calculation Assumptions'!N67/'PKM calculation Assumptions'!$A$72</f>
        <v>0</v>
      </c>
      <c r="F6" s="35">
        <f>'PKM calculation Assumptions'!O67/'PKM calculation Assumptions'!$A$72</f>
        <v>0</v>
      </c>
      <c r="G6" s="35">
        <f>'PKM calculation Assumptions'!P67/'PKM calculation Assumptions'!$A$72</f>
        <v>0</v>
      </c>
      <c r="H6" s="35">
        <f>'PKM calculation Assumptions'!Q67/'PKM calculation Assumptions'!$A$72</f>
        <v>1.2038999999999999E-2</v>
      </c>
      <c r="I6" s="35">
        <f>'PKM calculation Assumptions'!R67/'PKM calculation Assumptions'!$A$72</f>
        <v>6.6016849999999998</v>
      </c>
      <c r="J6" s="35">
        <f>'PKM calculation Assumptions'!S67/'PKM calculation Assumptions'!$A$72</f>
        <v>12.692005999999999</v>
      </c>
      <c r="K6" s="35">
        <f>'PKM calculation Assumptions'!T67/'PKM calculation Assumptions'!$A$72</f>
        <v>37.824249999999999</v>
      </c>
    </row>
    <row r="7" spans="1:11" x14ac:dyDescent="0.25">
      <c r="A7" s="89" t="s">
        <v>352</v>
      </c>
      <c r="B7" s="35">
        <f>'PKM calculation Assumptions'!K68/'PKM calculation Assumptions'!$A$72</f>
        <v>0.23755399999999999</v>
      </c>
      <c r="C7" s="35">
        <f>'PKM calculation Assumptions'!L68/'PKM calculation Assumptions'!$A$72</f>
        <v>0.60609199999999996</v>
      </c>
      <c r="D7" s="35">
        <f>'PKM calculation Assumptions'!M68/'PKM calculation Assumptions'!$A$72</f>
        <v>1.370622</v>
      </c>
      <c r="E7" s="35">
        <f>'PKM calculation Assumptions'!N68/'PKM calculation Assumptions'!$A$72</f>
        <v>4.0546879999999996</v>
      </c>
      <c r="F7" s="35">
        <f>'PKM calculation Assumptions'!O68/'PKM calculation Assumptions'!$A$72</f>
        <v>4.1055029999999997</v>
      </c>
      <c r="G7" s="35">
        <f>'PKM calculation Assumptions'!P68/'PKM calculation Assumptions'!$A$72</f>
        <v>7.825666</v>
      </c>
      <c r="H7" s="35">
        <f>'PKM calculation Assumptions'!Q68/'PKM calculation Assumptions'!$A$72</f>
        <v>16.281442999999999</v>
      </c>
      <c r="I7" s="35">
        <f>'PKM calculation Assumptions'!R68/'PKM calculation Assumptions'!$A$72</f>
        <v>24.853197999999999</v>
      </c>
      <c r="J7" s="35">
        <f>'PKM calculation Assumptions'!S68/'PKM calculation Assumptions'!$A$72</f>
        <v>39.747301</v>
      </c>
      <c r="K7" s="35">
        <f>'PKM calculation Assumptions'!T68/'PKM calculation Assumptions'!$A$72</f>
        <v>61.724141000000003</v>
      </c>
    </row>
    <row r="8" spans="1:11" x14ac:dyDescent="0.25">
      <c r="A8" s="89" t="s">
        <v>4</v>
      </c>
      <c r="B8" s="35">
        <f>'PKM calculation Assumptions'!K69/'PKM calculation Assumptions'!$A$72</f>
        <v>32873.713915</v>
      </c>
      <c r="C8" s="35">
        <f>'PKM calculation Assumptions'!L69/'PKM calculation Assumptions'!$A$72</f>
        <v>31183.207418999998</v>
      </c>
      <c r="D8" s="35">
        <f>'PKM calculation Assumptions'!M69/'PKM calculation Assumptions'!$A$72</f>
        <v>31436.736701999998</v>
      </c>
      <c r="E8" s="35">
        <f>'PKM calculation Assumptions'!N69/'PKM calculation Assumptions'!$A$72</f>
        <v>29535.056173000001</v>
      </c>
      <c r="F8" s="35">
        <f>'PKM calculation Assumptions'!O69/'PKM calculation Assumptions'!$A$72</f>
        <v>31821.299193999999</v>
      </c>
      <c r="G8" s="35">
        <f>'PKM calculation Assumptions'!P69/'PKM calculation Assumptions'!$A$72</f>
        <v>32323.075433000002</v>
      </c>
      <c r="H8" s="35">
        <f>'PKM calculation Assumptions'!Q69/'PKM calculation Assumptions'!$A$72</f>
        <v>34519.484362000003</v>
      </c>
      <c r="I8" s="35">
        <f>'PKM calculation Assumptions'!R69/'PKM calculation Assumptions'!$A$72</f>
        <v>36171.159700999997</v>
      </c>
      <c r="J8" s="35">
        <f>'PKM calculation Assumptions'!S69/'PKM calculation Assumptions'!$A$72</f>
        <v>37389.781006999998</v>
      </c>
      <c r="K8" s="35">
        <f>'PKM calculation Assumptions'!T69/'PKM calculation Assumptions'!$A$72</f>
        <v>36195.324271999998</v>
      </c>
    </row>
    <row r="10" spans="1:11" ht="23.25" x14ac:dyDescent="0.25">
      <c r="A10" s="29" t="s">
        <v>151</v>
      </c>
      <c r="B10" s="80" t="s">
        <v>128</v>
      </c>
      <c r="C10" s="80" t="s">
        <v>32</v>
      </c>
      <c r="D10" s="81" t="s">
        <v>33</v>
      </c>
      <c r="E10" s="81" t="s">
        <v>34</v>
      </c>
      <c r="F10" s="81" t="s">
        <v>36</v>
      </c>
      <c r="G10" s="80" t="s">
        <v>39</v>
      </c>
    </row>
    <row r="11" spans="1:11" x14ac:dyDescent="0.25">
      <c r="A11" s="29" t="s">
        <v>444</v>
      </c>
      <c r="B11" s="152">
        <f>4521000/1000000</f>
        <v>4.5209999999999999</v>
      </c>
      <c r="C11" s="152">
        <f>4589000/1000000</f>
        <v>4.5890000000000004</v>
      </c>
      <c r="D11" s="152">
        <f>4610000/1000000</f>
        <v>4.6100000000000003</v>
      </c>
      <c r="E11" s="152">
        <f>4638000/1000000</f>
        <v>4.6379999999999999</v>
      </c>
      <c r="F11" s="152">
        <f>4726000/1000000</f>
        <v>4.726</v>
      </c>
      <c r="G11" s="152">
        <f>4904000/1000000</f>
        <v>4.9039999999999999</v>
      </c>
    </row>
    <row r="12" spans="1:11" x14ac:dyDescent="0.25">
      <c r="A12" s="43" t="s">
        <v>162</v>
      </c>
      <c r="B12" s="58">
        <v>2.4285714285714284</v>
      </c>
      <c r="C12" s="58">
        <v>1.8848160444474558</v>
      </c>
      <c r="D12" s="58">
        <v>1.8848160444474558</v>
      </c>
      <c r="E12" s="58">
        <v>1.7367559237141206</v>
      </c>
      <c r="F12" s="59">
        <v>1.7801759318037544</v>
      </c>
      <c r="G12" s="58">
        <v>3</v>
      </c>
    </row>
    <row r="13" spans="1:11" x14ac:dyDescent="0.25">
      <c r="A13" s="47" t="s">
        <v>442</v>
      </c>
      <c r="B13" s="65">
        <v>365</v>
      </c>
      <c r="C13" s="65">
        <v>366</v>
      </c>
      <c r="D13" s="65">
        <v>365</v>
      </c>
      <c r="E13" s="65">
        <v>365</v>
      </c>
      <c r="F13" s="65">
        <v>366</v>
      </c>
      <c r="G13" s="65">
        <v>365</v>
      </c>
    </row>
    <row r="14" spans="1:11" s="89" customFormat="1" x14ac:dyDescent="0.25">
      <c r="A14" s="47" t="s">
        <v>443</v>
      </c>
      <c r="B14" s="58">
        <f>Population[2009]*Total_Journeys_per_person_per_day[2009]*Number_of_days_per_year[2009]/1000000000</f>
        <v>4.0075435714285703</v>
      </c>
      <c r="C14" s="58">
        <f>Population[2012]*Total_Journeys_per_person_per_day[2012]*Number_of_days_per_year[2012]/1000000000</f>
        <v>3.165688023036791</v>
      </c>
      <c r="D14" s="58">
        <f>Population[2013]*Total_Journeys_per_person_per_day[2013]*Number_of_days_per_year[2013]/1000000000</f>
        <v>3.1714857171895119</v>
      </c>
      <c r="E14" s="58">
        <f>Population[2014]*Total_Journeys_per_person_per_day[2014]*Number_of_days_per_year[2014]/1000000000</f>
        <v>2.9401020005779235</v>
      </c>
      <c r="F14" s="58">
        <f>Population[2016]*Total_Journeys_per_person_per_day[2016]*Number_of_days_per_year[2016]/1000000000</f>
        <v>3.079198792055863</v>
      </c>
      <c r="G14" s="58">
        <f>Population[2019]*Total_Journeys_per_person_per_day[2019]*Number_of_days_per_year[2019]/1000000000</f>
        <v>5.3698800000000002</v>
      </c>
    </row>
    <row r="15" spans="1:11" x14ac:dyDescent="0.25">
      <c r="A15" s="57"/>
      <c r="B15" s="57"/>
      <c r="C15" s="57"/>
      <c r="D15" s="57"/>
      <c r="E15" s="57"/>
      <c r="F15" s="57"/>
      <c r="G15" s="57"/>
    </row>
    <row r="16" spans="1:11" ht="45.75" x14ac:dyDescent="0.25">
      <c r="A16" s="61" t="s">
        <v>175</v>
      </c>
      <c r="B16" s="80" t="s">
        <v>128</v>
      </c>
      <c r="C16" s="80" t="s">
        <v>32</v>
      </c>
      <c r="D16" s="81" t="s">
        <v>33</v>
      </c>
      <c r="E16" s="81" t="s">
        <v>34</v>
      </c>
      <c r="F16" s="81" t="s">
        <v>36</v>
      </c>
      <c r="G16" s="80" t="s">
        <v>39</v>
      </c>
    </row>
    <row r="17" spans="1:11" x14ac:dyDescent="0.25">
      <c r="A17" s="46" t="s">
        <v>187</v>
      </c>
      <c r="B17" s="65">
        <f>Population[2009]*Total_Journeys_per_person_per_day[2009]*Number_of_days_per_year[2009]</f>
        <v>4007543571.4285707</v>
      </c>
      <c r="C17" s="65">
        <f>Population[2012]*Total_Journeys_per_person_per_day[2012]*Number_of_days_per_year[2012]</f>
        <v>3165688023.0367908</v>
      </c>
      <c r="D17" s="65">
        <f>Population[2013]*Total_Journeys_per_person_per_day[2013]*Number_of_days_per_year[2013]</f>
        <v>3171485717.1895118</v>
      </c>
      <c r="E17" s="65">
        <f>Population[2014]*Total_Journeys_per_person_per_day[2014]*Number_of_days_per_year[2014]</f>
        <v>2940102000.5779233</v>
      </c>
      <c r="F17" s="65">
        <f>Population[2016]*Total_Journeys_per_person_per_day[2016]*Number_of_days_per_year[2016]</f>
        <v>3079198792.0558629</v>
      </c>
      <c r="G17" s="65">
        <f>Population[2019]*Total_Journeys_per_person_per_day[2019]*Number_of_days_per_year[2019]</f>
        <v>5369880000</v>
      </c>
    </row>
    <row r="19" spans="1:11" x14ac:dyDescent="0.25">
      <c r="A19" s="26" t="s">
        <v>420</v>
      </c>
      <c r="B19" s="26" t="s">
        <v>84</v>
      </c>
    </row>
    <row r="20" spans="1:11" x14ac:dyDescent="0.25">
      <c r="A20" s="26" t="s">
        <v>81</v>
      </c>
      <c r="B20" s="175" t="s">
        <v>30</v>
      </c>
      <c r="C20" s="175" t="s">
        <v>31</v>
      </c>
      <c r="D20" s="175" t="s">
        <v>32</v>
      </c>
      <c r="E20" s="175" t="s">
        <v>33</v>
      </c>
      <c r="F20" s="175" t="s">
        <v>34</v>
      </c>
      <c r="G20" s="175" t="s">
        <v>35</v>
      </c>
      <c r="H20" s="175" t="s">
        <v>36</v>
      </c>
      <c r="I20" s="175" t="s">
        <v>37</v>
      </c>
      <c r="J20" s="175" t="s">
        <v>38</v>
      </c>
      <c r="K20" s="175" t="s">
        <v>82</v>
      </c>
    </row>
    <row r="21" spans="1:11" x14ac:dyDescent="0.25">
      <c r="A21" s="27" t="s">
        <v>473</v>
      </c>
      <c r="B21" s="8">
        <v>8.3644382100000012E-2</v>
      </c>
      <c r="C21" s="8">
        <v>8.068435979999998E-2</v>
      </c>
      <c r="D21" s="8">
        <v>8.0757680200000001E-2</v>
      </c>
      <c r="E21" s="8">
        <v>7.9868824800000002E-2</v>
      </c>
      <c r="F21" s="8">
        <v>7.9474553999999989E-2</v>
      </c>
      <c r="G21" s="8">
        <v>7.9493302199999977E-2</v>
      </c>
      <c r="H21" s="8">
        <v>8.0901610699999987E-2</v>
      </c>
      <c r="I21" s="8">
        <v>7.4784899000000002E-2</v>
      </c>
      <c r="J21" s="8">
        <v>8.0316433099999987E-2</v>
      </c>
      <c r="K21" s="8">
        <v>0.71992604589999998</v>
      </c>
    </row>
    <row r="22" spans="1:11" x14ac:dyDescent="0.25">
      <c r="A22" s="27" t="s">
        <v>472</v>
      </c>
      <c r="B22" s="8">
        <v>9.0827938099999977E-2</v>
      </c>
      <c r="C22" s="8">
        <v>8.608261759999998E-2</v>
      </c>
      <c r="D22" s="8">
        <v>8.0020135300000003E-2</v>
      </c>
      <c r="E22" s="8">
        <v>7.8459911199999982E-2</v>
      </c>
      <c r="F22" s="8">
        <v>7.8280136799999983E-2</v>
      </c>
      <c r="G22" s="8">
        <v>7.8900950399999989E-2</v>
      </c>
      <c r="H22" s="8">
        <v>7.8250555799999996E-2</v>
      </c>
      <c r="I22" s="8">
        <v>7.8543231299999988E-2</v>
      </c>
      <c r="J22" s="8">
        <v>7.5111207299999996E-2</v>
      </c>
      <c r="K22" s="8">
        <v>0.72447668379999985</v>
      </c>
    </row>
    <row r="23" spans="1:11" x14ac:dyDescent="0.25">
      <c r="A23" s="27" t="s">
        <v>474</v>
      </c>
      <c r="B23" s="8">
        <v>0.16898816</v>
      </c>
      <c r="C23" s="8">
        <v>0.16049780999999999</v>
      </c>
      <c r="D23" s="8">
        <v>0.15247168999999999</v>
      </c>
      <c r="E23" s="8">
        <v>0.15274241</v>
      </c>
      <c r="F23" s="8">
        <v>0.13786175000000001</v>
      </c>
      <c r="G23" s="8">
        <v>0.13602864309999999</v>
      </c>
      <c r="H23" s="8">
        <v>0.14372823029999998</v>
      </c>
      <c r="I23" s="8">
        <v>0.14800024559999997</v>
      </c>
      <c r="J23" s="8">
        <v>0.14722426999999999</v>
      </c>
      <c r="K23" s="8">
        <v>1.3475432089999999</v>
      </c>
    </row>
    <row r="24" spans="1:11" x14ac:dyDescent="0.25">
      <c r="A24" s="27" t="s">
        <v>475</v>
      </c>
      <c r="B24" s="8">
        <v>1.2962159999999999E-2</v>
      </c>
      <c r="C24" s="8">
        <v>1.0807919999999999E-2</v>
      </c>
      <c r="D24" s="8">
        <v>1.0758E-2</v>
      </c>
      <c r="E24" s="8">
        <v>1.0918000000000001E-2</v>
      </c>
      <c r="F24" s="8">
        <v>9.2505599999999997E-3</v>
      </c>
      <c r="G24" s="8">
        <v>9.5528999999999996E-3</v>
      </c>
      <c r="H24" s="8">
        <v>9.7628999999999997E-3</v>
      </c>
      <c r="I24" s="8">
        <v>1.0088400000000001E-2</v>
      </c>
      <c r="J24" s="8">
        <v>9.1686000000000024E-3</v>
      </c>
      <c r="K24" s="8">
        <v>9.3269439999999995E-2</v>
      </c>
    </row>
    <row r="25" spans="1:11" x14ac:dyDescent="0.25">
      <c r="A25" s="27" t="s">
        <v>413</v>
      </c>
      <c r="B25" s="8">
        <v>1.9734849332781121</v>
      </c>
      <c r="C25" s="8">
        <v>2.2843562839941005</v>
      </c>
      <c r="D25" s="8">
        <v>2.4754634881693254</v>
      </c>
      <c r="E25" s="8">
        <v>2.6791889702524965</v>
      </c>
      <c r="F25" s="8">
        <v>3.0983041156609912</v>
      </c>
      <c r="G25" s="8">
        <v>3.5811026721787145</v>
      </c>
      <c r="H25" s="8">
        <v>3.9912536306212592</v>
      </c>
      <c r="I25" s="8">
        <v>4.334089757195863</v>
      </c>
      <c r="J25" s="8">
        <v>4.3015810316626277</v>
      </c>
      <c r="K25" s="8">
        <v>28.71882488301349</v>
      </c>
    </row>
    <row r="26" spans="1:11" x14ac:dyDescent="0.25">
      <c r="A26" s="27" t="s">
        <v>417</v>
      </c>
      <c r="B26" s="8">
        <v>5.85368502336E-5</v>
      </c>
      <c r="C26" s="8">
        <v>1.1037564141119999E-4</v>
      </c>
      <c r="D26" s="8">
        <v>3.0137684966400003E-4</v>
      </c>
      <c r="E26" s="8">
        <v>3.3073932168E-4</v>
      </c>
      <c r="F26" s="8">
        <v>5.5573497559040003E-4</v>
      </c>
      <c r="G26" s="8">
        <v>1.1257771199463999E-3</v>
      </c>
      <c r="H26" s="8">
        <v>1.7562462660304001E-3</v>
      </c>
      <c r="I26" s="8">
        <v>2.9023797168608E-3</v>
      </c>
      <c r="J26" s="8">
        <v>4.0962115140112006E-3</v>
      </c>
      <c r="K26" s="8">
        <v>1.1237378255428001E-2</v>
      </c>
    </row>
    <row r="27" spans="1:11" x14ac:dyDescent="0.25">
      <c r="A27" s="27" t="s">
        <v>415</v>
      </c>
      <c r="B27" s="8">
        <v>5.459382223584921E-3</v>
      </c>
      <c r="C27" s="8">
        <v>5.3532951344232513E-3</v>
      </c>
      <c r="D27" s="8">
        <v>6.6870838339744771E-3</v>
      </c>
      <c r="E27" s="8">
        <v>6.1902893040984555E-3</v>
      </c>
      <c r="F27" s="8">
        <v>6.43493011693228E-3</v>
      </c>
      <c r="G27" s="8">
        <v>7.4047934073450221E-3</v>
      </c>
      <c r="H27" s="8">
        <v>9.5307716974815087E-3</v>
      </c>
      <c r="I27" s="8">
        <v>1.4382653926591235E-2</v>
      </c>
      <c r="J27" s="8">
        <v>1.876562345062428E-2</v>
      </c>
      <c r="K27" s="8">
        <v>8.0208823095055434E-2</v>
      </c>
    </row>
    <row r="28" spans="1:11" x14ac:dyDescent="0.25">
      <c r="A28" s="27" t="s">
        <v>414</v>
      </c>
      <c r="B28" s="8">
        <v>3.7529629510886426</v>
      </c>
      <c r="C28" s="8">
        <v>3.5020838115945567</v>
      </c>
      <c r="D28" s="8">
        <v>2.9490054538827684</v>
      </c>
      <c r="E28" s="8">
        <v>3.1432615058296176</v>
      </c>
      <c r="F28" s="8">
        <v>2.8682806483462135</v>
      </c>
      <c r="G28" s="8">
        <v>2.795955827720932</v>
      </c>
      <c r="H28" s="8">
        <v>2.6099482841204735</v>
      </c>
      <c r="I28" s="8">
        <v>2.4047220794319286</v>
      </c>
      <c r="J28" s="8">
        <v>2.1055372051477352</v>
      </c>
      <c r="K28" s="8">
        <v>26.131757767162867</v>
      </c>
    </row>
    <row r="29" spans="1:11" x14ac:dyDescent="0.25">
      <c r="A29" s="27" t="s">
        <v>416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6.7074816518199107E-7</v>
      </c>
      <c r="H29" s="8">
        <v>3.7449717712562575E-4</v>
      </c>
      <c r="I29" s="8">
        <v>7.3792736555170814E-4</v>
      </c>
      <c r="J29" s="8">
        <v>2.0480527886288752E-3</v>
      </c>
      <c r="K29" s="8">
        <v>3.1611480794713912E-3</v>
      </c>
    </row>
    <row r="30" spans="1:11" x14ac:dyDescent="0.25">
      <c r="A30" s="27" t="s">
        <v>82</v>
      </c>
      <c r="B30" s="8">
        <v>6.0883884436405733</v>
      </c>
      <c r="C30" s="8">
        <v>6.1299764737644917</v>
      </c>
      <c r="D30" s="8">
        <v>5.7554649082357319</v>
      </c>
      <c r="E30" s="8">
        <v>6.1509606507078924</v>
      </c>
      <c r="F30" s="8">
        <v>6.2784424298997275</v>
      </c>
      <c r="G30" s="8">
        <v>6.6895655368751035</v>
      </c>
      <c r="H30" s="8">
        <v>6.9255067266823707</v>
      </c>
      <c r="I30" s="8">
        <v>7.0682515735367941</v>
      </c>
      <c r="J30" s="8">
        <v>6.7438486349636273</v>
      </c>
      <c r="K30" s="8">
        <v>57.83040537830631</v>
      </c>
    </row>
    <row r="32" spans="1:11" x14ac:dyDescent="0.25">
      <c r="A32" t="s">
        <v>81</v>
      </c>
      <c r="B32" s="175" t="s">
        <v>30</v>
      </c>
      <c r="C32" s="175" t="s">
        <v>31</v>
      </c>
      <c r="D32" s="175" t="s">
        <v>32</v>
      </c>
      <c r="E32" s="175" t="s">
        <v>33</v>
      </c>
      <c r="F32" s="175" t="s">
        <v>34</v>
      </c>
      <c r="G32" s="175" t="s">
        <v>35</v>
      </c>
      <c r="H32" s="175" t="s">
        <v>36</v>
      </c>
      <c r="I32" s="175" t="s">
        <v>37</v>
      </c>
      <c r="J32" s="175" t="s">
        <v>38</v>
      </c>
      <c r="K32" s="175"/>
    </row>
    <row r="33" spans="1:11" x14ac:dyDescent="0.25">
      <c r="A33" s="175" t="str">
        <f t="shared" ref="A33:J33" si="0">A21</f>
        <v>Bus Éireann (Intercity Bus)</v>
      </c>
      <c r="B33" s="175">
        <f t="shared" si="0"/>
        <v>8.3644382100000012E-2</v>
      </c>
      <c r="C33" s="175">
        <f t="shared" si="0"/>
        <v>8.068435979999998E-2</v>
      </c>
      <c r="D33" s="175">
        <f t="shared" si="0"/>
        <v>8.0757680200000001E-2</v>
      </c>
      <c r="E33" s="175">
        <f t="shared" si="0"/>
        <v>7.9868824800000002E-2</v>
      </c>
      <c r="F33" s="175">
        <f t="shared" si="0"/>
        <v>7.9474553999999989E-2</v>
      </c>
      <c r="G33" s="175">
        <f t="shared" si="0"/>
        <v>7.9493302199999977E-2</v>
      </c>
      <c r="H33" s="175">
        <f t="shared" si="0"/>
        <v>8.0901610699999987E-2</v>
      </c>
      <c r="I33" s="175">
        <f t="shared" si="0"/>
        <v>7.4784899000000002E-2</v>
      </c>
      <c r="J33" s="175">
        <f t="shared" si="0"/>
        <v>8.0316433099999987E-2</v>
      </c>
      <c r="K33" s="175"/>
    </row>
    <row r="34" spans="1:11" x14ac:dyDescent="0.25">
      <c r="A34" s="175" t="str">
        <f t="shared" ref="A34:J34" si="1">A22</f>
        <v>Dublin Bus (Urban Bus)</v>
      </c>
      <c r="B34" s="175">
        <f t="shared" si="1"/>
        <v>9.0827938099999977E-2</v>
      </c>
      <c r="C34" s="175">
        <f t="shared" si="1"/>
        <v>8.608261759999998E-2</v>
      </c>
      <c r="D34" s="175">
        <f t="shared" si="1"/>
        <v>8.0020135300000003E-2</v>
      </c>
      <c r="E34" s="175">
        <f t="shared" si="1"/>
        <v>7.8459911199999982E-2</v>
      </c>
      <c r="F34" s="175">
        <f t="shared" si="1"/>
        <v>7.8280136799999983E-2</v>
      </c>
      <c r="G34" s="175">
        <f t="shared" si="1"/>
        <v>7.8900950399999989E-2</v>
      </c>
      <c r="H34" s="175">
        <f t="shared" si="1"/>
        <v>7.8250555799999996E-2</v>
      </c>
      <c r="I34" s="175">
        <f t="shared" si="1"/>
        <v>7.8543231299999988E-2</v>
      </c>
      <c r="J34" s="175">
        <f t="shared" si="1"/>
        <v>7.5111207299999996E-2</v>
      </c>
      <c r="K34" s="175"/>
    </row>
    <row r="35" spans="1:11" x14ac:dyDescent="0.25">
      <c r="A35" s="175" t="str">
        <f t="shared" ref="A35:J35" si="2">A23</f>
        <v>Irish Rail (Heavy Rail)</v>
      </c>
      <c r="B35" s="175">
        <f t="shared" si="2"/>
        <v>0.16898816</v>
      </c>
      <c r="C35" s="175">
        <f t="shared" si="2"/>
        <v>0.16049780999999999</v>
      </c>
      <c r="D35" s="175">
        <f t="shared" si="2"/>
        <v>0.15247168999999999</v>
      </c>
      <c r="E35" s="175">
        <f t="shared" si="2"/>
        <v>0.15274241</v>
      </c>
      <c r="F35" s="175">
        <f t="shared" si="2"/>
        <v>0.13786175000000001</v>
      </c>
      <c r="G35" s="175">
        <f t="shared" si="2"/>
        <v>0.13602864309999999</v>
      </c>
      <c r="H35" s="175">
        <f t="shared" si="2"/>
        <v>0.14372823029999998</v>
      </c>
      <c r="I35" s="175">
        <f t="shared" si="2"/>
        <v>0.14800024559999997</v>
      </c>
      <c r="J35" s="175">
        <f t="shared" si="2"/>
        <v>0.14722426999999999</v>
      </c>
      <c r="K35" s="175"/>
    </row>
    <row r="36" spans="1:11" x14ac:dyDescent="0.25">
      <c r="A36" s="175" t="str">
        <f t="shared" ref="A36:J36" si="3">A24</f>
        <v>Luas (Light Rail)</v>
      </c>
      <c r="B36" s="175">
        <f t="shared" si="3"/>
        <v>1.2962159999999999E-2</v>
      </c>
      <c r="C36" s="175">
        <f t="shared" si="3"/>
        <v>1.0807919999999999E-2</v>
      </c>
      <c r="D36" s="175">
        <f t="shared" si="3"/>
        <v>1.0758E-2</v>
      </c>
      <c r="E36" s="175">
        <f t="shared" si="3"/>
        <v>1.0918000000000001E-2</v>
      </c>
      <c r="F36" s="175">
        <f t="shared" si="3"/>
        <v>9.2505599999999997E-3</v>
      </c>
      <c r="G36" s="175">
        <f t="shared" si="3"/>
        <v>9.5528999999999996E-3</v>
      </c>
      <c r="H36" s="175">
        <f t="shared" si="3"/>
        <v>9.7628999999999997E-3</v>
      </c>
      <c r="I36" s="175">
        <f t="shared" si="3"/>
        <v>1.0088400000000001E-2</v>
      </c>
      <c r="J36" s="175">
        <f t="shared" si="3"/>
        <v>9.1686000000000024E-3</v>
      </c>
      <c r="K36" s="175"/>
    </row>
    <row r="37" spans="1:11" x14ac:dyDescent="0.25">
      <c r="A37" s="175" t="str">
        <f t="shared" ref="A37:J37" si="4">A25</f>
        <v>Private Vehicle - Diesel</v>
      </c>
      <c r="B37" s="175">
        <f t="shared" si="4"/>
        <v>1.9734849332781121</v>
      </c>
      <c r="C37" s="175">
        <f t="shared" si="4"/>
        <v>2.2843562839941005</v>
      </c>
      <c r="D37" s="175">
        <f t="shared" si="4"/>
        <v>2.4754634881693254</v>
      </c>
      <c r="E37" s="175">
        <f t="shared" si="4"/>
        <v>2.6791889702524965</v>
      </c>
      <c r="F37" s="175">
        <f t="shared" si="4"/>
        <v>3.0983041156609912</v>
      </c>
      <c r="G37" s="175">
        <f t="shared" si="4"/>
        <v>3.5811026721787145</v>
      </c>
      <c r="H37" s="175">
        <f t="shared" si="4"/>
        <v>3.9912536306212592</v>
      </c>
      <c r="I37" s="175">
        <f t="shared" si="4"/>
        <v>4.334089757195863</v>
      </c>
      <c r="J37" s="175">
        <f t="shared" si="4"/>
        <v>4.3015810316626277</v>
      </c>
      <c r="K37" s="175"/>
    </row>
    <row r="38" spans="1:11" x14ac:dyDescent="0.25">
      <c r="A38" s="175" t="str">
        <f t="shared" ref="A38:J38" si="5">A26</f>
        <v>Private Vehicle - Electric</v>
      </c>
      <c r="B38" s="175">
        <f t="shared" si="5"/>
        <v>5.85368502336E-5</v>
      </c>
      <c r="C38" s="175">
        <f t="shared" si="5"/>
        <v>1.1037564141119999E-4</v>
      </c>
      <c r="D38" s="175">
        <f t="shared" si="5"/>
        <v>3.0137684966400003E-4</v>
      </c>
      <c r="E38" s="175">
        <f t="shared" si="5"/>
        <v>3.3073932168E-4</v>
      </c>
      <c r="F38" s="175">
        <f t="shared" si="5"/>
        <v>5.5573497559040003E-4</v>
      </c>
      <c r="G38" s="175">
        <f t="shared" si="5"/>
        <v>1.1257771199463999E-3</v>
      </c>
      <c r="H38" s="175">
        <f t="shared" si="5"/>
        <v>1.7562462660304001E-3</v>
      </c>
      <c r="I38" s="175">
        <f t="shared" si="5"/>
        <v>2.9023797168608E-3</v>
      </c>
      <c r="J38" s="175">
        <f t="shared" si="5"/>
        <v>4.0962115140112006E-3</v>
      </c>
      <c r="K38" s="175"/>
    </row>
    <row r="39" spans="1:11" x14ac:dyDescent="0.25">
      <c r="A39" s="175" t="str">
        <f t="shared" ref="A39:J39" si="6">A27</f>
        <v>Private Vehicle - Hybrid</v>
      </c>
      <c r="B39" s="175">
        <f t="shared" si="6"/>
        <v>5.459382223584921E-3</v>
      </c>
      <c r="C39" s="175">
        <f t="shared" si="6"/>
        <v>5.3532951344232513E-3</v>
      </c>
      <c r="D39" s="175">
        <f t="shared" si="6"/>
        <v>6.6870838339744771E-3</v>
      </c>
      <c r="E39" s="175">
        <f t="shared" si="6"/>
        <v>6.1902893040984555E-3</v>
      </c>
      <c r="F39" s="175">
        <f t="shared" si="6"/>
        <v>6.43493011693228E-3</v>
      </c>
      <c r="G39" s="175">
        <f t="shared" si="6"/>
        <v>7.4047934073450221E-3</v>
      </c>
      <c r="H39" s="175">
        <f t="shared" si="6"/>
        <v>9.5307716974815087E-3</v>
      </c>
      <c r="I39" s="175">
        <f t="shared" si="6"/>
        <v>1.4382653926591235E-2</v>
      </c>
      <c r="J39" s="175">
        <f t="shared" si="6"/>
        <v>1.876562345062428E-2</v>
      </c>
      <c r="K39" s="175"/>
    </row>
    <row r="40" spans="1:11" x14ac:dyDescent="0.25">
      <c r="A40" s="175" t="str">
        <f t="shared" ref="A40:J40" si="7">A28</f>
        <v>Private Vehicle - Petrol</v>
      </c>
      <c r="B40" s="175">
        <f t="shared" si="7"/>
        <v>3.7529629510886426</v>
      </c>
      <c r="C40" s="175">
        <f t="shared" si="7"/>
        <v>3.5020838115945567</v>
      </c>
      <c r="D40" s="175">
        <f t="shared" si="7"/>
        <v>2.9490054538827684</v>
      </c>
      <c r="E40" s="175">
        <f t="shared" si="7"/>
        <v>3.1432615058296176</v>
      </c>
      <c r="F40" s="175">
        <f t="shared" si="7"/>
        <v>2.8682806483462135</v>
      </c>
      <c r="G40" s="175">
        <f t="shared" si="7"/>
        <v>2.795955827720932</v>
      </c>
      <c r="H40" s="175">
        <f t="shared" si="7"/>
        <v>2.6099482841204735</v>
      </c>
      <c r="I40" s="175">
        <f t="shared" si="7"/>
        <v>2.4047220794319286</v>
      </c>
      <c r="J40" s="175">
        <f t="shared" si="7"/>
        <v>2.1055372051477352</v>
      </c>
      <c r="K40" s="175"/>
    </row>
  </sheetData>
  <mergeCells count="1">
    <mergeCell ref="A1:F1"/>
  </mergeCells>
  <pageMargins left="0.7" right="0.7" top="0.75" bottom="0.75" header="0.3" footer="0.3"/>
  <drawing r:id="rId2"/>
  <tableParts count="4">
    <tablePart r:id="rId3"/>
    <tablePart r:id="rId4"/>
    <tablePart r:id="rId5"/>
    <tablePart r:id="rId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59D5-BF09-47DD-93DA-87127E51AC1A}">
  <dimension ref="A1:K82"/>
  <sheetViews>
    <sheetView workbookViewId="0">
      <selection activeCell="D33" sqref="D33"/>
    </sheetView>
  </sheetViews>
  <sheetFormatPr defaultRowHeight="15" x14ac:dyDescent="0.25"/>
  <cols>
    <col min="1" max="1" width="23.5703125" style="31" bestFit="1" customWidth="1"/>
    <col min="2" max="2" width="23.5703125" style="31" customWidth="1"/>
    <col min="3" max="3" width="24.140625" style="31" bestFit="1" customWidth="1"/>
    <col min="4" max="4" width="14.7109375" style="31" bestFit="1" customWidth="1"/>
    <col min="5" max="6" width="14.140625" style="31" bestFit="1" customWidth="1"/>
    <col min="7" max="7" width="13.140625" style="31" bestFit="1" customWidth="1"/>
    <col min="8" max="8" width="12" style="31" bestFit="1" customWidth="1"/>
    <col min="9" max="9" width="15.28515625" style="31" bestFit="1" customWidth="1"/>
    <col min="10" max="16384" width="9.140625" style="31"/>
  </cols>
  <sheetData>
    <row r="1" spans="1:11" x14ac:dyDescent="0.25">
      <c r="A1" s="31" t="str">
        <f>'[1]10% Cycling senstivity'!B53</f>
        <v>km per year based on NTS</v>
      </c>
      <c r="B1" s="31" t="s">
        <v>94</v>
      </c>
      <c r="C1" s="31" t="str">
        <f>'[1]10% Cycling senstivity'!B52</f>
        <v>Original (2019</v>
      </c>
      <c r="D1" s="31" t="str">
        <f>'[1]10% Cycling senstivity'!C52</f>
        <v>TR_PAS23</v>
      </c>
      <c r="E1" s="31" t="str">
        <f>'[1]10% Cycling senstivity'!D52</f>
        <v>TR_PAS24</v>
      </c>
      <c r="F1" s="31" t="str">
        <f>'[1]10% Cycling senstivity'!E52</f>
        <v>TR_PAS25</v>
      </c>
      <c r="G1" s="31" t="str">
        <f>'[1]10% Cycling senstivity'!F52</f>
        <v>TR_PAS26</v>
      </c>
      <c r="H1" s="31" t="str">
        <f>'[1]10% Cycling senstivity'!G52</f>
        <v>TR_PAS27</v>
      </c>
      <c r="I1" s="31" t="str">
        <f>'[1]10% Cycling senstivity'!H52</f>
        <v>TR_PAS28</v>
      </c>
    </row>
    <row r="3" spans="1:11" x14ac:dyDescent="0.25">
      <c r="B3" s="31">
        <v>2016</v>
      </c>
      <c r="C3" s="31">
        <v>2019</v>
      </c>
      <c r="D3" s="31">
        <v>2030</v>
      </c>
      <c r="E3" s="31">
        <v>2030</v>
      </c>
      <c r="F3" s="31">
        <v>2030</v>
      </c>
      <c r="G3" s="31">
        <v>2030</v>
      </c>
      <c r="H3" s="31">
        <v>2030</v>
      </c>
      <c r="I3" s="31">
        <v>2030</v>
      </c>
    </row>
    <row r="4" spans="1:11" x14ac:dyDescent="0.25">
      <c r="A4" s="31" t="str">
        <f>'[1]10% Cycling senstivity'!A54</f>
        <v>Private car - Driver</v>
      </c>
      <c r="B4" s="28" t="e">
        <f>#REF!</f>
        <v>#REF!</v>
      </c>
      <c r="C4" s="31">
        <f>'[1]10% Cycling senstivity'!B54</f>
        <v>43130427324.122261</v>
      </c>
      <c r="D4" s="31">
        <f>'[1]10% Cycling senstivity'!C54</f>
        <v>38674272306.998528</v>
      </c>
      <c r="E4" s="31">
        <f>'[1]10% Cycling senstivity'!D54</f>
        <v>41771813537.593483</v>
      </c>
      <c r="F4" s="31">
        <f>'[1]10% Cycling senstivity'!E54</f>
        <v>41658067083.527603</v>
      </c>
      <c r="G4" s="31">
        <f>'[1]10% Cycling senstivity'!F54</f>
        <v>40003837504.387604</v>
      </c>
      <c r="H4" s="31">
        <f>'[1]10% Cycling senstivity'!G54</f>
        <v>37224680398.781548</v>
      </c>
      <c r="I4" s="31">
        <f>'[1]10% Cycling senstivity'!H54</f>
        <v>42088113087.526421</v>
      </c>
    </row>
    <row r="5" spans="1:11" x14ac:dyDescent="0.25">
      <c r="A5" s="31" t="str">
        <f>'[1]10% Cycling senstivity'!A55</f>
        <v>Private car - Passenger</v>
      </c>
      <c r="B5" s="28" t="e">
        <f>#REF!</f>
        <v>#REF!</v>
      </c>
      <c r="C5" s="31">
        <f>'[1]10% Cycling senstivity'!B55</f>
        <v>10792465210.306</v>
      </c>
      <c r="D5" s="31">
        <f>'[1]10% Cycling senstivity'!C55</f>
        <v>9677407906.7318096</v>
      </c>
      <c r="E5" s="31">
        <f>'[1]10% Cycling senstivity'!D55</f>
        <v>10452501223.5093</v>
      </c>
      <c r="F5" s="31">
        <f>'[1]10% Cycling senstivity'!E55</f>
        <v>10424038610.814177</v>
      </c>
      <c r="G5" s="31">
        <f>'[1]10% Cycling senstivity'!F55</f>
        <v>10010103106.568836</v>
      </c>
      <c r="H5" s="31">
        <f>'[1]10% Cycling senstivity'!G55</f>
        <v>9314678594.5224895</v>
      </c>
      <c r="I5" s="31">
        <f>'[1]10% Cycling senstivity'!H55</f>
        <v>4519712499.6710758</v>
      </c>
    </row>
    <row r="6" spans="1:11" x14ac:dyDescent="0.25">
      <c r="A6" s="31" t="str">
        <f>'[1]10% Cycling senstivity'!A56</f>
        <v>Walk</v>
      </c>
      <c r="B6" s="28" t="e">
        <f>#REF!</f>
        <v>#REF!</v>
      </c>
      <c r="C6" s="31">
        <f>'[1]10% Cycling senstivity'!B56</f>
        <v>303409408.69538796</v>
      </c>
      <c r="D6" s="31">
        <f>'[1]10% Cycling senstivity'!C56</f>
        <v>272061716.52809244</v>
      </c>
      <c r="E6" s="31">
        <f>'[1]10% Cycling senstivity'!D56</f>
        <v>293851974.85597056</v>
      </c>
      <c r="F6" s="31">
        <f>'[1]10% Cycling senstivity'!E56</f>
        <v>293051803.22516406</v>
      </c>
      <c r="G6" s="31">
        <f>'[1]10% Cycling senstivity'!F56</f>
        <v>281414802.39784843</v>
      </c>
      <c r="H6" s="31">
        <f>'[1]10% Cycling senstivity'!G56</f>
        <v>261864279.33563155</v>
      </c>
      <c r="I6" s="31">
        <f>'[1]10% Cycling senstivity'!H56</f>
        <v>9491953547.5034809</v>
      </c>
    </row>
    <row r="7" spans="1:11" x14ac:dyDescent="0.25">
      <c r="A7" s="31" t="str">
        <f>'[1]10% Cycling senstivity'!A57</f>
        <v>Bus</v>
      </c>
      <c r="B7" s="28" t="e">
        <f>#REF!</f>
        <v>#REF!</v>
      </c>
      <c r="C7" s="31">
        <f>'[1]10% Cycling senstivity'!B57</f>
        <v>3642740747.0555634</v>
      </c>
      <c r="D7" s="31">
        <f>'[1]10% Cycling senstivity'!C57</f>
        <v>3266379591.7605867</v>
      </c>
      <c r="E7" s="31">
        <f>'[1]10% Cycling senstivity'!D57</f>
        <v>3527993963.7114558</v>
      </c>
      <c r="F7" s="31">
        <f>'[1]10% Cycling senstivity'!E57</f>
        <v>3518387083.6324563</v>
      </c>
      <c r="G7" s="31">
        <f>'[1]10% Cycling senstivity'!F57</f>
        <v>3378672968.4062519</v>
      </c>
      <c r="H7" s="31">
        <f>'[1]10% Cycling senstivity'!G57</f>
        <v>3143948912.5794706</v>
      </c>
      <c r="I7" s="31">
        <f>'[1]10% Cycling senstivity'!H57</f>
        <v>4185739468.6468239</v>
      </c>
    </row>
    <row r="8" spans="1:11" x14ac:dyDescent="0.25">
      <c r="A8" s="31" t="str">
        <f>'[1]10% Cycling senstivity'!A58</f>
        <v>Cycle</v>
      </c>
      <c r="B8" s="28" t="e">
        <f>#REF!</f>
        <v>#REF!</v>
      </c>
      <c r="C8" s="31">
        <f>'[1]10% Cycling senstivity'!B58</f>
        <v>233080616.05569208</v>
      </c>
      <c r="D8" s="31">
        <f>'[1]10% Cycling senstivity'!C58</f>
        <v>6995756274.1367836</v>
      </c>
      <c r="E8" s="31">
        <f>'[1]10% Cycling senstivity'!D58</f>
        <v>2294917412.0345578</v>
      </c>
      <c r="F8" s="31">
        <f>'[1]10% Cycling senstivity'!E58</f>
        <v>2467539408.609725</v>
      </c>
      <c r="G8" s="31">
        <f>'[1]10% Cycling senstivity'!F58</f>
        <v>4978003713.5406122</v>
      </c>
      <c r="H8" s="31">
        <f>'[1]10% Cycling senstivity'!G58</f>
        <v>9195661769.8342438</v>
      </c>
      <c r="I8" s="5">
        <f>'[1]10% Cycling senstivity'!H58</f>
        <v>1623358778.477541</v>
      </c>
    </row>
    <row r="9" spans="1:11" x14ac:dyDescent="0.25">
      <c r="A9" s="31" t="str">
        <f>'[1]10% Cycling senstivity'!A59</f>
        <v>Rail/Dart/Luas</v>
      </c>
      <c r="B9" s="28" t="e">
        <f>#REF!</f>
        <v>#REF!</v>
      </c>
      <c r="C9" s="31">
        <f>'[1]10% Cycling senstivity'!B59</f>
        <v>3948009846.44596</v>
      </c>
      <c r="D9" s="31">
        <f>'[1]10% Cycling senstivity'!C59</f>
        <v>3540108859.2221551</v>
      </c>
      <c r="E9" s="31">
        <f>'[1]10% Cycling senstivity'!D59</f>
        <v>3823647048.7759047</v>
      </c>
      <c r="F9" s="31">
        <f>'[1]10% Cycling senstivity'!E59</f>
        <v>3813235092.5651388</v>
      </c>
      <c r="G9" s="31">
        <f>'[1]10% Cycling senstivity'!F59</f>
        <v>3661812649.7118025</v>
      </c>
      <c r="H9" s="31">
        <f>'[1]10% Cycling senstivity'!G59</f>
        <v>3407418239.5823107</v>
      </c>
      <c r="I9" s="31">
        <f>'[1]10% Cycling senstivity'!H59</f>
        <v>1223531539.7710447</v>
      </c>
    </row>
    <row r="10" spans="1:11" x14ac:dyDescent="0.25">
      <c r="A10" s="31" t="str">
        <f>'[1]10% Cycling senstivity'!A60</f>
        <v>Taxi/hackney</v>
      </c>
      <c r="B10" s="28" t="e">
        <f>#REF!</f>
        <v>#REF!</v>
      </c>
      <c r="C10" s="31">
        <f>'[1]10% Cycling senstivity'!B60</f>
        <v>302040792.60850525</v>
      </c>
      <c r="D10" s="31">
        <f>'[1]10% Cycling senstivity'!C60</f>
        <v>270834503.29345244</v>
      </c>
      <c r="E10" s="31">
        <f>'[1]10% Cycling senstivity'!D60</f>
        <v>292526470.34482372</v>
      </c>
      <c r="F10" s="31">
        <f>'[1]10% Cycling senstivity'!E60</f>
        <v>291729908.12010288</v>
      </c>
      <c r="G10" s="31">
        <f>'[1]10% Cycling senstivity'!F60</f>
        <v>280145399.35822386</v>
      </c>
      <c r="H10" s="31">
        <f>'[1]10% Cycling senstivity'!G60</f>
        <v>260683064.59736842</v>
      </c>
      <c r="I10" s="31">
        <f>'[1]10% Cycling senstivity'!H60</f>
        <v>875413766.04851806</v>
      </c>
    </row>
    <row r="11" spans="1:11" x14ac:dyDescent="0.25">
      <c r="A11" s="31" t="str">
        <f>'[1]10% Cycling senstivity'!A61</f>
        <v>Lorry/Motorcycle/Other1</v>
      </c>
      <c r="B11" s="28" t="e">
        <f>#REF!</f>
        <v>#REF!</v>
      </c>
      <c r="C11" s="31">
        <f>'[1]10% Cycling senstivity'!B61</f>
        <v>3335786464.3653483</v>
      </c>
      <c r="D11" s="31">
        <f>'[1]10% Cycling senstivity'!C61</f>
        <v>2991139250.9833145</v>
      </c>
      <c r="E11" s="31">
        <f>'[1]10% Cycling senstivity'!D61</f>
        <v>3230708778.8292222</v>
      </c>
      <c r="F11" s="31">
        <f>'[1]10% Cycling senstivity'!E61</f>
        <v>3221911419.1603494</v>
      </c>
      <c r="G11" s="31">
        <f>'[1]10% Cycling senstivity'!F61</f>
        <v>3093970265.2835412</v>
      </c>
      <c r="H11" s="31">
        <f>'[1]10% Cycling senstivity'!G61</f>
        <v>2879025150.4216604</v>
      </c>
      <c r="I11" s="31">
        <f>'[1]10% Cycling senstivity'!H61</f>
        <v>1680137722.0098274</v>
      </c>
    </row>
    <row r="12" spans="1:11" x14ac:dyDescent="0.25">
      <c r="A12" s="31" t="s">
        <v>4</v>
      </c>
      <c r="B12" s="33" t="e">
        <f>#REF!</f>
        <v>#REF!</v>
      </c>
      <c r="C12" s="32">
        <f>'[1]10% Cycling senstivity'!B62</f>
        <v>65687960409.654724</v>
      </c>
      <c r="D12" s="32">
        <f>'[1]10% Cycling senstivity'!C62</f>
        <v>65687960409.654724</v>
      </c>
      <c r="E12" s="32">
        <f>'[1]10% Cycling senstivity'!D62</f>
        <v>65687960409.654724</v>
      </c>
      <c r="F12" s="32">
        <f>'[1]10% Cycling senstivity'!E62</f>
        <v>65687960409.654716</v>
      </c>
      <c r="G12" s="32">
        <f>'[1]10% Cycling senstivity'!F62</f>
        <v>65687960409.654709</v>
      </c>
      <c r="H12" s="32">
        <f>'[1]10% Cycling senstivity'!G62</f>
        <v>65687960409.654724</v>
      </c>
      <c r="I12" s="32">
        <f>SUM(I4:I11)</f>
        <v>65687960409.654716</v>
      </c>
    </row>
    <row r="13" spans="1:11" x14ac:dyDescent="0.25">
      <c r="C13" s="32"/>
      <c r="D13" s="32"/>
      <c r="E13" s="32"/>
      <c r="F13" s="32"/>
      <c r="G13" s="32"/>
      <c r="H13" s="32"/>
      <c r="I13" s="32"/>
    </row>
    <row r="14" spans="1:11" x14ac:dyDescent="0.25">
      <c r="A14" s="32" t="str">
        <f>D1</f>
        <v>TR_PAS23</v>
      </c>
      <c r="B14" s="32"/>
      <c r="C14" s="32"/>
      <c r="D14" s="32">
        <v>2016</v>
      </c>
      <c r="E14" s="32">
        <v>2019</v>
      </c>
      <c r="F14" s="32">
        <v>2030</v>
      </c>
    </row>
    <row r="15" spans="1:11" x14ac:dyDescent="0.25">
      <c r="A15" s="31" t="str">
        <f t="shared" ref="A15:A22" si="0">A4</f>
        <v>Private car - Driver</v>
      </c>
      <c r="C15" s="28"/>
      <c r="D15" s="31" t="e">
        <f>B4/B$12*100</f>
        <v>#REF!</v>
      </c>
      <c r="E15" s="31">
        <f>C4/C$12*100</f>
        <v>65.659562353808468</v>
      </c>
      <c r="F15" s="31">
        <f t="shared" ref="E15:K22" si="1">D4/D$12*100</f>
        <v>58.875739276743076</v>
      </c>
      <c r="G15" s="31">
        <f t="shared" si="1"/>
        <v>63.591278031908452</v>
      </c>
      <c r="H15" s="31">
        <f t="shared" si="1"/>
        <v>63.418116232765179</v>
      </c>
      <c r="I15" s="31">
        <f t="shared" si="1"/>
        <v>60.899801508387071</v>
      </c>
      <c r="J15" s="31">
        <f t="shared" si="1"/>
        <v>56.668954503434875</v>
      </c>
      <c r="K15" s="31">
        <f t="shared" si="1"/>
        <v>64.072796331396489</v>
      </c>
    </row>
    <row r="16" spans="1:11" x14ac:dyDescent="0.25">
      <c r="A16" s="31" t="str">
        <f t="shared" si="0"/>
        <v>Private car - Passenger</v>
      </c>
      <c r="C16" s="28"/>
      <c r="D16" s="31" t="e">
        <f t="shared" ref="D16:D22" si="2">B5/B$12*100</f>
        <v>#REF!</v>
      </c>
      <c r="E16" s="31">
        <f t="shared" si="1"/>
        <v>16.429898482157377</v>
      </c>
      <c r="F16" s="31">
        <f t="shared" si="1"/>
        <v>14.73239212540604</v>
      </c>
      <c r="G16" s="31">
        <f t="shared" si="1"/>
        <v>15.912354651177457</v>
      </c>
      <c r="H16" s="31">
        <f t="shared" si="1"/>
        <v>15.86902462156835</v>
      </c>
      <c r="I16" s="31">
        <f t="shared" si="1"/>
        <v>15.238870325919828</v>
      </c>
      <c r="J16" s="31">
        <f t="shared" si="1"/>
        <v>14.180191524341243</v>
      </c>
      <c r="K16" s="31">
        <f t="shared" si="1"/>
        <v>6.8805797462494755</v>
      </c>
    </row>
    <row r="17" spans="1:11" x14ac:dyDescent="0.25">
      <c r="A17" s="31" t="str">
        <f t="shared" si="0"/>
        <v>Walk</v>
      </c>
      <c r="C17" s="28"/>
      <c r="D17" s="31" t="e">
        <f t="shared" si="2"/>
        <v>#REF!</v>
      </c>
      <c r="E17" s="31">
        <f t="shared" si="1"/>
        <v>0.461895006030349</v>
      </c>
      <c r="F17" s="31">
        <f t="shared" si="1"/>
        <v>0.41417287860882523</v>
      </c>
      <c r="G17" s="31">
        <f t="shared" si="1"/>
        <v>0.4473452563048077</v>
      </c>
      <c r="H17" s="31">
        <f t="shared" si="1"/>
        <v>0.44612711583307391</v>
      </c>
      <c r="I17" s="31">
        <f t="shared" si="1"/>
        <v>0.42841153940971888</v>
      </c>
      <c r="J17" s="31">
        <f t="shared" si="1"/>
        <v>0.39864882042698208</v>
      </c>
      <c r="K17" s="31">
        <f t="shared" si="1"/>
        <v>14.450065869465432</v>
      </c>
    </row>
    <row r="18" spans="1:11" x14ac:dyDescent="0.25">
      <c r="A18" s="31" t="str">
        <f t="shared" si="0"/>
        <v>Bus</v>
      </c>
      <c r="C18" s="28"/>
      <c r="D18" s="31" t="e">
        <f t="shared" si="2"/>
        <v>#REF!</v>
      </c>
      <c r="E18" s="31">
        <f t="shared" si="1"/>
        <v>5.5455226868638752</v>
      </c>
      <c r="F18" s="31">
        <f t="shared" si="1"/>
        <v>4.9725696632841396</v>
      </c>
      <c r="G18" s="31">
        <f t="shared" si="1"/>
        <v>5.3708380374570384</v>
      </c>
      <c r="H18" s="31">
        <f t="shared" si="1"/>
        <v>5.3562130132987491</v>
      </c>
      <c r="I18" s="31">
        <f t="shared" si="1"/>
        <v>5.1435193714884475</v>
      </c>
      <c r="J18" s="31">
        <f t="shared" si="1"/>
        <v>4.7861874428321833</v>
      </c>
      <c r="K18" s="31">
        <f t="shared" si="1"/>
        <v>6.3721562407220214</v>
      </c>
    </row>
    <row r="19" spans="1:11" x14ac:dyDescent="0.25">
      <c r="A19" s="31" t="str">
        <f t="shared" si="0"/>
        <v>Cycle</v>
      </c>
      <c r="C19" s="28"/>
      <c r="D19" s="31" t="e">
        <f t="shared" si="2"/>
        <v>#REF!</v>
      </c>
      <c r="E19" s="31">
        <f t="shared" si="1"/>
        <v>0.3548300397852423</v>
      </c>
      <c r="F19" s="31">
        <f t="shared" si="1"/>
        <v>10.649982478537357</v>
      </c>
      <c r="G19" s="31">
        <f t="shared" si="1"/>
        <v>3.4936651978880047</v>
      </c>
      <c r="H19" s="31">
        <f t="shared" si="1"/>
        <v>3.7564561195403621</v>
      </c>
      <c r="I19" s="31">
        <f t="shared" si="1"/>
        <v>7.5782589115203427</v>
      </c>
      <c r="J19" s="31">
        <f t="shared" si="1"/>
        <v>13.99900638181891</v>
      </c>
      <c r="K19" s="31">
        <f t="shared" si="1"/>
        <v>2.4713185922559746</v>
      </c>
    </row>
    <row r="20" spans="1:11" x14ac:dyDescent="0.25">
      <c r="A20" s="31" t="str">
        <f t="shared" si="0"/>
        <v>Rail/Dart/Luas</v>
      </c>
      <c r="C20" s="28"/>
      <c r="D20" s="31" t="e">
        <f t="shared" si="2"/>
        <v>#REF!</v>
      </c>
      <c r="E20" s="31">
        <f t="shared" si="1"/>
        <v>6.0102487911402509</v>
      </c>
      <c r="F20" s="31">
        <f t="shared" si="1"/>
        <v>5.3892811363676243</v>
      </c>
      <c r="G20" s="31">
        <f t="shared" si="1"/>
        <v>5.8209252120635346</v>
      </c>
      <c r="H20" s="31">
        <f t="shared" si="1"/>
        <v>5.8050745810714428</v>
      </c>
      <c r="I20" s="31">
        <f t="shared" si="1"/>
        <v>5.5745567785563264</v>
      </c>
      <c r="J20" s="31">
        <f t="shared" si="1"/>
        <v>5.1872797059497273</v>
      </c>
      <c r="K20" s="31">
        <f t="shared" si="1"/>
        <v>1.8626420003614723</v>
      </c>
    </row>
    <row r="21" spans="1:11" x14ac:dyDescent="0.25">
      <c r="A21" s="31" t="str">
        <f t="shared" si="0"/>
        <v>Taxi/hackney</v>
      </c>
      <c r="C21" s="28"/>
      <c r="D21" s="31" t="e">
        <f t="shared" si="2"/>
        <v>#REF!</v>
      </c>
      <c r="E21" s="31">
        <f t="shared" si="1"/>
        <v>0.45981149471663563</v>
      </c>
      <c r="F21" s="31">
        <f t="shared" si="1"/>
        <v>0.41230463178400883</v>
      </c>
      <c r="G21" s="31">
        <f t="shared" si="1"/>
        <v>0.44532737585475191</v>
      </c>
      <c r="H21" s="31">
        <f t="shared" si="1"/>
        <v>0.44411473015871694</v>
      </c>
      <c r="I21" s="31">
        <f t="shared" si="1"/>
        <v>0.42647906497801463</v>
      </c>
      <c r="J21" s="31">
        <f t="shared" si="1"/>
        <v>0.39685059936653722</v>
      </c>
      <c r="K21" s="31">
        <f t="shared" si="1"/>
        <v>1.3326852601132841</v>
      </c>
    </row>
    <row r="22" spans="1:11" x14ac:dyDescent="0.25">
      <c r="A22" s="31" t="str">
        <f t="shared" si="0"/>
        <v>Lorry/Motorcycle/Other1</v>
      </c>
      <c r="C22" s="28"/>
      <c r="D22" s="31" t="e">
        <f t="shared" si="2"/>
        <v>#REF!</v>
      </c>
      <c r="E22" s="31">
        <f t="shared" si="1"/>
        <v>5.0782311454977966</v>
      </c>
      <c r="F22" s="31">
        <f t="shared" si="1"/>
        <v>4.5535578092689279</v>
      </c>
      <c r="G22" s="31">
        <f t="shared" si="1"/>
        <v>4.9182662373459491</v>
      </c>
      <c r="H22" s="31">
        <f t="shared" si="1"/>
        <v>4.9048735857641237</v>
      </c>
      <c r="I22" s="31">
        <f t="shared" si="1"/>
        <v>4.7101024997402634</v>
      </c>
      <c r="J22" s="31">
        <f t="shared" si="1"/>
        <v>4.3828810218295429</v>
      </c>
      <c r="K22" s="31">
        <f t="shared" si="1"/>
        <v>2.5577559594358834</v>
      </c>
    </row>
    <row r="23" spans="1:11" x14ac:dyDescent="0.25">
      <c r="A23" s="31" t="s">
        <v>95</v>
      </c>
      <c r="D23" s="31" t="e">
        <f>D15+D16</f>
        <v>#REF!</v>
      </c>
      <c r="E23" s="31">
        <f>E15+E16</f>
        <v>82.089460835965838</v>
      </c>
      <c r="F23" s="31">
        <f>F15+F16</f>
        <v>73.608131402149112</v>
      </c>
      <c r="G23" s="31">
        <f>E12/E$12*100</f>
        <v>100</v>
      </c>
      <c r="H23" s="31">
        <f>F12/$C$12*100</f>
        <v>99.999999999999986</v>
      </c>
      <c r="I23" s="31">
        <f>G12/$C$12*100</f>
        <v>99.999999999999972</v>
      </c>
      <c r="J23" s="31">
        <f>H12/$C$12*100</f>
        <v>100</v>
      </c>
      <c r="K23" s="31">
        <f>I12/$C$12*100</f>
        <v>99.999999999999986</v>
      </c>
    </row>
    <row r="25" spans="1:11" x14ac:dyDescent="0.25">
      <c r="A25" s="32" t="str">
        <f>E1</f>
        <v>TR_PAS24</v>
      </c>
      <c r="B25" s="32"/>
      <c r="C25" s="32"/>
      <c r="D25" s="32">
        <v>2016</v>
      </c>
      <c r="E25" s="32">
        <f>E14</f>
        <v>2019</v>
      </c>
      <c r="F25" s="32">
        <f>F14</f>
        <v>2030</v>
      </c>
    </row>
    <row r="26" spans="1:11" x14ac:dyDescent="0.25">
      <c r="A26" s="31" t="str">
        <f t="shared" ref="A26:E33" si="3">A15</f>
        <v>Private car - Driver</v>
      </c>
      <c r="D26" s="31" t="e">
        <f>D15</f>
        <v>#REF!</v>
      </c>
      <c r="E26" s="31">
        <f>E15</f>
        <v>65.659562353808468</v>
      </c>
      <c r="F26" s="31">
        <f>G15</f>
        <v>63.591278031908452</v>
      </c>
    </row>
    <row r="27" spans="1:11" x14ac:dyDescent="0.25">
      <c r="A27" s="31" t="str">
        <f t="shared" si="3"/>
        <v>Private car - Passenger</v>
      </c>
      <c r="D27" s="31" t="e">
        <f t="shared" ref="D27:D34" si="4">D16</f>
        <v>#REF!</v>
      </c>
      <c r="E27" s="31">
        <f t="shared" si="3"/>
        <v>16.429898482157377</v>
      </c>
      <c r="F27" s="31">
        <f t="shared" ref="F27:F33" si="5">G16</f>
        <v>15.912354651177457</v>
      </c>
    </row>
    <row r="28" spans="1:11" x14ac:dyDescent="0.25">
      <c r="A28" s="31" t="str">
        <f t="shared" si="3"/>
        <v>Walk</v>
      </c>
      <c r="D28" s="31" t="e">
        <f t="shared" si="4"/>
        <v>#REF!</v>
      </c>
      <c r="E28" s="31">
        <f t="shared" si="3"/>
        <v>0.461895006030349</v>
      </c>
      <c r="F28" s="31">
        <f t="shared" si="5"/>
        <v>0.4473452563048077</v>
      </c>
    </row>
    <row r="29" spans="1:11" x14ac:dyDescent="0.25">
      <c r="A29" s="31" t="str">
        <f t="shared" si="3"/>
        <v>Bus</v>
      </c>
      <c r="D29" s="31" t="e">
        <f t="shared" si="4"/>
        <v>#REF!</v>
      </c>
      <c r="E29" s="31">
        <f t="shared" si="3"/>
        <v>5.5455226868638752</v>
      </c>
      <c r="F29" s="31">
        <f t="shared" si="5"/>
        <v>5.3708380374570384</v>
      </c>
    </row>
    <row r="30" spans="1:11" x14ac:dyDescent="0.25">
      <c r="A30" s="31" t="str">
        <f t="shared" si="3"/>
        <v>Cycle</v>
      </c>
      <c r="D30" s="31" t="e">
        <f t="shared" si="4"/>
        <v>#REF!</v>
      </c>
      <c r="E30" s="31">
        <f t="shared" si="3"/>
        <v>0.3548300397852423</v>
      </c>
      <c r="F30" s="31">
        <f t="shared" si="5"/>
        <v>3.4936651978880047</v>
      </c>
    </row>
    <row r="31" spans="1:11" x14ac:dyDescent="0.25">
      <c r="A31" s="31" t="str">
        <f t="shared" si="3"/>
        <v>Rail/Dart/Luas</v>
      </c>
      <c r="D31" s="31" t="e">
        <f t="shared" si="4"/>
        <v>#REF!</v>
      </c>
      <c r="E31" s="31">
        <f t="shared" si="3"/>
        <v>6.0102487911402509</v>
      </c>
      <c r="F31" s="31">
        <f t="shared" si="5"/>
        <v>5.8209252120635346</v>
      </c>
    </row>
    <row r="32" spans="1:11" x14ac:dyDescent="0.25">
      <c r="A32" s="31" t="str">
        <f t="shared" si="3"/>
        <v>Taxi/hackney</v>
      </c>
      <c r="D32" s="31" t="e">
        <f t="shared" si="4"/>
        <v>#REF!</v>
      </c>
      <c r="E32" s="31">
        <f t="shared" si="3"/>
        <v>0.45981149471663563</v>
      </c>
      <c r="F32" s="31">
        <f t="shared" si="5"/>
        <v>0.44532737585475191</v>
      </c>
    </row>
    <row r="33" spans="1:6" x14ac:dyDescent="0.25">
      <c r="A33" s="31" t="str">
        <f t="shared" si="3"/>
        <v>Lorry/Motorcycle/Other1</v>
      </c>
      <c r="D33" s="31" t="e">
        <f t="shared" si="4"/>
        <v>#REF!</v>
      </c>
      <c r="E33" s="31">
        <f t="shared" si="3"/>
        <v>5.0782311454977966</v>
      </c>
      <c r="F33" s="31">
        <f t="shared" si="5"/>
        <v>4.9182662373459491</v>
      </c>
    </row>
    <row r="34" spans="1:6" x14ac:dyDescent="0.25">
      <c r="A34" s="31" t="str">
        <f>A23</f>
        <v>Private car total</v>
      </c>
      <c r="D34" s="31" t="e">
        <f t="shared" si="4"/>
        <v>#REF!</v>
      </c>
      <c r="E34" s="31">
        <f>E26+E27</f>
        <v>82.089460835965838</v>
      </c>
      <c r="F34" s="31">
        <f>F26+F27</f>
        <v>79.503632683085911</v>
      </c>
    </row>
    <row r="37" spans="1:6" x14ac:dyDescent="0.25">
      <c r="A37" s="32" t="str">
        <f>F1</f>
        <v>TR_PAS25</v>
      </c>
      <c r="B37" s="32"/>
      <c r="C37" s="32"/>
      <c r="D37" s="32">
        <f>D25</f>
        <v>2016</v>
      </c>
      <c r="E37" s="32">
        <f>E25</f>
        <v>2019</v>
      </c>
      <c r="F37" s="32">
        <f>F25</f>
        <v>2030</v>
      </c>
    </row>
    <row r="38" spans="1:6" x14ac:dyDescent="0.25">
      <c r="A38" s="31" t="str">
        <f>A26</f>
        <v>Private car - Driver</v>
      </c>
      <c r="D38" s="31" t="e">
        <f t="shared" ref="D38:E46" si="6">D15</f>
        <v>#REF!</v>
      </c>
      <c r="E38" s="31">
        <f t="shared" si="6"/>
        <v>65.659562353808468</v>
      </c>
      <c r="F38" s="31">
        <f t="shared" ref="F38:F45" si="7">H15</f>
        <v>63.418116232765179</v>
      </c>
    </row>
    <row r="39" spans="1:6" x14ac:dyDescent="0.25">
      <c r="A39" s="31" t="str">
        <f t="shared" ref="A39:A46" si="8">A27</f>
        <v>Private car - Passenger</v>
      </c>
      <c r="D39" s="31" t="e">
        <f t="shared" si="6"/>
        <v>#REF!</v>
      </c>
      <c r="E39" s="31">
        <f t="shared" si="6"/>
        <v>16.429898482157377</v>
      </c>
      <c r="F39" s="31">
        <f t="shared" si="7"/>
        <v>15.86902462156835</v>
      </c>
    </row>
    <row r="40" spans="1:6" x14ac:dyDescent="0.25">
      <c r="A40" s="31" t="str">
        <f t="shared" si="8"/>
        <v>Walk</v>
      </c>
      <c r="D40" s="31" t="e">
        <f t="shared" si="6"/>
        <v>#REF!</v>
      </c>
      <c r="E40" s="31">
        <f t="shared" si="6"/>
        <v>0.461895006030349</v>
      </c>
      <c r="F40" s="31">
        <f t="shared" si="7"/>
        <v>0.44612711583307391</v>
      </c>
    </row>
    <row r="41" spans="1:6" x14ac:dyDescent="0.25">
      <c r="A41" s="31" t="str">
        <f t="shared" si="8"/>
        <v>Bus</v>
      </c>
      <c r="D41" s="31" t="e">
        <f t="shared" si="6"/>
        <v>#REF!</v>
      </c>
      <c r="E41" s="31">
        <f t="shared" si="6"/>
        <v>5.5455226868638752</v>
      </c>
      <c r="F41" s="31">
        <f t="shared" si="7"/>
        <v>5.3562130132987491</v>
      </c>
    </row>
    <row r="42" spans="1:6" x14ac:dyDescent="0.25">
      <c r="A42" s="31" t="str">
        <f t="shared" si="8"/>
        <v>Cycle</v>
      </c>
      <c r="D42" s="31" t="e">
        <f t="shared" si="6"/>
        <v>#REF!</v>
      </c>
      <c r="E42" s="31">
        <f t="shared" si="6"/>
        <v>0.3548300397852423</v>
      </c>
      <c r="F42" s="31">
        <f t="shared" si="7"/>
        <v>3.7564561195403621</v>
      </c>
    </row>
    <row r="43" spans="1:6" x14ac:dyDescent="0.25">
      <c r="A43" s="31" t="str">
        <f t="shared" si="8"/>
        <v>Rail/Dart/Luas</v>
      </c>
      <c r="D43" s="31" t="e">
        <f t="shared" si="6"/>
        <v>#REF!</v>
      </c>
      <c r="E43" s="31">
        <f t="shared" si="6"/>
        <v>6.0102487911402509</v>
      </c>
      <c r="F43" s="31">
        <f t="shared" si="7"/>
        <v>5.8050745810714428</v>
      </c>
    </row>
    <row r="44" spans="1:6" x14ac:dyDescent="0.25">
      <c r="A44" s="31" t="str">
        <f t="shared" si="8"/>
        <v>Taxi/hackney</v>
      </c>
      <c r="D44" s="31" t="e">
        <f t="shared" si="6"/>
        <v>#REF!</v>
      </c>
      <c r="E44" s="31">
        <f t="shared" si="6"/>
        <v>0.45981149471663563</v>
      </c>
      <c r="F44" s="31">
        <f t="shared" si="7"/>
        <v>0.44411473015871694</v>
      </c>
    </row>
    <row r="45" spans="1:6" x14ac:dyDescent="0.25">
      <c r="A45" s="31" t="str">
        <f t="shared" si="8"/>
        <v>Lorry/Motorcycle/Other1</v>
      </c>
      <c r="D45" s="31" t="e">
        <f t="shared" si="6"/>
        <v>#REF!</v>
      </c>
      <c r="E45" s="31">
        <f t="shared" si="6"/>
        <v>5.0782311454977966</v>
      </c>
      <c r="F45" s="31">
        <f t="shared" si="7"/>
        <v>4.9048735857641237</v>
      </c>
    </row>
    <row r="46" spans="1:6" x14ac:dyDescent="0.25">
      <c r="A46" s="31" t="str">
        <f t="shared" si="8"/>
        <v>Private car total</v>
      </c>
      <c r="D46" s="31" t="e">
        <f t="shared" si="6"/>
        <v>#REF!</v>
      </c>
      <c r="E46" s="31">
        <f>E38+E39</f>
        <v>82.089460835965838</v>
      </c>
      <c r="F46" s="31">
        <f>F38+F39</f>
        <v>79.287140854333529</v>
      </c>
    </row>
    <row r="47" spans="1:6" x14ac:dyDescent="0.25">
      <c r="A47" s="31" t="s">
        <v>4</v>
      </c>
      <c r="E47" s="31">
        <f>SUM(E40:E46)</f>
        <v>99.999999999999986</v>
      </c>
      <c r="F47" s="31">
        <f>SUM(F40:F46)</f>
        <v>100</v>
      </c>
    </row>
    <row r="49" spans="1:6" x14ac:dyDescent="0.25">
      <c r="A49" s="32" t="str">
        <f>G1</f>
        <v>TR_PAS26</v>
      </c>
      <c r="B49" s="32"/>
      <c r="C49" s="32"/>
      <c r="D49" s="32">
        <f>D37</f>
        <v>2016</v>
      </c>
      <c r="E49" s="32">
        <f>E37</f>
        <v>2019</v>
      </c>
      <c r="F49" s="32">
        <f>F37</f>
        <v>2030</v>
      </c>
    </row>
    <row r="50" spans="1:6" x14ac:dyDescent="0.25">
      <c r="A50" s="31" t="str">
        <f>A38</f>
        <v>Private car - Driver</v>
      </c>
      <c r="D50" s="31" t="e">
        <f>D38</f>
        <v>#REF!</v>
      </c>
      <c r="E50" s="31">
        <f>E38</f>
        <v>65.659562353808468</v>
      </c>
      <c r="F50" s="31">
        <f t="shared" ref="F50:F57" si="9">I15</f>
        <v>60.899801508387071</v>
      </c>
    </row>
    <row r="51" spans="1:6" x14ac:dyDescent="0.25">
      <c r="A51" s="31" t="str">
        <f t="shared" ref="A51:A58" si="10">A39</f>
        <v>Private car - Passenger</v>
      </c>
      <c r="D51" s="31" t="e">
        <f t="shared" ref="D51:E58" si="11">D39</f>
        <v>#REF!</v>
      </c>
      <c r="E51" s="31">
        <f t="shared" si="11"/>
        <v>16.429898482157377</v>
      </c>
      <c r="F51" s="31">
        <f t="shared" si="9"/>
        <v>15.238870325919828</v>
      </c>
    </row>
    <row r="52" spans="1:6" x14ac:dyDescent="0.25">
      <c r="A52" s="31" t="str">
        <f t="shared" si="10"/>
        <v>Walk</v>
      </c>
      <c r="D52" s="32" t="e">
        <f t="shared" si="11"/>
        <v>#REF!</v>
      </c>
      <c r="E52" s="31">
        <f t="shared" si="11"/>
        <v>0.461895006030349</v>
      </c>
      <c r="F52" s="31">
        <f t="shared" si="9"/>
        <v>0.42841153940971888</v>
      </c>
    </row>
    <row r="53" spans="1:6" x14ac:dyDescent="0.25">
      <c r="A53" s="31" t="str">
        <f t="shared" si="10"/>
        <v>Bus</v>
      </c>
      <c r="D53" s="32" t="e">
        <f t="shared" si="11"/>
        <v>#REF!</v>
      </c>
      <c r="E53" s="31">
        <f t="shared" si="11"/>
        <v>5.5455226868638752</v>
      </c>
      <c r="F53" s="31">
        <f t="shared" si="9"/>
        <v>5.1435193714884475</v>
      </c>
    </row>
    <row r="54" spans="1:6" x14ac:dyDescent="0.25">
      <c r="A54" s="31" t="str">
        <f t="shared" si="10"/>
        <v>Cycle</v>
      </c>
      <c r="D54" s="32" t="e">
        <f t="shared" si="11"/>
        <v>#REF!</v>
      </c>
      <c r="E54" s="31">
        <f t="shared" si="11"/>
        <v>0.3548300397852423</v>
      </c>
      <c r="F54" s="31">
        <f t="shared" si="9"/>
        <v>7.5782589115203427</v>
      </c>
    </row>
    <row r="55" spans="1:6" x14ac:dyDescent="0.25">
      <c r="A55" s="31" t="str">
        <f t="shared" si="10"/>
        <v>Rail/Dart/Luas</v>
      </c>
      <c r="D55" s="32" t="e">
        <f t="shared" si="11"/>
        <v>#REF!</v>
      </c>
      <c r="E55" s="31">
        <f t="shared" si="11"/>
        <v>6.0102487911402509</v>
      </c>
      <c r="F55" s="31">
        <f t="shared" si="9"/>
        <v>5.5745567785563264</v>
      </c>
    </row>
    <row r="56" spans="1:6" x14ac:dyDescent="0.25">
      <c r="A56" s="31" t="str">
        <f t="shared" si="10"/>
        <v>Taxi/hackney</v>
      </c>
      <c r="D56" s="32" t="e">
        <f t="shared" si="11"/>
        <v>#REF!</v>
      </c>
      <c r="E56" s="31">
        <f t="shared" si="11"/>
        <v>0.45981149471663563</v>
      </c>
      <c r="F56" s="31">
        <f t="shared" si="9"/>
        <v>0.42647906497801463</v>
      </c>
    </row>
    <row r="57" spans="1:6" x14ac:dyDescent="0.25">
      <c r="A57" s="31" t="str">
        <f t="shared" si="10"/>
        <v>Lorry/Motorcycle/Other1</v>
      </c>
      <c r="D57" s="32" t="e">
        <f t="shared" si="11"/>
        <v>#REF!</v>
      </c>
      <c r="E57" s="31">
        <f t="shared" si="11"/>
        <v>5.0782311454977966</v>
      </c>
      <c r="F57" s="31">
        <f t="shared" si="9"/>
        <v>4.7101024997402634</v>
      </c>
    </row>
    <row r="58" spans="1:6" x14ac:dyDescent="0.25">
      <c r="A58" s="31" t="str">
        <f t="shared" si="10"/>
        <v>Private car total</v>
      </c>
      <c r="D58" s="32" t="e">
        <f t="shared" si="11"/>
        <v>#REF!</v>
      </c>
      <c r="E58" s="31">
        <f>E50+E51</f>
        <v>82.089460835965838</v>
      </c>
      <c r="F58" s="31">
        <f>F50+F51</f>
        <v>76.138671834306905</v>
      </c>
    </row>
    <row r="59" spans="1:6" x14ac:dyDescent="0.25">
      <c r="A59" s="31" t="str">
        <f>A47</f>
        <v>Total</v>
      </c>
      <c r="D59" s="31" t="e">
        <f>SUM(D52:D58)</f>
        <v>#REF!</v>
      </c>
      <c r="E59" s="31">
        <f>SUM(E52:E58)</f>
        <v>99.999999999999986</v>
      </c>
      <c r="F59" s="31">
        <f>SUM(F52:F58)</f>
        <v>100.00000000000001</v>
      </c>
    </row>
    <row r="61" spans="1:6" x14ac:dyDescent="0.25">
      <c r="A61" s="32" t="str">
        <f>H1</f>
        <v>TR_PAS27</v>
      </c>
      <c r="B61" s="32"/>
      <c r="C61" s="32"/>
      <c r="D61" s="32">
        <f>D49</f>
        <v>2016</v>
      </c>
      <c r="E61" s="32">
        <f>E49</f>
        <v>2019</v>
      </c>
      <c r="F61" s="32">
        <f>F49</f>
        <v>2030</v>
      </c>
    </row>
    <row r="62" spans="1:6" x14ac:dyDescent="0.25">
      <c r="A62" s="31" t="str">
        <f>A50</f>
        <v>Private car - Driver</v>
      </c>
      <c r="D62" s="31" t="e">
        <f t="shared" ref="D62:E70" si="12">D26</f>
        <v>#REF!</v>
      </c>
      <c r="E62" s="31">
        <f t="shared" si="12"/>
        <v>65.659562353808468</v>
      </c>
      <c r="F62" s="31">
        <f t="shared" ref="F62:F69" si="13">J15</f>
        <v>56.668954503434875</v>
      </c>
    </row>
    <row r="63" spans="1:6" x14ac:dyDescent="0.25">
      <c r="A63" s="31" t="str">
        <f t="shared" ref="A63:A70" si="14">A51</f>
        <v>Private car - Passenger</v>
      </c>
      <c r="D63" s="31" t="e">
        <f t="shared" si="12"/>
        <v>#REF!</v>
      </c>
      <c r="E63" s="31">
        <f t="shared" si="12"/>
        <v>16.429898482157377</v>
      </c>
      <c r="F63" s="31">
        <f t="shared" si="13"/>
        <v>14.180191524341243</v>
      </c>
    </row>
    <row r="64" spans="1:6" x14ac:dyDescent="0.25">
      <c r="A64" s="31" t="str">
        <f t="shared" si="14"/>
        <v>Walk</v>
      </c>
      <c r="D64" s="31" t="e">
        <f t="shared" si="12"/>
        <v>#REF!</v>
      </c>
      <c r="E64" s="31">
        <f t="shared" si="12"/>
        <v>0.461895006030349</v>
      </c>
      <c r="F64" s="31">
        <f t="shared" si="13"/>
        <v>0.39864882042698208</v>
      </c>
    </row>
    <row r="65" spans="1:6" x14ac:dyDescent="0.25">
      <c r="A65" s="31" t="str">
        <f t="shared" si="14"/>
        <v>Bus</v>
      </c>
      <c r="D65" s="31" t="e">
        <f t="shared" si="12"/>
        <v>#REF!</v>
      </c>
      <c r="E65" s="31">
        <f t="shared" si="12"/>
        <v>5.5455226868638752</v>
      </c>
      <c r="F65" s="31">
        <f t="shared" si="13"/>
        <v>4.7861874428321833</v>
      </c>
    </row>
    <row r="66" spans="1:6" x14ac:dyDescent="0.25">
      <c r="A66" s="31" t="str">
        <f t="shared" si="14"/>
        <v>Cycle</v>
      </c>
      <c r="D66" s="31" t="e">
        <f t="shared" si="12"/>
        <v>#REF!</v>
      </c>
      <c r="E66" s="31">
        <f t="shared" si="12"/>
        <v>0.3548300397852423</v>
      </c>
      <c r="F66" s="31">
        <f t="shared" si="13"/>
        <v>13.99900638181891</v>
      </c>
    </row>
    <row r="67" spans="1:6" x14ac:dyDescent="0.25">
      <c r="A67" s="31" t="str">
        <f t="shared" si="14"/>
        <v>Rail/Dart/Luas</v>
      </c>
      <c r="D67" s="31" t="e">
        <f t="shared" si="12"/>
        <v>#REF!</v>
      </c>
      <c r="E67" s="31">
        <f t="shared" si="12"/>
        <v>6.0102487911402509</v>
      </c>
      <c r="F67" s="31">
        <f t="shared" si="13"/>
        <v>5.1872797059497273</v>
      </c>
    </row>
    <row r="68" spans="1:6" x14ac:dyDescent="0.25">
      <c r="A68" s="31" t="str">
        <f t="shared" si="14"/>
        <v>Taxi/hackney</v>
      </c>
      <c r="D68" s="31" t="e">
        <f t="shared" si="12"/>
        <v>#REF!</v>
      </c>
      <c r="E68" s="31">
        <f t="shared" si="12"/>
        <v>0.45981149471663563</v>
      </c>
      <c r="F68" s="31">
        <f t="shared" si="13"/>
        <v>0.39685059936653722</v>
      </c>
    </row>
    <row r="69" spans="1:6" x14ac:dyDescent="0.25">
      <c r="A69" s="31" t="str">
        <f t="shared" si="14"/>
        <v>Lorry/Motorcycle/Other1</v>
      </c>
      <c r="D69" s="31" t="e">
        <f t="shared" si="12"/>
        <v>#REF!</v>
      </c>
      <c r="E69" s="31">
        <f t="shared" si="12"/>
        <v>5.0782311454977966</v>
      </c>
      <c r="F69" s="31">
        <f t="shared" si="13"/>
        <v>4.3828810218295429</v>
      </c>
    </row>
    <row r="70" spans="1:6" x14ac:dyDescent="0.25">
      <c r="A70" s="31" t="str">
        <f t="shared" si="14"/>
        <v>Private car total</v>
      </c>
      <c r="D70" s="31" t="e">
        <f t="shared" si="12"/>
        <v>#REF!</v>
      </c>
      <c r="E70" s="31">
        <f t="shared" si="12"/>
        <v>82.089460835965838</v>
      </c>
      <c r="F70" s="31">
        <f>F62+F63</f>
        <v>70.849146027776115</v>
      </c>
    </row>
    <row r="71" spans="1:6" x14ac:dyDescent="0.25">
      <c r="A71" s="31" t="str">
        <f>A59</f>
        <v>Total</v>
      </c>
      <c r="D71" s="31" t="e">
        <f>SUM(D64:D70)</f>
        <v>#REF!</v>
      </c>
      <c r="E71" s="31">
        <f>SUM(E64:E70)</f>
        <v>99.999999999999986</v>
      </c>
      <c r="F71" s="31">
        <f>SUM(F64:F70)</f>
        <v>100</v>
      </c>
    </row>
    <row r="73" spans="1:6" x14ac:dyDescent="0.25">
      <c r="A73" s="32" t="str">
        <f>I1</f>
        <v>TR_PAS28</v>
      </c>
      <c r="B73" s="32"/>
      <c r="C73" s="32"/>
      <c r="D73" s="32">
        <f>D61</f>
        <v>2016</v>
      </c>
      <c r="E73" s="32">
        <f>E61</f>
        <v>2019</v>
      </c>
      <c r="F73" s="32">
        <f>F61</f>
        <v>2030</v>
      </c>
    </row>
    <row r="74" spans="1:6" x14ac:dyDescent="0.25">
      <c r="A74" s="31" t="str">
        <f>A62</f>
        <v>Private car - Driver</v>
      </c>
      <c r="D74" s="31" t="e">
        <f t="shared" ref="D74:E81" si="15">D15</f>
        <v>#REF!</v>
      </c>
      <c r="E74" s="31">
        <f t="shared" si="15"/>
        <v>65.659562353808468</v>
      </c>
      <c r="F74" s="31">
        <f t="shared" ref="F74:F81" si="16">K15</f>
        <v>64.072796331396489</v>
      </c>
    </row>
    <row r="75" spans="1:6" x14ac:dyDescent="0.25">
      <c r="A75" s="31" t="str">
        <f t="shared" ref="A75:A82" si="17">A63</f>
        <v>Private car - Passenger</v>
      </c>
      <c r="D75" s="31" t="e">
        <f t="shared" si="15"/>
        <v>#REF!</v>
      </c>
      <c r="E75" s="31">
        <f t="shared" si="15"/>
        <v>16.429898482157377</v>
      </c>
      <c r="F75" s="31">
        <f t="shared" si="16"/>
        <v>6.8805797462494755</v>
      </c>
    </row>
    <row r="76" spans="1:6" x14ac:dyDescent="0.25">
      <c r="A76" s="31" t="str">
        <f t="shared" si="17"/>
        <v>Walk</v>
      </c>
      <c r="D76" s="31" t="e">
        <f t="shared" si="15"/>
        <v>#REF!</v>
      </c>
      <c r="E76" s="31">
        <f t="shared" si="15"/>
        <v>0.461895006030349</v>
      </c>
      <c r="F76" s="31">
        <f t="shared" si="16"/>
        <v>14.450065869465432</v>
      </c>
    </row>
    <row r="77" spans="1:6" x14ac:dyDescent="0.25">
      <c r="A77" s="31" t="str">
        <f t="shared" si="17"/>
        <v>Bus</v>
      </c>
      <c r="D77" s="31" t="e">
        <f t="shared" si="15"/>
        <v>#REF!</v>
      </c>
      <c r="E77" s="31">
        <f t="shared" si="15"/>
        <v>5.5455226868638752</v>
      </c>
      <c r="F77" s="31">
        <f t="shared" si="16"/>
        <v>6.3721562407220214</v>
      </c>
    </row>
    <row r="78" spans="1:6" x14ac:dyDescent="0.25">
      <c r="A78" s="31" t="str">
        <f t="shared" si="17"/>
        <v>Cycle</v>
      </c>
      <c r="D78" s="31" t="e">
        <f t="shared" si="15"/>
        <v>#REF!</v>
      </c>
      <c r="E78" s="31">
        <f t="shared" si="15"/>
        <v>0.3548300397852423</v>
      </c>
      <c r="F78" s="31">
        <f t="shared" si="16"/>
        <v>2.4713185922559746</v>
      </c>
    </row>
    <row r="79" spans="1:6" x14ac:dyDescent="0.25">
      <c r="A79" s="31" t="str">
        <f t="shared" si="17"/>
        <v>Rail/Dart/Luas</v>
      </c>
      <c r="D79" s="31" t="e">
        <f t="shared" si="15"/>
        <v>#REF!</v>
      </c>
      <c r="E79" s="31">
        <f t="shared" si="15"/>
        <v>6.0102487911402509</v>
      </c>
      <c r="F79" s="31">
        <f t="shared" si="16"/>
        <v>1.8626420003614723</v>
      </c>
    </row>
    <row r="80" spans="1:6" x14ac:dyDescent="0.25">
      <c r="A80" s="31" t="str">
        <f t="shared" si="17"/>
        <v>Taxi/hackney</v>
      </c>
      <c r="D80" s="31" t="e">
        <f t="shared" si="15"/>
        <v>#REF!</v>
      </c>
      <c r="E80" s="31">
        <f t="shared" si="15"/>
        <v>0.45981149471663563</v>
      </c>
      <c r="F80" s="31">
        <f t="shared" si="16"/>
        <v>1.3326852601132841</v>
      </c>
    </row>
    <row r="81" spans="1:6" x14ac:dyDescent="0.25">
      <c r="A81" s="31" t="str">
        <f t="shared" si="17"/>
        <v>Lorry/Motorcycle/Other1</v>
      </c>
      <c r="D81" s="31" t="e">
        <f t="shared" si="15"/>
        <v>#REF!</v>
      </c>
      <c r="E81" s="31">
        <f t="shared" si="15"/>
        <v>5.0782311454977966</v>
      </c>
      <c r="F81" s="31">
        <f t="shared" si="16"/>
        <v>2.5577559594358834</v>
      </c>
    </row>
    <row r="82" spans="1:6" x14ac:dyDescent="0.25">
      <c r="A82" s="31" t="str">
        <f t="shared" si="17"/>
        <v>Private car total</v>
      </c>
      <c r="D82" s="31" t="e">
        <f>D74+D75</f>
        <v>#REF!</v>
      </c>
      <c r="E82" s="31">
        <f>E74+E75</f>
        <v>82.089460835965838</v>
      </c>
      <c r="F82" s="31">
        <f>F74+F75</f>
        <v>70.95337607764597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377CD30A0914381FD37FC52787E69" ma:contentTypeVersion="11" ma:contentTypeDescription="Create a new document." ma:contentTypeScope="" ma:versionID="90ccc8b3ef8076444ce171bddd394008">
  <xsd:schema xmlns:xsd="http://www.w3.org/2001/XMLSchema" xmlns:xs="http://www.w3.org/2001/XMLSchema" xmlns:p="http://schemas.microsoft.com/office/2006/metadata/properties" xmlns:ns2="212658a5-b456-41ea-be98-c66d3cbf5f9e" xmlns:ns3="9a4ff2f6-c41e-451b-bee0-8d7af98f2e07" targetNamespace="http://schemas.microsoft.com/office/2006/metadata/properties" ma:root="true" ma:fieldsID="fb8d1e1f608e5964b621a6afda8d512d" ns2:_="" ns3:_="">
    <xsd:import namespace="212658a5-b456-41ea-be98-c66d3cbf5f9e"/>
    <xsd:import namespace="9a4ff2f6-c41e-451b-bee0-8d7af98f2e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2658a5-b456-41ea-be98-c66d3cbf5f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4ff2f6-c41e-451b-bee0-8d7af98f2e0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599E63-7F61-45D6-B6A5-BBEB09BBF044}">
  <ds:schemaRefs>
    <ds:schemaRef ds:uri="http://www.w3.org/XML/1998/namespace"/>
    <ds:schemaRef ds:uri="http://schemas.microsoft.com/office/2006/documentManagement/types"/>
    <ds:schemaRef ds:uri="http://purl.org/dc/dcmitype/"/>
    <ds:schemaRef ds:uri="http://purl.org/dc/terms/"/>
    <ds:schemaRef ds:uri="http://purl.org/dc/elements/1.1/"/>
    <ds:schemaRef ds:uri="http://schemas.microsoft.com/office/infopath/2007/PartnerControls"/>
    <ds:schemaRef ds:uri="9a4ff2f6-c41e-451b-bee0-8d7af98f2e07"/>
    <ds:schemaRef ds:uri="http://schemas.openxmlformats.org/package/2006/metadata/core-properties"/>
    <ds:schemaRef ds:uri="212658a5-b456-41ea-be98-c66d3cbf5f9e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B4BBC9F-3DB0-4FF7-9397-C1E9922973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AF60D1-18C5-430C-8473-2A254630AB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2658a5-b456-41ea-be98-c66d3cbf5f9e"/>
    <ds:schemaRef ds:uri="9a4ff2f6-c41e-451b-bee0-8d7af98f2e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readme</vt:lpstr>
      <vt:lpstr>BaU</vt:lpstr>
      <vt:lpstr>Urban Ambition</vt:lpstr>
      <vt:lpstr>Smarter Travel</vt:lpstr>
      <vt:lpstr>Bus Connects</vt:lpstr>
      <vt:lpstr>Netherlands Cycling</vt:lpstr>
      <vt:lpstr>Short trip, active modes</vt:lpstr>
      <vt:lpstr>Remote Working</vt:lpstr>
      <vt:lpstr>School Bussing</vt:lpstr>
      <vt:lpstr>Combi</vt:lpstr>
      <vt:lpstr>PKM display</vt:lpstr>
      <vt:lpstr>PKM by purpose</vt:lpstr>
      <vt:lpstr>PKM by purpose and mode</vt:lpstr>
      <vt:lpstr>PKM by purpose and mode pivot</vt:lpstr>
      <vt:lpstr>PKM by mode</vt:lpstr>
      <vt:lpstr>PKM calculation Assumptions</vt:lpstr>
      <vt:lpstr>Occup., Energy Cons., Emission</vt:lpstr>
      <vt:lpstr>Irish Car Stock Model V 2.4</vt:lpstr>
      <vt:lpstr>Pivot Tables Emissions calc.</vt:lpstr>
      <vt:lpstr>Emissions calculator</vt:lpstr>
      <vt:lpstr>CSO Tables</vt:lpstr>
      <vt:lpstr>Manuscript Figures</vt:lpstr>
      <vt:lpstr>Manuscript Figures 2</vt:lpstr>
      <vt:lpstr>Graphs for Manuscripts</vt:lpstr>
      <vt:lpstr>Cycling Scenarios</vt:lpstr>
    </vt:vector>
  </TitlesOfParts>
  <Manager/>
  <Company>CSO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O'Riordan, Vera</cp:lastModifiedBy>
  <cp:revision/>
  <dcterms:created xsi:type="dcterms:W3CDTF">2015-01-21T14:58:42Z</dcterms:created>
  <dcterms:modified xsi:type="dcterms:W3CDTF">2021-05-06T09:27:12Z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0x010100B2F377CD30A0914381FD37FC52787E69</vt:lpwstr>
  </property>
  <property fmtid="{D5CDD505-2E9C-101B-9397-08002B2CF9AE}" pid="3" name="SaveCode">
    <vt:r8>138892054557800</vt:r8>
  </property>
</Properties>
</file>